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6.xml" ContentType="application/vnd.openxmlformats-officedocument.spreadsheetml.comments+xml"/>
  <Override PartName="/xl/comments14.xml" ContentType="application/vnd.openxmlformats-officedocument.spreadsheetml.comments+xml"/>
  <Override PartName="/xl/styles.xml" ContentType="application/vnd.openxmlformats-officedocument.spreadsheetml.styles+xml"/>
  <Override PartName="/xl/comments22.xml" ContentType="application/vnd.openxmlformats-officedocument.spreadsheetml.comments+xml"/>
  <Override PartName="/xl/comments23.xml" ContentType="application/vnd.openxmlformats-officedocument.spreadsheetml.comments+xml"/>
  <Override PartName="/xl/comments15.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30.xml" ContentType="application/vnd.openxmlformats-officedocument.spreadsheetml.comments+xml"/>
  <Override PartName="/xl/comments7.xml" ContentType="application/vnd.openxmlformats-officedocument.spreadsheetml.comments+xml"/>
  <Override PartName="/xl/comments17.xml" ContentType="application/vnd.openxmlformats-officedocument.spreadsheetml.comments+xml"/>
  <Override PartName="/xl/comments29.xml" ContentType="application/vnd.openxmlformats-officedocument.spreadsheetml.comments+xml"/>
  <Override PartName="/xl/comments31.xml" ContentType="application/vnd.openxmlformats-officedocument.spreadsheetml.comments+xml"/>
  <Override PartName="/xl/comments21.xml" ContentType="application/vnd.openxmlformats-officedocument.spreadsheetml.comments+xml"/>
  <Override PartName="/xl/comments19.xml" ContentType="application/vnd.openxmlformats-officedocument.spreadsheetml.comments+xml"/>
  <Override PartName="/xl/worksheets/_rels/sheet17.xml.rels" ContentType="application/vnd.openxmlformats-package.relationships+xml"/>
  <Override PartName="/xl/worksheets/_rels/sheet16.xml.rels" ContentType="application/vnd.openxmlformats-package.relationships+xml"/>
  <Override PartName="/xl/worksheets/_rels/sheet12.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30.xml.rels" ContentType="application/vnd.openxmlformats-package.relationships+xml"/>
  <Override PartName="/xl/worksheets/_rels/sheet28.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15.xml.rels" ContentType="application/vnd.openxmlformats-package.relationships+xml"/>
  <Override PartName="/xl/worksheets/_rels/sheet27.xml.rels" ContentType="application/vnd.openxmlformats-package.relationships+xml"/>
  <Override PartName="/xl/worksheets/_rels/sheet9.xml.rels" ContentType="application/vnd.openxmlformats-package.relationships+xml"/>
  <Override PartName="/xl/worksheets/_rels/sheet24.xml.rels" ContentType="application/vnd.openxmlformats-package.relationships+xml"/>
  <Override PartName="/xl/worksheets/_rels/sheet23.xml.rels" ContentType="application/vnd.openxmlformats-package.relationships+xml"/>
  <Override PartName="/xl/worksheets/_rels/sheet11.xml.rels" ContentType="application/vnd.openxmlformats-package.relationships+xml"/>
  <Override PartName="/xl/worksheets/_rels/sheet22.xml.rels" ContentType="application/vnd.openxmlformats-package.relationships+xml"/>
  <Override PartName="/xl/worksheets/_rels/sheet10.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comments9.xml" ContentType="application/vnd.openxmlformats-officedocument.spreadsheetml.comments+xml"/>
  <Override PartName="/xl/workbook.xml" ContentType="application/vnd.openxmlformats-officedocument.spreadsheetml.sheet.main+xml"/>
  <Override PartName="/xl/comments10.xml" ContentType="application/vnd.openxmlformats-officedocument.spreadsheetml.comments+xml"/>
  <Override PartName="/xl/comments24.xml" ContentType="application/vnd.openxmlformats-officedocument.spreadsheetml.comments+xml"/>
  <Override PartName="/xl/drawings/vmlDrawing13.vml" ContentType="application/vnd.openxmlformats-officedocument.vmlDrawing"/>
  <Override PartName="/xl/drawings/vmlDrawing12.vml" ContentType="application/vnd.openxmlformats-officedocument.vmlDrawing"/>
  <Override PartName="/xl/drawings/vmlDrawing11.vml" ContentType="application/vnd.openxmlformats-officedocument.vmlDrawing"/>
  <Override PartName="/xl/drawings/vmlDrawing10.vml" ContentType="application/vnd.openxmlformats-officedocument.vmlDrawing"/>
  <Override PartName="/xl/drawings/vmlDrawing9.vml" ContentType="application/vnd.openxmlformats-officedocument.vmlDrawing"/>
  <Override PartName="/xl/drawings/vmlDrawing8.vml" ContentType="application/vnd.openxmlformats-officedocument.vmlDrawing"/>
  <Override PartName="/xl/drawings/vmlDrawing7.vml" ContentType="application/vnd.openxmlformats-officedocument.vmlDrawing"/>
  <Override PartName="/xl/drawings/vmlDrawing6.vml" ContentType="application/vnd.openxmlformats-officedocument.vmlDrawing"/>
  <Override PartName="/xl/drawings/vmlDrawing5.vml" ContentType="application/vnd.openxmlformats-officedocument.vmlDrawing"/>
  <Override PartName="/xl/drawings/vmlDrawing4.vml" ContentType="application/vnd.openxmlformats-officedocument.vmlDrawing"/>
  <Override PartName="/xl/drawings/vmlDrawing23.vml" ContentType="application/vnd.openxmlformats-officedocument.vmlDrawing"/>
  <Override PartName="/xl/drawings/vmlDrawing22.vml" ContentType="application/vnd.openxmlformats-officedocument.vmlDrawing"/>
  <Override PartName="/xl/drawings/vmlDrawing21.vml" ContentType="application/vnd.openxmlformats-officedocument.vmlDrawing"/>
  <Override PartName="/xl/drawings/vmlDrawing19.vml" ContentType="application/vnd.openxmlformats-officedocument.vmlDrawing"/>
  <Override PartName="/xl/drawings/vmlDrawing20.vml" ContentType="application/vnd.openxmlformats-officedocument.vmlDrawing"/>
  <Override PartName="/xl/drawings/vmlDrawing18.vml" ContentType="application/vnd.openxmlformats-officedocument.vmlDrawing"/>
  <Override PartName="/xl/drawings/vmlDrawing17.vml" ContentType="application/vnd.openxmlformats-officedocument.vmlDrawing"/>
  <Override PartName="/xl/drawings/vmlDrawing3.vml" ContentType="application/vnd.openxmlformats-officedocument.vmlDrawing"/>
  <Override PartName="/xl/drawings/vmlDrawing16.vml" ContentType="application/vnd.openxmlformats-officedocument.vmlDrawing"/>
  <Override PartName="/xl/drawings/vmlDrawing2.vml" ContentType="application/vnd.openxmlformats-officedocument.vmlDrawing"/>
  <Override PartName="/xl/drawings/vmlDrawing15.vml" ContentType="application/vnd.openxmlformats-officedocument.vmlDrawing"/>
  <Override PartName="/xl/drawings/vmlDrawing1.vml" ContentType="application/vnd.openxmlformats-officedocument.vmlDrawing"/>
  <Override PartName="/xl/drawings/vmlDrawing14.vml" ContentType="application/vnd.openxmlformats-officedocument.vmlDrawing"/>
  <Override PartName="/xl/comments13.xml" ContentType="application/vnd.openxmlformats-officedocument.spreadsheetml.comments+xml"/>
  <Override PartName="/xl/comments20.xml" ContentType="application/vnd.openxmlformats-officedocument.spreadsheetml.comments+xml"/>
  <Override PartName="/xl/comments18.xml" ContentType="application/vnd.openxmlformats-officedocument.spreadsheetml.comments+xml"/>
  <Override PartName="/xl/theme/theme1.xml" ContentType="application/vnd.openxmlformats-officedocument.theme+xml"/>
  <Override PartName="/xl/sharedStrings.xml" ContentType="application/vnd.openxmlformats-officedocument.spreadsheetml.sharedStrings+xml"/>
  <Override PartName="/xl/comments8.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dashboard" sheetId="2" state="visible" r:id="rId4"/>
    <sheet name="survey_dashboard" sheetId="3" state="visible" r:id="rId5"/>
    <sheet name="report" sheetId="4" state="visible" r:id="rId6"/>
    <sheet name="config" sheetId="5" state="visible" r:id="rId7"/>
    <sheet name="calendar" sheetId="6" state="visible" r:id="rId8"/>
    <sheet name="drops" sheetId="7" state="visible" r:id="rId9"/>
    <sheet name="campaigns" sheetId="8" state="visible" r:id="rId10"/>
    <sheet name="brands" sheetId="9" state="visible" r:id="rId11"/>
    <sheet name="offices" sheetId="10" state="visible" r:id="rId12"/>
    <sheet name="approvals" sheetId="11" state="visible" r:id="rId13"/>
    <sheet name="stops" sheetId="12" state="visible" r:id="rId14"/>
    <sheet name="inventory" sheetId="13" state="visible" r:id="rId15"/>
    <sheet name="counts" sheetId="14" state="visible" r:id="rId16"/>
    <sheet name="photos" sheetId="15" state="visible" r:id="rId17"/>
    <sheet name="links" sheetId="16" state="visible" r:id="rId18"/>
    <sheet name="scans" sheetId="17" state="visible" r:id="rId19"/>
    <sheet name="redemptions" sheetId="18" state="visible" r:id="rId20"/>
    <sheet name="issues" sheetId="19" state="visible" r:id="rId21"/>
    <sheet name="hours" sheetId="20" state="visible" r:id="rId22"/>
    <sheet name="costs" sheetId="21" state="visible" r:id="rId23"/>
    <sheet name="invoices" sheetId="22" state="visible" r:id="rId24"/>
    <sheet name="office_intake" sheetId="23" state="visible" r:id="rId25"/>
    <sheet name="brand_intake" sheetId="24" state="visible" r:id="rId26"/>
    <sheet name="office_form" sheetId="25" state="visible" r:id="rId27"/>
    <sheet name="brand_form" sheetId="26" state="visible" r:id="rId28"/>
    <sheet name="office_intake_founder" sheetId="27" state="visible" r:id="rId29"/>
    <sheet name="brand_intake_founder" sheetId="28" state="visible" r:id="rId30"/>
    <sheet name="in_signed_offices" sheetId="29" state="visible" r:id="rId31"/>
    <sheet name="in_paid_brands" sheetId="30" state="visible" r:id="rId32"/>
    <sheet name="survey_frozen" sheetId="31" state="visible" r:id="rId33"/>
    <sheet name="responses_template" sheetId="32" state="visible" r:id="rId34"/>
    <sheet name="SAMPLE-CMP-001" sheetId="33" state="visible" r:id="rId35"/>
    <sheet name="SAMPLE-CMP-002" sheetId="34" state="visible" r:id="rId36"/>
    <sheet name="SAMPLE-CMP-003" sheetId="35" state="visible" r:id="rId37"/>
    <sheet name="SAMPLE-CMP-004" sheetId="36" state="visible" r:id="rId38"/>
    <sheet name="SAMPLE-CMP-005" sheetId="37" state="visible" r:id="rId39"/>
    <sheet name="SAMPLE-CMP-006" sheetId="38" state="visible" r:id="rId40"/>
    <sheet name="SAMPLE-CMP-007" sheetId="39" state="visible" r:id="rId41"/>
    <sheet name="SAMPLE-CMP-008" sheetId="40" state="visible" r:id="rId42"/>
  </sheets>
  <calcPr iterateCount="100" refMode="A1" iterate="false" iterateDelta="0.0001"/>
  <extLst>
    <ext xmlns:loext="http://schemas.libreoffice.org/" uri="{7626C862-2A13-11E5-B345-FEFF819CDC9F}">
      <loext:extCalcPr stringRefSyntax="ExcelA1"/>
    </ext>
  </extLst>
</workbook>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DRP-### from the financial model's Schedule tab (financial-model/HANDOFF.md section 1). Keep the ID if a drop slips.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B1" authorId="0">
      <text>
        <r>
          <rPr>
            <sz val="10"/>
            <rFont val="Arial"/>
            <family val="2"/>
          </rPr>
          <t xml:space="preserve">Tuesday or Wednesday, window clear of blackouts. Refused otherwise (date_check). Use tools/opscal.py next to pick 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E1" authorId="0">
      <text>
        <r>
          <rPr>
            <sz val="10"/>
            <rFont val="Arial"/>
            <family val="2"/>
          </rPr>
          <t xml:space="preserve">Where brands ship: the receiving address (founder, courier) or 'direct to offices' (direct-ship).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F1" authorId="0">
      <text>
        <r>
          <rPr>
            <sz val="10"/>
            <rFont val="Arial"/>
            <family val="2"/>
          </rPr>
          <t xml:space="preserve">Courier or van booked for this drop (courier model): name and booking reference.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Briefed backup who can run the route from the route sheet and the kit.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Hard ship-by and cancel-by (T-10).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Earlier ship date asked of brands when T-10 to T-5 crosses the December blackout (CONTRACTS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Gate 2: units placed within one business day over units delivered, all brands on the drop (80%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AM1" authorId="0">
      <text>
        <r>
          <rPr>
            <sz val="10"/>
            <rFont val="Arial"/>
            <family val="2"/>
          </rPr>
          <t xml:space="preserve">Gate 2: the fewest responses at any office for any brand on the drop (5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Gate 2: reports delivered after T+7, or still missing after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Gate 2: brands that said yes on the debrief call (1 to pass).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CMP-###. One row per brand per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E1" authorId="0">
      <text>
        <r>
          <rPr>
            <sz val="10"/>
            <rFont val="Arial"/>
            <family val="2"/>
          </rPr>
          <t xml:space="preserve">Y for a founding brand's second or third campaign at $120 per office.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F1" authorId="0">
      <text>
        <r>
          <rPr>
            <sz val="10"/>
            <rFont val="Arial"/>
            <family val="2"/>
          </rPr>
          <t xml:space="preserve">Offices in the agreement (5 founding, 10 standard, plus extra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G1" authorId="0">
      <text>
        <r>
          <rPr>
            <sz val="10"/>
            <rFont val="Arial"/>
            <family val="2"/>
          </rPr>
          <t xml:space="preserve">Only if the signed price differs from price_expected. Leave empty otherwise.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J1" authorId="0">
      <text>
        <r>
          <rPr>
            <sz val="10"/>
            <rFont val="Arial"/>
            <family val="2"/>
          </rPr>
          <t xml:space="preserve">As on the package, with pack size.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K1" authorId="0">
      <text>
        <r>
          <rPr>
            <sz val="10"/>
            <rFont val="Arial"/>
            <family val="2"/>
          </rPr>
          <t xml:space="preserve">Units in one of the brand's shipping cartons (for example 24 cans). Empty = each office's units fit one labeled case.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L1" authorId="0">
      <text>
        <r>
          <rPr>
            <sz val="10"/>
            <rFont val="Arial"/>
            <family val="2"/>
          </rPr>
          <t xml:space="preserve">The brand's two sentences, no claims (desk-drop-identity/templates/tent-card/FIELDS.md).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N1" authorId="0">
      <text>
        <r>
          <rPr>
            <sz val="10"/>
            <rFont val="Arial"/>
            <family val="2"/>
          </rPr>
          <t xml:space="preserve">Word for word from the package. Checked against the package at receiving.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U1" authorId="0">
      <text>
        <r>
          <rPr>
            <sz val="10"/>
            <rFont val="Arial"/>
            <family val="2"/>
          </rPr>
          <t xml:space="preserve">'Retailer Name, 123 Street Name'. Only stores with evidence.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W1" authorId="0">
      <text>
        <r>
          <rPr>
            <sz val="10"/>
            <rFont val="Arial"/>
            <family val="2"/>
          </rPr>
          <t xml:space="preserve">Short form without https://, for example example.com.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Z1" authorId="0">
      <text>
        <r>
          <rPr>
            <sz val="10"/>
            <rFont val="Arial"/>
            <family val="2"/>
          </rPr>
          <t xml:space="preserve">Brand agreement Part 1. Y = a newsletter sign-up form is made for this campaign.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F1" authorId="0">
      <text>
        <r>
          <rPr>
            <sz val="10"/>
            <rFont val="Arial"/>
            <family val="2"/>
          </rPr>
          <t xml:space="preserve">Card text sent to the brand before printing (brand agreement section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G1" authorId="0">
      <text>
        <r>
          <rPr>
            <sz val="10"/>
            <rFont val="Arial"/>
            <family val="2"/>
          </rPr>
          <t xml:space="preserve">The day you sent the ship-date email (template 02), or its latest revision.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H1" authorId="0">
      <text>
        <r>
          <rPr>
            <sz val="10"/>
            <rFont val="Arial"/>
            <family val="2"/>
          </rPr>
          <t xml:space="preserve">units_to_ship as written in that email. If the route changes before the product arrives, the checks ask for a revised email.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J1" authorId="0">
      <text>
        <r>
          <rPr>
            <sz val="10"/>
            <rFont val="Arial"/>
            <family val="2"/>
          </rPr>
          <t xml:space="preserve">The pre-filled link with the literal text CARDCODE typed into the Card code field (forms/survey-form.md, step 9).</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24</xdr:rowOff>
              </xdr:to>
            </anchor>
          </commentPr>
        </mc:Choice>
        <mc:Fallback/>
      </mc:AlternateContent>
    </comment>
    <comment ref="AL1" authorId="0">
      <text>
        <r>
          <rPr>
            <sz val="10"/>
            <rFont val="Arial"/>
            <family val="2"/>
          </rPr>
          <t xml:space="preserve">Word for word from the response tab. Replace a name with [name removed]; mark a cut with [...].</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9</xdr:rowOff>
              </xdr:to>
            </anchor>
          </commentPr>
        </mc:Choice>
        <mc:Fallback/>
      </mc:AlternateContent>
    </comment>
    <comment ref="AO1" authorId="0">
      <text>
        <r>
          <rPr>
            <sz val="10"/>
            <rFont val="Arial"/>
            <family val="2"/>
          </rPr>
          <t xml:space="preserve">Three lines, one per bullet (Alt+Enter between lines).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Q1" authorId="0">
      <text>
        <r>
          <rPr>
            <sz val="10"/>
            <rFont val="Arial"/>
            <family val="2"/>
          </rPr>
          <t xml:space="preserve">Only store-level sales the brand shares, with its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Y1" authorId="0">
      <text>
        <r>
          <rPr>
            <sz val="10"/>
            <rFont val="Arial"/>
            <family val="2"/>
          </rPr>
          <t xml:space="preserve">The one day the consented list went to the brand (file 13, D7).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AZ1" authorId="0">
      <text>
        <r>
          <rPr>
            <sz val="10"/>
            <rFont val="Arial"/>
            <family val="2"/>
          </rPr>
          <t xml:space="preserve">How many addresses. Never the addresses themselves.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B1" authorId="0">
      <text>
        <r>
          <rPr>
            <sz val="10"/>
            <rFont val="Arial"/>
            <family val="2"/>
          </rPr>
          <t xml:space="preserve">Form responses, the form and the sent email deleted (D8).</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B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C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 ref="D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2</xdr:row>
                <xdr:rowOff>5</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BR-###, the same ID E uses (paid_brands.csv) and H keys renewals on. One ID per brand for life.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B1" authorId="0">
      <text>
        <r>
          <rPr>
            <sz val="10"/>
            <rFont val="Arial"/>
            <family val="2"/>
          </rPr>
          <t xml:space="preserve">Copy the brand's submitted_at from brand_intake or brand_intake_founder. Everything grey fills from that row.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19</xdr:rowOff>
              </xdr:to>
            </anchor>
          </commentPr>
        </mc:Choice>
        <mc:Fallback/>
      </mc:AlternateContent>
    </comment>
    <comment ref="C1" authorId="0">
      <text>
        <r>
          <rPr>
            <sz val="10"/>
            <rFont val="Arial"/>
            <family val="2"/>
          </rPr>
          <t xml:space="preserve">From the signed agreement (Part 1). Printed on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E1" authorId="0">
      <text>
        <r>
          <rPr>
            <sz val="10"/>
            <rFont val="Arial"/>
            <family val="2"/>
          </rPr>
          <t xml:space="preserve">Business email for invoices.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F1" authorId="0">
      <text>
        <r>
          <rPr>
            <sz val="10"/>
            <rFont val="Arial"/>
            <family val="2"/>
          </rPr>
          <t xml:space="preserve">Check 3 evidence (CONTRACTS section 4). seen_on_shelf only after you saw it yourself.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4</xdr:rowOff>
              </xdr:to>
            </anchor>
          </commentPr>
        </mc:Choice>
        <mc:Fallback/>
      </mc:AlternateContent>
    </comment>
    <comment ref="G1" authorId="0">
      <text>
        <r>
          <rPr>
            <sz val="10"/>
            <rFont val="Arial"/>
            <family val="2"/>
          </rPr>
          <t xml:space="preserve">Legal pack file 11 five-minute check passed for the current certificate.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F1" authorId="0">
      <text>
        <r>
          <rPr>
            <sz val="10"/>
            <rFont val="Arial"/>
            <family val="2"/>
          </rPr>
          <t xml:space="preserve">Of the seven checks, how many are a plain yes (q7 counts when written).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I1" authorId="0">
      <text>
        <r>
          <rPr>
            <sz val="10"/>
            <rFont val="Arial"/>
            <family val="2"/>
          </rPr>
          <t xml:space="preserve">1, 2, 3 = the order founding brands first paid. The founding tier closes after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J1" authorId="0">
      <text>
        <r>
          <rPr>
            <sz val="10"/>
            <rFont val="Arial"/>
            <family val="2"/>
          </rPr>
          <t xml:space="preserve">E's paid_brands.csv (in_paid_brands) against the invoices tab: payment 1 = the pre-ship payment, payment 2 = the standard balance, on the campaign E's row names. Empty = they agree, or E has no row for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8</xdr:row>
                <xdr:rowOff>14</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O-###, assigned at signing (E's signed_offices.csv). Everything grey fills from in_signed_offices.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1" authorId="0">
      <text>
        <r>
          <rPr>
            <sz val="10"/>
            <rFont val="Arial"/>
            <family val="2"/>
          </rPr>
          <t xml:space="preserve">B-B-### from the cluster map (cluster-1-flatiron/buildings.csv), if known.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From python3 _shared/geocode.py "&lt;address&gt;" (run from desk-drop/).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Only if E did not send industry.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The pantry owner's business phone, from the agreement's top table, if E did not send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G1" authorId="0">
      <text>
        <r>
          <rPr>
            <sz val="10"/>
            <rFont val="Arial"/>
            <family val="2"/>
          </rPr>
          <t xml:space="preserve">Y only if the owner agreed the front desk may take the case when they are out. Otherwise: no unattended food, come back next morning.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6</xdr:row>
                <xdr:rowOff>9</xdr:rowOff>
              </xdr:to>
            </anchor>
          </commentPr>
        </mc:Choice>
        <mc:Fallback/>
      </mc:AlternateContent>
    </comment>
    <comment ref="H1" authorId="0">
      <text>
        <r>
          <rPr>
            <sz val="10"/>
            <rFont val="Arial"/>
            <family val="2"/>
          </rPr>
          <t xml:space="preserve">Floor, kitchen, which door, who to ask for. What a stranger needs at the door.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Legal pack file 12: start at least 10 business days before the first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Y once you have confirmed an office the checks question: a coworking operator that controls the pantry and joins as one office, or an office just outside the cluster boundary that is still walkable from the route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9</xdr:row>
                <xdr:rowOff>9</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Phone for the route sheet: the pantry owner's, or the contact's when they are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Stops where this office declined every brand at the door. Refusing one brand and taking another does not count (review round 2, R2-05).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AP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From E's signed_offices.csv (B's companies.csv carries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The day you emailed the office about this brand.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Explicit yes needed for an office's first three drops. After that the brand goes unless they say no (notice at least five business days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G1" authorId="0">
      <text>
        <r>
          <rPr>
            <sz val="10"/>
            <rFont val="Arial"/>
            <family val="2"/>
          </rPr>
          <t xml:space="preserve">Only to change the headcount-based 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12</xdr:row>
                <xdr:rowOff>8</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Y = this office's survey numbers come from the survey_frozen tab (the raw answers were deleted after 12 months).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19</xdr:rowOff>
              </xdr:to>
            </anchor>
          </commentPr>
        </mc:Choice>
        <mc:Fallback/>
      </mc:AlternateContent>
    </comment>
    <comment ref="BD1" authorId="0">
      <text>
        <r>
          <rPr>
            <sz val="10"/>
            <rFont val="Arial"/>
            <family val="2"/>
          </rPr>
          <t xml:space="preserve">Direct-ship only: Y = the office's front desk will not hold food (receiving not walk-up, front_desk_fallback_ok not Y), so its carton ships to you with the reserve and you deliver it on T (review round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7</xdr:row>
                <xdr:rowOff>19</xdr:rowOff>
              </xdr:to>
            </anchor>
          </commentPr>
        </mc:Choice>
        <mc:Fallback/>
      </mc:AlternateContent>
    </comment>
  </commentList>
</comments>
</file>

<file path=xl/comments1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1 = first stop. Walk-up lobbies first, then by receiving window.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T-3: window and pre-written Slack post sent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T-1: confirmation text to the owner.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Direct-ship only: tent cards and Slack post mailed ahead.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Direct-ship only: each brand's tracking number for this office, separated by semicolons.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N1" authorId="0">
      <text>
        <r>
          <rPr>
            <sz val="10"/>
            <rFont val="Arial"/>
            <family val="2"/>
          </rPr>
          <t xml:space="preserve">The office's ten-minute debrief after this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The one-question satisfaction at the office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All brands together. Per brand: the approvals tab (units_allocated) or the kit checklist.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From offices: where to go in the building (printed on the route sheet; the no-code fallback prints it too).</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AF1" authorId="0">
      <text>
        <r>
          <rPr>
            <sz val="10"/>
            <rFont val="Arial"/>
            <family val="2"/>
          </rPr>
          <t xml:space="preserve">Y = the outcome is declined and no brand was delivered here: the office turned every brand away. Counts toward 'declined twice' on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Blank for stock with you; the office for delivered, topped_up, collected.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F1" authorId="0">
      <text>
        <r>
          <rPr>
            <sz val="10"/>
            <rFont val="Arial"/>
            <family val="2"/>
          </rPr>
          <t xml:space="preserve">Only for returned_to_brand, disposed and correction: which pile it came 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J1" authorId="0">
      <text>
        <r>
          <rPr>
            <sz val="10"/>
            <rFont val="Arial"/>
            <family val="2"/>
          </rPr>
          <t xml:space="preserve">Who counted. packing_list = nobody counted: it shows in the report as unverified.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4</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The day the photo was taken (from the photo, or the message it came 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Saved as &lt;campaign_id&gt;_&lt;office_id&gt;_&lt;placement|later&gt;_&lt;YYYY-MM-DD&gt;.jpg in photos/&lt;campaign_id&gt;/.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5</xdr:row>
                <xdr:rowOff>14</xdr:rowOff>
              </xdr:to>
            </anchor>
          </commentPr>
        </mc:Choice>
        <mc:Fallback/>
      </mc:AlternateContent>
    </comment>
    <comment ref="K1" authorId="0">
      <text>
        <r>
          <rPr>
            <sz val="10"/>
            <rFont val="Arial"/>
            <family val="2"/>
          </rPr>
          <t xml:space="preserve">Y only if no person, face, screen or whiteboard can be made out. N = never 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4</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D1" authorId="0">
      <text>
        <r>
          <rPr>
            <sz val="10"/>
            <rFont val="Arial"/>
            <family val="2"/>
          </rPr>
          <t xml:space="preserve">baseline = after your own test scan at kitting; close = end of day 5 (T+4).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E1" authorId="0">
      <text>
        <r>
          <rPr>
            <sz val="10"/>
            <rFont val="Arial"/>
            <family val="2"/>
          </rPr>
          <t xml:space="preserve">The link tool's total for this link, read from its dashboard. Totals only, never per-click logs.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60</xdr:colOff>
                <xdr:row>4</xdr:row>
                <xdr:rowOff>1</xdr:rowOff>
              </xdr:to>
            </anchor>
          </commentPr>
        </mc:Choice>
        <mc:Fallback/>
      </mc:AlternateContent>
    </comment>
  </commentList>
</comments>
</file>

<file path=xl/comments1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1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H1" authorId="0">
      <text>
        <r>
          <rPr>
            <sz val="10"/>
            <rFont val="Arial"/>
            <family val="2"/>
          </rPr>
          <t xml:space="preserve">Facts and times. No employee names, and no one's health details (office staff included).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B1" authorId="0">
      <text>
        <r>
          <rPr>
            <sz val="10"/>
            <rFont val="Arial"/>
            <family val="2"/>
          </rPr>
          <t xml:space="preserve">Blank for time not tied to a drop.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Optional. Fill it for brand-specific work (selling, report, debrief).</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Decimal hours: 1.5, not 1:30.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C1" authorId="0">
      <text>
        <r>
          <rPr>
            <sz val="10"/>
            <rFont val="Arial"/>
            <family val="2"/>
          </rPr>
          <t xml:space="preserve">Blank = shared by the drop's brands (split by offices).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INV-###, in order, never reused.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Before tax. A credit note is negative.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The day the money is in the business bank account. This releases the ship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0 for a bank transfer.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2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G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H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I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J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K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L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M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N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O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P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Q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R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S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T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U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V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W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X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Y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AZ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A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B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C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D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E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 ref="BF1" authorId="0">
      <text>
        <r>
          <rPr>
            <sz val="10"/>
            <rFont val="Arial"/>
            <family val="2"/>
          </rPr>
          <t xml:space="preserve">Pasted or written by a form or script.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comments3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P1" authorId="0">
      <text>
        <r>
          <rPr>
            <sz val="10"/>
            <rFont val="Arial"/>
            <family val="2"/>
          </rPr>
          <t xml:space="preserve">Formula. Never type over it.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2</xdr:col>
                <xdr:colOff>16</xdr:colOff>
                <xdr:row>4</xdr:row>
                <xdr:rowOff>1</xdr:rowOff>
              </xdr:to>
            </anchor>
          </commentPr>
        </mc:Choice>
        <mc:Fallback/>
      </mc:AlternateContent>
    </comment>
  </commentList>
</comments>
</file>

<file path=xl/sharedStrings.xml><?xml version="1.0" encoding="utf-8"?>
<sst xmlns="http://schemas.openxmlformats.org/spreadsheetml/2006/main" count="8176" uniqueCount="1761">
  <si>
    <t xml:space="preserve">Every number in a brand report comes from a row in this file or a photo. Type only in white cells. Grey cells are formulas: never type over them. Cream tabs are written by forms, scripts or a pasted file.</t>
  </si>
  <si>
    <t xml:space="preserve">Rename: change config!B2 (company_name). Nothing else in this file holds the name. The printed pieces take it from desk-drop-identity/brand.json: change both the same day; every tool refuses while they differ (README, Rename).</t>
  </si>
  <si>
    <t xml:space="preserve">Tabs in the order a campaign touches them</t>
  </si>
  <si>
    <t xml:space="preserve">office_intake, brand_intake: website form rows (CONTRACTS 6.3), written by the website's script when it is bound to this file.</t>
  </si>
  <si>
    <t xml:space="preserve">office_form, brand_form: the founder-side Google Forms' response tabs; office_intake_founder, brand_intake_founder turn them into the same 6.3 columns.</t>
  </si>
  <si>
    <t xml:space="preserve">in_signed_offices: paste E's signed_offices.csv. offices: type the office_id; the rest fills by header name.</t>
  </si>
  <si>
    <t xml:space="preserve">brands: type brand_id and intake_key (the brand's submitted_at); the seven checks fill in. in_paid_brands: paste E's paid_brands.csv to check it.</t>
  </si>
  <si>
    <t xml:space="preserve">drops: one row per route. The date is refused unless it is a Tuesday or Wednesday business day with a window clear of blackouts.</t>
  </si>
  <si>
    <t xml:space="preserve">campaigns: one row per brand per drop: terms, card text, survey links, report inputs, and every ladder number.</t>
  </si>
  <si>
    <t xml:space="preserve">invoices: issue, then log paid_date. The ship date is released only when the pre-ship payment is in, the agreement is signed, the certificate checked and the offices approved.</t>
  </si>
  <si>
    <t xml:space="preserve">approvals: one row per office per campaign: the office's yes, its units, and its whole ladder (formulas).</t>
  </si>
  <si>
    <t xml:space="preserve">stops: one row per office per drop: the route.</t>
  </si>
  <si>
    <t xml:space="preserve">links: made by formulas. Two short links per office per campaign: qr (on the card) and post (the Slack or email post).</t>
  </si>
  <si>
    <t xml:space="preserve">inventory: every unit that moves. counts: shelf counts. photos: one row per photo.</t>
  </si>
  <si>
    <t xml:space="preserve">&lt;campaign_id&gt; tabs: each campaign's survey form writes its own tab, named with the campaign_id (forms/survey-form.md).</t>
  </si>
  <si>
    <t xml:space="preserve">scans: link totals read from the short-link tool. redemptions: what the brand reports. issues: every deviation.</t>
  </si>
  <si>
    <t xml:space="preserve">hours, costs: the founder hours log and the direct costs. Exports for the financial model come from tools/export_actuals.py.</t>
  </si>
  <si>
    <t xml:space="preserve">survey_frozen: a campaign's survey totals, imported from tools/freeze_survey.py before its raw answers are deleted at 12 months, so its numbers stay.</t>
  </si>
  <si>
    <t xml:space="preserve">dashboard, survey_dashboard, report: read only.</t>
  </si>
  <si>
    <t xml:space="preserve">Rules this file keeps</t>
  </si>
  <si>
    <t xml:space="preserve">The ladder rungs stay in separate columns: delivered, placed, depleted, responded, scanned, purchased. Incremental is not measured. Nothing adds them up.</t>
  </si>
  <si>
    <t xml:space="preserve">Placed means visible in a usable placement photo with the card. Placed within one business day means that photo is dated on or before T+1.</t>
  </si>
  <si>
    <t xml:space="preserve">Survey counts only include answers inside the window, T to the end of T+4, whose card code matches an office on the drop (approved and not turned away at the door). Answers from any other office are shown apart, never counted.</t>
  </si>
  <si>
    <t xml:space="preserve">No employee data. No email address ever enters this file.</t>
  </si>
  <si>
    <t xml:space="preserve">SAMPLE: any ID or text starting with SAMPLE is test data; the dashboard and report show a SAMPLE banner.</t>
  </si>
  <si>
    <t xml:space="preserve">Google Sheets: File &gt; Settings &gt; Locale United States, Time zone America/New_York.</t>
  </si>
  <si>
    <t xml:space="preserve">Today</t>
  </si>
  <si>
    <t xml:space="preserve">Checks to fix (0 everywhere = nothing to fix; lines starting info: are facts, not counted)</t>
  </si>
  <si>
    <t xml:space="preserve">check</t>
  </si>
  <si>
    <t xml:space="preserve">count</t>
  </si>
  <si>
    <t xml:space="preserve">where to look</t>
  </si>
  <si>
    <t xml:space="preserve">Drops with a refused date</t>
  </si>
  <si>
    <t xml:space="preserve">drops, date_check</t>
  </si>
  <si>
    <t xml:space="preserve">Campaigns with checks to read</t>
  </si>
  <si>
    <t xml:space="preserve">campaigns, checks</t>
  </si>
  <si>
    <t xml:space="preserve">Campaigns on ship HOLD</t>
  </si>
  <si>
    <t xml:space="preserve">campaigns, ship_release</t>
  </si>
  <si>
    <t xml:space="preserve">Office rows with checks</t>
  </si>
  <si>
    <t xml:space="preserve">approvals, checks</t>
  </si>
  <si>
    <t xml:space="preserve">Stops with checks</t>
  </si>
  <si>
    <t xml:space="preserve">stops, checks</t>
  </si>
  <si>
    <t xml:space="preserve">Inventory rows with checks</t>
  </si>
  <si>
    <t xml:space="preserve">inventory, checks</t>
  </si>
  <si>
    <t xml:space="preserve">Count rows with checks</t>
  </si>
  <si>
    <t xml:space="preserve">counts, checks</t>
  </si>
  <si>
    <t xml:space="preserve">Photo rows with checks</t>
  </si>
  <si>
    <t xml:space="preserve">photos, checks</t>
  </si>
  <si>
    <t xml:space="preserve">Link rows with checks</t>
  </si>
  <si>
    <t xml:space="preserve">links, checks</t>
  </si>
  <si>
    <t xml:space="preserve">Scan readings with checks</t>
  </si>
  <si>
    <t xml:space="preserve">scans, checks</t>
  </si>
  <si>
    <t xml:space="preserve">Issues open</t>
  </si>
  <si>
    <t xml:space="preserve">issues</t>
  </si>
  <si>
    <t xml:space="preserve">Issue rows with checks</t>
  </si>
  <si>
    <t xml:space="preserve">issues, checks</t>
  </si>
  <si>
    <t xml:space="preserve">Hours rows with checks</t>
  </si>
  <si>
    <t xml:space="preserve">hours, checks</t>
  </si>
  <si>
    <t xml:space="preserve">Cost rows with checks</t>
  </si>
  <si>
    <t xml:space="preserve">costs, checks</t>
  </si>
  <si>
    <t xml:space="preserve">Invoices overdue</t>
  </si>
  <si>
    <t xml:space="preserve">invoices, status</t>
  </si>
  <si>
    <t xml:space="preserve">Invoice rows with checks</t>
  </si>
  <si>
    <t xml:space="preserve">invoices, checks</t>
  </si>
  <si>
    <t xml:space="preserve">Brands in E's paid_brands.csv not on brands</t>
  </si>
  <si>
    <t xml:space="preserve">in_paid_brands</t>
  </si>
  <si>
    <t xml:space="preserve">Offices in E's signed_offices.csv not on offices</t>
  </si>
  <si>
    <t xml:space="preserve">in_signed_offices</t>
  </si>
  <si>
    <t xml:space="preserve">Offices that left: contact details past their keep date</t>
  </si>
  <si>
    <t xml:space="preserve">offices: clear names, emails, phones in in_signed_offices, office_intake, office_form</t>
  </si>
  <si>
    <t xml:space="preserve">Brands whose payments in E's paid_brands.csv differ from the invoices tab</t>
  </si>
  <si>
    <t xml:space="preserve">brands, e_payment_check (E's file feeds the financial model's Pipeline; the invoices tab releases the ship date)</t>
  </si>
  <si>
    <t xml:space="preserve">Tabs over 90% full (rows below the last formula row are not counted)</t>
  </si>
  <si>
    <t xml:space="preserve">runbook, 'Speed and size': rebuild with tools/build_tracker.py --size full before a tab runs out</t>
  </si>
  <si>
    <t xml:space="preserve">Offices with roster checks (declined twice, coworking, outside the boundary)</t>
  </si>
  <si>
    <t xml:space="preserve">offices, checks (review round 2)</t>
  </si>
  <si>
    <t xml:space="preserve">Drops</t>
  </si>
  <si>
    <t xml:space="preserve">drop</t>
  </si>
  <si>
    <t xml:space="preserve">date</t>
  </si>
  <si>
    <t xml:space="preserve">model</t>
  </si>
  <si>
    <t xml:space="preserve">status</t>
  </si>
  <si>
    <t xml:space="preserve">date check</t>
  </si>
  <si>
    <t xml:space="preserve">next step</t>
  </si>
  <si>
    <t xml:space="preserve">on</t>
  </si>
  <si>
    <t xml:space="preserve">stops</t>
  </si>
  <si>
    <t xml:space="preserve">brands</t>
  </si>
  <si>
    <t xml:space="preserve">units</t>
  </si>
  <si>
    <t xml:space="preserve">revenue</t>
  </si>
  <si>
    <t xml:space="preserve">direct cost</t>
  </si>
  <si>
    <t xml:space="preserve">cost per stop</t>
  </si>
  <si>
    <t xml:space="preserve">founder hours</t>
  </si>
  <si>
    <t xml:space="preserve">contribution before overhead</t>
  </si>
  <si>
    <t xml:space="preserve">per founder hour, before overhead</t>
  </si>
  <si>
    <t xml:space="preserve">G2 placed in 1 bd</t>
  </si>
  <si>
    <t xml:space="preserve">G2 fewest responses</t>
  </si>
  <si>
    <t xml:space="preserve">G2 reports late</t>
  </si>
  <si>
    <t xml:space="preserve">G2 buy again</t>
  </si>
  <si>
    <t xml:space="preserve">Contribution here = revenue (net of credit notes) - direct costs (kit, transport, other) - card fees, before overhead. The financial model also subtracts its planned overhead allocation (software, insurance, storage), so its figure per drop is lower by that amount.</t>
  </si>
  <si>
    <t xml:space="preserve">Campaigns (every rung kept separate)</t>
  </si>
  <si>
    <t xml:space="preserve">campaign</t>
  </si>
  <si>
    <t xml:space="preserve">brand</t>
  </si>
  <si>
    <t xml:space="preserve">tier</t>
  </si>
  <si>
    <t xml:space="preserve">ship release</t>
  </si>
  <si>
    <t xml:space="preserve">offices approved</t>
  </si>
  <si>
    <t xml:space="preserve">on the drop</t>
  </si>
  <si>
    <t xml:space="preserve">contracted</t>
  </si>
  <si>
    <t xml:space="preserve">delivered</t>
  </si>
  <si>
    <t xml:space="preserve">placed within 1 bd</t>
  </si>
  <si>
    <t xml:space="preserve">share</t>
  </si>
  <si>
    <t xml:space="preserve">topped up</t>
  </si>
  <si>
    <t xml:space="preserve">depleted by day 5</t>
  </si>
  <si>
    <t xml:space="preserve">responded</t>
  </si>
  <si>
    <t xml:space="preserve">fewest at one office</t>
  </si>
  <si>
    <t xml:space="preserve">said they tried</t>
  </si>
  <si>
    <t xml:space="preserve">avg rating</t>
  </si>
  <si>
    <t xml:space="preserve">QR scans</t>
  </si>
  <si>
    <t xml:space="preserve">code redemptions</t>
  </si>
  <si>
    <t xml:space="preserve">G2 placed</t>
  </si>
  <si>
    <t xml:space="preserve">G2 responses</t>
  </si>
  <si>
    <t xml:space="preserve">G2 report</t>
  </si>
  <si>
    <t xml:space="preserve">buy again</t>
  </si>
  <si>
    <t xml:space="preserve">checks</t>
  </si>
  <si>
    <t xml:space="preserve">Incremental purchases are not measured. No column here adds the rungs together.</t>
  </si>
  <si>
    <t xml:space="preserve">Founder hours by activity</t>
  </si>
  <si>
    <t xml:space="preserve">activity</t>
  </si>
  <si>
    <t xml:space="preserve">all hours</t>
  </si>
  <si>
    <t xml:space="preserve">not tied to a drop</t>
  </si>
  <si>
    <t xml:space="preserve">brand_sales</t>
  </si>
  <si>
    <t xml:space="preserve">office_coordination</t>
  </si>
  <si>
    <t xml:space="preserve">receiving_kitting</t>
  </si>
  <si>
    <t xml:space="preserve">drop_day</t>
  </si>
  <si>
    <t xml:space="preserve">checks_pickup</t>
  </si>
  <si>
    <t xml:space="preserve">reporting_debriefs</t>
  </si>
  <si>
    <t xml:space="preserve">admin_invoicing</t>
  </si>
  <si>
    <t xml:space="preserve">total</t>
  </si>
  <si>
    <t xml:space="preserve">Survey responses</t>
  </si>
  <si>
    <t xml:space="preserve">Campaign</t>
  </si>
  <si>
    <t xml:space="preserve">Type a campaign_id over B2 to switch. Counts are live from the campaign's form tab, inside the window T to T+4 only.</t>
  </si>
  <si>
    <t xml:space="preserve">office</t>
  </si>
  <si>
    <t xml:space="preserve">company</t>
  </si>
  <si>
    <t xml:space="preserve">responses</t>
  </si>
  <si>
    <t xml:space="preserve">didn't see it</t>
  </si>
  <si>
    <t xml:space="preserve">not for me</t>
  </si>
  <si>
    <t xml:space="preserve">gone when they looked</t>
  </si>
  <si>
    <t xml:space="preserve">ratings</t>
  </si>
  <si>
    <t xml:space="preserve">would buy: yes</t>
  </si>
  <si>
    <t xml:space="preserve">maybe</t>
  </si>
  <si>
    <t xml:space="preserve">no</t>
  </si>
  <si>
    <t xml:space="preserve">comments</t>
  </si>
  <si>
    <t xml:space="preserve">Not counted</t>
  </si>
  <si>
    <t xml:space="preserve">outside the window (before T or after T+4)</t>
  </si>
  <si>
    <t xml:space="preserve">card code matches no office on this campaign</t>
  </si>
  <si>
    <t xml:space="preserve">from an office not on the drop (it said no, or turned the brand away at the door)</t>
  </si>
  <si>
    <t xml:space="preserve">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</si>
  <si>
    <t xml:space="preserve">Type a campaign_id over B2. Everything below is formulas over the logged rows: nothing is retyped. The PDF comes from tools/make_report.py.</t>
  </si>
  <si>
    <t xml:space="preserve">Delivered</t>
  </si>
  <si>
    <t xml:space="preserve">Placed</t>
  </si>
  <si>
    <t xml:space="preserve">Depleted</t>
  </si>
  <si>
    <t xml:space="preserve">Responded</t>
  </si>
  <si>
    <t xml:space="preserve">Scanned</t>
  </si>
  <si>
    <t xml:space="preserve">Purchased</t>
  </si>
  <si>
    <t xml:space="preserve">Incremental</t>
  </si>
  <si>
    <t xml:space="preserve">Office</t>
  </si>
  <si>
    <t xml:space="preserve">Industry</t>
  </si>
  <si>
    <t xml:space="preserve">Tuesday headcount</t>
  </si>
  <si>
    <t xml:space="preserve">Units delivered</t>
  </si>
  <si>
    <t xml:space="preserve">Units placed</t>
  </si>
  <si>
    <t xml:space="preserve">Topped up</t>
  </si>
  <si>
    <t xml:space="preserve">Gone by day 5</t>
  </si>
  <si>
    <t xml:space="preserve">Responses</t>
  </si>
  <si>
    <t xml:space="preserve">Placement photo</t>
  </si>
  <si>
    <t xml:space="preserve">Later photo</t>
  </si>
  <si>
    <t xml:space="preserve">Total</t>
  </si>
  <si>
    <t xml:space="preserve">What we learned</t>
  </si>
  <si>
    <t xml:space="preserve">Recommendation</t>
  </si>
  <si>
    <t xml:space="preserve">Limitations</t>
  </si>
  <si>
    <t xml:space="preserve">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</si>
  <si>
    <t xml:space="preserve">key</t>
  </si>
  <si>
    <t xml:space="preserve">value</t>
  </si>
  <si>
    <t xml:space="preserve">note</t>
  </si>
  <si>
    <t xml:space="preserve">company_name</t>
  </si>
  <si>
    <t xml:space="preserve">Desk Drop</t>
  </si>
  <si>
    <t xml:space="preserve">THE ONE PLACE the working name lives. Everything that prints the name reads this cell. Rename = change this cell (and BRAND_NAME in desk-drop-identity/brand.json for the printed pieces).</t>
  </si>
  <si>
    <t xml:space="preserve">tagline</t>
  </si>
  <si>
    <t xml:space="preserve">Emerging brands. Delivered to your workday.</t>
  </si>
  <si>
    <t xml:space="preserve">TAGLINE, working, may change.</t>
  </si>
  <si>
    <t xml:space="preserve">founder_name</t>
  </si>
  <si>
    <t xml:space="preserve">[FOUNDER NAME]</t>
  </si>
  <si>
    <t xml:space="preserve">founder_phone</t>
  </si>
  <si>
    <t xml:space="preserve">[PHONE]</t>
  </si>
  <si>
    <t xml:space="preserve">Printed on case labels, route sheets and messages.</t>
  </si>
  <si>
    <t xml:space="preserve">founder_email</t>
  </si>
  <si>
    <t xml:space="preserve">[EMAIL]</t>
  </si>
  <si>
    <t xml:space="preserve">postal_address</t>
  </si>
  <si>
    <t xml:space="preserve">[POSTAL ADDRESS]</t>
  </si>
  <si>
    <t xml:space="preserve">Mailing address (CAN-SPAM footer, invoices).</t>
  </si>
  <si>
    <t xml:space="preserve">receiving_address</t>
  </si>
  <si>
    <t xml:space="preserve">[RECEIVING ADDRESS]</t>
  </si>
  <si>
    <t xml:space="preserve">Where brands ship cases (founder and courier models). A street address that takes parcels; a PO box cannot receive carrier freight.</t>
  </si>
  <si>
    <t xml:space="preserve">short_link_domain</t>
  </si>
  <si>
    <t xml:space="preserve">go.example.com</t>
  </si>
  <si>
    <t xml:space="preserve">The short-link domain (links/QR-AND-LINKS.md). Never put the company name in a link's back-half.</t>
  </si>
  <si>
    <t xml:space="preserve">survey_privacy_url</t>
  </si>
  <si>
    <t xml:space="preserve">https://example.com/survey-privacy</t>
  </si>
  <si>
    <t xml:space="preserve">The full survey notice, hosted by the website (legal pack file 13, Part C).</t>
  </si>
  <si>
    <t xml:space="preserve">cluster_name</t>
  </si>
  <si>
    <t xml:space="preserve">Flatiron, NoMad and Union Square</t>
  </si>
  <si>
    <t xml:space="preserve">Printed in report headers.</t>
  </si>
  <si>
    <t xml:space="preserve">time_zone</t>
  </si>
  <si>
    <t xml:space="preserve">America/New_York</t>
  </si>
  <si>
    <t xml:space="preserve">Set the same in File &gt; Settings (Google Sheets) so form timestamps match.</t>
  </si>
  <si>
    <t xml:space="preserve">units_base</t>
  </si>
  <si>
    <t xml:space="preserve">Units per office = base + per_person x Tuesday headcount, rounded to 5, between min and max.</t>
  </si>
  <si>
    <t xml:space="preserve">units_per_person</t>
  </si>
  <si>
    <t xml:space="preserve">units_min</t>
  </si>
  <si>
    <t xml:space="preserve">Plan: floor 30.</t>
  </si>
  <si>
    <t xml:space="preserve">units_max</t>
  </si>
  <si>
    <t xml:space="preserve">Plan: ceiling 80.</t>
  </si>
  <si>
    <t xml:space="preserve">units_round</t>
  </si>
  <si>
    <t xml:space="preserve">reserve_share</t>
  </si>
  <si>
    <t xml:space="preserve">Brand ships 10% extra as reserve.</t>
  </si>
  <si>
    <t xml:space="preserve">min_shelf_life_days</t>
  </si>
  <si>
    <t xml:space="preserve">Days of shelf life left on the drop day (brand agreement section 2(b)).</t>
  </si>
  <si>
    <t xml:space="preserve">founding_price_usd</t>
  </si>
  <si>
    <t xml:space="preserve">Founding: 5 offices, first three brands only.</t>
  </si>
  <si>
    <t xml:space="preserve">founding_offices</t>
  </si>
  <si>
    <t xml:space="preserve">standard_price_usd</t>
  </si>
  <si>
    <t xml:space="preserve">Standard: 10 offices.</t>
  </si>
  <si>
    <t xml:space="preserve">standard_offices</t>
  </si>
  <si>
    <t xml:space="preserve">extra_office_usd</t>
  </si>
  <si>
    <t xml:space="preserve">Each office beyond the package.</t>
  </si>
  <si>
    <t xml:space="preserve">founding_lock_per_office_usd</t>
  </si>
  <si>
    <t xml:space="preserve">A founding brand's next two campaigns: 120 per office up to 10 offices, then 150.</t>
  </si>
  <si>
    <t xml:space="preserve">founding_lock_max_offices</t>
  </si>
  <si>
    <t xml:space="preserve">founding_due_bd</t>
  </si>
  <si>
    <t xml:space="preserve">Founding price due within five business days of the invoice, and before shipping.</t>
  </si>
  <si>
    <t xml:space="preserve">deposit_share</t>
  </si>
  <si>
    <t xml:space="preserve">Standard: 50% on signing, 50% at placement confirmation (T+1).</t>
  </si>
  <si>
    <t xml:space="preserve">approvals_explicit_drops</t>
  </si>
  <si>
    <t xml:space="preserve">An office's first three drops need its explicit yes; after that, opt-out with five business days' notice.</t>
  </si>
  <si>
    <t xml:space="preserve">min_responses_per_office</t>
  </si>
  <si>
    <t xml:space="preserve">Office commitment; Gate 2.</t>
  </si>
  <si>
    <t xml:space="preserve">gate2_placed_share</t>
  </si>
  <si>
    <t xml:space="preserve">Gate 2: 80% of units placed within one business day.</t>
  </si>
  <si>
    <t xml:space="preserve">newsletter_keep_days</t>
  </si>
  <si>
    <t xml:space="preserve">Consented emails: our copy deleted 30 days after passing on (file 13, D8).</t>
  </si>
  <si>
    <t xml:space="preserve">answers_keep_months</t>
  </si>
  <si>
    <t xml:space="preserve">Raw survey answers deleted 12 months after the campaign (file 13, D8).</t>
  </si>
  <si>
    <t xml:space="preserve">report_office_names</t>
  </si>
  <si>
    <t xml:space="preserve">letters</t>
  </si>
  <si>
    <t xml:space="preserve">letters = offices shown as A, B, C in brand reports; names_if_public = name only where public_naming_ok = Y.</t>
  </si>
  <si>
    <t xml:space="preserve">brand_form_version</t>
  </si>
  <si>
    <t xml:space="preserve">brand-gform-1.0</t>
  </si>
  <si>
    <t xml:space="preserve">Founder-side brand form version (1.x asks about 275 units and $600; 2.x about 550 and $1,500).</t>
  </si>
  <si>
    <t xml:space="preserve">office_form_version</t>
  </si>
  <si>
    <t xml:space="preserve">office-gform-1.0</t>
  </si>
  <si>
    <t xml:space="preserve">Founder-side office form version.</t>
  </si>
  <si>
    <t xml:space="preserve">today_override</t>
  </si>
  <si>
    <t xml:space="preserve">Leave empty. A date here replaces TODAY() everywhere (used by the dry runs).</t>
  </si>
  <si>
    <t xml:space="preserve">invoice_prefix</t>
  </si>
  <si>
    <t xml:space="preserve">INV-</t>
  </si>
  <si>
    <t xml:space="preserve">bank_details</t>
  </si>
  <si>
    <t xml:space="preserve">[BANK NAME] · Account name [ACCOUNT NAME] · Routing [ROUTING NUMBER] · Account [ACCOUNT NUMBER]</t>
  </si>
  <si>
    <t xml:space="preserve">Printed on invoices. Business account only (legal pack file 04).</t>
  </si>
  <si>
    <t xml:space="preserve">sales_tax_note</t>
  </si>
  <si>
    <t xml:space="preserve">Prices do not include sales tax. If any applies, it is shown above.</t>
  </si>
  <si>
    <t xml:space="preserve">Printed on invoices. Confirm with the accountant before the first invoice (legal pack file 09).</t>
  </si>
  <si>
    <t xml:space="preserve">office_summary_min_answers</t>
  </si>
  <si>
    <t xml:space="preserve">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</si>
  <si>
    <t xml:space="preserve">contacts_keep_days_after_leaving</t>
  </si>
  <si>
    <t xml:space="preserve">An office that left: clear its people's names, emails and phones (in_signed_offices, office_intake, office_form) this many days after left_date. Company, address and campaign counts stay.</t>
  </si>
  <si>
    <t xml:space="preserve">holiday</t>
  </si>
  <si>
    <t xml:space="preserve">name</t>
  </si>
  <si>
    <t xml:space="preserve">blackout_start</t>
  </si>
  <si>
    <t xml:space="preserve">blackout_end</t>
  </si>
  <si>
    <t xml:space="preserve">reason</t>
  </si>
  <si>
    <t xml:space="preserve">Source: CONTRACTS section 3 (derived, founder to confirm). US federal holidays by rule, observed dates; written by tools/opscal.py. Do not edit: rebuild with tools/build_tracker.py, or add a row by hand only to add a new year.</t>
  </si>
  <si>
    <t xml:space="preserve">New Year's Day</t>
  </si>
  <si>
    <t xml:space="preserve">week of 4 July (observed 2026-07-03)</t>
  </si>
  <si>
    <t xml:space="preserve">Martin Luther King Jr. Day</t>
  </si>
  <si>
    <t xml:space="preserve">last two weeks of August</t>
  </si>
  <si>
    <t xml:space="preserve">Washington's Birthday</t>
  </si>
  <si>
    <t xml:space="preserve">last two weeks of December</t>
  </si>
  <si>
    <t xml:space="preserve">Memorial Day</t>
  </si>
  <si>
    <t xml:space="preserve">week of 4 July (observed 2027-07-05)</t>
  </si>
  <si>
    <t xml:space="preserve">Juneteenth</t>
  </si>
  <si>
    <t xml:space="preserve">Independence Day (observed)</t>
  </si>
  <si>
    <t xml:space="preserve">Labor Day</t>
  </si>
  <si>
    <t xml:space="preserve">week of 4 July (observed 2028-07-04)</t>
  </si>
  <si>
    <t xml:space="preserve">Columbus Day</t>
  </si>
  <si>
    <t xml:space="preserve">Veterans Day</t>
  </si>
  <si>
    <t xml:space="preserve">Thanksgiving Day</t>
  </si>
  <si>
    <t xml:space="preserve">week of 4 July (observed 2029-07-04)</t>
  </si>
  <si>
    <t xml:space="preserve">Christmas Day</t>
  </si>
  <si>
    <t xml:space="preserve">week of 4 July (observed 2030-07-04)</t>
  </si>
  <si>
    <t xml:space="preserve">Juneteenth (observed)</t>
  </si>
  <si>
    <t xml:space="preserve">Christmas Day (observed)</t>
  </si>
  <si>
    <t xml:space="preserve">New Year's Day (observed)</t>
  </si>
  <si>
    <t xml:space="preserve">Independence Day</t>
  </si>
  <si>
    <t xml:space="preserve">Veterans Day (observed)</t>
  </si>
  <si>
    <t xml:space="preserve">drop_id</t>
  </si>
  <si>
    <t xml:space="preserve">drop_date</t>
  </si>
  <si>
    <t xml:space="preserve">delivery_model</t>
  </si>
  <si>
    <t xml:space="preserve">receiving_location</t>
  </si>
  <si>
    <t xml:space="preserve">courier_or_van</t>
  </si>
  <si>
    <t xml:space="preserve">backup_person</t>
  </si>
  <si>
    <t xml:space="preserve">notes</t>
  </si>
  <si>
    <t xml:space="preserve">date_check</t>
  </si>
  <si>
    <t xml:space="preserve">weekday</t>
  </si>
  <si>
    <t xml:space="preserve">t_minus_10</t>
  </si>
  <si>
    <t xml:space="preserve">ship_by_requested</t>
  </si>
  <si>
    <t xml:space="preserve">t_minus_5</t>
  </si>
  <si>
    <t xml:space="preserve">t_minus_3</t>
  </si>
  <si>
    <t xml:space="preserve">t_minus_1</t>
  </si>
  <si>
    <t xml:space="preserve">t_plus_1</t>
  </si>
  <si>
    <t xml:space="preserve">t_plus_2</t>
  </si>
  <si>
    <t xml:space="preserve">t_plus_4</t>
  </si>
  <si>
    <t xml:space="preserve">t_plus_5</t>
  </si>
  <si>
    <t xml:space="preserve">t_plus_7</t>
  </si>
  <si>
    <t xml:space="preserve">t_plus_10</t>
  </si>
  <si>
    <t xml:space="preserve">t_plus_14</t>
  </si>
  <si>
    <t xml:space="preserve">t_plus_30_cal</t>
  </si>
  <si>
    <t xml:space="preserve">next_step</t>
  </si>
  <si>
    <t xml:space="preserve">next_step_date</t>
  </si>
  <si>
    <t xml:space="preserve">campaigns</t>
  </si>
  <si>
    <t xml:space="preserve">units_allocated</t>
  </si>
  <si>
    <t xml:space="preserve">revenue_usd</t>
  </si>
  <si>
    <t xml:space="preserve">kit_cost_usd</t>
  </si>
  <si>
    <t xml:space="preserve">transport_cost_usd</t>
  </si>
  <si>
    <t xml:space="preserve">other_direct_cost_usd</t>
  </si>
  <si>
    <t xml:space="preserve">direct_cost_usd</t>
  </si>
  <si>
    <t xml:space="preserve">cost_per_stop_usd</t>
  </si>
  <si>
    <t xml:space="preserve">hours</t>
  </si>
  <si>
    <t xml:space="preserve">contribution_usd</t>
  </si>
  <si>
    <t xml:space="preserve">contribution_per_hour_usd</t>
  </si>
  <si>
    <t xml:space="preserve">gate2_min_responses</t>
  </si>
  <si>
    <t xml:space="preserve">gate2_reports_late</t>
  </si>
  <si>
    <t xml:space="preserve">gate2_buy_again_yes</t>
  </si>
  <si>
    <t xml:space="preserve">SAMPLE-DRP-001</t>
  </si>
  <si>
    <t xml:space="preserve">founder</t>
  </si>
  <si>
    <t xml:space="preserve">confirmed</t>
  </si>
  <si>
    <t xml:space="preserve">SAMPLE receiving address (founder's home, sealed cases)</t>
  </si>
  <si>
    <t xml:space="preserve">SAMPLE car service between stops</t>
  </si>
  <si>
    <t xml:space="preserve">SAMPLE backup (briefed 2027-01-08)</t>
  </si>
  <si>
    <t xml:space="preserve">SAMPLE campaign zero</t>
  </si>
  <si>
    <t xml:space="preserve">SAMPLE-DRP-002</t>
  </si>
  <si>
    <t xml:space="preserve">courier</t>
  </si>
  <si>
    <t xml:space="preserve">SAMPLE Example Courier, booking SAMPLE-BK-0209, pickup 7:45 am</t>
  </si>
  <si>
    <t xml:space="preserve">SAMPLE backup (briefed 2027-02-05)</t>
  </si>
  <si>
    <t xml:space="preserve">SAMPLE first standard run</t>
  </si>
  <si>
    <t xml:space="preserve">SAMPLE-DRP-003</t>
  </si>
  <si>
    <t xml:space="preserve">SAMPLE Example Courier, booking SAMPLE-BK-0223, pickup 7:45 am</t>
  </si>
  <si>
    <t xml:space="preserve">SAMPLE backup (briefed 2027-02-19)</t>
  </si>
  <si>
    <t xml:space="preserve">SAMPLE second standard run (exception run)</t>
  </si>
  <si>
    <t xml:space="preserve">SAMPLE-DRP-004</t>
  </si>
  <si>
    <t xml:space="preserve">direct-ship</t>
  </si>
  <si>
    <t xml:space="preserve">SAMPLE direct to each office; reserve (and SAMPLE-O-009's cartons) to the receiving address</t>
  </si>
  <si>
    <t xml:space="preserve">SAMPLE backup (briefed 2027-03-19)</t>
  </si>
  <si>
    <t xml:space="preserve">SAMPLE third run (direct-ship run)</t>
  </si>
  <si>
    <t xml:space="preserve">campaign_id</t>
  </si>
  <si>
    <t xml:space="preserve">brand_id</t>
  </si>
  <si>
    <t xml:space="preserve">founding_lock</t>
  </si>
  <si>
    <t xml:space="preserve">offices_contracted</t>
  </si>
  <si>
    <t xml:space="preserve">price_override_usd</t>
  </si>
  <si>
    <t xml:space="preserve">agreement_signed_date</t>
  </si>
  <si>
    <t xml:space="preserve">agreement_version</t>
  </si>
  <si>
    <t xml:space="preserve">product_sku</t>
  </si>
  <si>
    <t xml:space="preserve">units_per_case</t>
  </si>
  <si>
    <t xml:space="preserve">card_sentences</t>
  </si>
  <si>
    <t xml:space="preserve">allergen_source</t>
  </si>
  <si>
    <t xml:space="preserve">allergen_line_verbatim</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</si>
  <si>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</si>
  <si>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</si>
  <si>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</si>
  <si>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</si>
  <si>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</si>
  <si>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</si>
  <si>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retailer_line</t>
  </si>
  <si>
    <t xml:space="preserve">discount_code</t>
  </si>
  <si>
    <t xml:space="preserve">code_site</t>
  </si>
  <si>
    <t xml:space="preserve">landing_url</t>
  </si>
  <si>
    <t xml:space="preserve">unused_product_election</t>
  </si>
  <si>
    <t xml:space="preserve">newsletter_option</t>
  </si>
  <si>
    <t xml:space="preserve">brand_privacy_url</t>
  </si>
  <si>
    <t xml:space="preserve">coi_received_date</t>
  </si>
  <si>
    <t xml:space="preserve">allergen_sheet_received_date</t>
  </si>
  <si>
    <t xml:space="preserve">logo_received_date</t>
  </si>
  <si>
    <t xml:space="preserve">logo_file</t>
  </si>
  <si>
    <t xml:space="preserve">card_proof_sent_date</t>
  </si>
  <si>
    <t xml:space="preserve">ship_email_sent_date</t>
  </si>
  <si>
    <t xml:space="preserve">ship_email_units</t>
  </si>
  <si>
    <t xml:space="preserve">survey_form_url</t>
  </si>
  <si>
    <t xml:space="preserve">survey_prefill_template</t>
  </si>
  <si>
    <t xml:space="preserve">newsletter_form_url</t>
  </si>
  <si>
    <t xml:space="preserve">comment_1</t>
  </si>
  <si>
    <t xml:space="preserve">comment_2</t>
  </si>
  <si>
    <t xml:space="preserve">comment_3</t>
  </si>
  <si>
    <t xml:space="preserve">learned</t>
  </si>
  <si>
    <t xml:space="preserve">recommendation</t>
  </si>
  <si>
    <t xml:space="preserve">retailer_velocity</t>
  </si>
  <si>
    <t xml:space="preserve">claims_reviewed</t>
  </si>
  <si>
    <t xml:space="preserve">claims_review_reason</t>
  </si>
  <si>
    <t xml:space="preserve">report_delivered_date</t>
  </si>
  <si>
    <t xml:space="preserve">debrief_date</t>
  </si>
  <si>
    <t xml:space="preserve">brand_would_buy_again</t>
  </si>
  <si>
    <t xml:space="preserve">renewed</t>
  </si>
  <si>
    <t xml:space="preserve">renewal_note</t>
  </si>
  <si>
    <t xml:space="preserve">newsletter_passed_date</t>
  </si>
  <si>
    <t xml:space="preserve">newsletter_passed_count</t>
  </si>
  <si>
    <t xml:space="preserve">newsletter_unticked_deleted_date</t>
  </si>
  <si>
    <t xml:space="preserve">newsletter_deleted_date</t>
  </si>
  <si>
    <t xml:space="preserve">answers_deleted_date</t>
  </si>
  <si>
    <t xml:space="preserve">brand_name</t>
  </si>
  <si>
    <t xml:space="preserve">category</t>
  </si>
  <si>
    <t xml:space="preserve">price_expected_usd</t>
  </si>
  <si>
    <t xml:space="preserve">price_usd</t>
  </si>
  <si>
    <t xml:space="preserve">payment_terms</t>
  </si>
  <si>
    <t xml:space="preserve">cancel_by</t>
  </si>
  <si>
    <t xml:space="preserve">offices_on_route</t>
  </si>
  <si>
    <t xml:space="preserve">offices_approved</t>
  </si>
  <si>
    <t xml:space="preserve">offices_on_drop</t>
  </si>
  <si>
    <t xml:space="preserve">approvals_pending</t>
  </si>
  <si>
    <t xml:space="preserve">reserve_planned</t>
  </si>
  <si>
    <t xml:space="preserve">units_to_ship</t>
  </si>
  <si>
    <t xml:space="preserve">pre_ship_paid_usd</t>
  </si>
  <si>
    <t xml:space="preserve">pre_ship_due_usd</t>
  </si>
  <si>
    <t xml:space="preserve">ship_release</t>
  </si>
  <si>
    <t xml:space="preserve">units_received</t>
  </si>
  <si>
    <t xml:space="preserve">units_rejected</t>
  </si>
  <si>
    <t xml:space="preserve">reserve_on_hand</t>
  </si>
  <si>
    <t xml:space="preserve">leftover_on_hand</t>
  </si>
  <si>
    <t xml:space="preserve">units_delivered</t>
  </si>
  <si>
    <t xml:space="preserve">units_placed</t>
  </si>
  <si>
    <t xml:space="preserve">units_placed_within_1bd</t>
  </si>
  <si>
    <t xml:space="preserve">placed_share_1bd</t>
  </si>
  <si>
    <t xml:space="preserve">units_topped_up</t>
  </si>
  <si>
    <t xml:space="preserve">units_depleted_day5</t>
  </si>
  <si>
    <t xml:space="preserve">survey_responses</t>
  </si>
  <si>
    <t xml:space="preserve">survey_responses_min_office</t>
  </si>
  <si>
    <t xml:space="preserve">offices_under_5</t>
  </si>
  <si>
    <t xml:space="preserve">survey_tried_yes</t>
  </si>
  <si>
    <t xml:space="preserve">tried_no_didnt_see</t>
  </si>
  <si>
    <t xml:space="preserve">tried_no_not_for_me</t>
  </si>
  <si>
    <t xml:space="preserve">tried_no_gone</t>
  </si>
  <si>
    <t xml:space="preserve">survey_rating_n</t>
  </si>
  <si>
    <t xml:space="preserve">survey_rating_avg</t>
  </si>
  <si>
    <t xml:space="preserve">survey_buy_yes</t>
  </si>
  <si>
    <t xml:space="preserve">survey_buy_maybe</t>
  </si>
  <si>
    <t xml:space="preserve">survey_buy_no</t>
  </si>
  <si>
    <t xml:space="preserve">comments_total</t>
  </si>
  <si>
    <t xml:space="preserve">responses_outside_window</t>
  </si>
  <si>
    <t xml:space="preserve">responses_unmatched_code</t>
  </si>
  <si>
    <t xml:space="preserve">responses_office_not_on_drop</t>
  </si>
  <si>
    <t xml:space="preserve">qr_scans</t>
  </si>
  <si>
    <t xml:space="preserve">post_link_opens</t>
  </si>
  <si>
    <t xml:space="preserve">code_redemptions_to_date</t>
  </si>
  <si>
    <t xml:space="preserve">code_redemptions_as_of</t>
  </si>
  <si>
    <t xml:space="preserve">code_redemptions_day30</t>
  </si>
  <si>
    <t xml:space="preserve">deposit_usd</t>
  </si>
  <si>
    <t xml:space="preserve">deposit_paid_date</t>
  </si>
  <si>
    <t xml:space="preserve">invoice_paid_date</t>
  </si>
  <si>
    <t xml:space="preserve">processing_fee_usd</t>
  </si>
  <si>
    <t xml:space="preserve">shared_cost_usd</t>
  </si>
  <si>
    <t xml:space="preserve">hours_direct</t>
  </si>
  <si>
    <t xml:space="preserve">hours_shared</t>
  </si>
  <si>
    <t xml:space="preserve">photo_compliance</t>
  </si>
  <si>
    <t xml:space="preserve">placement_lag_hours_avg</t>
  </si>
  <si>
    <t xml:space="preserve">report_due</t>
  </si>
  <si>
    <t xml:space="preserve">debrief_due</t>
  </si>
  <si>
    <t xml:space="preserve">redemption_check_date</t>
  </si>
  <si>
    <t xml:space="preserve">gate2_placed</t>
  </si>
  <si>
    <t xml:space="preserve">gate2_responses</t>
  </si>
  <si>
    <t xml:space="preserve">gate2_report_on_time</t>
  </si>
  <si>
    <t xml:space="preserve">SAMPLE-CMP-001</t>
  </si>
  <si>
    <t xml:space="preserve">SAMPLE-BR-001</t>
  </si>
  <si>
    <t xml:space="preserve">founding</t>
  </si>
  <si>
    <t xml:space="preserve">0.8</t>
  </si>
  <si>
    <t xml:space="preserve">SAMPLE Sea Salt Lentil Crisps, 1 oz bags</t>
  </si>
  <si>
    <t xml:space="preserve">SAMPLE Two friends in Queens make lentil crisps that taste like a snack, not a compromise. Baked in small batches in Long Island City.</t>
  </si>
  <si>
    <t xml:space="preserve">contains_statement</t>
  </si>
  <si>
    <t xml:space="preserve">SAMPLE Contains: milk, sesame.</t>
  </si>
  <si>
    <t xml:space="preserve">SAMPLE Made in a facility that also processes tree nuts.</t>
  </si>
  <si>
    <t xml:space="preserve">SAMPLE Example Market, 1 Example Street</t>
  </si>
  <si>
    <t xml:space="preserve">SAMPLEDESK15</t>
  </si>
  <si>
    <t xml:space="preserve">example.com</t>
  </si>
  <si>
    <t xml:space="preserve">https://example.com/brightside/office</t>
  </si>
  <si>
    <t xml:space="preserve">release</t>
  </si>
  <si>
    <t xml:space="preserve">Y</t>
  </si>
  <si>
    <t xml:space="preserve">https://example.com/brightside/privacy</t>
  </si>
  <si>
    <t xml:space="preserve">https://docs.google.com/forms/d/e/SAMPLE-CMP-001-FORM/viewform</t>
  </si>
  <si>
    <t xml:space="preserve">https://docs.google.com/forms/d/e/SAMPLE-CMP-001-FORM/viewform?usp=pp_url&amp;entry.1000001=CARDCODE</t>
  </si>
  <si>
    <t xml:space="preserve">https://docs.google.com/forms/d/e/SAMPLE-CMP-001-NEWS/viewform</t>
  </si>
  <si>
    <t xml:space="preserve">SAMPLE Saw it by the coffee machine and took two. Really good.</t>
  </si>
  <si>
    <t xml:space="preserve">SAMPLE A bit too salty for me.</t>
  </si>
  <si>
    <t xml:space="preserve">SAMPLE Asked [name removed] to save me a bag. Really good.</t>
  </si>
  <si>
    <t xml:space="preserve">SAMPLE Office D placed a day late; agree a placement time at intake.
SAMPLE Four people found it gone by the time they looked.
SAMPLE Salt level came up in comments more than once.</t>
  </si>
  <si>
    <t xml:space="preserve">SAMPLE Renew into offices A, C and E at the founding price. Same card.</t>
  </si>
  <si>
    <t xml:space="preserve">yes</t>
  </si>
  <si>
    <t xml:space="preserve">SAMPLE renews into the first standard run at the founding lock</t>
  </si>
  <si>
    <t xml:space="preserve">SAMPLE-CMP-002</t>
  </si>
  <si>
    <t xml:space="preserve">SAMPLE-BR-002</t>
  </si>
  <si>
    <t xml:space="preserve">SAMPLE Grapefruit Sparkling Water, 12 oz cans</t>
  </si>
  <si>
    <t xml:space="preserve">SAMPLE A Brooklyn sparkling water with real grapefruit and nothing else. Started in a Red Hook kitchen in 2023.</t>
  </si>
  <si>
    <t xml:space="preserve">single_ingredient</t>
  </si>
  <si>
    <t xml:space="preserve">SAMPLE Sparkling Water, Grapefruit Juice</t>
  </si>
  <si>
    <t xml:space="preserve">SAMPLE Example Grocer, 20 Example Avenue</t>
  </si>
  <si>
    <t xml:space="preserve">SAMPLEFIZZ10</t>
  </si>
  <si>
    <t xml:space="preserve">return</t>
  </si>
  <si>
    <t xml:space="preserve">N</t>
  </si>
  <si>
    <t xml:space="preserve">https://docs.google.com/forms/d/e/SAMPLE-CMP-002-FORM/viewform</t>
  </si>
  <si>
    <t xml:space="preserve">https://docs.google.com/forms/d/e/SAMPLE-CMP-002-FORM/viewform?usp=pp_url&amp;entry.1000001=CARDCODE</t>
  </si>
  <si>
    <t xml:space="preserve">SAMPLE Gone before lunch on Wednesday.</t>
  </si>
  <si>
    <t xml:space="preserve">SAMPLE Not my thing but my team liked it.</t>
  </si>
  <si>
    <t xml:space="preserve">SAMPLE Nice that it lists the allergens on the card.</t>
  </si>
  <si>
    <t xml:space="preserve">SAMPLE Office C ran out by day 3 and needed a top-up.
SAMPLE 16 cans could not be placed (short-dated or dented).
SAMPLE Drinks went faster in the larger offices.</t>
  </si>
  <si>
    <t xml:space="preserve">SAMPLE Renew only with fresher stock; ship 90 or more days of shelf life.</t>
  </si>
  <si>
    <t xml:space="preserve">SAMPLE not now; asked again in April</t>
  </si>
  <si>
    <t xml:space="preserve">SAMPLE-CMP-003</t>
  </si>
  <si>
    <t xml:space="preserve">SAMPLE-BR-003</t>
  </si>
  <si>
    <t xml:space="preserve">standard</t>
  </si>
  <si>
    <t xml:space="preserve">SAMPLE Oat &amp; Date Bars, 1.4 oz</t>
  </si>
  <si>
    <t xml:space="preserve">SAMPLE Oat and date bars from a Jersey City bakery that started as a farmers-market stand. Four ingredients, no surprises.</t>
  </si>
  <si>
    <t xml:space="preserve">SAMPLE Contains: oats (gluten), almonds.</t>
  </si>
  <si>
    <t xml:space="preserve">SAMPLE May contain peanuts.</t>
  </si>
  <si>
    <t xml:space="preserve">SAMPLEBAR20</t>
  </si>
  <si>
    <t xml:space="preserve">https://docs.google.com/forms/d/e/SAMPLE-CMP-003-FORM/viewform</t>
  </si>
  <si>
    <t xml:space="preserve">https://docs.google.com/forms/d/e/SAMPLE-CMP-003-FORM/viewform?usp=pp_url&amp;entry.1000001=CARDCODE</t>
  </si>
  <si>
    <t xml:space="preserve">SAMPLE Tastes like an oatmeal cookie, in a good way.</t>
  </si>
  <si>
    <t xml:space="preserve">SAMPLE Wish it came in a smaller size.</t>
  </si>
  <si>
    <t xml:space="preserve">SAMPLE Saved one for my kid.</t>
  </si>
  <si>
    <t xml:space="preserve">SAMPLE Shipped 57 short; every office got 3 fewer.
SAMPLE Bars lasted longer than chips in most offices.
SAMPLE Size came up: one comment asked for a smaller bar.</t>
  </si>
  <si>
    <t xml:space="preserve">SAMPLE Renew into the same ten offices with a smaller bar if you make one.</t>
  </si>
  <si>
    <t xml:space="preserve">SAMPLE renews into the March drop</t>
  </si>
  <si>
    <t xml:space="preserve">SAMPLE-CMP-004</t>
  </si>
  <si>
    <t xml:space="preserve">SAMPLE-BR-004</t>
  </si>
  <si>
    <t xml:space="preserve">SAMPLE Dried Mango Strips, 1 oz</t>
  </si>
  <si>
    <t xml:space="preserve">SAMPLE Dried mango from one Hudson Valley co-op, cut thick and nothing added. Started by two sisters in 2022.</t>
  </si>
  <si>
    <t xml:space="preserve">SAMPLE Dried Mango</t>
  </si>
  <si>
    <t xml:space="preserve">SAMPLE Packed in a facility that also handles tree nuts.</t>
  </si>
  <si>
    <t xml:space="preserve">SAMPLEMANGO</t>
  </si>
  <si>
    <t xml:space="preserve">https://example.com/orchardrow/privacy</t>
  </si>
  <si>
    <t xml:space="preserve">https://docs.google.com/forms/d/e/SAMPLE-CMP-004-FORM/viewform</t>
  </si>
  <si>
    <t xml:space="preserve">https://docs.google.com/forms/d/e/SAMPLE-CMP-004-FORM/viewform?usp=pp_url&amp;entry.1000001=CARDCODE</t>
  </si>
  <si>
    <t xml:space="preserve">https://docs.google.com/forms/d/e/SAMPLE-CMP-004-NEWS/viewform</t>
  </si>
  <si>
    <t xml:space="preserve">SAMPLE Thick and chewy, nothing like the airport stuff.</t>
  </si>
  <si>
    <t xml:space="preserve">SAMPLE Too sweet for me.</t>
  </si>
  <si>
    <t xml:space="preserve">SAMPLE Where is it sold near here?</t>
  </si>
  <si>
    <t xml:space="preserve">SAMPLE One office declined over a tree-nut veto; ask about may-contain lines at approval.
SAMPLE Went fastest in the two largest offices.
SAMPLE Sweetness split the comments.</t>
  </si>
  <si>
    <t xml:space="preserve">SAMPLE Renew into offices with no tree-nut veto; same card.</t>
  </si>
  <si>
    <t xml:space="preserve">pending</t>
  </si>
  <si>
    <t xml:space="preserve">SAMPLE-CMP-005</t>
  </si>
  <si>
    <t xml:space="preserve">SAMPLE-BR-005</t>
  </si>
  <si>
    <t xml:space="preserve">SAMPLE Kettle Chips, Sea Salt, 1 oz bags</t>
  </si>
  <si>
    <t xml:space="preserve">SAMPLE Kettle chips fried in small batches near Albany, from one farm's potatoes. Salt, oil, potatoes, done.</t>
  </si>
  <si>
    <t xml:space="preserve">ingredient_list</t>
  </si>
  <si>
    <t xml:space="preserve">SAMPLE Ingredients: potatoes, sunflower oil, sea salt.</t>
  </si>
  <si>
    <t xml:space="preserve">SAMPLECRUNCH</t>
  </si>
  <si>
    <t xml:space="preserve">https://docs.google.com/forms/d/e/SAMPLE-CMP-005-FORM/viewform</t>
  </si>
  <si>
    <t xml:space="preserve">https://docs.google.com/forms/d/e/SAMPLE-CMP-005-FORM/viewform?usp=pp_url&amp;entry.1000001=CARDCODE</t>
  </si>
  <si>
    <t xml:space="preserve">SAMPLE Proper crunch.</t>
  </si>
  <si>
    <t xml:space="preserve">SAMPLE Bag was half air, but good chips.</t>
  </si>
  <si>
    <t xml:space="preserve">SAMPLE Bought a bag at the market after.</t>
  </si>
  <si>
    <t xml:space="preserve">SAMPLE Office J reached four responses, under the five it committed to.
SAMPLE Chips ran out by day 3 in four offices.
SAMPLE Fill level of the bag came up once.</t>
  </si>
  <si>
    <t xml:space="preserve">SAMPLE Renew with 20% more units for the four offices that ran out.</t>
  </si>
  <si>
    <t xml:space="preserve">SAMPLE-CMP-006</t>
  </si>
  <si>
    <t xml:space="preserve">SAMPLE-BR-006</t>
  </si>
  <si>
    <t xml:space="preserve">SAMPLE Salt and Vinegar Potato Chips, 1 oz bags</t>
  </si>
  <si>
    <t xml:space="preserve">SAMPLE Potato chips cut and fried near Montauk by a former fishing family. Sharp vinegar, sea salt, nothing else.</t>
  </si>
  <si>
    <t xml:space="preserve">SAMPLE Ingredients: potatoes, sunflower oil, vinegar powder, sea salt.</t>
  </si>
  <si>
    <t xml:space="preserve">SAMPLESALT10</t>
  </si>
  <si>
    <t xml:space="preserve">https://docs.google.com/forms/d/e/SAMPLE-CMP-006-FORM/viewform</t>
  </si>
  <si>
    <t xml:space="preserve">https://docs.google.com/forms/d/e/SAMPLE-CMP-006-FORM/viewform?usp=pp_url&amp;entry.1000001=CARDCODE</t>
  </si>
  <si>
    <t xml:space="preserve">SAMPLE Really sharp vinegar, loved it.</t>
  </si>
  <si>
    <t xml:space="preserve">SAMPLE Too salty for an afternoon snack.</t>
  </si>
  <si>
    <t xml:space="preserve">SAMPLE Is this sold at the market on the corner?</t>
  </si>
  <si>
    <t xml:space="preserve">SAMPLE Shipped 87 short; every office got 5 fewer.
SAMPLE One office declined at the door; it was not billed.
SAMPLE Vinegar strength split the comments.</t>
  </si>
  <si>
    <t xml:space="preserve">SAMPLE Renew into the nine offices that took it; ship the full count.</t>
  </si>
  <si>
    <t xml:space="preserve">SAMPLE-CMP-007</t>
  </si>
  <si>
    <t xml:space="preserve">https://docs.google.com/forms/d/e/SAMPLE-CMP-007-FORM/viewform</t>
  </si>
  <si>
    <t xml:space="preserve">https://docs.google.com/forms/d/e/SAMPLE-CMP-007-FORM/viewform?usp=pp_url&amp;entry.1000001=CARDCODE</t>
  </si>
  <si>
    <t xml:space="preserve">SAMPLE Still the best crisps in the pantry.</t>
  </si>
  <si>
    <t xml:space="preserve">SAMPLE Sesame was a surprise, glad the card said so.</t>
  </si>
  <si>
    <t xml:space="preserve">SAMPLE Ran out fast on our floor.</t>
  </si>
  <si>
    <t xml:space="preserve">SAMPLE One carton arrived 24 short; the office topped up from reserve on day 3.
SAMPLE Went fastest in the two largest offices.
SAMPLE The sesame line on the card was noticed.</t>
  </si>
  <si>
    <t xml:space="preserve">SAMPLE Renew into the same ten offices; ask the warehouse to weigh each carton before it ships.</t>
  </si>
  <si>
    <t xml:space="preserve">SAMPLE-CMP-008</t>
  </si>
  <si>
    <t xml:space="preserve">https://docs.google.com/forms/d/e/SAMPLE-CMP-008-FORM/viewform</t>
  </si>
  <si>
    <t xml:space="preserve">https://docs.google.com/forms/d/e/SAMPLE-CMP-008-FORM/viewform?usp=pp_url&amp;entry.1000001=CARDCODE</t>
  </si>
  <si>
    <t xml:space="preserve">SAMPLE Good with coffee.</t>
  </si>
  <si>
    <t xml:space="preserve">SAMPLE Bit dry for me.</t>
  </si>
  <si>
    <t xml:space="preserve">SAMPLE Where can I buy a box?</t>
  </si>
  <si>
    <t xml:space="preserve">SAMPLE Bars lasted longer than chips again.
SAMPLE Coffee came up in two comments.
SAMPLE One office had too many bars this month.</t>
  </si>
  <si>
    <t xml:space="preserve">SAMPLE Renew into the nine offices that took it; skip a month at the tenth.</t>
  </si>
  <si>
    <t xml:space="preserve">intake_key</t>
  </si>
  <si>
    <t xml:space="preserve">brand_legal_name</t>
  </si>
  <si>
    <t xml:space="preserve">billing_address</t>
  </si>
  <si>
    <t xml:space="preserve">billing_email</t>
  </si>
  <si>
    <t xml:space="preserve">retailer_evidence_grade</t>
  </si>
  <si>
    <t xml:space="preserve">coi_check_ok</t>
  </si>
  <si>
    <t xml:space="preserve">coi_policy_end_date</t>
  </si>
  <si>
    <t xml:space="preserve">website</t>
  </si>
  <si>
    <t xml:space="preserve">hq_city</t>
  </si>
  <si>
    <t xml:space="preserve">contact_name</t>
  </si>
  <si>
    <t xml:space="preserve">contact_title</t>
  </si>
  <si>
    <t xml:space="preserve">contact_email</t>
  </si>
  <si>
    <t xml:space="preserve">contact_phone</t>
  </si>
  <si>
    <t xml:space="preserve">online_store_url</t>
  </si>
  <si>
    <t xml:space="preserve">nyc_retailers</t>
  </si>
  <si>
    <t xml:space="preserve">can_issue_discount_code</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</si>
  <si>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</si>
  <si>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</si>
  <si>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</si>
  <si>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</si>
  <si>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</si>
  <si>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</si>
  <si>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</si>
  <si>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</si>
  <si>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</si>
  <si>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checks_yes</t>
  </si>
  <si>
    <t xml:space="preserve">qualified</t>
  </si>
  <si>
    <t xml:space="preserve">founding_rank</t>
  </si>
  <si>
    <t xml:space="preserve">e_payment_check</t>
  </si>
  <si>
    <t xml:space="preserve">2026-11-10T09:14:08-05:00</t>
  </si>
  <si>
    <t xml:space="preserve">SAMPLE Brightside Foods LLC</t>
  </si>
  <si>
    <t xml:space="preserve">SAMPLE 1 Example Plaza, Example City</t>
  </si>
  <si>
    <t xml:space="preserve">SAMPLE-ap-001@example.com</t>
  </si>
  <si>
    <t xml:space="preserve">brand_claim</t>
  </si>
  <si>
    <t xml:space="preserve">active</t>
  </si>
  <si>
    <t xml:space="preserve">2026-11-19T14:05:00</t>
  </si>
  <si>
    <t xml:space="preserve">SAMPLE Northbound Foods LLC</t>
  </si>
  <si>
    <t xml:space="preserve">SAMPLE-ap-002@example.com</t>
  </si>
  <si>
    <t xml:space="preserve">2026-12-15T11:30:00-05:00</t>
  </si>
  <si>
    <t xml:space="preserve">SAMPLE Tallgrass Foods LLC</t>
  </si>
  <si>
    <t xml:space="preserve">SAMPLE-ap-003@example.com</t>
  </si>
  <si>
    <t xml:space="preserve">2026-12-21T16:45:00-05:00</t>
  </si>
  <si>
    <t xml:space="preserve">SAMPLE Orchard Row Foods LLC</t>
  </si>
  <si>
    <t xml:space="preserve">SAMPLE-ap-004@example.com</t>
  </si>
  <si>
    <t xml:space="preserve">2026-12-28T10:20:00-05:00</t>
  </si>
  <si>
    <t xml:space="preserve">SAMPLE Kettle Ridge Foods LLC</t>
  </si>
  <si>
    <t xml:space="preserve">SAMPLE-ap-005@example.com</t>
  </si>
  <si>
    <t xml:space="preserve">2027-01-11T09:40:00-05:00</t>
  </si>
  <si>
    <t xml:space="preserve">SAMPLE Saltmarsh Foods LLC</t>
  </si>
  <si>
    <t xml:space="preserve">SAMPLE-ap-006@example.com</t>
  </si>
  <si>
    <t xml:space="preserve">office_id</t>
  </si>
  <si>
    <t xml:space="preserve">building_id</t>
  </si>
  <si>
    <t xml:space="preserve">lat</t>
  </si>
  <si>
    <t xml:space="preserve">lon</t>
  </si>
  <si>
    <t xml:space="preserve">industry_override</t>
  </si>
  <si>
    <t xml:space="preserve">pantry_owner_phone_override</t>
  </si>
  <si>
    <t xml:space="preserve">front_desk_fallback_ok</t>
  </si>
  <si>
    <t xml:space="preserve">delivery_point_note</t>
  </si>
  <si>
    <t xml:space="preserve">building_coi_status</t>
  </si>
  <si>
    <t xml:space="preserve">building_coi_date</t>
  </si>
  <si>
    <t xml:space="preserve">left_date</t>
  </si>
  <si>
    <t xml:space="preserve">eligibility_confirmed</t>
  </si>
  <si>
    <t xml:space="preserve">office_address</t>
  </si>
  <si>
    <t xml:space="preserve">floor_suite</t>
  </si>
  <si>
    <t xml:space="preserve">tuesday_headcount</t>
  </si>
  <si>
    <t xml:space="preserve">pantry_owner_name</t>
  </si>
  <si>
    <t xml:space="preserve">pantry_owner_title</t>
  </si>
  <si>
    <t xml:space="preserve">pantry_owner_is_contact</t>
  </si>
  <si>
    <t xml:space="preserve">receiving_type</t>
  </si>
  <si>
    <t xml:space="preserve">receiving_window</t>
  </si>
  <si>
    <t xml:space="preserve">coi_required</t>
  </si>
  <si>
    <t xml:space="preserve">survey_channel</t>
  </si>
  <si>
    <t xml:space="preserve">categories_wanted</t>
  </si>
  <si>
    <t xml:space="preserve">vetoes</t>
  </si>
  <si>
    <t xml:space="preserve">founding_roster_named</t>
  </si>
  <si>
    <t xml:space="preserve">public_naming_ok</t>
  </si>
  <si>
    <t xml:space="preserve">clay_row_id</t>
  </si>
  <si>
    <t xml:space="preserve">industry</t>
  </si>
  <si>
    <t xml:space="preserve">owner_phone</t>
  </si>
  <si>
    <t xml:space="preserve">headcount_band</t>
  </si>
  <si>
    <t xml:space="preserve">size_check</t>
  </si>
  <si>
    <t xml:space="preserve">default_units</t>
  </si>
  <si>
    <t xml:space="preserve">drops_so_far</t>
  </si>
  <si>
    <t xml:space="preserve">declines</t>
  </si>
  <si>
    <t xml:space="preserve">in_coworking</t>
  </si>
  <si>
    <t xml:space="preserve">in_boundary</t>
  </si>
  <si>
    <t xml:space="preserve">SAMPLE-O-001</t>
  </si>
  <si>
    <t xml:space="preserve">SAMPLE 4th floor kitchen, left of the coffee machine</t>
  </si>
  <si>
    <t xml:space="preserve">not_needed</t>
  </si>
  <si>
    <t xml:space="preserve">SAMPLE-O-002</t>
  </si>
  <si>
    <t xml:space="preserve">SAMPLE front desk calls up; owner meets you in the lobby</t>
  </si>
  <si>
    <t xml:space="preserve">SAMPLE-O-003</t>
  </si>
  <si>
    <t xml:space="preserve">SAMPLE 2nd floor pantry, shelf by the window</t>
  </si>
  <si>
    <t xml:space="preserve">received</t>
  </si>
  <si>
    <t xml:space="preserve">SAMPLE-O-004</t>
  </si>
  <si>
    <t xml:space="preserve">SAMPLE loading dock on the side street; mailroom signs, owner collects</t>
  </si>
  <si>
    <t xml:space="preserve">SAMPLE-O-005</t>
  </si>
  <si>
    <t xml:space="preserve">SAMPLE show the certificate at the desk; 9th floor kitchen</t>
  </si>
  <si>
    <t xml:space="preserve">SAMPLE-O-006</t>
  </si>
  <si>
    <t xml:space="preserve">SAMPLE 3rd floor, ring the bell</t>
  </si>
  <si>
    <t xml:space="preserve">SAMPLE-O-007</t>
  </si>
  <si>
    <t xml:space="preserve">SAMPLE desk sends you up to 11; pantry at the end of the hall</t>
  </si>
  <si>
    <t xml:space="preserve">SAMPLE-O-008</t>
  </si>
  <si>
    <t xml:space="preserve">SAMPLE certificate required at the desk; 6th floor</t>
  </si>
  <si>
    <t xml:space="preserve">SAMPLE-O-009</t>
  </si>
  <si>
    <t xml:space="preserve">SAMPLE owner must take it; desk will not hold food</t>
  </si>
  <si>
    <t xml:space="preserve">SAMPLE-O-010</t>
  </si>
  <si>
    <t xml:space="preserve">SAMPLE walk-up, 2nd floor, kitchen on the right</t>
  </si>
  <si>
    <t xml:space="preserve">asked_date</t>
  </si>
  <si>
    <t xml:space="preserve">reply</t>
  </si>
  <si>
    <t xml:space="preserve">reply_date</t>
  </si>
  <si>
    <t xml:space="preserve">reply_note</t>
  </si>
  <si>
    <t xml:space="preserve">units_override</t>
  </si>
  <si>
    <t xml:space="preserve">office_seq</t>
  </si>
  <si>
    <t xml:space="preserve">office_label</t>
  </si>
  <si>
    <t xml:space="preserve">office_drop_number</t>
  </si>
  <si>
    <t xml:space="preserve">approval_mode</t>
  </si>
  <si>
    <t xml:space="preserve">approved</t>
  </si>
  <si>
    <t xml:space="preserve">on_drop</t>
  </si>
  <si>
    <t xml:space="preserve">fit_check</t>
  </si>
  <si>
    <t xml:space="preserve">card_code</t>
  </si>
  <si>
    <t xml:space="preserve">delivered_at</t>
  </si>
  <si>
    <t xml:space="preserve">delivered_count_source</t>
  </si>
  <si>
    <t xml:space="preserve">placement_photo_file</t>
  </si>
  <si>
    <t xml:space="preserve">placement_photo_date</t>
  </si>
  <si>
    <t xml:space="preserve">placed_count</t>
  </si>
  <si>
    <t xml:space="preserve">placed_within_1bd</t>
  </si>
  <si>
    <t xml:space="preserve">placement_lag_hours</t>
  </si>
  <si>
    <t xml:space="preserve">remaining_day3</t>
  </si>
  <si>
    <t xml:space="preserve">remaining_day5</t>
  </si>
  <si>
    <t xml:space="preserve">later_photo_file</t>
  </si>
  <si>
    <t xml:space="preserve">later_photo_date</t>
  </si>
  <si>
    <t xml:space="preserve">later_photo_day</t>
  </si>
  <si>
    <t xml:space="preserve">both_photos</t>
  </si>
  <si>
    <t xml:space="preserve">tried_yes</t>
  </si>
  <si>
    <t xml:space="preserve">rating_n</t>
  </si>
  <si>
    <t xml:space="preserve">rating_sum</t>
  </si>
  <si>
    <t xml:space="preserve">buy_yes</t>
  </si>
  <si>
    <t xml:space="preserve">buy_maybe</t>
  </si>
  <si>
    <t xml:space="preserve">buy_no</t>
  </si>
  <si>
    <t xml:space="preserve">seq_key</t>
  </si>
  <si>
    <t xml:space="preserve">window_end</t>
  </si>
  <si>
    <t xml:space="preserve">resp_min_key</t>
  </si>
  <si>
    <t xml:space="preserve">survey_frozen</t>
  </si>
  <si>
    <t xml:space="preserve">hand_carried</t>
  </si>
  <si>
    <t xml:space="preserve">SAMPLE replied by email</t>
  </si>
  <si>
    <t xml:space="preserve">route_order</t>
  </si>
  <si>
    <t xml:space="preserve">planned_time</t>
  </si>
  <si>
    <t xml:space="preserve">slack_post_sent_date</t>
  </si>
  <si>
    <t xml:space="preserve">confirm_text_sent_date</t>
  </si>
  <si>
    <t xml:space="preserve">kit_mailed_date</t>
  </si>
  <si>
    <t xml:space="preserve">carrier_tracking</t>
  </si>
  <si>
    <t xml:space="preserve">arrival_time</t>
  </si>
  <si>
    <t xml:space="preserve">departure_time</t>
  </si>
  <si>
    <t xml:space="preserve">handed_to_role</t>
  </si>
  <si>
    <t xml:space="preserve">outcome</t>
  </si>
  <si>
    <t xml:space="preserve">office_debrief_date</t>
  </si>
  <si>
    <t xml:space="preserve">office_would_do_again</t>
  </si>
  <si>
    <t xml:space="preserve">campaigns_here</t>
  </si>
  <si>
    <t xml:space="preserve">units_here</t>
  </si>
  <si>
    <t xml:space="preserve">first_drop</t>
  </si>
  <si>
    <t xml:space="preserve">minutes_on_site</t>
  </si>
  <si>
    <t xml:space="preserve">declined_all</t>
  </si>
  <si>
    <t xml:space="preserve">pantry owner</t>
  </si>
  <si>
    <t xml:space="preserve">placed_by_us</t>
  </si>
  <si>
    <t xml:space="preserve">handed_to_owner</t>
  </si>
  <si>
    <t xml:space="preserve">front desk</t>
  </si>
  <si>
    <t xml:space="preserve">front_desk_agreed</t>
  </si>
  <si>
    <t xml:space="preserve">SAMPLE owner out; mailroom signed as agreed</t>
  </si>
  <si>
    <t xml:space="preserve">other staff</t>
  </si>
  <si>
    <t xml:space="preserve">owner_absent_return</t>
  </si>
  <si>
    <t xml:space="preserve">SAMPLE owner out of the office; desk will not hold food; founder delivered Wed 08:40</t>
  </si>
  <si>
    <t xml:space="preserve">declined</t>
  </si>
  <si>
    <t xml:space="preserve">SAMPLE owner declined at the door: office pausing snacks this month; courier brought the case back (0 handed over)</t>
  </si>
  <si>
    <t xml:space="preserve">SAMPLE Brightside SAMPLE-1Z70001; SAMPLE Tallgrass SAMPLE-1Z80001</t>
  </si>
  <si>
    <t xml:space="preserve">carrier</t>
  </si>
  <si>
    <t xml:space="preserve">carrier_delivered</t>
  </si>
  <si>
    <t xml:space="preserve">SAMPLE Brightside SAMPLE-1Z70002; SAMPLE Tallgrass SAMPLE-1Z80002</t>
  </si>
  <si>
    <t xml:space="preserve">SAMPLE Brightside SAMPLE-1Z70003; SAMPLE Tallgrass SAMPLE-1Z80003</t>
  </si>
  <si>
    <t xml:space="preserve">SAMPLE Brightside SAMPLE-1Z70004; SAMPLE Tallgrass SAMPLE-1Z80004</t>
  </si>
  <si>
    <t xml:space="preserve">SAMPLE Brightside SAMPLE-1Z70005; SAMPLE Tallgrass SAMPLE-1Z80005</t>
  </si>
  <si>
    <t xml:space="preserve">SAMPLE Brightside SAMPLE-1Z70006; SAMPLE Tallgrass SAMPLE-1Z80006</t>
  </si>
  <si>
    <t xml:space="preserve">SAMPLE Brightside SAMPLE-1Z70007; SAMPLE Tallgrass SAMPLE-1Z80007</t>
  </si>
  <si>
    <t xml:space="preserve">SAMPLE Brightside SAMPLE-1Z70008; SAMPLE Tallgrass SAMPLE-1Z80008</t>
  </si>
  <si>
    <t xml:space="preserve">SAMPLE owner refused the Tallgrass carton at the door (pantry full of bars this month); took Brightside; the carrier returns the carton to the brand</t>
  </si>
  <si>
    <t xml:space="preserve">SAMPLE with the reserve to the receiving address (SAMPLE Brightside SAMPLE-1Z7R0001; SAMPLE Tallgrass SAMPLE-1Z8R0001)</t>
  </si>
  <si>
    <t xml:space="preserve">SAMPLE desk will not hold food: the founder carried both cartons from the receiving address</t>
  </si>
  <si>
    <t xml:space="preserve">SAMPLE Brightside SAMPLE-1Z70010; SAMPLE Tallgrass SAMPLE-1Z80010</t>
  </si>
  <si>
    <t xml:space="preserve">time</t>
  </si>
  <si>
    <t xml:space="preserve">movement</t>
  </si>
  <si>
    <t xml:space="preserve">bucket</t>
  </si>
  <si>
    <t xml:space="preserve">qty</t>
  </si>
  <si>
    <t xml:space="preserve">lot</t>
  </si>
  <si>
    <t xml:space="preserve">best_by</t>
  </si>
  <si>
    <t xml:space="preserve">count_source</t>
  </si>
  <si>
    <t xml:space="preserve">reserve_delta</t>
  </si>
  <si>
    <t xml:space="preserve">rejected_delta</t>
  </si>
  <si>
    <t xml:space="preserve">leftover_delta</t>
  </si>
  <si>
    <t xml:space="preserve">best_by_ok</t>
  </si>
  <si>
    <t xml:space="preserve">SAMPLE-L2401</t>
  </si>
  <si>
    <t xml:space="preserve">founder_count</t>
  </si>
  <si>
    <t xml:space="preserve">SAMPLE 6 cases, counted, photographed</t>
  </si>
  <si>
    <t xml:space="preserve">SAMPLE-NB-0921</t>
  </si>
  <si>
    <t xml:space="preserve">SAMPLE-NB-0811</t>
  </si>
  <si>
    <t xml:space="preserve">SAMPLE one case short-dated</t>
  </si>
  <si>
    <t xml:space="preserve">rejected</t>
  </si>
  <si>
    <t xml:space="preserve">SAMPLE under 60 days left on the drop day</t>
  </si>
  <si>
    <t xml:space="preserve">SAMPLE dented cans, photographed</t>
  </si>
  <si>
    <t xml:space="preserve">topped_up</t>
  </si>
  <si>
    <t xml:space="preserve">released_to_office</t>
  </si>
  <si>
    <t xml:space="preserve">reserve</t>
  </si>
  <si>
    <t xml:space="preserve">SAMPLE brand chose release</t>
  </si>
  <si>
    <t xml:space="preserve">collected</t>
  </si>
  <si>
    <t xml:space="preserve">returned_to_brand</t>
  </si>
  <si>
    <t xml:space="preserve">SAMPLE prepaid label arrived 2027-01-21</t>
  </si>
  <si>
    <t xml:space="preserve">leftover</t>
  </si>
  <si>
    <t xml:space="preserve">SAMPLE-TG-0115</t>
  </si>
  <si>
    <t xml:space="preserve">SAMPLE-OR-1220</t>
  </si>
  <si>
    <t xml:space="preserve">SAMPLE-KR-0122</t>
  </si>
  <si>
    <t xml:space="preserve">courier_count</t>
  </si>
  <si>
    <t xml:space="preserve">SAMPLE brand chose release: reserve to the largest office</t>
  </si>
  <si>
    <t xml:space="preserve">SAMPLE-SM-0201</t>
  </si>
  <si>
    <t xml:space="preserve">SAMPLE 20 cases of 24; 567 were due</t>
  </si>
  <si>
    <t xml:space="preserve">SAMPLE brand chose release: counted reserve to the largest office</t>
  </si>
  <si>
    <t xml:space="preserve">SAMPLE-L2703</t>
  </si>
  <si>
    <t xml:space="preserve">SAMPLE reserve; one package checked</t>
  </si>
  <si>
    <t xml:space="preserve">SAMPLE SAMPLE-O-009's carton, shipped with the reserve (desk will not hold food)</t>
  </si>
  <si>
    <t xml:space="preserve">SAMPLE-TG-0301</t>
  </si>
  <si>
    <t xml:space="preserve">office_count</t>
  </si>
  <si>
    <t xml:space="preserve">SAMPLE carton counted by the office; lot and best-by from the brand's ship notice</t>
  </si>
  <si>
    <t xml:space="preserve">count_type</t>
  </si>
  <si>
    <t xml:space="preserve">source</t>
  </si>
  <si>
    <t xml:space="preserve">photo_id</t>
  </si>
  <si>
    <t xml:space="preserve">window_day</t>
  </si>
  <si>
    <t xml:space="preserve">placed</t>
  </si>
  <si>
    <t xml:space="preserve">photo</t>
  </si>
  <si>
    <t xml:space="preserve">SAMPLE-PH-0001</t>
  </si>
  <si>
    <t xml:space="preserve">owner_report</t>
  </si>
  <si>
    <t xml:space="preserve">SAMPLE-PH-0002</t>
  </si>
  <si>
    <t xml:space="preserve">SAMPLE-PH-0003</t>
  </si>
  <si>
    <t xml:space="preserve">SAMPLE-PH-0004</t>
  </si>
  <si>
    <t xml:space="preserve">SAMPLE-PH-0005</t>
  </si>
  <si>
    <t xml:space="preserve">SAMPLE-PH-0006</t>
  </si>
  <si>
    <t xml:space="preserve">SAMPLE-PH-0007</t>
  </si>
  <si>
    <t xml:space="preserve">SAMPLE-PH-0008</t>
  </si>
  <si>
    <t xml:space="preserve">SAMPLE-PH-0009</t>
  </si>
  <si>
    <t xml:space="preserve">SAMPLE-PH-0011</t>
  </si>
  <si>
    <t xml:space="preserve">SAMPLE-PH-0012</t>
  </si>
  <si>
    <t xml:space="preserve">SAMPLE-PH-0014</t>
  </si>
  <si>
    <t xml:space="preserve">SAMPLE-PH-0016</t>
  </si>
  <si>
    <t xml:space="preserve">SAMPLE-PH-0017</t>
  </si>
  <si>
    <t xml:space="preserve">SAMPLE-PH-0019</t>
  </si>
  <si>
    <t xml:space="preserve">SAMPLE-PH-0101</t>
  </si>
  <si>
    <t xml:space="preserve">SAMPLE-PH-0102</t>
  </si>
  <si>
    <t xml:space="preserve">SAMPLE-PH-0103</t>
  </si>
  <si>
    <t xml:space="preserve">SAMPLE-PH-0104</t>
  </si>
  <si>
    <t xml:space="preserve">SAMPLE-PH-0105</t>
  </si>
  <si>
    <t xml:space="preserve">SAMPLE-PH-0106</t>
  </si>
  <si>
    <t xml:space="preserve">SAMPLE-PH-0107</t>
  </si>
  <si>
    <t xml:space="preserve">SAMPLE-PH-0108</t>
  </si>
  <si>
    <t xml:space="preserve">SAMPLE-PH-0109</t>
  </si>
  <si>
    <t xml:space="preserve">SAMPLE-PH-0110</t>
  </si>
  <si>
    <t xml:space="preserve">SAMPLE-PH-0111</t>
  </si>
  <si>
    <t xml:space="preserve">SAMPLE-PH-0112</t>
  </si>
  <si>
    <t xml:space="preserve">SAMPLE-PH-0113</t>
  </si>
  <si>
    <t xml:space="preserve">SAMPLE-PH-0114</t>
  </si>
  <si>
    <t xml:space="preserve">SAMPLE-PH-0115</t>
  </si>
  <si>
    <t xml:space="preserve">SAMPLE-PH-0116</t>
  </si>
  <si>
    <t xml:space="preserve">SAMPLE-PH-0117</t>
  </si>
  <si>
    <t xml:space="preserve">SAMPLE-PH-0118</t>
  </si>
  <si>
    <t xml:space="preserve">SAMPLE-PH-0119</t>
  </si>
  <si>
    <t xml:space="preserve">SAMPLE-PH-0120</t>
  </si>
  <si>
    <t xml:space="preserve">SAMPLE-PH-0121</t>
  </si>
  <si>
    <t xml:space="preserve">SAMPLE-PH-0122</t>
  </si>
  <si>
    <t xml:space="preserve">SAMPLE-PH-0123</t>
  </si>
  <si>
    <t xml:space="preserve">SAMPLE-PH-0124</t>
  </si>
  <si>
    <t xml:space="preserve">SAMPLE-PH-0125</t>
  </si>
  <si>
    <t xml:space="preserve">SAMPLE-PH-0126</t>
  </si>
  <si>
    <t xml:space="preserve">SAMPLE-PH-0127</t>
  </si>
  <si>
    <t xml:space="preserve">SAMPLE-PH-0128</t>
  </si>
  <si>
    <t xml:space="preserve">SAMPLE-PH-0129</t>
  </si>
  <si>
    <t xml:space="preserve">SAMPLE-PH-0130</t>
  </si>
  <si>
    <t xml:space="preserve">SAMPLE-PH-0131</t>
  </si>
  <si>
    <t xml:space="preserve">SAMPLE-PH-0132</t>
  </si>
  <si>
    <t xml:space="preserve">SAMPLE-PH-0133</t>
  </si>
  <si>
    <t xml:space="preserve">SAMPLE-PH-0134</t>
  </si>
  <si>
    <t xml:space="preserve">SAMPLE-PH-0135</t>
  </si>
  <si>
    <t xml:space="preserve">SAMPLE-PH-0136</t>
  </si>
  <si>
    <t xml:space="preserve">SAMPLE-PH-0137</t>
  </si>
  <si>
    <t xml:space="preserve">SAMPLE-PH-0138</t>
  </si>
  <si>
    <t xml:space="preserve">SAMPLE-PH-0139</t>
  </si>
  <si>
    <t xml:space="preserve">SAMPLE-PH-0140</t>
  </si>
  <si>
    <t xml:space="preserve">SAMPLE-PH-0141</t>
  </si>
  <si>
    <t xml:space="preserve">SAMPLE-PH-0142</t>
  </si>
  <si>
    <t xml:space="preserve">SAMPLE-PH-0143</t>
  </si>
  <si>
    <t xml:space="preserve">SAMPLE-PH-0144</t>
  </si>
  <si>
    <t xml:space="preserve">SAMPLE-PH-0145</t>
  </si>
  <si>
    <t xml:space="preserve">SAMPLE-PH-0146</t>
  </si>
  <si>
    <t xml:space="preserve">SAMPLE-PH-0147</t>
  </si>
  <si>
    <t xml:space="preserve">SAMPLE-PH-0148</t>
  </si>
  <si>
    <t xml:space="preserve">SAMPLE-PH-0149</t>
  </si>
  <si>
    <t xml:space="preserve">SAMPLE-PH-0150</t>
  </si>
  <si>
    <t xml:space="preserve">SAMPLE-PH-0151</t>
  </si>
  <si>
    <t xml:space="preserve">SAMPLE-PH-0152</t>
  </si>
  <si>
    <t xml:space="preserve">SAMPLE-PH-0153</t>
  </si>
  <si>
    <t xml:space="preserve">SAMPLE-PH-0154</t>
  </si>
  <si>
    <t xml:space="preserve">SAMPLE-PH-0155</t>
  </si>
  <si>
    <t xml:space="preserve">SAMPLE-PH-0156</t>
  </si>
  <si>
    <t xml:space="preserve">SAMPLE-PH-0157</t>
  </si>
  <si>
    <t xml:space="preserve">SAMPLE-PH-0158</t>
  </si>
  <si>
    <t xml:space="preserve">SAMPLE-PH-0501</t>
  </si>
  <si>
    <t xml:space="preserve">SAMPLE-PH-0502</t>
  </si>
  <si>
    <t xml:space="preserve">SAMPLE-PH-0503</t>
  </si>
  <si>
    <t xml:space="preserve">SAMPLE-PH-0504</t>
  </si>
  <si>
    <t xml:space="preserve">SAMPLE-PH-0505</t>
  </si>
  <si>
    <t xml:space="preserve">SAMPLE-PH-0506</t>
  </si>
  <si>
    <t xml:space="preserve">SAMPLE-PH-0507</t>
  </si>
  <si>
    <t xml:space="preserve">SAMPLE-PH-0508</t>
  </si>
  <si>
    <t xml:space="preserve">SAMPLE-PH-0509</t>
  </si>
  <si>
    <t xml:space="preserve">SAMPLE-PH-0510</t>
  </si>
  <si>
    <t xml:space="preserve">SAMPLE-PH-0511</t>
  </si>
  <si>
    <t xml:space="preserve">SAMPLE-PH-0512</t>
  </si>
  <si>
    <t xml:space="preserve">SAMPLE-PH-0513</t>
  </si>
  <si>
    <t xml:space="preserve">SAMPLE-PH-0514</t>
  </si>
  <si>
    <t xml:space="preserve">SAMPLE-PH-0515</t>
  </si>
  <si>
    <t xml:space="preserve">SAMPLE-PH-0516</t>
  </si>
  <si>
    <t xml:space="preserve">SAMPLE-PH-0517</t>
  </si>
  <si>
    <t xml:space="preserve">SAMPLE-PH-0518</t>
  </si>
  <si>
    <t xml:space="preserve">SAMPLE-PH-0701</t>
  </si>
  <si>
    <t xml:space="preserve">SAMPLE-PH-0702</t>
  </si>
  <si>
    <t xml:space="preserve">SAMPLE-PH-0703</t>
  </si>
  <si>
    <t xml:space="preserve">SAMPLE-PH-0704</t>
  </si>
  <si>
    <t xml:space="preserve">SAMPLE-PH-0705</t>
  </si>
  <si>
    <t xml:space="preserve">SAMPLE-PH-0706</t>
  </si>
  <si>
    <t xml:space="preserve">SAMPLE-PH-0707</t>
  </si>
  <si>
    <t xml:space="preserve">SAMPLE-PH-0708</t>
  </si>
  <si>
    <t xml:space="preserve">SAMPLE-PH-0709</t>
  </si>
  <si>
    <t xml:space="preserve">SAMPLE-PH-0710</t>
  </si>
  <si>
    <t xml:space="preserve">SAMPLE-PH-0711</t>
  </si>
  <si>
    <t xml:space="preserve">SAMPLE-PH-0712</t>
  </si>
  <si>
    <t xml:space="preserve">SAMPLE-PH-0713</t>
  </si>
  <si>
    <t xml:space="preserve">SAMPLE-PH-0714</t>
  </si>
  <si>
    <t xml:space="preserve">SAMPLE-PH-0715</t>
  </si>
  <si>
    <t xml:space="preserve">SAMPLE-PH-0716</t>
  </si>
  <si>
    <t xml:space="preserve">SAMPLE-PH-0717</t>
  </si>
  <si>
    <t xml:space="preserve">SAMPLE-PH-0718</t>
  </si>
  <si>
    <t xml:space="preserve">SAMPLE-PH-0719</t>
  </si>
  <si>
    <t xml:space="preserve">SAMPLE-PH-0720</t>
  </si>
  <si>
    <t xml:space="preserve">SAMPLE-PH-0721</t>
  </si>
  <si>
    <t xml:space="preserve">SAMPLE-PH-0722</t>
  </si>
  <si>
    <t xml:space="preserve">SAMPLE-PH-0723</t>
  </si>
  <si>
    <t xml:space="preserve">SAMPLE-PH-0724</t>
  </si>
  <si>
    <t xml:space="preserve">SAMPLE-PH-0725</t>
  </si>
  <si>
    <t xml:space="preserve">SAMPLE-PH-0726</t>
  </si>
  <si>
    <t xml:space="preserve">SAMPLE-PH-0727</t>
  </si>
  <si>
    <t xml:space="preserve">SAMPLE-PH-0728</t>
  </si>
  <si>
    <t xml:space="preserve">SAMPLE-PH-0729</t>
  </si>
  <si>
    <t xml:space="preserve">SAMPLE-PH-0730</t>
  </si>
  <si>
    <t xml:space="preserve">SAMPLE-PH-0731</t>
  </si>
  <si>
    <t xml:space="preserve">SAMPLE-PH-0732</t>
  </si>
  <si>
    <t xml:space="preserve">SAMPLE-PH-0733</t>
  </si>
  <si>
    <t xml:space="preserve">SAMPLE-PH-0734</t>
  </si>
  <si>
    <t xml:space="preserve">SAMPLE-PH-0735</t>
  </si>
  <si>
    <t xml:space="preserve">SAMPLE-PH-0736</t>
  </si>
  <si>
    <t xml:space="preserve">SAMPLE-PH-0737</t>
  </si>
  <si>
    <t xml:space="preserve">SAMPLE-PH-0738</t>
  </si>
  <si>
    <t xml:space="preserve">photo_type</t>
  </si>
  <si>
    <t xml:space="preserve">taken_date</t>
  </si>
  <si>
    <t xml:space="preserve">taken_time</t>
  </si>
  <si>
    <t xml:space="preserve">file_name</t>
  </si>
  <si>
    <t xml:space="preserve">received_date</t>
  </si>
  <si>
    <t xml:space="preserve">card_visible</t>
  </si>
  <si>
    <t xml:space="preserve">no_people_or_screens</t>
  </si>
  <si>
    <t xml:space="preserve">usable</t>
  </si>
  <si>
    <t xml:space="preserve">expected_file_name</t>
  </si>
  <si>
    <t xml:space="preserve">key2</t>
  </si>
  <si>
    <t xml:space="preserve">placement</t>
  </si>
  <si>
    <t xml:space="preserve">SAMPLE-CMP-001_SAMPLE-O-001_placement_2027-01-12.jpg</t>
  </si>
  <si>
    <t xml:space="preserve">later</t>
  </si>
  <si>
    <t xml:space="preserve">SAMPLE-CMP-001_SAMPLE-O-001_later_2027-01-19.jpg</t>
  </si>
  <si>
    <t xml:space="preserve">SAMPLE-CMP-001_SAMPLE-O-002_placement_2027-01-12.jpg</t>
  </si>
  <si>
    <t xml:space="preserve">SAMPLE-CMP-001_SAMPLE-O-002_later_2027-01-19.jpg</t>
  </si>
  <si>
    <t xml:space="preserve">SAMPLE-CMP-001_SAMPLE-O-003_placement_2027-01-12.jpg</t>
  </si>
  <si>
    <t xml:space="preserve">SAMPLE-CMP-001_SAMPLE-O-003_later_2027-01-19.jpg</t>
  </si>
  <si>
    <t xml:space="preserve">SAMPLE-CMP-001_SAMPLE-O-004_placement_2027-01-14.jpg</t>
  </si>
  <si>
    <t xml:space="preserve">SAMPLE-CMP-001_SAMPLE-O-004_later_2027-01-19.jpg</t>
  </si>
  <si>
    <t xml:space="preserve">SAMPLE-CMP-001_SAMPLE-O-005_placement_2027-01-12.jpg</t>
  </si>
  <si>
    <t xml:space="preserve">SAMPLE-PH-0010</t>
  </si>
  <si>
    <t xml:space="preserve">SAMPLE-CMP-001_SAMPLE-O-005_later_2027-01-19.jpg</t>
  </si>
  <si>
    <t xml:space="preserve">SAMPLE a person's face is visible: never used</t>
  </si>
  <si>
    <t xml:space="preserve">SAMPLE resent on request</t>
  </si>
  <si>
    <t xml:space="preserve">SAMPLE-CMP-002_SAMPLE-O-001_placement_2027-01-12.jpg</t>
  </si>
  <si>
    <t xml:space="preserve">SAMPLE-PH-0013</t>
  </si>
  <si>
    <t xml:space="preserve">SAMPLE-CMP-002_SAMPLE-O-001_later_2027-01-19.jpg</t>
  </si>
  <si>
    <t xml:space="preserve">SAMPLE-CMP-002_SAMPLE-O-002_placement_2027-01-12.jpg</t>
  </si>
  <si>
    <t xml:space="preserve">SAMPLE-PH-0015</t>
  </si>
  <si>
    <t xml:space="preserve">SAMPLE-CMP-002_SAMPLE-O-002_later_2027-01-14.jpg</t>
  </si>
  <si>
    <t xml:space="preserve">SAMPLE-CMP-002_SAMPLE-O-003_placement_2027-01-12.jpg</t>
  </si>
  <si>
    <t xml:space="preserve">SAMPLE-CMP-002_SAMPLE-O-004_placement_2027-01-13.jpg</t>
  </si>
  <si>
    <t xml:space="preserve">SAMPLE-PH-0018</t>
  </si>
  <si>
    <t xml:space="preserve">SAMPLE-CMP-002_SAMPLE-O-004_later_2027-01-19.jpg</t>
  </si>
  <si>
    <t xml:space="preserve">SAMPLE-CMP-002_SAMPLE-O-005_placement_2027-01-12.jpg</t>
  </si>
  <si>
    <t xml:space="preserve">SAMPLE-PH-0020</t>
  </si>
  <si>
    <t xml:space="preserve">SAMPLE-CMP-002_SAMPLE-O-005_later_2027-01-19.jpg</t>
  </si>
  <si>
    <t xml:space="preserve">SAMPLE-CMP-003_SAMPLE-O-001_placement_2027-02-09.jpg</t>
  </si>
  <si>
    <t xml:space="preserve">SAMPLE-CMP-003_SAMPLE-O-001_later_2027-02-16.jpg</t>
  </si>
  <si>
    <t xml:space="preserve">SAMPLE-CMP-003_SAMPLE-O-002_placement_2027-02-09.jpg</t>
  </si>
  <si>
    <t xml:space="preserve">SAMPLE-CMP-003_SAMPLE-O-002_later_2027-02-16.jpg</t>
  </si>
  <si>
    <t xml:space="preserve">SAMPLE-CMP-003_SAMPLE-O-003_placement_2027-02-09.jpg</t>
  </si>
  <si>
    <t xml:space="preserve">SAMPLE-CMP-003_SAMPLE-O-003_later_2027-02-16.jpg</t>
  </si>
  <si>
    <t xml:space="preserve">SAMPLE-CMP-003_SAMPLE-O-004_placement_2027-02-10.jpg</t>
  </si>
  <si>
    <t xml:space="preserve">SAMPLE-CMP-003_SAMPLE-O-004_later_2027-02-16.jpg</t>
  </si>
  <si>
    <t xml:space="preserve">SAMPLE-CMP-003_SAMPLE-O-005_placement_2027-02-09.jpg</t>
  </si>
  <si>
    <t xml:space="preserve">SAMPLE-CMP-003_SAMPLE-O-005_later_2027-02-16.jpg</t>
  </si>
  <si>
    <t xml:space="preserve">SAMPLE-CMP-003_SAMPLE-O-006_placement_2027-02-09.jpg</t>
  </si>
  <si>
    <t xml:space="preserve">SAMPLE-CMP-003_SAMPLE-O-006_later_2027-02-16.jpg</t>
  </si>
  <si>
    <t xml:space="preserve">SAMPLE-CMP-003_SAMPLE-O-007_placement_2027-02-09.jpg</t>
  </si>
  <si>
    <t xml:space="preserve">SAMPLE-CMP-003_SAMPLE-O-007_later_2027-02-16.jpg</t>
  </si>
  <si>
    <t xml:space="preserve">SAMPLE-CMP-003_SAMPLE-O-008_placement_2027-02-09.jpg</t>
  </si>
  <si>
    <t xml:space="preserve">SAMPLE-CMP-003_SAMPLE-O-008_later_2027-02-16.jpg</t>
  </si>
  <si>
    <t xml:space="preserve">SAMPLE-CMP-003_SAMPLE-O-009_placement_2027-02-10.jpg</t>
  </si>
  <si>
    <t xml:space="preserve">SAMPLE-CMP-003_SAMPLE-O-009_later_2027-02-16.jpg</t>
  </si>
  <si>
    <t xml:space="preserve">SAMPLE-CMP-003_SAMPLE-O-010_placement_2027-02-09.jpg</t>
  </si>
  <si>
    <t xml:space="preserve">SAMPLE-CMP-003_SAMPLE-O-010_later_2027-02-16.jpg</t>
  </si>
  <si>
    <t xml:space="preserve">SAMPLE-CMP-004_SAMPLE-O-001_placement_2027-02-09.jpg</t>
  </si>
  <si>
    <t xml:space="preserve">SAMPLE-CMP-004_SAMPLE-O-001_later_2027-02-16.jpg</t>
  </si>
  <si>
    <t xml:space="preserve">SAMPLE-CMP-004_SAMPLE-O-002_placement_2027-02-09.jpg</t>
  </si>
  <si>
    <t xml:space="preserve">SAMPLE-CMP-004_SAMPLE-O-002_later_2027-02-16.jpg</t>
  </si>
  <si>
    <t xml:space="preserve">SAMPLE-CMP-004_SAMPLE-O-003_placement_2027-02-09.jpg</t>
  </si>
  <si>
    <t xml:space="preserve">SAMPLE-CMP-004_SAMPLE-O-003_later_2027-02-16.jpg</t>
  </si>
  <si>
    <t xml:space="preserve">SAMPLE-CMP-004_SAMPLE-O-004_placement_2027-02-10.jpg</t>
  </si>
  <si>
    <t xml:space="preserve">SAMPLE-CMP-004_SAMPLE-O-004_later_2027-02-16.jpg</t>
  </si>
  <si>
    <t xml:space="preserve">SAMPLE-CMP-004_SAMPLE-O-005_placement_2027-02-09.jpg</t>
  </si>
  <si>
    <t xml:space="preserve">SAMPLE-CMP-004_SAMPLE-O-005_later_2027-02-16.jpg</t>
  </si>
  <si>
    <t xml:space="preserve">SAMPLE-CMP-004_SAMPLE-O-006_placement_2027-02-09.jpg</t>
  </si>
  <si>
    <t xml:space="preserve">SAMPLE-CMP-004_SAMPLE-O-006_later_2027-02-16.jpg</t>
  </si>
  <si>
    <t xml:space="preserve">SAMPLE-CMP-004_SAMPLE-O-008_placement_2027-02-09.jpg</t>
  </si>
  <si>
    <t xml:space="preserve">SAMPLE-CMP-004_SAMPLE-O-008_later_2027-02-16.jpg</t>
  </si>
  <si>
    <t xml:space="preserve">SAMPLE-CMP-004_SAMPLE-O-009_placement_2027-02-10.jpg</t>
  </si>
  <si>
    <t xml:space="preserve">SAMPLE-CMP-004_SAMPLE-O-009_later_2027-02-16.jpg</t>
  </si>
  <si>
    <t xml:space="preserve">SAMPLE-CMP-004_SAMPLE-O-010_placement_2027-02-09.jpg</t>
  </si>
  <si>
    <t xml:space="preserve">SAMPLE-CMP-004_SAMPLE-O-010_later_2027-02-16.jpg</t>
  </si>
  <si>
    <t xml:space="preserve">SAMPLE-CMP-005_SAMPLE-O-001_placement_2027-02-09.jpg</t>
  </si>
  <si>
    <t xml:space="preserve">SAMPLE-CMP-005_SAMPLE-O-001_later_2027-02-16.jpg</t>
  </si>
  <si>
    <t xml:space="preserve">SAMPLE-CMP-005_SAMPLE-O-002_placement_2027-02-09.jpg</t>
  </si>
  <si>
    <t xml:space="preserve">SAMPLE-CMP-005_SAMPLE-O-002_later_2027-02-16.jpg</t>
  </si>
  <si>
    <t xml:space="preserve">SAMPLE-CMP-005_SAMPLE-O-003_placement_2027-02-09.jpg</t>
  </si>
  <si>
    <t xml:space="preserve">SAMPLE-CMP-005_SAMPLE-O-003_later_2027-02-16.jpg</t>
  </si>
  <si>
    <t xml:space="preserve">SAMPLE-CMP-005_SAMPLE-O-004_placement_2027-02-10.jpg</t>
  </si>
  <si>
    <t xml:space="preserve">SAMPLE-CMP-005_SAMPLE-O-004_later_2027-02-16.jpg</t>
  </si>
  <si>
    <t xml:space="preserve">SAMPLE-CMP-005_SAMPLE-O-005_placement_2027-02-09.jpg</t>
  </si>
  <si>
    <t xml:space="preserve">SAMPLE-CMP-005_SAMPLE-O-005_later_2027-02-16.jpg</t>
  </si>
  <si>
    <t xml:space="preserve">SAMPLE-CMP-005_SAMPLE-O-006_placement_2027-02-09.jpg</t>
  </si>
  <si>
    <t xml:space="preserve">SAMPLE-CMP-005_SAMPLE-O-006_later_2027-02-16.jpg</t>
  </si>
  <si>
    <t xml:space="preserve">SAMPLE-CMP-005_SAMPLE-O-007_placement_2027-02-09.jpg</t>
  </si>
  <si>
    <t xml:space="preserve">SAMPLE-CMP-005_SAMPLE-O-007_later_2027-02-16.jpg</t>
  </si>
  <si>
    <t xml:space="preserve">SAMPLE-CMP-005_SAMPLE-O-008_placement_2027-02-09.jpg</t>
  </si>
  <si>
    <t xml:space="preserve">SAMPLE-CMP-005_SAMPLE-O-008_later_2027-02-16.jpg</t>
  </si>
  <si>
    <t xml:space="preserve">SAMPLE-CMP-005_SAMPLE-O-009_placement_2027-02-10.jpg</t>
  </si>
  <si>
    <t xml:space="preserve">SAMPLE-CMP-005_SAMPLE-O-009_later_2027-02-16.jpg</t>
  </si>
  <si>
    <t xml:space="preserve">SAMPLE-CMP-005_SAMPLE-O-010_placement_2027-02-09.jpg</t>
  </si>
  <si>
    <t xml:space="preserve">SAMPLE-CMP-005_SAMPLE-O-010_later_2027-02-16.jpg</t>
  </si>
  <si>
    <t xml:space="preserve">SAMPLE-CMP-006_SAMPLE-O-001_placement_2027-02-23.jpg</t>
  </si>
  <si>
    <t xml:space="preserve">SAMPLE-CMP-006_SAMPLE-O-001_later_2027-03-01.jpg</t>
  </si>
  <si>
    <t xml:space="preserve">SAMPLE-CMP-006_SAMPLE-O-002_placement_2027-02-23.jpg</t>
  </si>
  <si>
    <t xml:space="preserve">SAMPLE-CMP-006_SAMPLE-O-002_later_2027-03-01.jpg</t>
  </si>
  <si>
    <t xml:space="preserve">SAMPLE-CMP-006_SAMPLE-O-003_placement_2027-02-23.jpg</t>
  </si>
  <si>
    <t xml:space="preserve">SAMPLE-CMP-006_SAMPLE-O-003_later_2027-03-01.jpg</t>
  </si>
  <si>
    <t xml:space="preserve">SAMPLE-CMP-006_SAMPLE-O-004_placement_2027-02-23.jpg</t>
  </si>
  <si>
    <t xml:space="preserve">SAMPLE-CMP-006_SAMPLE-O-004_later_2027-03-01.jpg</t>
  </si>
  <si>
    <t xml:space="preserve">SAMPLE-CMP-006_SAMPLE-O-005_placement_2027-02-23.jpg</t>
  </si>
  <si>
    <t xml:space="preserve">SAMPLE-CMP-006_SAMPLE-O-005_later_2027-03-01.jpg</t>
  </si>
  <si>
    <t xml:space="preserve">SAMPLE-CMP-006_SAMPLE-O-007_placement_2027-02-23.jpg</t>
  </si>
  <si>
    <t xml:space="preserve">SAMPLE-CMP-006_SAMPLE-O-007_later_2027-03-01.jpg</t>
  </si>
  <si>
    <t xml:space="preserve">SAMPLE-CMP-006_SAMPLE-O-008_placement_2027-02-23.jpg</t>
  </si>
  <si>
    <t xml:space="preserve">SAMPLE-CMP-006_SAMPLE-O-008_later_2027-03-01.jpg</t>
  </si>
  <si>
    <t xml:space="preserve">SAMPLE-CMP-006_SAMPLE-O-009_placement_2027-02-23.jpg</t>
  </si>
  <si>
    <t xml:space="preserve">SAMPLE-CMP-006_SAMPLE-O-009_later_2027-03-01.jpg</t>
  </si>
  <si>
    <t xml:space="preserve">SAMPLE-CMP-006_SAMPLE-O-010_placement_2027-02-23.jpg</t>
  </si>
  <si>
    <t xml:space="preserve">SAMPLE-CMP-006_SAMPLE-O-010_later_2027-03-01.jpg</t>
  </si>
  <si>
    <t xml:space="preserve">SAMPLE-CMP-007_SAMPLE-O-001_placement_2027-03-23.jpg</t>
  </si>
  <si>
    <t xml:space="preserve">SAMPLE-CMP-007_SAMPLE-O-001_later_2027-03-29.jpg</t>
  </si>
  <si>
    <t xml:space="preserve">SAMPLE-CMP-007_SAMPLE-O-002_placement_2027-03-23.jpg</t>
  </si>
  <si>
    <t xml:space="preserve">SAMPLE-CMP-007_SAMPLE-O-002_later_2027-03-29.jpg</t>
  </si>
  <si>
    <t xml:space="preserve">SAMPLE-CMP-007_SAMPLE-O-003_placement_2027-03-23.jpg</t>
  </si>
  <si>
    <t xml:space="preserve">SAMPLE-CMP-007_SAMPLE-O-003_later_2027-03-29.jpg</t>
  </si>
  <si>
    <t xml:space="preserve">SAMPLE-CMP-007_SAMPLE-O-004_placement_2027-03-23.jpg</t>
  </si>
  <si>
    <t xml:space="preserve">SAMPLE-CMP-007_SAMPLE-O-004_later_2027-03-29.jpg</t>
  </si>
  <si>
    <t xml:space="preserve">SAMPLE-CMP-007_SAMPLE-O-005_placement_2027-03-23.jpg</t>
  </si>
  <si>
    <t xml:space="preserve">SAMPLE-CMP-007_SAMPLE-O-005_later_2027-03-29.jpg</t>
  </si>
  <si>
    <t xml:space="preserve">SAMPLE-CMP-007_SAMPLE-O-006_placement_2027-03-23.jpg</t>
  </si>
  <si>
    <t xml:space="preserve">SAMPLE-CMP-007_SAMPLE-O-006_later_2027-03-29.jpg</t>
  </si>
  <si>
    <t xml:space="preserve">SAMPLE-CMP-007_SAMPLE-O-007_placement_2027-03-23.jpg</t>
  </si>
  <si>
    <t xml:space="preserve">SAMPLE-CMP-007_SAMPLE-O-007_later_2027-03-29.jpg</t>
  </si>
  <si>
    <t xml:space="preserve">SAMPLE-CMP-007_SAMPLE-O-008_placement_2027-03-23.jpg</t>
  </si>
  <si>
    <t xml:space="preserve">SAMPLE-CMP-007_SAMPLE-O-008_later_2027-03-29.jpg</t>
  </si>
  <si>
    <t xml:space="preserve">SAMPLE-CMP-007_SAMPLE-O-009_placement_2027-03-23.jpg</t>
  </si>
  <si>
    <t xml:space="preserve">SAMPLE-CMP-007_SAMPLE-O-009_later_2027-03-29.jpg</t>
  </si>
  <si>
    <t xml:space="preserve">SAMPLE-CMP-007_SAMPLE-O-010_placement_2027-03-23.jpg</t>
  </si>
  <si>
    <t xml:space="preserve">SAMPLE-CMP-007_SAMPLE-O-010_later_2027-03-29.jpg</t>
  </si>
  <si>
    <t xml:space="preserve">SAMPLE-CMP-008_SAMPLE-O-001_placement_2027-03-23.jpg</t>
  </si>
  <si>
    <t xml:space="preserve">SAMPLE-CMP-008_SAMPLE-O-001_later_2027-03-29.jpg</t>
  </si>
  <si>
    <t xml:space="preserve">SAMPLE-CMP-008_SAMPLE-O-002_placement_2027-03-23.jpg</t>
  </si>
  <si>
    <t xml:space="preserve">SAMPLE-CMP-008_SAMPLE-O-002_later_2027-03-29.jpg</t>
  </si>
  <si>
    <t xml:space="preserve">SAMPLE-CMP-008_SAMPLE-O-003_placement_2027-03-23.jpg</t>
  </si>
  <si>
    <t xml:space="preserve">SAMPLE-CMP-008_SAMPLE-O-003_later_2027-03-29.jpg</t>
  </si>
  <si>
    <t xml:space="preserve">SAMPLE-CMP-008_SAMPLE-O-004_placement_2027-03-23.jpg</t>
  </si>
  <si>
    <t xml:space="preserve">SAMPLE-CMP-008_SAMPLE-O-004_later_2027-03-29.jpg</t>
  </si>
  <si>
    <t xml:space="preserve">SAMPLE-CMP-008_SAMPLE-O-005_placement_2027-03-23.jpg</t>
  </si>
  <si>
    <t xml:space="preserve">SAMPLE-CMP-008_SAMPLE-O-005_later_2027-03-29.jpg</t>
  </si>
  <si>
    <t xml:space="preserve">SAMPLE-CMP-008_SAMPLE-O-006_placement_2027-03-23.jpg</t>
  </si>
  <si>
    <t xml:space="preserve">SAMPLE-CMP-008_SAMPLE-O-006_later_2027-03-29.jpg</t>
  </si>
  <si>
    <t xml:space="preserve">SAMPLE-CMP-008_SAMPLE-O-007_placement_2027-03-23.jpg</t>
  </si>
  <si>
    <t xml:space="preserve">SAMPLE-CMP-008_SAMPLE-O-007_later_2027-03-29.jpg</t>
  </si>
  <si>
    <t xml:space="preserve">SAMPLE-CMP-008_SAMPLE-O-009_placement_2027-03-23.jpg</t>
  </si>
  <si>
    <t xml:space="preserve">SAMPLE-CMP-008_SAMPLE-O-009_later_2027-03-29.jpg</t>
  </si>
  <si>
    <t xml:space="preserve">SAMPLE-CMP-008_SAMPLE-O-010_placement_2027-03-23.jpg</t>
  </si>
  <si>
    <t xml:space="preserve">SAMPLE-CMP-008_SAMPLE-O-010_later_2027-03-29.jpg</t>
  </si>
  <si>
    <t xml:space="preserve">link_type</t>
  </si>
  <si>
    <t xml:space="preserve">slug</t>
  </si>
  <si>
    <t xml:space="preserve">short_url</t>
  </si>
  <si>
    <t xml:space="preserve">destination_url</t>
  </si>
  <si>
    <t xml:space="preserve">qr_file</t>
  </si>
  <si>
    <t xml:space="preserve">read_date</t>
  </si>
  <si>
    <t xml:space="preserve">read_time</t>
  </si>
  <si>
    <t xml:space="preserve">reading_type</t>
  </si>
  <si>
    <t xml:space="preserve">clicks_to_date</t>
  </si>
  <si>
    <t xml:space="preserve">SAMPLE-c001-o001-q</t>
  </si>
  <si>
    <t xml:space="preserve">baseline</t>
  </si>
  <si>
    <t xml:space="preserve">mid</t>
  </si>
  <si>
    <t xml:space="preserve">close</t>
  </si>
  <si>
    <t xml:space="preserve">late</t>
  </si>
  <si>
    <t xml:space="preserve">SAMPLE-c001-o001-p</t>
  </si>
  <si>
    <t xml:space="preserve">SAMPLE-c001-o002-q</t>
  </si>
  <si>
    <t xml:space="preserve">SAMPLE-c001-o002-p</t>
  </si>
  <si>
    <t xml:space="preserve">SAMPLE-c001-o003-q</t>
  </si>
  <si>
    <t xml:space="preserve">SAMPLE-c001-o003-p</t>
  </si>
  <si>
    <t xml:space="preserve">SAMPLE-c001-o004-q</t>
  </si>
  <si>
    <t xml:space="preserve">SAMPLE-c001-o004-p</t>
  </si>
  <si>
    <t xml:space="preserve">SAMPLE-c001-o005-q</t>
  </si>
  <si>
    <t xml:space="preserve">SAMPLE-c001-o005-p</t>
  </si>
  <si>
    <t xml:space="preserve">SAMPLE-c002-o001-q</t>
  </si>
  <si>
    <t xml:space="preserve">SAMPLE-c002-o001-p</t>
  </si>
  <si>
    <t xml:space="preserve">SAMPLE-c002-o002-q</t>
  </si>
  <si>
    <t xml:space="preserve">SAMPLE-c002-o002-p</t>
  </si>
  <si>
    <t xml:space="preserve">SAMPLE-c002-o003-q</t>
  </si>
  <si>
    <t xml:space="preserve">SAMPLE-c002-o003-p</t>
  </si>
  <si>
    <t xml:space="preserve">SAMPLE-c002-o004-q</t>
  </si>
  <si>
    <t xml:space="preserve">SAMPLE-c002-o004-p</t>
  </si>
  <si>
    <t xml:space="preserve">SAMPLE-c002-o005-q</t>
  </si>
  <si>
    <t xml:space="preserve">SAMPLE-c002-o005-p</t>
  </si>
  <si>
    <t xml:space="preserve">SAMPLE-c003-o001-q</t>
  </si>
  <si>
    <t xml:space="preserve">SAMPLE-c003-o001-p</t>
  </si>
  <si>
    <t xml:space="preserve">SAMPLE-c003-o002-q</t>
  </si>
  <si>
    <t xml:space="preserve">SAMPLE-c003-o002-p</t>
  </si>
  <si>
    <t xml:space="preserve">SAMPLE-c003-o003-q</t>
  </si>
  <si>
    <t xml:space="preserve">SAMPLE-c003-o003-p</t>
  </si>
  <si>
    <t xml:space="preserve">SAMPLE-c003-o004-q</t>
  </si>
  <si>
    <t xml:space="preserve">SAMPLE-c003-o004-p</t>
  </si>
  <si>
    <t xml:space="preserve">SAMPLE-c003-o005-q</t>
  </si>
  <si>
    <t xml:space="preserve">SAMPLE-c003-o005-p</t>
  </si>
  <si>
    <t xml:space="preserve">SAMPLE-c003-o006-q</t>
  </si>
  <si>
    <t xml:space="preserve">SAMPLE-c003-o006-p</t>
  </si>
  <si>
    <t xml:space="preserve">SAMPLE-c003-o007-q</t>
  </si>
  <si>
    <t xml:space="preserve">SAMPLE-c003-o007-p</t>
  </si>
  <si>
    <t xml:space="preserve">SAMPLE-c003-o008-q</t>
  </si>
  <si>
    <t xml:space="preserve">SAMPLE-c003-o008-p</t>
  </si>
  <si>
    <t xml:space="preserve">SAMPLE-c003-o009-q</t>
  </si>
  <si>
    <t xml:space="preserve">SAMPLE-c003-o009-p</t>
  </si>
  <si>
    <t xml:space="preserve">SAMPLE-c003-o010-q</t>
  </si>
  <si>
    <t xml:space="preserve">SAMPLE-c003-o010-p</t>
  </si>
  <si>
    <t xml:space="preserve">SAMPLE-c004-o001-q</t>
  </si>
  <si>
    <t xml:space="preserve">SAMPLE-c004-o001-p</t>
  </si>
  <si>
    <t xml:space="preserve">SAMPLE-c004-o002-q</t>
  </si>
  <si>
    <t xml:space="preserve">SAMPLE-c004-o002-p</t>
  </si>
  <si>
    <t xml:space="preserve">SAMPLE-c004-o003-q</t>
  </si>
  <si>
    <t xml:space="preserve">SAMPLE-c004-o003-p</t>
  </si>
  <si>
    <t xml:space="preserve">SAMPLE-c004-o004-q</t>
  </si>
  <si>
    <t xml:space="preserve">SAMPLE-c004-o004-p</t>
  </si>
  <si>
    <t xml:space="preserve">SAMPLE-c004-o005-q</t>
  </si>
  <si>
    <t xml:space="preserve">SAMPLE-c004-o005-p</t>
  </si>
  <si>
    <t xml:space="preserve">SAMPLE-c004-o006-q</t>
  </si>
  <si>
    <t xml:space="preserve">SAMPLE-c004-o006-p</t>
  </si>
  <si>
    <t xml:space="preserve">SAMPLE-c004-o008-q</t>
  </si>
  <si>
    <t xml:space="preserve">SAMPLE-c004-o008-p</t>
  </si>
  <si>
    <t xml:space="preserve">SAMPLE-c004-o009-q</t>
  </si>
  <si>
    <t xml:space="preserve">SAMPLE-c004-o009-p</t>
  </si>
  <si>
    <t xml:space="preserve">SAMPLE-c004-o010-q</t>
  </si>
  <si>
    <t xml:space="preserve">SAMPLE-c004-o010-p</t>
  </si>
  <si>
    <t xml:space="preserve">SAMPLE-c005-o001-q</t>
  </si>
  <si>
    <t xml:space="preserve">SAMPLE-c005-o001-p</t>
  </si>
  <si>
    <t xml:space="preserve">SAMPLE-c005-o002-q</t>
  </si>
  <si>
    <t xml:space="preserve">SAMPLE-c005-o002-p</t>
  </si>
  <si>
    <t xml:space="preserve">SAMPLE-c005-o003-q</t>
  </si>
  <si>
    <t xml:space="preserve">SAMPLE-c005-o003-p</t>
  </si>
  <si>
    <t xml:space="preserve">SAMPLE-c005-o004-q</t>
  </si>
  <si>
    <t xml:space="preserve">SAMPLE-c005-o004-p</t>
  </si>
  <si>
    <t xml:space="preserve">SAMPLE-c005-o005-q</t>
  </si>
  <si>
    <t xml:space="preserve">SAMPLE-c005-o005-p</t>
  </si>
  <si>
    <t xml:space="preserve">SAMPLE-c005-o006-q</t>
  </si>
  <si>
    <t xml:space="preserve">SAMPLE-c005-o006-p</t>
  </si>
  <si>
    <t xml:space="preserve">SAMPLE-c005-o007-q</t>
  </si>
  <si>
    <t xml:space="preserve">SAMPLE-c005-o007-p</t>
  </si>
  <si>
    <t xml:space="preserve">SAMPLE-c005-o008-q</t>
  </si>
  <si>
    <t xml:space="preserve">SAMPLE-c005-o008-p</t>
  </si>
  <si>
    <t xml:space="preserve">SAMPLE-c005-o009-q</t>
  </si>
  <si>
    <t xml:space="preserve">SAMPLE-c005-o009-p</t>
  </si>
  <si>
    <t xml:space="preserve">SAMPLE-c005-o010-q</t>
  </si>
  <si>
    <t xml:space="preserve">SAMPLE-c005-o010-p</t>
  </si>
  <si>
    <t xml:space="preserve">SAMPLE-c006-o001-q</t>
  </si>
  <si>
    <t xml:space="preserve">SAMPLE-c006-o001-p</t>
  </si>
  <si>
    <t xml:space="preserve">SAMPLE-c006-o002-q</t>
  </si>
  <si>
    <t xml:space="preserve">SAMPLE-c006-o002-p</t>
  </si>
  <si>
    <t xml:space="preserve">SAMPLE-c006-o003-q</t>
  </si>
  <si>
    <t xml:space="preserve">SAMPLE-c006-o003-p</t>
  </si>
  <si>
    <t xml:space="preserve">SAMPLE-c006-o004-q</t>
  </si>
  <si>
    <t xml:space="preserve">SAMPLE-c006-o004-p</t>
  </si>
  <si>
    <t xml:space="preserve">SAMPLE-c006-o005-q</t>
  </si>
  <si>
    <t xml:space="preserve">SAMPLE-c006-o005-p</t>
  </si>
  <si>
    <t xml:space="preserve">SAMPLE-c006-o006-q</t>
  </si>
  <si>
    <t xml:space="preserve">SAMPLE-c006-o006-p</t>
  </si>
  <si>
    <t xml:space="preserve">SAMPLE-c006-o007-q</t>
  </si>
  <si>
    <t xml:space="preserve">SAMPLE-c006-o007-p</t>
  </si>
  <si>
    <t xml:space="preserve">SAMPLE-c006-o008-q</t>
  </si>
  <si>
    <t xml:space="preserve">SAMPLE-c006-o008-p</t>
  </si>
  <si>
    <t xml:space="preserve">SAMPLE-c006-o009-q</t>
  </si>
  <si>
    <t xml:space="preserve">SAMPLE-c006-o009-p</t>
  </si>
  <si>
    <t xml:space="preserve">SAMPLE-c006-o010-q</t>
  </si>
  <si>
    <t xml:space="preserve">SAMPLE-c006-o010-p</t>
  </si>
  <si>
    <t xml:space="preserve">SAMPLE-c007-o001-q</t>
  </si>
  <si>
    <t xml:space="preserve">SAMPLE-c007-o001-p</t>
  </si>
  <si>
    <t xml:space="preserve">SAMPLE-c007-o002-q</t>
  </si>
  <si>
    <t xml:space="preserve">SAMPLE-c007-o002-p</t>
  </si>
  <si>
    <t xml:space="preserve">SAMPLE-c007-o003-q</t>
  </si>
  <si>
    <t xml:space="preserve">SAMPLE-c007-o003-p</t>
  </si>
  <si>
    <t xml:space="preserve">SAMPLE-c007-o004-q</t>
  </si>
  <si>
    <t xml:space="preserve">SAMPLE-c007-o004-p</t>
  </si>
  <si>
    <t xml:space="preserve">SAMPLE-c007-o005-q</t>
  </si>
  <si>
    <t xml:space="preserve">SAMPLE-c007-o005-p</t>
  </si>
  <si>
    <t xml:space="preserve">SAMPLE-c007-o006-q</t>
  </si>
  <si>
    <t xml:space="preserve">SAMPLE-c007-o006-p</t>
  </si>
  <si>
    <t xml:space="preserve">SAMPLE-c007-o007-q</t>
  </si>
  <si>
    <t xml:space="preserve">SAMPLE-c007-o007-p</t>
  </si>
  <si>
    <t xml:space="preserve">SAMPLE-c007-o008-q</t>
  </si>
  <si>
    <t xml:space="preserve">SAMPLE-c007-o008-p</t>
  </si>
  <si>
    <t xml:space="preserve">SAMPLE-c007-o009-q</t>
  </si>
  <si>
    <t xml:space="preserve">SAMPLE-c007-o009-p</t>
  </si>
  <si>
    <t xml:space="preserve">SAMPLE-c007-o010-q</t>
  </si>
  <si>
    <t xml:space="preserve">SAMPLE-c007-o010-p</t>
  </si>
  <si>
    <t xml:space="preserve">SAMPLE-c008-o001-q</t>
  </si>
  <si>
    <t xml:space="preserve">SAMPLE-c008-o001-p</t>
  </si>
  <si>
    <t xml:space="preserve">SAMPLE-c008-o002-q</t>
  </si>
  <si>
    <t xml:space="preserve">SAMPLE-c008-o002-p</t>
  </si>
  <si>
    <t xml:space="preserve">SAMPLE-c008-o003-q</t>
  </si>
  <si>
    <t xml:space="preserve">SAMPLE-c008-o003-p</t>
  </si>
  <si>
    <t xml:space="preserve">SAMPLE-c008-o004-q</t>
  </si>
  <si>
    <t xml:space="preserve">SAMPLE-c008-o004-p</t>
  </si>
  <si>
    <t xml:space="preserve">SAMPLE-c008-o005-q</t>
  </si>
  <si>
    <t xml:space="preserve">SAMPLE-c008-o005-p</t>
  </si>
  <si>
    <t xml:space="preserve">SAMPLE-c008-o006-q</t>
  </si>
  <si>
    <t xml:space="preserve">SAMPLE-c008-o006-p</t>
  </si>
  <si>
    <t xml:space="preserve">SAMPLE-c008-o007-q</t>
  </si>
  <si>
    <t xml:space="preserve">SAMPLE-c008-o007-p</t>
  </si>
  <si>
    <t xml:space="preserve">SAMPLE-c008-o008-q</t>
  </si>
  <si>
    <t xml:space="preserve">SAMPLE-c008-o008-p</t>
  </si>
  <si>
    <t xml:space="preserve">SAMPLE-c008-o009-q</t>
  </si>
  <si>
    <t xml:space="preserve">SAMPLE-c008-o009-p</t>
  </si>
  <si>
    <t xml:space="preserve">SAMPLE-c008-o010-q</t>
  </si>
  <si>
    <t xml:space="preserve">SAMPLE-c008-o010-p</t>
  </si>
  <si>
    <t xml:space="preserve">as_of_date</t>
  </si>
  <si>
    <t xml:space="preserve">redemptions_to_date</t>
  </si>
  <si>
    <t xml:space="preserve">reported_date</t>
  </si>
  <si>
    <t xml:space="preserve">reported_by_role</t>
  </si>
  <si>
    <t xml:space="preserve">days_after_drop</t>
  </si>
  <si>
    <t xml:space="preserve">is_day30</t>
  </si>
  <si>
    <t xml:space="preserve">SAMPLE brand co-founder</t>
  </si>
  <si>
    <t xml:space="preserve">SAMPLE brand marketing lead</t>
  </si>
  <si>
    <t xml:space="preserve">issue_id</t>
  </si>
  <si>
    <t xml:space="preserve">issue_type</t>
  </si>
  <si>
    <t xml:space="preserve">what_happened</t>
  </si>
  <si>
    <t xml:space="preserve">action_taken</t>
  </si>
  <si>
    <t xml:space="preserve">brand_told_date</t>
  </si>
  <si>
    <t xml:space="preserve">office_told_date</t>
  </si>
  <si>
    <t xml:space="preserve">closed_date</t>
  </si>
  <si>
    <t xml:space="preserve">days_open</t>
  </si>
  <si>
    <t xml:space="preserve">SAMPLE-ISS-001</t>
  </si>
  <si>
    <t xml:space="preserve">damaged_or_short_dated</t>
  </si>
  <si>
    <t xml:space="preserve">SAMPLE 12 cans with best-by 2027-03-01 (under 60 days on the drop day) and 4 dented cans on arrival.</t>
  </si>
  <si>
    <t xml:space="preserve">SAMPLE photographed, set aside, counts sent; brand asked for return with the leftovers.</t>
  </si>
  <si>
    <t xml:space="preserve">SAMPLE-ISS-002</t>
  </si>
  <si>
    <t xml:space="preserve">owner_absent</t>
  </si>
  <si>
    <t xml:space="preserve">SAMPLE owner out; mailroom signed for both cases, as agreed at intake.</t>
  </si>
  <si>
    <t xml:space="preserve">SAMPLE texted owner; owner placed the drinks Wednesday and the crisps Thursday.</t>
  </si>
  <si>
    <t xml:space="preserve">SAMPLE-ISS-003</t>
  </si>
  <si>
    <t xml:space="preserve">placement_late</t>
  </si>
  <si>
    <t xml:space="preserve">SAMPLE crisps not placed by T+1 at office D; placed on day 3.</t>
  </si>
  <si>
    <t xml:space="preserve">SAMPLE refunded $120 (credit note SAMPLE-INV-003); agree a placement time at intake.</t>
  </si>
  <si>
    <t xml:space="preserve">SAMPLE-ISS-004</t>
  </si>
  <si>
    <t xml:space="preserve">short_shipment</t>
  </si>
  <si>
    <t xml:space="preserve">SAMPLE 510 units arrived; 567 were due (515 plus reserve).</t>
  </si>
  <si>
    <t xml:space="preserve">SAMPLE each office's units reduced by 3 (485), reserve 25; brand told the same day.</t>
  </si>
  <si>
    <t xml:space="preserve">SAMPLE-ISS-005</t>
  </si>
  <si>
    <t xml:space="preserve">other</t>
  </si>
  <si>
    <t xml:space="preserve">SAMPLE office vetoes tree nuts; the package says packed in a facility that also handles tree nuts.</t>
  </si>
  <si>
    <t xml:space="preserve">SAMPLE office said no; no roster office free; $150 off the balance.</t>
  </si>
  <si>
    <t xml:space="preserve">SAMPLE-ISS-006</t>
  </si>
  <si>
    <t xml:space="preserve">SAMPLE owner out; desk does not hold food (front desk not agreed). Courier brought all three cases back.</t>
  </si>
  <si>
    <t xml:space="preserve">SAMPLE founder delivered Wed 08:40; placed 09:10, inside one business day.</t>
  </si>
  <si>
    <t xml:space="preserve">SAMPLE-ISS-020</t>
  </si>
  <si>
    <t xml:space="preserve">SAMPLE 480 units arrived; 567 were due (515 plus reserve).</t>
  </si>
  <si>
    <t xml:space="preserve">SAMPLE each office's units reduced by 5 (465), reserve 15; brand told the same day; no price change (brand agreement section 8 is silent).</t>
  </si>
  <si>
    <t xml:space="preserve">SAMPLE-ISS-021</t>
  </si>
  <si>
    <t xml:space="preserve">declined_at_door</t>
  </si>
  <si>
    <t xml:space="preserve">SAMPLE owner declined at the door: the office is pausing snacks this month.</t>
  </si>
  <si>
    <t xml:space="preserve">SAMPLE courier took the case back (0 handed over) and returned it to the receiving address; it stayed in reserve; $150 taken off the balance.</t>
  </si>
  <si>
    <t xml:space="preserve">SAMPLE-ISS-030</t>
  </si>
  <si>
    <t xml:space="preserve">SAMPLE the office counted 26 of 50 in the Brightside carton: one inner carton of 24 missing.</t>
  </si>
  <si>
    <t xml:space="preserve">SAMPLE brand told the same day; 20 topped up from the reserve on day 3; no price change (SOP section 4).</t>
  </si>
  <si>
    <t xml:space="preserve">SAMPLE-ISS-031</t>
  </si>
  <si>
    <t xml:space="preserve">SAMPLE pantry owner refused the Tallgrass carton from the carrier; took Brightside.</t>
  </si>
  <si>
    <t xml:space="preserve">SAMPLE carrier returns the carton to the brand; $150 taken off the balance at T+1.</t>
  </si>
  <si>
    <t xml:space="preserve">SAMPLE discovery calls (no drop)</t>
  </si>
  <si>
    <t xml:space="preserve">SAMPLE qualifying, proposal, agreement</t>
  </si>
  <si>
    <t xml:space="preserve">SAMPLE signing a founding office</t>
  </si>
  <si>
    <t xml:space="preserve">SAMPLE receive Brightside</t>
  </si>
  <si>
    <t xml:space="preserve">SAMPLE receive Northbound, reject 16</t>
  </si>
  <si>
    <t xml:space="preserve">SAMPLE pack ten cases</t>
  </si>
  <si>
    <t xml:space="preserve">SAMPLE route, five stops</t>
  </si>
  <si>
    <t xml:space="preserve">SAMPLE day-3 photos, two top-ups</t>
  </si>
  <si>
    <t xml:space="preserve">SAMPLE day 5, collect Northbound leftovers</t>
  </si>
  <si>
    <t xml:space="preserve">SAMPLE report</t>
  </si>
  <si>
    <t xml:space="preserve">SAMPLE brand debrief</t>
  </si>
  <si>
    <t xml:space="preserve">SAMPLE invoices, certificate requests</t>
  </si>
  <si>
    <t xml:space="preserve">SAMPLE refund, placement confirmations</t>
  </si>
  <si>
    <t xml:space="preserve">SAMPLE calls, proposal, agreement</t>
  </si>
  <si>
    <t xml:space="preserve">SAMPLE debrief and renewal proposal</t>
  </si>
  <si>
    <t xml:space="preserve">SAMPLE signing a new office</t>
  </si>
  <si>
    <t xml:space="preserve">SAMPLE approvals, windows, certificates</t>
  </si>
  <si>
    <t xml:space="preserve">SAMPLE meet the courier at five first-drop offices</t>
  </si>
  <si>
    <t xml:space="preserve">SAMPLE redeliver office SAMPLE-O-009</t>
  </si>
  <si>
    <t xml:space="preserve">SAMPLE approvals</t>
  </si>
  <si>
    <t xml:space="preserve">SAMPLE receive, count, short shipment email</t>
  </si>
  <si>
    <t xml:space="preserve">SAMPLE courier route; founder on call</t>
  </si>
  <si>
    <t xml:space="preserve">SAMPLE debrief</t>
  </si>
  <si>
    <t xml:space="preserve">SAMPLE balance and credit note</t>
  </si>
  <si>
    <t xml:space="preserve">SAMPLE renewal call, proposal, agreement</t>
  </si>
  <si>
    <t xml:space="preserve">SAMPLE reserve and one office's cartons in, one package checked</t>
  </si>
  <si>
    <t xml:space="preserve">SAMPLE kits mailed to nine offices</t>
  </si>
  <si>
    <t xml:space="preserve">SAMPLE tracking, office counts and photos; one office delivered by hand</t>
  </si>
  <si>
    <t xml:space="preserve">SAMPLE day-3 counts, two top-ups on foot</t>
  </si>
  <si>
    <t xml:space="preserve">SAMPLE day 5, reserve released</t>
  </si>
  <si>
    <t xml:space="preserve">cost_type</t>
  </si>
  <si>
    <t xml:space="preserve">amount_usd</t>
  </si>
  <si>
    <t xml:space="preserve">vendor</t>
  </si>
  <si>
    <t xml:space="preserve">receipt_file</t>
  </si>
  <si>
    <t xml:space="preserve">kit</t>
  </si>
  <si>
    <t xml:space="preserve">SAMPLE copy shop</t>
  </si>
  <si>
    <t xml:space="preserve">SAMPLE 5 cards and labels</t>
  </si>
  <si>
    <t xml:space="preserve">transport</t>
  </si>
  <si>
    <t xml:space="preserve">SAMPLE car service</t>
  </si>
  <si>
    <t xml:space="preserve">SAMPLE home to first stop</t>
  </si>
  <si>
    <t xml:space="preserve">SAMPLE stop 3 to stop 4 with the hand truck</t>
  </si>
  <si>
    <t xml:space="preserve">other_direct</t>
  </si>
  <si>
    <t xml:space="preserve">SAMPLE stationer</t>
  </si>
  <si>
    <t xml:space="preserve">SAMPLE card stock</t>
  </si>
  <si>
    <t xml:space="preserve">SAMPLE Example Courier</t>
  </si>
  <si>
    <t xml:space="preserve">SAMPLE 10 stops at $32</t>
  </si>
  <si>
    <t xml:space="preserve">SAMPLE founder to first-drop offices</t>
  </si>
  <si>
    <t xml:space="preserve">SAMPLE 10 stops at $30 (one declined)</t>
  </si>
  <si>
    <t xml:space="preserve">SAMPLE post office</t>
  </si>
  <si>
    <t xml:space="preserve">SAMPLE kit postage, 9 envelopes (illustrative)</t>
  </si>
  <si>
    <t xml:space="preserve">invoice_id</t>
  </si>
  <si>
    <t xml:space="preserve">invoice_type</t>
  </si>
  <si>
    <t xml:space="preserve">issued_date</t>
  </si>
  <si>
    <t xml:space="preserve">sales_tax_usd</t>
  </si>
  <si>
    <t xml:space="preserve">sent_to</t>
  </si>
  <si>
    <t xml:space="preserve">paid_date</t>
  </si>
  <si>
    <t xml:space="preserve">paid_amount_usd</t>
  </si>
  <si>
    <t xml:space="preserve">method</t>
  </si>
  <si>
    <t xml:space="preserve">bank_reference</t>
  </si>
  <si>
    <t xml:space="preserve">due_date</t>
  </si>
  <si>
    <t xml:space="preserve">total_usd</t>
  </si>
  <si>
    <t xml:space="preserve">releases_ship</t>
  </si>
  <si>
    <t xml:space="preserve">SAMPLE-INV-001</t>
  </si>
  <si>
    <t xml:space="preserve">founding_full</t>
  </si>
  <si>
    <t xml:space="preserve">bank_transfer</t>
  </si>
  <si>
    <t xml:space="preserve">SAMPLE-ACH-7781</t>
  </si>
  <si>
    <t xml:space="preserve">SAMPLE-INV-002</t>
  </si>
  <si>
    <t xml:space="preserve">SAMPLE-WIRE-3302</t>
  </si>
  <si>
    <t xml:space="preserve">SAMPLE-INV-003</t>
  </si>
  <si>
    <t xml:space="preserve">credit_note</t>
  </si>
  <si>
    <t xml:space="preserve">SAMPLE-REFUND-0001</t>
  </si>
  <si>
    <t xml:space="preserve">SAMPLE office D (SAMPLE-O-004) not placed by T+1: refund of that office's share, brand agreement section 8</t>
  </si>
  <si>
    <t xml:space="preserve">SAMPLE-INV-004</t>
  </si>
  <si>
    <t xml:space="preserve">standard_deposit</t>
  </si>
  <si>
    <t xml:space="preserve">SAMPLE-ap@example.com</t>
  </si>
  <si>
    <t xml:space="preserve">SAMPLE-ACH-4</t>
  </si>
  <si>
    <t xml:space="preserve">SAMPLE-INV-005</t>
  </si>
  <si>
    <t xml:space="preserve">standard_balance</t>
  </si>
  <si>
    <t xml:space="preserve">SAMPLE-ACH-5</t>
  </si>
  <si>
    <t xml:space="preserve">SAMPLE-INV-006</t>
  </si>
  <si>
    <t xml:space="preserve">SAMPLE-ACH-6</t>
  </si>
  <si>
    <t xml:space="preserve">SAMPLE-INV-007</t>
  </si>
  <si>
    <t xml:space="preserve">SAMPLE-ACH-7</t>
  </si>
  <si>
    <t xml:space="preserve">SAMPLE-INV-008</t>
  </si>
  <si>
    <t xml:space="preserve">SAMPLE office SAMPLE-O-007 declined (tree-nut veto) and no roster office could replace it: taken off the balance, brand agreement section 8</t>
  </si>
  <si>
    <t xml:space="preserve">SAMPLE-INV-009</t>
  </si>
  <si>
    <t xml:space="preserve">SAMPLE-ACH-9</t>
  </si>
  <si>
    <t xml:space="preserve">SAMPLE-INV-010</t>
  </si>
  <si>
    <t xml:space="preserve">SAMPLE-ACH-10</t>
  </si>
  <si>
    <t xml:space="preserve">SAMPLE-INV-020</t>
  </si>
  <si>
    <t xml:space="preserve">SAMPLE-ACH-6020</t>
  </si>
  <si>
    <t xml:space="preserve">SAMPLE-INV-021</t>
  </si>
  <si>
    <t xml:space="preserve">SAMPLE-ACH-6021</t>
  </si>
  <si>
    <t xml:space="preserve">SAMPLE-INV-022</t>
  </si>
  <si>
    <t xml:space="preserve">SAMPLE one office declined at the door and was not placed by T+1: taken off the balance, brand agreement section 8</t>
  </si>
  <si>
    <t xml:space="preserve">SAMPLE-INV-030</t>
  </si>
  <si>
    <t xml:space="preserve">SAMPLE-ACH-7030</t>
  </si>
  <si>
    <t xml:space="preserve">SAMPLE-INV-031</t>
  </si>
  <si>
    <t xml:space="preserve">SAMPLE-ACH-7031</t>
  </si>
  <si>
    <t xml:space="preserve">SAMPLE-INV-032</t>
  </si>
  <si>
    <t xml:space="preserve">SAMPLE-ACH-7032</t>
  </si>
  <si>
    <t xml:space="preserve">SAMPLE-INV-033</t>
  </si>
  <si>
    <t xml:space="preserve">SAMPLE office SAMPLE-O-008 refused the carton at the door: taken off the balance, brand agreement section 8</t>
  </si>
  <si>
    <t xml:space="preserve">submitted_at</t>
  </si>
  <si>
    <t xml:space="preserve">form_version</t>
  </si>
  <si>
    <t xml:space="preserve">2026-11-10T10:01:00-05:00</t>
  </si>
  <si>
    <t xml:space="preserve">office-1.0</t>
  </si>
  <si>
    <t xml:space="preserve">SAMPLE Northpoint Software</t>
  </si>
  <si>
    <t xml:space="preserve">SAMPLE Owner 001</t>
  </si>
  <si>
    <t xml:space="preserve">SAMPLE Office Manager</t>
  </si>
  <si>
    <t xml:space="preserve">SAMPLE-owner-001@example.com</t>
  </si>
  <si>
    <t xml:space="preserve">SAMPLE (212) 555-0101</t>
  </si>
  <si>
    <t xml:space="preserve">SAMPLE 110 Example Avenue</t>
  </si>
  <si>
    <t xml:space="preserve">SAMPLE Floor 3</t>
  </si>
  <si>
    <t xml:space="preserve">walk-up</t>
  </si>
  <si>
    <t xml:space="preserve">8 to 10 am</t>
  </si>
  <si>
    <t xml:space="preserve">slack</t>
  </si>
  <si>
    <t xml:space="preserve">chips-crisps;bars;sparkling-soda;fruit-snacks</t>
  </si>
  <si>
    <t xml:space="preserve">SAMPLE intake note</t>
  </si>
  <si>
    <t xml:space="preserve">2026-11-18T10:03:00-05:00</t>
  </si>
  <si>
    <t xml:space="preserve">SAMPLE Halcyon Media</t>
  </si>
  <si>
    <t xml:space="preserve">SAMPLE Owner 003</t>
  </si>
  <si>
    <t xml:space="preserve">SAMPLE-owner-003@example.com</t>
  </si>
  <si>
    <t xml:space="preserve">SAMPLE (212) 555-0103</t>
  </si>
  <si>
    <t xml:space="preserve">SAMPLE 130 Example Avenue</t>
  </si>
  <si>
    <t xml:space="preserve">SAMPLE Floor 5</t>
  </si>
  <si>
    <t xml:space="preserve">9 to 11 am</t>
  </si>
  <si>
    <t xml:space="preserve">unsure</t>
  </si>
  <si>
    <t xml:space="preserve">chips-crisps;popcorn-puffs;sparkling-soda;tea-juice;bars;fruit-snacks</t>
  </si>
  <si>
    <t xml:space="preserve">2026-11-27T10:05:00-05:00</t>
  </si>
  <si>
    <t xml:space="preserve">SAMPLE Studio Marlow</t>
  </si>
  <si>
    <t xml:space="preserve">SAMPLE Owner 005</t>
  </si>
  <si>
    <t xml:space="preserve">SAMPLE-owner-005@example.com</t>
  </si>
  <si>
    <t xml:space="preserve">SAMPLE (212) 555-0105</t>
  </si>
  <si>
    <t xml:space="preserve">SAMPLE 150 Example Avenue</t>
  </si>
  <si>
    <t xml:space="preserve">SAMPLE Floor 7</t>
  </si>
  <si>
    <t xml:space="preserve">10 am to noon</t>
  </si>
  <si>
    <t xml:space="preserve">chips-crisps;cookies-baked;sparkling-soda;coffee-rtd;bars;fruit-snacks</t>
  </si>
  <si>
    <t xml:space="preserve">2026-12-30T10:06:00-05:00</t>
  </si>
  <si>
    <t xml:space="preserve">SAMPLE Kestrel Analytics</t>
  </si>
  <si>
    <t xml:space="preserve">SAMPLE Owner 006</t>
  </si>
  <si>
    <t xml:space="preserve">SAMPLE-owner-006@example.com</t>
  </si>
  <si>
    <t xml:space="preserve">SAMPLE (212) 555-0106</t>
  </si>
  <si>
    <t xml:space="preserve">SAMPLE 160 Example Avenue</t>
  </si>
  <si>
    <t xml:space="preserve">SAMPLE Floor 8</t>
  </si>
  <si>
    <t xml:space="preserve">chips-crisps;bars;fruit-snacks;sparkling-soda</t>
  </si>
  <si>
    <t xml:space="preserve">2026-12-31T10:07:00-05:00</t>
  </si>
  <si>
    <t xml:space="preserve">SAMPLE Brine &amp; Bell PR</t>
  </si>
  <si>
    <t xml:space="preserve">SAMPLE Owner 007</t>
  </si>
  <si>
    <t xml:space="preserve">SAMPLE-owner-007@example.com</t>
  </si>
  <si>
    <t xml:space="preserve">SAMPLE (212) 555-0107</t>
  </si>
  <si>
    <t xml:space="preserve">SAMPLE 170 Example Avenue</t>
  </si>
  <si>
    <t xml:space="preserve">SAMPLE Floor 9</t>
  </si>
  <si>
    <t xml:space="preserve">chips-crisps;bars;fruit-snacks;chocolate-candy</t>
  </si>
  <si>
    <t xml:space="preserve">SAMPLE no tree nuts</t>
  </si>
  <si>
    <t xml:space="preserve">2027-01-02T10:09:00-05:00</t>
  </si>
  <si>
    <t xml:space="preserve">SAMPLE Overlook Games</t>
  </si>
  <si>
    <t xml:space="preserve">SAMPLE Owner 009</t>
  </si>
  <si>
    <t xml:space="preserve">SAMPLE-owner-009@example.com</t>
  </si>
  <si>
    <t xml:space="preserve">SAMPLE (212) 555-0109</t>
  </si>
  <si>
    <t xml:space="preserve">SAMPLE 190 Example Avenue</t>
  </si>
  <si>
    <t xml:space="preserve">SAMPLE Floor 2</t>
  </si>
  <si>
    <t xml:space="preserve">chips-crisps;bars;fruit-snacks;sparkling-soda;popcorn-puffs</t>
  </si>
  <si>
    <t xml:space="preserve">preferred_timing</t>
  </si>
  <si>
    <t xml:space="preserve">budget_approver_is_contact</t>
  </si>
  <si>
    <t xml:space="preserve">brand-1.0</t>
  </si>
  <si>
    <t xml:space="preserve">SAMPLE Brightside</t>
  </si>
  <si>
    <t xml:space="preserve">https://example.com/brightside</t>
  </si>
  <si>
    <t xml:space="preserve">SAMPLE Founder of Brightside</t>
  </si>
  <si>
    <t xml:space="preserve">SAMPLE Co-founder</t>
  </si>
  <si>
    <t xml:space="preserve">SAMPLE-001@example.com</t>
  </si>
  <si>
    <t xml:space="preserve">SAMPLE (718) 555-0101</t>
  </si>
  <si>
    <t xml:space="preserve">chips-crisps</t>
  </si>
  <si>
    <t xml:space="preserve">SAMPLE Queens, NY</t>
  </si>
  <si>
    <t xml:space="preserve">https://example.com/brightside/shop</t>
  </si>
  <si>
    <t xml:space="preserve">Next available drop</t>
  </si>
  <si>
    <t xml:space="preserve">SAMPLE Founder of Brightside, SAMPLE Co-founder</t>
  </si>
  <si>
    <t xml:space="preserve">SAMPLE new placement at a store near the cluster</t>
  </si>
  <si>
    <t xml:space="preserve">brand-2.0</t>
  </si>
  <si>
    <t xml:space="preserve">SAMPLE Tallgrass</t>
  </si>
  <si>
    <t xml:space="preserve">https://example.com/tallgrass</t>
  </si>
  <si>
    <t xml:space="preserve">SAMPLE Founder of Tallgrass</t>
  </si>
  <si>
    <t xml:space="preserve">SAMPLE-003@example.com</t>
  </si>
  <si>
    <t xml:space="preserve">SAMPLE (718) 555-0103</t>
  </si>
  <si>
    <t xml:space="preserve">bars</t>
  </si>
  <si>
    <t xml:space="preserve">SAMPLE Jersey City, NJ</t>
  </si>
  <si>
    <t xml:space="preserve">https://example.com/tallgrass/shop</t>
  </si>
  <si>
    <t xml:space="preserve">SAMPLE Founder of Tallgrass, SAMPLE Co-founder</t>
  </si>
  <si>
    <t xml:space="preserve">SAMPLE Orchard Row</t>
  </si>
  <si>
    <t xml:space="preserve">https://example.com/orchardrow</t>
  </si>
  <si>
    <t xml:space="preserve">SAMPLE Founder of Orchard Row</t>
  </si>
  <si>
    <t xml:space="preserve">SAMPLE-004@example.com</t>
  </si>
  <si>
    <t xml:space="preserve">SAMPLE (718) 555-0104</t>
  </si>
  <si>
    <t xml:space="preserve">fruit-snacks</t>
  </si>
  <si>
    <t xml:space="preserve">SAMPLE Hudson Valley, NY</t>
  </si>
  <si>
    <t xml:space="preserve">https://example.com/orchardrow/shop</t>
  </si>
  <si>
    <t xml:space="preserve">SAMPLE Founder of Orchard Row, SAMPLE Co-founder</t>
  </si>
  <si>
    <t xml:space="preserve">SAMPLE Kettle Ridge</t>
  </si>
  <si>
    <t xml:space="preserve">https://example.com/kettleridge</t>
  </si>
  <si>
    <t xml:space="preserve">SAMPLE Founder of Kettle Ridge</t>
  </si>
  <si>
    <t xml:space="preserve">SAMPLE-005@example.com</t>
  </si>
  <si>
    <t xml:space="preserve">SAMPLE (718) 555-0105</t>
  </si>
  <si>
    <t xml:space="preserve">SAMPLE Albany, NY</t>
  </si>
  <si>
    <t xml:space="preserve">https://example.com/kettleridge/shop</t>
  </si>
  <si>
    <t xml:space="preserve">SAMPLE Founder of Kettle Ridge, SAMPLE Co-founder</t>
  </si>
  <si>
    <t xml:space="preserve">SAMPLE Saltmarsh</t>
  </si>
  <si>
    <t xml:space="preserve">https://example.com/saltmarsh</t>
  </si>
  <si>
    <t xml:space="preserve">SAMPLE Founder of Saltmarsh</t>
  </si>
  <si>
    <t xml:space="preserve">SAMPLE-006@example.com</t>
  </si>
  <si>
    <t xml:space="preserve">SAMPLE (718) 555-0106</t>
  </si>
  <si>
    <t xml:space="preserve">SAMPLE Montauk, NY</t>
  </si>
  <si>
    <t xml:space="preserve">https://example.com/saltmarsh/shop</t>
  </si>
  <si>
    <t xml:space="preserve">SAMPLE Founder of Saltmarsh, SAMPLE Co-founder</t>
  </si>
  <si>
    <t xml:space="preserve">Timestamp</t>
  </si>
  <si>
    <t xml:space="preserve">Company</t>
  </si>
  <si>
    <t xml:space="preserve">Your name</t>
  </si>
  <si>
    <t xml:space="preserve">Your title (optional)</t>
  </si>
  <si>
    <t xml:space="preserve">Work email</t>
  </si>
  <si>
    <t xml:space="preserve">Work phone (optional)</t>
  </si>
  <si>
    <t xml:space="preserve">Office street address</t>
  </si>
  <si>
    <t xml:space="preserve">Floor or suite (optional)</t>
  </si>
  <si>
    <t xml:space="preserve">People in the office on a typical Tuesday</t>
  </si>
  <si>
    <t xml:space="preserve">Are you the pantry owner?</t>
  </si>
  <si>
    <t xml:space="preserve">Pantry owner's name (only if someone else)</t>
  </si>
  <si>
    <t xml:space="preserve">Pantry owner's title (optional)</t>
  </si>
  <si>
    <t xml:space="preserve">How do deliveries reach your office?</t>
  </si>
  <si>
    <t xml:space="preserve">Best time to receive, on a Tuesday or Wednesday morning</t>
  </si>
  <si>
    <t xml:space="preserve">Does your building ask for a certificate of insurance before a delivery?</t>
  </si>
  <si>
    <t xml:space="preserve">Where would you post the three-question survey link?</t>
  </si>
  <si>
    <t xml:space="preserve">Which categories do you want?</t>
  </si>
  <si>
    <t xml:space="preserve">Anything you never want? (optional)</t>
  </si>
  <si>
    <t xml:space="preserve">Anything else? (optional)</t>
  </si>
  <si>
    <t xml:space="preserve">Template of the founder-side office form's response tab. When you link the Google Form to this file, Google adds a new tab: delete this one and rename the new tab office_form (forms/office-intake-form.md).</t>
  </si>
  <si>
    <t xml:space="preserve">SAMPLE Ferro Architecture</t>
  </si>
  <si>
    <t xml:space="preserve">SAMPLE Owner 002</t>
  </si>
  <si>
    <t xml:space="preserve">SAMPLE-owner-002@example.com</t>
  </si>
  <si>
    <t xml:space="preserve">SAMPLE (212) 555-0102</t>
  </si>
  <si>
    <t xml:space="preserve">SAMPLE 120 Example Avenue</t>
  </si>
  <si>
    <t xml:space="preserve">SAMPLE Floor 4</t>
  </si>
  <si>
    <t xml:space="preserve">Yes, me</t>
  </si>
  <si>
    <t xml:space="preserve">Front desk</t>
  </si>
  <si>
    <t xml:space="preserve">No</t>
  </si>
  <si>
    <t xml:space="preserve">Email</t>
  </si>
  <si>
    <t xml:space="preserve">Chips and crisps, Crackers and pretzels, Sparkling water and soda, Bars</t>
  </si>
  <si>
    <t xml:space="preserve">SAMPLE Union Food Fund</t>
  </si>
  <si>
    <t xml:space="preserve">SAMPLE Owner 004</t>
  </si>
  <si>
    <t xml:space="preserve">SAMPLE-owner-004@example.com</t>
  </si>
  <si>
    <t xml:space="preserve">SAMPLE (212) 555-0104</t>
  </si>
  <si>
    <t xml:space="preserve">SAMPLE 140 Example Avenue</t>
  </si>
  <si>
    <t xml:space="preserve">SAMPLE Floor 6</t>
  </si>
  <si>
    <t xml:space="preserve">Loading dock</t>
  </si>
  <si>
    <t xml:space="preserve">Chips and crisps, Sparkling water and soda, Bars, Dried fruit and fruit snacks</t>
  </si>
  <si>
    <t xml:space="preserve">SAMPLE Larch Legal</t>
  </si>
  <si>
    <t xml:space="preserve">SAMPLE Owner 008</t>
  </si>
  <si>
    <t xml:space="preserve">SAMPLE-owner-008@example.com</t>
  </si>
  <si>
    <t xml:space="preserve">SAMPLE (212) 555-0108</t>
  </si>
  <si>
    <t xml:space="preserve">SAMPLE 180 Example Avenue</t>
  </si>
  <si>
    <t xml:space="preserve">SAMPLE Floor 10</t>
  </si>
  <si>
    <t xml:space="preserve">Yes</t>
  </si>
  <si>
    <t xml:space="preserve">Chips and crisps, Bars, Dried fruit and fruit snacks, Nuts, seeds and trail mix</t>
  </si>
  <si>
    <t xml:space="preserve">SAMPLE Quill Nonprofit Press</t>
  </si>
  <si>
    <t xml:space="preserve">SAMPLE Owner 010</t>
  </si>
  <si>
    <t xml:space="preserve">SAMPLE-owner-010@example.com</t>
  </si>
  <si>
    <t xml:space="preserve">SAMPLE (212) 555-0110</t>
  </si>
  <si>
    <t xml:space="preserve">SAMPLE 200 Example Avenue</t>
  </si>
  <si>
    <t xml:space="preserve">Walk-up, straight to us</t>
  </si>
  <si>
    <t xml:space="preserve">Chips and crisps, Bars, Dried fruit and fruit snacks, Tea, juice and other non-carbonated drinks</t>
  </si>
  <si>
    <t xml:space="preserve">Brand name</t>
  </si>
  <si>
    <t xml:space="preserve">Brand website</t>
  </si>
  <si>
    <t xml:space="preserve">Product for the campaign</t>
  </si>
  <si>
    <t xml:space="preserve">Category</t>
  </si>
  <si>
    <t xml:space="preserve">Where is the brand based?</t>
  </si>
  <si>
    <t xml:space="preserve">Your title</t>
  </si>
  <si>
    <t xml:space="preserve">Who signs off on the budget?</t>
  </si>
  <si>
    <t xml:space="preserve">Their name and title (only if someone else)</t>
  </si>
  <si>
    <t xml:space="preserve">New York stores that carry you (optional)</t>
  </si>
  <si>
    <t xml:space="preserve">Online store (optional)</t>
  </si>
  <si>
    <t xml:space="preserve">Can you issue a discount code for the campaign?</t>
  </si>
  <si>
    <t xml:space="preserve">When would you want a campaign?</t>
  </si>
  <si>
    <t xml:space="preserve">1. Individually packaged, sealed and shelf-stable, with 60 or more days of shelf life left at delivery?</t>
  </si>
  <si>
    <t xml:space="preserve">2. Labeled with ingredients and the nine major allergens?</t>
  </si>
  <si>
    <t xml:space="preserve">3. Sold in a store inside or within ten blocks of the cluster, or online with a discount code?</t>
  </si>
  <si>
    <t xml:space="preserve">4. Able to ship 275 units to one Manhattan address within ten business days?</t>
  </si>
  <si>
    <t xml:space="preserve">5. Covered by product liability insurance?</t>
  </si>
  <si>
    <t xml:space="preserve">6. Can you approve $600 on your own, without a committee?</t>
  </si>
  <si>
    <t xml:space="preserve">7. Why New York, and why now?</t>
  </si>
  <si>
    <t xml:space="preserve">Not an excluded product</t>
  </si>
  <si>
    <t xml:space="preserve">Notes (optional)</t>
  </si>
  <si>
    <t xml:space="preserve">Template of the founder-side brand form's response tab. When you link the Google Form, delete this tab and rename Google's new tab brand_form.</t>
  </si>
  <si>
    <t xml:space="preserve">SAMPLE Northbound</t>
  </si>
  <si>
    <t xml:space="preserve">example.com/northbound</t>
  </si>
  <si>
    <t xml:space="preserve">Sparkling water and soda</t>
  </si>
  <si>
    <t xml:space="preserve">SAMPLE Brooklyn, NY</t>
  </si>
  <si>
    <t xml:space="preserve">SAMPLE Founder of Northbound</t>
  </si>
  <si>
    <t xml:space="preserve">SAMPLE-002@example.com</t>
  </si>
  <si>
    <t xml:space="preserve">SAMPLE (718) 555-0102</t>
  </si>
  <si>
    <t xml:space="preserve">I do</t>
  </si>
  <si>
    <t xml:space="preserve">https://example.com/northbound/shop</t>
  </si>
  <si>
    <t xml:space="preserve">My product is none of these: alcohol; cannabis, CBD or THC; a dietary supplement; refrigerated or perishable; needs preparation; makes health claims.</t>
  </si>
  <si>
    <t xml:space="preserve">agreement_file</t>
  </si>
  <si>
    <t xml:space="preserve">budget_probe_verbatim</t>
  </si>
  <si>
    <t xml:space="preserve">budget_probe_date</t>
  </si>
  <si>
    <t xml:space="preserve">budget_probe_monthly_usd</t>
  </si>
  <si>
    <t xml:space="preserve">pantry_owner_phone</t>
  </si>
  <si>
    <t xml:space="preserve">pantry_owner_email</t>
  </si>
  <si>
    <t xml:space="preserve">SAMPLE-CLAY-O-001</t>
  </si>
  <si>
    <t xml:space="preserve">SAMPLE-agreement-SAMPLE-O-001.pdf</t>
  </si>
  <si>
    <t xml:space="preserve">SAMPLE no budget named</t>
  </si>
  <si>
    <t xml:space="preserve">SAMPLE Software</t>
  </si>
  <si>
    <t xml:space="preserve">2026-11-12T14:02:00</t>
  </si>
  <si>
    <t xml:space="preserve">email</t>
  </si>
  <si>
    <t xml:space="preserve">chips-crisps;crackers-pretzels;sparkling-soda;bars;fruit-snacks</t>
  </si>
  <si>
    <t xml:space="preserve">SAMPLE-CLAY-O-002</t>
  </si>
  <si>
    <t xml:space="preserve">SAMPLE-agreement-SAMPLE-O-002.pdf</t>
  </si>
  <si>
    <t xml:space="preserve">SAMPLE Architecture</t>
  </si>
  <si>
    <t xml:space="preserve">SAMPLE-CLAY-O-003</t>
  </si>
  <si>
    <t xml:space="preserve">SAMPLE-agreement-SAMPLE-O-003.pdf</t>
  </si>
  <si>
    <t xml:space="preserve">SAMPLE "maybe a couple hundred a month"</t>
  </si>
  <si>
    <t xml:space="preserve">SAMPLE Media</t>
  </si>
  <si>
    <t xml:space="preserve">2026-11-25T14:04:00</t>
  </si>
  <si>
    <t xml:space="preserve">loading dock</t>
  </si>
  <si>
    <t xml:space="preserve">chips-crisps;sparkling-soda;bars;fruit-snacks</t>
  </si>
  <si>
    <t xml:space="preserve">SAMPLE-CLAY-O-004</t>
  </si>
  <si>
    <t xml:space="preserve">SAMPLE-agreement-SAMPLE-O-004.pdf</t>
  </si>
  <si>
    <t xml:space="preserve">SAMPLE Nonprofit</t>
  </si>
  <si>
    <t xml:space="preserve">SAMPLE-CLAY-O-005</t>
  </si>
  <si>
    <t xml:space="preserve">SAMPLE-agreement-SAMPLE-O-005.pdf</t>
  </si>
  <si>
    <t xml:space="preserve">SAMPLE Design studio</t>
  </si>
  <si>
    <t xml:space="preserve">SAMPLE-CLAY-O-006</t>
  </si>
  <si>
    <t xml:space="preserve">SAMPLE-agreement-SAMPLE-O-006.pdf</t>
  </si>
  <si>
    <t xml:space="preserve">SAMPLE-CLAY-O-007</t>
  </si>
  <si>
    <t xml:space="preserve">SAMPLE-agreement-SAMPLE-O-007.pdf</t>
  </si>
  <si>
    <t xml:space="preserve">SAMPLE Public relations</t>
  </si>
  <si>
    <t xml:space="preserve">2027-01-01T14:08:00</t>
  </si>
  <si>
    <t xml:space="preserve">chips-crisps;bars;fruit-snacks;nuts-seeds-trail</t>
  </si>
  <si>
    <t xml:space="preserve">SAMPLE-CLAY-O-008</t>
  </si>
  <si>
    <t xml:space="preserve">SAMPLE-agreement-SAMPLE-O-008.pdf</t>
  </si>
  <si>
    <t xml:space="preserve">SAMPLE Law firm</t>
  </si>
  <si>
    <t xml:space="preserve">SAMPLE-CLAY-O-009</t>
  </si>
  <si>
    <t xml:space="preserve">SAMPLE-agreement-SAMPLE-O-009.pdf</t>
  </si>
  <si>
    <t xml:space="preserve">SAMPLE Games studio</t>
  </si>
  <si>
    <t xml:space="preserve">2027-01-07T14:10:00</t>
  </si>
  <si>
    <t xml:space="preserve">chips-crisps;bars;fruit-snacks;tea-juice</t>
  </si>
  <si>
    <t xml:space="preserve">SAMPLE-CLAY-O-010</t>
  </si>
  <si>
    <t xml:space="preserve">SAMPLE-agreement-SAMPLE-O-010.pdf</t>
  </si>
  <si>
    <t xml:space="preserve">SAMPLE Publishing</t>
  </si>
  <si>
    <t xml:space="preserve">offices_count</t>
  </si>
  <si>
    <t xml:space="preserve">invoice_date</t>
  </si>
  <si>
    <t xml:space="preserve">payment_received_date</t>
  </si>
  <si>
    <t xml:space="preserve">office_approvals</t>
  </si>
  <si>
    <t xml:space="preserve">frozen_date</t>
  </si>
  <si>
    <t xml:space="preserve">Card code (filled in for you)</t>
  </si>
  <si>
    <t xml:space="preserve">Did you try [BRAND]?</t>
  </si>
  <si>
    <t xml:space="preserve">How was it?</t>
  </si>
  <si>
    <t xml:space="preserve">Would you buy it?</t>
  </si>
  <si>
    <t xml:space="preserve">What happened?</t>
  </si>
  <si>
    <t xml:space="preserve">Anything you'd tell [BRAND]? (optional)</t>
  </si>
  <si>
    <t xml:space="preserve">What each campaign's survey tab looks like (columns A to G, in this order). Google writes it; you rename it to the campaign_id. Never insert or move columns in a survey tab.</t>
  </si>
  <si>
    <t xml:space="preserve">Did you try SAMPLE Brightside?</t>
  </si>
  <si>
    <t xml:space="preserve">Anything you'd tell SAMPLE Brightside? (optional)</t>
  </si>
  <si>
    <t xml:space="preserve">SAMPLE-CMP-001.SAMPLE-O-001</t>
  </si>
  <si>
    <t xml:space="preserve">SAMPLE founder test at kitting</t>
  </si>
  <si>
    <t xml:space="preserve">SAMPLE-CMP-001.SAMPLE-O-004</t>
  </si>
  <si>
    <t xml:space="preserve">Gone by the time I looked</t>
  </si>
  <si>
    <t xml:space="preserve">SAMPLE-CMP-001.SAMPLE-O-003</t>
  </si>
  <si>
    <t xml:space="preserve">Maybe</t>
  </si>
  <si>
    <t xml:space="preserve">Didn't see it</t>
  </si>
  <si>
    <t xml:space="preserve">SAMPLE-CMP-001.SAMPLE-O-002</t>
  </si>
  <si>
    <t xml:space="preserve">SAMPLE Asked Priya to save me a bag. Really good.</t>
  </si>
  <si>
    <t xml:space="preserve">SAMPLE-CMP-001.SAMPLE-O-005</t>
  </si>
  <si>
    <t xml:space="preserve">Not for me</t>
  </si>
  <si>
    <t xml:space="preserve">SAMPLE Good crunch, would pick it up at the store.</t>
  </si>
  <si>
    <t xml:space="preserve">SAMPLE Where can I buy these near the office?</t>
  </si>
  <si>
    <t xml:space="preserve">SAMPLE-CMP-001.SAMPLE-O-00</t>
  </si>
  <si>
    <t xml:space="preserve">Did you try SAMPLE Northbound?</t>
  </si>
  <si>
    <t xml:space="preserve">Anything you'd tell SAMPLE Northbound? (optional)</t>
  </si>
  <si>
    <t xml:space="preserve">SAMPLE-CMP-002.SAMPLE-O-003</t>
  </si>
  <si>
    <t xml:space="preserve">SAMPLE-CMP-002.SAMPLE-O-002</t>
  </si>
  <si>
    <t xml:space="preserve">SAMPLE-CMP-002.SAMPLE-O-004</t>
  </si>
  <si>
    <t xml:space="preserve">SAMPLE-CMP-002.SAMPLE-O-005</t>
  </si>
  <si>
    <t xml:space="preserve">SAMPLE-CMP-002.SAMPLE-O-001</t>
  </si>
  <si>
    <t xml:space="preserve">Did you try SAMPLE Tallgrass?</t>
  </si>
  <si>
    <t xml:space="preserve">Anything you'd tell SAMPLE Tallgrass? (optional)</t>
  </si>
  <si>
    <t xml:space="preserve">SAMPLE-CMP-003.SAMPLE-O-001</t>
  </si>
  <si>
    <t xml:space="preserve">SAMPLE-CMP-003.SAMPLE-O-003</t>
  </si>
  <si>
    <t xml:space="preserve">SAMPLE-CMP-003.SAMPLE-O-005</t>
  </si>
  <si>
    <t xml:space="preserve">SAMPLE-CMP-003.SAMPLE-O-004</t>
  </si>
  <si>
    <t xml:space="preserve">SAMPLE-CMP-003.SAMPLE-O-002</t>
  </si>
  <si>
    <t xml:space="preserve">SAMPLE-CMP-003.SAMPLE-O-008</t>
  </si>
  <si>
    <t xml:space="preserve">SAMPLE-CMP-003.SAMPLE-O-009</t>
  </si>
  <si>
    <t xml:space="preserve">SAMPLE-CMP-003.SAMPLE-O-006</t>
  </si>
  <si>
    <t xml:space="preserve">SAMPLE-CMP-003.SAMPLE-O-007</t>
  </si>
  <si>
    <t xml:space="preserve">SAMPLE-CMP-003.SAMPLE-O-010</t>
  </si>
  <si>
    <t xml:space="preserve">Did you try SAMPLE Orchard Row?</t>
  </si>
  <si>
    <t xml:space="preserve">Anything you'd tell SAMPLE Orchard Row? (optional)</t>
  </si>
  <si>
    <t xml:space="preserve">SAMPLE-CMP-004.SAMPLE-O-009</t>
  </si>
  <si>
    <t xml:space="preserve">SAMPLE-CMP-004.SAMPLE-O-005</t>
  </si>
  <si>
    <t xml:space="preserve">SAMPLE-CMP-004.SAMPLE-O-010</t>
  </si>
  <si>
    <t xml:space="preserve">SAMPLE-CMP-004.SAMPLE-O-002</t>
  </si>
  <si>
    <t xml:space="preserve">SAMPLE-CMP-004.SAMPLE-O-008</t>
  </si>
  <si>
    <t xml:space="preserve">SAMPLE-CMP-004.SAMPLE-O-001</t>
  </si>
  <si>
    <t xml:space="preserve">SAMPLE-CMP-004.SAMPLE-O-006</t>
  </si>
  <si>
    <t xml:space="preserve">SAMPLE-CMP-004.SAMPLE-O-004</t>
  </si>
  <si>
    <t xml:space="preserve">SAMPLE-CMP-004.SAMPLE-O-003</t>
  </si>
  <si>
    <t xml:space="preserve">Did you try SAMPLE Kettle Ridge?</t>
  </si>
  <si>
    <t xml:space="preserve">Anything you'd tell SAMPLE Kettle Ridge? (optional)</t>
  </si>
  <si>
    <t xml:space="preserve">SAMPLE-CMP-005.SAMPLE-O-001</t>
  </si>
  <si>
    <t xml:space="preserve">SAMPLE-CMP-005.SAMPLE-O-007</t>
  </si>
  <si>
    <t xml:space="preserve">SAMPLE-CMP-005.SAMPLE-O-006</t>
  </si>
  <si>
    <t xml:space="preserve">SAMPLE-CMP-005.SAMPLE-O-008</t>
  </si>
  <si>
    <t xml:space="preserve">SAMPLE-CMP-005.SAMPLE-O-004</t>
  </si>
  <si>
    <t xml:space="preserve">SAMPLE-CMP-005.SAMPLE-O-005</t>
  </si>
  <si>
    <t xml:space="preserve">SAMPLE-CMP-005.SAMPLE-O-010</t>
  </si>
  <si>
    <t xml:space="preserve">SAMPLE-CMP-005.SAMPLE-O-002</t>
  </si>
  <si>
    <t xml:space="preserve">SAMPLE-CMP-005.SAMPLE-O-009</t>
  </si>
  <si>
    <t xml:space="preserve">SAMPLE-CMP-005.SAMPLE-O-003</t>
  </si>
  <si>
    <t xml:space="preserve">Did you try SAMPLE Saltmarsh?</t>
  </si>
  <si>
    <t xml:space="preserve">Anything you'd tell SAMPLE Saltmarsh? (optional)</t>
  </si>
  <si>
    <t xml:space="preserve">SAMPLE-CMP-006.SAMPLE-O-002</t>
  </si>
  <si>
    <t xml:space="preserve">SAMPLE-CMP-006.SAMPLE-O-010</t>
  </si>
  <si>
    <t xml:space="preserve">SAMPLE-CMP-006.SAMPLE-O-007</t>
  </si>
  <si>
    <t xml:space="preserve">SAMPLE-CMP-006.SAMPLE-O-001</t>
  </si>
  <si>
    <t xml:space="preserve">SAMPLE-CMP-006.SAMPLE-O-003</t>
  </si>
  <si>
    <t xml:space="preserve">SAMPLE-CMP-006.SAMPLE-O-004</t>
  </si>
  <si>
    <t xml:space="preserve">SAMPLE-CMP-006.SAMPLE-O-009</t>
  </si>
  <si>
    <t xml:space="preserve">SAMPLE-CMP-006.SAMPLE-O-005</t>
  </si>
  <si>
    <t xml:space="preserve">SAMPLE-CMP-006.SAMPLE-O-008</t>
  </si>
  <si>
    <t xml:space="preserve">SAMPLE-CMP-007.SAMPLE-O-004</t>
  </si>
  <si>
    <t xml:space="preserve">SAMPLE-CMP-007.SAMPLE-O-002</t>
  </si>
  <si>
    <t xml:space="preserve">SAMPLE-CMP-007.SAMPLE-O-003</t>
  </si>
  <si>
    <t xml:space="preserve">SAMPLE-CMP-007.SAMPLE-O-008</t>
  </si>
  <si>
    <t xml:space="preserve">SAMPLE-CMP-007.SAMPLE-O-007</t>
  </si>
  <si>
    <t xml:space="preserve">SAMPLE-CMP-007.SAMPLE-O-005</t>
  </si>
  <si>
    <t xml:space="preserve">SAMPLE-CMP-007.SAMPLE-O-009</t>
  </si>
  <si>
    <t xml:space="preserve">SAMPLE-CMP-007.SAMPLE-O-001</t>
  </si>
  <si>
    <t xml:space="preserve">SAMPLE-CMP-007.SAMPLE-O-010</t>
  </si>
  <si>
    <t xml:space="preserve">SAMPLE-CMP-007.SAMPLE-O-006</t>
  </si>
  <si>
    <t xml:space="preserve">SAMPLE-CMP-008.SAMPLE-O-002</t>
  </si>
  <si>
    <t xml:space="preserve">SAMPLE-CMP-008.SAMPLE-O-007</t>
  </si>
  <si>
    <t xml:space="preserve">SAMPLE-CMP-008.SAMPLE-O-001</t>
  </si>
  <si>
    <t xml:space="preserve">SAMPLE-CMP-008.SAMPLE-O-008</t>
  </si>
  <si>
    <t xml:space="preserve">SAMPLE-CMP-008.SAMPLE-O-006</t>
  </si>
  <si>
    <t xml:space="preserve">SAMPLE-CMP-008.SAMPLE-O-003</t>
  </si>
  <si>
    <t xml:space="preserve">SAMPLE-CMP-008.SAMPLE-O-010</t>
  </si>
  <si>
    <t xml:space="preserve">SAMPLE-CMP-008.SAMPLE-O-009</t>
  </si>
  <si>
    <t xml:space="preserve">SAMPLE-CMP-008.SAMPLE-O-004</t>
  </si>
  <si>
    <t xml:space="preserve">SAMPLE-CMP-008.SAMPLE-O-005</t>
  </si>
  <si>
    <t xml:space="preserve">SAMPLE never saw them</t>
  </si>
</sst>
</file>

<file path=xl/styles.xml><?xml version="1.0" encoding="utf-8"?>
<styleSheet xmlns="http://schemas.openxmlformats.org/spreadsheetml/2006/main">
  <numFmts count="13">
    <numFmt numFmtId="164" formatCode="General"/>
    <numFmt numFmtId="165" formatCode="ddd\ yyyy\-mm\-dd"/>
    <numFmt numFmtId="166" formatCode="General"/>
    <numFmt numFmtId="167" formatCode="yyyy\-mm\-dd"/>
    <numFmt numFmtId="168" formatCode="0.00"/>
    <numFmt numFmtId="169" formatCode="0.0"/>
    <numFmt numFmtId="170" formatCode="0%"/>
    <numFmt numFmtId="171" formatCode="@"/>
    <numFmt numFmtId="172" formatCode="0.000000"/>
    <numFmt numFmtId="173" formatCode="yyyy\-mm\-dd\ hh:mm"/>
    <numFmt numFmtId="174" formatCode="hh:mm"/>
    <numFmt numFmtId="175" formatCode="mm/dd/yy"/>
    <numFmt numFmtId="176" formatCode="yyyy\-mm\-dd\ hh:mm:ss"/>
  </numFmts>
  <fonts count="15">
    <font>
      <sz val="11"/>
      <color theme="1"/>
      <name val="Calibri"/>
      <family val="2"/>
      <charset val="1"/>
    </font>
    <font>
      <sz val="10"/>
      <name val="Arial"/>
      <family val="0"/>
    </font>
    <font>
      <sz val="10"/>
      <name val="Arial"/>
      <family val="0"/>
    </font>
    <font>
      <sz val="10"/>
      <name val="Arial"/>
      <family val="0"/>
    </font>
    <font>
      <b val="true"/>
      <sz val="16"/>
      <name val="Cambria"/>
      <family val="0"/>
      <charset val="1"/>
    </font>
    <font>
      <b val="true"/>
      <sz val="12"/>
      <name val="Cambria"/>
      <family val="0"/>
      <charset val="1"/>
    </font>
    <font>
      <b val="true"/>
      <sz val="14"/>
      <color rgb="FFC00000"/>
      <name val="Cambria"/>
      <family val="0"/>
      <charset val="1"/>
    </font>
    <font>
      <b val="true"/>
      <sz val="11"/>
      <name val="Cambria"/>
      <family val="0"/>
      <charset val="1"/>
    </font>
    <font>
      <i val="true"/>
      <sz val="9"/>
      <name val="Cambria"/>
      <family val="0"/>
      <charset val="1"/>
    </font>
    <font>
      <i val="true"/>
      <sz val="11"/>
      <name val="Cambria"/>
      <family val="0"/>
      <charset val="1"/>
    </font>
    <font>
      <b val="true"/>
      <sz val="11"/>
      <color rgb="FFC00000"/>
      <name val="Cambria"/>
      <family val="0"/>
      <charset val="1"/>
    </font>
    <font>
      <b val="true"/>
      <sz val="13"/>
      <name val="Cambria"/>
      <family val="0"/>
      <charset val="1"/>
    </font>
    <font>
      <b val="true"/>
      <sz val="11"/>
      <color rgb="FFFFFFFF"/>
      <name val="Cambria"/>
      <family val="0"/>
      <charset val="1"/>
    </font>
    <font>
      <b val="true"/>
      <sz val="14"/>
      <name val="Cambria"/>
      <family val="0"/>
      <charset val="1"/>
    </font>
    <font>
      <sz val="10"/>
      <name val="Arial"/>
      <family val="2"/>
    </font>
  </fonts>
  <fills count="7">
    <fill>
      <patternFill patternType="none"/>
    </fill>
    <fill>
      <patternFill patternType="gray125"/>
    </fill>
    <fill>
      <patternFill patternType="solid">
        <fgColor rgb="FF1F3864"/>
        <bgColor rgb="FF333333"/>
      </patternFill>
    </fill>
    <fill>
      <patternFill patternType="solid">
        <fgColor rgb="FFFFF2CC"/>
        <bgColor rgb="FFFFF9E5"/>
      </patternFill>
    </fill>
    <fill>
      <patternFill patternType="solid">
        <fgColor rgb="FF7F7F7F"/>
        <bgColor rgb="FF666699"/>
      </patternFill>
    </fill>
    <fill>
      <patternFill patternType="solid">
        <fgColor rgb="FFEFEFEF"/>
        <bgColor rgb="FFEDEDED"/>
      </patternFill>
    </fill>
    <fill>
      <patternFill patternType="solid">
        <fgColor rgb="FFBF8F00"/>
        <bgColor rgb="FF808000"/>
      </patternFill>
    </fill>
  </fills>
  <borders count="2">
    <border diagonalUp="false" diagonalDown="false">
      <left/>
      <right/>
      <top/>
      <bottom/>
      <diagonal/>
    </border>
    <border diagonalUp="false" diagonalDown="false">
      <left/>
      <right/>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true" applyAlignment="true" applyProtection="false">
      <alignment horizontal="general" vertical="top" textRotation="0" wrapText="true" indent="0" shrinkToFit="false"/>
      <protection locked="true" hidden="false"/>
    </xf>
    <xf numFmtId="164" fontId="0" fillId="3" borderId="0" xfId="0" applyFont="true" applyBorder="false" applyAlignment="false" applyProtection="false">
      <alignment horizontal="general" vertical="bottom" textRotation="0" wrapText="false" indent="0" shrinkToFit="false"/>
      <protection locked="true" hidden="false"/>
    </xf>
    <xf numFmtId="164" fontId="12" fillId="4"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true" applyProtection="false">
      <alignment horizontal="general" vertical="center" textRotation="0" wrapText="fals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8" fontId="0" fillId="5" borderId="0" xfId="0" applyFont="false" applyBorder="false" applyAlignment="false" applyProtection="false">
      <alignment horizontal="general" vertical="bottom" textRotation="0" wrapText="false" indent="0" shrinkToFit="false"/>
      <protection locked="true" hidden="false"/>
    </xf>
    <xf numFmtId="169" fontId="0" fillId="5" borderId="0" xfId="0" applyFont="false" applyBorder="false" applyAlignment="false" applyProtection="false">
      <alignment horizontal="general" vertical="bottom" textRotation="0" wrapText="false" indent="0" shrinkToFit="false"/>
      <protection locked="true" hidden="false"/>
    </xf>
    <xf numFmtId="170" fontId="0" fillId="5" borderId="0" xfId="0" applyFont="false" applyBorder="false" applyAlignment="false" applyProtection="false">
      <alignment horizontal="general" vertical="bottom" textRotation="0" wrapText="false" indent="0" shrinkToFit="false"/>
      <protection locked="true" hidden="false"/>
    </xf>
    <xf numFmtId="171" fontId="0"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5"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5" borderId="0" xfId="0" applyFont="false" applyBorder="false" applyAlignment="fals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center" textRotation="0" wrapText="false" indent="0" shrinkToFit="false"/>
      <protection locked="true" hidden="false"/>
    </xf>
    <xf numFmtId="164" fontId="12" fillId="6" borderId="0" xfId="0" applyFont="tru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b val="1"/>
        <color rgb="FFC00000"/>
      </font>
    </dxf>
    <dxf>
      <font>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9E5"/>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FEFEF"/>
      <rgbColor rgb="FFE2EFDA"/>
      <rgbColor rgb="FFFFF2CC"/>
      <rgbColor rgb="FF99CCFF"/>
      <rgbColor rgb="FFFF99CC"/>
      <rgbColor rgb="FFCC99FF"/>
      <rgbColor rgb="FFFCE4D6"/>
      <rgbColor rgb="FF3366FF"/>
      <rgbColor rgb="FF33CCCC"/>
      <rgbColor rgb="FF99CC00"/>
      <rgbColor rgb="FFFFCC00"/>
      <rgbColor rgb="FFBF8F00"/>
      <rgbColor rgb="FFFF6600"/>
      <rgbColor rgb="FF666699"/>
      <rgbColor rgb="FF70AD47"/>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1.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3.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4.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5.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6.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7.vml"/>
</Relationships>
</file>

<file path=xl/worksheets/_rels/sheet14.xml.rels><?xml version="1.0" encoding="UTF-8"?>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8.vml"/>
</Relationships>
</file>

<file path=xl/worksheets/_rels/sheet15.xml.rels><?xml version="1.0" encoding="UTF-8"?>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9.vml"/>
</Relationships>
</file>

<file path=xl/worksheets/_rels/sheet16.xml.rels><?xml version="1.0" encoding="UTF-8"?>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0.vml"/>
</Relationships>
</file>

<file path=xl/worksheets/_rels/sheet17.xml.rels><?xml version="1.0" encoding="UTF-8"?>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1.vml"/>
</Relationships>
</file>

<file path=xl/worksheets/_rels/sheet18.xml.rels><?xml version="1.0" encoding="UTF-8"?>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2.vml"/>
</Relationships>
</file>

<file path=xl/worksheets/_rels/sheet19.xml.rels><?xml version="1.0" encoding="UTF-8"?>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3.vml"/>
</Relationships>
</file>

<file path=xl/worksheets/_rels/sheet20.xml.rels><?xml version="1.0" encoding="UTF-8"?>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14.vml"/>
</Relationships>
</file>

<file path=xl/worksheets/_rels/sheet21.xml.rels><?xml version="1.0" encoding="UTF-8"?>
<Relationships xmlns="http://schemas.openxmlformats.org/package/2006/relationships"><Relationship Id="rId1" Type="http://schemas.openxmlformats.org/officeDocument/2006/relationships/comments" Target="../comments21.xml"/><Relationship Id="rId2" Type="http://schemas.openxmlformats.org/officeDocument/2006/relationships/vmlDrawing" Target="../drawings/vmlDrawing15.vml"/>
</Relationships>
</file>

<file path=xl/worksheets/_rels/sheet22.xml.rels><?xml version="1.0" encoding="UTF-8"?>
<Relationships xmlns="http://schemas.openxmlformats.org/package/2006/relationships"><Relationship Id="rId1" Type="http://schemas.openxmlformats.org/officeDocument/2006/relationships/comments" Target="../comments22.xml"/><Relationship Id="rId2" Type="http://schemas.openxmlformats.org/officeDocument/2006/relationships/vmlDrawing" Target="../drawings/vmlDrawing16.vml"/>
</Relationships>
</file>

<file path=xl/worksheets/_rels/sheet23.xml.rels><?xml version="1.0" encoding="UTF-8"?>
<Relationships xmlns="http://schemas.openxmlformats.org/package/2006/relationships"><Relationship Id="rId1" Type="http://schemas.openxmlformats.org/officeDocument/2006/relationships/comments" Target="../comments23.xml"/><Relationship Id="rId2" Type="http://schemas.openxmlformats.org/officeDocument/2006/relationships/vmlDrawing" Target="../drawings/vmlDrawing17.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18.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19.vml"/>
</Relationships>
</file>

<file path=xl/worksheets/_rels/sheet28.xml.rels><?xml version="1.0" encoding="UTF-8"?>
<Relationships xmlns="http://schemas.openxmlformats.org/package/2006/relationships"><Relationship Id="rId1" Type="http://schemas.openxmlformats.org/officeDocument/2006/relationships/comments" Target="../comments28.xml"/><Relationship Id="rId2" Type="http://schemas.openxmlformats.org/officeDocument/2006/relationships/vmlDrawing" Target="../drawings/vmlDrawing20.vml"/>
</Relationships>
</file>

<file path=xl/worksheets/_rels/sheet29.xml.rels><?xml version="1.0" encoding="UTF-8"?>
<Relationships xmlns="http://schemas.openxmlformats.org/package/2006/relationships"><Relationship Id="rId1" Type="http://schemas.openxmlformats.org/officeDocument/2006/relationships/comments" Target="../comments29.xml"/><Relationship Id="rId2" Type="http://schemas.openxmlformats.org/officeDocument/2006/relationships/vmlDrawing" Target="../drawings/vmlDrawing21.vml"/>
</Relationships>
</file>

<file path=xl/worksheets/_rels/sheet30.xml.rels><?xml version="1.0" encoding="UTF-8"?>
<Relationships xmlns="http://schemas.openxmlformats.org/package/2006/relationships"><Relationship Id="rId1" Type="http://schemas.openxmlformats.org/officeDocument/2006/relationships/comments" Target="../comments30.xml"/><Relationship Id="rId2" Type="http://schemas.openxmlformats.org/officeDocument/2006/relationships/vmlDrawing" Target="../drawings/vmlDrawing22.vml"/>
</Relationships>
</file>

<file path=xl/worksheets/_rels/sheet31.xml.rels><?xml version="1.0" encoding="UTF-8"?>
<Relationships xmlns="http://schemas.openxmlformats.org/package/2006/relationships"><Relationship Id="rId1" Type="http://schemas.openxmlformats.org/officeDocument/2006/relationships/comments" Target="../comments31.xml"/><Relationship Id="rId2" Type="http://schemas.openxmlformats.org/officeDocument/2006/relationships/vmlDrawing" Target="../drawings/vmlDrawing2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9.7" hidden="false" customHeight="false" outlineLevel="0" collapsed="false">
      <c r="A1" s="1" t="str">
        <f aca="false">"Campaign tracker · "&amp;config!$B$2</f>
        <v>Campaign tracker · Desk Drop</v>
      </c>
    </row>
    <row r="2" customFormat="false" ht="28.35" hidden="false" customHeight="false" outlineLevel="0" collapsed="false">
      <c r="A2" s="2" t="s">
        <v>0</v>
      </c>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3"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t="s">
        <v>7</v>
      </c>
    </row>
    <row r="11" customFormat="false" ht="15" hidden="false" customHeight="false" outlineLevel="0" collapsed="false">
      <c r="A11" s="2" t="s">
        <v>8</v>
      </c>
    </row>
    <row r="12" customFormat="false" ht="15" hidden="false" customHeight="false" outlineLevel="0" collapsed="false">
      <c r="A12" s="2" t="s">
        <v>9</v>
      </c>
    </row>
    <row r="13" customFormat="false" ht="15" hidden="false" customHeight="false" outlineLevel="0" collapsed="false">
      <c r="A13" s="2" t="s">
        <v>10</v>
      </c>
    </row>
    <row r="14" customFormat="false" ht="15" hidden="false" customHeight="false" outlineLevel="0" collapsed="false">
      <c r="A14" s="2" t="s">
        <v>11</v>
      </c>
    </row>
    <row r="15" customFormat="false" ht="15" hidden="false" customHeight="false" outlineLevel="0" collapsed="false">
      <c r="A15" s="2" t="s">
        <v>12</v>
      </c>
    </row>
    <row r="16" customFormat="false" ht="15" hidden="false" customHeight="false" outlineLevel="0" collapsed="false">
      <c r="A16" s="2" t="s">
        <v>13</v>
      </c>
    </row>
    <row r="17" customFormat="false" ht="15" hidden="false" customHeight="false" outlineLevel="0" collapsed="false">
      <c r="A17" s="2" t="s">
        <v>14</v>
      </c>
    </row>
    <row r="18" customFormat="false" ht="15" hidden="false" customHeight="false" outlineLevel="0" collapsed="false">
      <c r="A18" s="2" t="s">
        <v>15</v>
      </c>
    </row>
    <row r="19" customFormat="false" ht="15" hidden="false" customHeight="false" outlineLevel="0" collapsed="false">
      <c r="A19" s="2" t="s">
        <v>16</v>
      </c>
    </row>
    <row r="20" customFormat="false" ht="15" hidden="false" customHeight="false" outlineLevel="0" collapsed="false">
      <c r="A20" s="2" t="s">
        <v>17</v>
      </c>
    </row>
    <row r="21" customFormat="false" ht="15" hidden="false" customHeight="false" outlineLevel="0" collapsed="false">
      <c r="A21" s="2" t="s">
        <v>18</v>
      </c>
    </row>
    <row r="22" customFormat="false" ht="15" hidden="false" customHeight="false" outlineLevel="0" collapsed="false">
      <c r="A22" s="2"/>
    </row>
    <row r="23" customFormat="false" ht="15" hidden="false" customHeight="false" outlineLevel="0" collapsed="false">
      <c r="A23" s="3" t="s">
        <v>19</v>
      </c>
    </row>
    <row r="24" customFormat="false" ht="15" hidden="false" customHeight="false" outlineLevel="0" collapsed="false">
      <c r="A24" s="2" t="s">
        <v>20</v>
      </c>
    </row>
    <row r="25" customFormat="false" ht="15" hidden="false" customHeight="false" outlineLevel="0" collapsed="false">
      <c r="A25" s="2" t="s">
        <v>21</v>
      </c>
    </row>
    <row r="26" customFormat="false" ht="28.35" hidden="false" customHeight="false" outlineLevel="0" collapsed="false">
      <c r="A26" s="2" t="s">
        <v>22</v>
      </c>
    </row>
    <row r="27" customFormat="false" ht="15" hidden="false" customHeight="false" outlineLevel="0" collapsed="false">
      <c r="A27" s="2" t="s">
        <v>23</v>
      </c>
    </row>
    <row r="28" customFormat="false" ht="15" hidden="false" customHeight="false" outlineLevel="0" collapsed="false">
      <c r="A28" s="2" t="s">
        <v>24</v>
      </c>
    </row>
    <row r="29" customFormat="false" ht="15" hidden="false" customHeight="false" outlineLevel="0" collapsed="false">
      <c r="A29" s="2" t="s">
        <v>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Z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 collapsed="false" customWidth="true" hidden="false" outlineLevel="0" max="3" min="3" style="0" width="14"/>
    <col collapsed="false" customWidth="true" hidden="false" outlineLevel="0" max="4" min="4" style="0" width="10"/>
    <col collapsed="false" customWidth="true" hidden="false" outlineLevel="0" max="6" min="5" style="0" width="30"/>
    <col collapsed="false" customWidth="true" hidden="false" outlineLevel="0" max="7" min="7" style="0" width="12"/>
    <col collapsed="false" customWidth="true" hidden="false" outlineLevel="0" max="11" min="8" style="0" width="9"/>
    <col collapsed="false" customWidth="true" hidden="false" outlineLevel="0" max="12" min="12" style="0" width="10"/>
    <col collapsed="false" customWidth="true" hidden="false" outlineLevel="0" max="14" min="13" style="0" width="11"/>
    <col collapsed="false" customWidth="true" hidden="false" outlineLevel="0" max="15" min="15" style="0" width="10"/>
    <col collapsed="false" customWidth="true" hidden="false" outlineLevel="0" max="16" min="16" style="0" width="11"/>
    <col collapsed="false" customWidth="true" hidden="false" outlineLevel="0" max="21" min="17" style="0" width="10"/>
    <col collapsed="false" customWidth="true" hidden="false" outlineLevel="0" max="25" min="22" style="0" width="9"/>
    <col collapsed="false" customWidth="true" hidden="false" outlineLevel="0" max="26" min="26" style="0" width="40"/>
  </cols>
  <sheetData>
    <row r="1" customFormat="false" ht="19.7" hidden="false" customHeight="false" outlineLevel="0" collapsed="false">
      <c r="A1" s="4" t="str">
        <f aca="false">"Campaign tracker · "&amp;config!$B$2</f>
        <v>Campaign tracker · Desk Drop</v>
      </c>
    </row>
    <row r="2" customFormat="false" ht="17.35" hidden="false" customHeight="false" outlineLevel="0" collapsed="false">
      <c r="A2" s="5" t="str">
        <f aca="false">IF(COUNTIF(campaigns!$A$2:$A$51,"SAMPLE*")+COUNTIF(drops!$A$2:$A$21,"SAMPLE*")&gt;0,"SAMPLE DATA. Illustrative placeholders, not results.","")</f>
        <v>SAMPLE DATA. Illustrative placeholders, not results.</v>
      </c>
    </row>
    <row r="3" customFormat="false" ht="15" hidden="false" customHeight="false" outlineLevel="0" collapsed="false">
      <c r="A3" s="6" t="s">
        <v>26</v>
      </c>
      <c r="B3" s="7" t="n">
        <f aca="true">IF(config!$B$37&lt;&gt;"",config!$B$37,TODAY())</f>
        <v>46500</v>
      </c>
    </row>
    <row r="5" customFormat="false" ht="15" hidden="false" customHeight="false" outlineLevel="0" collapsed="false">
      <c r="A5" s="8" t="s">
        <v>27</v>
      </c>
    </row>
    <row r="6" customFormat="false" ht="15" hidden="false" customHeight="false" outlineLevel="0" collapsed="false">
      <c r="A6" s="6" t="s">
        <v>28</v>
      </c>
      <c r="B6" s="6" t="s">
        <v>29</v>
      </c>
      <c r="C6" s="6" t="s">
        <v>30</v>
      </c>
    </row>
    <row r="7" customFormat="false" ht="15" hidden="false" customHeight="false" outlineLevel="0" collapsed="false">
      <c r="A7" s="0" t="s">
        <v>31</v>
      </c>
      <c r="B7" s="9" t="n">
        <f aca="false">IFERROR(COUNTIF(drops!$I$2:$I$21,"REFUSED*"),0)</f>
        <v>0</v>
      </c>
      <c r="C7" s="10" t="s">
        <v>32</v>
      </c>
    </row>
    <row r="8" customFormat="false" ht="15" hidden="false" customHeight="false" outlineLevel="0" collapsed="false">
      <c r="A8" s="0" t="s">
        <v>33</v>
      </c>
      <c r="B8" s="9" t="n">
        <f aca="false">IFERROR(COUNTIF(campaigns!$DV$2:$DV$51,"?*")-COUNTIF(campaigns!$DV$2:$DV$51,"info:*"),0)</f>
        <v>0</v>
      </c>
      <c r="C8" s="10" t="s">
        <v>34</v>
      </c>
    </row>
    <row r="9" customFormat="false" ht="15" hidden="false" customHeight="false" outlineLevel="0" collapsed="false">
      <c r="A9" s="0" t="s">
        <v>35</v>
      </c>
      <c r="B9" s="9" t="n">
        <f aca="false">IFERROR(COUNTIF(campaigns!$BW$2:$BW$51,"HOLD*"),0)</f>
        <v>0</v>
      </c>
      <c r="C9" s="10" t="s">
        <v>36</v>
      </c>
    </row>
    <row r="10" customFormat="false" ht="15" hidden="false" customHeight="false" outlineLevel="0" collapsed="false">
      <c r="A10" s="0" t="s">
        <v>37</v>
      </c>
      <c r="B10" s="9" t="n">
        <f aca="false">IFERROR(COUNTIF(approvals!$AP$2:$AP$251,"?*")-COUNTIF(approvals!$AP$2:$AP$251,"info:*"),0)</f>
        <v>0</v>
      </c>
      <c r="C10" s="10" t="s">
        <v>38</v>
      </c>
    </row>
    <row r="11" customFormat="false" ht="15" hidden="false" customHeight="false" outlineLevel="0" collapsed="false">
      <c r="A11" s="0" t="s">
        <v>39</v>
      </c>
      <c r="B11" s="9" t="n">
        <f aca="false">IFERROR(COUNTIF(stops!$AD$2:$AD$151,"?*")-COUNTIF(stops!$AD$2:$AD$151,"info:*"),0)</f>
        <v>0</v>
      </c>
      <c r="C11" s="10" t="s">
        <v>40</v>
      </c>
    </row>
    <row r="12" customFormat="false" ht="15" hidden="false" customHeight="false" outlineLevel="0" collapsed="false">
      <c r="A12" s="0" t="s">
        <v>41</v>
      </c>
      <c r="B12" s="9" t="n">
        <f aca="false">IFERROR(COUNTIF(inventory!$Q$2:$Q$801,"?*")-COUNTIF(inventory!$Q$2:$Q$801,"info:*"),0)</f>
        <v>0</v>
      </c>
      <c r="C12" s="10" t="s">
        <v>42</v>
      </c>
    </row>
    <row r="13" customFormat="false" ht="15" hidden="false" customHeight="false" outlineLevel="0" collapsed="false">
      <c r="A13" s="0" t="s">
        <v>43</v>
      </c>
      <c r="B13" s="9" t="n">
        <f aca="false">IFERROR(COUNTIF(counts!$K$2:$K$701,"?*")-COUNTIF(counts!$K$2:$K$701,"info:*"),0)</f>
        <v>0</v>
      </c>
      <c r="C13" s="10" t="s">
        <v>44</v>
      </c>
    </row>
    <row r="14" customFormat="false" ht="15" hidden="false" customHeight="false" outlineLevel="0" collapsed="false">
      <c r="A14" s="0" t="s">
        <v>45</v>
      </c>
      <c r="B14" s="9" t="n">
        <f aca="false">IFERROR(COUNTIF(photos!$Q$2:$Q$701,"?*")-COUNTIF(photos!$Q$2:$Q$701,"info:*"),0)</f>
        <v>0</v>
      </c>
      <c r="C14" s="10" t="s">
        <v>46</v>
      </c>
    </row>
    <row r="15" customFormat="false" ht="15" hidden="false" customHeight="false" outlineLevel="0" collapsed="false">
      <c r="A15" s="0" t="s">
        <v>47</v>
      </c>
      <c r="B15" s="9" t="n">
        <f aca="false">IFERROR(COUNTIF(links!$I$2:$I$501,"?*")-COUNTIF(links!$I$2:$I$501,"info:*"),0)</f>
        <v>0</v>
      </c>
      <c r="C15" s="10" t="s">
        <v>48</v>
      </c>
    </row>
    <row r="16" customFormat="false" ht="15" hidden="false" customHeight="false" outlineLevel="0" collapsed="false">
      <c r="A16" s="0" t="s">
        <v>49</v>
      </c>
      <c r="B16" s="9" t="n">
        <f aca="false">IFERROR(COUNTIF(scans!$J$2:$J$1601,"?*")-COUNTIF(scans!$J$2:$J$1601,"info:*"),0)</f>
        <v>0</v>
      </c>
      <c r="C16" s="10" t="s">
        <v>50</v>
      </c>
    </row>
    <row r="17" customFormat="false" ht="15" hidden="false" customHeight="false" outlineLevel="0" collapsed="false">
      <c r="A17" s="0" t="s">
        <v>51</v>
      </c>
      <c r="B17" s="9" t="n">
        <f aca="false">IFERROR(SUMPRODUCT((LEN(issues!$A$2:$A$121)&gt;0)*(LEN(issues!$L$2:$L$121)=0)),0)</f>
        <v>0</v>
      </c>
      <c r="C17" s="10" t="s">
        <v>52</v>
      </c>
    </row>
    <row r="18" customFormat="false" ht="15" hidden="false" customHeight="false" outlineLevel="0" collapsed="false">
      <c r="A18" s="0" t="s">
        <v>53</v>
      </c>
      <c r="B18" s="9" t="n">
        <f aca="false">IFERROR(COUNTIF(issues!$O$2:$O$121,"?*")-COUNTIF(issues!$O$2:$O$121,"info:*"),0)</f>
        <v>0</v>
      </c>
      <c r="C18" s="10" t="s">
        <v>54</v>
      </c>
    </row>
    <row r="19" customFormat="false" ht="15" hidden="false" customHeight="false" outlineLevel="0" collapsed="false">
      <c r="A19" s="0" t="s">
        <v>55</v>
      </c>
      <c r="B19" s="9" t="n">
        <f aca="false">IFERROR(COUNTIF(hours!$G$2:$G$1501,"?*")-COUNTIF(hours!$G$2:$G$1501,"info:*"),0)</f>
        <v>0</v>
      </c>
      <c r="C19" s="10" t="s">
        <v>56</v>
      </c>
    </row>
    <row r="20" customFormat="false" ht="15" hidden="false" customHeight="false" outlineLevel="0" collapsed="false">
      <c r="A20" s="0" t="s">
        <v>57</v>
      </c>
      <c r="B20" s="9" t="n">
        <f aca="false">IFERROR(COUNTIF(costs!$I$2:$I$301,"?*")-COUNTIF(costs!$I$2:$I$301,"info:*"),0)</f>
        <v>0</v>
      </c>
      <c r="C20" s="10" t="s">
        <v>58</v>
      </c>
    </row>
    <row r="21" customFormat="false" ht="15" hidden="false" customHeight="false" outlineLevel="0" collapsed="false">
      <c r="A21" s="0" t="s">
        <v>59</v>
      </c>
      <c r="B21" s="9" t="n">
        <f aca="false">IFERROR(COUNTIF(invoices!$Q$2:$Q$151,"overdue"),0)</f>
        <v>0</v>
      </c>
      <c r="C21" s="10" t="s">
        <v>60</v>
      </c>
    </row>
    <row r="22" customFormat="false" ht="15" hidden="false" customHeight="false" outlineLevel="0" collapsed="false">
      <c r="A22" s="0" t="s">
        <v>61</v>
      </c>
      <c r="B22" s="9" t="n">
        <f aca="false">IFERROR(COUNTIF(invoices!$S$2:$S$151,"?*")-COUNTIF(invoices!$S$2:$S$151,"info:*"),0)</f>
        <v>0</v>
      </c>
      <c r="C22" s="10" t="s">
        <v>62</v>
      </c>
    </row>
    <row r="23" customFormat="false" ht="15" hidden="false" customHeight="false" outlineLevel="0" collapsed="false">
      <c r="A23" s="0" t="s">
        <v>63</v>
      </c>
      <c r="B23" s="9" t="n">
        <f aca="false">IFERROR(SUMPRODUCT((in_paid_brands!$A$2:$A$81&lt;&gt;"")*(COUNTIF(brands!$A$2:$A$41,INDEX(in_paid_brands!$A$2:$BZ$81,0,MATCH("brand_id",in_paid_brands!$A$1:$BZ$1,0)))=0)),0)</f>
        <v>0</v>
      </c>
      <c r="C23" s="10" t="s">
        <v>64</v>
      </c>
    </row>
    <row r="24" customFormat="false" ht="15" hidden="false" customHeight="false" outlineLevel="0" collapsed="false">
      <c r="A24" s="0" t="s">
        <v>65</v>
      </c>
      <c r="B24" s="9" t="n">
        <f aca="false">IFERROR(SUMPRODUCT((in_signed_offices!$A$2:$A$81&lt;&gt;"")*(COUNTIF(offices!$A$2:$A$61,INDEX(in_signed_offices!$A$2:$BZ$81,0,MATCH("office_id",in_signed_offices!$A$1:$BZ$1,0)))=0)),0)</f>
        <v>0</v>
      </c>
      <c r="C24" s="10" t="s">
        <v>66</v>
      </c>
    </row>
    <row r="25" customFormat="false" ht="15" hidden="false" customHeight="false" outlineLevel="0" collapsed="false">
      <c r="A25" s="0" t="s">
        <v>67</v>
      </c>
      <c r="B25" s="9" t="n">
        <f aca="true">IFERROR(SUMPRODUCT((offices!$K$2:$K$61="left")*ISNUMBER(offices!$L$2:$L$61)*((IF(config!$B$37&lt;&gt;"",config!$B$37,TODAY())-offices!$L$2:$L$61)&gt;config!$B$42)*((LEN(offices!$S$2:$S$61)+LEN(offices!$U$2:$U$61)+LEN(offices!$V$2:$V$61)+LEN(offices!$AJ$2:$AJ$61))&gt;0)),0)</f>
        <v>0</v>
      </c>
      <c r="C25" s="10" t="s">
        <v>68</v>
      </c>
    </row>
    <row r="26" customFormat="false" ht="15" hidden="false" customHeight="false" outlineLevel="0" collapsed="false">
      <c r="A26" s="0" t="s">
        <v>69</v>
      </c>
      <c r="B26" s="9" t="n">
        <f aca="false">IFERROR(COUNTIF(brands!$AJ$2:$AJ$41,"?*"),0)</f>
        <v>0</v>
      </c>
      <c r="C26" s="10" t="s">
        <v>70</v>
      </c>
    </row>
    <row r="27" customFormat="false" ht="15" hidden="false" customHeight="false" outlineLevel="0" collapsed="false">
      <c r="A27" s="0" t="s">
        <v>71</v>
      </c>
      <c r="B27" s="9" t="n">
        <f aca="true">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0</v>
      </c>
      <c r="C27" s="10" t="s">
        <v>72</v>
      </c>
    </row>
    <row r="28" customFormat="false" ht="15" hidden="false" customHeight="false" outlineLevel="0" collapsed="false">
      <c r="A28" s="0" t="s">
        <v>73</v>
      </c>
      <c r="B28" s="9" t="n">
        <f aca="false">IFERROR(COUNTIF(offices!$AR$2:$AR$61,"?*")-COUNTIF(offices!$AR$2:$AR$61,"info:*"),0)</f>
        <v>0</v>
      </c>
      <c r="C28" s="10" t="s">
        <v>74</v>
      </c>
    </row>
    <row r="30" customFormat="false" ht="15" hidden="false" customHeight="false" outlineLevel="0" collapsed="false">
      <c r="A30" s="8" t="s">
        <v>75</v>
      </c>
    </row>
    <row r="31" customFormat="false" ht="15" hidden="false" customHeight="false" outlineLevel="0" collapsed="false">
      <c r="A31" s="6" t="s">
        <v>76</v>
      </c>
      <c r="B31" s="6" t="s">
        <v>77</v>
      </c>
      <c r="C31" s="6" t="s">
        <v>78</v>
      </c>
      <c r="D31" s="6" t="s">
        <v>79</v>
      </c>
      <c r="E31" s="6" t="s">
        <v>80</v>
      </c>
      <c r="F31" s="6" t="s">
        <v>81</v>
      </c>
      <c r="G31" s="6" t="s">
        <v>82</v>
      </c>
      <c r="H31" s="6" t="s">
        <v>83</v>
      </c>
      <c r="I31" s="6" t="s">
        <v>84</v>
      </c>
      <c r="J31" s="6" t="s">
        <v>85</v>
      </c>
      <c r="K31" s="6" t="s">
        <v>86</v>
      </c>
      <c r="L31" s="6" t="s">
        <v>87</v>
      </c>
      <c r="M31" s="6" t="s">
        <v>88</v>
      </c>
      <c r="N31" s="6" t="s">
        <v>89</v>
      </c>
      <c r="O31" s="6" t="s">
        <v>90</v>
      </c>
      <c r="P31" s="6" t="s">
        <v>91</v>
      </c>
      <c r="Q31" s="6" t="s">
        <v>92</v>
      </c>
      <c r="R31" s="6" t="s">
        <v>93</v>
      </c>
      <c r="S31" s="6" t="s">
        <v>94</v>
      </c>
      <c r="T31" s="6" t="s">
        <v>95</v>
      </c>
    </row>
    <row r="32" customFormat="false" ht="15" hidden="false" customHeight="false" outlineLevel="0" collapsed="false">
      <c r="A32" s="0" t="str">
        <f aca="false">IF(INDEX(drops!$A$2:$A$21,1)="","",INDEX(drops!$A$2:$A$21,1))</f>
        <v>SAMPLE-DRP-001</v>
      </c>
      <c r="B32" s="11" t="n">
        <f aca="false">IF(INDEX(drops!$A$2:$A$21,1)="","",INDEX(drops!$B$2:$B$21,1))</f>
        <v>46399</v>
      </c>
      <c r="C32" s="0" t="str">
        <f aca="false">IF(INDEX(drops!$A$2:$A$21,1)="","",INDEX(drops!$C$2:$C$21,1))</f>
        <v>founder</v>
      </c>
      <c r="D32" s="0" t="str">
        <f aca="false">IF(INDEX(drops!$A$2:$A$21,1)="","",INDEX(drops!$D$2:$D$21,1))</f>
        <v>confirmed</v>
      </c>
      <c r="E32" s="0" t="str">
        <f aca="false">IF(INDEX(drops!$A$2:$A$21,1)="","",INDEX(drops!$I$2:$I$21,1))</f>
        <v>OK</v>
      </c>
      <c r="F32" s="0" t="str">
        <f aca="false">IF(INDEX(drops!$A$2:$A$21,1)="","",INDEX(drops!$X$2:$X$21,1))</f>
        <v>done</v>
      </c>
      <c r="G32" s="11" t="str">
        <f aca="false">IF(INDEX(drops!$A$2:$A$21,1)="","",INDEX(drops!$Y$2:$Y$21,1))</f>
        <v/>
      </c>
      <c r="H32" s="10" t="n">
        <f aca="false">IF(INDEX(drops!$A$2:$A$21,1)="","",INDEX(drops!$AA$2:$AA$21,1))</f>
        <v>5</v>
      </c>
      <c r="I32" s="10" t="n">
        <f aca="false">IF(INDEX(drops!$A$2:$A$21,1)="","",INDEX(drops!$Z$2:$Z$21,1))</f>
        <v>2</v>
      </c>
      <c r="J32" s="10" t="n">
        <f aca="false">IF(INDEX(drops!$A$2:$A$21,1)="","",INDEX(drops!$AB$2:$AB$21,1))</f>
        <v>500</v>
      </c>
      <c r="K32" s="12" t="n">
        <f aca="false">IF(INDEX(drops!$A$2:$A$21,1)="","",INDEX(drops!$AC$2:$AC$21,1))</f>
        <v>1080</v>
      </c>
      <c r="L32" s="12" t="n">
        <f aca="false">IF(INDEX(drops!$A$2:$A$21,1)="","",INDEX(drops!$AG$2:$AG$21,1))</f>
        <v>152</v>
      </c>
      <c r="M32" s="12" t="n">
        <f aca="false">IF(INDEX(drops!$A$2:$A$21,1)="","",INDEX(drops!$AH$2:$AH$21,1))</f>
        <v>30.4</v>
      </c>
      <c r="N32" s="13" t="n">
        <f aca="false">IF(INDEX(drops!$A$2:$A$21,1)="","",INDEX(drops!$AI$2:$AI$21,1))</f>
        <v>57</v>
      </c>
      <c r="O32" s="12" t="n">
        <f aca="false">IF(INDEX(drops!$A$2:$A$21,1)="","",INDEX(drops!$AJ$2:$AJ$21,1))</f>
        <v>928</v>
      </c>
      <c r="P32" s="12" t="n">
        <f aca="false">IF(INDEX(drops!$A$2:$A$21,1)="","",INDEX(drops!$AK$2:$AK$21,1))</f>
        <v>16.28</v>
      </c>
      <c r="Q32" s="14" t="n">
        <f aca="false">IF(INDEX(drops!$A$2:$A$21,1)="","",INDEX(drops!$AL$2:$AL$21,1))</f>
        <v>0.896</v>
      </c>
      <c r="R32" s="10" t="n">
        <f aca="false">IF(INDEX(drops!$A$2:$A$21,1)="","",INDEX(drops!$AM$2:$AM$21,1))</f>
        <v>4</v>
      </c>
      <c r="S32" s="10" t="n">
        <f aca="false">IF(INDEX(drops!$A$2:$A$21,1)="","",INDEX(drops!$AN$2:$AN$21,1))</f>
        <v>0</v>
      </c>
      <c r="T32" s="10" t="n">
        <f aca="false">IF(INDEX(drops!$A$2:$A$21,1)="","",INDEX(drops!$AO$2:$AO$21,1))</f>
        <v>1</v>
      </c>
    </row>
    <row r="33" customFormat="false" ht="15" hidden="false" customHeight="false" outlineLevel="0" collapsed="false">
      <c r="A33" s="0" t="str">
        <f aca="false">IF(INDEX(drops!$A$2:$A$21,2)="","",INDEX(drops!$A$2:$A$21,2))</f>
        <v>SAMPLE-DRP-002</v>
      </c>
      <c r="B33" s="11" t="n">
        <f aca="false">IF(INDEX(drops!$A$2:$A$21,2)="","",INDEX(drops!$B$2:$B$21,2))</f>
        <v>46427</v>
      </c>
      <c r="C33" s="0" t="str">
        <f aca="false">IF(INDEX(drops!$A$2:$A$21,2)="","",INDEX(drops!$C$2:$C$21,2))</f>
        <v>courier</v>
      </c>
      <c r="D33" s="0" t="str">
        <f aca="false">IF(INDEX(drops!$A$2:$A$21,2)="","",INDEX(drops!$D$2:$D$21,2))</f>
        <v>confirmed</v>
      </c>
      <c r="E33" s="0" t="str">
        <f aca="false">IF(INDEX(drops!$A$2:$A$21,2)="","",INDEX(drops!$I$2:$I$21,2))</f>
        <v>OK</v>
      </c>
      <c r="F33" s="0" t="str">
        <f aca="false">IF(INDEX(drops!$A$2:$A$21,2)="","",INDEX(drops!$X$2:$X$21,2))</f>
        <v>done</v>
      </c>
      <c r="G33" s="11" t="str">
        <f aca="false">IF(INDEX(drops!$A$2:$A$21,2)="","",INDEX(drops!$Y$2:$Y$21,2))</f>
        <v/>
      </c>
      <c r="H33" s="10" t="n">
        <f aca="false">IF(INDEX(drops!$A$2:$A$21,2)="","",INDEX(drops!$AA$2:$AA$21,2))</f>
        <v>10</v>
      </c>
      <c r="I33" s="10" t="n">
        <f aca="false">IF(INDEX(drops!$A$2:$A$21,2)="","",INDEX(drops!$Z$2:$Z$21,2))</f>
        <v>3</v>
      </c>
      <c r="J33" s="10" t="n">
        <f aca="false">IF(INDEX(drops!$A$2:$A$21,2)="","",INDEX(drops!$AB$2:$AB$21,2))</f>
        <v>1455</v>
      </c>
      <c r="K33" s="12" t="n">
        <f aca="false">IF(INDEX(drops!$A$2:$A$21,2)="","",INDEX(drops!$AC$2:$AC$21,2))</f>
        <v>4350</v>
      </c>
      <c r="L33" s="12" t="n">
        <f aca="false">IF(INDEX(drops!$A$2:$A$21,2)="","",INDEX(drops!$AG$2:$AG$21,2))</f>
        <v>590</v>
      </c>
      <c r="M33" s="12" t="n">
        <f aca="false">IF(INDEX(drops!$A$2:$A$21,2)="","",INDEX(drops!$AH$2:$AH$21,2))</f>
        <v>59</v>
      </c>
      <c r="N33" s="13" t="n">
        <f aca="false">IF(INDEX(drops!$A$2:$A$21,2)="","",INDEX(drops!$AI$2:$AI$21,2))</f>
        <v>52</v>
      </c>
      <c r="O33" s="12" t="n">
        <f aca="false">IF(INDEX(drops!$A$2:$A$21,2)="","",INDEX(drops!$AJ$2:$AJ$21,2))</f>
        <v>3760</v>
      </c>
      <c r="P33" s="12" t="n">
        <f aca="false">IF(INDEX(drops!$A$2:$A$21,2)="","",INDEX(drops!$AK$2:$AK$21,2))</f>
        <v>72.31</v>
      </c>
      <c r="Q33" s="14" t="n">
        <f aca="false">IF(INDEX(drops!$A$2:$A$21,2)="","",INDEX(drops!$AL$2:$AL$21,2))</f>
        <v>1</v>
      </c>
      <c r="R33" s="10" t="n">
        <f aca="false">IF(INDEX(drops!$A$2:$A$21,2)="","",INDEX(drops!$AM$2:$AM$21,2))</f>
        <v>4</v>
      </c>
      <c r="S33" s="10" t="n">
        <f aca="false">IF(INDEX(drops!$A$2:$A$21,2)="","",INDEX(drops!$AN$2:$AN$21,2))</f>
        <v>0</v>
      </c>
      <c r="T33" s="10" t="n">
        <f aca="false">IF(INDEX(drops!$A$2:$A$21,2)="","",INDEX(drops!$AO$2:$AO$21,2))</f>
        <v>2</v>
      </c>
    </row>
    <row r="34" customFormat="false" ht="15" hidden="false" customHeight="false" outlineLevel="0" collapsed="false">
      <c r="A34" s="0" t="str">
        <f aca="false">IF(INDEX(drops!$A$2:$A$21,3)="","",INDEX(drops!$A$2:$A$21,3))</f>
        <v>SAMPLE-DRP-003</v>
      </c>
      <c r="B34" s="11" t="n">
        <f aca="false">IF(INDEX(drops!$A$2:$A$21,3)="","",INDEX(drops!$B$2:$B$21,3))</f>
        <v>46441</v>
      </c>
      <c r="C34" s="0" t="str">
        <f aca="false">IF(INDEX(drops!$A$2:$A$21,3)="","",INDEX(drops!$C$2:$C$21,3))</f>
        <v>courier</v>
      </c>
      <c r="D34" s="0" t="str">
        <f aca="false">IF(INDEX(drops!$A$2:$A$21,3)="","",INDEX(drops!$D$2:$D$21,3))</f>
        <v>confirmed</v>
      </c>
      <c r="E34" s="0" t="str">
        <f aca="false">IF(INDEX(drops!$A$2:$A$21,3)="","",INDEX(drops!$I$2:$I$21,3))</f>
        <v>OK</v>
      </c>
      <c r="F34" s="0" t="str">
        <f aca="false">IF(INDEX(drops!$A$2:$A$21,3)="","",INDEX(drops!$X$2:$X$21,3))</f>
        <v>done</v>
      </c>
      <c r="G34" s="11" t="str">
        <f aca="false">IF(INDEX(drops!$A$2:$A$21,3)="","",INDEX(drops!$Y$2:$Y$21,3))</f>
        <v/>
      </c>
      <c r="H34" s="10" t="n">
        <f aca="false">IF(INDEX(drops!$A$2:$A$21,3)="","",INDEX(drops!$AA$2:$AA$21,3))</f>
        <v>10</v>
      </c>
      <c r="I34" s="10" t="n">
        <f aca="false">IF(INDEX(drops!$A$2:$A$21,3)="","",INDEX(drops!$Z$2:$Z$21,3))</f>
        <v>1</v>
      </c>
      <c r="J34" s="10" t="n">
        <f aca="false">IF(INDEX(drops!$A$2:$A$21,3)="","",INDEX(drops!$AB$2:$AB$21,3))</f>
        <v>465</v>
      </c>
      <c r="K34" s="12" t="n">
        <f aca="false">IF(INDEX(drops!$A$2:$A$21,3)="","",INDEX(drops!$AC$2:$AC$21,3))</f>
        <v>1350</v>
      </c>
      <c r="L34" s="12" t="n">
        <f aca="false">IF(INDEX(drops!$A$2:$A$21,3)="","",INDEX(drops!$AG$2:$AG$21,3))</f>
        <v>380</v>
      </c>
      <c r="M34" s="12" t="n">
        <f aca="false">IF(INDEX(drops!$A$2:$A$21,3)="","",INDEX(drops!$AH$2:$AH$21,3))</f>
        <v>38</v>
      </c>
      <c r="N34" s="13" t="n">
        <f aca="false">IF(INDEX(drops!$A$2:$A$21,3)="","",INDEX(drops!$AI$2:$AI$21,3))</f>
        <v>20.5</v>
      </c>
      <c r="O34" s="12" t="n">
        <f aca="false">IF(INDEX(drops!$A$2:$A$21,3)="","",INDEX(drops!$AJ$2:$AJ$21,3))</f>
        <v>970</v>
      </c>
      <c r="P34" s="12" t="n">
        <f aca="false">IF(INDEX(drops!$A$2:$A$21,3)="","",INDEX(drops!$AK$2:$AK$21,3))</f>
        <v>47.32</v>
      </c>
      <c r="Q34" s="14" t="n">
        <f aca="false">IF(INDEX(drops!$A$2:$A$21,3)="","",INDEX(drops!$AL$2:$AL$21,3))</f>
        <v>1</v>
      </c>
      <c r="R34" s="10" t="n">
        <f aca="false">IF(INDEX(drops!$A$2:$A$21,3)="","",INDEX(drops!$AM$2:$AM$21,3))</f>
        <v>5</v>
      </c>
      <c r="S34" s="10" t="n">
        <f aca="false">IF(INDEX(drops!$A$2:$A$21,3)="","",INDEX(drops!$AN$2:$AN$21,3))</f>
        <v>0</v>
      </c>
      <c r="T34" s="10" t="n">
        <f aca="false">IF(INDEX(drops!$A$2:$A$21,3)="","",INDEX(drops!$AO$2:$AO$21,3))</f>
        <v>1</v>
      </c>
    </row>
    <row r="35" customFormat="false" ht="15" hidden="false" customHeight="false" outlineLevel="0" collapsed="false">
      <c r="A35" s="0" t="str">
        <f aca="false">IF(INDEX(drops!$A$2:$A$21,4)="","",INDEX(drops!$A$2:$A$21,4))</f>
        <v>SAMPLE-DRP-004</v>
      </c>
      <c r="B35" s="11" t="n">
        <f aca="false">IF(INDEX(drops!$A$2:$A$21,4)="","",INDEX(drops!$B$2:$B$21,4))</f>
        <v>46469</v>
      </c>
      <c r="C35" s="0" t="str">
        <f aca="false">IF(INDEX(drops!$A$2:$A$21,4)="","",INDEX(drops!$C$2:$C$21,4))</f>
        <v>direct-ship</v>
      </c>
      <c r="D35" s="0" t="str">
        <f aca="false">IF(INDEX(drops!$A$2:$A$21,4)="","",INDEX(drops!$D$2:$D$21,4))</f>
        <v>confirmed</v>
      </c>
      <c r="E35" s="0" t="str">
        <f aca="false">IF(INDEX(drops!$A$2:$A$21,4)="","",INDEX(drops!$I$2:$I$21,4))</f>
        <v>OK</v>
      </c>
      <c r="F35" s="0" t="str">
        <f aca="false">IF(INDEX(drops!$A$2:$A$21,4)="","",INDEX(drops!$X$2:$X$21,4))</f>
        <v>done</v>
      </c>
      <c r="G35" s="11" t="str">
        <f aca="false">IF(INDEX(drops!$A$2:$A$21,4)="","",INDEX(drops!$Y$2:$Y$21,4))</f>
        <v/>
      </c>
      <c r="H35" s="10" t="n">
        <f aca="false">IF(INDEX(drops!$A$2:$A$21,4)="","",INDEX(drops!$AA$2:$AA$21,4))</f>
        <v>10</v>
      </c>
      <c r="I35" s="10" t="n">
        <f aca="false">IF(INDEX(drops!$A$2:$A$21,4)="","",INDEX(drops!$Z$2:$Z$21,4))</f>
        <v>2</v>
      </c>
      <c r="J35" s="10" t="n">
        <f aca="false">IF(INDEX(drops!$A$2:$A$21,4)="","",INDEX(drops!$AB$2:$AB$21,4))</f>
        <v>1030</v>
      </c>
      <c r="K35" s="12" t="n">
        <f aca="false">IF(INDEX(drops!$A$2:$A$21,4)="","",INDEX(drops!$AC$2:$AC$21,4))</f>
        <v>2550</v>
      </c>
      <c r="L35" s="12" t="n">
        <f aca="false">IF(INDEX(drops!$A$2:$A$21,4)="","",INDEX(drops!$AG$2:$AG$21,4))</f>
        <v>205</v>
      </c>
      <c r="M35" s="12" t="n">
        <f aca="false">IF(INDEX(drops!$A$2:$A$21,4)="","",INDEX(drops!$AH$2:$AH$21,4))</f>
        <v>20.5</v>
      </c>
      <c r="N35" s="13" t="n">
        <f aca="false">IF(INDEX(drops!$A$2:$A$21,4)="","",INDEX(drops!$AI$2:$AI$21,4))</f>
        <v>17.5</v>
      </c>
      <c r="O35" s="12" t="n">
        <f aca="false">IF(INDEX(drops!$A$2:$A$21,4)="","",INDEX(drops!$AJ$2:$AJ$21,4))</f>
        <v>2345</v>
      </c>
      <c r="P35" s="12" t="n">
        <f aca="false">IF(INDEX(drops!$A$2:$A$21,4)="","",INDEX(drops!$AK$2:$AK$21,4))</f>
        <v>134</v>
      </c>
      <c r="Q35" s="14" t="n">
        <f aca="false">IF(INDEX(drops!$A$2:$A$21,4)="","",INDEX(drops!$AL$2:$AL$21,4))</f>
        <v>1</v>
      </c>
      <c r="R35" s="10" t="n">
        <f aca="false">IF(INDEX(drops!$A$2:$A$21,4)="","",INDEX(drops!$AM$2:$AM$21,4))</f>
        <v>4</v>
      </c>
      <c r="S35" s="10" t="n">
        <f aca="false">IF(INDEX(drops!$A$2:$A$21,4)="","",INDEX(drops!$AN$2:$AN$21,4))</f>
        <v>0</v>
      </c>
      <c r="T35" s="10" t="n">
        <f aca="false">IF(INDEX(drops!$A$2:$A$21,4)="","",INDEX(drops!$AO$2:$AO$21,4))</f>
        <v>1</v>
      </c>
    </row>
    <row r="36" customFormat="false" ht="15" hidden="false" customHeight="false" outlineLevel="0" collapsed="false">
      <c r="A36" s="0" t="str">
        <f aca="false">IF(INDEX(drops!$A$2:$A$21,5)="","",INDEX(drops!$A$2:$A$21,5))</f>
        <v/>
      </c>
      <c r="B36" s="11" t="str">
        <f aca="false">IF(INDEX(drops!$A$2:$A$21,5)="","",INDEX(drops!$B$2:$B$21,5))</f>
        <v/>
      </c>
      <c r="C36" s="0" t="str">
        <f aca="false">IF(INDEX(drops!$A$2:$A$21,5)="","",INDEX(drops!$C$2:$C$21,5))</f>
        <v/>
      </c>
      <c r="D36" s="0" t="str">
        <f aca="false">IF(INDEX(drops!$A$2:$A$21,5)="","",INDEX(drops!$D$2:$D$21,5))</f>
        <v/>
      </c>
      <c r="E36" s="0" t="str">
        <f aca="false">IF(INDEX(drops!$A$2:$A$21,5)="","",INDEX(drops!$I$2:$I$21,5))</f>
        <v/>
      </c>
      <c r="F36" s="0" t="str">
        <f aca="false">IF(INDEX(drops!$A$2:$A$21,5)="","",INDEX(drops!$X$2:$X$21,5))</f>
        <v/>
      </c>
      <c r="G36" s="11" t="str">
        <f aca="false">IF(INDEX(drops!$A$2:$A$21,5)="","",INDEX(drops!$Y$2:$Y$21,5))</f>
        <v/>
      </c>
      <c r="H36" s="0" t="str">
        <f aca="false">IF(INDEX(drops!$A$2:$A$21,5)="","",INDEX(drops!$AA$2:$AA$21,5))</f>
        <v/>
      </c>
      <c r="I36" s="0" t="str">
        <f aca="false">IF(INDEX(drops!$A$2:$A$21,5)="","",INDEX(drops!$Z$2:$Z$21,5))</f>
        <v/>
      </c>
      <c r="J36" s="0" t="str">
        <f aca="false">IF(INDEX(drops!$A$2:$A$21,5)="","",INDEX(drops!$AB$2:$AB$21,5))</f>
        <v/>
      </c>
      <c r="K36" s="12" t="str">
        <f aca="false">IF(INDEX(drops!$A$2:$A$21,5)="","",INDEX(drops!$AC$2:$AC$21,5))</f>
        <v/>
      </c>
      <c r="L36" s="12" t="str">
        <f aca="false">IF(INDEX(drops!$A$2:$A$21,5)="","",INDEX(drops!$AG$2:$AG$21,5))</f>
        <v/>
      </c>
      <c r="M36" s="12" t="str">
        <f aca="false">IF(INDEX(drops!$A$2:$A$21,5)="","",INDEX(drops!$AH$2:$AH$21,5))</f>
        <v/>
      </c>
      <c r="N36" s="13" t="str">
        <f aca="false">IF(INDEX(drops!$A$2:$A$21,5)="","",INDEX(drops!$AI$2:$AI$21,5))</f>
        <v/>
      </c>
      <c r="O36" s="12" t="str">
        <f aca="false">IF(INDEX(drops!$A$2:$A$21,5)="","",INDEX(drops!$AJ$2:$AJ$21,5))</f>
        <v/>
      </c>
      <c r="P36" s="12" t="str">
        <f aca="false">IF(INDEX(drops!$A$2:$A$21,5)="","",INDEX(drops!$AK$2:$AK$21,5))</f>
        <v/>
      </c>
      <c r="Q36" s="14" t="str">
        <f aca="false">IF(INDEX(drops!$A$2:$A$21,5)="","",INDEX(drops!$AL$2:$AL$21,5))</f>
        <v/>
      </c>
      <c r="R36" s="0" t="str">
        <f aca="false">IF(INDEX(drops!$A$2:$A$21,5)="","",INDEX(drops!$AM$2:$AM$21,5))</f>
        <v/>
      </c>
      <c r="S36" s="0" t="str">
        <f aca="false">IF(INDEX(drops!$A$2:$A$21,5)="","",INDEX(drops!$AN$2:$AN$21,5))</f>
        <v/>
      </c>
      <c r="T36" s="0" t="str">
        <f aca="false">IF(INDEX(drops!$A$2:$A$21,5)="","",INDEX(drops!$AO$2:$AO$21,5))</f>
        <v/>
      </c>
    </row>
    <row r="37" customFormat="false" ht="15" hidden="false" customHeight="false" outlineLevel="0" collapsed="false">
      <c r="A37" s="0" t="str">
        <f aca="false">IF(INDEX(drops!$A$2:$A$21,6)="","",INDEX(drops!$A$2:$A$21,6))</f>
        <v/>
      </c>
      <c r="B37" s="11" t="str">
        <f aca="false">IF(INDEX(drops!$A$2:$A$21,6)="","",INDEX(drops!$B$2:$B$21,6))</f>
        <v/>
      </c>
      <c r="C37" s="0" t="str">
        <f aca="false">IF(INDEX(drops!$A$2:$A$21,6)="","",INDEX(drops!$C$2:$C$21,6))</f>
        <v/>
      </c>
      <c r="D37" s="0" t="str">
        <f aca="false">IF(INDEX(drops!$A$2:$A$21,6)="","",INDEX(drops!$D$2:$D$21,6))</f>
        <v/>
      </c>
      <c r="E37" s="0" t="str">
        <f aca="false">IF(INDEX(drops!$A$2:$A$21,6)="","",INDEX(drops!$I$2:$I$21,6))</f>
        <v/>
      </c>
      <c r="F37" s="0" t="str">
        <f aca="false">IF(INDEX(drops!$A$2:$A$21,6)="","",INDEX(drops!$X$2:$X$21,6))</f>
        <v/>
      </c>
      <c r="G37" s="11" t="str">
        <f aca="false">IF(INDEX(drops!$A$2:$A$21,6)="","",INDEX(drops!$Y$2:$Y$21,6))</f>
        <v/>
      </c>
      <c r="H37" s="0" t="str">
        <f aca="false">IF(INDEX(drops!$A$2:$A$21,6)="","",INDEX(drops!$AA$2:$AA$21,6))</f>
        <v/>
      </c>
      <c r="I37" s="0" t="str">
        <f aca="false">IF(INDEX(drops!$A$2:$A$21,6)="","",INDEX(drops!$Z$2:$Z$21,6))</f>
        <v/>
      </c>
      <c r="J37" s="0" t="str">
        <f aca="false">IF(INDEX(drops!$A$2:$A$21,6)="","",INDEX(drops!$AB$2:$AB$21,6))</f>
        <v/>
      </c>
      <c r="K37" s="12" t="str">
        <f aca="false">IF(INDEX(drops!$A$2:$A$21,6)="","",INDEX(drops!$AC$2:$AC$21,6))</f>
        <v/>
      </c>
      <c r="L37" s="12" t="str">
        <f aca="false">IF(INDEX(drops!$A$2:$A$21,6)="","",INDEX(drops!$AG$2:$AG$21,6))</f>
        <v/>
      </c>
      <c r="M37" s="12" t="str">
        <f aca="false">IF(INDEX(drops!$A$2:$A$21,6)="","",INDEX(drops!$AH$2:$AH$21,6))</f>
        <v/>
      </c>
      <c r="N37" s="13" t="str">
        <f aca="false">IF(INDEX(drops!$A$2:$A$21,6)="","",INDEX(drops!$AI$2:$AI$21,6))</f>
        <v/>
      </c>
      <c r="O37" s="12" t="str">
        <f aca="false">IF(INDEX(drops!$A$2:$A$21,6)="","",INDEX(drops!$AJ$2:$AJ$21,6))</f>
        <v/>
      </c>
      <c r="P37" s="12" t="str">
        <f aca="false">IF(INDEX(drops!$A$2:$A$21,6)="","",INDEX(drops!$AK$2:$AK$21,6))</f>
        <v/>
      </c>
      <c r="Q37" s="14" t="str">
        <f aca="false">IF(INDEX(drops!$A$2:$A$21,6)="","",INDEX(drops!$AL$2:$AL$21,6))</f>
        <v/>
      </c>
      <c r="R37" s="0" t="str">
        <f aca="false">IF(INDEX(drops!$A$2:$A$21,6)="","",INDEX(drops!$AM$2:$AM$21,6))</f>
        <v/>
      </c>
      <c r="S37" s="0" t="str">
        <f aca="false">IF(INDEX(drops!$A$2:$A$21,6)="","",INDEX(drops!$AN$2:$AN$21,6))</f>
        <v/>
      </c>
      <c r="T37" s="0" t="str">
        <f aca="false">IF(INDEX(drops!$A$2:$A$21,6)="","",INDEX(drops!$AO$2:$AO$21,6))</f>
        <v/>
      </c>
    </row>
    <row r="38" customFormat="false" ht="15" hidden="false" customHeight="false" outlineLevel="0" collapsed="false">
      <c r="A38" s="0" t="str">
        <f aca="false">IF(INDEX(drops!$A$2:$A$21,7)="","",INDEX(drops!$A$2:$A$21,7))</f>
        <v/>
      </c>
      <c r="B38" s="11" t="str">
        <f aca="false">IF(INDEX(drops!$A$2:$A$21,7)="","",INDEX(drops!$B$2:$B$21,7))</f>
        <v/>
      </c>
      <c r="C38" s="0" t="str">
        <f aca="false">IF(INDEX(drops!$A$2:$A$21,7)="","",INDEX(drops!$C$2:$C$21,7))</f>
        <v/>
      </c>
      <c r="D38" s="0" t="str">
        <f aca="false">IF(INDEX(drops!$A$2:$A$21,7)="","",INDEX(drops!$D$2:$D$21,7))</f>
        <v/>
      </c>
      <c r="E38" s="0" t="str">
        <f aca="false">IF(INDEX(drops!$A$2:$A$21,7)="","",INDEX(drops!$I$2:$I$21,7))</f>
        <v/>
      </c>
      <c r="F38" s="0" t="str">
        <f aca="false">IF(INDEX(drops!$A$2:$A$21,7)="","",INDEX(drops!$X$2:$X$21,7))</f>
        <v/>
      </c>
      <c r="G38" s="11" t="str">
        <f aca="false">IF(INDEX(drops!$A$2:$A$21,7)="","",INDEX(drops!$Y$2:$Y$21,7))</f>
        <v/>
      </c>
      <c r="H38" s="0" t="str">
        <f aca="false">IF(INDEX(drops!$A$2:$A$21,7)="","",INDEX(drops!$AA$2:$AA$21,7))</f>
        <v/>
      </c>
      <c r="I38" s="0" t="str">
        <f aca="false">IF(INDEX(drops!$A$2:$A$21,7)="","",INDEX(drops!$Z$2:$Z$21,7))</f>
        <v/>
      </c>
      <c r="J38" s="0" t="str">
        <f aca="false">IF(INDEX(drops!$A$2:$A$21,7)="","",INDEX(drops!$AB$2:$AB$21,7))</f>
        <v/>
      </c>
      <c r="K38" s="12" t="str">
        <f aca="false">IF(INDEX(drops!$A$2:$A$21,7)="","",INDEX(drops!$AC$2:$AC$21,7))</f>
        <v/>
      </c>
      <c r="L38" s="12" t="str">
        <f aca="false">IF(INDEX(drops!$A$2:$A$21,7)="","",INDEX(drops!$AG$2:$AG$21,7))</f>
        <v/>
      </c>
      <c r="M38" s="12" t="str">
        <f aca="false">IF(INDEX(drops!$A$2:$A$21,7)="","",INDEX(drops!$AH$2:$AH$21,7))</f>
        <v/>
      </c>
      <c r="N38" s="13" t="str">
        <f aca="false">IF(INDEX(drops!$A$2:$A$21,7)="","",INDEX(drops!$AI$2:$AI$21,7))</f>
        <v/>
      </c>
      <c r="O38" s="12" t="str">
        <f aca="false">IF(INDEX(drops!$A$2:$A$21,7)="","",INDEX(drops!$AJ$2:$AJ$21,7))</f>
        <v/>
      </c>
      <c r="P38" s="12" t="str">
        <f aca="false">IF(INDEX(drops!$A$2:$A$21,7)="","",INDEX(drops!$AK$2:$AK$21,7))</f>
        <v/>
      </c>
      <c r="Q38" s="14" t="str">
        <f aca="false">IF(INDEX(drops!$A$2:$A$21,7)="","",INDEX(drops!$AL$2:$AL$21,7))</f>
        <v/>
      </c>
      <c r="R38" s="0" t="str">
        <f aca="false">IF(INDEX(drops!$A$2:$A$21,7)="","",INDEX(drops!$AM$2:$AM$21,7))</f>
        <v/>
      </c>
      <c r="S38" s="0" t="str">
        <f aca="false">IF(INDEX(drops!$A$2:$A$21,7)="","",INDEX(drops!$AN$2:$AN$21,7))</f>
        <v/>
      </c>
      <c r="T38" s="0" t="str">
        <f aca="false">IF(INDEX(drops!$A$2:$A$21,7)="","",INDEX(drops!$AO$2:$AO$21,7))</f>
        <v/>
      </c>
    </row>
    <row r="39" customFormat="false" ht="15" hidden="false" customHeight="false" outlineLevel="0" collapsed="false">
      <c r="A39" s="0" t="str">
        <f aca="false">IF(INDEX(drops!$A$2:$A$21,8)="","",INDEX(drops!$A$2:$A$21,8))</f>
        <v/>
      </c>
      <c r="B39" s="11" t="str">
        <f aca="false">IF(INDEX(drops!$A$2:$A$21,8)="","",INDEX(drops!$B$2:$B$21,8))</f>
        <v/>
      </c>
      <c r="C39" s="0" t="str">
        <f aca="false">IF(INDEX(drops!$A$2:$A$21,8)="","",INDEX(drops!$C$2:$C$21,8))</f>
        <v/>
      </c>
      <c r="D39" s="0" t="str">
        <f aca="false">IF(INDEX(drops!$A$2:$A$21,8)="","",INDEX(drops!$D$2:$D$21,8))</f>
        <v/>
      </c>
      <c r="E39" s="0" t="str">
        <f aca="false">IF(INDEX(drops!$A$2:$A$21,8)="","",INDEX(drops!$I$2:$I$21,8))</f>
        <v/>
      </c>
      <c r="F39" s="0" t="str">
        <f aca="false">IF(INDEX(drops!$A$2:$A$21,8)="","",INDEX(drops!$X$2:$X$21,8))</f>
        <v/>
      </c>
      <c r="G39" s="11" t="str">
        <f aca="false">IF(INDEX(drops!$A$2:$A$21,8)="","",INDEX(drops!$Y$2:$Y$21,8))</f>
        <v/>
      </c>
      <c r="H39" s="0" t="str">
        <f aca="false">IF(INDEX(drops!$A$2:$A$21,8)="","",INDEX(drops!$AA$2:$AA$21,8))</f>
        <v/>
      </c>
      <c r="I39" s="0" t="str">
        <f aca="false">IF(INDEX(drops!$A$2:$A$21,8)="","",INDEX(drops!$Z$2:$Z$21,8))</f>
        <v/>
      </c>
      <c r="J39" s="0" t="str">
        <f aca="false">IF(INDEX(drops!$A$2:$A$21,8)="","",INDEX(drops!$AB$2:$AB$21,8))</f>
        <v/>
      </c>
      <c r="K39" s="12" t="str">
        <f aca="false">IF(INDEX(drops!$A$2:$A$21,8)="","",INDEX(drops!$AC$2:$AC$21,8))</f>
        <v/>
      </c>
      <c r="L39" s="12" t="str">
        <f aca="false">IF(INDEX(drops!$A$2:$A$21,8)="","",INDEX(drops!$AG$2:$AG$21,8))</f>
        <v/>
      </c>
      <c r="M39" s="12" t="str">
        <f aca="false">IF(INDEX(drops!$A$2:$A$21,8)="","",INDEX(drops!$AH$2:$AH$21,8))</f>
        <v/>
      </c>
      <c r="N39" s="13" t="str">
        <f aca="false">IF(INDEX(drops!$A$2:$A$21,8)="","",INDEX(drops!$AI$2:$AI$21,8))</f>
        <v/>
      </c>
      <c r="O39" s="12" t="str">
        <f aca="false">IF(INDEX(drops!$A$2:$A$21,8)="","",INDEX(drops!$AJ$2:$AJ$21,8))</f>
        <v/>
      </c>
      <c r="P39" s="12" t="str">
        <f aca="false">IF(INDEX(drops!$A$2:$A$21,8)="","",INDEX(drops!$AK$2:$AK$21,8))</f>
        <v/>
      </c>
      <c r="Q39" s="14" t="str">
        <f aca="false">IF(INDEX(drops!$A$2:$A$21,8)="","",INDEX(drops!$AL$2:$AL$21,8))</f>
        <v/>
      </c>
      <c r="R39" s="0" t="str">
        <f aca="false">IF(INDEX(drops!$A$2:$A$21,8)="","",INDEX(drops!$AM$2:$AM$21,8))</f>
        <v/>
      </c>
      <c r="S39" s="0" t="str">
        <f aca="false">IF(INDEX(drops!$A$2:$A$21,8)="","",INDEX(drops!$AN$2:$AN$21,8))</f>
        <v/>
      </c>
      <c r="T39" s="0" t="str">
        <f aca="false">IF(INDEX(drops!$A$2:$A$21,8)="","",INDEX(drops!$AO$2:$AO$21,8))</f>
        <v/>
      </c>
    </row>
    <row r="40" customFormat="false" ht="15" hidden="false" customHeight="false" outlineLevel="0" collapsed="false">
      <c r="A40" s="0" t="str">
        <f aca="false">IF(INDEX(drops!$A$2:$A$21,9)="","",INDEX(drops!$A$2:$A$21,9))</f>
        <v/>
      </c>
      <c r="B40" s="11" t="str">
        <f aca="false">IF(INDEX(drops!$A$2:$A$21,9)="","",INDEX(drops!$B$2:$B$21,9))</f>
        <v/>
      </c>
      <c r="C40" s="0" t="str">
        <f aca="false">IF(INDEX(drops!$A$2:$A$21,9)="","",INDEX(drops!$C$2:$C$21,9))</f>
        <v/>
      </c>
      <c r="D40" s="0" t="str">
        <f aca="false">IF(INDEX(drops!$A$2:$A$21,9)="","",INDEX(drops!$D$2:$D$21,9))</f>
        <v/>
      </c>
      <c r="E40" s="0" t="str">
        <f aca="false">IF(INDEX(drops!$A$2:$A$21,9)="","",INDEX(drops!$I$2:$I$21,9))</f>
        <v/>
      </c>
      <c r="F40" s="0" t="str">
        <f aca="false">IF(INDEX(drops!$A$2:$A$21,9)="","",INDEX(drops!$X$2:$X$21,9))</f>
        <v/>
      </c>
      <c r="G40" s="11" t="str">
        <f aca="false">IF(INDEX(drops!$A$2:$A$21,9)="","",INDEX(drops!$Y$2:$Y$21,9))</f>
        <v/>
      </c>
      <c r="H40" s="0" t="str">
        <f aca="false">IF(INDEX(drops!$A$2:$A$21,9)="","",INDEX(drops!$AA$2:$AA$21,9))</f>
        <v/>
      </c>
      <c r="I40" s="0" t="str">
        <f aca="false">IF(INDEX(drops!$A$2:$A$21,9)="","",INDEX(drops!$Z$2:$Z$21,9))</f>
        <v/>
      </c>
      <c r="J40" s="0" t="str">
        <f aca="false">IF(INDEX(drops!$A$2:$A$21,9)="","",INDEX(drops!$AB$2:$AB$21,9))</f>
        <v/>
      </c>
      <c r="K40" s="12" t="str">
        <f aca="false">IF(INDEX(drops!$A$2:$A$21,9)="","",INDEX(drops!$AC$2:$AC$21,9))</f>
        <v/>
      </c>
      <c r="L40" s="12" t="str">
        <f aca="false">IF(INDEX(drops!$A$2:$A$21,9)="","",INDEX(drops!$AG$2:$AG$21,9))</f>
        <v/>
      </c>
      <c r="M40" s="12" t="str">
        <f aca="false">IF(INDEX(drops!$A$2:$A$21,9)="","",INDEX(drops!$AH$2:$AH$21,9))</f>
        <v/>
      </c>
      <c r="N40" s="13" t="str">
        <f aca="false">IF(INDEX(drops!$A$2:$A$21,9)="","",INDEX(drops!$AI$2:$AI$21,9))</f>
        <v/>
      </c>
      <c r="O40" s="12" t="str">
        <f aca="false">IF(INDEX(drops!$A$2:$A$21,9)="","",INDEX(drops!$AJ$2:$AJ$21,9))</f>
        <v/>
      </c>
      <c r="P40" s="12" t="str">
        <f aca="false">IF(INDEX(drops!$A$2:$A$21,9)="","",INDEX(drops!$AK$2:$AK$21,9))</f>
        <v/>
      </c>
      <c r="Q40" s="14" t="str">
        <f aca="false">IF(INDEX(drops!$A$2:$A$21,9)="","",INDEX(drops!$AL$2:$AL$21,9))</f>
        <v/>
      </c>
      <c r="R40" s="0" t="str">
        <f aca="false">IF(INDEX(drops!$A$2:$A$21,9)="","",INDEX(drops!$AM$2:$AM$21,9))</f>
        <v/>
      </c>
      <c r="S40" s="0" t="str">
        <f aca="false">IF(INDEX(drops!$A$2:$A$21,9)="","",INDEX(drops!$AN$2:$AN$21,9))</f>
        <v/>
      </c>
      <c r="T40" s="0" t="str">
        <f aca="false">IF(INDEX(drops!$A$2:$A$21,9)="","",INDEX(drops!$AO$2:$AO$21,9))</f>
        <v/>
      </c>
    </row>
    <row r="41" customFormat="false" ht="15" hidden="false" customHeight="false" outlineLevel="0" collapsed="false">
      <c r="A41" s="0" t="str">
        <f aca="false">IF(INDEX(drops!$A$2:$A$21,10)="","",INDEX(drops!$A$2:$A$21,10))</f>
        <v/>
      </c>
      <c r="B41" s="11" t="str">
        <f aca="false">IF(INDEX(drops!$A$2:$A$21,10)="","",INDEX(drops!$B$2:$B$21,10))</f>
        <v/>
      </c>
      <c r="C41" s="0" t="str">
        <f aca="false">IF(INDEX(drops!$A$2:$A$21,10)="","",INDEX(drops!$C$2:$C$21,10))</f>
        <v/>
      </c>
      <c r="D41" s="0" t="str">
        <f aca="false">IF(INDEX(drops!$A$2:$A$21,10)="","",INDEX(drops!$D$2:$D$21,10))</f>
        <v/>
      </c>
      <c r="E41" s="0" t="str">
        <f aca="false">IF(INDEX(drops!$A$2:$A$21,10)="","",INDEX(drops!$I$2:$I$21,10))</f>
        <v/>
      </c>
      <c r="F41" s="0" t="str">
        <f aca="false">IF(INDEX(drops!$A$2:$A$21,10)="","",INDEX(drops!$X$2:$X$21,10))</f>
        <v/>
      </c>
      <c r="G41" s="11" t="str">
        <f aca="false">IF(INDEX(drops!$A$2:$A$21,10)="","",INDEX(drops!$Y$2:$Y$21,10))</f>
        <v/>
      </c>
      <c r="H41" s="0" t="str">
        <f aca="false">IF(INDEX(drops!$A$2:$A$21,10)="","",INDEX(drops!$AA$2:$AA$21,10))</f>
        <v/>
      </c>
      <c r="I41" s="0" t="str">
        <f aca="false">IF(INDEX(drops!$A$2:$A$21,10)="","",INDEX(drops!$Z$2:$Z$21,10))</f>
        <v/>
      </c>
      <c r="J41" s="0" t="str">
        <f aca="false">IF(INDEX(drops!$A$2:$A$21,10)="","",INDEX(drops!$AB$2:$AB$21,10))</f>
        <v/>
      </c>
      <c r="K41" s="12" t="str">
        <f aca="false">IF(INDEX(drops!$A$2:$A$21,10)="","",INDEX(drops!$AC$2:$AC$21,10))</f>
        <v/>
      </c>
      <c r="L41" s="12" t="str">
        <f aca="false">IF(INDEX(drops!$A$2:$A$21,10)="","",INDEX(drops!$AG$2:$AG$21,10))</f>
        <v/>
      </c>
      <c r="M41" s="12" t="str">
        <f aca="false">IF(INDEX(drops!$A$2:$A$21,10)="","",INDEX(drops!$AH$2:$AH$21,10))</f>
        <v/>
      </c>
      <c r="N41" s="13" t="str">
        <f aca="false">IF(INDEX(drops!$A$2:$A$21,10)="","",INDEX(drops!$AI$2:$AI$21,10))</f>
        <v/>
      </c>
      <c r="O41" s="12" t="str">
        <f aca="false">IF(INDEX(drops!$A$2:$A$21,10)="","",INDEX(drops!$AJ$2:$AJ$21,10))</f>
        <v/>
      </c>
      <c r="P41" s="12" t="str">
        <f aca="false">IF(INDEX(drops!$A$2:$A$21,10)="","",INDEX(drops!$AK$2:$AK$21,10))</f>
        <v/>
      </c>
      <c r="Q41" s="14" t="str">
        <f aca="false">IF(INDEX(drops!$A$2:$A$21,10)="","",INDEX(drops!$AL$2:$AL$21,10))</f>
        <v/>
      </c>
      <c r="R41" s="0" t="str">
        <f aca="false">IF(INDEX(drops!$A$2:$A$21,10)="","",INDEX(drops!$AM$2:$AM$21,10))</f>
        <v/>
      </c>
      <c r="S41" s="0" t="str">
        <f aca="false">IF(INDEX(drops!$A$2:$A$21,10)="","",INDEX(drops!$AN$2:$AN$21,10))</f>
        <v/>
      </c>
      <c r="T41" s="0" t="str">
        <f aca="false">IF(INDEX(drops!$A$2:$A$21,10)="","",INDEX(drops!$AO$2:$AO$21,10))</f>
        <v/>
      </c>
    </row>
    <row r="42" customFormat="false" ht="15" hidden="false" customHeight="false" outlineLevel="0" collapsed="false">
      <c r="A42" s="0" t="str">
        <f aca="false">IF(INDEX(drops!$A$2:$A$21,11)="","",INDEX(drops!$A$2:$A$21,11))</f>
        <v/>
      </c>
      <c r="B42" s="11" t="str">
        <f aca="false">IF(INDEX(drops!$A$2:$A$21,11)="","",INDEX(drops!$B$2:$B$21,11))</f>
        <v/>
      </c>
      <c r="C42" s="0" t="str">
        <f aca="false">IF(INDEX(drops!$A$2:$A$21,11)="","",INDEX(drops!$C$2:$C$21,11))</f>
        <v/>
      </c>
      <c r="D42" s="0" t="str">
        <f aca="false">IF(INDEX(drops!$A$2:$A$21,11)="","",INDEX(drops!$D$2:$D$21,11))</f>
        <v/>
      </c>
      <c r="E42" s="0" t="str">
        <f aca="false">IF(INDEX(drops!$A$2:$A$21,11)="","",INDEX(drops!$I$2:$I$21,11))</f>
        <v/>
      </c>
      <c r="F42" s="0" t="str">
        <f aca="false">IF(INDEX(drops!$A$2:$A$21,11)="","",INDEX(drops!$X$2:$X$21,11))</f>
        <v/>
      </c>
      <c r="G42" s="11" t="str">
        <f aca="false">IF(INDEX(drops!$A$2:$A$21,11)="","",INDEX(drops!$Y$2:$Y$21,11))</f>
        <v/>
      </c>
      <c r="H42" s="0" t="str">
        <f aca="false">IF(INDEX(drops!$A$2:$A$21,11)="","",INDEX(drops!$AA$2:$AA$21,11))</f>
        <v/>
      </c>
      <c r="I42" s="0" t="str">
        <f aca="false">IF(INDEX(drops!$A$2:$A$21,11)="","",INDEX(drops!$Z$2:$Z$21,11))</f>
        <v/>
      </c>
      <c r="J42" s="0" t="str">
        <f aca="false">IF(INDEX(drops!$A$2:$A$21,11)="","",INDEX(drops!$AB$2:$AB$21,11))</f>
        <v/>
      </c>
      <c r="K42" s="12" t="str">
        <f aca="false">IF(INDEX(drops!$A$2:$A$21,11)="","",INDEX(drops!$AC$2:$AC$21,11))</f>
        <v/>
      </c>
      <c r="L42" s="12" t="str">
        <f aca="false">IF(INDEX(drops!$A$2:$A$21,11)="","",INDEX(drops!$AG$2:$AG$21,11))</f>
        <v/>
      </c>
      <c r="M42" s="12" t="str">
        <f aca="false">IF(INDEX(drops!$A$2:$A$21,11)="","",INDEX(drops!$AH$2:$AH$21,11))</f>
        <v/>
      </c>
      <c r="N42" s="13" t="str">
        <f aca="false">IF(INDEX(drops!$A$2:$A$21,11)="","",INDEX(drops!$AI$2:$AI$21,11))</f>
        <v/>
      </c>
      <c r="O42" s="12" t="str">
        <f aca="false">IF(INDEX(drops!$A$2:$A$21,11)="","",INDEX(drops!$AJ$2:$AJ$21,11))</f>
        <v/>
      </c>
      <c r="P42" s="12" t="str">
        <f aca="false">IF(INDEX(drops!$A$2:$A$21,11)="","",INDEX(drops!$AK$2:$AK$21,11))</f>
        <v/>
      </c>
      <c r="Q42" s="14" t="str">
        <f aca="false">IF(INDEX(drops!$A$2:$A$21,11)="","",INDEX(drops!$AL$2:$AL$21,11))</f>
        <v/>
      </c>
      <c r="R42" s="0" t="str">
        <f aca="false">IF(INDEX(drops!$A$2:$A$21,11)="","",INDEX(drops!$AM$2:$AM$21,11))</f>
        <v/>
      </c>
      <c r="S42" s="0" t="str">
        <f aca="false">IF(INDEX(drops!$A$2:$A$21,11)="","",INDEX(drops!$AN$2:$AN$21,11))</f>
        <v/>
      </c>
      <c r="T42" s="0" t="str">
        <f aca="false">IF(INDEX(drops!$A$2:$A$21,11)="","",INDEX(drops!$AO$2:$AO$21,11))</f>
        <v/>
      </c>
    </row>
    <row r="43" customFormat="false" ht="15" hidden="false" customHeight="false" outlineLevel="0" collapsed="false">
      <c r="A43" s="0" t="str">
        <f aca="false">IF(INDEX(drops!$A$2:$A$21,12)="","",INDEX(drops!$A$2:$A$21,12))</f>
        <v/>
      </c>
      <c r="B43" s="11" t="str">
        <f aca="false">IF(INDEX(drops!$A$2:$A$21,12)="","",INDEX(drops!$B$2:$B$21,12))</f>
        <v/>
      </c>
      <c r="C43" s="0" t="str">
        <f aca="false">IF(INDEX(drops!$A$2:$A$21,12)="","",INDEX(drops!$C$2:$C$21,12))</f>
        <v/>
      </c>
      <c r="D43" s="0" t="str">
        <f aca="false">IF(INDEX(drops!$A$2:$A$21,12)="","",INDEX(drops!$D$2:$D$21,12))</f>
        <v/>
      </c>
      <c r="E43" s="0" t="str">
        <f aca="false">IF(INDEX(drops!$A$2:$A$21,12)="","",INDEX(drops!$I$2:$I$21,12))</f>
        <v/>
      </c>
      <c r="F43" s="0" t="str">
        <f aca="false">IF(INDEX(drops!$A$2:$A$21,12)="","",INDEX(drops!$X$2:$X$21,12))</f>
        <v/>
      </c>
      <c r="G43" s="11" t="str">
        <f aca="false">IF(INDEX(drops!$A$2:$A$21,12)="","",INDEX(drops!$Y$2:$Y$21,12))</f>
        <v/>
      </c>
      <c r="H43" s="0" t="str">
        <f aca="false">IF(INDEX(drops!$A$2:$A$21,12)="","",INDEX(drops!$AA$2:$AA$21,12))</f>
        <v/>
      </c>
      <c r="I43" s="0" t="str">
        <f aca="false">IF(INDEX(drops!$A$2:$A$21,12)="","",INDEX(drops!$Z$2:$Z$21,12))</f>
        <v/>
      </c>
      <c r="J43" s="0" t="str">
        <f aca="false">IF(INDEX(drops!$A$2:$A$21,12)="","",INDEX(drops!$AB$2:$AB$21,12))</f>
        <v/>
      </c>
      <c r="K43" s="12" t="str">
        <f aca="false">IF(INDEX(drops!$A$2:$A$21,12)="","",INDEX(drops!$AC$2:$AC$21,12))</f>
        <v/>
      </c>
      <c r="L43" s="12" t="str">
        <f aca="false">IF(INDEX(drops!$A$2:$A$21,12)="","",INDEX(drops!$AG$2:$AG$21,12))</f>
        <v/>
      </c>
      <c r="M43" s="12" t="str">
        <f aca="false">IF(INDEX(drops!$A$2:$A$21,12)="","",INDEX(drops!$AH$2:$AH$21,12))</f>
        <v/>
      </c>
      <c r="N43" s="13" t="str">
        <f aca="false">IF(INDEX(drops!$A$2:$A$21,12)="","",INDEX(drops!$AI$2:$AI$21,12))</f>
        <v/>
      </c>
      <c r="O43" s="12" t="str">
        <f aca="false">IF(INDEX(drops!$A$2:$A$21,12)="","",INDEX(drops!$AJ$2:$AJ$21,12))</f>
        <v/>
      </c>
      <c r="P43" s="12" t="str">
        <f aca="false">IF(INDEX(drops!$A$2:$A$21,12)="","",INDEX(drops!$AK$2:$AK$21,12))</f>
        <v/>
      </c>
      <c r="Q43" s="14" t="str">
        <f aca="false">IF(INDEX(drops!$A$2:$A$21,12)="","",INDEX(drops!$AL$2:$AL$21,12))</f>
        <v/>
      </c>
      <c r="R43" s="0" t="str">
        <f aca="false">IF(INDEX(drops!$A$2:$A$21,12)="","",INDEX(drops!$AM$2:$AM$21,12))</f>
        <v/>
      </c>
      <c r="S43" s="0" t="str">
        <f aca="false">IF(INDEX(drops!$A$2:$A$21,12)="","",INDEX(drops!$AN$2:$AN$21,12))</f>
        <v/>
      </c>
      <c r="T43" s="0" t="str">
        <f aca="false">IF(INDEX(drops!$A$2:$A$21,12)="","",INDEX(drops!$AO$2:$AO$21,12))</f>
        <v/>
      </c>
    </row>
    <row r="44" customFormat="false" ht="15" hidden="false" customHeight="false" outlineLevel="0" collapsed="false">
      <c r="A44" s="0" t="str">
        <f aca="false">IF(INDEX(drops!$A$2:$A$21,13)="","",INDEX(drops!$A$2:$A$21,13))</f>
        <v/>
      </c>
      <c r="B44" s="11" t="str">
        <f aca="false">IF(INDEX(drops!$A$2:$A$21,13)="","",INDEX(drops!$B$2:$B$21,13))</f>
        <v/>
      </c>
      <c r="C44" s="0" t="str">
        <f aca="false">IF(INDEX(drops!$A$2:$A$21,13)="","",INDEX(drops!$C$2:$C$21,13))</f>
        <v/>
      </c>
      <c r="D44" s="0" t="str">
        <f aca="false">IF(INDEX(drops!$A$2:$A$21,13)="","",INDEX(drops!$D$2:$D$21,13))</f>
        <v/>
      </c>
      <c r="E44" s="0" t="str">
        <f aca="false">IF(INDEX(drops!$A$2:$A$21,13)="","",INDEX(drops!$I$2:$I$21,13))</f>
        <v/>
      </c>
      <c r="F44" s="0" t="str">
        <f aca="false">IF(INDEX(drops!$A$2:$A$21,13)="","",INDEX(drops!$X$2:$X$21,13))</f>
        <v/>
      </c>
      <c r="G44" s="11" t="str">
        <f aca="false">IF(INDEX(drops!$A$2:$A$21,13)="","",INDEX(drops!$Y$2:$Y$21,13))</f>
        <v/>
      </c>
      <c r="H44" s="0" t="str">
        <f aca="false">IF(INDEX(drops!$A$2:$A$21,13)="","",INDEX(drops!$AA$2:$AA$21,13))</f>
        <v/>
      </c>
      <c r="I44" s="0" t="str">
        <f aca="false">IF(INDEX(drops!$A$2:$A$21,13)="","",INDEX(drops!$Z$2:$Z$21,13))</f>
        <v/>
      </c>
      <c r="J44" s="0" t="str">
        <f aca="false">IF(INDEX(drops!$A$2:$A$21,13)="","",INDEX(drops!$AB$2:$AB$21,13))</f>
        <v/>
      </c>
      <c r="K44" s="12" t="str">
        <f aca="false">IF(INDEX(drops!$A$2:$A$21,13)="","",INDEX(drops!$AC$2:$AC$21,13))</f>
        <v/>
      </c>
      <c r="L44" s="12" t="str">
        <f aca="false">IF(INDEX(drops!$A$2:$A$21,13)="","",INDEX(drops!$AG$2:$AG$21,13))</f>
        <v/>
      </c>
      <c r="M44" s="12" t="str">
        <f aca="false">IF(INDEX(drops!$A$2:$A$21,13)="","",INDEX(drops!$AH$2:$AH$21,13))</f>
        <v/>
      </c>
      <c r="N44" s="13" t="str">
        <f aca="false">IF(INDEX(drops!$A$2:$A$21,13)="","",INDEX(drops!$AI$2:$AI$21,13))</f>
        <v/>
      </c>
      <c r="O44" s="12" t="str">
        <f aca="false">IF(INDEX(drops!$A$2:$A$21,13)="","",INDEX(drops!$AJ$2:$AJ$21,13))</f>
        <v/>
      </c>
      <c r="P44" s="12" t="str">
        <f aca="false">IF(INDEX(drops!$A$2:$A$21,13)="","",INDEX(drops!$AK$2:$AK$21,13))</f>
        <v/>
      </c>
      <c r="Q44" s="14" t="str">
        <f aca="false">IF(INDEX(drops!$A$2:$A$21,13)="","",INDEX(drops!$AL$2:$AL$21,13))</f>
        <v/>
      </c>
      <c r="R44" s="0" t="str">
        <f aca="false">IF(INDEX(drops!$A$2:$A$21,13)="","",INDEX(drops!$AM$2:$AM$21,13))</f>
        <v/>
      </c>
      <c r="S44" s="0" t="str">
        <f aca="false">IF(INDEX(drops!$A$2:$A$21,13)="","",INDEX(drops!$AN$2:$AN$21,13))</f>
        <v/>
      </c>
      <c r="T44" s="0" t="str">
        <f aca="false">IF(INDEX(drops!$A$2:$A$21,13)="","",INDEX(drops!$AO$2:$AO$21,13))</f>
        <v/>
      </c>
    </row>
    <row r="45" customFormat="false" ht="15" hidden="false" customHeight="false" outlineLevel="0" collapsed="false">
      <c r="A45" s="0" t="str">
        <f aca="false">IF(INDEX(drops!$A$2:$A$21,14)="","",INDEX(drops!$A$2:$A$21,14))</f>
        <v/>
      </c>
      <c r="B45" s="11" t="str">
        <f aca="false">IF(INDEX(drops!$A$2:$A$21,14)="","",INDEX(drops!$B$2:$B$21,14))</f>
        <v/>
      </c>
      <c r="C45" s="0" t="str">
        <f aca="false">IF(INDEX(drops!$A$2:$A$21,14)="","",INDEX(drops!$C$2:$C$21,14))</f>
        <v/>
      </c>
      <c r="D45" s="0" t="str">
        <f aca="false">IF(INDEX(drops!$A$2:$A$21,14)="","",INDEX(drops!$D$2:$D$21,14))</f>
        <v/>
      </c>
      <c r="E45" s="0" t="str">
        <f aca="false">IF(INDEX(drops!$A$2:$A$21,14)="","",INDEX(drops!$I$2:$I$21,14))</f>
        <v/>
      </c>
      <c r="F45" s="0" t="str">
        <f aca="false">IF(INDEX(drops!$A$2:$A$21,14)="","",INDEX(drops!$X$2:$X$21,14))</f>
        <v/>
      </c>
      <c r="G45" s="11" t="str">
        <f aca="false">IF(INDEX(drops!$A$2:$A$21,14)="","",INDEX(drops!$Y$2:$Y$21,14))</f>
        <v/>
      </c>
      <c r="H45" s="0" t="str">
        <f aca="false">IF(INDEX(drops!$A$2:$A$21,14)="","",INDEX(drops!$AA$2:$AA$21,14))</f>
        <v/>
      </c>
      <c r="I45" s="0" t="str">
        <f aca="false">IF(INDEX(drops!$A$2:$A$21,14)="","",INDEX(drops!$Z$2:$Z$21,14))</f>
        <v/>
      </c>
      <c r="J45" s="0" t="str">
        <f aca="false">IF(INDEX(drops!$A$2:$A$21,14)="","",INDEX(drops!$AB$2:$AB$21,14))</f>
        <v/>
      </c>
      <c r="K45" s="12" t="str">
        <f aca="false">IF(INDEX(drops!$A$2:$A$21,14)="","",INDEX(drops!$AC$2:$AC$21,14))</f>
        <v/>
      </c>
      <c r="L45" s="12" t="str">
        <f aca="false">IF(INDEX(drops!$A$2:$A$21,14)="","",INDEX(drops!$AG$2:$AG$21,14))</f>
        <v/>
      </c>
      <c r="M45" s="12" t="str">
        <f aca="false">IF(INDEX(drops!$A$2:$A$21,14)="","",INDEX(drops!$AH$2:$AH$21,14))</f>
        <v/>
      </c>
      <c r="N45" s="13" t="str">
        <f aca="false">IF(INDEX(drops!$A$2:$A$21,14)="","",INDEX(drops!$AI$2:$AI$21,14))</f>
        <v/>
      </c>
      <c r="O45" s="12" t="str">
        <f aca="false">IF(INDEX(drops!$A$2:$A$21,14)="","",INDEX(drops!$AJ$2:$AJ$21,14))</f>
        <v/>
      </c>
      <c r="P45" s="12" t="str">
        <f aca="false">IF(INDEX(drops!$A$2:$A$21,14)="","",INDEX(drops!$AK$2:$AK$21,14))</f>
        <v/>
      </c>
      <c r="Q45" s="14" t="str">
        <f aca="false">IF(INDEX(drops!$A$2:$A$21,14)="","",INDEX(drops!$AL$2:$AL$21,14))</f>
        <v/>
      </c>
      <c r="R45" s="0" t="str">
        <f aca="false">IF(INDEX(drops!$A$2:$A$21,14)="","",INDEX(drops!$AM$2:$AM$21,14))</f>
        <v/>
      </c>
      <c r="S45" s="0" t="str">
        <f aca="false">IF(INDEX(drops!$A$2:$A$21,14)="","",INDEX(drops!$AN$2:$AN$21,14))</f>
        <v/>
      </c>
      <c r="T45" s="0" t="str">
        <f aca="false">IF(INDEX(drops!$A$2:$A$21,14)="","",INDEX(drops!$AO$2:$AO$21,14))</f>
        <v/>
      </c>
    </row>
    <row r="46" customFormat="false" ht="15" hidden="false" customHeight="false" outlineLevel="0" collapsed="false">
      <c r="A46" s="0" t="str">
        <f aca="false">IF(INDEX(drops!$A$2:$A$21,15)="","",INDEX(drops!$A$2:$A$21,15))</f>
        <v/>
      </c>
      <c r="B46" s="11" t="str">
        <f aca="false">IF(INDEX(drops!$A$2:$A$21,15)="","",INDEX(drops!$B$2:$B$21,15))</f>
        <v/>
      </c>
      <c r="C46" s="0" t="str">
        <f aca="false">IF(INDEX(drops!$A$2:$A$21,15)="","",INDEX(drops!$C$2:$C$21,15))</f>
        <v/>
      </c>
      <c r="D46" s="0" t="str">
        <f aca="false">IF(INDEX(drops!$A$2:$A$21,15)="","",INDEX(drops!$D$2:$D$21,15))</f>
        <v/>
      </c>
      <c r="E46" s="0" t="str">
        <f aca="false">IF(INDEX(drops!$A$2:$A$21,15)="","",INDEX(drops!$I$2:$I$21,15))</f>
        <v/>
      </c>
      <c r="F46" s="0" t="str">
        <f aca="false">IF(INDEX(drops!$A$2:$A$21,15)="","",INDEX(drops!$X$2:$X$21,15))</f>
        <v/>
      </c>
      <c r="G46" s="11" t="str">
        <f aca="false">IF(INDEX(drops!$A$2:$A$21,15)="","",INDEX(drops!$Y$2:$Y$21,15))</f>
        <v/>
      </c>
      <c r="H46" s="0" t="str">
        <f aca="false">IF(INDEX(drops!$A$2:$A$21,15)="","",INDEX(drops!$AA$2:$AA$21,15))</f>
        <v/>
      </c>
      <c r="I46" s="0" t="str">
        <f aca="false">IF(INDEX(drops!$A$2:$A$21,15)="","",INDEX(drops!$Z$2:$Z$21,15))</f>
        <v/>
      </c>
      <c r="J46" s="0" t="str">
        <f aca="false">IF(INDEX(drops!$A$2:$A$21,15)="","",INDEX(drops!$AB$2:$AB$21,15))</f>
        <v/>
      </c>
      <c r="K46" s="12" t="str">
        <f aca="false">IF(INDEX(drops!$A$2:$A$21,15)="","",INDEX(drops!$AC$2:$AC$21,15))</f>
        <v/>
      </c>
      <c r="L46" s="12" t="str">
        <f aca="false">IF(INDEX(drops!$A$2:$A$21,15)="","",INDEX(drops!$AG$2:$AG$21,15))</f>
        <v/>
      </c>
      <c r="M46" s="12" t="str">
        <f aca="false">IF(INDEX(drops!$A$2:$A$21,15)="","",INDEX(drops!$AH$2:$AH$21,15))</f>
        <v/>
      </c>
      <c r="N46" s="13" t="str">
        <f aca="false">IF(INDEX(drops!$A$2:$A$21,15)="","",INDEX(drops!$AI$2:$AI$21,15))</f>
        <v/>
      </c>
      <c r="O46" s="12" t="str">
        <f aca="false">IF(INDEX(drops!$A$2:$A$21,15)="","",INDEX(drops!$AJ$2:$AJ$21,15))</f>
        <v/>
      </c>
      <c r="P46" s="12" t="str">
        <f aca="false">IF(INDEX(drops!$A$2:$A$21,15)="","",INDEX(drops!$AK$2:$AK$21,15))</f>
        <v/>
      </c>
      <c r="Q46" s="14" t="str">
        <f aca="false">IF(INDEX(drops!$A$2:$A$21,15)="","",INDEX(drops!$AL$2:$AL$21,15))</f>
        <v/>
      </c>
      <c r="R46" s="0" t="str">
        <f aca="false">IF(INDEX(drops!$A$2:$A$21,15)="","",INDEX(drops!$AM$2:$AM$21,15))</f>
        <v/>
      </c>
      <c r="S46" s="0" t="str">
        <f aca="false">IF(INDEX(drops!$A$2:$A$21,15)="","",INDEX(drops!$AN$2:$AN$21,15))</f>
        <v/>
      </c>
      <c r="T46" s="0" t="str">
        <f aca="false">IF(INDEX(drops!$A$2:$A$21,15)="","",INDEX(drops!$AO$2:$AO$21,15))</f>
        <v/>
      </c>
    </row>
    <row r="47" customFormat="false" ht="15" hidden="false" customHeight="false" outlineLevel="0" collapsed="false">
      <c r="A47" s="15" t="s">
        <v>96</v>
      </c>
    </row>
    <row r="48" customFormat="false" ht="15" hidden="false" customHeight="false" outlineLevel="0" collapsed="false">
      <c r="A48" s="8" t="s">
        <v>97</v>
      </c>
    </row>
    <row r="49" customFormat="false" ht="15" hidden="false" customHeight="false" outlineLevel="0" collapsed="false">
      <c r="A49" s="6" t="s">
        <v>98</v>
      </c>
      <c r="B49" s="6" t="s">
        <v>99</v>
      </c>
      <c r="C49" s="6" t="s">
        <v>76</v>
      </c>
      <c r="D49" s="6" t="s">
        <v>100</v>
      </c>
      <c r="E49" s="6" t="s">
        <v>101</v>
      </c>
      <c r="F49" s="6" t="s">
        <v>102</v>
      </c>
      <c r="G49" s="6" t="s">
        <v>103</v>
      </c>
      <c r="H49" s="6" t="s">
        <v>104</v>
      </c>
      <c r="I49" s="6" t="s">
        <v>105</v>
      </c>
      <c r="J49" s="6" t="s">
        <v>106</v>
      </c>
      <c r="K49" s="6" t="s">
        <v>107</v>
      </c>
      <c r="L49" s="6" t="s">
        <v>108</v>
      </c>
      <c r="M49" s="6" t="s">
        <v>109</v>
      </c>
      <c r="N49" s="6" t="s">
        <v>110</v>
      </c>
      <c r="O49" s="6" t="s">
        <v>111</v>
      </c>
      <c r="P49" s="6" t="s">
        <v>112</v>
      </c>
      <c r="Q49" s="6" t="s">
        <v>113</v>
      </c>
      <c r="R49" s="6" t="s">
        <v>114</v>
      </c>
      <c r="S49" s="6" t="s">
        <v>115</v>
      </c>
      <c r="T49" s="6" t="s">
        <v>86</v>
      </c>
      <c r="U49" s="6" t="s">
        <v>91</v>
      </c>
      <c r="V49" s="6" t="s">
        <v>116</v>
      </c>
      <c r="W49" s="6" t="s">
        <v>117</v>
      </c>
      <c r="X49" s="6" t="s">
        <v>118</v>
      </c>
      <c r="Y49" s="6" t="s">
        <v>119</v>
      </c>
      <c r="Z49" s="6" t="s">
        <v>120</v>
      </c>
    </row>
    <row r="50" customFormat="false" ht="15" hidden="false" customHeight="false" outlineLevel="0" collapsed="false">
      <c r="A50" s="0" t="str">
        <f aca="false">IF(INDEX(campaigns!$A$2:$A$51,1)="","",INDEX(campaigns!$A$2:$A$51,1))</f>
        <v>SAMPLE-CMP-001</v>
      </c>
      <c r="B50" s="0" t="str">
        <f aca="false">IF(INDEX(campaigns!$A$2:$A$51,1)="","",INDEX(campaigns!$BE$2:$BE$51,1))</f>
        <v>SAMPLE Brightside</v>
      </c>
      <c r="C50" s="11" t="n">
        <f aca="false">IF(INDEX(campaigns!$A$2:$A$51,1)="","",INDEX(campaigns!$BG$2:$BG$51,1))</f>
        <v>46399</v>
      </c>
      <c r="D50" s="0" t="str">
        <f aca="false">IF(INDEX(campaigns!$A$2:$A$51,1)="","",INDEX(campaigns!$D$2:$D$51,1))</f>
        <v>founding</v>
      </c>
      <c r="E50" s="0" t="str">
        <f aca="false">IF(INDEX(campaigns!$A$2:$A$51,1)="","",INDEX(campaigns!$BW$2:$BW$51,1))</f>
        <v>RELEASED 2026-12-18: ship by Tue 2026-12-22 (latest Mon 2026-12-28)</v>
      </c>
      <c r="F50" s="10" t="n">
        <f aca="false">IF(INDEX(campaigns!$A$2:$A$51,1)="","",INDEX(campaigns!$BO$2:$BO$51,1))</f>
        <v>5</v>
      </c>
      <c r="G50" s="10" t="n">
        <f aca="false">IF(INDEX(campaigns!$A$2:$A$51,1)="","",INDEX(campaigns!$BP$2:$BP$51,1))</f>
        <v>5</v>
      </c>
      <c r="H50" s="10" t="n">
        <f aca="false">IF(INDEX(campaigns!$A$2:$A$51,1)="","",INDEX(campaigns!$F$2:$F$51,1))</f>
        <v>5</v>
      </c>
      <c r="I50" s="10" t="n">
        <f aca="false">IF(INDEX(campaigns!$A$2:$A$51,1)="","",INDEX(campaigns!$CB$2:$CB$51,1))</f>
        <v>250</v>
      </c>
      <c r="J50" s="10" t="n">
        <f aca="false">IF(INDEX(campaigns!$A$2:$A$51,1)="","",INDEX(campaigns!$CD$2:$CD$51,1))</f>
        <v>198</v>
      </c>
      <c r="K50" s="14" t="n">
        <f aca="false">IF(INDEX(campaigns!$A$2:$A$51,1)="","",INDEX(campaigns!$CE$2:$CE$51,1))</f>
        <v>0.792</v>
      </c>
      <c r="L50" s="10" t="n">
        <f aca="false">IF(INDEX(campaigns!$A$2:$A$51,1)="","",INDEX(campaigns!$CF$2:$CF$51,1))</f>
        <v>5</v>
      </c>
      <c r="M50" s="10" t="n">
        <f aca="false">IF(INDEX(campaigns!$A$2:$A$51,1)="","",INDEX(campaigns!$CG$2:$CG$51,1))</f>
        <v>200</v>
      </c>
      <c r="N50" s="10" t="n">
        <f aca="false">IF(INDEX(campaigns!$A$2:$A$51,1)="","",INDEX(campaigns!$CH$2:$CH$51,1))</f>
        <v>34</v>
      </c>
      <c r="O50" s="10" t="n">
        <f aca="false">IF(INDEX(campaigns!$A$2:$A$51,1)="","",INDEX(campaigns!$CI$2:$CI$51,1))</f>
        <v>4</v>
      </c>
      <c r="P50" s="10" t="n">
        <f aca="false">IF(INDEX(campaigns!$A$2:$A$51,1)="","",INDEX(campaigns!$CK$2:$CK$51,1))</f>
        <v>25</v>
      </c>
      <c r="Q50" s="13" t="n">
        <f aca="false">IF(INDEX(campaigns!$A$2:$A$51,1)="","",INDEX(campaigns!$CP$2:$CP$51,1))</f>
        <v>4.2</v>
      </c>
      <c r="R50" s="10" t="n">
        <f aca="false">IF(INDEX(campaigns!$A$2:$A$51,1)="","",INDEX(campaigns!$CX$2:$CX$51,1))</f>
        <v>45</v>
      </c>
      <c r="S50" s="10" t="n">
        <f aca="false">IF(INDEX(campaigns!$A$2:$A$51,1)="","",INDEX(campaigns!$CZ$2:$CZ$51,1))</f>
        <v>11</v>
      </c>
      <c r="T50" s="12" t="n">
        <f aca="false">IF(INDEX(campaigns!$A$2:$A$51,1)="","",INDEX(campaigns!$DC$2:$DC$51,1))</f>
        <v>480</v>
      </c>
      <c r="U50" s="12" t="n">
        <f aca="false">IF(INDEX(campaigns!$A$2:$A$51,1)="","",INDEX(campaigns!$DM$2:$DM$51,1))</f>
        <v>14.18</v>
      </c>
      <c r="V50" s="0" t="str">
        <f aca="false">IF(INDEX(campaigns!$A$2:$A$51,1)="","",INDEX(campaigns!$DS$2:$DS$51,1))</f>
        <v>miss</v>
      </c>
      <c r="W50" s="0" t="str">
        <f aca="false">IF(INDEX(campaigns!$A$2:$A$51,1)="","",INDEX(campaigns!$DT$2:$DT$51,1))</f>
        <v>miss</v>
      </c>
      <c r="X50" s="0" t="str">
        <f aca="false">IF(INDEX(campaigns!$A$2:$A$51,1)="","",INDEX(campaigns!$DU$2:$DU$51,1))</f>
        <v>pass</v>
      </c>
      <c r="Y50" s="0" t="str">
        <f aca="false">IF(INDEX(campaigns!$A$2:$A$51,1)="","",INDEX(campaigns!$AV$2:$AV$51,1))</f>
        <v>yes</v>
      </c>
      <c r="Z50" s="0" t="str">
        <f aca="false">IF(INDEX(campaigns!$A$2:$A$51,1)="","",INDEX(campaigns!$DV$2:$DV$51,1))</f>
        <v>info: 1 in-window responses with a card code that matches no office (not counted); info: brand insurance ends 2027-06-30: diary the renewal certificate; </v>
      </c>
    </row>
    <row r="51" customFormat="false" ht="15" hidden="false" customHeight="false" outlineLevel="0" collapsed="false">
      <c r="A51" s="0" t="str">
        <f aca="false">IF(INDEX(campaigns!$A$2:$A$51,2)="","",INDEX(campaigns!$A$2:$A$51,2))</f>
        <v>SAMPLE-CMP-002</v>
      </c>
      <c r="B51" s="0" t="str">
        <f aca="false">IF(INDEX(campaigns!$A$2:$A$51,2)="","",INDEX(campaigns!$BE$2:$BE$51,2))</f>
        <v>SAMPLE Northbound</v>
      </c>
      <c r="C51" s="11" t="n">
        <f aca="false">IF(INDEX(campaigns!$A$2:$A$51,2)="","",INDEX(campaigns!$BG$2:$BG$51,2))</f>
        <v>46399</v>
      </c>
      <c r="D51" s="0" t="str">
        <f aca="false">IF(INDEX(campaigns!$A$2:$A$51,2)="","",INDEX(campaigns!$D$2:$D$51,2))</f>
        <v>founding</v>
      </c>
      <c r="E51" s="0" t="str">
        <f aca="false">IF(INDEX(campaigns!$A$2:$A$51,2)="","",INDEX(campaigns!$BW$2:$BW$51,2))</f>
        <v>RELEASED 2026-12-18: ship by Tue 2026-12-22 (latest Mon 2026-12-28)</v>
      </c>
      <c r="F51" s="10" t="n">
        <f aca="false">IF(INDEX(campaigns!$A$2:$A$51,2)="","",INDEX(campaigns!$BO$2:$BO$51,2))</f>
        <v>5</v>
      </c>
      <c r="G51" s="10" t="n">
        <f aca="false">IF(INDEX(campaigns!$A$2:$A$51,2)="","",INDEX(campaigns!$BP$2:$BP$51,2))</f>
        <v>5</v>
      </c>
      <c r="H51" s="10" t="n">
        <f aca="false">IF(INDEX(campaigns!$A$2:$A$51,2)="","",INDEX(campaigns!$F$2:$F$51,2))</f>
        <v>5</v>
      </c>
      <c r="I51" s="10" t="n">
        <f aca="false">IF(INDEX(campaigns!$A$2:$A$51,2)="","",INDEX(campaigns!$CB$2:$CB$51,2))</f>
        <v>250</v>
      </c>
      <c r="J51" s="10" t="n">
        <f aca="false">IF(INDEX(campaigns!$A$2:$A$51,2)="","",INDEX(campaigns!$CD$2:$CD$51,2))</f>
        <v>250</v>
      </c>
      <c r="K51" s="14" t="n">
        <f aca="false">IF(INDEX(campaigns!$A$2:$A$51,2)="","",INDEX(campaigns!$CE$2:$CE$51,2))</f>
        <v>1</v>
      </c>
      <c r="L51" s="10" t="n">
        <f aca="false">IF(INDEX(campaigns!$A$2:$A$51,2)="","",INDEX(campaigns!$CF$2:$CF$51,2))</f>
        <v>6</v>
      </c>
      <c r="M51" s="10" t="n">
        <f aca="false">IF(INDEX(campaigns!$A$2:$A$51,2)="","",INDEX(campaigns!$CG$2:$CG$51,2))</f>
        <v>238</v>
      </c>
      <c r="N51" s="10" t="n">
        <f aca="false">IF(INDEX(campaigns!$A$2:$A$51,2)="","",INDEX(campaigns!$CH$2:$CH$51,2))</f>
        <v>32</v>
      </c>
      <c r="O51" s="10" t="n">
        <f aca="false">IF(INDEX(campaigns!$A$2:$A$51,2)="","",INDEX(campaigns!$CI$2:$CI$51,2))</f>
        <v>5</v>
      </c>
      <c r="P51" s="10" t="n">
        <f aca="false">IF(INDEX(campaigns!$A$2:$A$51,2)="","",INDEX(campaigns!$CK$2:$CK$51,2))</f>
        <v>21</v>
      </c>
      <c r="Q51" s="13" t="n">
        <f aca="false">IF(INDEX(campaigns!$A$2:$A$51,2)="","",INDEX(campaigns!$CP$2:$CP$51,2))</f>
        <v>4.1</v>
      </c>
      <c r="R51" s="10" t="n">
        <f aca="false">IF(INDEX(campaigns!$A$2:$A$51,2)="","",INDEX(campaigns!$CX$2:$CX$51,2))</f>
        <v>39</v>
      </c>
      <c r="S51" s="10" t="n">
        <f aca="false">IF(INDEX(campaigns!$A$2:$A$51,2)="","",INDEX(campaigns!$CZ$2:$CZ$51,2))</f>
        <v>4</v>
      </c>
      <c r="T51" s="12" t="n">
        <f aca="false">IF(INDEX(campaigns!$A$2:$A$51,2)="","",INDEX(campaigns!$DC$2:$DC$51,2))</f>
        <v>600</v>
      </c>
      <c r="U51" s="12" t="n">
        <f aca="false">IF(INDEX(campaigns!$A$2:$A$51,2)="","",INDEX(campaigns!$DM$2:$DM$51,2))</f>
        <v>18.39</v>
      </c>
      <c r="V51" s="0" t="str">
        <f aca="false">IF(INDEX(campaigns!$A$2:$A$51,2)="","",INDEX(campaigns!$DS$2:$DS$51,2))</f>
        <v>pass</v>
      </c>
      <c r="W51" s="0" t="str">
        <f aca="false">IF(INDEX(campaigns!$A$2:$A$51,2)="","",INDEX(campaigns!$DT$2:$DT$51,2))</f>
        <v>pass</v>
      </c>
      <c r="X51" s="0" t="str">
        <f aca="false">IF(INDEX(campaigns!$A$2:$A$51,2)="","",INDEX(campaigns!$DU$2:$DU$51,2))</f>
        <v>pass</v>
      </c>
      <c r="Y51" s="0" t="str">
        <f aca="false">IF(INDEX(campaigns!$A$2:$A$51,2)="","",INDEX(campaigns!$AV$2:$AV$51,2))</f>
        <v>maybe</v>
      </c>
      <c r="Z51" s="0" t="str">
        <f aca="false">IF(INDEX(campaigns!$A$2:$A$51,2)="","",INDEX(campaigns!$DV$2:$DV$51,2))</f>
        <v/>
      </c>
    </row>
    <row r="52" customFormat="false" ht="15" hidden="false" customHeight="false" outlineLevel="0" collapsed="false">
      <c r="A52" s="0" t="str">
        <f aca="false">IF(INDEX(campaigns!$A$2:$A$51,3)="","",INDEX(campaigns!$A$2:$A$51,3))</f>
        <v>SAMPLE-CMP-003</v>
      </c>
      <c r="B52" s="0" t="str">
        <f aca="false">IF(INDEX(campaigns!$A$2:$A$51,3)="","",INDEX(campaigns!$BE$2:$BE$51,3))</f>
        <v>SAMPLE Tallgrass</v>
      </c>
      <c r="C52" s="11" t="n">
        <f aca="false">IF(INDEX(campaigns!$A$2:$A$51,3)="","",INDEX(campaigns!$BG$2:$BG$51,3))</f>
        <v>46427</v>
      </c>
      <c r="D52" s="0" t="str">
        <f aca="false">IF(INDEX(campaigns!$A$2:$A$51,3)="","",INDEX(campaigns!$D$2:$D$51,3))</f>
        <v>standard</v>
      </c>
      <c r="E52" s="0" t="str">
        <f aca="false">IF(INDEX(campaigns!$A$2:$A$51,3)="","",INDEX(campaigns!$BW$2:$BW$51,3))</f>
        <v>RELEASED 2027-01-14: ship by Tue 2027-01-26 (latest Tue 2027-01-26)</v>
      </c>
      <c r="F52" s="10" t="n">
        <f aca="false">IF(INDEX(campaigns!$A$2:$A$51,3)="","",INDEX(campaigns!$BO$2:$BO$51,3))</f>
        <v>10</v>
      </c>
      <c r="G52" s="10" t="n">
        <f aca="false">IF(INDEX(campaigns!$A$2:$A$51,3)="","",INDEX(campaigns!$BP$2:$BP$51,3))</f>
        <v>10</v>
      </c>
      <c r="H52" s="10" t="n">
        <f aca="false">IF(INDEX(campaigns!$A$2:$A$51,3)="","",INDEX(campaigns!$F$2:$F$51,3))</f>
        <v>10</v>
      </c>
      <c r="I52" s="10" t="n">
        <f aca="false">IF(INDEX(campaigns!$A$2:$A$51,3)="","",INDEX(campaigns!$CB$2:$CB$51,3))</f>
        <v>485</v>
      </c>
      <c r="J52" s="10" t="n">
        <f aca="false">IF(INDEX(campaigns!$A$2:$A$51,3)="","",INDEX(campaigns!$CD$2:$CD$51,3))</f>
        <v>485</v>
      </c>
      <c r="K52" s="14" t="n">
        <f aca="false">IF(INDEX(campaigns!$A$2:$A$51,3)="","",INDEX(campaigns!$CE$2:$CE$51,3))</f>
        <v>1</v>
      </c>
      <c r="L52" s="10" t="n">
        <f aca="false">IF(INDEX(campaigns!$A$2:$A$51,3)="","",INDEX(campaigns!$CF$2:$CF$51,3))</f>
        <v>0</v>
      </c>
      <c r="M52" s="10" t="n">
        <f aca="false">IF(INDEX(campaigns!$A$2:$A$51,3)="","",INDEX(campaigns!$CG$2:$CG$51,3))</f>
        <v>443</v>
      </c>
      <c r="N52" s="10" t="n">
        <f aca="false">IF(INDEX(campaigns!$A$2:$A$51,3)="","",INDEX(campaigns!$CH$2:$CH$51,3))</f>
        <v>76</v>
      </c>
      <c r="O52" s="10" t="n">
        <f aca="false">IF(INDEX(campaigns!$A$2:$A$51,3)="","",INDEX(campaigns!$CI$2:$CI$51,3))</f>
        <v>6</v>
      </c>
      <c r="P52" s="10" t="n">
        <f aca="false">IF(INDEX(campaigns!$A$2:$A$51,3)="","",INDEX(campaigns!$CK$2:$CK$51,3))</f>
        <v>54</v>
      </c>
      <c r="Q52" s="13" t="n">
        <f aca="false">IF(INDEX(campaigns!$A$2:$A$51,3)="","",INDEX(campaigns!$CP$2:$CP$51,3))</f>
        <v>4.1</v>
      </c>
      <c r="R52" s="10" t="n">
        <f aca="false">IF(INDEX(campaigns!$A$2:$A$51,3)="","",INDEX(campaigns!$CX$2:$CX$51,3))</f>
        <v>83</v>
      </c>
      <c r="S52" s="10" t="n">
        <f aca="false">IF(INDEX(campaigns!$A$2:$A$51,3)="","",INDEX(campaigns!$CZ$2:$CZ$51,3))</f>
        <v>17</v>
      </c>
      <c r="T52" s="12" t="n">
        <f aca="false">IF(INDEX(campaigns!$A$2:$A$51,3)="","",INDEX(campaigns!$DC$2:$DC$51,3))</f>
        <v>1500</v>
      </c>
      <c r="U52" s="12" t="n">
        <f aca="false">IF(INDEX(campaigns!$A$2:$A$51,3)="","",INDEX(campaigns!$DM$2:$DM$51,3))</f>
        <v>73.42</v>
      </c>
      <c r="V52" s="0" t="str">
        <f aca="false">IF(INDEX(campaigns!$A$2:$A$51,3)="","",INDEX(campaigns!$DS$2:$DS$51,3))</f>
        <v>pass</v>
      </c>
      <c r="W52" s="0" t="str">
        <f aca="false">IF(INDEX(campaigns!$A$2:$A$51,3)="","",INDEX(campaigns!$DT$2:$DT$51,3))</f>
        <v>pass</v>
      </c>
      <c r="X52" s="0" t="str">
        <f aca="false">IF(INDEX(campaigns!$A$2:$A$51,3)="","",INDEX(campaigns!$DU$2:$DU$51,3))</f>
        <v>pass</v>
      </c>
      <c r="Y52" s="0" t="str">
        <f aca="false">IF(INDEX(campaigns!$A$2:$A$51,3)="","",INDEX(campaigns!$AV$2:$AV$51,3))</f>
        <v>yes</v>
      </c>
      <c r="Z52" s="0" t="str">
        <f aca="false">IF(INDEX(campaigns!$A$2:$A$51,3)="","",INDEX(campaigns!$DV$2:$DV$51,3))</f>
        <v/>
      </c>
    </row>
    <row r="53" customFormat="false" ht="15" hidden="false" customHeight="false" outlineLevel="0" collapsed="false">
      <c r="A53" s="0" t="str">
        <f aca="false">IF(INDEX(campaigns!$A$2:$A$51,4)="","",INDEX(campaigns!$A$2:$A$51,4))</f>
        <v>SAMPLE-CMP-004</v>
      </c>
      <c r="B53" s="0" t="str">
        <f aca="false">IF(INDEX(campaigns!$A$2:$A$51,4)="","",INDEX(campaigns!$BE$2:$BE$51,4))</f>
        <v>SAMPLE Orchard Row</v>
      </c>
      <c r="C53" s="11" t="n">
        <f aca="false">IF(INDEX(campaigns!$A$2:$A$51,4)="","",INDEX(campaigns!$BG$2:$BG$51,4))</f>
        <v>46427</v>
      </c>
      <c r="D53" s="0" t="str">
        <f aca="false">IF(INDEX(campaigns!$A$2:$A$51,4)="","",INDEX(campaigns!$D$2:$D$51,4))</f>
        <v>standard</v>
      </c>
      <c r="E53" s="0" t="str">
        <f aca="false">IF(INDEX(campaigns!$A$2:$A$51,4)="","",INDEX(campaigns!$BW$2:$BW$51,4))</f>
        <v>RELEASED 2027-01-14: ship by Tue 2027-01-26 (latest Tue 2027-01-26)</v>
      </c>
      <c r="F53" s="10" t="n">
        <f aca="false">IF(INDEX(campaigns!$A$2:$A$51,4)="","",INDEX(campaigns!$BO$2:$BO$51,4))</f>
        <v>9</v>
      </c>
      <c r="G53" s="10" t="n">
        <f aca="false">IF(INDEX(campaigns!$A$2:$A$51,4)="","",INDEX(campaigns!$BP$2:$BP$51,4))</f>
        <v>9</v>
      </c>
      <c r="H53" s="10" t="n">
        <f aca="false">IF(INDEX(campaigns!$A$2:$A$51,4)="","",INDEX(campaigns!$F$2:$F$51,4))</f>
        <v>10</v>
      </c>
      <c r="I53" s="10" t="n">
        <f aca="false">IF(INDEX(campaigns!$A$2:$A$51,4)="","",INDEX(campaigns!$CB$2:$CB$51,4))</f>
        <v>455</v>
      </c>
      <c r="J53" s="10" t="n">
        <f aca="false">IF(INDEX(campaigns!$A$2:$A$51,4)="","",INDEX(campaigns!$CD$2:$CD$51,4))</f>
        <v>455</v>
      </c>
      <c r="K53" s="14" t="n">
        <f aca="false">IF(INDEX(campaigns!$A$2:$A$51,4)="","",INDEX(campaigns!$CE$2:$CE$51,4))</f>
        <v>1</v>
      </c>
      <c r="L53" s="10" t="n">
        <f aca="false">IF(INDEX(campaigns!$A$2:$A$51,4)="","",INDEX(campaigns!$CF$2:$CF$51,4))</f>
        <v>6</v>
      </c>
      <c r="M53" s="10" t="n">
        <f aca="false">IF(INDEX(campaigns!$A$2:$A$51,4)="","",INDEX(campaigns!$CG$2:$CG$51,4))</f>
        <v>428</v>
      </c>
      <c r="N53" s="10" t="n">
        <f aca="false">IF(INDEX(campaigns!$A$2:$A$51,4)="","",INDEX(campaigns!$CH$2:$CH$51,4))</f>
        <v>71</v>
      </c>
      <c r="O53" s="10" t="n">
        <f aca="false">IF(INDEX(campaigns!$A$2:$A$51,4)="","",INDEX(campaigns!$CI$2:$CI$51,4))</f>
        <v>6</v>
      </c>
      <c r="P53" s="10" t="n">
        <f aca="false">IF(INDEX(campaigns!$A$2:$A$51,4)="","",INDEX(campaigns!$CK$2:$CK$51,4))</f>
        <v>55</v>
      </c>
      <c r="Q53" s="13" t="n">
        <f aca="false">IF(INDEX(campaigns!$A$2:$A$51,4)="","",INDEX(campaigns!$CP$2:$CP$51,4))</f>
        <v>4.2</v>
      </c>
      <c r="R53" s="10" t="n">
        <f aca="false">IF(INDEX(campaigns!$A$2:$A$51,4)="","",INDEX(campaigns!$CX$2:$CX$51,4))</f>
        <v>71</v>
      </c>
      <c r="S53" s="10" t="n">
        <f aca="false">IF(INDEX(campaigns!$A$2:$A$51,4)="","",INDEX(campaigns!$CZ$2:$CZ$51,4))</f>
        <v>8</v>
      </c>
      <c r="T53" s="12" t="n">
        <f aca="false">IF(INDEX(campaigns!$A$2:$A$51,4)="","",INDEX(campaigns!$DC$2:$DC$51,4))</f>
        <v>1350</v>
      </c>
      <c r="U53" s="12" t="n">
        <f aca="false">IF(INDEX(campaigns!$A$2:$A$51,4)="","",INDEX(campaigns!$DM$2:$DM$51,4))</f>
        <v>69.92</v>
      </c>
      <c r="V53" s="0" t="str">
        <f aca="false">IF(INDEX(campaigns!$A$2:$A$51,4)="","",INDEX(campaigns!$DS$2:$DS$51,4))</f>
        <v>pass</v>
      </c>
      <c r="W53" s="0" t="str">
        <f aca="false">IF(INDEX(campaigns!$A$2:$A$51,4)="","",INDEX(campaigns!$DT$2:$DT$51,4))</f>
        <v>pass</v>
      </c>
      <c r="X53" s="0" t="str">
        <f aca="false">IF(INDEX(campaigns!$A$2:$A$51,4)="","",INDEX(campaigns!$DU$2:$DU$51,4))</f>
        <v>pass</v>
      </c>
      <c r="Y53" s="0" t="str">
        <f aca="false">IF(INDEX(campaigns!$A$2:$A$51,4)="","",INDEX(campaigns!$AV$2:$AV$51,4))</f>
        <v>maybe</v>
      </c>
      <c r="Z53" s="0" t="str">
        <f aca="false">IF(INDEX(campaigns!$A$2:$A$51,4)="","",INDEX(campaigns!$DV$2:$DV$51,4))</f>
        <v>info: 1 office(s) short of the contract: add a roster office or credit $150 each; </v>
      </c>
    </row>
    <row r="54" customFormat="false" ht="15" hidden="false" customHeight="false" outlineLevel="0" collapsed="false">
      <c r="A54" s="0" t="str">
        <f aca="false">IF(INDEX(campaigns!$A$2:$A$51,5)="","",INDEX(campaigns!$A$2:$A$51,5))</f>
        <v>SAMPLE-CMP-005</v>
      </c>
      <c r="B54" s="0" t="str">
        <f aca="false">IF(INDEX(campaigns!$A$2:$A$51,5)="","",INDEX(campaigns!$BE$2:$BE$51,5))</f>
        <v>SAMPLE Kettle Ridge</v>
      </c>
      <c r="C54" s="11" t="n">
        <f aca="false">IF(INDEX(campaigns!$A$2:$A$51,5)="","",INDEX(campaigns!$BG$2:$BG$51,5))</f>
        <v>46427</v>
      </c>
      <c r="D54" s="0" t="str">
        <f aca="false">IF(INDEX(campaigns!$A$2:$A$51,5)="","",INDEX(campaigns!$D$2:$D$51,5))</f>
        <v>standard</v>
      </c>
      <c r="E54" s="0" t="str">
        <f aca="false">IF(INDEX(campaigns!$A$2:$A$51,5)="","",INDEX(campaigns!$BW$2:$BW$51,5))</f>
        <v>RELEASED 2027-01-14: ship by Tue 2027-01-26 (latest Tue 2027-01-26)</v>
      </c>
      <c r="F54" s="10" t="n">
        <f aca="false">IF(INDEX(campaigns!$A$2:$A$51,5)="","",INDEX(campaigns!$BO$2:$BO$51,5))</f>
        <v>10</v>
      </c>
      <c r="G54" s="10" t="n">
        <f aca="false">IF(INDEX(campaigns!$A$2:$A$51,5)="","",INDEX(campaigns!$BP$2:$BP$51,5))</f>
        <v>10</v>
      </c>
      <c r="H54" s="10" t="n">
        <f aca="false">IF(INDEX(campaigns!$A$2:$A$51,5)="","",INDEX(campaigns!$F$2:$F$51,5))</f>
        <v>10</v>
      </c>
      <c r="I54" s="10" t="n">
        <f aca="false">IF(INDEX(campaigns!$A$2:$A$51,5)="","",INDEX(campaigns!$CB$2:$CB$51,5))</f>
        <v>515</v>
      </c>
      <c r="J54" s="10" t="n">
        <f aca="false">IF(INDEX(campaigns!$A$2:$A$51,5)="","",INDEX(campaigns!$CD$2:$CD$51,5))</f>
        <v>515</v>
      </c>
      <c r="K54" s="14" t="n">
        <f aca="false">IF(INDEX(campaigns!$A$2:$A$51,5)="","",INDEX(campaigns!$CE$2:$CE$51,5))</f>
        <v>1</v>
      </c>
      <c r="L54" s="10" t="n">
        <f aca="false">IF(INDEX(campaigns!$A$2:$A$51,5)="","",INDEX(campaigns!$CF$2:$CF$51,5))</f>
        <v>12</v>
      </c>
      <c r="M54" s="10" t="n">
        <f aca="false">IF(INDEX(campaigns!$A$2:$A$51,5)="","",INDEX(campaigns!$CG$2:$CG$51,5))</f>
        <v>474</v>
      </c>
      <c r="N54" s="10" t="n">
        <f aca="false">IF(INDEX(campaigns!$A$2:$A$51,5)="","",INDEX(campaigns!$CH$2:$CH$51,5))</f>
        <v>77</v>
      </c>
      <c r="O54" s="10" t="n">
        <f aca="false">IF(INDEX(campaigns!$A$2:$A$51,5)="","",INDEX(campaigns!$CI$2:$CI$51,5))</f>
        <v>4</v>
      </c>
      <c r="P54" s="10" t="n">
        <f aca="false">IF(INDEX(campaigns!$A$2:$A$51,5)="","",INDEX(campaigns!$CK$2:$CK$51,5))</f>
        <v>51</v>
      </c>
      <c r="Q54" s="13" t="n">
        <f aca="false">IF(INDEX(campaigns!$A$2:$A$51,5)="","",INDEX(campaigns!$CP$2:$CP$51,5))</f>
        <v>4.3</v>
      </c>
      <c r="R54" s="10" t="n">
        <f aca="false">IF(INDEX(campaigns!$A$2:$A$51,5)="","",INDEX(campaigns!$CX$2:$CX$51,5))</f>
        <v>79</v>
      </c>
      <c r="S54" s="10" t="n">
        <f aca="false">IF(INDEX(campaigns!$A$2:$A$51,5)="","",INDEX(campaigns!$CZ$2:$CZ$51,5))</f>
        <v>21</v>
      </c>
      <c r="T54" s="12" t="n">
        <f aca="false">IF(INDEX(campaigns!$A$2:$A$51,5)="","",INDEX(campaigns!$DC$2:$DC$51,5))</f>
        <v>1500</v>
      </c>
      <c r="U54" s="12" t="n">
        <f aca="false">IF(INDEX(campaigns!$A$2:$A$51,5)="","",INDEX(campaigns!$DM$2:$DM$51,5))</f>
        <v>73.42</v>
      </c>
      <c r="V54" s="0" t="str">
        <f aca="false">IF(INDEX(campaigns!$A$2:$A$51,5)="","",INDEX(campaigns!$DS$2:$DS$51,5))</f>
        <v>pass</v>
      </c>
      <c r="W54" s="0" t="str">
        <f aca="false">IF(INDEX(campaigns!$A$2:$A$51,5)="","",INDEX(campaigns!$DT$2:$DT$51,5))</f>
        <v>miss</v>
      </c>
      <c r="X54" s="0" t="str">
        <f aca="false">IF(INDEX(campaigns!$A$2:$A$51,5)="","",INDEX(campaigns!$DU$2:$DU$51,5))</f>
        <v>pass</v>
      </c>
      <c r="Y54" s="0" t="str">
        <f aca="false">IF(INDEX(campaigns!$A$2:$A$51,5)="","",INDEX(campaigns!$AV$2:$AV$51,5))</f>
        <v>yes</v>
      </c>
      <c r="Z54" s="0" t="str">
        <f aca="false">IF(INDEX(campaigns!$A$2:$A$51,5)="","",INDEX(campaigns!$DV$2:$DV$51,5))</f>
        <v/>
      </c>
    </row>
    <row r="55" customFormat="false" ht="15" hidden="false" customHeight="false" outlineLevel="0" collapsed="false">
      <c r="A55" s="0" t="str">
        <f aca="false">IF(INDEX(campaigns!$A$2:$A$51,6)="","",INDEX(campaigns!$A$2:$A$51,6))</f>
        <v>SAMPLE-CMP-006</v>
      </c>
      <c r="B55" s="0" t="str">
        <f aca="false">IF(INDEX(campaigns!$A$2:$A$51,6)="","",INDEX(campaigns!$BE$2:$BE$51,6))</f>
        <v>SAMPLE Saltmarsh</v>
      </c>
      <c r="C55" s="11" t="n">
        <f aca="false">IF(INDEX(campaigns!$A$2:$A$51,6)="","",INDEX(campaigns!$BG$2:$BG$51,6))</f>
        <v>46441</v>
      </c>
      <c r="D55" s="0" t="str">
        <f aca="false">IF(INDEX(campaigns!$A$2:$A$51,6)="","",INDEX(campaigns!$D$2:$D$51,6))</f>
        <v>standard</v>
      </c>
      <c r="E55" s="0" t="str">
        <f aca="false">IF(INDEX(campaigns!$A$2:$A$51,6)="","",INDEX(campaigns!$BW$2:$BW$51,6))</f>
        <v>RELEASED 2027-01-28: ship by Mon 2027-02-08 (latest Mon 2027-02-08)</v>
      </c>
      <c r="F55" s="10" t="n">
        <f aca="false">IF(INDEX(campaigns!$A$2:$A$51,6)="","",INDEX(campaigns!$BO$2:$BO$51,6))</f>
        <v>10</v>
      </c>
      <c r="G55" s="10" t="n">
        <f aca="false">IF(INDEX(campaigns!$A$2:$A$51,6)="","",INDEX(campaigns!$BP$2:$BP$51,6))</f>
        <v>9</v>
      </c>
      <c r="H55" s="10" t="n">
        <f aca="false">IF(INDEX(campaigns!$A$2:$A$51,6)="","",INDEX(campaigns!$F$2:$F$51,6))</f>
        <v>10</v>
      </c>
      <c r="I55" s="10" t="n">
        <f aca="false">IF(INDEX(campaigns!$A$2:$A$51,6)="","",INDEX(campaigns!$CB$2:$CB$51,6))</f>
        <v>425</v>
      </c>
      <c r="J55" s="10" t="n">
        <f aca="false">IF(INDEX(campaigns!$A$2:$A$51,6)="","",INDEX(campaigns!$CD$2:$CD$51,6))</f>
        <v>425</v>
      </c>
      <c r="K55" s="14" t="n">
        <f aca="false">IF(INDEX(campaigns!$A$2:$A$51,6)="","",INDEX(campaigns!$CE$2:$CE$51,6))</f>
        <v>1</v>
      </c>
      <c r="L55" s="10" t="n">
        <f aca="false">IF(INDEX(campaigns!$A$2:$A$51,6)="","",INDEX(campaigns!$CF$2:$CF$51,6))</f>
        <v>12</v>
      </c>
      <c r="M55" s="10" t="n">
        <f aca="false">IF(INDEX(campaigns!$A$2:$A$51,6)="","",INDEX(campaigns!$CG$2:$CG$51,6))</f>
        <v>408</v>
      </c>
      <c r="N55" s="10" t="n">
        <f aca="false">IF(INDEX(campaigns!$A$2:$A$51,6)="","",INDEX(campaigns!$CH$2:$CH$51,6))</f>
        <v>62</v>
      </c>
      <c r="O55" s="10" t="n">
        <f aca="false">IF(INDEX(campaigns!$A$2:$A$51,6)="","",INDEX(campaigns!$CI$2:$CI$51,6))</f>
        <v>5</v>
      </c>
      <c r="P55" s="10" t="n">
        <f aca="false">IF(INDEX(campaigns!$A$2:$A$51,6)="","",INDEX(campaigns!$CK$2:$CK$51,6))</f>
        <v>49</v>
      </c>
      <c r="Q55" s="13" t="n">
        <f aca="false">IF(INDEX(campaigns!$A$2:$A$51,6)="","",INDEX(campaigns!$CP$2:$CP$51,6))</f>
        <v>4.4</v>
      </c>
      <c r="R55" s="10" t="n">
        <f aca="false">IF(INDEX(campaigns!$A$2:$A$51,6)="","",INDEX(campaigns!$CX$2:$CX$51,6))</f>
        <v>71</v>
      </c>
      <c r="S55" s="10" t="n">
        <f aca="false">IF(INDEX(campaigns!$A$2:$A$51,6)="","",INDEX(campaigns!$CZ$2:$CZ$51,6))</f>
        <v>13</v>
      </c>
      <c r="T55" s="12" t="n">
        <f aca="false">IF(INDEX(campaigns!$A$2:$A$51,6)="","",INDEX(campaigns!$DC$2:$DC$51,6))</f>
        <v>1350</v>
      </c>
      <c r="U55" s="12" t="n">
        <f aca="false">IF(INDEX(campaigns!$A$2:$A$51,6)="","",INDEX(campaigns!$DM$2:$DM$51,6))</f>
        <v>47.32</v>
      </c>
      <c r="V55" s="0" t="str">
        <f aca="false">IF(INDEX(campaigns!$A$2:$A$51,6)="","",INDEX(campaigns!$DS$2:$DS$51,6))</f>
        <v>pass</v>
      </c>
      <c r="W55" s="0" t="str">
        <f aca="false">IF(INDEX(campaigns!$A$2:$A$51,6)="","",INDEX(campaigns!$DT$2:$DT$51,6))</f>
        <v>pass</v>
      </c>
      <c r="X55" s="0" t="str">
        <f aca="false">IF(INDEX(campaigns!$A$2:$A$51,6)="","",INDEX(campaigns!$DU$2:$DU$51,6))</f>
        <v>pass</v>
      </c>
      <c r="Y55" s="0" t="str">
        <f aca="false">IF(INDEX(campaigns!$A$2:$A$51,6)="","",INDEX(campaigns!$AV$2:$AV$51,6))</f>
        <v>yes</v>
      </c>
      <c r="Z55" s="0" t="str">
        <f aca="false">IF(INDEX(campaigns!$A$2:$A$51,6)="","",INDEX(campaigns!$DV$2:$DV$51,6))</f>
        <v/>
      </c>
    </row>
    <row r="56" customFormat="false" ht="15" hidden="false" customHeight="false" outlineLevel="0" collapsed="false">
      <c r="A56" s="0" t="str">
        <f aca="false">IF(INDEX(campaigns!$A$2:$A$51,7)="","",INDEX(campaigns!$A$2:$A$51,7))</f>
        <v>SAMPLE-CMP-007</v>
      </c>
      <c r="B56" s="0" t="str">
        <f aca="false">IF(INDEX(campaigns!$A$2:$A$51,7)="","",INDEX(campaigns!$BE$2:$BE$51,7))</f>
        <v>SAMPLE Brightside</v>
      </c>
      <c r="C56" s="11" t="n">
        <f aca="false">IF(INDEX(campaigns!$A$2:$A$51,7)="","",INDEX(campaigns!$BG$2:$BG$51,7))</f>
        <v>46469</v>
      </c>
      <c r="D56" s="0" t="str">
        <f aca="false">IF(INDEX(campaigns!$A$2:$A$51,7)="","",INDEX(campaigns!$D$2:$D$51,7))</f>
        <v>founding</v>
      </c>
      <c r="E56" s="0" t="str">
        <f aca="false">IF(INDEX(campaigns!$A$2:$A$51,7)="","",INDEX(campaigns!$BW$2:$BW$51,7))</f>
        <v>RELEASED 2027-03-01: ship by Tue 2027-03-09 (latest Tue 2027-03-09)</v>
      </c>
      <c r="F56" s="10" t="n">
        <f aca="false">IF(INDEX(campaigns!$A$2:$A$51,7)="","",INDEX(campaigns!$BO$2:$BO$51,7))</f>
        <v>10</v>
      </c>
      <c r="G56" s="10" t="n">
        <f aca="false">IF(INDEX(campaigns!$A$2:$A$51,7)="","",INDEX(campaigns!$BP$2:$BP$51,7))</f>
        <v>10</v>
      </c>
      <c r="H56" s="10" t="n">
        <f aca="false">IF(INDEX(campaigns!$A$2:$A$51,7)="","",INDEX(campaigns!$F$2:$F$51,7))</f>
        <v>10</v>
      </c>
      <c r="I56" s="10" t="n">
        <f aca="false">IF(INDEX(campaigns!$A$2:$A$51,7)="","",INDEX(campaigns!$CB$2:$CB$51,7))</f>
        <v>491</v>
      </c>
      <c r="J56" s="10" t="n">
        <f aca="false">IF(INDEX(campaigns!$A$2:$A$51,7)="","",INDEX(campaigns!$CD$2:$CD$51,7))</f>
        <v>491</v>
      </c>
      <c r="K56" s="14" t="n">
        <f aca="false">IF(INDEX(campaigns!$A$2:$A$51,7)="","",INDEX(campaigns!$CE$2:$CE$51,7))</f>
        <v>1</v>
      </c>
      <c r="L56" s="10" t="n">
        <f aca="false">IF(INDEX(campaigns!$A$2:$A$51,7)="","",INDEX(campaigns!$CF$2:$CF$51,7))</f>
        <v>20</v>
      </c>
      <c r="M56" s="10" t="n">
        <f aca="false">IF(INDEX(campaigns!$A$2:$A$51,7)="","",INDEX(campaigns!$CG$2:$CG$51,7))</f>
        <v>474</v>
      </c>
      <c r="N56" s="10" t="n">
        <f aca="false">IF(INDEX(campaigns!$A$2:$A$51,7)="","",INDEX(campaigns!$CH$2:$CH$51,7))</f>
        <v>66</v>
      </c>
      <c r="O56" s="10" t="n">
        <f aca="false">IF(INDEX(campaigns!$A$2:$A$51,7)="","",INDEX(campaigns!$CI$2:$CI$51,7))</f>
        <v>4</v>
      </c>
      <c r="P56" s="10" t="n">
        <f aca="false">IF(INDEX(campaigns!$A$2:$A$51,7)="","",INDEX(campaigns!$CK$2:$CK$51,7))</f>
        <v>48</v>
      </c>
      <c r="Q56" s="13" t="n">
        <f aca="false">IF(INDEX(campaigns!$A$2:$A$51,7)="","",INDEX(campaigns!$CP$2:$CP$51,7))</f>
        <v>4.2</v>
      </c>
      <c r="R56" s="10" t="n">
        <f aca="false">IF(INDEX(campaigns!$A$2:$A$51,7)="","",INDEX(campaigns!$CX$2:$CX$51,7))</f>
        <v>81</v>
      </c>
      <c r="S56" s="10" t="n">
        <f aca="false">IF(INDEX(campaigns!$A$2:$A$51,7)="","",INDEX(campaigns!$CZ$2:$CZ$51,7))</f>
        <v>9</v>
      </c>
      <c r="T56" s="12" t="n">
        <f aca="false">IF(INDEX(campaigns!$A$2:$A$51,7)="","",INDEX(campaigns!$DC$2:$DC$51,7))</f>
        <v>1200</v>
      </c>
      <c r="U56" s="12" t="n">
        <f aca="false">IF(INDEX(campaigns!$A$2:$A$51,7)="","",INDEX(campaigns!$DM$2:$DM$51,7))</f>
        <v>125.43</v>
      </c>
      <c r="V56" s="0" t="str">
        <f aca="false">IF(INDEX(campaigns!$A$2:$A$51,7)="","",INDEX(campaigns!$DS$2:$DS$51,7))</f>
        <v>pass</v>
      </c>
      <c r="W56" s="0" t="str">
        <f aca="false">IF(INDEX(campaigns!$A$2:$A$51,7)="","",INDEX(campaigns!$DT$2:$DT$51,7))</f>
        <v>miss</v>
      </c>
      <c r="X56" s="0" t="str">
        <f aca="false">IF(INDEX(campaigns!$A$2:$A$51,7)="","",INDEX(campaigns!$DU$2:$DU$51,7))</f>
        <v>pass</v>
      </c>
      <c r="Y56" s="0" t="str">
        <f aca="false">IF(INDEX(campaigns!$A$2:$A$51,7)="","",INDEX(campaigns!$AV$2:$AV$51,7))</f>
        <v>yes</v>
      </c>
      <c r="Z56" s="0" t="str">
        <f aca="false">IF(INDEX(campaigns!$A$2:$A$51,7)="","",INDEX(campaigns!$DV$2:$DV$51,7))</f>
        <v>info: brand insurance ends 2027-06-30: diary the renewal certificate; </v>
      </c>
    </row>
    <row r="57" customFormat="false" ht="15" hidden="false" customHeight="false" outlineLevel="0" collapsed="false">
      <c r="A57" s="0" t="str">
        <f aca="false">IF(INDEX(campaigns!$A$2:$A$51,8)="","",INDEX(campaigns!$A$2:$A$51,8))</f>
        <v>SAMPLE-CMP-008</v>
      </c>
      <c r="B57" s="0" t="str">
        <f aca="false">IF(INDEX(campaigns!$A$2:$A$51,8)="","",INDEX(campaigns!$BE$2:$BE$51,8))</f>
        <v>SAMPLE Tallgrass</v>
      </c>
      <c r="C57" s="11" t="n">
        <f aca="false">IF(INDEX(campaigns!$A$2:$A$51,8)="","",INDEX(campaigns!$BG$2:$BG$51,8))</f>
        <v>46469</v>
      </c>
      <c r="D57" s="0" t="str">
        <f aca="false">IF(INDEX(campaigns!$A$2:$A$51,8)="","",INDEX(campaigns!$D$2:$D$51,8))</f>
        <v>standard</v>
      </c>
      <c r="E57" s="0" t="str">
        <f aca="false">IF(INDEX(campaigns!$A$2:$A$51,8)="","",INDEX(campaigns!$BW$2:$BW$51,8))</f>
        <v>RELEASED 2027-02-26: ship by Tue 2027-03-09 (latest Tue 2027-03-09)</v>
      </c>
      <c r="F57" s="10" t="n">
        <f aca="false">IF(INDEX(campaigns!$A$2:$A$51,8)="","",INDEX(campaigns!$BO$2:$BO$51,8))</f>
        <v>10</v>
      </c>
      <c r="G57" s="10" t="n">
        <f aca="false">IF(INDEX(campaigns!$A$2:$A$51,8)="","",INDEX(campaigns!$BP$2:$BP$51,8))</f>
        <v>9</v>
      </c>
      <c r="H57" s="10" t="n">
        <f aca="false">IF(INDEX(campaigns!$A$2:$A$51,8)="","",INDEX(campaigns!$F$2:$F$51,8))</f>
        <v>10</v>
      </c>
      <c r="I57" s="10" t="n">
        <f aca="false">IF(INDEX(campaigns!$A$2:$A$51,8)="","",INDEX(campaigns!$CB$2:$CB$51,8))</f>
        <v>470</v>
      </c>
      <c r="J57" s="10" t="n">
        <f aca="false">IF(INDEX(campaigns!$A$2:$A$51,8)="","",INDEX(campaigns!$CD$2:$CD$51,8))</f>
        <v>470</v>
      </c>
      <c r="K57" s="14" t="n">
        <f aca="false">IF(INDEX(campaigns!$A$2:$A$51,8)="","",INDEX(campaigns!$CE$2:$CE$51,8))</f>
        <v>1</v>
      </c>
      <c r="L57" s="10" t="n">
        <f aca="false">IF(INDEX(campaigns!$A$2:$A$51,8)="","",INDEX(campaigns!$CF$2:$CF$51,8))</f>
        <v>6</v>
      </c>
      <c r="M57" s="10" t="n">
        <f aca="false">IF(INDEX(campaigns!$A$2:$A$51,8)="","",INDEX(campaigns!$CG$2:$CG$51,8))</f>
        <v>460</v>
      </c>
      <c r="N57" s="10" t="n">
        <f aca="false">IF(INDEX(campaigns!$A$2:$A$51,8)="","",INDEX(campaigns!$CH$2:$CH$51,8))</f>
        <v>61</v>
      </c>
      <c r="O57" s="10" t="n">
        <f aca="false">IF(INDEX(campaigns!$A$2:$A$51,8)="","",INDEX(campaigns!$CI$2:$CI$51,8))</f>
        <v>5</v>
      </c>
      <c r="P57" s="10" t="n">
        <f aca="false">IF(INDEX(campaigns!$A$2:$A$51,8)="","",INDEX(campaigns!$CK$2:$CK$51,8))</f>
        <v>44</v>
      </c>
      <c r="Q57" s="13" t="n">
        <f aca="false">IF(INDEX(campaigns!$A$2:$A$51,8)="","",INDEX(campaigns!$CP$2:$CP$51,8))</f>
        <v>4.3</v>
      </c>
      <c r="R57" s="10" t="n">
        <f aca="false">IF(INDEX(campaigns!$A$2:$A$51,8)="","",INDEX(campaigns!$CX$2:$CX$51,8))</f>
        <v>75</v>
      </c>
      <c r="S57" s="10" t="n">
        <f aca="false">IF(INDEX(campaigns!$A$2:$A$51,8)="","",INDEX(campaigns!$CZ$2:$CZ$51,8))</f>
        <v>12</v>
      </c>
      <c r="T57" s="12" t="n">
        <f aca="false">IF(INDEX(campaigns!$A$2:$A$51,8)="","",INDEX(campaigns!$DC$2:$DC$51,8))</f>
        <v>1350</v>
      </c>
      <c r="U57" s="12" t="n">
        <f aca="false">IF(INDEX(campaigns!$A$2:$A$51,8)="","",INDEX(campaigns!$DM$2:$DM$51,8))</f>
        <v>142.57</v>
      </c>
      <c r="V57" s="0" t="str">
        <f aca="false">IF(INDEX(campaigns!$A$2:$A$51,8)="","",INDEX(campaigns!$DS$2:$DS$51,8))</f>
        <v>pass</v>
      </c>
      <c r="W57" s="0" t="str">
        <f aca="false">IF(INDEX(campaigns!$A$2:$A$51,8)="","",INDEX(campaigns!$DT$2:$DT$51,8))</f>
        <v>pass</v>
      </c>
      <c r="X57" s="0" t="str">
        <f aca="false">IF(INDEX(campaigns!$A$2:$A$51,8)="","",INDEX(campaigns!$DU$2:$DU$51,8))</f>
        <v>pass</v>
      </c>
      <c r="Y57" s="0" t="str">
        <f aca="false">IF(INDEX(campaigns!$A$2:$A$51,8)="","",INDEX(campaigns!$AV$2:$AV$51,8))</f>
        <v>maybe</v>
      </c>
      <c r="Z57" s="0" t="str">
        <f aca="false">IF(INDEX(campaigns!$A$2:$A$51,8)="","",INDEX(campaigns!$DV$2:$DV$51,8))</f>
        <v>info: 2 in-window answers from an office not on the drop (it said no, or turned the brand away at the door): not counted; </v>
      </c>
    </row>
    <row r="58" customFormat="false" ht="15" hidden="false" customHeight="false" outlineLevel="0" collapsed="false">
      <c r="A58" s="0" t="str">
        <f aca="false">IF(INDEX(campaigns!$A$2:$A$51,9)="","",INDEX(campaigns!$A$2:$A$51,9))</f>
        <v/>
      </c>
      <c r="B58" s="0" t="str">
        <f aca="false">IF(INDEX(campaigns!$A$2:$A$51,9)="","",INDEX(campaigns!$BE$2:$BE$51,9))</f>
        <v/>
      </c>
      <c r="C58" s="11" t="str">
        <f aca="false">IF(INDEX(campaigns!$A$2:$A$51,9)="","",INDEX(campaigns!$BG$2:$BG$51,9))</f>
        <v/>
      </c>
      <c r="D58" s="0" t="str">
        <f aca="false">IF(INDEX(campaigns!$A$2:$A$51,9)="","",INDEX(campaigns!$D$2:$D$51,9))</f>
        <v/>
      </c>
      <c r="E58" s="0" t="str">
        <f aca="false">IF(INDEX(campaigns!$A$2:$A$51,9)="","",INDEX(campaigns!$BW$2:$BW$51,9))</f>
        <v/>
      </c>
      <c r="F58" s="0" t="str">
        <f aca="false">IF(INDEX(campaigns!$A$2:$A$51,9)="","",INDEX(campaigns!$BO$2:$BO$51,9))</f>
        <v/>
      </c>
      <c r="G58" s="0" t="str">
        <f aca="false">IF(INDEX(campaigns!$A$2:$A$51,9)="","",INDEX(campaigns!$BP$2:$BP$51,9))</f>
        <v/>
      </c>
      <c r="H58" s="0" t="str">
        <f aca="false">IF(INDEX(campaigns!$A$2:$A$51,9)="","",INDEX(campaigns!$F$2:$F$51,9))</f>
        <v/>
      </c>
      <c r="I58" s="0" t="str">
        <f aca="false">IF(INDEX(campaigns!$A$2:$A$51,9)="","",INDEX(campaigns!$CB$2:$CB$51,9))</f>
        <v/>
      </c>
      <c r="J58" s="0" t="str">
        <f aca="false">IF(INDEX(campaigns!$A$2:$A$51,9)="","",INDEX(campaigns!$CD$2:$CD$51,9))</f>
        <v/>
      </c>
      <c r="K58" s="14" t="str">
        <f aca="false">IF(INDEX(campaigns!$A$2:$A$51,9)="","",INDEX(campaigns!$CE$2:$CE$51,9))</f>
        <v/>
      </c>
      <c r="L58" s="0" t="str">
        <f aca="false">IF(INDEX(campaigns!$A$2:$A$51,9)="","",INDEX(campaigns!$CF$2:$CF$51,9))</f>
        <v/>
      </c>
      <c r="M58" s="0" t="str">
        <f aca="false">IF(INDEX(campaigns!$A$2:$A$51,9)="","",INDEX(campaigns!$CG$2:$CG$51,9))</f>
        <v/>
      </c>
      <c r="N58" s="0" t="str">
        <f aca="false">IF(INDEX(campaigns!$A$2:$A$51,9)="","",INDEX(campaigns!$CH$2:$CH$51,9))</f>
        <v/>
      </c>
      <c r="O58" s="0" t="str">
        <f aca="false">IF(INDEX(campaigns!$A$2:$A$51,9)="","",INDEX(campaigns!$CI$2:$CI$51,9))</f>
        <v/>
      </c>
      <c r="P58" s="0" t="str">
        <f aca="false">IF(INDEX(campaigns!$A$2:$A$51,9)="","",INDEX(campaigns!$CK$2:$CK$51,9))</f>
        <v/>
      </c>
      <c r="Q58" s="13" t="str">
        <f aca="false">IF(INDEX(campaigns!$A$2:$A$51,9)="","",INDEX(campaigns!$CP$2:$CP$51,9))</f>
        <v/>
      </c>
      <c r="R58" s="0" t="str">
        <f aca="false">IF(INDEX(campaigns!$A$2:$A$51,9)="","",INDEX(campaigns!$CX$2:$CX$51,9))</f>
        <v/>
      </c>
      <c r="S58" s="0" t="str">
        <f aca="false">IF(INDEX(campaigns!$A$2:$A$51,9)="","",INDEX(campaigns!$CZ$2:$CZ$51,9))</f>
        <v/>
      </c>
      <c r="T58" s="12" t="str">
        <f aca="false">IF(INDEX(campaigns!$A$2:$A$51,9)="","",INDEX(campaigns!$DC$2:$DC$51,9))</f>
        <v/>
      </c>
      <c r="U58" s="12" t="str">
        <f aca="false">IF(INDEX(campaigns!$A$2:$A$51,9)="","",INDEX(campaigns!$DM$2:$DM$51,9))</f>
        <v/>
      </c>
      <c r="V58" s="0" t="str">
        <f aca="false">IF(INDEX(campaigns!$A$2:$A$51,9)="","",INDEX(campaigns!$DS$2:$DS$51,9))</f>
        <v/>
      </c>
      <c r="W58" s="0" t="str">
        <f aca="false">IF(INDEX(campaigns!$A$2:$A$51,9)="","",INDEX(campaigns!$DT$2:$DT$51,9))</f>
        <v/>
      </c>
      <c r="X58" s="0" t="str">
        <f aca="false">IF(INDEX(campaigns!$A$2:$A$51,9)="","",INDEX(campaigns!$DU$2:$DU$51,9))</f>
        <v/>
      </c>
      <c r="Y58" s="0" t="str">
        <f aca="false">IF(INDEX(campaigns!$A$2:$A$51,9)="","",INDEX(campaigns!$AV$2:$AV$51,9))</f>
        <v/>
      </c>
      <c r="Z58" s="0" t="str">
        <f aca="false">IF(INDEX(campaigns!$A$2:$A$51,9)="","",INDEX(campaigns!$DV$2:$DV$51,9))</f>
        <v/>
      </c>
    </row>
    <row r="59" customFormat="false" ht="15" hidden="false" customHeight="false" outlineLevel="0" collapsed="false">
      <c r="A59" s="0" t="str">
        <f aca="false">IF(INDEX(campaigns!$A$2:$A$51,10)="","",INDEX(campaigns!$A$2:$A$51,10))</f>
        <v/>
      </c>
      <c r="B59" s="0" t="str">
        <f aca="false">IF(INDEX(campaigns!$A$2:$A$51,10)="","",INDEX(campaigns!$BE$2:$BE$51,10))</f>
        <v/>
      </c>
      <c r="C59" s="11" t="str">
        <f aca="false">IF(INDEX(campaigns!$A$2:$A$51,10)="","",INDEX(campaigns!$BG$2:$BG$51,10))</f>
        <v/>
      </c>
      <c r="D59" s="0" t="str">
        <f aca="false">IF(INDEX(campaigns!$A$2:$A$51,10)="","",INDEX(campaigns!$D$2:$D$51,10))</f>
        <v/>
      </c>
      <c r="E59" s="0" t="str">
        <f aca="false">IF(INDEX(campaigns!$A$2:$A$51,10)="","",INDEX(campaigns!$BW$2:$BW$51,10))</f>
        <v/>
      </c>
      <c r="F59" s="0" t="str">
        <f aca="false">IF(INDEX(campaigns!$A$2:$A$51,10)="","",INDEX(campaigns!$BO$2:$BO$51,10))</f>
        <v/>
      </c>
      <c r="G59" s="0" t="str">
        <f aca="false">IF(INDEX(campaigns!$A$2:$A$51,10)="","",INDEX(campaigns!$BP$2:$BP$51,10))</f>
        <v/>
      </c>
      <c r="H59" s="0" t="str">
        <f aca="false">IF(INDEX(campaigns!$A$2:$A$51,10)="","",INDEX(campaigns!$F$2:$F$51,10))</f>
        <v/>
      </c>
      <c r="I59" s="0" t="str">
        <f aca="false">IF(INDEX(campaigns!$A$2:$A$51,10)="","",INDEX(campaigns!$CB$2:$CB$51,10))</f>
        <v/>
      </c>
      <c r="J59" s="0" t="str">
        <f aca="false">IF(INDEX(campaigns!$A$2:$A$51,10)="","",INDEX(campaigns!$CD$2:$CD$51,10))</f>
        <v/>
      </c>
      <c r="K59" s="14" t="str">
        <f aca="false">IF(INDEX(campaigns!$A$2:$A$51,10)="","",INDEX(campaigns!$CE$2:$CE$51,10))</f>
        <v/>
      </c>
      <c r="L59" s="0" t="str">
        <f aca="false">IF(INDEX(campaigns!$A$2:$A$51,10)="","",INDEX(campaigns!$CF$2:$CF$51,10))</f>
        <v/>
      </c>
      <c r="M59" s="0" t="str">
        <f aca="false">IF(INDEX(campaigns!$A$2:$A$51,10)="","",INDEX(campaigns!$CG$2:$CG$51,10))</f>
        <v/>
      </c>
      <c r="N59" s="0" t="str">
        <f aca="false">IF(INDEX(campaigns!$A$2:$A$51,10)="","",INDEX(campaigns!$CH$2:$CH$51,10))</f>
        <v/>
      </c>
      <c r="O59" s="0" t="str">
        <f aca="false">IF(INDEX(campaigns!$A$2:$A$51,10)="","",INDEX(campaigns!$CI$2:$CI$51,10))</f>
        <v/>
      </c>
      <c r="P59" s="0" t="str">
        <f aca="false">IF(INDEX(campaigns!$A$2:$A$51,10)="","",INDEX(campaigns!$CK$2:$CK$51,10))</f>
        <v/>
      </c>
      <c r="Q59" s="13" t="str">
        <f aca="false">IF(INDEX(campaigns!$A$2:$A$51,10)="","",INDEX(campaigns!$CP$2:$CP$51,10))</f>
        <v/>
      </c>
      <c r="R59" s="0" t="str">
        <f aca="false">IF(INDEX(campaigns!$A$2:$A$51,10)="","",INDEX(campaigns!$CX$2:$CX$51,10))</f>
        <v/>
      </c>
      <c r="S59" s="0" t="str">
        <f aca="false">IF(INDEX(campaigns!$A$2:$A$51,10)="","",INDEX(campaigns!$CZ$2:$CZ$51,10))</f>
        <v/>
      </c>
      <c r="T59" s="12" t="str">
        <f aca="false">IF(INDEX(campaigns!$A$2:$A$51,10)="","",INDEX(campaigns!$DC$2:$DC$51,10))</f>
        <v/>
      </c>
      <c r="U59" s="12" t="str">
        <f aca="false">IF(INDEX(campaigns!$A$2:$A$51,10)="","",INDEX(campaigns!$DM$2:$DM$51,10))</f>
        <v/>
      </c>
      <c r="V59" s="0" t="str">
        <f aca="false">IF(INDEX(campaigns!$A$2:$A$51,10)="","",INDEX(campaigns!$DS$2:$DS$51,10))</f>
        <v/>
      </c>
      <c r="W59" s="0" t="str">
        <f aca="false">IF(INDEX(campaigns!$A$2:$A$51,10)="","",INDEX(campaigns!$DT$2:$DT$51,10))</f>
        <v/>
      </c>
      <c r="X59" s="0" t="str">
        <f aca="false">IF(INDEX(campaigns!$A$2:$A$51,10)="","",INDEX(campaigns!$DU$2:$DU$51,10))</f>
        <v/>
      </c>
      <c r="Y59" s="0" t="str">
        <f aca="false">IF(INDEX(campaigns!$A$2:$A$51,10)="","",INDEX(campaigns!$AV$2:$AV$51,10))</f>
        <v/>
      </c>
      <c r="Z59" s="0" t="str">
        <f aca="false">IF(INDEX(campaigns!$A$2:$A$51,10)="","",INDEX(campaigns!$DV$2:$DV$51,10))</f>
        <v/>
      </c>
    </row>
    <row r="60" customFormat="false" ht="15" hidden="false" customHeight="false" outlineLevel="0" collapsed="false">
      <c r="A60" s="0" t="str">
        <f aca="false">IF(INDEX(campaigns!$A$2:$A$51,11)="","",INDEX(campaigns!$A$2:$A$51,11))</f>
        <v/>
      </c>
      <c r="B60" s="0" t="str">
        <f aca="false">IF(INDEX(campaigns!$A$2:$A$51,11)="","",INDEX(campaigns!$BE$2:$BE$51,11))</f>
        <v/>
      </c>
      <c r="C60" s="11" t="str">
        <f aca="false">IF(INDEX(campaigns!$A$2:$A$51,11)="","",INDEX(campaigns!$BG$2:$BG$51,11))</f>
        <v/>
      </c>
      <c r="D60" s="0" t="str">
        <f aca="false">IF(INDEX(campaigns!$A$2:$A$51,11)="","",INDEX(campaigns!$D$2:$D$51,11))</f>
        <v/>
      </c>
      <c r="E60" s="0" t="str">
        <f aca="false">IF(INDEX(campaigns!$A$2:$A$51,11)="","",INDEX(campaigns!$BW$2:$BW$51,11))</f>
        <v/>
      </c>
      <c r="F60" s="0" t="str">
        <f aca="false">IF(INDEX(campaigns!$A$2:$A$51,11)="","",INDEX(campaigns!$BO$2:$BO$51,11))</f>
        <v/>
      </c>
      <c r="G60" s="0" t="str">
        <f aca="false">IF(INDEX(campaigns!$A$2:$A$51,11)="","",INDEX(campaigns!$BP$2:$BP$51,11))</f>
        <v/>
      </c>
      <c r="H60" s="0" t="str">
        <f aca="false">IF(INDEX(campaigns!$A$2:$A$51,11)="","",INDEX(campaigns!$F$2:$F$51,11))</f>
        <v/>
      </c>
      <c r="I60" s="0" t="str">
        <f aca="false">IF(INDEX(campaigns!$A$2:$A$51,11)="","",INDEX(campaigns!$CB$2:$CB$51,11))</f>
        <v/>
      </c>
      <c r="J60" s="0" t="str">
        <f aca="false">IF(INDEX(campaigns!$A$2:$A$51,11)="","",INDEX(campaigns!$CD$2:$CD$51,11))</f>
        <v/>
      </c>
      <c r="K60" s="14" t="str">
        <f aca="false">IF(INDEX(campaigns!$A$2:$A$51,11)="","",INDEX(campaigns!$CE$2:$CE$51,11))</f>
        <v/>
      </c>
      <c r="L60" s="0" t="str">
        <f aca="false">IF(INDEX(campaigns!$A$2:$A$51,11)="","",INDEX(campaigns!$CF$2:$CF$51,11))</f>
        <v/>
      </c>
      <c r="M60" s="0" t="str">
        <f aca="false">IF(INDEX(campaigns!$A$2:$A$51,11)="","",INDEX(campaigns!$CG$2:$CG$51,11))</f>
        <v/>
      </c>
      <c r="N60" s="0" t="str">
        <f aca="false">IF(INDEX(campaigns!$A$2:$A$51,11)="","",INDEX(campaigns!$CH$2:$CH$51,11))</f>
        <v/>
      </c>
      <c r="O60" s="0" t="str">
        <f aca="false">IF(INDEX(campaigns!$A$2:$A$51,11)="","",INDEX(campaigns!$CI$2:$CI$51,11))</f>
        <v/>
      </c>
      <c r="P60" s="0" t="str">
        <f aca="false">IF(INDEX(campaigns!$A$2:$A$51,11)="","",INDEX(campaigns!$CK$2:$CK$51,11))</f>
        <v/>
      </c>
      <c r="Q60" s="13" t="str">
        <f aca="false">IF(INDEX(campaigns!$A$2:$A$51,11)="","",INDEX(campaigns!$CP$2:$CP$51,11))</f>
        <v/>
      </c>
      <c r="R60" s="0" t="str">
        <f aca="false">IF(INDEX(campaigns!$A$2:$A$51,11)="","",INDEX(campaigns!$CX$2:$CX$51,11))</f>
        <v/>
      </c>
      <c r="S60" s="0" t="str">
        <f aca="false">IF(INDEX(campaigns!$A$2:$A$51,11)="","",INDEX(campaigns!$CZ$2:$CZ$51,11))</f>
        <v/>
      </c>
      <c r="T60" s="12" t="str">
        <f aca="false">IF(INDEX(campaigns!$A$2:$A$51,11)="","",INDEX(campaigns!$DC$2:$DC$51,11))</f>
        <v/>
      </c>
      <c r="U60" s="12" t="str">
        <f aca="false">IF(INDEX(campaigns!$A$2:$A$51,11)="","",INDEX(campaigns!$DM$2:$DM$51,11))</f>
        <v/>
      </c>
      <c r="V60" s="0" t="str">
        <f aca="false">IF(INDEX(campaigns!$A$2:$A$51,11)="","",INDEX(campaigns!$DS$2:$DS$51,11))</f>
        <v/>
      </c>
      <c r="W60" s="0" t="str">
        <f aca="false">IF(INDEX(campaigns!$A$2:$A$51,11)="","",INDEX(campaigns!$DT$2:$DT$51,11))</f>
        <v/>
      </c>
      <c r="X60" s="0" t="str">
        <f aca="false">IF(INDEX(campaigns!$A$2:$A$51,11)="","",INDEX(campaigns!$DU$2:$DU$51,11))</f>
        <v/>
      </c>
      <c r="Y60" s="0" t="str">
        <f aca="false">IF(INDEX(campaigns!$A$2:$A$51,11)="","",INDEX(campaigns!$AV$2:$AV$51,11))</f>
        <v/>
      </c>
      <c r="Z60" s="0" t="str">
        <f aca="false">IF(INDEX(campaigns!$A$2:$A$51,11)="","",INDEX(campaigns!$DV$2:$DV$51,11))</f>
        <v/>
      </c>
    </row>
    <row r="61" customFormat="false" ht="15" hidden="false" customHeight="false" outlineLevel="0" collapsed="false">
      <c r="A61" s="0" t="str">
        <f aca="false">IF(INDEX(campaigns!$A$2:$A$51,12)="","",INDEX(campaigns!$A$2:$A$51,12))</f>
        <v/>
      </c>
      <c r="B61" s="0" t="str">
        <f aca="false">IF(INDEX(campaigns!$A$2:$A$51,12)="","",INDEX(campaigns!$BE$2:$BE$51,12))</f>
        <v/>
      </c>
      <c r="C61" s="11" t="str">
        <f aca="false">IF(INDEX(campaigns!$A$2:$A$51,12)="","",INDEX(campaigns!$BG$2:$BG$51,12))</f>
        <v/>
      </c>
      <c r="D61" s="0" t="str">
        <f aca="false">IF(INDEX(campaigns!$A$2:$A$51,12)="","",INDEX(campaigns!$D$2:$D$51,12))</f>
        <v/>
      </c>
      <c r="E61" s="0" t="str">
        <f aca="false">IF(INDEX(campaigns!$A$2:$A$51,12)="","",INDEX(campaigns!$BW$2:$BW$51,12))</f>
        <v/>
      </c>
      <c r="F61" s="0" t="str">
        <f aca="false">IF(INDEX(campaigns!$A$2:$A$51,12)="","",INDEX(campaigns!$BO$2:$BO$51,12))</f>
        <v/>
      </c>
      <c r="G61" s="0" t="str">
        <f aca="false">IF(INDEX(campaigns!$A$2:$A$51,12)="","",INDEX(campaigns!$BP$2:$BP$51,12))</f>
        <v/>
      </c>
      <c r="H61" s="0" t="str">
        <f aca="false">IF(INDEX(campaigns!$A$2:$A$51,12)="","",INDEX(campaigns!$F$2:$F$51,12))</f>
        <v/>
      </c>
      <c r="I61" s="0" t="str">
        <f aca="false">IF(INDEX(campaigns!$A$2:$A$51,12)="","",INDEX(campaigns!$CB$2:$CB$51,12))</f>
        <v/>
      </c>
      <c r="J61" s="0" t="str">
        <f aca="false">IF(INDEX(campaigns!$A$2:$A$51,12)="","",INDEX(campaigns!$CD$2:$CD$51,12))</f>
        <v/>
      </c>
      <c r="K61" s="14" t="str">
        <f aca="false">IF(INDEX(campaigns!$A$2:$A$51,12)="","",INDEX(campaigns!$CE$2:$CE$51,12))</f>
        <v/>
      </c>
      <c r="L61" s="0" t="str">
        <f aca="false">IF(INDEX(campaigns!$A$2:$A$51,12)="","",INDEX(campaigns!$CF$2:$CF$51,12))</f>
        <v/>
      </c>
      <c r="M61" s="0" t="str">
        <f aca="false">IF(INDEX(campaigns!$A$2:$A$51,12)="","",INDEX(campaigns!$CG$2:$CG$51,12))</f>
        <v/>
      </c>
      <c r="N61" s="0" t="str">
        <f aca="false">IF(INDEX(campaigns!$A$2:$A$51,12)="","",INDEX(campaigns!$CH$2:$CH$51,12))</f>
        <v/>
      </c>
      <c r="O61" s="0" t="str">
        <f aca="false">IF(INDEX(campaigns!$A$2:$A$51,12)="","",INDEX(campaigns!$CI$2:$CI$51,12))</f>
        <v/>
      </c>
      <c r="P61" s="0" t="str">
        <f aca="false">IF(INDEX(campaigns!$A$2:$A$51,12)="","",INDEX(campaigns!$CK$2:$CK$51,12))</f>
        <v/>
      </c>
      <c r="Q61" s="13" t="str">
        <f aca="false">IF(INDEX(campaigns!$A$2:$A$51,12)="","",INDEX(campaigns!$CP$2:$CP$51,12))</f>
        <v/>
      </c>
      <c r="R61" s="0" t="str">
        <f aca="false">IF(INDEX(campaigns!$A$2:$A$51,12)="","",INDEX(campaigns!$CX$2:$CX$51,12))</f>
        <v/>
      </c>
      <c r="S61" s="0" t="str">
        <f aca="false">IF(INDEX(campaigns!$A$2:$A$51,12)="","",INDEX(campaigns!$CZ$2:$CZ$51,12))</f>
        <v/>
      </c>
      <c r="T61" s="12" t="str">
        <f aca="false">IF(INDEX(campaigns!$A$2:$A$51,12)="","",INDEX(campaigns!$DC$2:$DC$51,12))</f>
        <v/>
      </c>
      <c r="U61" s="12" t="str">
        <f aca="false">IF(INDEX(campaigns!$A$2:$A$51,12)="","",INDEX(campaigns!$DM$2:$DM$51,12))</f>
        <v/>
      </c>
      <c r="V61" s="0" t="str">
        <f aca="false">IF(INDEX(campaigns!$A$2:$A$51,12)="","",INDEX(campaigns!$DS$2:$DS$51,12))</f>
        <v/>
      </c>
      <c r="W61" s="0" t="str">
        <f aca="false">IF(INDEX(campaigns!$A$2:$A$51,12)="","",INDEX(campaigns!$DT$2:$DT$51,12))</f>
        <v/>
      </c>
      <c r="X61" s="0" t="str">
        <f aca="false">IF(INDEX(campaigns!$A$2:$A$51,12)="","",INDEX(campaigns!$DU$2:$DU$51,12))</f>
        <v/>
      </c>
      <c r="Y61" s="0" t="str">
        <f aca="false">IF(INDEX(campaigns!$A$2:$A$51,12)="","",INDEX(campaigns!$AV$2:$AV$51,12))</f>
        <v/>
      </c>
      <c r="Z61" s="0" t="str">
        <f aca="false">IF(INDEX(campaigns!$A$2:$A$51,12)="","",INDEX(campaigns!$DV$2:$DV$51,12))</f>
        <v/>
      </c>
    </row>
    <row r="62" customFormat="false" ht="15" hidden="false" customHeight="false" outlineLevel="0" collapsed="false">
      <c r="A62" s="0" t="str">
        <f aca="false">IF(INDEX(campaigns!$A$2:$A$51,13)="","",INDEX(campaigns!$A$2:$A$51,13))</f>
        <v/>
      </c>
      <c r="B62" s="0" t="str">
        <f aca="false">IF(INDEX(campaigns!$A$2:$A$51,13)="","",INDEX(campaigns!$BE$2:$BE$51,13))</f>
        <v/>
      </c>
      <c r="C62" s="11" t="str">
        <f aca="false">IF(INDEX(campaigns!$A$2:$A$51,13)="","",INDEX(campaigns!$BG$2:$BG$51,13))</f>
        <v/>
      </c>
      <c r="D62" s="0" t="str">
        <f aca="false">IF(INDEX(campaigns!$A$2:$A$51,13)="","",INDEX(campaigns!$D$2:$D$51,13))</f>
        <v/>
      </c>
      <c r="E62" s="0" t="str">
        <f aca="false">IF(INDEX(campaigns!$A$2:$A$51,13)="","",INDEX(campaigns!$BW$2:$BW$51,13))</f>
        <v/>
      </c>
      <c r="F62" s="0" t="str">
        <f aca="false">IF(INDEX(campaigns!$A$2:$A$51,13)="","",INDEX(campaigns!$BO$2:$BO$51,13))</f>
        <v/>
      </c>
      <c r="G62" s="0" t="str">
        <f aca="false">IF(INDEX(campaigns!$A$2:$A$51,13)="","",INDEX(campaigns!$BP$2:$BP$51,13))</f>
        <v/>
      </c>
      <c r="H62" s="0" t="str">
        <f aca="false">IF(INDEX(campaigns!$A$2:$A$51,13)="","",INDEX(campaigns!$F$2:$F$51,13))</f>
        <v/>
      </c>
      <c r="I62" s="0" t="str">
        <f aca="false">IF(INDEX(campaigns!$A$2:$A$51,13)="","",INDEX(campaigns!$CB$2:$CB$51,13))</f>
        <v/>
      </c>
      <c r="J62" s="0" t="str">
        <f aca="false">IF(INDEX(campaigns!$A$2:$A$51,13)="","",INDEX(campaigns!$CD$2:$CD$51,13))</f>
        <v/>
      </c>
      <c r="K62" s="14" t="str">
        <f aca="false">IF(INDEX(campaigns!$A$2:$A$51,13)="","",INDEX(campaigns!$CE$2:$CE$51,13))</f>
        <v/>
      </c>
      <c r="L62" s="0" t="str">
        <f aca="false">IF(INDEX(campaigns!$A$2:$A$51,13)="","",INDEX(campaigns!$CF$2:$CF$51,13))</f>
        <v/>
      </c>
      <c r="M62" s="0" t="str">
        <f aca="false">IF(INDEX(campaigns!$A$2:$A$51,13)="","",INDEX(campaigns!$CG$2:$CG$51,13))</f>
        <v/>
      </c>
      <c r="N62" s="0" t="str">
        <f aca="false">IF(INDEX(campaigns!$A$2:$A$51,13)="","",INDEX(campaigns!$CH$2:$CH$51,13))</f>
        <v/>
      </c>
      <c r="O62" s="0" t="str">
        <f aca="false">IF(INDEX(campaigns!$A$2:$A$51,13)="","",INDEX(campaigns!$CI$2:$CI$51,13))</f>
        <v/>
      </c>
      <c r="P62" s="0" t="str">
        <f aca="false">IF(INDEX(campaigns!$A$2:$A$51,13)="","",INDEX(campaigns!$CK$2:$CK$51,13))</f>
        <v/>
      </c>
      <c r="Q62" s="13" t="str">
        <f aca="false">IF(INDEX(campaigns!$A$2:$A$51,13)="","",INDEX(campaigns!$CP$2:$CP$51,13))</f>
        <v/>
      </c>
      <c r="R62" s="0" t="str">
        <f aca="false">IF(INDEX(campaigns!$A$2:$A$51,13)="","",INDEX(campaigns!$CX$2:$CX$51,13))</f>
        <v/>
      </c>
      <c r="S62" s="0" t="str">
        <f aca="false">IF(INDEX(campaigns!$A$2:$A$51,13)="","",INDEX(campaigns!$CZ$2:$CZ$51,13))</f>
        <v/>
      </c>
      <c r="T62" s="12" t="str">
        <f aca="false">IF(INDEX(campaigns!$A$2:$A$51,13)="","",INDEX(campaigns!$DC$2:$DC$51,13))</f>
        <v/>
      </c>
      <c r="U62" s="12" t="str">
        <f aca="false">IF(INDEX(campaigns!$A$2:$A$51,13)="","",INDEX(campaigns!$DM$2:$DM$51,13))</f>
        <v/>
      </c>
      <c r="V62" s="0" t="str">
        <f aca="false">IF(INDEX(campaigns!$A$2:$A$51,13)="","",INDEX(campaigns!$DS$2:$DS$51,13))</f>
        <v/>
      </c>
      <c r="W62" s="0" t="str">
        <f aca="false">IF(INDEX(campaigns!$A$2:$A$51,13)="","",INDEX(campaigns!$DT$2:$DT$51,13))</f>
        <v/>
      </c>
      <c r="X62" s="0" t="str">
        <f aca="false">IF(INDEX(campaigns!$A$2:$A$51,13)="","",INDEX(campaigns!$DU$2:$DU$51,13))</f>
        <v/>
      </c>
      <c r="Y62" s="0" t="str">
        <f aca="false">IF(INDEX(campaigns!$A$2:$A$51,13)="","",INDEX(campaigns!$AV$2:$AV$51,13))</f>
        <v/>
      </c>
      <c r="Z62" s="0" t="str">
        <f aca="false">IF(INDEX(campaigns!$A$2:$A$51,13)="","",INDEX(campaigns!$DV$2:$DV$51,13))</f>
        <v/>
      </c>
    </row>
    <row r="63" customFormat="false" ht="15" hidden="false" customHeight="false" outlineLevel="0" collapsed="false">
      <c r="A63" s="0" t="str">
        <f aca="false">IF(INDEX(campaigns!$A$2:$A$51,14)="","",INDEX(campaigns!$A$2:$A$51,14))</f>
        <v/>
      </c>
      <c r="B63" s="0" t="str">
        <f aca="false">IF(INDEX(campaigns!$A$2:$A$51,14)="","",INDEX(campaigns!$BE$2:$BE$51,14))</f>
        <v/>
      </c>
      <c r="C63" s="11" t="str">
        <f aca="false">IF(INDEX(campaigns!$A$2:$A$51,14)="","",INDEX(campaigns!$BG$2:$BG$51,14))</f>
        <v/>
      </c>
      <c r="D63" s="0" t="str">
        <f aca="false">IF(INDEX(campaigns!$A$2:$A$51,14)="","",INDEX(campaigns!$D$2:$D$51,14))</f>
        <v/>
      </c>
      <c r="E63" s="0" t="str">
        <f aca="false">IF(INDEX(campaigns!$A$2:$A$51,14)="","",INDEX(campaigns!$BW$2:$BW$51,14))</f>
        <v/>
      </c>
      <c r="F63" s="0" t="str">
        <f aca="false">IF(INDEX(campaigns!$A$2:$A$51,14)="","",INDEX(campaigns!$BO$2:$BO$51,14))</f>
        <v/>
      </c>
      <c r="G63" s="0" t="str">
        <f aca="false">IF(INDEX(campaigns!$A$2:$A$51,14)="","",INDEX(campaigns!$BP$2:$BP$51,14))</f>
        <v/>
      </c>
      <c r="H63" s="0" t="str">
        <f aca="false">IF(INDEX(campaigns!$A$2:$A$51,14)="","",INDEX(campaigns!$F$2:$F$51,14))</f>
        <v/>
      </c>
      <c r="I63" s="0" t="str">
        <f aca="false">IF(INDEX(campaigns!$A$2:$A$51,14)="","",INDEX(campaigns!$CB$2:$CB$51,14))</f>
        <v/>
      </c>
      <c r="J63" s="0" t="str">
        <f aca="false">IF(INDEX(campaigns!$A$2:$A$51,14)="","",INDEX(campaigns!$CD$2:$CD$51,14))</f>
        <v/>
      </c>
      <c r="K63" s="14" t="str">
        <f aca="false">IF(INDEX(campaigns!$A$2:$A$51,14)="","",INDEX(campaigns!$CE$2:$CE$51,14))</f>
        <v/>
      </c>
      <c r="L63" s="0" t="str">
        <f aca="false">IF(INDEX(campaigns!$A$2:$A$51,14)="","",INDEX(campaigns!$CF$2:$CF$51,14))</f>
        <v/>
      </c>
      <c r="M63" s="0" t="str">
        <f aca="false">IF(INDEX(campaigns!$A$2:$A$51,14)="","",INDEX(campaigns!$CG$2:$CG$51,14))</f>
        <v/>
      </c>
      <c r="N63" s="0" t="str">
        <f aca="false">IF(INDEX(campaigns!$A$2:$A$51,14)="","",INDEX(campaigns!$CH$2:$CH$51,14))</f>
        <v/>
      </c>
      <c r="O63" s="0" t="str">
        <f aca="false">IF(INDEX(campaigns!$A$2:$A$51,14)="","",INDEX(campaigns!$CI$2:$CI$51,14))</f>
        <v/>
      </c>
      <c r="P63" s="0" t="str">
        <f aca="false">IF(INDEX(campaigns!$A$2:$A$51,14)="","",INDEX(campaigns!$CK$2:$CK$51,14))</f>
        <v/>
      </c>
      <c r="Q63" s="13" t="str">
        <f aca="false">IF(INDEX(campaigns!$A$2:$A$51,14)="","",INDEX(campaigns!$CP$2:$CP$51,14))</f>
        <v/>
      </c>
      <c r="R63" s="0" t="str">
        <f aca="false">IF(INDEX(campaigns!$A$2:$A$51,14)="","",INDEX(campaigns!$CX$2:$CX$51,14))</f>
        <v/>
      </c>
      <c r="S63" s="0" t="str">
        <f aca="false">IF(INDEX(campaigns!$A$2:$A$51,14)="","",INDEX(campaigns!$CZ$2:$CZ$51,14))</f>
        <v/>
      </c>
      <c r="T63" s="12" t="str">
        <f aca="false">IF(INDEX(campaigns!$A$2:$A$51,14)="","",INDEX(campaigns!$DC$2:$DC$51,14))</f>
        <v/>
      </c>
      <c r="U63" s="12" t="str">
        <f aca="false">IF(INDEX(campaigns!$A$2:$A$51,14)="","",INDEX(campaigns!$DM$2:$DM$51,14))</f>
        <v/>
      </c>
      <c r="V63" s="0" t="str">
        <f aca="false">IF(INDEX(campaigns!$A$2:$A$51,14)="","",INDEX(campaigns!$DS$2:$DS$51,14))</f>
        <v/>
      </c>
      <c r="W63" s="0" t="str">
        <f aca="false">IF(INDEX(campaigns!$A$2:$A$51,14)="","",INDEX(campaigns!$DT$2:$DT$51,14))</f>
        <v/>
      </c>
      <c r="X63" s="0" t="str">
        <f aca="false">IF(INDEX(campaigns!$A$2:$A$51,14)="","",INDEX(campaigns!$DU$2:$DU$51,14))</f>
        <v/>
      </c>
      <c r="Y63" s="0" t="str">
        <f aca="false">IF(INDEX(campaigns!$A$2:$A$51,14)="","",INDEX(campaigns!$AV$2:$AV$51,14))</f>
        <v/>
      </c>
      <c r="Z63" s="0" t="str">
        <f aca="false">IF(INDEX(campaigns!$A$2:$A$51,14)="","",INDEX(campaigns!$DV$2:$DV$51,14))</f>
        <v/>
      </c>
    </row>
    <row r="64" customFormat="false" ht="15" hidden="false" customHeight="false" outlineLevel="0" collapsed="false">
      <c r="A64" s="0" t="str">
        <f aca="false">IF(INDEX(campaigns!$A$2:$A$51,15)="","",INDEX(campaigns!$A$2:$A$51,15))</f>
        <v/>
      </c>
      <c r="B64" s="0" t="str">
        <f aca="false">IF(INDEX(campaigns!$A$2:$A$51,15)="","",INDEX(campaigns!$BE$2:$BE$51,15))</f>
        <v/>
      </c>
      <c r="C64" s="11" t="str">
        <f aca="false">IF(INDEX(campaigns!$A$2:$A$51,15)="","",INDEX(campaigns!$BG$2:$BG$51,15))</f>
        <v/>
      </c>
      <c r="D64" s="0" t="str">
        <f aca="false">IF(INDEX(campaigns!$A$2:$A$51,15)="","",INDEX(campaigns!$D$2:$D$51,15))</f>
        <v/>
      </c>
      <c r="E64" s="0" t="str">
        <f aca="false">IF(INDEX(campaigns!$A$2:$A$51,15)="","",INDEX(campaigns!$BW$2:$BW$51,15))</f>
        <v/>
      </c>
      <c r="F64" s="0" t="str">
        <f aca="false">IF(INDEX(campaigns!$A$2:$A$51,15)="","",INDEX(campaigns!$BO$2:$BO$51,15))</f>
        <v/>
      </c>
      <c r="G64" s="0" t="str">
        <f aca="false">IF(INDEX(campaigns!$A$2:$A$51,15)="","",INDEX(campaigns!$BP$2:$BP$51,15))</f>
        <v/>
      </c>
      <c r="H64" s="0" t="str">
        <f aca="false">IF(INDEX(campaigns!$A$2:$A$51,15)="","",INDEX(campaigns!$F$2:$F$51,15))</f>
        <v/>
      </c>
      <c r="I64" s="0" t="str">
        <f aca="false">IF(INDEX(campaigns!$A$2:$A$51,15)="","",INDEX(campaigns!$CB$2:$CB$51,15))</f>
        <v/>
      </c>
      <c r="J64" s="0" t="str">
        <f aca="false">IF(INDEX(campaigns!$A$2:$A$51,15)="","",INDEX(campaigns!$CD$2:$CD$51,15))</f>
        <v/>
      </c>
      <c r="K64" s="14" t="str">
        <f aca="false">IF(INDEX(campaigns!$A$2:$A$51,15)="","",INDEX(campaigns!$CE$2:$CE$51,15))</f>
        <v/>
      </c>
      <c r="L64" s="0" t="str">
        <f aca="false">IF(INDEX(campaigns!$A$2:$A$51,15)="","",INDEX(campaigns!$CF$2:$CF$51,15))</f>
        <v/>
      </c>
      <c r="M64" s="0" t="str">
        <f aca="false">IF(INDEX(campaigns!$A$2:$A$51,15)="","",INDEX(campaigns!$CG$2:$CG$51,15))</f>
        <v/>
      </c>
      <c r="N64" s="0" t="str">
        <f aca="false">IF(INDEX(campaigns!$A$2:$A$51,15)="","",INDEX(campaigns!$CH$2:$CH$51,15))</f>
        <v/>
      </c>
      <c r="O64" s="0" t="str">
        <f aca="false">IF(INDEX(campaigns!$A$2:$A$51,15)="","",INDEX(campaigns!$CI$2:$CI$51,15))</f>
        <v/>
      </c>
      <c r="P64" s="0" t="str">
        <f aca="false">IF(INDEX(campaigns!$A$2:$A$51,15)="","",INDEX(campaigns!$CK$2:$CK$51,15))</f>
        <v/>
      </c>
      <c r="Q64" s="13" t="str">
        <f aca="false">IF(INDEX(campaigns!$A$2:$A$51,15)="","",INDEX(campaigns!$CP$2:$CP$51,15))</f>
        <v/>
      </c>
      <c r="R64" s="0" t="str">
        <f aca="false">IF(INDEX(campaigns!$A$2:$A$51,15)="","",INDEX(campaigns!$CX$2:$CX$51,15))</f>
        <v/>
      </c>
      <c r="S64" s="0" t="str">
        <f aca="false">IF(INDEX(campaigns!$A$2:$A$51,15)="","",INDEX(campaigns!$CZ$2:$CZ$51,15))</f>
        <v/>
      </c>
      <c r="T64" s="12" t="str">
        <f aca="false">IF(INDEX(campaigns!$A$2:$A$51,15)="","",INDEX(campaigns!$DC$2:$DC$51,15))</f>
        <v/>
      </c>
      <c r="U64" s="12" t="str">
        <f aca="false">IF(INDEX(campaigns!$A$2:$A$51,15)="","",INDEX(campaigns!$DM$2:$DM$51,15))</f>
        <v/>
      </c>
      <c r="V64" s="0" t="str">
        <f aca="false">IF(INDEX(campaigns!$A$2:$A$51,15)="","",INDEX(campaigns!$DS$2:$DS$51,15))</f>
        <v/>
      </c>
      <c r="W64" s="0" t="str">
        <f aca="false">IF(INDEX(campaigns!$A$2:$A$51,15)="","",INDEX(campaigns!$DT$2:$DT$51,15))</f>
        <v/>
      </c>
      <c r="X64" s="0" t="str">
        <f aca="false">IF(INDEX(campaigns!$A$2:$A$51,15)="","",INDEX(campaigns!$DU$2:$DU$51,15))</f>
        <v/>
      </c>
      <c r="Y64" s="0" t="str">
        <f aca="false">IF(INDEX(campaigns!$A$2:$A$51,15)="","",INDEX(campaigns!$AV$2:$AV$51,15))</f>
        <v/>
      </c>
      <c r="Z64" s="0" t="str">
        <f aca="false">IF(INDEX(campaigns!$A$2:$A$51,15)="","",INDEX(campaigns!$DV$2:$DV$51,15))</f>
        <v/>
      </c>
    </row>
    <row r="65" customFormat="false" ht="15" hidden="false" customHeight="false" outlineLevel="0" collapsed="false">
      <c r="A65" s="0" t="str">
        <f aca="false">IF(INDEX(campaigns!$A$2:$A$51,16)="","",INDEX(campaigns!$A$2:$A$51,16))</f>
        <v/>
      </c>
      <c r="B65" s="0" t="str">
        <f aca="false">IF(INDEX(campaigns!$A$2:$A$51,16)="","",INDEX(campaigns!$BE$2:$BE$51,16))</f>
        <v/>
      </c>
      <c r="C65" s="11" t="str">
        <f aca="false">IF(INDEX(campaigns!$A$2:$A$51,16)="","",INDEX(campaigns!$BG$2:$BG$51,16))</f>
        <v/>
      </c>
      <c r="D65" s="0" t="str">
        <f aca="false">IF(INDEX(campaigns!$A$2:$A$51,16)="","",INDEX(campaigns!$D$2:$D$51,16))</f>
        <v/>
      </c>
      <c r="E65" s="0" t="str">
        <f aca="false">IF(INDEX(campaigns!$A$2:$A$51,16)="","",INDEX(campaigns!$BW$2:$BW$51,16))</f>
        <v/>
      </c>
      <c r="F65" s="0" t="str">
        <f aca="false">IF(INDEX(campaigns!$A$2:$A$51,16)="","",INDEX(campaigns!$BO$2:$BO$51,16))</f>
        <v/>
      </c>
      <c r="G65" s="0" t="str">
        <f aca="false">IF(INDEX(campaigns!$A$2:$A$51,16)="","",INDEX(campaigns!$BP$2:$BP$51,16))</f>
        <v/>
      </c>
      <c r="H65" s="0" t="str">
        <f aca="false">IF(INDEX(campaigns!$A$2:$A$51,16)="","",INDEX(campaigns!$F$2:$F$51,16))</f>
        <v/>
      </c>
      <c r="I65" s="0" t="str">
        <f aca="false">IF(INDEX(campaigns!$A$2:$A$51,16)="","",INDEX(campaigns!$CB$2:$CB$51,16))</f>
        <v/>
      </c>
      <c r="J65" s="0" t="str">
        <f aca="false">IF(INDEX(campaigns!$A$2:$A$51,16)="","",INDEX(campaigns!$CD$2:$CD$51,16))</f>
        <v/>
      </c>
      <c r="K65" s="14" t="str">
        <f aca="false">IF(INDEX(campaigns!$A$2:$A$51,16)="","",INDEX(campaigns!$CE$2:$CE$51,16))</f>
        <v/>
      </c>
      <c r="L65" s="0" t="str">
        <f aca="false">IF(INDEX(campaigns!$A$2:$A$51,16)="","",INDEX(campaigns!$CF$2:$CF$51,16))</f>
        <v/>
      </c>
      <c r="M65" s="0" t="str">
        <f aca="false">IF(INDEX(campaigns!$A$2:$A$51,16)="","",INDEX(campaigns!$CG$2:$CG$51,16))</f>
        <v/>
      </c>
      <c r="N65" s="0" t="str">
        <f aca="false">IF(INDEX(campaigns!$A$2:$A$51,16)="","",INDEX(campaigns!$CH$2:$CH$51,16))</f>
        <v/>
      </c>
      <c r="O65" s="0" t="str">
        <f aca="false">IF(INDEX(campaigns!$A$2:$A$51,16)="","",INDEX(campaigns!$CI$2:$CI$51,16))</f>
        <v/>
      </c>
      <c r="P65" s="0" t="str">
        <f aca="false">IF(INDEX(campaigns!$A$2:$A$51,16)="","",INDEX(campaigns!$CK$2:$CK$51,16))</f>
        <v/>
      </c>
      <c r="Q65" s="13" t="str">
        <f aca="false">IF(INDEX(campaigns!$A$2:$A$51,16)="","",INDEX(campaigns!$CP$2:$CP$51,16))</f>
        <v/>
      </c>
      <c r="R65" s="0" t="str">
        <f aca="false">IF(INDEX(campaigns!$A$2:$A$51,16)="","",INDEX(campaigns!$CX$2:$CX$51,16))</f>
        <v/>
      </c>
      <c r="S65" s="0" t="str">
        <f aca="false">IF(INDEX(campaigns!$A$2:$A$51,16)="","",INDEX(campaigns!$CZ$2:$CZ$51,16))</f>
        <v/>
      </c>
      <c r="T65" s="12" t="str">
        <f aca="false">IF(INDEX(campaigns!$A$2:$A$51,16)="","",INDEX(campaigns!$DC$2:$DC$51,16))</f>
        <v/>
      </c>
      <c r="U65" s="12" t="str">
        <f aca="false">IF(INDEX(campaigns!$A$2:$A$51,16)="","",INDEX(campaigns!$DM$2:$DM$51,16))</f>
        <v/>
      </c>
      <c r="V65" s="0" t="str">
        <f aca="false">IF(INDEX(campaigns!$A$2:$A$51,16)="","",INDEX(campaigns!$DS$2:$DS$51,16))</f>
        <v/>
      </c>
      <c r="W65" s="0" t="str">
        <f aca="false">IF(INDEX(campaigns!$A$2:$A$51,16)="","",INDEX(campaigns!$DT$2:$DT$51,16))</f>
        <v/>
      </c>
      <c r="X65" s="0" t="str">
        <f aca="false">IF(INDEX(campaigns!$A$2:$A$51,16)="","",INDEX(campaigns!$DU$2:$DU$51,16))</f>
        <v/>
      </c>
      <c r="Y65" s="0" t="str">
        <f aca="false">IF(INDEX(campaigns!$A$2:$A$51,16)="","",INDEX(campaigns!$AV$2:$AV$51,16))</f>
        <v/>
      </c>
      <c r="Z65" s="0" t="str">
        <f aca="false">IF(INDEX(campaigns!$A$2:$A$51,16)="","",INDEX(campaigns!$DV$2:$DV$51,16))</f>
        <v/>
      </c>
    </row>
    <row r="66" customFormat="false" ht="15" hidden="false" customHeight="false" outlineLevel="0" collapsed="false">
      <c r="A66" s="0" t="str">
        <f aca="false">IF(INDEX(campaigns!$A$2:$A$51,17)="","",INDEX(campaigns!$A$2:$A$51,17))</f>
        <v/>
      </c>
      <c r="B66" s="0" t="str">
        <f aca="false">IF(INDEX(campaigns!$A$2:$A$51,17)="","",INDEX(campaigns!$BE$2:$BE$51,17))</f>
        <v/>
      </c>
      <c r="C66" s="11" t="str">
        <f aca="false">IF(INDEX(campaigns!$A$2:$A$51,17)="","",INDEX(campaigns!$BG$2:$BG$51,17))</f>
        <v/>
      </c>
      <c r="D66" s="0" t="str">
        <f aca="false">IF(INDEX(campaigns!$A$2:$A$51,17)="","",INDEX(campaigns!$D$2:$D$51,17))</f>
        <v/>
      </c>
      <c r="E66" s="0" t="str">
        <f aca="false">IF(INDEX(campaigns!$A$2:$A$51,17)="","",INDEX(campaigns!$BW$2:$BW$51,17))</f>
        <v/>
      </c>
      <c r="F66" s="0" t="str">
        <f aca="false">IF(INDEX(campaigns!$A$2:$A$51,17)="","",INDEX(campaigns!$BO$2:$BO$51,17))</f>
        <v/>
      </c>
      <c r="G66" s="0" t="str">
        <f aca="false">IF(INDEX(campaigns!$A$2:$A$51,17)="","",INDEX(campaigns!$BP$2:$BP$51,17))</f>
        <v/>
      </c>
      <c r="H66" s="0" t="str">
        <f aca="false">IF(INDEX(campaigns!$A$2:$A$51,17)="","",INDEX(campaigns!$F$2:$F$51,17))</f>
        <v/>
      </c>
      <c r="I66" s="0" t="str">
        <f aca="false">IF(INDEX(campaigns!$A$2:$A$51,17)="","",INDEX(campaigns!$CB$2:$CB$51,17))</f>
        <v/>
      </c>
      <c r="J66" s="0" t="str">
        <f aca="false">IF(INDEX(campaigns!$A$2:$A$51,17)="","",INDEX(campaigns!$CD$2:$CD$51,17))</f>
        <v/>
      </c>
      <c r="K66" s="14" t="str">
        <f aca="false">IF(INDEX(campaigns!$A$2:$A$51,17)="","",INDEX(campaigns!$CE$2:$CE$51,17))</f>
        <v/>
      </c>
      <c r="L66" s="0" t="str">
        <f aca="false">IF(INDEX(campaigns!$A$2:$A$51,17)="","",INDEX(campaigns!$CF$2:$CF$51,17))</f>
        <v/>
      </c>
      <c r="M66" s="0" t="str">
        <f aca="false">IF(INDEX(campaigns!$A$2:$A$51,17)="","",INDEX(campaigns!$CG$2:$CG$51,17))</f>
        <v/>
      </c>
      <c r="N66" s="0" t="str">
        <f aca="false">IF(INDEX(campaigns!$A$2:$A$51,17)="","",INDEX(campaigns!$CH$2:$CH$51,17))</f>
        <v/>
      </c>
      <c r="O66" s="0" t="str">
        <f aca="false">IF(INDEX(campaigns!$A$2:$A$51,17)="","",INDEX(campaigns!$CI$2:$CI$51,17))</f>
        <v/>
      </c>
      <c r="P66" s="0" t="str">
        <f aca="false">IF(INDEX(campaigns!$A$2:$A$51,17)="","",INDEX(campaigns!$CK$2:$CK$51,17))</f>
        <v/>
      </c>
      <c r="Q66" s="13" t="str">
        <f aca="false">IF(INDEX(campaigns!$A$2:$A$51,17)="","",INDEX(campaigns!$CP$2:$CP$51,17))</f>
        <v/>
      </c>
      <c r="R66" s="0" t="str">
        <f aca="false">IF(INDEX(campaigns!$A$2:$A$51,17)="","",INDEX(campaigns!$CX$2:$CX$51,17))</f>
        <v/>
      </c>
      <c r="S66" s="0" t="str">
        <f aca="false">IF(INDEX(campaigns!$A$2:$A$51,17)="","",INDEX(campaigns!$CZ$2:$CZ$51,17))</f>
        <v/>
      </c>
      <c r="T66" s="12" t="str">
        <f aca="false">IF(INDEX(campaigns!$A$2:$A$51,17)="","",INDEX(campaigns!$DC$2:$DC$51,17))</f>
        <v/>
      </c>
      <c r="U66" s="12" t="str">
        <f aca="false">IF(INDEX(campaigns!$A$2:$A$51,17)="","",INDEX(campaigns!$DM$2:$DM$51,17))</f>
        <v/>
      </c>
      <c r="V66" s="0" t="str">
        <f aca="false">IF(INDEX(campaigns!$A$2:$A$51,17)="","",INDEX(campaigns!$DS$2:$DS$51,17))</f>
        <v/>
      </c>
      <c r="W66" s="0" t="str">
        <f aca="false">IF(INDEX(campaigns!$A$2:$A$51,17)="","",INDEX(campaigns!$DT$2:$DT$51,17))</f>
        <v/>
      </c>
      <c r="X66" s="0" t="str">
        <f aca="false">IF(INDEX(campaigns!$A$2:$A$51,17)="","",INDEX(campaigns!$DU$2:$DU$51,17))</f>
        <v/>
      </c>
      <c r="Y66" s="0" t="str">
        <f aca="false">IF(INDEX(campaigns!$A$2:$A$51,17)="","",INDEX(campaigns!$AV$2:$AV$51,17))</f>
        <v/>
      </c>
      <c r="Z66" s="0" t="str">
        <f aca="false">IF(INDEX(campaigns!$A$2:$A$51,17)="","",INDEX(campaigns!$DV$2:$DV$51,17))</f>
        <v/>
      </c>
    </row>
    <row r="67" customFormat="false" ht="15" hidden="false" customHeight="false" outlineLevel="0" collapsed="false">
      <c r="A67" s="0" t="str">
        <f aca="false">IF(INDEX(campaigns!$A$2:$A$51,18)="","",INDEX(campaigns!$A$2:$A$51,18))</f>
        <v/>
      </c>
      <c r="B67" s="0" t="str">
        <f aca="false">IF(INDEX(campaigns!$A$2:$A$51,18)="","",INDEX(campaigns!$BE$2:$BE$51,18))</f>
        <v/>
      </c>
      <c r="C67" s="11" t="str">
        <f aca="false">IF(INDEX(campaigns!$A$2:$A$51,18)="","",INDEX(campaigns!$BG$2:$BG$51,18))</f>
        <v/>
      </c>
      <c r="D67" s="0" t="str">
        <f aca="false">IF(INDEX(campaigns!$A$2:$A$51,18)="","",INDEX(campaigns!$D$2:$D$51,18))</f>
        <v/>
      </c>
      <c r="E67" s="0" t="str">
        <f aca="false">IF(INDEX(campaigns!$A$2:$A$51,18)="","",INDEX(campaigns!$BW$2:$BW$51,18))</f>
        <v/>
      </c>
      <c r="F67" s="0" t="str">
        <f aca="false">IF(INDEX(campaigns!$A$2:$A$51,18)="","",INDEX(campaigns!$BO$2:$BO$51,18))</f>
        <v/>
      </c>
      <c r="G67" s="0" t="str">
        <f aca="false">IF(INDEX(campaigns!$A$2:$A$51,18)="","",INDEX(campaigns!$BP$2:$BP$51,18))</f>
        <v/>
      </c>
      <c r="H67" s="0" t="str">
        <f aca="false">IF(INDEX(campaigns!$A$2:$A$51,18)="","",INDEX(campaigns!$F$2:$F$51,18))</f>
        <v/>
      </c>
      <c r="I67" s="0" t="str">
        <f aca="false">IF(INDEX(campaigns!$A$2:$A$51,18)="","",INDEX(campaigns!$CB$2:$CB$51,18))</f>
        <v/>
      </c>
      <c r="J67" s="0" t="str">
        <f aca="false">IF(INDEX(campaigns!$A$2:$A$51,18)="","",INDEX(campaigns!$CD$2:$CD$51,18))</f>
        <v/>
      </c>
      <c r="K67" s="14" t="str">
        <f aca="false">IF(INDEX(campaigns!$A$2:$A$51,18)="","",INDEX(campaigns!$CE$2:$CE$51,18))</f>
        <v/>
      </c>
      <c r="L67" s="0" t="str">
        <f aca="false">IF(INDEX(campaigns!$A$2:$A$51,18)="","",INDEX(campaigns!$CF$2:$CF$51,18))</f>
        <v/>
      </c>
      <c r="M67" s="0" t="str">
        <f aca="false">IF(INDEX(campaigns!$A$2:$A$51,18)="","",INDEX(campaigns!$CG$2:$CG$51,18))</f>
        <v/>
      </c>
      <c r="N67" s="0" t="str">
        <f aca="false">IF(INDEX(campaigns!$A$2:$A$51,18)="","",INDEX(campaigns!$CH$2:$CH$51,18))</f>
        <v/>
      </c>
      <c r="O67" s="0" t="str">
        <f aca="false">IF(INDEX(campaigns!$A$2:$A$51,18)="","",INDEX(campaigns!$CI$2:$CI$51,18))</f>
        <v/>
      </c>
      <c r="P67" s="0" t="str">
        <f aca="false">IF(INDEX(campaigns!$A$2:$A$51,18)="","",INDEX(campaigns!$CK$2:$CK$51,18))</f>
        <v/>
      </c>
      <c r="Q67" s="13" t="str">
        <f aca="false">IF(INDEX(campaigns!$A$2:$A$51,18)="","",INDEX(campaigns!$CP$2:$CP$51,18))</f>
        <v/>
      </c>
      <c r="R67" s="0" t="str">
        <f aca="false">IF(INDEX(campaigns!$A$2:$A$51,18)="","",INDEX(campaigns!$CX$2:$CX$51,18))</f>
        <v/>
      </c>
      <c r="S67" s="0" t="str">
        <f aca="false">IF(INDEX(campaigns!$A$2:$A$51,18)="","",INDEX(campaigns!$CZ$2:$CZ$51,18))</f>
        <v/>
      </c>
      <c r="T67" s="12" t="str">
        <f aca="false">IF(INDEX(campaigns!$A$2:$A$51,18)="","",INDEX(campaigns!$DC$2:$DC$51,18))</f>
        <v/>
      </c>
      <c r="U67" s="12" t="str">
        <f aca="false">IF(INDEX(campaigns!$A$2:$A$51,18)="","",INDEX(campaigns!$DM$2:$DM$51,18))</f>
        <v/>
      </c>
      <c r="V67" s="0" t="str">
        <f aca="false">IF(INDEX(campaigns!$A$2:$A$51,18)="","",INDEX(campaigns!$DS$2:$DS$51,18))</f>
        <v/>
      </c>
      <c r="W67" s="0" t="str">
        <f aca="false">IF(INDEX(campaigns!$A$2:$A$51,18)="","",INDEX(campaigns!$DT$2:$DT$51,18))</f>
        <v/>
      </c>
      <c r="X67" s="0" t="str">
        <f aca="false">IF(INDEX(campaigns!$A$2:$A$51,18)="","",INDEX(campaigns!$DU$2:$DU$51,18))</f>
        <v/>
      </c>
      <c r="Y67" s="0" t="str">
        <f aca="false">IF(INDEX(campaigns!$A$2:$A$51,18)="","",INDEX(campaigns!$AV$2:$AV$51,18))</f>
        <v/>
      </c>
      <c r="Z67" s="0" t="str">
        <f aca="false">IF(INDEX(campaigns!$A$2:$A$51,18)="","",INDEX(campaigns!$DV$2:$DV$51,18))</f>
        <v/>
      </c>
    </row>
    <row r="68" customFormat="false" ht="15" hidden="false" customHeight="false" outlineLevel="0" collapsed="false">
      <c r="A68" s="0" t="str">
        <f aca="false">IF(INDEX(campaigns!$A$2:$A$51,19)="","",INDEX(campaigns!$A$2:$A$51,19))</f>
        <v/>
      </c>
      <c r="B68" s="0" t="str">
        <f aca="false">IF(INDEX(campaigns!$A$2:$A$51,19)="","",INDEX(campaigns!$BE$2:$BE$51,19))</f>
        <v/>
      </c>
      <c r="C68" s="11" t="str">
        <f aca="false">IF(INDEX(campaigns!$A$2:$A$51,19)="","",INDEX(campaigns!$BG$2:$BG$51,19))</f>
        <v/>
      </c>
      <c r="D68" s="0" t="str">
        <f aca="false">IF(INDEX(campaigns!$A$2:$A$51,19)="","",INDEX(campaigns!$D$2:$D$51,19))</f>
        <v/>
      </c>
      <c r="E68" s="0" t="str">
        <f aca="false">IF(INDEX(campaigns!$A$2:$A$51,19)="","",INDEX(campaigns!$BW$2:$BW$51,19))</f>
        <v/>
      </c>
      <c r="F68" s="0" t="str">
        <f aca="false">IF(INDEX(campaigns!$A$2:$A$51,19)="","",INDEX(campaigns!$BO$2:$BO$51,19))</f>
        <v/>
      </c>
      <c r="G68" s="0" t="str">
        <f aca="false">IF(INDEX(campaigns!$A$2:$A$51,19)="","",INDEX(campaigns!$BP$2:$BP$51,19))</f>
        <v/>
      </c>
      <c r="H68" s="0" t="str">
        <f aca="false">IF(INDEX(campaigns!$A$2:$A$51,19)="","",INDEX(campaigns!$F$2:$F$51,19))</f>
        <v/>
      </c>
      <c r="I68" s="0" t="str">
        <f aca="false">IF(INDEX(campaigns!$A$2:$A$51,19)="","",INDEX(campaigns!$CB$2:$CB$51,19))</f>
        <v/>
      </c>
      <c r="J68" s="0" t="str">
        <f aca="false">IF(INDEX(campaigns!$A$2:$A$51,19)="","",INDEX(campaigns!$CD$2:$CD$51,19))</f>
        <v/>
      </c>
      <c r="K68" s="14" t="str">
        <f aca="false">IF(INDEX(campaigns!$A$2:$A$51,19)="","",INDEX(campaigns!$CE$2:$CE$51,19))</f>
        <v/>
      </c>
      <c r="L68" s="0" t="str">
        <f aca="false">IF(INDEX(campaigns!$A$2:$A$51,19)="","",INDEX(campaigns!$CF$2:$CF$51,19))</f>
        <v/>
      </c>
      <c r="M68" s="0" t="str">
        <f aca="false">IF(INDEX(campaigns!$A$2:$A$51,19)="","",INDEX(campaigns!$CG$2:$CG$51,19))</f>
        <v/>
      </c>
      <c r="N68" s="0" t="str">
        <f aca="false">IF(INDEX(campaigns!$A$2:$A$51,19)="","",INDEX(campaigns!$CH$2:$CH$51,19))</f>
        <v/>
      </c>
      <c r="O68" s="0" t="str">
        <f aca="false">IF(INDEX(campaigns!$A$2:$A$51,19)="","",INDEX(campaigns!$CI$2:$CI$51,19))</f>
        <v/>
      </c>
      <c r="P68" s="0" t="str">
        <f aca="false">IF(INDEX(campaigns!$A$2:$A$51,19)="","",INDEX(campaigns!$CK$2:$CK$51,19))</f>
        <v/>
      </c>
      <c r="Q68" s="13" t="str">
        <f aca="false">IF(INDEX(campaigns!$A$2:$A$51,19)="","",INDEX(campaigns!$CP$2:$CP$51,19))</f>
        <v/>
      </c>
      <c r="R68" s="0" t="str">
        <f aca="false">IF(INDEX(campaigns!$A$2:$A$51,19)="","",INDEX(campaigns!$CX$2:$CX$51,19))</f>
        <v/>
      </c>
      <c r="S68" s="0" t="str">
        <f aca="false">IF(INDEX(campaigns!$A$2:$A$51,19)="","",INDEX(campaigns!$CZ$2:$CZ$51,19))</f>
        <v/>
      </c>
      <c r="T68" s="12" t="str">
        <f aca="false">IF(INDEX(campaigns!$A$2:$A$51,19)="","",INDEX(campaigns!$DC$2:$DC$51,19))</f>
        <v/>
      </c>
      <c r="U68" s="12" t="str">
        <f aca="false">IF(INDEX(campaigns!$A$2:$A$51,19)="","",INDEX(campaigns!$DM$2:$DM$51,19))</f>
        <v/>
      </c>
      <c r="V68" s="0" t="str">
        <f aca="false">IF(INDEX(campaigns!$A$2:$A$51,19)="","",INDEX(campaigns!$DS$2:$DS$51,19))</f>
        <v/>
      </c>
      <c r="W68" s="0" t="str">
        <f aca="false">IF(INDEX(campaigns!$A$2:$A$51,19)="","",INDEX(campaigns!$DT$2:$DT$51,19))</f>
        <v/>
      </c>
      <c r="X68" s="0" t="str">
        <f aca="false">IF(INDEX(campaigns!$A$2:$A$51,19)="","",INDEX(campaigns!$DU$2:$DU$51,19))</f>
        <v/>
      </c>
      <c r="Y68" s="0" t="str">
        <f aca="false">IF(INDEX(campaigns!$A$2:$A$51,19)="","",INDEX(campaigns!$AV$2:$AV$51,19))</f>
        <v/>
      </c>
      <c r="Z68" s="0" t="str">
        <f aca="false">IF(INDEX(campaigns!$A$2:$A$51,19)="","",INDEX(campaigns!$DV$2:$DV$51,19))</f>
        <v/>
      </c>
    </row>
    <row r="69" customFormat="false" ht="15" hidden="false" customHeight="false" outlineLevel="0" collapsed="false">
      <c r="A69" s="0" t="str">
        <f aca="false">IF(INDEX(campaigns!$A$2:$A$51,20)="","",INDEX(campaigns!$A$2:$A$51,20))</f>
        <v/>
      </c>
      <c r="B69" s="0" t="str">
        <f aca="false">IF(INDEX(campaigns!$A$2:$A$51,20)="","",INDEX(campaigns!$BE$2:$BE$51,20))</f>
        <v/>
      </c>
      <c r="C69" s="11" t="str">
        <f aca="false">IF(INDEX(campaigns!$A$2:$A$51,20)="","",INDEX(campaigns!$BG$2:$BG$51,20))</f>
        <v/>
      </c>
      <c r="D69" s="0" t="str">
        <f aca="false">IF(INDEX(campaigns!$A$2:$A$51,20)="","",INDEX(campaigns!$D$2:$D$51,20))</f>
        <v/>
      </c>
      <c r="E69" s="0" t="str">
        <f aca="false">IF(INDEX(campaigns!$A$2:$A$51,20)="","",INDEX(campaigns!$BW$2:$BW$51,20))</f>
        <v/>
      </c>
      <c r="F69" s="0" t="str">
        <f aca="false">IF(INDEX(campaigns!$A$2:$A$51,20)="","",INDEX(campaigns!$BO$2:$BO$51,20))</f>
        <v/>
      </c>
      <c r="G69" s="0" t="str">
        <f aca="false">IF(INDEX(campaigns!$A$2:$A$51,20)="","",INDEX(campaigns!$BP$2:$BP$51,20))</f>
        <v/>
      </c>
      <c r="H69" s="0" t="str">
        <f aca="false">IF(INDEX(campaigns!$A$2:$A$51,20)="","",INDEX(campaigns!$F$2:$F$51,20))</f>
        <v/>
      </c>
      <c r="I69" s="0" t="str">
        <f aca="false">IF(INDEX(campaigns!$A$2:$A$51,20)="","",INDEX(campaigns!$CB$2:$CB$51,20))</f>
        <v/>
      </c>
      <c r="J69" s="0" t="str">
        <f aca="false">IF(INDEX(campaigns!$A$2:$A$51,20)="","",INDEX(campaigns!$CD$2:$CD$51,20))</f>
        <v/>
      </c>
      <c r="K69" s="14" t="str">
        <f aca="false">IF(INDEX(campaigns!$A$2:$A$51,20)="","",INDEX(campaigns!$CE$2:$CE$51,20))</f>
        <v/>
      </c>
      <c r="L69" s="0" t="str">
        <f aca="false">IF(INDEX(campaigns!$A$2:$A$51,20)="","",INDEX(campaigns!$CF$2:$CF$51,20))</f>
        <v/>
      </c>
      <c r="M69" s="0" t="str">
        <f aca="false">IF(INDEX(campaigns!$A$2:$A$51,20)="","",INDEX(campaigns!$CG$2:$CG$51,20))</f>
        <v/>
      </c>
      <c r="N69" s="0" t="str">
        <f aca="false">IF(INDEX(campaigns!$A$2:$A$51,20)="","",INDEX(campaigns!$CH$2:$CH$51,20))</f>
        <v/>
      </c>
      <c r="O69" s="0" t="str">
        <f aca="false">IF(INDEX(campaigns!$A$2:$A$51,20)="","",INDEX(campaigns!$CI$2:$CI$51,20))</f>
        <v/>
      </c>
      <c r="P69" s="0" t="str">
        <f aca="false">IF(INDEX(campaigns!$A$2:$A$51,20)="","",INDEX(campaigns!$CK$2:$CK$51,20))</f>
        <v/>
      </c>
      <c r="Q69" s="13" t="str">
        <f aca="false">IF(INDEX(campaigns!$A$2:$A$51,20)="","",INDEX(campaigns!$CP$2:$CP$51,20))</f>
        <v/>
      </c>
      <c r="R69" s="0" t="str">
        <f aca="false">IF(INDEX(campaigns!$A$2:$A$51,20)="","",INDEX(campaigns!$CX$2:$CX$51,20))</f>
        <v/>
      </c>
      <c r="S69" s="0" t="str">
        <f aca="false">IF(INDEX(campaigns!$A$2:$A$51,20)="","",INDEX(campaigns!$CZ$2:$CZ$51,20))</f>
        <v/>
      </c>
      <c r="T69" s="12" t="str">
        <f aca="false">IF(INDEX(campaigns!$A$2:$A$51,20)="","",INDEX(campaigns!$DC$2:$DC$51,20))</f>
        <v/>
      </c>
      <c r="U69" s="12" t="str">
        <f aca="false">IF(INDEX(campaigns!$A$2:$A$51,20)="","",INDEX(campaigns!$DM$2:$DM$51,20))</f>
        <v/>
      </c>
      <c r="V69" s="0" t="str">
        <f aca="false">IF(INDEX(campaigns!$A$2:$A$51,20)="","",INDEX(campaigns!$DS$2:$DS$51,20))</f>
        <v/>
      </c>
      <c r="W69" s="0" t="str">
        <f aca="false">IF(INDEX(campaigns!$A$2:$A$51,20)="","",INDEX(campaigns!$DT$2:$DT$51,20))</f>
        <v/>
      </c>
      <c r="X69" s="0" t="str">
        <f aca="false">IF(INDEX(campaigns!$A$2:$A$51,20)="","",INDEX(campaigns!$DU$2:$DU$51,20))</f>
        <v/>
      </c>
      <c r="Y69" s="0" t="str">
        <f aca="false">IF(INDEX(campaigns!$A$2:$A$51,20)="","",INDEX(campaigns!$AV$2:$AV$51,20))</f>
        <v/>
      </c>
      <c r="Z69" s="0" t="str">
        <f aca="false">IF(INDEX(campaigns!$A$2:$A$51,20)="","",INDEX(campaigns!$DV$2:$DV$51,20))</f>
        <v/>
      </c>
    </row>
    <row r="70" customFormat="false" ht="15" hidden="false" customHeight="false" outlineLevel="0" collapsed="false">
      <c r="A70" s="0" t="str">
        <f aca="false">IF(INDEX(campaigns!$A$2:$A$51,21)="","",INDEX(campaigns!$A$2:$A$51,21))</f>
        <v/>
      </c>
      <c r="B70" s="0" t="str">
        <f aca="false">IF(INDEX(campaigns!$A$2:$A$51,21)="","",INDEX(campaigns!$BE$2:$BE$51,21))</f>
        <v/>
      </c>
      <c r="C70" s="11" t="str">
        <f aca="false">IF(INDEX(campaigns!$A$2:$A$51,21)="","",INDEX(campaigns!$BG$2:$BG$51,21))</f>
        <v/>
      </c>
      <c r="D70" s="0" t="str">
        <f aca="false">IF(INDEX(campaigns!$A$2:$A$51,21)="","",INDEX(campaigns!$D$2:$D$51,21))</f>
        <v/>
      </c>
      <c r="E70" s="0" t="str">
        <f aca="false">IF(INDEX(campaigns!$A$2:$A$51,21)="","",INDEX(campaigns!$BW$2:$BW$51,21))</f>
        <v/>
      </c>
      <c r="F70" s="0" t="str">
        <f aca="false">IF(INDEX(campaigns!$A$2:$A$51,21)="","",INDEX(campaigns!$BO$2:$BO$51,21))</f>
        <v/>
      </c>
      <c r="G70" s="0" t="str">
        <f aca="false">IF(INDEX(campaigns!$A$2:$A$51,21)="","",INDEX(campaigns!$BP$2:$BP$51,21))</f>
        <v/>
      </c>
      <c r="H70" s="0" t="str">
        <f aca="false">IF(INDEX(campaigns!$A$2:$A$51,21)="","",INDEX(campaigns!$F$2:$F$51,21))</f>
        <v/>
      </c>
      <c r="I70" s="0" t="str">
        <f aca="false">IF(INDEX(campaigns!$A$2:$A$51,21)="","",INDEX(campaigns!$CB$2:$CB$51,21))</f>
        <v/>
      </c>
      <c r="J70" s="0" t="str">
        <f aca="false">IF(INDEX(campaigns!$A$2:$A$51,21)="","",INDEX(campaigns!$CD$2:$CD$51,21))</f>
        <v/>
      </c>
      <c r="K70" s="14" t="str">
        <f aca="false">IF(INDEX(campaigns!$A$2:$A$51,21)="","",INDEX(campaigns!$CE$2:$CE$51,21))</f>
        <v/>
      </c>
      <c r="L70" s="0" t="str">
        <f aca="false">IF(INDEX(campaigns!$A$2:$A$51,21)="","",INDEX(campaigns!$CF$2:$CF$51,21))</f>
        <v/>
      </c>
      <c r="M70" s="0" t="str">
        <f aca="false">IF(INDEX(campaigns!$A$2:$A$51,21)="","",INDEX(campaigns!$CG$2:$CG$51,21))</f>
        <v/>
      </c>
      <c r="N70" s="0" t="str">
        <f aca="false">IF(INDEX(campaigns!$A$2:$A$51,21)="","",INDEX(campaigns!$CH$2:$CH$51,21))</f>
        <v/>
      </c>
      <c r="O70" s="0" t="str">
        <f aca="false">IF(INDEX(campaigns!$A$2:$A$51,21)="","",INDEX(campaigns!$CI$2:$CI$51,21))</f>
        <v/>
      </c>
      <c r="P70" s="0" t="str">
        <f aca="false">IF(INDEX(campaigns!$A$2:$A$51,21)="","",INDEX(campaigns!$CK$2:$CK$51,21))</f>
        <v/>
      </c>
      <c r="Q70" s="13" t="str">
        <f aca="false">IF(INDEX(campaigns!$A$2:$A$51,21)="","",INDEX(campaigns!$CP$2:$CP$51,21))</f>
        <v/>
      </c>
      <c r="R70" s="0" t="str">
        <f aca="false">IF(INDEX(campaigns!$A$2:$A$51,21)="","",INDEX(campaigns!$CX$2:$CX$51,21))</f>
        <v/>
      </c>
      <c r="S70" s="0" t="str">
        <f aca="false">IF(INDEX(campaigns!$A$2:$A$51,21)="","",INDEX(campaigns!$CZ$2:$CZ$51,21))</f>
        <v/>
      </c>
      <c r="T70" s="12" t="str">
        <f aca="false">IF(INDEX(campaigns!$A$2:$A$51,21)="","",INDEX(campaigns!$DC$2:$DC$51,21))</f>
        <v/>
      </c>
      <c r="U70" s="12" t="str">
        <f aca="false">IF(INDEX(campaigns!$A$2:$A$51,21)="","",INDEX(campaigns!$DM$2:$DM$51,21))</f>
        <v/>
      </c>
      <c r="V70" s="0" t="str">
        <f aca="false">IF(INDEX(campaigns!$A$2:$A$51,21)="","",INDEX(campaigns!$DS$2:$DS$51,21))</f>
        <v/>
      </c>
      <c r="W70" s="0" t="str">
        <f aca="false">IF(INDEX(campaigns!$A$2:$A$51,21)="","",INDEX(campaigns!$DT$2:$DT$51,21))</f>
        <v/>
      </c>
      <c r="X70" s="0" t="str">
        <f aca="false">IF(INDEX(campaigns!$A$2:$A$51,21)="","",INDEX(campaigns!$DU$2:$DU$51,21))</f>
        <v/>
      </c>
      <c r="Y70" s="0" t="str">
        <f aca="false">IF(INDEX(campaigns!$A$2:$A$51,21)="","",INDEX(campaigns!$AV$2:$AV$51,21))</f>
        <v/>
      </c>
      <c r="Z70" s="0" t="str">
        <f aca="false">IF(INDEX(campaigns!$A$2:$A$51,21)="","",INDEX(campaigns!$DV$2:$DV$51,21))</f>
        <v/>
      </c>
    </row>
    <row r="71" customFormat="false" ht="15" hidden="false" customHeight="false" outlineLevel="0" collapsed="false">
      <c r="A71" s="0" t="str">
        <f aca="false">IF(INDEX(campaigns!$A$2:$A$51,22)="","",INDEX(campaigns!$A$2:$A$51,22))</f>
        <v/>
      </c>
      <c r="B71" s="0" t="str">
        <f aca="false">IF(INDEX(campaigns!$A$2:$A$51,22)="","",INDEX(campaigns!$BE$2:$BE$51,22))</f>
        <v/>
      </c>
      <c r="C71" s="11" t="str">
        <f aca="false">IF(INDEX(campaigns!$A$2:$A$51,22)="","",INDEX(campaigns!$BG$2:$BG$51,22))</f>
        <v/>
      </c>
      <c r="D71" s="0" t="str">
        <f aca="false">IF(INDEX(campaigns!$A$2:$A$51,22)="","",INDEX(campaigns!$D$2:$D$51,22))</f>
        <v/>
      </c>
      <c r="E71" s="0" t="str">
        <f aca="false">IF(INDEX(campaigns!$A$2:$A$51,22)="","",INDEX(campaigns!$BW$2:$BW$51,22))</f>
        <v/>
      </c>
      <c r="F71" s="0" t="str">
        <f aca="false">IF(INDEX(campaigns!$A$2:$A$51,22)="","",INDEX(campaigns!$BO$2:$BO$51,22))</f>
        <v/>
      </c>
      <c r="G71" s="0" t="str">
        <f aca="false">IF(INDEX(campaigns!$A$2:$A$51,22)="","",INDEX(campaigns!$BP$2:$BP$51,22))</f>
        <v/>
      </c>
      <c r="H71" s="0" t="str">
        <f aca="false">IF(INDEX(campaigns!$A$2:$A$51,22)="","",INDEX(campaigns!$F$2:$F$51,22))</f>
        <v/>
      </c>
      <c r="I71" s="0" t="str">
        <f aca="false">IF(INDEX(campaigns!$A$2:$A$51,22)="","",INDEX(campaigns!$CB$2:$CB$51,22))</f>
        <v/>
      </c>
      <c r="J71" s="0" t="str">
        <f aca="false">IF(INDEX(campaigns!$A$2:$A$51,22)="","",INDEX(campaigns!$CD$2:$CD$51,22))</f>
        <v/>
      </c>
      <c r="K71" s="14" t="str">
        <f aca="false">IF(INDEX(campaigns!$A$2:$A$51,22)="","",INDEX(campaigns!$CE$2:$CE$51,22))</f>
        <v/>
      </c>
      <c r="L71" s="0" t="str">
        <f aca="false">IF(INDEX(campaigns!$A$2:$A$51,22)="","",INDEX(campaigns!$CF$2:$CF$51,22))</f>
        <v/>
      </c>
      <c r="M71" s="0" t="str">
        <f aca="false">IF(INDEX(campaigns!$A$2:$A$51,22)="","",INDEX(campaigns!$CG$2:$CG$51,22))</f>
        <v/>
      </c>
      <c r="N71" s="0" t="str">
        <f aca="false">IF(INDEX(campaigns!$A$2:$A$51,22)="","",INDEX(campaigns!$CH$2:$CH$51,22))</f>
        <v/>
      </c>
      <c r="O71" s="0" t="str">
        <f aca="false">IF(INDEX(campaigns!$A$2:$A$51,22)="","",INDEX(campaigns!$CI$2:$CI$51,22))</f>
        <v/>
      </c>
      <c r="P71" s="0" t="str">
        <f aca="false">IF(INDEX(campaigns!$A$2:$A$51,22)="","",INDEX(campaigns!$CK$2:$CK$51,22))</f>
        <v/>
      </c>
      <c r="Q71" s="13" t="str">
        <f aca="false">IF(INDEX(campaigns!$A$2:$A$51,22)="","",INDEX(campaigns!$CP$2:$CP$51,22))</f>
        <v/>
      </c>
      <c r="R71" s="0" t="str">
        <f aca="false">IF(INDEX(campaigns!$A$2:$A$51,22)="","",INDEX(campaigns!$CX$2:$CX$51,22))</f>
        <v/>
      </c>
      <c r="S71" s="0" t="str">
        <f aca="false">IF(INDEX(campaigns!$A$2:$A$51,22)="","",INDEX(campaigns!$CZ$2:$CZ$51,22))</f>
        <v/>
      </c>
      <c r="T71" s="12" t="str">
        <f aca="false">IF(INDEX(campaigns!$A$2:$A$51,22)="","",INDEX(campaigns!$DC$2:$DC$51,22))</f>
        <v/>
      </c>
      <c r="U71" s="12" t="str">
        <f aca="false">IF(INDEX(campaigns!$A$2:$A$51,22)="","",INDEX(campaigns!$DM$2:$DM$51,22))</f>
        <v/>
      </c>
      <c r="V71" s="0" t="str">
        <f aca="false">IF(INDEX(campaigns!$A$2:$A$51,22)="","",INDEX(campaigns!$DS$2:$DS$51,22))</f>
        <v/>
      </c>
      <c r="W71" s="0" t="str">
        <f aca="false">IF(INDEX(campaigns!$A$2:$A$51,22)="","",INDEX(campaigns!$DT$2:$DT$51,22))</f>
        <v/>
      </c>
      <c r="X71" s="0" t="str">
        <f aca="false">IF(INDEX(campaigns!$A$2:$A$51,22)="","",INDEX(campaigns!$DU$2:$DU$51,22))</f>
        <v/>
      </c>
      <c r="Y71" s="0" t="str">
        <f aca="false">IF(INDEX(campaigns!$A$2:$A$51,22)="","",INDEX(campaigns!$AV$2:$AV$51,22))</f>
        <v/>
      </c>
      <c r="Z71" s="0" t="str">
        <f aca="false">IF(INDEX(campaigns!$A$2:$A$51,22)="","",INDEX(campaigns!$DV$2:$DV$51,22))</f>
        <v/>
      </c>
    </row>
    <row r="72" customFormat="false" ht="15" hidden="false" customHeight="false" outlineLevel="0" collapsed="false">
      <c r="A72" s="0" t="str">
        <f aca="false">IF(INDEX(campaigns!$A$2:$A$51,23)="","",INDEX(campaigns!$A$2:$A$51,23))</f>
        <v/>
      </c>
      <c r="B72" s="0" t="str">
        <f aca="false">IF(INDEX(campaigns!$A$2:$A$51,23)="","",INDEX(campaigns!$BE$2:$BE$51,23))</f>
        <v/>
      </c>
      <c r="C72" s="11" t="str">
        <f aca="false">IF(INDEX(campaigns!$A$2:$A$51,23)="","",INDEX(campaigns!$BG$2:$BG$51,23))</f>
        <v/>
      </c>
      <c r="D72" s="0" t="str">
        <f aca="false">IF(INDEX(campaigns!$A$2:$A$51,23)="","",INDEX(campaigns!$D$2:$D$51,23))</f>
        <v/>
      </c>
      <c r="E72" s="0" t="str">
        <f aca="false">IF(INDEX(campaigns!$A$2:$A$51,23)="","",INDEX(campaigns!$BW$2:$BW$51,23))</f>
        <v/>
      </c>
      <c r="F72" s="0" t="str">
        <f aca="false">IF(INDEX(campaigns!$A$2:$A$51,23)="","",INDEX(campaigns!$BO$2:$BO$51,23))</f>
        <v/>
      </c>
      <c r="G72" s="0" t="str">
        <f aca="false">IF(INDEX(campaigns!$A$2:$A$51,23)="","",INDEX(campaigns!$BP$2:$BP$51,23))</f>
        <v/>
      </c>
      <c r="H72" s="0" t="str">
        <f aca="false">IF(INDEX(campaigns!$A$2:$A$51,23)="","",INDEX(campaigns!$F$2:$F$51,23))</f>
        <v/>
      </c>
      <c r="I72" s="0" t="str">
        <f aca="false">IF(INDEX(campaigns!$A$2:$A$51,23)="","",INDEX(campaigns!$CB$2:$CB$51,23))</f>
        <v/>
      </c>
      <c r="J72" s="0" t="str">
        <f aca="false">IF(INDEX(campaigns!$A$2:$A$51,23)="","",INDEX(campaigns!$CD$2:$CD$51,23))</f>
        <v/>
      </c>
      <c r="K72" s="14" t="str">
        <f aca="false">IF(INDEX(campaigns!$A$2:$A$51,23)="","",INDEX(campaigns!$CE$2:$CE$51,23))</f>
        <v/>
      </c>
      <c r="L72" s="0" t="str">
        <f aca="false">IF(INDEX(campaigns!$A$2:$A$51,23)="","",INDEX(campaigns!$CF$2:$CF$51,23))</f>
        <v/>
      </c>
      <c r="M72" s="0" t="str">
        <f aca="false">IF(INDEX(campaigns!$A$2:$A$51,23)="","",INDEX(campaigns!$CG$2:$CG$51,23))</f>
        <v/>
      </c>
      <c r="N72" s="0" t="str">
        <f aca="false">IF(INDEX(campaigns!$A$2:$A$51,23)="","",INDEX(campaigns!$CH$2:$CH$51,23))</f>
        <v/>
      </c>
      <c r="O72" s="0" t="str">
        <f aca="false">IF(INDEX(campaigns!$A$2:$A$51,23)="","",INDEX(campaigns!$CI$2:$CI$51,23))</f>
        <v/>
      </c>
      <c r="P72" s="0" t="str">
        <f aca="false">IF(INDEX(campaigns!$A$2:$A$51,23)="","",INDEX(campaigns!$CK$2:$CK$51,23))</f>
        <v/>
      </c>
      <c r="Q72" s="13" t="str">
        <f aca="false">IF(INDEX(campaigns!$A$2:$A$51,23)="","",INDEX(campaigns!$CP$2:$CP$51,23))</f>
        <v/>
      </c>
      <c r="R72" s="0" t="str">
        <f aca="false">IF(INDEX(campaigns!$A$2:$A$51,23)="","",INDEX(campaigns!$CX$2:$CX$51,23))</f>
        <v/>
      </c>
      <c r="S72" s="0" t="str">
        <f aca="false">IF(INDEX(campaigns!$A$2:$A$51,23)="","",INDEX(campaigns!$CZ$2:$CZ$51,23))</f>
        <v/>
      </c>
      <c r="T72" s="12" t="str">
        <f aca="false">IF(INDEX(campaigns!$A$2:$A$51,23)="","",INDEX(campaigns!$DC$2:$DC$51,23))</f>
        <v/>
      </c>
      <c r="U72" s="12" t="str">
        <f aca="false">IF(INDEX(campaigns!$A$2:$A$51,23)="","",INDEX(campaigns!$DM$2:$DM$51,23))</f>
        <v/>
      </c>
      <c r="V72" s="0" t="str">
        <f aca="false">IF(INDEX(campaigns!$A$2:$A$51,23)="","",INDEX(campaigns!$DS$2:$DS$51,23))</f>
        <v/>
      </c>
      <c r="W72" s="0" t="str">
        <f aca="false">IF(INDEX(campaigns!$A$2:$A$51,23)="","",INDEX(campaigns!$DT$2:$DT$51,23))</f>
        <v/>
      </c>
      <c r="X72" s="0" t="str">
        <f aca="false">IF(INDEX(campaigns!$A$2:$A$51,23)="","",INDEX(campaigns!$DU$2:$DU$51,23))</f>
        <v/>
      </c>
      <c r="Y72" s="0" t="str">
        <f aca="false">IF(INDEX(campaigns!$A$2:$A$51,23)="","",INDEX(campaigns!$AV$2:$AV$51,23))</f>
        <v/>
      </c>
      <c r="Z72" s="0" t="str">
        <f aca="false">IF(INDEX(campaigns!$A$2:$A$51,23)="","",INDEX(campaigns!$DV$2:$DV$51,23))</f>
        <v/>
      </c>
    </row>
    <row r="73" customFormat="false" ht="15" hidden="false" customHeight="false" outlineLevel="0" collapsed="false">
      <c r="A73" s="0" t="str">
        <f aca="false">IF(INDEX(campaigns!$A$2:$A$51,24)="","",INDEX(campaigns!$A$2:$A$51,24))</f>
        <v/>
      </c>
      <c r="B73" s="0" t="str">
        <f aca="false">IF(INDEX(campaigns!$A$2:$A$51,24)="","",INDEX(campaigns!$BE$2:$BE$51,24))</f>
        <v/>
      </c>
      <c r="C73" s="11" t="str">
        <f aca="false">IF(INDEX(campaigns!$A$2:$A$51,24)="","",INDEX(campaigns!$BG$2:$BG$51,24))</f>
        <v/>
      </c>
      <c r="D73" s="0" t="str">
        <f aca="false">IF(INDEX(campaigns!$A$2:$A$51,24)="","",INDEX(campaigns!$D$2:$D$51,24))</f>
        <v/>
      </c>
      <c r="E73" s="0" t="str">
        <f aca="false">IF(INDEX(campaigns!$A$2:$A$51,24)="","",INDEX(campaigns!$BW$2:$BW$51,24))</f>
        <v/>
      </c>
      <c r="F73" s="0" t="str">
        <f aca="false">IF(INDEX(campaigns!$A$2:$A$51,24)="","",INDEX(campaigns!$BO$2:$BO$51,24))</f>
        <v/>
      </c>
      <c r="G73" s="0" t="str">
        <f aca="false">IF(INDEX(campaigns!$A$2:$A$51,24)="","",INDEX(campaigns!$BP$2:$BP$51,24))</f>
        <v/>
      </c>
      <c r="H73" s="0" t="str">
        <f aca="false">IF(INDEX(campaigns!$A$2:$A$51,24)="","",INDEX(campaigns!$F$2:$F$51,24))</f>
        <v/>
      </c>
      <c r="I73" s="0" t="str">
        <f aca="false">IF(INDEX(campaigns!$A$2:$A$51,24)="","",INDEX(campaigns!$CB$2:$CB$51,24))</f>
        <v/>
      </c>
      <c r="J73" s="0" t="str">
        <f aca="false">IF(INDEX(campaigns!$A$2:$A$51,24)="","",INDEX(campaigns!$CD$2:$CD$51,24))</f>
        <v/>
      </c>
      <c r="K73" s="14" t="str">
        <f aca="false">IF(INDEX(campaigns!$A$2:$A$51,24)="","",INDEX(campaigns!$CE$2:$CE$51,24))</f>
        <v/>
      </c>
      <c r="L73" s="0" t="str">
        <f aca="false">IF(INDEX(campaigns!$A$2:$A$51,24)="","",INDEX(campaigns!$CF$2:$CF$51,24))</f>
        <v/>
      </c>
      <c r="M73" s="0" t="str">
        <f aca="false">IF(INDEX(campaigns!$A$2:$A$51,24)="","",INDEX(campaigns!$CG$2:$CG$51,24))</f>
        <v/>
      </c>
      <c r="N73" s="0" t="str">
        <f aca="false">IF(INDEX(campaigns!$A$2:$A$51,24)="","",INDEX(campaigns!$CH$2:$CH$51,24))</f>
        <v/>
      </c>
      <c r="O73" s="0" t="str">
        <f aca="false">IF(INDEX(campaigns!$A$2:$A$51,24)="","",INDEX(campaigns!$CI$2:$CI$51,24))</f>
        <v/>
      </c>
      <c r="P73" s="0" t="str">
        <f aca="false">IF(INDEX(campaigns!$A$2:$A$51,24)="","",INDEX(campaigns!$CK$2:$CK$51,24))</f>
        <v/>
      </c>
      <c r="Q73" s="13" t="str">
        <f aca="false">IF(INDEX(campaigns!$A$2:$A$51,24)="","",INDEX(campaigns!$CP$2:$CP$51,24))</f>
        <v/>
      </c>
      <c r="R73" s="0" t="str">
        <f aca="false">IF(INDEX(campaigns!$A$2:$A$51,24)="","",INDEX(campaigns!$CX$2:$CX$51,24))</f>
        <v/>
      </c>
      <c r="S73" s="0" t="str">
        <f aca="false">IF(INDEX(campaigns!$A$2:$A$51,24)="","",INDEX(campaigns!$CZ$2:$CZ$51,24))</f>
        <v/>
      </c>
      <c r="T73" s="12" t="str">
        <f aca="false">IF(INDEX(campaigns!$A$2:$A$51,24)="","",INDEX(campaigns!$DC$2:$DC$51,24))</f>
        <v/>
      </c>
      <c r="U73" s="12" t="str">
        <f aca="false">IF(INDEX(campaigns!$A$2:$A$51,24)="","",INDEX(campaigns!$DM$2:$DM$51,24))</f>
        <v/>
      </c>
      <c r="V73" s="0" t="str">
        <f aca="false">IF(INDEX(campaigns!$A$2:$A$51,24)="","",INDEX(campaigns!$DS$2:$DS$51,24))</f>
        <v/>
      </c>
      <c r="W73" s="0" t="str">
        <f aca="false">IF(INDEX(campaigns!$A$2:$A$51,24)="","",INDEX(campaigns!$DT$2:$DT$51,24))</f>
        <v/>
      </c>
      <c r="X73" s="0" t="str">
        <f aca="false">IF(INDEX(campaigns!$A$2:$A$51,24)="","",INDEX(campaigns!$DU$2:$DU$51,24))</f>
        <v/>
      </c>
      <c r="Y73" s="0" t="str">
        <f aca="false">IF(INDEX(campaigns!$A$2:$A$51,24)="","",INDEX(campaigns!$AV$2:$AV$51,24))</f>
        <v/>
      </c>
      <c r="Z73" s="0" t="str">
        <f aca="false">IF(INDEX(campaigns!$A$2:$A$51,24)="","",INDEX(campaigns!$DV$2:$DV$51,24))</f>
        <v/>
      </c>
    </row>
    <row r="74" customFormat="false" ht="15" hidden="false" customHeight="false" outlineLevel="0" collapsed="false">
      <c r="A74" s="0" t="str">
        <f aca="false">IF(INDEX(campaigns!$A$2:$A$51,25)="","",INDEX(campaigns!$A$2:$A$51,25))</f>
        <v/>
      </c>
      <c r="B74" s="0" t="str">
        <f aca="false">IF(INDEX(campaigns!$A$2:$A$51,25)="","",INDEX(campaigns!$BE$2:$BE$51,25))</f>
        <v/>
      </c>
      <c r="C74" s="11" t="str">
        <f aca="false">IF(INDEX(campaigns!$A$2:$A$51,25)="","",INDEX(campaigns!$BG$2:$BG$51,25))</f>
        <v/>
      </c>
      <c r="D74" s="0" t="str">
        <f aca="false">IF(INDEX(campaigns!$A$2:$A$51,25)="","",INDEX(campaigns!$D$2:$D$51,25))</f>
        <v/>
      </c>
      <c r="E74" s="0" t="str">
        <f aca="false">IF(INDEX(campaigns!$A$2:$A$51,25)="","",INDEX(campaigns!$BW$2:$BW$51,25))</f>
        <v/>
      </c>
      <c r="F74" s="0" t="str">
        <f aca="false">IF(INDEX(campaigns!$A$2:$A$51,25)="","",INDEX(campaigns!$BO$2:$BO$51,25))</f>
        <v/>
      </c>
      <c r="G74" s="0" t="str">
        <f aca="false">IF(INDEX(campaigns!$A$2:$A$51,25)="","",INDEX(campaigns!$BP$2:$BP$51,25))</f>
        <v/>
      </c>
      <c r="H74" s="0" t="str">
        <f aca="false">IF(INDEX(campaigns!$A$2:$A$51,25)="","",INDEX(campaigns!$F$2:$F$51,25))</f>
        <v/>
      </c>
      <c r="I74" s="0" t="str">
        <f aca="false">IF(INDEX(campaigns!$A$2:$A$51,25)="","",INDEX(campaigns!$CB$2:$CB$51,25))</f>
        <v/>
      </c>
      <c r="J74" s="0" t="str">
        <f aca="false">IF(INDEX(campaigns!$A$2:$A$51,25)="","",INDEX(campaigns!$CD$2:$CD$51,25))</f>
        <v/>
      </c>
      <c r="K74" s="14" t="str">
        <f aca="false">IF(INDEX(campaigns!$A$2:$A$51,25)="","",INDEX(campaigns!$CE$2:$CE$51,25))</f>
        <v/>
      </c>
      <c r="L74" s="0" t="str">
        <f aca="false">IF(INDEX(campaigns!$A$2:$A$51,25)="","",INDEX(campaigns!$CF$2:$CF$51,25))</f>
        <v/>
      </c>
      <c r="M74" s="0" t="str">
        <f aca="false">IF(INDEX(campaigns!$A$2:$A$51,25)="","",INDEX(campaigns!$CG$2:$CG$51,25))</f>
        <v/>
      </c>
      <c r="N74" s="0" t="str">
        <f aca="false">IF(INDEX(campaigns!$A$2:$A$51,25)="","",INDEX(campaigns!$CH$2:$CH$51,25))</f>
        <v/>
      </c>
      <c r="O74" s="0" t="str">
        <f aca="false">IF(INDEX(campaigns!$A$2:$A$51,25)="","",INDEX(campaigns!$CI$2:$CI$51,25))</f>
        <v/>
      </c>
      <c r="P74" s="0" t="str">
        <f aca="false">IF(INDEX(campaigns!$A$2:$A$51,25)="","",INDEX(campaigns!$CK$2:$CK$51,25))</f>
        <v/>
      </c>
      <c r="Q74" s="13" t="str">
        <f aca="false">IF(INDEX(campaigns!$A$2:$A$51,25)="","",INDEX(campaigns!$CP$2:$CP$51,25))</f>
        <v/>
      </c>
      <c r="R74" s="0" t="str">
        <f aca="false">IF(INDEX(campaigns!$A$2:$A$51,25)="","",INDEX(campaigns!$CX$2:$CX$51,25))</f>
        <v/>
      </c>
      <c r="S74" s="0" t="str">
        <f aca="false">IF(INDEX(campaigns!$A$2:$A$51,25)="","",INDEX(campaigns!$CZ$2:$CZ$51,25))</f>
        <v/>
      </c>
      <c r="T74" s="12" t="str">
        <f aca="false">IF(INDEX(campaigns!$A$2:$A$51,25)="","",INDEX(campaigns!$DC$2:$DC$51,25))</f>
        <v/>
      </c>
      <c r="U74" s="12" t="str">
        <f aca="false">IF(INDEX(campaigns!$A$2:$A$51,25)="","",INDEX(campaigns!$DM$2:$DM$51,25))</f>
        <v/>
      </c>
      <c r="V74" s="0" t="str">
        <f aca="false">IF(INDEX(campaigns!$A$2:$A$51,25)="","",INDEX(campaigns!$DS$2:$DS$51,25))</f>
        <v/>
      </c>
      <c r="W74" s="0" t="str">
        <f aca="false">IF(INDEX(campaigns!$A$2:$A$51,25)="","",INDEX(campaigns!$DT$2:$DT$51,25))</f>
        <v/>
      </c>
      <c r="X74" s="0" t="str">
        <f aca="false">IF(INDEX(campaigns!$A$2:$A$51,25)="","",INDEX(campaigns!$DU$2:$DU$51,25))</f>
        <v/>
      </c>
      <c r="Y74" s="0" t="str">
        <f aca="false">IF(INDEX(campaigns!$A$2:$A$51,25)="","",INDEX(campaigns!$AV$2:$AV$51,25))</f>
        <v/>
      </c>
      <c r="Z74" s="0" t="str">
        <f aca="false">IF(INDEX(campaigns!$A$2:$A$51,25)="","",INDEX(campaigns!$DV$2:$DV$51,25))</f>
        <v/>
      </c>
    </row>
    <row r="75" customFormat="false" ht="15" hidden="false" customHeight="false" outlineLevel="0" collapsed="false">
      <c r="A75" s="0" t="str">
        <f aca="false">IF(INDEX(campaigns!$A$2:$A$51,26)="","",INDEX(campaigns!$A$2:$A$51,26))</f>
        <v/>
      </c>
      <c r="B75" s="0" t="str">
        <f aca="false">IF(INDEX(campaigns!$A$2:$A$51,26)="","",INDEX(campaigns!$BE$2:$BE$51,26))</f>
        <v/>
      </c>
      <c r="C75" s="11" t="str">
        <f aca="false">IF(INDEX(campaigns!$A$2:$A$51,26)="","",INDEX(campaigns!$BG$2:$BG$51,26))</f>
        <v/>
      </c>
      <c r="D75" s="0" t="str">
        <f aca="false">IF(INDEX(campaigns!$A$2:$A$51,26)="","",INDEX(campaigns!$D$2:$D$51,26))</f>
        <v/>
      </c>
      <c r="E75" s="0" t="str">
        <f aca="false">IF(INDEX(campaigns!$A$2:$A$51,26)="","",INDEX(campaigns!$BW$2:$BW$51,26))</f>
        <v/>
      </c>
      <c r="F75" s="0" t="str">
        <f aca="false">IF(INDEX(campaigns!$A$2:$A$51,26)="","",INDEX(campaigns!$BO$2:$BO$51,26))</f>
        <v/>
      </c>
      <c r="G75" s="0" t="str">
        <f aca="false">IF(INDEX(campaigns!$A$2:$A$51,26)="","",INDEX(campaigns!$BP$2:$BP$51,26))</f>
        <v/>
      </c>
      <c r="H75" s="0" t="str">
        <f aca="false">IF(INDEX(campaigns!$A$2:$A$51,26)="","",INDEX(campaigns!$F$2:$F$51,26))</f>
        <v/>
      </c>
      <c r="I75" s="0" t="str">
        <f aca="false">IF(INDEX(campaigns!$A$2:$A$51,26)="","",INDEX(campaigns!$CB$2:$CB$51,26))</f>
        <v/>
      </c>
      <c r="J75" s="0" t="str">
        <f aca="false">IF(INDEX(campaigns!$A$2:$A$51,26)="","",INDEX(campaigns!$CD$2:$CD$51,26))</f>
        <v/>
      </c>
      <c r="K75" s="14" t="str">
        <f aca="false">IF(INDEX(campaigns!$A$2:$A$51,26)="","",INDEX(campaigns!$CE$2:$CE$51,26))</f>
        <v/>
      </c>
      <c r="L75" s="0" t="str">
        <f aca="false">IF(INDEX(campaigns!$A$2:$A$51,26)="","",INDEX(campaigns!$CF$2:$CF$51,26))</f>
        <v/>
      </c>
      <c r="M75" s="0" t="str">
        <f aca="false">IF(INDEX(campaigns!$A$2:$A$51,26)="","",INDEX(campaigns!$CG$2:$CG$51,26))</f>
        <v/>
      </c>
      <c r="N75" s="0" t="str">
        <f aca="false">IF(INDEX(campaigns!$A$2:$A$51,26)="","",INDEX(campaigns!$CH$2:$CH$51,26))</f>
        <v/>
      </c>
      <c r="O75" s="0" t="str">
        <f aca="false">IF(INDEX(campaigns!$A$2:$A$51,26)="","",INDEX(campaigns!$CI$2:$CI$51,26))</f>
        <v/>
      </c>
      <c r="P75" s="0" t="str">
        <f aca="false">IF(INDEX(campaigns!$A$2:$A$51,26)="","",INDEX(campaigns!$CK$2:$CK$51,26))</f>
        <v/>
      </c>
      <c r="Q75" s="13" t="str">
        <f aca="false">IF(INDEX(campaigns!$A$2:$A$51,26)="","",INDEX(campaigns!$CP$2:$CP$51,26))</f>
        <v/>
      </c>
      <c r="R75" s="0" t="str">
        <f aca="false">IF(INDEX(campaigns!$A$2:$A$51,26)="","",INDEX(campaigns!$CX$2:$CX$51,26))</f>
        <v/>
      </c>
      <c r="S75" s="0" t="str">
        <f aca="false">IF(INDEX(campaigns!$A$2:$A$51,26)="","",INDEX(campaigns!$CZ$2:$CZ$51,26))</f>
        <v/>
      </c>
      <c r="T75" s="12" t="str">
        <f aca="false">IF(INDEX(campaigns!$A$2:$A$51,26)="","",INDEX(campaigns!$DC$2:$DC$51,26))</f>
        <v/>
      </c>
      <c r="U75" s="12" t="str">
        <f aca="false">IF(INDEX(campaigns!$A$2:$A$51,26)="","",INDEX(campaigns!$DM$2:$DM$51,26))</f>
        <v/>
      </c>
      <c r="V75" s="0" t="str">
        <f aca="false">IF(INDEX(campaigns!$A$2:$A$51,26)="","",INDEX(campaigns!$DS$2:$DS$51,26))</f>
        <v/>
      </c>
      <c r="W75" s="0" t="str">
        <f aca="false">IF(INDEX(campaigns!$A$2:$A$51,26)="","",INDEX(campaigns!$DT$2:$DT$51,26))</f>
        <v/>
      </c>
      <c r="X75" s="0" t="str">
        <f aca="false">IF(INDEX(campaigns!$A$2:$A$51,26)="","",INDEX(campaigns!$DU$2:$DU$51,26))</f>
        <v/>
      </c>
      <c r="Y75" s="0" t="str">
        <f aca="false">IF(INDEX(campaigns!$A$2:$A$51,26)="","",INDEX(campaigns!$AV$2:$AV$51,26))</f>
        <v/>
      </c>
      <c r="Z75" s="0" t="str">
        <f aca="false">IF(INDEX(campaigns!$A$2:$A$51,26)="","",INDEX(campaigns!$DV$2:$DV$51,26))</f>
        <v/>
      </c>
    </row>
    <row r="76" customFormat="false" ht="15" hidden="false" customHeight="false" outlineLevel="0" collapsed="false">
      <c r="A76" s="0" t="str">
        <f aca="false">IF(INDEX(campaigns!$A$2:$A$51,27)="","",INDEX(campaigns!$A$2:$A$51,27))</f>
        <v/>
      </c>
      <c r="B76" s="0" t="str">
        <f aca="false">IF(INDEX(campaigns!$A$2:$A$51,27)="","",INDEX(campaigns!$BE$2:$BE$51,27))</f>
        <v/>
      </c>
      <c r="C76" s="11" t="str">
        <f aca="false">IF(INDEX(campaigns!$A$2:$A$51,27)="","",INDEX(campaigns!$BG$2:$BG$51,27))</f>
        <v/>
      </c>
      <c r="D76" s="0" t="str">
        <f aca="false">IF(INDEX(campaigns!$A$2:$A$51,27)="","",INDEX(campaigns!$D$2:$D$51,27))</f>
        <v/>
      </c>
      <c r="E76" s="0" t="str">
        <f aca="false">IF(INDEX(campaigns!$A$2:$A$51,27)="","",INDEX(campaigns!$BW$2:$BW$51,27))</f>
        <v/>
      </c>
      <c r="F76" s="0" t="str">
        <f aca="false">IF(INDEX(campaigns!$A$2:$A$51,27)="","",INDEX(campaigns!$BO$2:$BO$51,27))</f>
        <v/>
      </c>
      <c r="G76" s="0" t="str">
        <f aca="false">IF(INDEX(campaigns!$A$2:$A$51,27)="","",INDEX(campaigns!$BP$2:$BP$51,27))</f>
        <v/>
      </c>
      <c r="H76" s="0" t="str">
        <f aca="false">IF(INDEX(campaigns!$A$2:$A$51,27)="","",INDEX(campaigns!$F$2:$F$51,27))</f>
        <v/>
      </c>
      <c r="I76" s="0" t="str">
        <f aca="false">IF(INDEX(campaigns!$A$2:$A$51,27)="","",INDEX(campaigns!$CB$2:$CB$51,27))</f>
        <v/>
      </c>
      <c r="J76" s="0" t="str">
        <f aca="false">IF(INDEX(campaigns!$A$2:$A$51,27)="","",INDEX(campaigns!$CD$2:$CD$51,27))</f>
        <v/>
      </c>
      <c r="K76" s="14" t="str">
        <f aca="false">IF(INDEX(campaigns!$A$2:$A$51,27)="","",INDEX(campaigns!$CE$2:$CE$51,27))</f>
        <v/>
      </c>
      <c r="L76" s="0" t="str">
        <f aca="false">IF(INDEX(campaigns!$A$2:$A$51,27)="","",INDEX(campaigns!$CF$2:$CF$51,27))</f>
        <v/>
      </c>
      <c r="M76" s="0" t="str">
        <f aca="false">IF(INDEX(campaigns!$A$2:$A$51,27)="","",INDEX(campaigns!$CG$2:$CG$51,27))</f>
        <v/>
      </c>
      <c r="N76" s="0" t="str">
        <f aca="false">IF(INDEX(campaigns!$A$2:$A$51,27)="","",INDEX(campaigns!$CH$2:$CH$51,27))</f>
        <v/>
      </c>
      <c r="O76" s="0" t="str">
        <f aca="false">IF(INDEX(campaigns!$A$2:$A$51,27)="","",INDEX(campaigns!$CI$2:$CI$51,27))</f>
        <v/>
      </c>
      <c r="P76" s="0" t="str">
        <f aca="false">IF(INDEX(campaigns!$A$2:$A$51,27)="","",INDEX(campaigns!$CK$2:$CK$51,27))</f>
        <v/>
      </c>
      <c r="Q76" s="13" t="str">
        <f aca="false">IF(INDEX(campaigns!$A$2:$A$51,27)="","",INDEX(campaigns!$CP$2:$CP$51,27))</f>
        <v/>
      </c>
      <c r="R76" s="0" t="str">
        <f aca="false">IF(INDEX(campaigns!$A$2:$A$51,27)="","",INDEX(campaigns!$CX$2:$CX$51,27))</f>
        <v/>
      </c>
      <c r="S76" s="0" t="str">
        <f aca="false">IF(INDEX(campaigns!$A$2:$A$51,27)="","",INDEX(campaigns!$CZ$2:$CZ$51,27))</f>
        <v/>
      </c>
      <c r="T76" s="12" t="str">
        <f aca="false">IF(INDEX(campaigns!$A$2:$A$51,27)="","",INDEX(campaigns!$DC$2:$DC$51,27))</f>
        <v/>
      </c>
      <c r="U76" s="12" t="str">
        <f aca="false">IF(INDEX(campaigns!$A$2:$A$51,27)="","",INDEX(campaigns!$DM$2:$DM$51,27))</f>
        <v/>
      </c>
      <c r="V76" s="0" t="str">
        <f aca="false">IF(INDEX(campaigns!$A$2:$A$51,27)="","",INDEX(campaigns!$DS$2:$DS$51,27))</f>
        <v/>
      </c>
      <c r="W76" s="0" t="str">
        <f aca="false">IF(INDEX(campaigns!$A$2:$A$51,27)="","",INDEX(campaigns!$DT$2:$DT$51,27))</f>
        <v/>
      </c>
      <c r="X76" s="0" t="str">
        <f aca="false">IF(INDEX(campaigns!$A$2:$A$51,27)="","",INDEX(campaigns!$DU$2:$DU$51,27))</f>
        <v/>
      </c>
      <c r="Y76" s="0" t="str">
        <f aca="false">IF(INDEX(campaigns!$A$2:$A$51,27)="","",INDEX(campaigns!$AV$2:$AV$51,27))</f>
        <v/>
      </c>
      <c r="Z76" s="0" t="str">
        <f aca="false">IF(INDEX(campaigns!$A$2:$A$51,27)="","",INDEX(campaigns!$DV$2:$DV$51,27))</f>
        <v/>
      </c>
    </row>
    <row r="77" customFormat="false" ht="15" hidden="false" customHeight="false" outlineLevel="0" collapsed="false">
      <c r="A77" s="0" t="str">
        <f aca="false">IF(INDEX(campaigns!$A$2:$A$51,28)="","",INDEX(campaigns!$A$2:$A$51,28))</f>
        <v/>
      </c>
      <c r="B77" s="0" t="str">
        <f aca="false">IF(INDEX(campaigns!$A$2:$A$51,28)="","",INDEX(campaigns!$BE$2:$BE$51,28))</f>
        <v/>
      </c>
      <c r="C77" s="11" t="str">
        <f aca="false">IF(INDEX(campaigns!$A$2:$A$51,28)="","",INDEX(campaigns!$BG$2:$BG$51,28))</f>
        <v/>
      </c>
      <c r="D77" s="0" t="str">
        <f aca="false">IF(INDEX(campaigns!$A$2:$A$51,28)="","",INDEX(campaigns!$D$2:$D$51,28))</f>
        <v/>
      </c>
      <c r="E77" s="0" t="str">
        <f aca="false">IF(INDEX(campaigns!$A$2:$A$51,28)="","",INDEX(campaigns!$BW$2:$BW$51,28))</f>
        <v/>
      </c>
      <c r="F77" s="0" t="str">
        <f aca="false">IF(INDEX(campaigns!$A$2:$A$51,28)="","",INDEX(campaigns!$BO$2:$BO$51,28))</f>
        <v/>
      </c>
      <c r="G77" s="0" t="str">
        <f aca="false">IF(INDEX(campaigns!$A$2:$A$51,28)="","",INDEX(campaigns!$BP$2:$BP$51,28))</f>
        <v/>
      </c>
      <c r="H77" s="0" t="str">
        <f aca="false">IF(INDEX(campaigns!$A$2:$A$51,28)="","",INDEX(campaigns!$F$2:$F$51,28))</f>
        <v/>
      </c>
      <c r="I77" s="0" t="str">
        <f aca="false">IF(INDEX(campaigns!$A$2:$A$51,28)="","",INDEX(campaigns!$CB$2:$CB$51,28))</f>
        <v/>
      </c>
      <c r="J77" s="0" t="str">
        <f aca="false">IF(INDEX(campaigns!$A$2:$A$51,28)="","",INDEX(campaigns!$CD$2:$CD$51,28))</f>
        <v/>
      </c>
      <c r="K77" s="14" t="str">
        <f aca="false">IF(INDEX(campaigns!$A$2:$A$51,28)="","",INDEX(campaigns!$CE$2:$CE$51,28))</f>
        <v/>
      </c>
      <c r="L77" s="0" t="str">
        <f aca="false">IF(INDEX(campaigns!$A$2:$A$51,28)="","",INDEX(campaigns!$CF$2:$CF$51,28))</f>
        <v/>
      </c>
      <c r="M77" s="0" t="str">
        <f aca="false">IF(INDEX(campaigns!$A$2:$A$51,28)="","",INDEX(campaigns!$CG$2:$CG$51,28))</f>
        <v/>
      </c>
      <c r="N77" s="0" t="str">
        <f aca="false">IF(INDEX(campaigns!$A$2:$A$51,28)="","",INDEX(campaigns!$CH$2:$CH$51,28))</f>
        <v/>
      </c>
      <c r="O77" s="0" t="str">
        <f aca="false">IF(INDEX(campaigns!$A$2:$A$51,28)="","",INDEX(campaigns!$CI$2:$CI$51,28))</f>
        <v/>
      </c>
      <c r="P77" s="0" t="str">
        <f aca="false">IF(INDEX(campaigns!$A$2:$A$51,28)="","",INDEX(campaigns!$CK$2:$CK$51,28))</f>
        <v/>
      </c>
      <c r="Q77" s="13" t="str">
        <f aca="false">IF(INDEX(campaigns!$A$2:$A$51,28)="","",INDEX(campaigns!$CP$2:$CP$51,28))</f>
        <v/>
      </c>
      <c r="R77" s="0" t="str">
        <f aca="false">IF(INDEX(campaigns!$A$2:$A$51,28)="","",INDEX(campaigns!$CX$2:$CX$51,28))</f>
        <v/>
      </c>
      <c r="S77" s="0" t="str">
        <f aca="false">IF(INDEX(campaigns!$A$2:$A$51,28)="","",INDEX(campaigns!$CZ$2:$CZ$51,28))</f>
        <v/>
      </c>
      <c r="T77" s="12" t="str">
        <f aca="false">IF(INDEX(campaigns!$A$2:$A$51,28)="","",INDEX(campaigns!$DC$2:$DC$51,28))</f>
        <v/>
      </c>
      <c r="U77" s="12" t="str">
        <f aca="false">IF(INDEX(campaigns!$A$2:$A$51,28)="","",INDEX(campaigns!$DM$2:$DM$51,28))</f>
        <v/>
      </c>
      <c r="V77" s="0" t="str">
        <f aca="false">IF(INDEX(campaigns!$A$2:$A$51,28)="","",INDEX(campaigns!$DS$2:$DS$51,28))</f>
        <v/>
      </c>
      <c r="W77" s="0" t="str">
        <f aca="false">IF(INDEX(campaigns!$A$2:$A$51,28)="","",INDEX(campaigns!$DT$2:$DT$51,28))</f>
        <v/>
      </c>
      <c r="X77" s="0" t="str">
        <f aca="false">IF(INDEX(campaigns!$A$2:$A$51,28)="","",INDEX(campaigns!$DU$2:$DU$51,28))</f>
        <v/>
      </c>
      <c r="Y77" s="0" t="str">
        <f aca="false">IF(INDEX(campaigns!$A$2:$A$51,28)="","",INDEX(campaigns!$AV$2:$AV$51,28))</f>
        <v/>
      </c>
      <c r="Z77" s="0" t="str">
        <f aca="false">IF(INDEX(campaigns!$A$2:$A$51,28)="","",INDEX(campaigns!$DV$2:$DV$51,28))</f>
        <v/>
      </c>
    </row>
    <row r="78" customFormat="false" ht="15" hidden="false" customHeight="false" outlineLevel="0" collapsed="false">
      <c r="A78" s="0" t="str">
        <f aca="false">IF(INDEX(campaigns!$A$2:$A$51,29)="","",INDEX(campaigns!$A$2:$A$51,29))</f>
        <v/>
      </c>
      <c r="B78" s="0" t="str">
        <f aca="false">IF(INDEX(campaigns!$A$2:$A$51,29)="","",INDEX(campaigns!$BE$2:$BE$51,29))</f>
        <v/>
      </c>
      <c r="C78" s="11" t="str">
        <f aca="false">IF(INDEX(campaigns!$A$2:$A$51,29)="","",INDEX(campaigns!$BG$2:$BG$51,29))</f>
        <v/>
      </c>
      <c r="D78" s="0" t="str">
        <f aca="false">IF(INDEX(campaigns!$A$2:$A$51,29)="","",INDEX(campaigns!$D$2:$D$51,29))</f>
        <v/>
      </c>
      <c r="E78" s="0" t="str">
        <f aca="false">IF(INDEX(campaigns!$A$2:$A$51,29)="","",INDEX(campaigns!$BW$2:$BW$51,29))</f>
        <v/>
      </c>
      <c r="F78" s="0" t="str">
        <f aca="false">IF(INDEX(campaigns!$A$2:$A$51,29)="","",INDEX(campaigns!$BO$2:$BO$51,29))</f>
        <v/>
      </c>
      <c r="G78" s="0" t="str">
        <f aca="false">IF(INDEX(campaigns!$A$2:$A$51,29)="","",INDEX(campaigns!$BP$2:$BP$51,29))</f>
        <v/>
      </c>
      <c r="H78" s="0" t="str">
        <f aca="false">IF(INDEX(campaigns!$A$2:$A$51,29)="","",INDEX(campaigns!$F$2:$F$51,29))</f>
        <v/>
      </c>
      <c r="I78" s="0" t="str">
        <f aca="false">IF(INDEX(campaigns!$A$2:$A$51,29)="","",INDEX(campaigns!$CB$2:$CB$51,29))</f>
        <v/>
      </c>
      <c r="J78" s="0" t="str">
        <f aca="false">IF(INDEX(campaigns!$A$2:$A$51,29)="","",INDEX(campaigns!$CD$2:$CD$51,29))</f>
        <v/>
      </c>
      <c r="K78" s="14" t="str">
        <f aca="false">IF(INDEX(campaigns!$A$2:$A$51,29)="","",INDEX(campaigns!$CE$2:$CE$51,29))</f>
        <v/>
      </c>
      <c r="L78" s="0" t="str">
        <f aca="false">IF(INDEX(campaigns!$A$2:$A$51,29)="","",INDEX(campaigns!$CF$2:$CF$51,29))</f>
        <v/>
      </c>
      <c r="M78" s="0" t="str">
        <f aca="false">IF(INDEX(campaigns!$A$2:$A$51,29)="","",INDEX(campaigns!$CG$2:$CG$51,29))</f>
        <v/>
      </c>
      <c r="N78" s="0" t="str">
        <f aca="false">IF(INDEX(campaigns!$A$2:$A$51,29)="","",INDEX(campaigns!$CH$2:$CH$51,29))</f>
        <v/>
      </c>
      <c r="O78" s="0" t="str">
        <f aca="false">IF(INDEX(campaigns!$A$2:$A$51,29)="","",INDEX(campaigns!$CI$2:$CI$51,29))</f>
        <v/>
      </c>
      <c r="P78" s="0" t="str">
        <f aca="false">IF(INDEX(campaigns!$A$2:$A$51,29)="","",INDEX(campaigns!$CK$2:$CK$51,29))</f>
        <v/>
      </c>
      <c r="Q78" s="13" t="str">
        <f aca="false">IF(INDEX(campaigns!$A$2:$A$51,29)="","",INDEX(campaigns!$CP$2:$CP$51,29))</f>
        <v/>
      </c>
      <c r="R78" s="0" t="str">
        <f aca="false">IF(INDEX(campaigns!$A$2:$A$51,29)="","",INDEX(campaigns!$CX$2:$CX$51,29))</f>
        <v/>
      </c>
      <c r="S78" s="0" t="str">
        <f aca="false">IF(INDEX(campaigns!$A$2:$A$51,29)="","",INDEX(campaigns!$CZ$2:$CZ$51,29))</f>
        <v/>
      </c>
      <c r="T78" s="12" t="str">
        <f aca="false">IF(INDEX(campaigns!$A$2:$A$51,29)="","",INDEX(campaigns!$DC$2:$DC$51,29))</f>
        <v/>
      </c>
      <c r="U78" s="12" t="str">
        <f aca="false">IF(INDEX(campaigns!$A$2:$A$51,29)="","",INDEX(campaigns!$DM$2:$DM$51,29))</f>
        <v/>
      </c>
      <c r="V78" s="0" t="str">
        <f aca="false">IF(INDEX(campaigns!$A$2:$A$51,29)="","",INDEX(campaigns!$DS$2:$DS$51,29))</f>
        <v/>
      </c>
      <c r="W78" s="0" t="str">
        <f aca="false">IF(INDEX(campaigns!$A$2:$A$51,29)="","",INDEX(campaigns!$DT$2:$DT$51,29))</f>
        <v/>
      </c>
      <c r="X78" s="0" t="str">
        <f aca="false">IF(INDEX(campaigns!$A$2:$A$51,29)="","",INDEX(campaigns!$DU$2:$DU$51,29))</f>
        <v/>
      </c>
      <c r="Y78" s="0" t="str">
        <f aca="false">IF(INDEX(campaigns!$A$2:$A$51,29)="","",INDEX(campaigns!$AV$2:$AV$51,29))</f>
        <v/>
      </c>
      <c r="Z78" s="0" t="str">
        <f aca="false">IF(INDEX(campaigns!$A$2:$A$51,29)="","",INDEX(campaigns!$DV$2:$DV$51,29))</f>
        <v/>
      </c>
    </row>
    <row r="79" customFormat="false" ht="15" hidden="false" customHeight="false" outlineLevel="0" collapsed="false">
      <c r="A79" s="0" t="str">
        <f aca="false">IF(INDEX(campaigns!$A$2:$A$51,30)="","",INDEX(campaigns!$A$2:$A$51,30))</f>
        <v/>
      </c>
      <c r="B79" s="0" t="str">
        <f aca="false">IF(INDEX(campaigns!$A$2:$A$51,30)="","",INDEX(campaigns!$BE$2:$BE$51,30))</f>
        <v/>
      </c>
      <c r="C79" s="11" t="str">
        <f aca="false">IF(INDEX(campaigns!$A$2:$A$51,30)="","",INDEX(campaigns!$BG$2:$BG$51,30))</f>
        <v/>
      </c>
      <c r="D79" s="0" t="str">
        <f aca="false">IF(INDEX(campaigns!$A$2:$A$51,30)="","",INDEX(campaigns!$D$2:$D$51,30))</f>
        <v/>
      </c>
      <c r="E79" s="0" t="str">
        <f aca="false">IF(INDEX(campaigns!$A$2:$A$51,30)="","",INDEX(campaigns!$BW$2:$BW$51,30))</f>
        <v/>
      </c>
      <c r="F79" s="0" t="str">
        <f aca="false">IF(INDEX(campaigns!$A$2:$A$51,30)="","",INDEX(campaigns!$BO$2:$BO$51,30))</f>
        <v/>
      </c>
      <c r="G79" s="0" t="str">
        <f aca="false">IF(INDEX(campaigns!$A$2:$A$51,30)="","",INDEX(campaigns!$BP$2:$BP$51,30))</f>
        <v/>
      </c>
      <c r="H79" s="0" t="str">
        <f aca="false">IF(INDEX(campaigns!$A$2:$A$51,30)="","",INDEX(campaigns!$F$2:$F$51,30))</f>
        <v/>
      </c>
      <c r="I79" s="0" t="str">
        <f aca="false">IF(INDEX(campaigns!$A$2:$A$51,30)="","",INDEX(campaigns!$CB$2:$CB$51,30))</f>
        <v/>
      </c>
      <c r="J79" s="0" t="str">
        <f aca="false">IF(INDEX(campaigns!$A$2:$A$51,30)="","",INDEX(campaigns!$CD$2:$CD$51,30))</f>
        <v/>
      </c>
      <c r="K79" s="14" t="str">
        <f aca="false">IF(INDEX(campaigns!$A$2:$A$51,30)="","",INDEX(campaigns!$CE$2:$CE$51,30))</f>
        <v/>
      </c>
      <c r="L79" s="0" t="str">
        <f aca="false">IF(INDEX(campaigns!$A$2:$A$51,30)="","",INDEX(campaigns!$CF$2:$CF$51,30))</f>
        <v/>
      </c>
      <c r="M79" s="0" t="str">
        <f aca="false">IF(INDEX(campaigns!$A$2:$A$51,30)="","",INDEX(campaigns!$CG$2:$CG$51,30))</f>
        <v/>
      </c>
      <c r="N79" s="0" t="str">
        <f aca="false">IF(INDEX(campaigns!$A$2:$A$51,30)="","",INDEX(campaigns!$CH$2:$CH$51,30))</f>
        <v/>
      </c>
      <c r="O79" s="0" t="str">
        <f aca="false">IF(INDEX(campaigns!$A$2:$A$51,30)="","",INDEX(campaigns!$CI$2:$CI$51,30))</f>
        <v/>
      </c>
      <c r="P79" s="0" t="str">
        <f aca="false">IF(INDEX(campaigns!$A$2:$A$51,30)="","",INDEX(campaigns!$CK$2:$CK$51,30))</f>
        <v/>
      </c>
      <c r="Q79" s="13" t="str">
        <f aca="false">IF(INDEX(campaigns!$A$2:$A$51,30)="","",INDEX(campaigns!$CP$2:$CP$51,30))</f>
        <v/>
      </c>
      <c r="R79" s="0" t="str">
        <f aca="false">IF(INDEX(campaigns!$A$2:$A$51,30)="","",INDEX(campaigns!$CX$2:$CX$51,30))</f>
        <v/>
      </c>
      <c r="S79" s="0" t="str">
        <f aca="false">IF(INDEX(campaigns!$A$2:$A$51,30)="","",INDEX(campaigns!$CZ$2:$CZ$51,30))</f>
        <v/>
      </c>
      <c r="T79" s="12" t="str">
        <f aca="false">IF(INDEX(campaigns!$A$2:$A$51,30)="","",INDEX(campaigns!$DC$2:$DC$51,30))</f>
        <v/>
      </c>
      <c r="U79" s="12" t="str">
        <f aca="false">IF(INDEX(campaigns!$A$2:$A$51,30)="","",INDEX(campaigns!$DM$2:$DM$51,30))</f>
        <v/>
      </c>
      <c r="V79" s="0" t="str">
        <f aca="false">IF(INDEX(campaigns!$A$2:$A$51,30)="","",INDEX(campaigns!$DS$2:$DS$51,30))</f>
        <v/>
      </c>
      <c r="W79" s="0" t="str">
        <f aca="false">IF(INDEX(campaigns!$A$2:$A$51,30)="","",INDEX(campaigns!$DT$2:$DT$51,30))</f>
        <v/>
      </c>
      <c r="X79" s="0" t="str">
        <f aca="false">IF(INDEX(campaigns!$A$2:$A$51,30)="","",INDEX(campaigns!$DU$2:$DU$51,30))</f>
        <v/>
      </c>
      <c r="Y79" s="0" t="str">
        <f aca="false">IF(INDEX(campaigns!$A$2:$A$51,30)="","",INDEX(campaigns!$AV$2:$AV$51,30))</f>
        <v/>
      </c>
      <c r="Z79" s="0" t="str">
        <f aca="false">IF(INDEX(campaigns!$A$2:$A$51,30)="","",INDEX(campaigns!$DV$2:$DV$51,30))</f>
        <v/>
      </c>
    </row>
    <row r="81" customFormat="false" ht="15" hidden="false" customHeight="false" outlineLevel="0" collapsed="false">
      <c r="A81" s="16" t="s">
        <v>121</v>
      </c>
    </row>
    <row r="83" customFormat="false" ht="15" hidden="false" customHeight="false" outlineLevel="0" collapsed="false">
      <c r="A83" s="8" t="s">
        <v>122</v>
      </c>
    </row>
    <row r="84" customFormat="false" ht="15" hidden="false" customHeight="false" outlineLevel="0" collapsed="false">
      <c r="A84" s="6" t="s">
        <v>123</v>
      </c>
      <c r="B84" s="6" t="s">
        <v>124</v>
      </c>
      <c r="C84" s="6" t="s">
        <v>125</v>
      </c>
      <c r="D84" s="6" t="str">
        <f aca="false">IF(INDEX(drops!$A$2:$A$21,1)="","",INDEX(drops!$A$2:$A$21,1))</f>
        <v>SAMPLE-DRP-001</v>
      </c>
      <c r="E84" s="6" t="str">
        <f aca="false">IF(INDEX(drops!$A$2:$A$21,2)="","",INDEX(drops!$A$2:$A$21,2))</f>
        <v>SAMPLE-DRP-002</v>
      </c>
      <c r="F84" s="6" t="str">
        <f aca="false">IF(INDEX(drops!$A$2:$A$21,3)="","",INDEX(drops!$A$2:$A$21,3))</f>
        <v>SAMPLE-DRP-003</v>
      </c>
      <c r="G84" s="6" t="str">
        <f aca="false">IF(INDEX(drops!$A$2:$A$21,4)="","",INDEX(drops!$A$2:$A$21,4))</f>
        <v>SAMPLE-DRP-004</v>
      </c>
      <c r="H84" s="6" t="str">
        <f aca="false">IF(INDEX(drops!$A$2:$A$21,5)="","",INDEX(drops!$A$2:$A$21,5))</f>
        <v/>
      </c>
      <c r="I84" s="6" t="str">
        <f aca="false">IF(INDEX(drops!$A$2:$A$21,6)="","",INDEX(drops!$A$2:$A$21,6))</f>
        <v/>
      </c>
    </row>
    <row r="85" customFormat="false" ht="15" hidden="false" customHeight="false" outlineLevel="0" collapsed="false">
      <c r="A85" s="0" t="s">
        <v>126</v>
      </c>
      <c r="B85" s="13" t="n">
        <f aca="false">SUMIFS(hours!$E$2:$E$1501,hours!$D$2:$D$1501,"brand_sales")</f>
        <v>55.5</v>
      </c>
      <c r="C85" s="13" t="n">
        <f aca="false">SUMIFS(hours!$E$2:$E$1501,hours!$D$2:$D$1501,"brand_sales",hours!$B$2:$B$1501,"")</f>
        <v>7.5</v>
      </c>
      <c r="D85" s="13" t="n">
        <f aca="false">IF(D84="","",SUMIFS(hours!$E$2:$E$1501,hours!$D$2:$D$1501,"brand_sales",hours!$B$2:$B$1501,D84))</f>
        <v>20</v>
      </c>
      <c r="E85" s="13" t="n">
        <f aca="false">IF(E84="","",SUMIFS(hours!$E$2:$E$1501,hours!$D$2:$D$1501,"brand_sales",hours!$B$2:$B$1501,E84))</f>
        <v>18</v>
      </c>
      <c r="F85" s="13" t="n">
        <f aca="false">IF(F84="","",SUMIFS(hours!$E$2:$E$1501,hours!$D$2:$D$1501,"brand_sales",hours!$B$2:$B$1501,F84))</f>
        <v>6</v>
      </c>
      <c r="G85" s="13" t="n">
        <f aca="false">IF(G84="","",SUMIFS(hours!$E$2:$E$1501,hours!$D$2:$D$1501,"brand_sales",hours!$B$2:$B$1501,G84))</f>
        <v>4</v>
      </c>
      <c r="H85" s="13" t="str">
        <f aca="false">IF(H84="","",SUMIFS(hours!$E$2:$E$1501,hours!$D$2:$D$1501,"brand_sales",hours!$B$2:$B$1501,H84))</f>
        <v/>
      </c>
      <c r="I85" s="13" t="str">
        <f aca="false">IF(I84="","",SUMIFS(hours!$E$2:$E$1501,hours!$D$2:$D$1501,"brand_sales",hours!$B$2:$B$1501,I84))</f>
        <v/>
      </c>
    </row>
    <row r="86" customFormat="false" ht="15" hidden="false" customHeight="false" outlineLevel="0" collapsed="false">
      <c r="A86" s="0" t="s">
        <v>127</v>
      </c>
      <c r="B86" s="13" t="n">
        <f aca="false">SUMIFS(hours!$E$2:$E$1501,hours!$D$2:$D$1501,"office_coordination")</f>
        <v>40.5</v>
      </c>
      <c r="C86" s="13" t="n">
        <f aca="false">SUMIFS(hours!$E$2:$E$1501,hours!$D$2:$D$1501,"office_coordination",hours!$B$2:$B$1501,"")</f>
        <v>7.5</v>
      </c>
      <c r="D86" s="13" t="n">
        <f aca="false">IF(D84="","",SUMIFS(hours!$E$2:$E$1501,hours!$D$2:$D$1501,"office_coordination",hours!$B$2:$B$1501,D84))</f>
        <v>20</v>
      </c>
      <c r="E86" s="13" t="n">
        <f aca="false">IF(E84="","",SUMIFS(hours!$E$2:$E$1501,hours!$D$2:$D$1501,"office_coordination",hours!$B$2:$B$1501,E84))</f>
        <v>10</v>
      </c>
      <c r="F86" s="13" t="n">
        <f aca="false">IF(F84="","",SUMIFS(hours!$E$2:$E$1501,hours!$D$2:$D$1501,"office_coordination",hours!$B$2:$B$1501,F84))</f>
        <v>1.5</v>
      </c>
      <c r="G86" s="13" t="n">
        <f aca="false">IF(G84="","",SUMIFS(hours!$E$2:$E$1501,hours!$D$2:$D$1501,"office_coordination",hours!$B$2:$B$1501,G84))</f>
        <v>1.5</v>
      </c>
      <c r="H86" s="13" t="str">
        <f aca="false">IF(H84="","",SUMIFS(hours!$E$2:$E$1501,hours!$D$2:$D$1501,"office_coordination",hours!$B$2:$B$1501,H84))</f>
        <v/>
      </c>
      <c r="I86" s="13" t="str">
        <f aca="false">IF(I84="","",SUMIFS(hours!$E$2:$E$1501,hours!$D$2:$D$1501,"office_coordination",hours!$B$2:$B$1501,I84))</f>
        <v/>
      </c>
    </row>
    <row r="87" customFormat="false" ht="15" hidden="false" customHeight="false" outlineLevel="0" collapsed="false">
      <c r="A87" s="0" t="s">
        <v>128</v>
      </c>
      <c r="B87" s="13" t="n">
        <f aca="false">SUMIFS(hours!$E$2:$E$1501,hours!$D$2:$D$1501,"receiving_kitting")</f>
        <v>12.5</v>
      </c>
      <c r="C87" s="13" t="n">
        <f aca="false">SUMIFS(hours!$E$2:$E$1501,hours!$D$2:$D$1501,"receiving_kitting",hours!$B$2:$B$1501,"")</f>
        <v>0</v>
      </c>
      <c r="D87" s="13" t="n">
        <f aca="false">IF(D84="","",SUMIFS(hours!$E$2:$E$1501,hours!$D$2:$D$1501,"receiving_kitting",hours!$B$2:$B$1501,D84))</f>
        <v>3</v>
      </c>
      <c r="E87" s="13" t="n">
        <f aca="false">IF(E84="","",SUMIFS(hours!$E$2:$E$1501,hours!$D$2:$D$1501,"receiving_kitting",hours!$B$2:$B$1501,E84))</f>
        <v>4</v>
      </c>
      <c r="F87" s="13" t="n">
        <f aca="false">IF(F84="","",SUMIFS(hours!$E$2:$E$1501,hours!$D$2:$D$1501,"receiving_kitting",hours!$B$2:$B$1501,F84))</f>
        <v>3</v>
      </c>
      <c r="G87" s="13" t="n">
        <f aca="false">IF(G84="","",SUMIFS(hours!$E$2:$E$1501,hours!$D$2:$D$1501,"receiving_kitting",hours!$B$2:$B$1501,G84))</f>
        <v>2.5</v>
      </c>
      <c r="H87" s="13" t="str">
        <f aca="false">IF(H84="","",SUMIFS(hours!$E$2:$E$1501,hours!$D$2:$D$1501,"receiving_kitting",hours!$B$2:$B$1501,H84))</f>
        <v/>
      </c>
      <c r="I87" s="13" t="str">
        <f aca="false">IF(I84="","",SUMIFS(hours!$E$2:$E$1501,hours!$D$2:$D$1501,"receiving_kitting",hours!$B$2:$B$1501,I84))</f>
        <v/>
      </c>
    </row>
    <row r="88" customFormat="false" ht="15" hidden="false" customHeight="false" outlineLevel="0" collapsed="false">
      <c r="A88" s="0" t="s">
        <v>129</v>
      </c>
      <c r="B88" s="13" t="n">
        <f aca="false">SUMIFS(hours!$E$2:$E$1501,hours!$D$2:$D$1501,"drop_day")</f>
        <v>19</v>
      </c>
      <c r="C88" s="13" t="n">
        <f aca="false">SUMIFS(hours!$E$2:$E$1501,hours!$D$2:$D$1501,"drop_day",hours!$B$2:$B$1501,"")</f>
        <v>0</v>
      </c>
      <c r="D88" s="13" t="n">
        <f aca="false">IF(D84="","",SUMIFS(hours!$E$2:$E$1501,hours!$D$2:$D$1501,"drop_day",hours!$B$2:$B$1501,D84))</f>
        <v>5</v>
      </c>
      <c r="E88" s="13" t="n">
        <f aca="false">IF(E84="","",SUMIFS(hours!$E$2:$E$1501,hours!$D$2:$D$1501,"drop_day",hours!$B$2:$B$1501,E84))</f>
        <v>8</v>
      </c>
      <c r="F88" s="13" t="n">
        <f aca="false">IF(F84="","",SUMIFS(hours!$E$2:$E$1501,hours!$D$2:$D$1501,"drop_day",hours!$B$2:$B$1501,F84))</f>
        <v>4</v>
      </c>
      <c r="G88" s="13" t="n">
        <f aca="false">IF(G84="","",SUMIFS(hours!$E$2:$E$1501,hours!$D$2:$D$1501,"drop_day",hours!$B$2:$B$1501,G84))</f>
        <v>2</v>
      </c>
      <c r="H88" s="13" t="str">
        <f aca="false">IF(H84="","",SUMIFS(hours!$E$2:$E$1501,hours!$D$2:$D$1501,"drop_day",hours!$B$2:$B$1501,H84))</f>
        <v/>
      </c>
      <c r="I88" s="13" t="str">
        <f aca="false">IF(I84="","",SUMIFS(hours!$E$2:$E$1501,hours!$D$2:$D$1501,"drop_day",hours!$B$2:$B$1501,I84))</f>
        <v/>
      </c>
    </row>
    <row r="89" customFormat="false" ht="15" hidden="false" customHeight="false" outlineLevel="0" collapsed="false">
      <c r="A89" s="0" t="s">
        <v>130</v>
      </c>
      <c r="B89" s="13" t="n">
        <f aca="false">SUMIFS(hours!$E$2:$E$1501,hours!$D$2:$D$1501,"checks_pickup")</f>
        <v>12.5</v>
      </c>
      <c r="C89" s="13" t="n">
        <f aca="false">SUMIFS(hours!$E$2:$E$1501,hours!$D$2:$D$1501,"checks_pickup",hours!$B$2:$B$1501,"")</f>
        <v>0</v>
      </c>
      <c r="D89" s="13" t="n">
        <f aca="false">IF(D84="","",SUMIFS(hours!$E$2:$E$1501,hours!$D$2:$D$1501,"checks_pickup",hours!$B$2:$B$1501,D84))</f>
        <v>3</v>
      </c>
      <c r="E89" s="13" t="n">
        <f aca="false">IF(E84="","",SUMIFS(hours!$E$2:$E$1501,hours!$D$2:$D$1501,"checks_pickup",hours!$B$2:$B$1501,E84))</f>
        <v>4</v>
      </c>
      <c r="F89" s="13" t="n">
        <f aca="false">IF(F84="","",SUMIFS(hours!$E$2:$E$1501,hours!$D$2:$D$1501,"checks_pickup",hours!$B$2:$B$1501,F84))</f>
        <v>3</v>
      </c>
      <c r="G89" s="13" t="n">
        <f aca="false">IF(G84="","",SUMIFS(hours!$E$2:$E$1501,hours!$D$2:$D$1501,"checks_pickup",hours!$B$2:$B$1501,G84))</f>
        <v>2.5</v>
      </c>
      <c r="H89" s="13" t="str">
        <f aca="false">IF(H84="","",SUMIFS(hours!$E$2:$E$1501,hours!$D$2:$D$1501,"checks_pickup",hours!$B$2:$B$1501,H84))</f>
        <v/>
      </c>
      <c r="I89" s="13" t="str">
        <f aca="false">IF(I84="","",SUMIFS(hours!$E$2:$E$1501,hours!$D$2:$D$1501,"checks_pickup",hours!$B$2:$B$1501,I84))</f>
        <v/>
      </c>
    </row>
    <row r="90" customFormat="false" ht="15" hidden="false" customHeight="false" outlineLevel="0" collapsed="false">
      <c r="A90" s="0" t="s">
        <v>131</v>
      </c>
      <c r="B90" s="13" t="n">
        <f aca="false">SUMIFS(hours!$E$2:$E$1501,hours!$D$2:$D$1501,"reporting_debriefs")</f>
        <v>16</v>
      </c>
      <c r="C90" s="13" t="n">
        <f aca="false">SUMIFS(hours!$E$2:$E$1501,hours!$D$2:$D$1501,"reporting_debriefs",hours!$B$2:$B$1501,"")</f>
        <v>0</v>
      </c>
      <c r="D90" s="13" t="n">
        <f aca="false">IF(D84="","",SUMIFS(hours!$E$2:$E$1501,hours!$D$2:$D$1501,"reporting_debriefs",hours!$B$2:$B$1501,D84))</f>
        <v>4</v>
      </c>
      <c r="E90" s="13" t="n">
        <f aca="false">IF(E84="","",SUMIFS(hours!$E$2:$E$1501,hours!$D$2:$D$1501,"reporting_debriefs",hours!$B$2:$B$1501,E84))</f>
        <v>6</v>
      </c>
      <c r="F90" s="13" t="n">
        <f aca="false">IF(F84="","",SUMIFS(hours!$E$2:$E$1501,hours!$D$2:$D$1501,"reporting_debriefs",hours!$B$2:$B$1501,F84))</f>
        <v>2</v>
      </c>
      <c r="G90" s="13" t="n">
        <f aca="false">IF(G84="","",SUMIFS(hours!$E$2:$E$1501,hours!$D$2:$D$1501,"reporting_debriefs",hours!$B$2:$B$1501,G84))</f>
        <v>4</v>
      </c>
      <c r="H90" s="13" t="str">
        <f aca="false">IF(H84="","",SUMIFS(hours!$E$2:$E$1501,hours!$D$2:$D$1501,"reporting_debriefs",hours!$B$2:$B$1501,H84))</f>
        <v/>
      </c>
      <c r="I90" s="13" t="str">
        <f aca="false">IF(I84="","",SUMIFS(hours!$E$2:$E$1501,hours!$D$2:$D$1501,"reporting_debriefs",hours!$B$2:$B$1501,I84))</f>
        <v/>
      </c>
    </row>
    <row r="91" customFormat="false" ht="15" hidden="false" customHeight="false" outlineLevel="0" collapsed="false">
      <c r="A91" s="0" t="s">
        <v>132</v>
      </c>
      <c r="B91" s="13" t="n">
        <f aca="false">SUMIFS(hours!$E$2:$E$1501,hours!$D$2:$D$1501,"admin_invoicing")</f>
        <v>6</v>
      </c>
      <c r="C91" s="13" t="n">
        <f aca="false">SUMIFS(hours!$E$2:$E$1501,hours!$D$2:$D$1501,"admin_invoicing",hours!$B$2:$B$1501,"")</f>
        <v>0</v>
      </c>
      <c r="D91" s="13" t="n">
        <f aca="false">IF(D84="","",SUMIFS(hours!$E$2:$E$1501,hours!$D$2:$D$1501,"admin_invoicing",hours!$B$2:$B$1501,D84))</f>
        <v>2</v>
      </c>
      <c r="E91" s="13" t="n">
        <f aca="false">IF(E84="","",SUMIFS(hours!$E$2:$E$1501,hours!$D$2:$D$1501,"admin_invoicing",hours!$B$2:$B$1501,E84))</f>
        <v>2</v>
      </c>
      <c r="F91" s="13" t="n">
        <f aca="false">IF(F84="","",SUMIFS(hours!$E$2:$E$1501,hours!$D$2:$D$1501,"admin_invoicing",hours!$B$2:$B$1501,F84))</f>
        <v>1</v>
      </c>
      <c r="G91" s="13" t="n">
        <f aca="false">IF(G84="","",SUMIFS(hours!$E$2:$E$1501,hours!$D$2:$D$1501,"admin_invoicing",hours!$B$2:$B$1501,G84))</f>
        <v>1</v>
      </c>
      <c r="H91" s="13" t="str">
        <f aca="false">IF(H84="","",SUMIFS(hours!$E$2:$E$1501,hours!$D$2:$D$1501,"admin_invoicing",hours!$B$2:$B$1501,H84))</f>
        <v/>
      </c>
      <c r="I91" s="13" t="str">
        <f aca="false">IF(I84="","",SUMIFS(hours!$E$2:$E$1501,hours!$D$2:$D$1501,"admin_invoicing",hours!$B$2:$B$1501,I84))</f>
        <v/>
      </c>
    </row>
    <row r="92" customFormat="false" ht="15" hidden="false" customHeight="false" outlineLevel="0" collapsed="false">
      <c r="A92" s="6" t="s">
        <v>133</v>
      </c>
      <c r="B92" s="13" t="n">
        <f aca="false">SUM(B85:B91)</f>
        <v>162</v>
      </c>
      <c r="C92" s="13" t="n">
        <f aca="false">SUM(C85:C91)</f>
        <v>15</v>
      </c>
      <c r="D92" s="13" t="n">
        <f aca="false">IF(D84="","",SUM(D85:D91))</f>
        <v>57</v>
      </c>
      <c r="E92" s="13" t="n">
        <f aca="false">IF(E84="","",SUM(E85:E91))</f>
        <v>52</v>
      </c>
      <c r="F92" s="13" t="n">
        <f aca="false">IF(F84="","",SUM(F85:F91))</f>
        <v>20.5</v>
      </c>
      <c r="G92" s="13" t="n">
        <f aca="false">IF(G84="","",SUM(G85:G91))</f>
        <v>17.5</v>
      </c>
      <c r="H92" s="13" t="str">
        <f aca="false">IF(H84="","",SUM(H85:H91))</f>
        <v/>
      </c>
      <c r="I92" s="13" t="str">
        <f aca="false">IF(I84="","",SUM(I85:I91))</f>
        <v/>
      </c>
    </row>
  </sheetData>
  <conditionalFormatting sqref="B7">
    <cfRule type="expression" priority="2" aboveAverage="0" equalAverage="0" bottom="0" percent="0" rank="0" text="" dxfId="0">
      <formula>B7&gt;0</formula>
    </cfRule>
  </conditionalFormatting>
  <conditionalFormatting sqref="B8">
    <cfRule type="expression" priority="3" aboveAverage="0" equalAverage="0" bottom="0" percent="0" rank="0" text="" dxfId="0">
      <formula>B8&gt;0</formula>
    </cfRule>
  </conditionalFormatting>
  <conditionalFormatting sqref="B9">
    <cfRule type="expression" priority="4" aboveAverage="0" equalAverage="0" bottom="0" percent="0" rank="0" text="" dxfId="0">
      <formula>B9&gt;0</formula>
    </cfRule>
  </conditionalFormatting>
  <conditionalFormatting sqref="B10">
    <cfRule type="expression" priority="5" aboveAverage="0" equalAverage="0" bottom="0" percent="0" rank="0" text="" dxfId="0">
      <formula>B10&gt;0</formula>
    </cfRule>
  </conditionalFormatting>
  <conditionalFormatting sqref="B11">
    <cfRule type="expression" priority="6" aboveAverage="0" equalAverage="0" bottom="0" percent="0" rank="0" text="" dxfId="0">
      <formula>B11&gt;0</formula>
    </cfRule>
  </conditionalFormatting>
  <conditionalFormatting sqref="B12">
    <cfRule type="expression" priority="7" aboveAverage="0" equalAverage="0" bottom="0" percent="0" rank="0" text="" dxfId="0">
      <formula>B12&gt;0</formula>
    </cfRule>
  </conditionalFormatting>
  <conditionalFormatting sqref="B13">
    <cfRule type="expression" priority="8" aboveAverage="0" equalAverage="0" bottom="0" percent="0" rank="0" text="" dxfId="0">
      <formula>B13&gt;0</formula>
    </cfRule>
  </conditionalFormatting>
  <conditionalFormatting sqref="B14">
    <cfRule type="expression" priority="9" aboveAverage="0" equalAverage="0" bottom="0" percent="0" rank="0" text="" dxfId="0">
      <formula>B14&gt;0</formula>
    </cfRule>
  </conditionalFormatting>
  <conditionalFormatting sqref="B15">
    <cfRule type="expression" priority="10" aboveAverage="0" equalAverage="0" bottom="0" percent="0" rank="0" text="" dxfId="0">
      <formula>B15&gt;0</formula>
    </cfRule>
  </conditionalFormatting>
  <conditionalFormatting sqref="B16">
    <cfRule type="expression" priority="11" aboveAverage="0" equalAverage="0" bottom="0" percent="0" rank="0" text="" dxfId="0">
      <formula>B16&gt;0</formula>
    </cfRule>
  </conditionalFormatting>
  <conditionalFormatting sqref="B17">
    <cfRule type="expression" priority="12" aboveAverage="0" equalAverage="0" bottom="0" percent="0" rank="0" text="" dxfId="0">
      <formula>B17&gt;0</formula>
    </cfRule>
  </conditionalFormatting>
  <conditionalFormatting sqref="B18">
    <cfRule type="expression" priority="13" aboveAverage="0" equalAverage="0" bottom="0" percent="0" rank="0" text="" dxfId="0">
      <formula>B18&gt;0</formula>
    </cfRule>
  </conditionalFormatting>
  <conditionalFormatting sqref="B19">
    <cfRule type="expression" priority="14" aboveAverage="0" equalAverage="0" bottom="0" percent="0" rank="0" text="" dxfId="0">
      <formula>B19&gt;0</formula>
    </cfRule>
  </conditionalFormatting>
  <conditionalFormatting sqref="B20">
    <cfRule type="expression" priority="15" aboveAverage="0" equalAverage="0" bottom="0" percent="0" rank="0" text="" dxfId="0">
      <formula>B20&gt;0</formula>
    </cfRule>
  </conditionalFormatting>
  <conditionalFormatting sqref="B21">
    <cfRule type="expression" priority="16" aboveAverage="0" equalAverage="0" bottom="0" percent="0" rank="0" text="" dxfId="0">
      <formula>B21&gt;0</formula>
    </cfRule>
  </conditionalFormatting>
  <conditionalFormatting sqref="B22">
    <cfRule type="expression" priority="17" aboveAverage="0" equalAverage="0" bottom="0" percent="0" rank="0" text="" dxfId="0">
      <formula>B22&gt;0</formula>
    </cfRule>
  </conditionalFormatting>
  <conditionalFormatting sqref="B23">
    <cfRule type="expression" priority="18" aboveAverage="0" equalAverage="0" bottom="0" percent="0" rank="0" text="" dxfId="0">
      <formula>B23&gt;0</formula>
    </cfRule>
  </conditionalFormatting>
  <conditionalFormatting sqref="B24">
    <cfRule type="expression" priority="19" aboveAverage="0" equalAverage="0" bottom="0" percent="0" rank="0" text="" dxfId="0">
      <formula>B24&gt;0</formula>
    </cfRule>
  </conditionalFormatting>
  <conditionalFormatting sqref="B25">
    <cfRule type="expression" priority="20" aboveAverage="0" equalAverage="0" bottom="0" percent="0" rank="0" text="" dxfId="0">
      <formula>B25&gt;0</formula>
    </cfRule>
  </conditionalFormatting>
  <conditionalFormatting sqref="B26">
    <cfRule type="expression" priority="21" aboveAverage="0" equalAverage="0" bottom="0" percent="0" rank="0" text="" dxfId="0">
      <formula>B26&gt;0</formula>
    </cfRule>
  </conditionalFormatting>
  <conditionalFormatting sqref="B27">
    <cfRule type="expression" priority="22" aboveAverage="0" equalAverage="0" bottom="0" percent="0" rank="0" text="" dxfId="0">
      <formula>B27&gt;0</formula>
    </cfRule>
  </conditionalFormatting>
  <conditionalFormatting sqref="B28">
    <cfRule type="expression" priority="23" aboveAverage="0" equalAverage="0" bottom="0" percent="0" rank="0" text="" dxfId="0">
      <formula>B28&gt;0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6" min="3" style="0" width="10"/>
    <col collapsed="false" customWidth="true" hidden="false" outlineLevel="0" max="7" min="7" style="0" width="12"/>
    <col collapsed="false" customWidth="true" hidden="false" outlineLevel="0" max="8" min="8" style="0" width="8"/>
    <col collapsed="false" customWidth="true" hidden="false" outlineLevel="0" max="9" min="9" style="0" width="9"/>
    <col collapsed="false" customWidth="true" hidden="false" outlineLevel="0" max="10" min="10" style="0" width="10"/>
    <col collapsed="false" customWidth="true" hidden="false" outlineLevel="0" max="12" min="11" style="0" width="8"/>
    <col collapsed="false" customWidth="true" hidden="false" outlineLevel="0" max="13" min="13" style="0" width="9"/>
    <col collapsed="false" customWidth="true" hidden="false" outlineLevel="0" max="14" min="14" style="0" width="30"/>
  </cols>
  <sheetData>
    <row r="1" customFormat="false" ht="19.7" hidden="false" customHeight="false" outlineLevel="0" collapsed="false">
      <c r="A1" s="4" t="s">
        <v>134</v>
      </c>
    </row>
    <row r="2" customFormat="false" ht="15" hidden="false" customHeight="false" outlineLevel="0" collapsed="false">
      <c r="A2" s="6" t="s">
        <v>135</v>
      </c>
      <c r="B2" s="0" t="str">
        <f aca="false">IF(INDEX(campaigns!$A$2:$A$51,1)="","",INDEX(campaigns!$A$2:$A$51,1))</f>
        <v>SAMPLE-CMP-001</v>
      </c>
      <c r="C2" s="10" t="s">
        <v>136</v>
      </c>
    </row>
    <row r="3" customFormat="false" ht="15" hidden="false" customHeight="false" outlineLevel="0" collapsed="false">
      <c r="A3" s="17" t="str">
        <f aca="false">IF(LEFT($B$2,6)="SAMPLE","SAMPLE DATA. Illustrative placeholders, not results.","")</f>
        <v>SAMPLE DATA. Illustrative placeholders, not results.</v>
      </c>
    </row>
    <row r="4" customFormat="false" ht="15" hidden="false" customHeight="false" outlineLevel="0" collapsed="false">
      <c r="A4" s="0" t="str">
        <f aca="false">IF($B$2="","",IFERROR(INDEX(campaigns!$BE$2:$BE$51,MATCH($B$2,campaigns!$A$2:$A$51,0)),"")&amp;" · drop "&amp;TEXT(IFERROR(INDEX(campaigns!$BG$2:$BG$51,MATCH($B$2,campaigns!$A$2:$A$51,0)),""),"ddd yyyy-mm-dd")&amp;" · window closes "&amp;TEXT(IFERROR(INDEX(drops!$R$2:$R$21,MATCH(IFERROR(INDEX(campaigns!$B$2:$B$51,MATCH($B$2,campaigns!$A$2:$A$51,0)),""),drops!$A$2:$A$21,0)),""),"ddd yyyy-mm-dd"))</f>
        <v>SAMPLE Brightside · drop Tue 2027-01-12 · window closes Tue 2027-01-19</v>
      </c>
    </row>
    <row r="6" customFormat="false" ht="15" hidden="false" customHeight="false" outlineLevel="0" collapsed="false">
      <c r="A6" s="6" t="s">
        <v>137</v>
      </c>
      <c r="B6" s="6" t="s">
        <v>138</v>
      </c>
      <c r="C6" s="6" t="s">
        <v>139</v>
      </c>
      <c r="D6" s="6" t="s">
        <v>112</v>
      </c>
      <c r="E6" s="6" t="s">
        <v>140</v>
      </c>
      <c r="F6" s="6" t="s">
        <v>141</v>
      </c>
      <c r="G6" s="6" t="s">
        <v>142</v>
      </c>
      <c r="H6" s="6" t="s">
        <v>143</v>
      </c>
      <c r="I6" s="6" t="s">
        <v>113</v>
      </c>
      <c r="J6" s="6" t="s">
        <v>144</v>
      </c>
      <c r="K6" s="6" t="s">
        <v>145</v>
      </c>
      <c r="L6" s="6" t="s">
        <v>146</v>
      </c>
      <c r="M6" s="6" t="s">
        <v>147</v>
      </c>
      <c r="N6" s="6" t="s">
        <v>79</v>
      </c>
    </row>
    <row r="7" customFormat="false" ht="15" hidden="false" customHeight="false" outlineLevel="0" collapsed="false">
      <c r="A7" s="0" t="str">
        <f aca="false">IFERROR(INDEX(approvals!$M$2:$M$251,MATCH($B$2&amp;"|"&amp;1,approvals!$AZ$2:$AZ$251,0)),"")</f>
        <v>A</v>
      </c>
      <c r="B7" s="0" t="str">
        <f aca="false">IFERROR(INDEX(approvals!$K$2:$K$251,MATCH($B$2&amp;"|"&amp;1,approvals!$AZ$2:$AZ$251,0)),"")</f>
        <v>SAMPLE Northpoint Software</v>
      </c>
      <c r="C7" s="0" t="n">
        <f aca="false">IFERROR(INDEX(approvals!$AL$2:$AL$251,MATCH($B$2&amp;"|"&amp;1,approvals!$AZ$2:$AZ$251,0)),"")</f>
        <v>9</v>
      </c>
      <c r="D7" s="0" t="n">
        <f aca="false">IFERROR(INDEX(approvals!$AM$2:$AM$251,MATCH($B$2&amp;"|"&amp;1,approvals!$AZ$2:$AZ$251,0)),"")</f>
        <v>8</v>
      </c>
      <c r="E7" s="0" t="n">
        <f aca="false">IFERROR(INDEX(approvals!$AQ$2:$AQ$251,MATCH($B$2&amp;"|"&amp;1,approvals!$AZ$2:$AZ$251,0)),"")</f>
        <v>1</v>
      </c>
      <c r="F7" s="0" t="n">
        <f aca="false">IFERROR(INDEX(approvals!$AR$2:$AR$251,MATCH($B$2&amp;"|"&amp;1,approvals!$AZ$2:$AZ$251,0)),"")</f>
        <v>0</v>
      </c>
      <c r="G7" s="0" t="n">
        <f aca="false">IFERROR(INDEX(approvals!$AS$2:$AS$251,MATCH($B$2&amp;"|"&amp;1,approvals!$AZ$2:$AZ$251,0)),"")</f>
        <v>0</v>
      </c>
      <c r="H7" s="0" t="n">
        <f aca="false">IFERROR(INDEX(approvals!$AT$2:$AT$251,MATCH($B$2&amp;"|"&amp;1,approvals!$AZ$2:$AZ$251,0)),"")</f>
        <v>8</v>
      </c>
      <c r="I7" s="0" t="n">
        <f aca="false">IFERROR(IF(INDEX(approvals!$AT$2:$AT$251,MATCH($B$2&amp;"|"&amp;1,approvals!$AZ$2:$AZ$251,0))=0,"",ROUND(INDEX(approvals!$AU$2:$AU$251,MATCH($B$2&amp;"|"&amp;1,approvals!$AZ$2:$AZ$251,0))/INDEX(approvals!$AT$2:$AT$251,MATCH($B$2&amp;"|"&amp;1,approvals!$AZ$2:$AZ$251,0)),1)),"")</f>
        <v>3.9</v>
      </c>
      <c r="J7" s="0" t="n">
        <f aca="false">IFERROR(INDEX(approvals!$AV$2:$AV$251,MATCH($B$2&amp;"|"&amp;1,approvals!$AZ$2:$AZ$251,0)),"")</f>
        <v>2</v>
      </c>
      <c r="K7" s="0" t="n">
        <f aca="false">IFERROR(INDEX(approvals!$AW$2:$AW$251,MATCH($B$2&amp;"|"&amp;1,approvals!$AZ$2:$AZ$251,0)),"")</f>
        <v>3</v>
      </c>
      <c r="L7" s="0" t="n">
        <f aca="false">IFERROR(INDEX(approvals!$AX$2:$AX$251,MATCH($B$2&amp;"|"&amp;1,approvals!$AZ$2:$AZ$251,0)),"")</f>
        <v>3</v>
      </c>
      <c r="M7" s="0" t="n">
        <f aca="false">IFERROR(INDEX(approvals!$AY$2:$AY$251,MATCH($B$2&amp;"|"&amp;1,approvals!$AZ$2:$AZ$251,0)),"")</f>
        <v>5</v>
      </c>
      <c r="N7" s="0" t="str">
        <f aca="false">IFERROR(IF(INDEX(approvals!$AL$2:$AL$251,MATCH($B$2&amp;"|"&amp;1,approvals!$AZ$2:$AZ$251,0))&gt;=config!$B$30,"OK","under "&amp;config!$B$30&amp;": ask the owner to re-post"),"")</f>
        <v>OK</v>
      </c>
    </row>
    <row r="8" customFormat="false" ht="15" hidden="false" customHeight="false" outlineLevel="0" collapsed="false">
      <c r="A8" s="0" t="str">
        <f aca="false">IFERROR(INDEX(approvals!$M$2:$M$251,MATCH($B$2&amp;"|"&amp;2,approvals!$AZ$2:$AZ$251,0)),"")</f>
        <v>B</v>
      </c>
      <c r="B8" s="0" t="str">
        <f aca="false">IFERROR(INDEX(approvals!$K$2:$K$251,MATCH($B$2&amp;"|"&amp;2,approvals!$AZ$2:$AZ$251,0)),"")</f>
        <v>SAMPLE Ferro Architecture</v>
      </c>
      <c r="C8" s="0" t="n">
        <f aca="false">IFERROR(INDEX(approvals!$AL$2:$AL$251,MATCH($B$2&amp;"|"&amp;2,approvals!$AZ$2:$AZ$251,0)),"")</f>
        <v>6</v>
      </c>
      <c r="D8" s="0" t="n">
        <f aca="false">IFERROR(INDEX(approvals!$AM$2:$AM$251,MATCH($B$2&amp;"|"&amp;2,approvals!$AZ$2:$AZ$251,0)),"")</f>
        <v>5</v>
      </c>
      <c r="E8" s="0" t="n">
        <f aca="false">IFERROR(INDEX(approvals!$AQ$2:$AQ$251,MATCH($B$2&amp;"|"&amp;2,approvals!$AZ$2:$AZ$251,0)),"")</f>
        <v>0</v>
      </c>
      <c r="F8" s="0" t="n">
        <f aca="false">IFERROR(INDEX(approvals!$AR$2:$AR$251,MATCH($B$2&amp;"|"&amp;2,approvals!$AZ$2:$AZ$251,0)),"")</f>
        <v>1</v>
      </c>
      <c r="G8" s="0" t="n">
        <f aca="false">IFERROR(INDEX(approvals!$AS$2:$AS$251,MATCH($B$2&amp;"|"&amp;2,approvals!$AZ$2:$AZ$251,0)),"")</f>
        <v>0</v>
      </c>
      <c r="H8" s="0" t="n">
        <f aca="false">IFERROR(INDEX(approvals!$AT$2:$AT$251,MATCH($B$2&amp;"|"&amp;2,approvals!$AZ$2:$AZ$251,0)),"")</f>
        <v>5</v>
      </c>
      <c r="I8" s="0" t="n">
        <f aca="false">IFERROR(IF(INDEX(approvals!$AT$2:$AT$251,MATCH($B$2&amp;"|"&amp;2,approvals!$AZ$2:$AZ$251,0))=0,"",ROUND(INDEX(approvals!$AU$2:$AU$251,MATCH($B$2&amp;"|"&amp;2,approvals!$AZ$2:$AZ$251,0))/INDEX(approvals!$AT$2:$AT$251,MATCH($B$2&amp;"|"&amp;2,approvals!$AZ$2:$AZ$251,0)),1)),"")</f>
        <v>4.8</v>
      </c>
      <c r="J8" s="0" t="n">
        <f aca="false">IFERROR(INDEX(approvals!$AV$2:$AV$251,MATCH($B$2&amp;"|"&amp;2,approvals!$AZ$2:$AZ$251,0)),"")</f>
        <v>3</v>
      </c>
      <c r="K8" s="0" t="n">
        <f aca="false">IFERROR(INDEX(approvals!$AW$2:$AW$251,MATCH($B$2&amp;"|"&amp;2,approvals!$AZ$2:$AZ$251,0)),"")</f>
        <v>1</v>
      </c>
      <c r="L8" s="0" t="n">
        <f aca="false">IFERROR(INDEX(approvals!$AX$2:$AX$251,MATCH($B$2&amp;"|"&amp;2,approvals!$AZ$2:$AZ$251,0)),"")</f>
        <v>1</v>
      </c>
      <c r="M8" s="0" t="n">
        <f aca="false">IFERROR(INDEX(approvals!$AY$2:$AY$251,MATCH($B$2&amp;"|"&amp;2,approvals!$AZ$2:$AZ$251,0)),"")</f>
        <v>3</v>
      </c>
      <c r="N8" s="0" t="str">
        <f aca="false">IFERROR(IF(INDEX(approvals!$AL$2:$AL$251,MATCH($B$2&amp;"|"&amp;2,approvals!$AZ$2:$AZ$251,0))&gt;=config!$B$30,"OK","under "&amp;config!$B$30&amp;": ask the owner to re-post"),"")</f>
        <v>OK</v>
      </c>
    </row>
    <row r="9" customFormat="false" ht="15" hidden="false" customHeight="false" outlineLevel="0" collapsed="false">
      <c r="A9" s="0" t="str">
        <f aca="false">IFERROR(INDEX(approvals!$M$2:$M$251,MATCH($B$2&amp;"|"&amp;3,approvals!$AZ$2:$AZ$251,0)),"")</f>
        <v>C</v>
      </c>
      <c r="B9" s="0" t="str">
        <f aca="false">IFERROR(INDEX(approvals!$K$2:$K$251,MATCH($B$2&amp;"|"&amp;3,approvals!$AZ$2:$AZ$251,0)),"")</f>
        <v>SAMPLE Halcyon Media</v>
      </c>
      <c r="C9" s="0" t="n">
        <f aca="false">IFERROR(INDEX(approvals!$AL$2:$AL$251,MATCH($B$2&amp;"|"&amp;3,approvals!$AZ$2:$AZ$251,0)),"")</f>
        <v>8</v>
      </c>
      <c r="D9" s="0" t="n">
        <f aca="false">IFERROR(INDEX(approvals!$AM$2:$AM$251,MATCH($B$2&amp;"|"&amp;3,approvals!$AZ$2:$AZ$251,0)),"")</f>
        <v>3</v>
      </c>
      <c r="E9" s="0" t="n">
        <f aca="false">IFERROR(INDEX(approvals!$AQ$2:$AQ$251,MATCH($B$2&amp;"|"&amp;3,approvals!$AZ$2:$AZ$251,0)),"")</f>
        <v>3</v>
      </c>
      <c r="F9" s="0" t="n">
        <f aca="false">IFERROR(INDEX(approvals!$AR$2:$AR$251,MATCH($B$2&amp;"|"&amp;3,approvals!$AZ$2:$AZ$251,0)),"")</f>
        <v>1</v>
      </c>
      <c r="G9" s="0" t="n">
        <f aca="false">IFERROR(INDEX(approvals!$AS$2:$AS$251,MATCH($B$2&amp;"|"&amp;3,approvals!$AZ$2:$AZ$251,0)),"")</f>
        <v>1</v>
      </c>
      <c r="H9" s="0" t="n">
        <f aca="false">IFERROR(INDEX(approvals!$AT$2:$AT$251,MATCH($B$2&amp;"|"&amp;3,approvals!$AZ$2:$AZ$251,0)),"")</f>
        <v>3</v>
      </c>
      <c r="I9" s="0" t="n">
        <f aca="false">IFERROR(IF(INDEX(approvals!$AT$2:$AT$251,MATCH($B$2&amp;"|"&amp;3,approvals!$AZ$2:$AZ$251,0))=0,"",ROUND(INDEX(approvals!$AU$2:$AU$251,MATCH($B$2&amp;"|"&amp;3,approvals!$AZ$2:$AZ$251,0))/INDEX(approvals!$AT$2:$AT$251,MATCH($B$2&amp;"|"&amp;3,approvals!$AZ$2:$AZ$251,0)),1)),"")</f>
        <v>4.3</v>
      </c>
      <c r="J9" s="0" t="n">
        <f aca="false">IFERROR(INDEX(approvals!$AV$2:$AV$251,MATCH($B$2&amp;"|"&amp;3,approvals!$AZ$2:$AZ$251,0)),"")</f>
        <v>2</v>
      </c>
      <c r="K9" s="0" t="n">
        <f aca="false">IFERROR(INDEX(approvals!$AW$2:$AW$251,MATCH($B$2&amp;"|"&amp;3,approvals!$AZ$2:$AZ$251,0)),"")</f>
        <v>0</v>
      </c>
      <c r="L9" s="0" t="n">
        <f aca="false">IFERROR(INDEX(approvals!$AX$2:$AX$251,MATCH($B$2&amp;"|"&amp;3,approvals!$AZ$2:$AZ$251,0)),"")</f>
        <v>1</v>
      </c>
      <c r="M9" s="0" t="n">
        <f aca="false">IFERROR(INDEX(approvals!$AY$2:$AY$251,MATCH($B$2&amp;"|"&amp;3,approvals!$AZ$2:$AZ$251,0)),"")</f>
        <v>5</v>
      </c>
      <c r="N9" s="0" t="str">
        <f aca="false">IFERROR(IF(INDEX(approvals!$AL$2:$AL$251,MATCH($B$2&amp;"|"&amp;3,approvals!$AZ$2:$AZ$251,0))&gt;=config!$B$30,"OK","under "&amp;config!$B$30&amp;": ask the owner to re-post"),"")</f>
        <v>OK</v>
      </c>
    </row>
    <row r="10" customFormat="false" ht="15" hidden="false" customHeight="false" outlineLevel="0" collapsed="false">
      <c r="A10" s="0" t="str">
        <f aca="false">IFERROR(INDEX(approvals!$M$2:$M$251,MATCH($B$2&amp;"|"&amp;4,approvals!$AZ$2:$AZ$251,0)),"")</f>
        <v>D</v>
      </c>
      <c r="B10" s="0" t="str">
        <f aca="false">IFERROR(INDEX(approvals!$K$2:$K$251,MATCH($B$2&amp;"|"&amp;4,approvals!$AZ$2:$AZ$251,0)),"")</f>
        <v>SAMPLE Union Food Fund</v>
      </c>
      <c r="C10" s="0" t="n">
        <f aca="false">IFERROR(INDEX(approvals!$AL$2:$AL$251,MATCH($B$2&amp;"|"&amp;4,approvals!$AZ$2:$AZ$251,0)),"")</f>
        <v>4</v>
      </c>
      <c r="D10" s="0" t="n">
        <f aca="false">IFERROR(INDEX(approvals!$AM$2:$AM$251,MATCH($B$2&amp;"|"&amp;4,approvals!$AZ$2:$AZ$251,0)),"")</f>
        <v>2</v>
      </c>
      <c r="E10" s="0" t="n">
        <f aca="false">IFERROR(INDEX(approvals!$AQ$2:$AQ$251,MATCH($B$2&amp;"|"&amp;4,approvals!$AZ$2:$AZ$251,0)),"")</f>
        <v>1</v>
      </c>
      <c r="F10" s="0" t="n">
        <f aca="false">IFERROR(INDEX(approvals!$AR$2:$AR$251,MATCH($B$2&amp;"|"&amp;4,approvals!$AZ$2:$AZ$251,0)),"")</f>
        <v>0</v>
      </c>
      <c r="G10" s="0" t="n">
        <f aca="false">IFERROR(INDEX(approvals!$AS$2:$AS$251,MATCH($B$2&amp;"|"&amp;4,approvals!$AZ$2:$AZ$251,0)),"")</f>
        <v>1</v>
      </c>
      <c r="H10" s="0" t="n">
        <f aca="false">IFERROR(INDEX(approvals!$AT$2:$AT$251,MATCH($B$2&amp;"|"&amp;4,approvals!$AZ$2:$AZ$251,0)),"")</f>
        <v>2</v>
      </c>
      <c r="I10" s="0" t="n">
        <f aca="false">IFERROR(IF(INDEX(approvals!$AT$2:$AT$251,MATCH($B$2&amp;"|"&amp;4,approvals!$AZ$2:$AZ$251,0))=0,"",ROUND(INDEX(approvals!$AU$2:$AU$251,MATCH($B$2&amp;"|"&amp;4,approvals!$AZ$2:$AZ$251,0))/INDEX(approvals!$AT$2:$AT$251,MATCH($B$2&amp;"|"&amp;4,approvals!$AZ$2:$AZ$251,0)),1)),"")</f>
        <v>4</v>
      </c>
      <c r="J10" s="0" t="n">
        <f aca="false">IFERROR(INDEX(approvals!$AV$2:$AV$251,MATCH($B$2&amp;"|"&amp;4,approvals!$AZ$2:$AZ$251,0)),"")</f>
        <v>1</v>
      </c>
      <c r="K10" s="0" t="n">
        <f aca="false">IFERROR(INDEX(approvals!$AW$2:$AW$251,MATCH($B$2&amp;"|"&amp;4,approvals!$AZ$2:$AZ$251,0)),"")</f>
        <v>1</v>
      </c>
      <c r="L10" s="0" t="n">
        <f aca="false">IFERROR(INDEX(approvals!$AX$2:$AX$251,MATCH($B$2&amp;"|"&amp;4,approvals!$AZ$2:$AZ$251,0)),"")</f>
        <v>0</v>
      </c>
      <c r="M10" s="0" t="n">
        <f aca="false">IFERROR(INDEX(approvals!$AY$2:$AY$251,MATCH($B$2&amp;"|"&amp;4,approvals!$AZ$2:$AZ$251,0)),"")</f>
        <v>3</v>
      </c>
      <c r="N10" s="0" t="str">
        <f aca="false">IFERROR(IF(INDEX(approvals!$AL$2:$AL$251,MATCH($B$2&amp;"|"&amp;4,approvals!$AZ$2:$AZ$251,0))&gt;=config!$B$30,"OK","under "&amp;config!$B$30&amp;": ask the owner to re-post"),"")</f>
        <v>under 5: ask the owner to re-post</v>
      </c>
    </row>
    <row r="11" customFormat="false" ht="15" hidden="false" customHeight="false" outlineLevel="0" collapsed="false">
      <c r="A11" s="0" t="str">
        <f aca="false">IFERROR(INDEX(approvals!$M$2:$M$251,MATCH($B$2&amp;"|"&amp;5,approvals!$AZ$2:$AZ$251,0)),"")</f>
        <v>E</v>
      </c>
      <c r="B11" s="0" t="str">
        <f aca="false">IFERROR(INDEX(approvals!$K$2:$K$251,MATCH($B$2&amp;"|"&amp;5,approvals!$AZ$2:$AZ$251,0)),"")</f>
        <v>SAMPLE Studio Marlow</v>
      </c>
      <c r="C11" s="0" t="n">
        <f aca="false">IFERROR(INDEX(approvals!$AL$2:$AL$251,MATCH($B$2&amp;"|"&amp;5,approvals!$AZ$2:$AZ$251,0)),"")</f>
        <v>7</v>
      </c>
      <c r="D11" s="0" t="n">
        <f aca="false">IFERROR(INDEX(approvals!$AM$2:$AM$251,MATCH($B$2&amp;"|"&amp;5,approvals!$AZ$2:$AZ$251,0)),"")</f>
        <v>7</v>
      </c>
      <c r="E11" s="0" t="n">
        <f aca="false">IFERROR(INDEX(approvals!$AQ$2:$AQ$251,MATCH($B$2&amp;"|"&amp;5,approvals!$AZ$2:$AZ$251,0)),"")</f>
        <v>0</v>
      </c>
      <c r="F11" s="0" t="n">
        <f aca="false">IFERROR(INDEX(approvals!$AR$2:$AR$251,MATCH($B$2&amp;"|"&amp;5,approvals!$AZ$2:$AZ$251,0)),"")</f>
        <v>0</v>
      </c>
      <c r="G11" s="0" t="n">
        <f aca="false">IFERROR(INDEX(approvals!$AS$2:$AS$251,MATCH($B$2&amp;"|"&amp;5,approvals!$AZ$2:$AZ$251,0)),"")</f>
        <v>0</v>
      </c>
      <c r="H11" s="0" t="n">
        <f aca="false">IFERROR(INDEX(approvals!$AT$2:$AT$251,MATCH($B$2&amp;"|"&amp;5,approvals!$AZ$2:$AZ$251,0)),"")</f>
        <v>7</v>
      </c>
      <c r="I11" s="0" t="n">
        <f aca="false">IFERROR(IF(INDEX(approvals!$AT$2:$AT$251,MATCH($B$2&amp;"|"&amp;5,approvals!$AZ$2:$AZ$251,0))=0,"",ROUND(INDEX(approvals!$AU$2:$AU$251,MATCH($B$2&amp;"|"&amp;5,approvals!$AZ$2:$AZ$251,0))/INDEX(approvals!$AT$2:$AT$251,MATCH($B$2&amp;"|"&amp;5,approvals!$AZ$2:$AZ$251,0)),1)),"")</f>
        <v>4.3</v>
      </c>
      <c r="J11" s="0" t="n">
        <f aca="false">IFERROR(INDEX(approvals!$AV$2:$AV$251,MATCH($B$2&amp;"|"&amp;5,approvals!$AZ$2:$AZ$251,0)),"")</f>
        <v>2</v>
      </c>
      <c r="K11" s="0" t="n">
        <f aca="false">IFERROR(INDEX(approvals!$AW$2:$AW$251,MATCH($B$2&amp;"|"&amp;5,approvals!$AZ$2:$AZ$251,0)),"")</f>
        <v>3</v>
      </c>
      <c r="L11" s="0" t="n">
        <f aca="false">IFERROR(INDEX(approvals!$AX$2:$AX$251,MATCH($B$2&amp;"|"&amp;5,approvals!$AZ$2:$AZ$251,0)),"")</f>
        <v>2</v>
      </c>
      <c r="M11" s="0" t="n">
        <f aca="false">IFERROR(INDEX(approvals!$AY$2:$AY$251,MATCH($B$2&amp;"|"&amp;5,approvals!$AZ$2:$AZ$251,0)),"")</f>
        <v>2</v>
      </c>
      <c r="N11" s="0" t="str">
        <f aca="false">IFERROR(IF(INDEX(approvals!$AL$2:$AL$251,MATCH($B$2&amp;"|"&amp;5,approvals!$AZ$2:$AZ$251,0))&gt;=config!$B$30,"OK","under "&amp;config!$B$30&amp;": ask the owner to re-post"),"")</f>
        <v>OK</v>
      </c>
    </row>
    <row r="12" customFormat="false" ht="15" hidden="false" customHeight="false" outlineLevel="0" collapsed="false">
      <c r="A12" s="0" t="str">
        <f aca="false">IFERROR(INDEX(approvals!$M$2:$M$251,MATCH($B$2&amp;"|"&amp;6,approvals!$AZ$2:$AZ$251,0)),"")</f>
        <v/>
      </c>
      <c r="B12" s="0" t="str">
        <f aca="false">IFERROR(INDEX(approvals!$K$2:$K$251,MATCH($B$2&amp;"|"&amp;6,approvals!$AZ$2:$AZ$251,0)),"")</f>
        <v/>
      </c>
      <c r="C12" s="0" t="str">
        <f aca="false">IFERROR(INDEX(approvals!$AL$2:$AL$251,MATCH($B$2&amp;"|"&amp;6,approvals!$AZ$2:$AZ$251,0)),"")</f>
        <v/>
      </c>
      <c r="D12" s="0" t="str">
        <f aca="false">IFERROR(INDEX(approvals!$AM$2:$AM$251,MATCH($B$2&amp;"|"&amp;6,approvals!$AZ$2:$AZ$251,0)),"")</f>
        <v/>
      </c>
      <c r="E12" s="0" t="str">
        <f aca="false">IFERROR(INDEX(approvals!$AQ$2:$AQ$251,MATCH($B$2&amp;"|"&amp;6,approvals!$AZ$2:$AZ$251,0)),"")</f>
        <v/>
      </c>
      <c r="F12" s="0" t="str">
        <f aca="false">IFERROR(INDEX(approvals!$AR$2:$AR$251,MATCH($B$2&amp;"|"&amp;6,approvals!$AZ$2:$AZ$251,0)),"")</f>
        <v/>
      </c>
      <c r="G12" s="0" t="str">
        <f aca="false">IFERROR(INDEX(approvals!$AS$2:$AS$251,MATCH($B$2&amp;"|"&amp;6,approvals!$AZ$2:$AZ$251,0)),"")</f>
        <v/>
      </c>
      <c r="H12" s="0" t="str">
        <f aca="false">IFERROR(INDEX(approvals!$AT$2:$AT$251,MATCH($B$2&amp;"|"&amp;6,approvals!$AZ$2:$AZ$251,0)),"")</f>
        <v/>
      </c>
      <c r="I12" s="0" t="str">
        <f aca="false">IFERROR(IF(INDEX(approvals!$AT$2:$AT$251,MATCH($B$2&amp;"|"&amp;6,approvals!$AZ$2:$AZ$251,0))=0,"",ROUND(INDEX(approvals!$AU$2:$AU$251,MATCH($B$2&amp;"|"&amp;6,approvals!$AZ$2:$AZ$251,0))/INDEX(approvals!$AT$2:$AT$251,MATCH($B$2&amp;"|"&amp;6,approvals!$AZ$2:$AZ$251,0)),1)),"")</f>
        <v/>
      </c>
      <c r="J12" s="0" t="str">
        <f aca="false">IFERROR(INDEX(approvals!$AV$2:$AV$251,MATCH($B$2&amp;"|"&amp;6,approvals!$AZ$2:$AZ$251,0)),"")</f>
        <v/>
      </c>
      <c r="K12" s="0" t="str">
        <f aca="false">IFERROR(INDEX(approvals!$AW$2:$AW$251,MATCH($B$2&amp;"|"&amp;6,approvals!$AZ$2:$AZ$251,0)),"")</f>
        <v/>
      </c>
      <c r="L12" s="0" t="str">
        <f aca="false">IFERROR(INDEX(approvals!$AX$2:$AX$251,MATCH($B$2&amp;"|"&amp;6,approvals!$AZ$2:$AZ$251,0)),"")</f>
        <v/>
      </c>
      <c r="M12" s="0" t="str">
        <f aca="false">IFERROR(INDEX(approvals!$AY$2:$AY$251,MATCH($B$2&amp;"|"&amp;6,approvals!$AZ$2:$AZ$251,0)),"")</f>
        <v/>
      </c>
      <c r="N12" s="0" t="str">
        <f aca="false">IFERROR(IF(INDEX(approvals!$AL$2:$AL$251,MATCH($B$2&amp;"|"&amp;6,approvals!$AZ$2:$AZ$251,0))&gt;=config!$B$30,"OK","under "&amp;config!$B$30&amp;": ask the owner to re-post"),"")</f>
        <v/>
      </c>
    </row>
    <row r="13" customFormat="false" ht="15" hidden="false" customHeight="false" outlineLevel="0" collapsed="false">
      <c r="A13" s="0" t="str">
        <f aca="false">IFERROR(INDEX(approvals!$M$2:$M$251,MATCH($B$2&amp;"|"&amp;7,approvals!$AZ$2:$AZ$251,0)),"")</f>
        <v/>
      </c>
      <c r="B13" s="0" t="str">
        <f aca="false">IFERROR(INDEX(approvals!$K$2:$K$251,MATCH($B$2&amp;"|"&amp;7,approvals!$AZ$2:$AZ$251,0)),"")</f>
        <v/>
      </c>
      <c r="C13" s="0" t="str">
        <f aca="false">IFERROR(INDEX(approvals!$AL$2:$AL$251,MATCH($B$2&amp;"|"&amp;7,approvals!$AZ$2:$AZ$251,0)),"")</f>
        <v/>
      </c>
      <c r="D13" s="0" t="str">
        <f aca="false">IFERROR(INDEX(approvals!$AM$2:$AM$251,MATCH($B$2&amp;"|"&amp;7,approvals!$AZ$2:$AZ$251,0)),"")</f>
        <v/>
      </c>
      <c r="E13" s="0" t="str">
        <f aca="false">IFERROR(INDEX(approvals!$AQ$2:$AQ$251,MATCH($B$2&amp;"|"&amp;7,approvals!$AZ$2:$AZ$251,0)),"")</f>
        <v/>
      </c>
      <c r="F13" s="0" t="str">
        <f aca="false">IFERROR(INDEX(approvals!$AR$2:$AR$251,MATCH($B$2&amp;"|"&amp;7,approvals!$AZ$2:$AZ$251,0)),"")</f>
        <v/>
      </c>
      <c r="G13" s="0" t="str">
        <f aca="false">IFERROR(INDEX(approvals!$AS$2:$AS$251,MATCH($B$2&amp;"|"&amp;7,approvals!$AZ$2:$AZ$251,0)),"")</f>
        <v/>
      </c>
      <c r="H13" s="0" t="str">
        <f aca="false">IFERROR(INDEX(approvals!$AT$2:$AT$251,MATCH($B$2&amp;"|"&amp;7,approvals!$AZ$2:$AZ$251,0)),"")</f>
        <v/>
      </c>
      <c r="I13" s="0" t="str">
        <f aca="false">IFERROR(IF(INDEX(approvals!$AT$2:$AT$251,MATCH($B$2&amp;"|"&amp;7,approvals!$AZ$2:$AZ$251,0))=0,"",ROUND(INDEX(approvals!$AU$2:$AU$251,MATCH($B$2&amp;"|"&amp;7,approvals!$AZ$2:$AZ$251,0))/INDEX(approvals!$AT$2:$AT$251,MATCH($B$2&amp;"|"&amp;7,approvals!$AZ$2:$AZ$251,0)),1)),"")</f>
        <v/>
      </c>
      <c r="J13" s="0" t="str">
        <f aca="false">IFERROR(INDEX(approvals!$AV$2:$AV$251,MATCH($B$2&amp;"|"&amp;7,approvals!$AZ$2:$AZ$251,0)),"")</f>
        <v/>
      </c>
      <c r="K13" s="0" t="str">
        <f aca="false">IFERROR(INDEX(approvals!$AW$2:$AW$251,MATCH($B$2&amp;"|"&amp;7,approvals!$AZ$2:$AZ$251,0)),"")</f>
        <v/>
      </c>
      <c r="L13" s="0" t="str">
        <f aca="false">IFERROR(INDEX(approvals!$AX$2:$AX$251,MATCH($B$2&amp;"|"&amp;7,approvals!$AZ$2:$AZ$251,0)),"")</f>
        <v/>
      </c>
      <c r="M13" s="0" t="str">
        <f aca="false">IFERROR(INDEX(approvals!$AY$2:$AY$251,MATCH($B$2&amp;"|"&amp;7,approvals!$AZ$2:$AZ$251,0)),"")</f>
        <v/>
      </c>
      <c r="N13" s="0" t="str">
        <f aca="false">IFERROR(IF(INDEX(approvals!$AL$2:$AL$251,MATCH($B$2&amp;"|"&amp;7,approvals!$AZ$2:$AZ$251,0))&gt;=config!$B$30,"OK","under "&amp;config!$B$30&amp;": ask the owner to re-post"),"")</f>
        <v/>
      </c>
    </row>
    <row r="14" customFormat="false" ht="15" hidden="false" customHeight="false" outlineLevel="0" collapsed="false">
      <c r="A14" s="0" t="str">
        <f aca="false">IFERROR(INDEX(approvals!$M$2:$M$251,MATCH($B$2&amp;"|"&amp;8,approvals!$AZ$2:$AZ$251,0)),"")</f>
        <v/>
      </c>
      <c r="B14" s="0" t="str">
        <f aca="false">IFERROR(INDEX(approvals!$K$2:$K$251,MATCH($B$2&amp;"|"&amp;8,approvals!$AZ$2:$AZ$251,0)),"")</f>
        <v/>
      </c>
      <c r="C14" s="0" t="str">
        <f aca="false">IFERROR(INDEX(approvals!$AL$2:$AL$251,MATCH($B$2&amp;"|"&amp;8,approvals!$AZ$2:$AZ$251,0)),"")</f>
        <v/>
      </c>
      <c r="D14" s="0" t="str">
        <f aca="false">IFERROR(INDEX(approvals!$AM$2:$AM$251,MATCH($B$2&amp;"|"&amp;8,approvals!$AZ$2:$AZ$251,0)),"")</f>
        <v/>
      </c>
      <c r="E14" s="0" t="str">
        <f aca="false">IFERROR(INDEX(approvals!$AQ$2:$AQ$251,MATCH($B$2&amp;"|"&amp;8,approvals!$AZ$2:$AZ$251,0)),"")</f>
        <v/>
      </c>
      <c r="F14" s="0" t="str">
        <f aca="false">IFERROR(INDEX(approvals!$AR$2:$AR$251,MATCH($B$2&amp;"|"&amp;8,approvals!$AZ$2:$AZ$251,0)),"")</f>
        <v/>
      </c>
      <c r="G14" s="0" t="str">
        <f aca="false">IFERROR(INDEX(approvals!$AS$2:$AS$251,MATCH($B$2&amp;"|"&amp;8,approvals!$AZ$2:$AZ$251,0)),"")</f>
        <v/>
      </c>
      <c r="H14" s="0" t="str">
        <f aca="false">IFERROR(INDEX(approvals!$AT$2:$AT$251,MATCH($B$2&amp;"|"&amp;8,approvals!$AZ$2:$AZ$251,0)),"")</f>
        <v/>
      </c>
      <c r="I14" s="0" t="str">
        <f aca="false">IFERROR(IF(INDEX(approvals!$AT$2:$AT$251,MATCH($B$2&amp;"|"&amp;8,approvals!$AZ$2:$AZ$251,0))=0,"",ROUND(INDEX(approvals!$AU$2:$AU$251,MATCH($B$2&amp;"|"&amp;8,approvals!$AZ$2:$AZ$251,0))/INDEX(approvals!$AT$2:$AT$251,MATCH($B$2&amp;"|"&amp;8,approvals!$AZ$2:$AZ$251,0)),1)),"")</f>
        <v/>
      </c>
      <c r="J14" s="0" t="str">
        <f aca="false">IFERROR(INDEX(approvals!$AV$2:$AV$251,MATCH($B$2&amp;"|"&amp;8,approvals!$AZ$2:$AZ$251,0)),"")</f>
        <v/>
      </c>
      <c r="K14" s="0" t="str">
        <f aca="false">IFERROR(INDEX(approvals!$AW$2:$AW$251,MATCH($B$2&amp;"|"&amp;8,approvals!$AZ$2:$AZ$251,0)),"")</f>
        <v/>
      </c>
      <c r="L14" s="0" t="str">
        <f aca="false">IFERROR(INDEX(approvals!$AX$2:$AX$251,MATCH($B$2&amp;"|"&amp;8,approvals!$AZ$2:$AZ$251,0)),"")</f>
        <v/>
      </c>
      <c r="M14" s="0" t="str">
        <f aca="false">IFERROR(INDEX(approvals!$AY$2:$AY$251,MATCH($B$2&amp;"|"&amp;8,approvals!$AZ$2:$AZ$251,0)),"")</f>
        <v/>
      </c>
      <c r="N14" s="0" t="str">
        <f aca="false">IFERROR(IF(INDEX(approvals!$AL$2:$AL$251,MATCH($B$2&amp;"|"&amp;8,approvals!$AZ$2:$AZ$251,0))&gt;=config!$B$30,"OK","under "&amp;config!$B$30&amp;": ask the owner to re-post"),"")</f>
        <v/>
      </c>
    </row>
    <row r="15" customFormat="false" ht="15" hidden="false" customHeight="false" outlineLevel="0" collapsed="false">
      <c r="A15" s="0" t="str">
        <f aca="false">IFERROR(INDEX(approvals!$M$2:$M$251,MATCH($B$2&amp;"|"&amp;9,approvals!$AZ$2:$AZ$251,0)),"")</f>
        <v/>
      </c>
      <c r="B15" s="0" t="str">
        <f aca="false">IFERROR(INDEX(approvals!$K$2:$K$251,MATCH($B$2&amp;"|"&amp;9,approvals!$AZ$2:$AZ$251,0)),"")</f>
        <v/>
      </c>
      <c r="C15" s="0" t="str">
        <f aca="false">IFERROR(INDEX(approvals!$AL$2:$AL$251,MATCH($B$2&amp;"|"&amp;9,approvals!$AZ$2:$AZ$251,0)),"")</f>
        <v/>
      </c>
      <c r="D15" s="0" t="str">
        <f aca="false">IFERROR(INDEX(approvals!$AM$2:$AM$251,MATCH($B$2&amp;"|"&amp;9,approvals!$AZ$2:$AZ$251,0)),"")</f>
        <v/>
      </c>
      <c r="E15" s="0" t="str">
        <f aca="false">IFERROR(INDEX(approvals!$AQ$2:$AQ$251,MATCH($B$2&amp;"|"&amp;9,approvals!$AZ$2:$AZ$251,0)),"")</f>
        <v/>
      </c>
      <c r="F15" s="0" t="str">
        <f aca="false">IFERROR(INDEX(approvals!$AR$2:$AR$251,MATCH($B$2&amp;"|"&amp;9,approvals!$AZ$2:$AZ$251,0)),"")</f>
        <v/>
      </c>
      <c r="G15" s="0" t="str">
        <f aca="false">IFERROR(INDEX(approvals!$AS$2:$AS$251,MATCH($B$2&amp;"|"&amp;9,approvals!$AZ$2:$AZ$251,0)),"")</f>
        <v/>
      </c>
      <c r="H15" s="0" t="str">
        <f aca="false">IFERROR(INDEX(approvals!$AT$2:$AT$251,MATCH($B$2&amp;"|"&amp;9,approvals!$AZ$2:$AZ$251,0)),"")</f>
        <v/>
      </c>
      <c r="I15" s="0" t="str">
        <f aca="false">IFERROR(IF(INDEX(approvals!$AT$2:$AT$251,MATCH($B$2&amp;"|"&amp;9,approvals!$AZ$2:$AZ$251,0))=0,"",ROUND(INDEX(approvals!$AU$2:$AU$251,MATCH($B$2&amp;"|"&amp;9,approvals!$AZ$2:$AZ$251,0))/INDEX(approvals!$AT$2:$AT$251,MATCH($B$2&amp;"|"&amp;9,approvals!$AZ$2:$AZ$251,0)),1)),"")</f>
        <v/>
      </c>
      <c r="J15" s="0" t="str">
        <f aca="false">IFERROR(INDEX(approvals!$AV$2:$AV$251,MATCH($B$2&amp;"|"&amp;9,approvals!$AZ$2:$AZ$251,0)),"")</f>
        <v/>
      </c>
      <c r="K15" s="0" t="str">
        <f aca="false">IFERROR(INDEX(approvals!$AW$2:$AW$251,MATCH($B$2&amp;"|"&amp;9,approvals!$AZ$2:$AZ$251,0)),"")</f>
        <v/>
      </c>
      <c r="L15" s="0" t="str">
        <f aca="false">IFERROR(INDEX(approvals!$AX$2:$AX$251,MATCH($B$2&amp;"|"&amp;9,approvals!$AZ$2:$AZ$251,0)),"")</f>
        <v/>
      </c>
      <c r="M15" s="0" t="str">
        <f aca="false">IFERROR(INDEX(approvals!$AY$2:$AY$251,MATCH($B$2&amp;"|"&amp;9,approvals!$AZ$2:$AZ$251,0)),"")</f>
        <v/>
      </c>
      <c r="N15" s="0" t="str">
        <f aca="false">IFERROR(IF(INDEX(approvals!$AL$2:$AL$251,MATCH($B$2&amp;"|"&amp;9,approvals!$AZ$2:$AZ$251,0))&gt;=config!$B$30,"OK","under "&amp;config!$B$30&amp;": ask the owner to re-post"),"")</f>
        <v/>
      </c>
    </row>
    <row r="16" customFormat="false" ht="15" hidden="false" customHeight="false" outlineLevel="0" collapsed="false">
      <c r="A16" s="0" t="str">
        <f aca="false">IFERROR(INDEX(approvals!$M$2:$M$251,MATCH($B$2&amp;"|"&amp;10,approvals!$AZ$2:$AZ$251,0)),"")</f>
        <v/>
      </c>
      <c r="B16" s="0" t="str">
        <f aca="false">IFERROR(INDEX(approvals!$K$2:$K$251,MATCH($B$2&amp;"|"&amp;10,approvals!$AZ$2:$AZ$251,0)),"")</f>
        <v/>
      </c>
      <c r="C16" s="0" t="str">
        <f aca="false">IFERROR(INDEX(approvals!$AL$2:$AL$251,MATCH($B$2&amp;"|"&amp;10,approvals!$AZ$2:$AZ$251,0)),"")</f>
        <v/>
      </c>
      <c r="D16" s="0" t="str">
        <f aca="false">IFERROR(INDEX(approvals!$AM$2:$AM$251,MATCH($B$2&amp;"|"&amp;10,approvals!$AZ$2:$AZ$251,0)),"")</f>
        <v/>
      </c>
      <c r="E16" s="0" t="str">
        <f aca="false">IFERROR(INDEX(approvals!$AQ$2:$AQ$251,MATCH($B$2&amp;"|"&amp;10,approvals!$AZ$2:$AZ$251,0)),"")</f>
        <v/>
      </c>
      <c r="F16" s="0" t="str">
        <f aca="false">IFERROR(INDEX(approvals!$AR$2:$AR$251,MATCH($B$2&amp;"|"&amp;10,approvals!$AZ$2:$AZ$251,0)),"")</f>
        <v/>
      </c>
      <c r="G16" s="0" t="str">
        <f aca="false">IFERROR(INDEX(approvals!$AS$2:$AS$251,MATCH($B$2&amp;"|"&amp;10,approvals!$AZ$2:$AZ$251,0)),"")</f>
        <v/>
      </c>
      <c r="H16" s="0" t="str">
        <f aca="false">IFERROR(INDEX(approvals!$AT$2:$AT$251,MATCH($B$2&amp;"|"&amp;10,approvals!$AZ$2:$AZ$251,0)),"")</f>
        <v/>
      </c>
      <c r="I16" s="0" t="str">
        <f aca="false">IFERROR(IF(INDEX(approvals!$AT$2:$AT$251,MATCH($B$2&amp;"|"&amp;10,approvals!$AZ$2:$AZ$251,0))=0,"",ROUND(INDEX(approvals!$AU$2:$AU$251,MATCH($B$2&amp;"|"&amp;10,approvals!$AZ$2:$AZ$251,0))/INDEX(approvals!$AT$2:$AT$251,MATCH($B$2&amp;"|"&amp;10,approvals!$AZ$2:$AZ$251,0)),1)),"")</f>
        <v/>
      </c>
      <c r="J16" s="0" t="str">
        <f aca="false">IFERROR(INDEX(approvals!$AV$2:$AV$251,MATCH($B$2&amp;"|"&amp;10,approvals!$AZ$2:$AZ$251,0)),"")</f>
        <v/>
      </c>
      <c r="K16" s="0" t="str">
        <f aca="false">IFERROR(INDEX(approvals!$AW$2:$AW$251,MATCH($B$2&amp;"|"&amp;10,approvals!$AZ$2:$AZ$251,0)),"")</f>
        <v/>
      </c>
      <c r="L16" s="0" t="str">
        <f aca="false">IFERROR(INDEX(approvals!$AX$2:$AX$251,MATCH($B$2&amp;"|"&amp;10,approvals!$AZ$2:$AZ$251,0)),"")</f>
        <v/>
      </c>
      <c r="M16" s="0" t="str">
        <f aca="false">IFERROR(INDEX(approvals!$AY$2:$AY$251,MATCH($B$2&amp;"|"&amp;10,approvals!$AZ$2:$AZ$251,0)),"")</f>
        <v/>
      </c>
      <c r="N16" s="0" t="str">
        <f aca="false">IFERROR(IF(INDEX(approvals!$AL$2:$AL$251,MATCH($B$2&amp;"|"&amp;10,approvals!$AZ$2:$AZ$251,0))&gt;=config!$B$30,"OK","under "&amp;config!$B$30&amp;": ask the owner to re-post"),"")</f>
        <v/>
      </c>
    </row>
    <row r="17" customFormat="false" ht="15" hidden="false" customHeight="false" outlineLevel="0" collapsed="false">
      <c r="A17" s="0" t="str">
        <f aca="false">IFERROR(INDEX(approvals!$M$2:$M$251,MATCH($B$2&amp;"|"&amp;11,approvals!$AZ$2:$AZ$251,0)),"")</f>
        <v/>
      </c>
      <c r="B17" s="0" t="str">
        <f aca="false">IFERROR(INDEX(approvals!$K$2:$K$251,MATCH($B$2&amp;"|"&amp;11,approvals!$AZ$2:$AZ$251,0)),"")</f>
        <v/>
      </c>
      <c r="C17" s="0" t="str">
        <f aca="false">IFERROR(INDEX(approvals!$AL$2:$AL$251,MATCH($B$2&amp;"|"&amp;11,approvals!$AZ$2:$AZ$251,0)),"")</f>
        <v/>
      </c>
      <c r="D17" s="0" t="str">
        <f aca="false">IFERROR(INDEX(approvals!$AM$2:$AM$251,MATCH($B$2&amp;"|"&amp;11,approvals!$AZ$2:$AZ$251,0)),"")</f>
        <v/>
      </c>
      <c r="E17" s="0" t="str">
        <f aca="false">IFERROR(INDEX(approvals!$AQ$2:$AQ$251,MATCH($B$2&amp;"|"&amp;11,approvals!$AZ$2:$AZ$251,0)),"")</f>
        <v/>
      </c>
      <c r="F17" s="0" t="str">
        <f aca="false">IFERROR(INDEX(approvals!$AR$2:$AR$251,MATCH($B$2&amp;"|"&amp;11,approvals!$AZ$2:$AZ$251,0)),"")</f>
        <v/>
      </c>
      <c r="G17" s="0" t="str">
        <f aca="false">IFERROR(INDEX(approvals!$AS$2:$AS$251,MATCH($B$2&amp;"|"&amp;11,approvals!$AZ$2:$AZ$251,0)),"")</f>
        <v/>
      </c>
      <c r="H17" s="0" t="str">
        <f aca="false">IFERROR(INDEX(approvals!$AT$2:$AT$251,MATCH($B$2&amp;"|"&amp;11,approvals!$AZ$2:$AZ$251,0)),"")</f>
        <v/>
      </c>
      <c r="I17" s="0" t="str">
        <f aca="false">IFERROR(IF(INDEX(approvals!$AT$2:$AT$251,MATCH($B$2&amp;"|"&amp;11,approvals!$AZ$2:$AZ$251,0))=0,"",ROUND(INDEX(approvals!$AU$2:$AU$251,MATCH($B$2&amp;"|"&amp;11,approvals!$AZ$2:$AZ$251,0))/INDEX(approvals!$AT$2:$AT$251,MATCH($B$2&amp;"|"&amp;11,approvals!$AZ$2:$AZ$251,0)),1)),"")</f>
        <v/>
      </c>
      <c r="J17" s="0" t="str">
        <f aca="false">IFERROR(INDEX(approvals!$AV$2:$AV$251,MATCH($B$2&amp;"|"&amp;11,approvals!$AZ$2:$AZ$251,0)),"")</f>
        <v/>
      </c>
      <c r="K17" s="0" t="str">
        <f aca="false">IFERROR(INDEX(approvals!$AW$2:$AW$251,MATCH($B$2&amp;"|"&amp;11,approvals!$AZ$2:$AZ$251,0)),"")</f>
        <v/>
      </c>
      <c r="L17" s="0" t="str">
        <f aca="false">IFERROR(INDEX(approvals!$AX$2:$AX$251,MATCH($B$2&amp;"|"&amp;11,approvals!$AZ$2:$AZ$251,0)),"")</f>
        <v/>
      </c>
      <c r="M17" s="0" t="str">
        <f aca="false">IFERROR(INDEX(approvals!$AY$2:$AY$251,MATCH($B$2&amp;"|"&amp;11,approvals!$AZ$2:$AZ$251,0)),"")</f>
        <v/>
      </c>
      <c r="N17" s="0" t="str">
        <f aca="false">IFERROR(IF(INDEX(approvals!$AL$2:$AL$251,MATCH($B$2&amp;"|"&amp;11,approvals!$AZ$2:$AZ$251,0))&gt;=config!$B$30,"OK","under "&amp;config!$B$30&amp;": ask the owner to re-post"),"")</f>
        <v/>
      </c>
    </row>
    <row r="18" customFormat="false" ht="15" hidden="false" customHeight="false" outlineLevel="0" collapsed="false">
      <c r="A18" s="0" t="str">
        <f aca="false">IFERROR(INDEX(approvals!$M$2:$M$251,MATCH($B$2&amp;"|"&amp;12,approvals!$AZ$2:$AZ$251,0)),"")</f>
        <v/>
      </c>
      <c r="B18" s="0" t="str">
        <f aca="false">IFERROR(INDEX(approvals!$K$2:$K$251,MATCH($B$2&amp;"|"&amp;12,approvals!$AZ$2:$AZ$251,0)),"")</f>
        <v/>
      </c>
      <c r="C18" s="0" t="str">
        <f aca="false">IFERROR(INDEX(approvals!$AL$2:$AL$251,MATCH($B$2&amp;"|"&amp;12,approvals!$AZ$2:$AZ$251,0)),"")</f>
        <v/>
      </c>
      <c r="D18" s="0" t="str">
        <f aca="false">IFERROR(INDEX(approvals!$AM$2:$AM$251,MATCH($B$2&amp;"|"&amp;12,approvals!$AZ$2:$AZ$251,0)),"")</f>
        <v/>
      </c>
      <c r="E18" s="0" t="str">
        <f aca="false">IFERROR(INDEX(approvals!$AQ$2:$AQ$251,MATCH($B$2&amp;"|"&amp;12,approvals!$AZ$2:$AZ$251,0)),"")</f>
        <v/>
      </c>
      <c r="F18" s="0" t="str">
        <f aca="false">IFERROR(INDEX(approvals!$AR$2:$AR$251,MATCH($B$2&amp;"|"&amp;12,approvals!$AZ$2:$AZ$251,0)),"")</f>
        <v/>
      </c>
      <c r="G18" s="0" t="str">
        <f aca="false">IFERROR(INDEX(approvals!$AS$2:$AS$251,MATCH($B$2&amp;"|"&amp;12,approvals!$AZ$2:$AZ$251,0)),"")</f>
        <v/>
      </c>
      <c r="H18" s="0" t="str">
        <f aca="false">IFERROR(INDEX(approvals!$AT$2:$AT$251,MATCH($B$2&amp;"|"&amp;12,approvals!$AZ$2:$AZ$251,0)),"")</f>
        <v/>
      </c>
      <c r="I18" s="0" t="str">
        <f aca="false">IFERROR(IF(INDEX(approvals!$AT$2:$AT$251,MATCH($B$2&amp;"|"&amp;12,approvals!$AZ$2:$AZ$251,0))=0,"",ROUND(INDEX(approvals!$AU$2:$AU$251,MATCH($B$2&amp;"|"&amp;12,approvals!$AZ$2:$AZ$251,0))/INDEX(approvals!$AT$2:$AT$251,MATCH($B$2&amp;"|"&amp;12,approvals!$AZ$2:$AZ$251,0)),1)),"")</f>
        <v/>
      </c>
      <c r="J18" s="0" t="str">
        <f aca="false">IFERROR(INDEX(approvals!$AV$2:$AV$251,MATCH($B$2&amp;"|"&amp;12,approvals!$AZ$2:$AZ$251,0)),"")</f>
        <v/>
      </c>
      <c r="K18" s="0" t="str">
        <f aca="false">IFERROR(INDEX(approvals!$AW$2:$AW$251,MATCH($B$2&amp;"|"&amp;12,approvals!$AZ$2:$AZ$251,0)),"")</f>
        <v/>
      </c>
      <c r="L18" s="0" t="str">
        <f aca="false">IFERROR(INDEX(approvals!$AX$2:$AX$251,MATCH($B$2&amp;"|"&amp;12,approvals!$AZ$2:$AZ$251,0)),"")</f>
        <v/>
      </c>
      <c r="M18" s="0" t="str">
        <f aca="false">IFERROR(INDEX(approvals!$AY$2:$AY$251,MATCH($B$2&amp;"|"&amp;12,approvals!$AZ$2:$AZ$251,0)),"")</f>
        <v/>
      </c>
      <c r="N18" s="0" t="str">
        <f aca="false">IFERROR(IF(INDEX(approvals!$AL$2:$AL$251,MATCH($B$2&amp;"|"&amp;12,approvals!$AZ$2:$AZ$251,0))&gt;=config!$B$30,"OK","under "&amp;config!$B$30&amp;": ask the owner to re-post"),"")</f>
        <v/>
      </c>
    </row>
    <row r="19" customFormat="false" ht="15" hidden="false" customHeight="false" outlineLevel="0" collapsed="false">
      <c r="A19" s="6" t="s">
        <v>133</v>
      </c>
      <c r="C19" s="6" t="n">
        <f aca="false">SUM(C7:C18)</f>
        <v>34</v>
      </c>
      <c r="D19" s="6" t="n">
        <f aca="false">SUM(D7:D18)</f>
        <v>25</v>
      </c>
      <c r="E19" s="6" t="n">
        <f aca="false">SUM(E7:E18)</f>
        <v>5</v>
      </c>
      <c r="F19" s="6" t="n">
        <f aca="false">SUM(F7:F18)</f>
        <v>2</v>
      </c>
      <c r="G19" s="6" t="n">
        <f aca="false">SUM(G7:G18)</f>
        <v>2</v>
      </c>
      <c r="H19" s="6" t="n">
        <f aca="false">SUM(H7:H18)</f>
        <v>25</v>
      </c>
      <c r="I19" s="18" t="n">
        <f aca="false">IFERROR(IFERROR(INDEX(campaigns!$CP$2:$CP$51,MATCH($B$2,campaigns!$A$2:$A$51,0)),""),"")</f>
        <v>4.2</v>
      </c>
      <c r="J19" s="6" t="n">
        <f aca="false">SUM(J7:J18)</f>
        <v>10</v>
      </c>
      <c r="K19" s="6" t="n">
        <f aca="false">SUM(K7:K18)</f>
        <v>8</v>
      </c>
      <c r="L19" s="6" t="n">
        <f aca="false">SUM(L7:L18)</f>
        <v>7</v>
      </c>
      <c r="M19" s="6" t="n">
        <f aca="false">SUM(M7:M18)</f>
        <v>18</v>
      </c>
    </row>
    <row r="21" customFormat="false" ht="15" hidden="false" customHeight="false" outlineLevel="0" collapsed="false">
      <c r="A21" s="6" t="s">
        <v>148</v>
      </c>
    </row>
    <row r="22" customFormat="false" ht="15" hidden="false" customHeight="false" outlineLevel="0" collapsed="false">
      <c r="A22" s="0" t="s">
        <v>149</v>
      </c>
      <c r="C22" s="0" t="n">
        <f aca="false">IFERROR(INDEX(campaigns!$CU$2:$CU$51,MATCH($B$2,campaigns!$A$2:$A$51,0)),"")</f>
        <v>2</v>
      </c>
    </row>
    <row r="23" customFormat="false" ht="15" hidden="false" customHeight="false" outlineLevel="0" collapsed="false">
      <c r="A23" s="0" t="s">
        <v>150</v>
      </c>
      <c r="C23" s="0" t="n">
        <f aca="false">IFERROR(INDEX(campaigns!$CV$2:$CV$51,MATCH($B$2,campaigns!$A$2:$A$51,0)),"")</f>
        <v>1</v>
      </c>
    </row>
    <row r="24" customFormat="false" ht="15" hidden="false" customHeight="false" outlineLevel="0" collapsed="false">
      <c r="A24" s="0" t="s">
        <v>151</v>
      </c>
      <c r="C24" s="0" t="n">
        <f aca="false">IFERROR(INDEX(campaigns!$CW$2:$CW$51,MATCH($B$2,campaigns!$A$2:$A$51,0)),"")</f>
        <v>0</v>
      </c>
    </row>
    <row r="26" customFormat="false" ht="48" hidden="false" customHeight="true" outlineLevel="0" collapsed="false">
      <c r="A26" s="19" t="s">
        <v>152</v>
      </c>
      <c r="B26" s="19"/>
      <c r="C26" s="19"/>
      <c r="D26" s="19"/>
      <c r="E26" s="19"/>
      <c r="F26" s="19"/>
      <c r="G26" s="19"/>
      <c r="H26" s="19"/>
      <c r="I26" s="19"/>
      <c r="J26" s="19"/>
      <c r="K26" s="19"/>
      <c r="L26" s="19"/>
      <c r="M26" s="19"/>
      <c r="N26" s="19"/>
    </row>
  </sheetData>
  <mergeCells count="1">
    <mergeCell ref="A26:N26"/>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8"/>
    <col collapsed="false" customWidth="true" hidden="false" outlineLevel="0" max="3" min="3" style="0" width="14"/>
    <col collapsed="false" customWidth="true" hidden="false" outlineLevel="0" max="5" min="4" style="0" width="12"/>
    <col collapsed="false" customWidth="true" hidden="false" outlineLevel="0" max="6" min="6" style="0" width="10"/>
    <col collapsed="false" customWidth="true" hidden="false" outlineLevel="0" max="7" min="7" style="0" width="12"/>
    <col collapsed="false" customWidth="true" hidden="false" outlineLevel="0" max="8" min="8" style="0" width="11"/>
    <col collapsed="false" customWidth="true" hidden="false" outlineLevel="0" max="9" min="9" style="0" width="10"/>
    <col collapsed="false" customWidth="true" hidden="false" outlineLevel="0" max="11" min="10" style="0" width="15"/>
  </cols>
  <sheetData>
    <row r="1" customFormat="false" ht="17.35" hidden="false" customHeight="false" outlineLevel="0" collapsed="false">
      <c r="A1" s="5" t="str">
        <f aca="false">IF(LEFT($B$2,6)="SAMPLE","SAMPLE DATA. Illustrative placeholders, not results.","")</f>
        <v>SAMPLE DATA. Illustrative placeholders, not results.</v>
      </c>
    </row>
    <row r="2" customFormat="false" ht="15" hidden="false" customHeight="false" outlineLevel="0" collapsed="false">
      <c r="A2" s="6" t="s">
        <v>135</v>
      </c>
      <c r="B2" s="0" t="str">
        <f aca="false">IF(INDEX(campaigns!$A$2:$A$51,1)="","",INDEX(campaigns!$A$2:$A$51,1))</f>
        <v>SAMPLE-CMP-001</v>
      </c>
      <c r="D2" s="10" t="s">
        <v>153</v>
      </c>
    </row>
    <row r="4" customFormat="false" ht="16.15" hidden="false" customHeight="false" outlineLevel="0" collapsed="false">
      <c r="A4" s="20" t="str">
        <f aca="false">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SAMPLE Brightside · SAMPLE Sea Salt Lentil Crisps, 1 oz bags · Flatiron, NoMad and Union Square · Drop Tue 2027-01-12 · Window Tue 2027-01-12 to Tue 2027-01-19</v>
      </c>
    </row>
    <row r="6" customFormat="false" ht="15" hidden="false" customHeight="false" outlineLevel="0" collapsed="false">
      <c r="A6" s="21" t="s">
        <v>154</v>
      </c>
      <c r="B6" s="21" t="s">
        <v>155</v>
      </c>
      <c r="C6" s="21" t="s">
        <v>156</v>
      </c>
      <c r="D6" s="21" t="s">
        <v>157</v>
      </c>
      <c r="E6" s="21" t="s">
        <v>158</v>
      </c>
      <c r="F6" s="21" t="s">
        <v>159</v>
      </c>
      <c r="G6" s="21" t="s">
        <v>160</v>
      </c>
    </row>
    <row r="7" customFormat="false" ht="17.35" hidden="false" customHeight="false" outlineLevel="0" collapsed="false">
      <c r="A7" s="22" t="n">
        <f aca="false">IFERROR(INDEX(campaigns!$CB$2:$CB$51,MATCH($B$2,campaigns!$A$2:$A$51,0)),"")</f>
        <v>250</v>
      </c>
      <c r="B7" s="22" t="n">
        <f aca="false">IFERROR(INDEX(campaigns!$CC$2:$CC$51,MATCH($B$2,campaigns!$A$2:$A$51,0)),"")</f>
        <v>248</v>
      </c>
      <c r="C7" s="22" t="n">
        <f aca="false">IFERROR(INDEX(campaigns!$CG$2:$CG$51,MATCH($B$2,campaigns!$A$2:$A$51,0)),"")</f>
        <v>200</v>
      </c>
      <c r="D7" s="22" t="n">
        <f aca="false">IFERROR(INDEX(campaigns!$CH$2:$CH$51,MATCH($B$2,campaigns!$A$2:$A$51,0)),"")</f>
        <v>34</v>
      </c>
      <c r="E7" s="22" t="n">
        <f aca="false">IFERROR(INDEX(campaigns!$CX$2:$CX$51,MATCH($B$2,campaigns!$A$2:$A$51,0)),"")</f>
        <v>45</v>
      </c>
      <c r="F7" s="22" t="n">
        <f aca="false">IFERROR(INDEX(campaigns!$CZ$2:$CZ$51,MATCH($B$2,campaigns!$A$2:$A$51,0)),"")</f>
        <v>11</v>
      </c>
      <c r="G7" s="22" t="str">
        <f aca="false">"not measured"</f>
        <v>not measured</v>
      </c>
    </row>
    <row r="8" customFormat="false" ht="43.5" hidden="false" customHeight="true" outlineLevel="0" collapsed="false">
      <c r="A8" s="23" t="str">
        <f aca="false">IF($B$2="","","handed over on the drop day")</f>
        <v>handed over on the drop day</v>
      </c>
      <c r="B8" s="23" t="str">
        <f aca="false">IF($B$2="","","within one business day: "&amp;IFERROR(INDEX(campaigns!$CD$2:$CD$51,MATCH($B$2,campaigns!$A$2:$A$51,0)),"")&amp;" of "&amp;IFERROR(INDEX(campaigns!$CB$2:$CB$51,MATCH($B$2,campaigns!$A$2:$A$51,0)),"")&amp;IF(IFERROR(INDEX(campaigns!$CE$2:$CE$51,MATCH($B$2,campaigns!$A$2:$A$51,0)),"")="",""," ("&amp;TEXT(IFERROR(INDEX(campaigns!$CE$2:$CE$51,MATCH($B$2,campaigns!$A$2:$A$51,0)),""),"0%")&amp;")"))</f>
        <v>within one business day: 198 of 250 (79%)</v>
      </c>
      <c r="C8" s="23" t="str">
        <f aca="false">IF($B$2="","","gone by day 5; plus "&amp;IFERROR(INDEX(campaigns!$CF$2:$CF$51,MATCH($B$2,campaigns!$A$2:$A$51,0)),"")&amp;" day-3 top-ups from reserve")</f>
        <v>gone by day 5; plus 5 day-3 top-ups from reserve</v>
      </c>
      <c r="D8" s="23" t="str">
        <f aca="false">IF($B$2="","","survey responses; "&amp;IFERROR(INDEX(campaigns!$CK$2:$CK$51,MATCH($B$2,campaigns!$A$2:$A$51,0)),"")&amp;" said they tried it")</f>
        <v>survey responses; 25 said they tried it</v>
      </c>
      <c r="E8" s="23" t="str">
        <f aca="false">IF($B$2="","","QR scans, T to T+4")</f>
        <v>QR scans, T to T+4</v>
      </c>
      <c r="F8" s="23" t="str">
        <f aca="false">IF($B$2="","","code redemptions reported by the brand"&amp;IF(IFERROR(INDEX(campaigns!$DA$2:$DA$51,MATCH($B$2,campaigns!$A$2:$A$51,0)),"")="",""," as of "&amp;TEXT(IFERROR(INDEX(campaigns!$DA$2:$DA$51,MATCH($B$2,campaigns!$A$2:$A$51,0)),""),"yyyy-mm-dd")))</f>
        <v>code redemptions reported by the brand as of 2027-02-11</v>
      </c>
      <c r="G8" s="23" t="str">
        <f aca="false">IF($B$2="","","this report does not show whether the campaign caused any sale")</f>
        <v>this report does not show whether the campaign caused any sale</v>
      </c>
    </row>
    <row r="10" customFormat="false" ht="15" hidden="false" customHeight="false" outlineLevel="0" collapsed="false">
      <c r="A10" s="24" t="s">
        <v>161</v>
      </c>
      <c r="B10" s="24" t="s">
        <v>162</v>
      </c>
      <c r="C10" s="24" t="s">
        <v>163</v>
      </c>
      <c r="D10" s="24" t="s">
        <v>164</v>
      </c>
      <c r="E10" s="24" t="s">
        <v>165</v>
      </c>
      <c r="F10" s="24" t="s">
        <v>166</v>
      </c>
      <c r="G10" s="24" t="s">
        <v>167</v>
      </c>
      <c r="H10" s="24" t="s">
        <v>168</v>
      </c>
      <c r="I10" s="24" t="s">
        <v>114</v>
      </c>
      <c r="J10" s="24" t="s">
        <v>169</v>
      </c>
      <c r="K10" s="24" t="s">
        <v>170</v>
      </c>
    </row>
    <row r="11" customFormat="false" ht="15" hidden="false" customHeight="false" outlineLevel="0" collapsed="false">
      <c r="A11" s="0" t="str">
        <f aca="false">IFERROR(INDEX(approvals!$M$2:$M$251,MATCH($B$2&amp;"|"&amp;1,approvals!$AZ$2:$AZ$251,0))&amp;IF(INDEX(approvals!$AB$2:$AB$251,MATCH($B$2&amp;"|"&amp;1,approvals!$AZ$2:$AZ$251,0))="N","*",""),"")</f>
        <v>A</v>
      </c>
      <c r="B11" s="0" t="str">
        <f aca="false">IFERROR(INDEX(offices!$AI$2:$AI$61,MATCH(INDEX(approvals!$B$2:$B$251,MATCH($B$2&amp;"|"&amp;1,approvals!$AZ$2:$AZ$251,0)),offices!$A$2:$A$61,0)),"")</f>
        <v>SAMPLE Software</v>
      </c>
      <c r="C11" s="0" t="str">
        <f aca="false">IFERROR(SUBSTITUTE(INDEX(offices!$AK$2:$AK$61,MATCH(INDEX(approvals!$B$2:$B$251,MATCH($B$2&amp;"|"&amp;1,approvals!$AZ$2:$AZ$251,0)),offices!$A$2:$A$61,0)),"-"," to "),"")</f>
        <v>40 to 75</v>
      </c>
      <c r="D11" s="0" t="n">
        <f aca="false">IFERROR(INDEX(approvals!$U$2:$U$251,MATCH($B$2&amp;"|"&amp;1,approvals!$AZ$2:$AZ$251,0)),"")</f>
        <v>40</v>
      </c>
      <c r="E11" s="0" t="n">
        <f aca="false">IFERROR(INDEX(approvals!$AA$2:$AA$251,MATCH($B$2&amp;"|"&amp;1,approvals!$AZ$2:$AZ$251,0)),"")</f>
        <v>40</v>
      </c>
      <c r="F11" s="0" t="n">
        <f aca="false">IFERROR(INDEX(approvals!$AD$2:$AD$251,MATCH($B$2&amp;"|"&amp;1,approvals!$AZ$2:$AZ$251,0)),"")</f>
        <v>5</v>
      </c>
      <c r="G11" s="0" t="n">
        <f aca="false">IFERROR(INDEX(approvals!$AG$2:$AG$251,MATCH($B$2&amp;"|"&amp;1,approvals!$AZ$2:$AZ$251,0)),"")</f>
        <v>44</v>
      </c>
      <c r="H11" s="0" t="n">
        <f aca="false">IFERROR(INDEX(approvals!$AL$2:$AL$251,MATCH($B$2&amp;"|"&amp;1,approvals!$AZ$2:$AZ$251,0)),"")</f>
        <v>9</v>
      </c>
      <c r="I11" s="0" t="n">
        <f aca="false">IFERROR(INDEX(approvals!$AN$2:$AN$251,MATCH($B$2&amp;"|"&amp;1,approvals!$AZ$2:$AZ$251,0)),"")</f>
        <v>14</v>
      </c>
      <c r="J11" s="0" t="str">
        <f aca="false">IFERROR(IF(INDEX(approvals!$Y$2:$Y$251,MATCH($B$2&amp;"|"&amp;1,approvals!$AZ$2:$AZ$251,0))="","none received",TEXT(INDEX(approvals!$Y$2:$Y$251,MATCH($B$2&amp;"|"&amp;1,approvals!$AZ$2:$AZ$251,0)),"yyyy-mm-dd")),"")</f>
        <v>2027-01-12</v>
      </c>
      <c r="K11" s="0" t="str">
        <f aca="false">IFERROR(IF(INDEX(approvals!$AI$2:$AI$251,MATCH($B$2&amp;"|"&amp;1,approvals!$AZ$2:$AZ$251,0))="","none received",TEXT(INDEX(approvals!$AI$2:$AI$251,MATCH($B$2&amp;"|"&amp;1,approvals!$AZ$2:$AZ$251,0)),"yyyy-mm-dd")),"")</f>
        <v>2027-01-19</v>
      </c>
    </row>
    <row r="12" customFormat="false" ht="15" hidden="false" customHeight="false" outlineLevel="0" collapsed="false">
      <c r="A12" s="0" t="str">
        <f aca="false">IFERROR(INDEX(approvals!$M$2:$M$251,MATCH($B$2&amp;"|"&amp;2,approvals!$AZ$2:$AZ$251,0))&amp;IF(INDEX(approvals!$AB$2:$AB$251,MATCH($B$2&amp;"|"&amp;2,approvals!$AZ$2:$AZ$251,0))="N","*",""),"")</f>
        <v>B</v>
      </c>
      <c r="B12" s="0" t="str">
        <f aca="false">IFERROR(INDEX(offices!$AI$2:$AI$61,MATCH(INDEX(approvals!$B$2:$B$251,MATCH($B$2&amp;"|"&amp;2,approvals!$AZ$2:$AZ$251,0)),offices!$A$2:$A$61,0)),"")</f>
        <v>SAMPLE Architecture</v>
      </c>
      <c r="C12" s="0" t="str">
        <f aca="false">IFERROR(SUBSTITUTE(INDEX(offices!$AK$2:$AK$61,MATCH(INDEX(approvals!$B$2:$B$251,MATCH($B$2&amp;"|"&amp;2,approvals!$AZ$2:$AZ$251,0)),offices!$A$2:$A$61,0)),"-"," to "),"")</f>
        <v>40 to 75</v>
      </c>
      <c r="D12" s="0" t="n">
        <f aca="false">IFERROR(INDEX(approvals!$U$2:$U$251,MATCH($B$2&amp;"|"&amp;2,approvals!$AZ$2:$AZ$251,0)),"")</f>
        <v>40</v>
      </c>
      <c r="E12" s="0" t="n">
        <f aca="false">IFERROR(INDEX(approvals!$AA$2:$AA$251,MATCH($B$2&amp;"|"&amp;2,approvals!$AZ$2:$AZ$251,0)),"")</f>
        <v>38</v>
      </c>
      <c r="F12" s="0" t="n">
        <f aca="false">IFERROR(INDEX(approvals!$AD$2:$AD$251,MATCH($B$2&amp;"|"&amp;2,approvals!$AZ$2:$AZ$251,0)),"")</f>
        <v>0</v>
      </c>
      <c r="G12" s="0" t="n">
        <f aca="false">IFERROR(INDEX(approvals!$AG$2:$AG$251,MATCH($B$2&amp;"|"&amp;2,approvals!$AZ$2:$AZ$251,0)),"")</f>
        <v>31</v>
      </c>
      <c r="H12" s="0" t="n">
        <f aca="false">IFERROR(INDEX(approvals!$AL$2:$AL$251,MATCH($B$2&amp;"|"&amp;2,approvals!$AZ$2:$AZ$251,0)),"")</f>
        <v>6</v>
      </c>
      <c r="I12" s="0" t="n">
        <f aca="false">IFERROR(INDEX(approvals!$AN$2:$AN$251,MATCH($B$2&amp;"|"&amp;2,approvals!$AZ$2:$AZ$251,0)),"")</f>
        <v>7</v>
      </c>
      <c r="J12" s="0" t="str">
        <f aca="false">IFERROR(IF(INDEX(approvals!$Y$2:$Y$251,MATCH($B$2&amp;"|"&amp;2,approvals!$AZ$2:$AZ$251,0))="","none received",TEXT(INDEX(approvals!$Y$2:$Y$251,MATCH($B$2&amp;"|"&amp;2,approvals!$AZ$2:$AZ$251,0)),"yyyy-mm-dd")),"")</f>
        <v>2027-01-12</v>
      </c>
      <c r="K12" s="0" t="str">
        <f aca="false">IFERROR(IF(INDEX(approvals!$AI$2:$AI$251,MATCH($B$2&amp;"|"&amp;2,approvals!$AZ$2:$AZ$251,0))="","none received",TEXT(INDEX(approvals!$AI$2:$AI$251,MATCH($B$2&amp;"|"&amp;2,approvals!$AZ$2:$AZ$251,0)),"yyyy-mm-dd")),"")</f>
        <v>2027-01-19</v>
      </c>
    </row>
    <row r="13" customFormat="false" ht="15" hidden="false" customHeight="false" outlineLevel="0" collapsed="false">
      <c r="A13" s="0" t="str">
        <f aca="false">IFERROR(INDEX(approvals!$M$2:$M$251,MATCH($B$2&amp;"|"&amp;3,approvals!$AZ$2:$AZ$251,0))&amp;IF(INDEX(approvals!$AB$2:$AB$251,MATCH($B$2&amp;"|"&amp;3,approvals!$AZ$2:$AZ$251,0))="N","*",""),"")</f>
        <v>C</v>
      </c>
      <c r="B13" s="0" t="str">
        <f aca="false">IFERROR(INDEX(offices!$AI$2:$AI$61,MATCH(INDEX(approvals!$B$2:$B$251,MATCH($B$2&amp;"|"&amp;3,approvals!$AZ$2:$AZ$251,0)),offices!$A$2:$A$61,0)),"")</f>
        <v>SAMPLE Media</v>
      </c>
      <c r="C13" s="0" t="str">
        <f aca="false">IFERROR(SUBSTITUTE(INDEX(offices!$AK$2:$AK$61,MATCH(INDEX(approvals!$B$2:$B$251,MATCH($B$2&amp;"|"&amp;3,approvals!$AZ$2:$AZ$251,0)),offices!$A$2:$A$61,0)),"-"," to "),"")</f>
        <v>76 to 150</v>
      </c>
      <c r="D13" s="0" t="n">
        <f aca="false">IFERROR(INDEX(approvals!$U$2:$U$251,MATCH($B$2&amp;"|"&amp;3,approvals!$AZ$2:$AZ$251,0)),"")</f>
        <v>50</v>
      </c>
      <c r="E13" s="0" t="n">
        <f aca="false">IFERROR(INDEX(approvals!$AA$2:$AA$251,MATCH($B$2&amp;"|"&amp;3,approvals!$AZ$2:$AZ$251,0)),"")</f>
        <v>50</v>
      </c>
      <c r="F13" s="0" t="n">
        <f aca="false">IFERROR(INDEX(approvals!$AD$2:$AD$251,MATCH($B$2&amp;"|"&amp;3,approvals!$AZ$2:$AZ$251,0)),"")</f>
        <v>0</v>
      </c>
      <c r="G13" s="0" t="n">
        <f aca="false">IFERROR(INDEX(approvals!$AG$2:$AG$251,MATCH($B$2&amp;"|"&amp;3,approvals!$AZ$2:$AZ$251,0)),"")</f>
        <v>41</v>
      </c>
      <c r="H13" s="0" t="n">
        <f aca="false">IFERROR(INDEX(approvals!$AL$2:$AL$251,MATCH($B$2&amp;"|"&amp;3,approvals!$AZ$2:$AZ$251,0)),"")</f>
        <v>8</v>
      </c>
      <c r="I13" s="0" t="n">
        <f aca="false">IFERROR(INDEX(approvals!$AN$2:$AN$251,MATCH($B$2&amp;"|"&amp;3,approvals!$AZ$2:$AZ$251,0)),"")</f>
        <v>11</v>
      </c>
      <c r="J13" s="0" t="str">
        <f aca="false">IFERROR(IF(INDEX(approvals!$Y$2:$Y$251,MATCH($B$2&amp;"|"&amp;3,approvals!$AZ$2:$AZ$251,0))="","none received",TEXT(INDEX(approvals!$Y$2:$Y$251,MATCH($B$2&amp;"|"&amp;3,approvals!$AZ$2:$AZ$251,0)),"yyyy-mm-dd")),"")</f>
        <v>2027-01-12</v>
      </c>
      <c r="K13" s="0" t="str">
        <f aca="false">IFERROR(IF(INDEX(approvals!$AI$2:$AI$251,MATCH($B$2&amp;"|"&amp;3,approvals!$AZ$2:$AZ$251,0))="","none received",TEXT(INDEX(approvals!$AI$2:$AI$251,MATCH($B$2&amp;"|"&amp;3,approvals!$AZ$2:$AZ$251,0)),"yyyy-mm-dd")),"")</f>
        <v>2027-01-19</v>
      </c>
    </row>
    <row r="14" customFormat="false" ht="15" hidden="false" customHeight="false" outlineLevel="0" collapsed="false">
      <c r="A14" s="0" t="str">
        <f aca="false">IFERROR(INDEX(approvals!$M$2:$M$251,MATCH($B$2&amp;"|"&amp;4,approvals!$AZ$2:$AZ$251,0))&amp;IF(INDEX(approvals!$AB$2:$AB$251,MATCH($B$2&amp;"|"&amp;4,approvals!$AZ$2:$AZ$251,0))="N","*",""),"")</f>
        <v>D*</v>
      </c>
      <c r="B14" s="0" t="str">
        <f aca="false">IFERROR(INDEX(offices!$AI$2:$AI$61,MATCH(INDEX(approvals!$B$2:$B$251,MATCH($B$2&amp;"|"&amp;4,approvals!$AZ$2:$AZ$251,0)),offices!$A$2:$A$61,0)),"")</f>
        <v>SAMPLE Nonprofit</v>
      </c>
      <c r="C14" s="0" t="str">
        <f aca="false">IFERROR(SUBSTITUTE(INDEX(offices!$AK$2:$AK$61,MATCH(INDEX(approvals!$B$2:$B$251,MATCH($B$2&amp;"|"&amp;4,approvals!$AZ$2:$AZ$251,0)),offices!$A$2:$A$61,0)),"-"," to "),"")</f>
        <v>76 to 150</v>
      </c>
      <c r="D14" s="0" t="n">
        <f aca="false">IFERROR(INDEX(approvals!$U$2:$U$251,MATCH($B$2&amp;"|"&amp;4,approvals!$AZ$2:$AZ$251,0)),"")</f>
        <v>50</v>
      </c>
      <c r="E14" s="0" t="n">
        <f aca="false">IFERROR(INDEX(approvals!$AA$2:$AA$251,MATCH($B$2&amp;"|"&amp;4,approvals!$AZ$2:$AZ$251,0)),"")</f>
        <v>50</v>
      </c>
      <c r="F14" s="0" t="n">
        <f aca="false">IFERROR(INDEX(approvals!$AD$2:$AD$251,MATCH($B$2&amp;"|"&amp;4,approvals!$AZ$2:$AZ$251,0)),"")</f>
        <v>0</v>
      </c>
      <c r="G14" s="0" t="n">
        <f aca="false">IFERROR(INDEX(approvals!$AG$2:$AG$251,MATCH($B$2&amp;"|"&amp;4,approvals!$AZ$2:$AZ$251,0)),"")</f>
        <v>22</v>
      </c>
      <c r="H14" s="0" t="n">
        <f aca="false">IFERROR(INDEX(approvals!$AL$2:$AL$251,MATCH($B$2&amp;"|"&amp;4,approvals!$AZ$2:$AZ$251,0)),"")</f>
        <v>4</v>
      </c>
      <c r="I14" s="0" t="n">
        <f aca="false">IFERROR(INDEX(approvals!$AN$2:$AN$251,MATCH($B$2&amp;"|"&amp;4,approvals!$AZ$2:$AZ$251,0)),"")</f>
        <v>4</v>
      </c>
      <c r="J14" s="0" t="str">
        <f aca="false">IFERROR(IF(INDEX(approvals!$Y$2:$Y$251,MATCH($B$2&amp;"|"&amp;4,approvals!$AZ$2:$AZ$251,0))="","none received",TEXT(INDEX(approvals!$Y$2:$Y$251,MATCH($B$2&amp;"|"&amp;4,approvals!$AZ$2:$AZ$251,0)),"yyyy-mm-dd")),"")</f>
        <v>2027-01-14</v>
      </c>
      <c r="K14" s="0" t="str">
        <f aca="false">IFERROR(IF(INDEX(approvals!$AI$2:$AI$251,MATCH($B$2&amp;"|"&amp;4,approvals!$AZ$2:$AZ$251,0))="","none received",TEXT(INDEX(approvals!$AI$2:$AI$251,MATCH($B$2&amp;"|"&amp;4,approvals!$AZ$2:$AZ$251,0)),"yyyy-mm-dd")),"")</f>
        <v>2027-01-19</v>
      </c>
    </row>
    <row r="15" customFormat="false" ht="15" hidden="false" customHeight="false" outlineLevel="0" collapsed="false">
      <c r="A15" s="0" t="str">
        <f aca="false">IFERROR(INDEX(approvals!$M$2:$M$251,MATCH($B$2&amp;"|"&amp;5,approvals!$AZ$2:$AZ$251,0))&amp;IF(INDEX(approvals!$AB$2:$AB$251,MATCH($B$2&amp;"|"&amp;5,approvals!$AZ$2:$AZ$251,0))="N","*",""),"")</f>
        <v>E</v>
      </c>
      <c r="B15" s="0" t="str">
        <f aca="false">IFERROR(INDEX(offices!$AI$2:$AI$61,MATCH(INDEX(approvals!$B$2:$B$251,MATCH($B$2&amp;"|"&amp;5,approvals!$AZ$2:$AZ$251,0)),offices!$A$2:$A$61,0)),"")</f>
        <v>SAMPLE Design studio</v>
      </c>
      <c r="C15" s="0" t="str">
        <f aca="false">IFERROR(SUBSTITUTE(INDEX(offices!$AK$2:$AK$61,MATCH(INDEX(approvals!$B$2:$B$251,MATCH($B$2&amp;"|"&amp;5,approvals!$AZ$2:$AZ$251,0)),offices!$A$2:$A$61,0)),"-"," to "),"")</f>
        <v>151 to 250</v>
      </c>
      <c r="D15" s="0" t="n">
        <f aca="false">IFERROR(INDEX(approvals!$U$2:$U$251,MATCH($B$2&amp;"|"&amp;5,approvals!$AZ$2:$AZ$251,0)),"")</f>
        <v>70</v>
      </c>
      <c r="E15" s="0" t="n">
        <f aca="false">IFERROR(INDEX(approvals!$AA$2:$AA$251,MATCH($B$2&amp;"|"&amp;5,approvals!$AZ$2:$AZ$251,0)),"")</f>
        <v>70</v>
      </c>
      <c r="F15" s="0" t="n">
        <f aca="false">IFERROR(INDEX(approvals!$AD$2:$AD$251,MATCH($B$2&amp;"|"&amp;5,approvals!$AZ$2:$AZ$251,0)),"")</f>
        <v>0</v>
      </c>
      <c r="G15" s="0" t="n">
        <f aca="false">IFERROR(INDEX(approvals!$AG$2:$AG$251,MATCH($B$2&amp;"|"&amp;5,approvals!$AZ$2:$AZ$251,0)),"")</f>
        <v>62</v>
      </c>
      <c r="H15" s="0" t="n">
        <f aca="false">IFERROR(INDEX(approvals!$AL$2:$AL$251,MATCH($B$2&amp;"|"&amp;5,approvals!$AZ$2:$AZ$251,0)),"")</f>
        <v>7</v>
      </c>
      <c r="I15" s="0" t="n">
        <f aca="false">IFERROR(INDEX(approvals!$AN$2:$AN$251,MATCH($B$2&amp;"|"&amp;5,approvals!$AZ$2:$AZ$251,0)),"")</f>
        <v>9</v>
      </c>
      <c r="J15" s="0" t="str">
        <f aca="false">IFERROR(IF(INDEX(approvals!$Y$2:$Y$251,MATCH($B$2&amp;"|"&amp;5,approvals!$AZ$2:$AZ$251,0))="","none received",TEXT(INDEX(approvals!$Y$2:$Y$251,MATCH($B$2&amp;"|"&amp;5,approvals!$AZ$2:$AZ$251,0)),"yyyy-mm-dd")),"")</f>
        <v>2027-01-12</v>
      </c>
      <c r="K15" s="0" t="str">
        <f aca="false">IFERROR(IF(INDEX(approvals!$AI$2:$AI$251,MATCH($B$2&amp;"|"&amp;5,approvals!$AZ$2:$AZ$251,0))="","none received",TEXT(INDEX(approvals!$AI$2:$AI$251,MATCH($B$2&amp;"|"&amp;5,approvals!$AZ$2:$AZ$251,0)),"yyyy-mm-dd")),"")</f>
        <v>2027-01-19</v>
      </c>
    </row>
    <row r="16" customFormat="false" ht="15" hidden="false" customHeight="false" outlineLevel="0" collapsed="false">
      <c r="A16" s="0" t="str">
        <f aca="false">IFERROR(INDEX(approvals!$M$2:$M$251,MATCH($B$2&amp;"|"&amp;6,approvals!$AZ$2:$AZ$251,0))&amp;IF(INDEX(approvals!$AB$2:$AB$251,MATCH($B$2&amp;"|"&amp;6,approvals!$AZ$2:$AZ$251,0))="N","*",""),"")</f>
        <v/>
      </c>
      <c r="B16" s="0" t="str">
        <f aca="false">IFERROR(INDEX(offices!$AI$2:$AI$61,MATCH(INDEX(approvals!$B$2:$B$251,MATCH($B$2&amp;"|"&amp;6,approvals!$AZ$2:$AZ$251,0)),offices!$A$2:$A$61,0)),"")</f>
        <v/>
      </c>
      <c r="C16" s="0" t="str">
        <f aca="false">IFERROR(SUBSTITUTE(INDEX(offices!$AK$2:$AK$61,MATCH(INDEX(approvals!$B$2:$B$251,MATCH($B$2&amp;"|"&amp;6,approvals!$AZ$2:$AZ$251,0)),offices!$A$2:$A$61,0)),"-"," to "),"")</f>
        <v/>
      </c>
      <c r="D16" s="0" t="str">
        <f aca="false">IFERROR(INDEX(approvals!$U$2:$U$251,MATCH($B$2&amp;"|"&amp;6,approvals!$AZ$2:$AZ$251,0)),"")</f>
        <v/>
      </c>
      <c r="E16" s="0" t="str">
        <f aca="false">IFERROR(INDEX(approvals!$AA$2:$AA$251,MATCH($B$2&amp;"|"&amp;6,approvals!$AZ$2:$AZ$251,0)),"")</f>
        <v/>
      </c>
      <c r="F16" s="0" t="str">
        <f aca="false">IFERROR(INDEX(approvals!$AD$2:$AD$251,MATCH($B$2&amp;"|"&amp;6,approvals!$AZ$2:$AZ$251,0)),"")</f>
        <v/>
      </c>
      <c r="G16" s="0" t="str">
        <f aca="false">IFERROR(INDEX(approvals!$AG$2:$AG$251,MATCH($B$2&amp;"|"&amp;6,approvals!$AZ$2:$AZ$251,0)),"")</f>
        <v/>
      </c>
      <c r="H16" s="0" t="str">
        <f aca="false">IFERROR(INDEX(approvals!$AL$2:$AL$251,MATCH($B$2&amp;"|"&amp;6,approvals!$AZ$2:$AZ$251,0)),"")</f>
        <v/>
      </c>
      <c r="I16" s="0" t="str">
        <f aca="false">IFERROR(INDEX(approvals!$AN$2:$AN$251,MATCH($B$2&amp;"|"&amp;6,approvals!$AZ$2:$AZ$251,0)),"")</f>
        <v/>
      </c>
      <c r="J16" s="0" t="str">
        <f aca="false">IFERROR(IF(INDEX(approvals!$Y$2:$Y$251,MATCH($B$2&amp;"|"&amp;6,approvals!$AZ$2:$AZ$251,0))="","none received",TEXT(INDEX(approvals!$Y$2:$Y$251,MATCH($B$2&amp;"|"&amp;6,approvals!$AZ$2:$AZ$251,0)),"yyyy-mm-dd")),"")</f>
        <v/>
      </c>
      <c r="K16" s="0" t="str">
        <f aca="false">IFERROR(IF(INDEX(approvals!$AI$2:$AI$251,MATCH($B$2&amp;"|"&amp;6,approvals!$AZ$2:$AZ$251,0))="","none received",TEXT(INDEX(approvals!$AI$2:$AI$251,MATCH($B$2&amp;"|"&amp;6,approvals!$AZ$2:$AZ$251,0)),"yyyy-mm-dd")),"")</f>
        <v/>
      </c>
    </row>
    <row r="17" customFormat="false" ht="15" hidden="false" customHeight="false" outlineLevel="0" collapsed="false">
      <c r="A17" s="0" t="str">
        <f aca="false">IFERROR(INDEX(approvals!$M$2:$M$251,MATCH($B$2&amp;"|"&amp;7,approvals!$AZ$2:$AZ$251,0))&amp;IF(INDEX(approvals!$AB$2:$AB$251,MATCH($B$2&amp;"|"&amp;7,approvals!$AZ$2:$AZ$251,0))="N","*",""),"")</f>
        <v/>
      </c>
      <c r="B17" s="0" t="str">
        <f aca="false">IFERROR(INDEX(offices!$AI$2:$AI$61,MATCH(INDEX(approvals!$B$2:$B$251,MATCH($B$2&amp;"|"&amp;7,approvals!$AZ$2:$AZ$251,0)),offices!$A$2:$A$61,0)),"")</f>
        <v/>
      </c>
      <c r="C17" s="0" t="str">
        <f aca="false">IFERROR(SUBSTITUTE(INDEX(offices!$AK$2:$AK$61,MATCH(INDEX(approvals!$B$2:$B$251,MATCH($B$2&amp;"|"&amp;7,approvals!$AZ$2:$AZ$251,0)),offices!$A$2:$A$61,0)),"-"," to "),"")</f>
        <v/>
      </c>
      <c r="D17" s="0" t="str">
        <f aca="false">IFERROR(INDEX(approvals!$U$2:$U$251,MATCH($B$2&amp;"|"&amp;7,approvals!$AZ$2:$AZ$251,0)),"")</f>
        <v/>
      </c>
      <c r="E17" s="0" t="str">
        <f aca="false">IFERROR(INDEX(approvals!$AA$2:$AA$251,MATCH($B$2&amp;"|"&amp;7,approvals!$AZ$2:$AZ$251,0)),"")</f>
        <v/>
      </c>
      <c r="F17" s="0" t="str">
        <f aca="false">IFERROR(INDEX(approvals!$AD$2:$AD$251,MATCH($B$2&amp;"|"&amp;7,approvals!$AZ$2:$AZ$251,0)),"")</f>
        <v/>
      </c>
      <c r="G17" s="0" t="str">
        <f aca="false">IFERROR(INDEX(approvals!$AG$2:$AG$251,MATCH($B$2&amp;"|"&amp;7,approvals!$AZ$2:$AZ$251,0)),"")</f>
        <v/>
      </c>
      <c r="H17" s="0" t="str">
        <f aca="false">IFERROR(INDEX(approvals!$AL$2:$AL$251,MATCH($B$2&amp;"|"&amp;7,approvals!$AZ$2:$AZ$251,0)),"")</f>
        <v/>
      </c>
      <c r="I17" s="0" t="str">
        <f aca="false">IFERROR(INDEX(approvals!$AN$2:$AN$251,MATCH($B$2&amp;"|"&amp;7,approvals!$AZ$2:$AZ$251,0)),"")</f>
        <v/>
      </c>
      <c r="J17" s="0" t="str">
        <f aca="false">IFERROR(IF(INDEX(approvals!$Y$2:$Y$251,MATCH($B$2&amp;"|"&amp;7,approvals!$AZ$2:$AZ$251,0))="","none received",TEXT(INDEX(approvals!$Y$2:$Y$251,MATCH($B$2&amp;"|"&amp;7,approvals!$AZ$2:$AZ$251,0)),"yyyy-mm-dd")),"")</f>
        <v/>
      </c>
      <c r="K17" s="0" t="str">
        <f aca="false">IFERROR(IF(INDEX(approvals!$AI$2:$AI$251,MATCH($B$2&amp;"|"&amp;7,approvals!$AZ$2:$AZ$251,0))="","none received",TEXT(INDEX(approvals!$AI$2:$AI$251,MATCH($B$2&amp;"|"&amp;7,approvals!$AZ$2:$AZ$251,0)),"yyyy-mm-dd")),"")</f>
        <v/>
      </c>
    </row>
    <row r="18" customFormat="false" ht="15" hidden="false" customHeight="false" outlineLevel="0" collapsed="false">
      <c r="A18" s="0" t="str">
        <f aca="false">IFERROR(INDEX(approvals!$M$2:$M$251,MATCH($B$2&amp;"|"&amp;8,approvals!$AZ$2:$AZ$251,0))&amp;IF(INDEX(approvals!$AB$2:$AB$251,MATCH($B$2&amp;"|"&amp;8,approvals!$AZ$2:$AZ$251,0))="N","*",""),"")</f>
        <v/>
      </c>
      <c r="B18" s="0" t="str">
        <f aca="false">IFERROR(INDEX(offices!$AI$2:$AI$61,MATCH(INDEX(approvals!$B$2:$B$251,MATCH($B$2&amp;"|"&amp;8,approvals!$AZ$2:$AZ$251,0)),offices!$A$2:$A$61,0)),"")</f>
        <v/>
      </c>
      <c r="C18" s="0" t="str">
        <f aca="false">IFERROR(SUBSTITUTE(INDEX(offices!$AK$2:$AK$61,MATCH(INDEX(approvals!$B$2:$B$251,MATCH($B$2&amp;"|"&amp;8,approvals!$AZ$2:$AZ$251,0)),offices!$A$2:$A$61,0)),"-"," to "),"")</f>
        <v/>
      </c>
      <c r="D18" s="0" t="str">
        <f aca="false">IFERROR(INDEX(approvals!$U$2:$U$251,MATCH($B$2&amp;"|"&amp;8,approvals!$AZ$2:$AZ$251,0)),"")</f>
        <v/>
      </c>
      <c r="E18" s="0" t="str">
        <f aca="false">IFERROR(INDEX(approvals!$AA$2:$AA$251,MATCH($B$2&amp;"|"&amp;8,approvals!$AZ$2:$AZ$251,0)),"")</f>
        <v/>
      </c>
      <c r="F18" s="0" t="str">
        <f aca="false">IFERROR(INDEX(approvals!$AD$2:$AD$251,MATCH($B$2&amp;"|"&amp;8,approvals!$AZ$2:$AZ$251,0)),"")</f>
        <v/>
      </c>
      <c r="G18" s="0" t="str">
        <f aca="false">IFERROR(INDEX(approvals!$AG$2:$AG$251,MATCH($B$2&amp;"|"&amp;8,approvals!$AZ$2:$AZ$251,0)),"")</f>
        <v/>
      </c>
      <c r="H18" s="0" t="str">
        <f aca="false">IFERROR(INDEX(approvals!$AL$2:$AL$251,MATCH($B$2&amp;"|"&amp;8,approvals!$AZ$2:$AZ$251,0)),"")</f>
        <v/>
      </c>
      <c r="I18" s="0" t="str">
        <f aca="false">IFERROR(INDEX(approvals!$AN$2:$AN$251,MATCH($B$2&amp;"|"&amp;8,approvals!$AZ$2:$AZ$251,0)),"")</f>
        <v/>
      </c>
      <c r="J18" s="0" t="str">
        <f aca="false">IFERROR(IF(INDEX(approvals!$Y$2:$Y$251,MATCH($B$2&amp;"|"&amp;8,approvals!$AZ$2:$AZ$251,0))="","none received",TEXT(INDEX(approvals!$Y$2:$Y$251,MATCH($B$2&amp;"|"&amp;8,approvals!$AZ$2:$AZ$251,0)),"yyyy-mm-dd")),"")</f>
        <v/>
      </c>
      <c r="K18" s="0" t="str">
        <f aca="false">IFERROR(IF(INDEX(approvals!$AI$2:$AI$251,MATCH($B$2&amp;"|"&amp;8,approvals!$AZ$2:$AZ$251,0))="","none received",TEXT(INDEX(approvals!$AI$2:$AI$251,MATCH($B$2&amp;"|"&amp;8,approvals!$AZ$2:$AZ$251,0)),"yyyy-mm-dd")),"")</f>
        <v/>
      </c>
    </row>
    <row r="19" customFormat="false" ht="15" hidden="false" customHeight="false" outlineLevel="0" collapsed="false">
      <c r="A19" s="0" t="str">
        <f aca="false">IFERROR(INDEX(approvals!$M$2:$M$251,MATCH($B$2&amp;"|"&amp;9,approvals!$AZ$2:$AZ$251,0))&amp;IF(INDEX(approvals!$AB$2:$AB$251,MATCH($B$2&amp;"|"&amp;9,approvals!$AZ$2:$AZ$251,0))="N","*",""),"")</f>
        <v/>
      </c>
      <c r="B19" s="0" t="str">
        <f aca="false">IFERROR(INDEX(offices!$AI$2:$AI$61,MATCH(INDEX(approvals!$B$2:$B$251,MATCH($B$2&amp;"|"&amp;9,approvals!$AZ$2:$AZ$251,0)),offices!$A$2:$A$61,0)),"")</f>
        <v/>
      </c>
      <c r="C19" s="0" t="str">
        <f aca="false">IFERROR(SUBSTITUTE(INDEX(offices!$AK$2:$AK$61,MATCH(INDEX(approvals!$B$2:$B$251,MATCH($B$2&amp;"|"&amp;9,approvals!$AZ$2:$AZ$251,0)),offices!$A$2:$A$61,0)),"-"," to "),"")</f>
        <v/>
      </c>
      <c r="D19" s="0" t="str">
        <f aca="false">IFERROR(INDEX(approvals!$U$2:$U$251,MATCH($B$2&amp;"|"&amp;9,approvals!$AZ$2:$AZ$251,0)),"")</f>
        <v/>
      </c>
      <c r="E19" s="0" t="str">
        <f aca="false">IFERROR(INDEX(approvals!$AA$2:$AA$251,MATCH($B$2&amp;"|"&amp;9,approvals!$AZ$2:$AZ$251,0)),"")</f>
        <v/>
      </c>
      <c r="F19" s="0" t="str">
        <f aca="false">IFERROR(INDEX(approvals!$AD$2:$AD$251,MATCH($B$2&amp;"|"&amp;9,approvals!$AZ$2:$AZ$251,0)),"")</f>
        <v/>
      </c>
      <c r="G19" s="0" t="str">
        <f aca="false">IFERROR(INDEX(approvals!$AG$2:$AG$251,MATCH($B$2&amp;"|"&amp;9,approvals!$AZ$2:$AZ$251,0)),"")</f>
        <v/>
      </c>
      <c r="H19" s="0" t="str">
        <f aca="false">IFERROR(INDEX(approvals!$AL$2:$AL$251,MATCH($B$2&amp;"|"&amp;9,approvals!$AZ$2:$AZ$251,0)),"")</f>
        <v/>
      </c>
      <c r="I19" s="0" t="str">
        <f aca="false">IFERROR(INDEX(approvals!$AN$2:$AN$251,MATCH($B$2&amp;"|"&amp;9,approvals!$AZ$2:$AZ$251,0)),"")</f>
        <v/>
      </c>
      <c r="J19" s="0" t="str">
        <f aca="false">IFERROR(IF(INDEX(approvals!$Y$2:$Y$251,MATCH($B$2&amp;"|"&amp;9,approvals!$AZ$2:$AZ$251,0))="","none received",TEXT(INDEX(approvals!$Y$2:$Y$251,MATCH($B$2&amp;"|"&amp;9,approvals!$AZ$2:$AZ$251,0)),"yyyy-mm-dd")),"")</f>
        <v/>
      </c>
      <c r="K19" s="0" t="str">
        <f aca="false">IFERROR(IF(INDEX(approvals!$AI$2:$AI$251,MATCH($B$2&amp;"|"&amp;9,approvals!$AZ$2:$AZ$251,0))="","none received",TEXT(INDEX(approvals!$AI$2:$AI$251,MATCH($B$2&amp;"|"&amp;9,approvals!$AZ$2:$AZ$251,0)),"yyyy-mm-dd")),"")</f>
        <v/>
      </c>
    </row>
    <row r="20" customFormat="false" ht="15" hidden="false" customHeight="false" outlineLevel="0" collapsed="false">
      <c r="A20" s="0" t="str">
        <f aca="false">IFERROR(INDEX(approvals!$M$2:$M$251,MATCH($B$2&amp;"|"&amp;10,approvals!$AZ$2:$AZ$251,0))&amp;IF(INDEX(approvals!$AB$2:$AB$251,MATCH($B$2&amp;"|"&amp;10,approvals!$AZ$2:$AZ$251,0))="N","*",""),"")</f>
        <v/>
      </c>
      <c r="B20" s="0" t="str">
        <f aca="false">IFERROR(INDEX(offices!$AI$2:$AI$61,MATCH(INDEX(approvals!$B$2:$B$251,MATCH($B$2&amp;"|"&amp;10,approvals!$AZ$2:$AZ$251,0)),offices!$A$2:$A$61,0)),"")</f>
        <v/>
      </c>
      <c r="C20" s="0" t="str">
        <f aca="false">IFERROR(SUBSTITUTE(INDEX(offices!$AK$2:$AK$61,MATCH(INDEX(approvals!$B$2:$B$251,MATCH($B$2&amp;"|"&amp;10,approvals!$AZ$2:$AZ$251,0)),offices!$A$2:$A$61,0)),"-"," to "),"")</f>
        <v/>
      </c>
      <c r="D20" s="0" t="str">
        <f aca="false">IFERROR(INDEX(approvals!$U$2:$U$251,MATCH($B$2&amp;"|"&amp;10,approvals!$AZ$2:$AZ$251,0)),"")</f>
        <v/>
      </c>
      <c r="E20" s="0" t="str">
        <f aca="false">IFERROR(INDEX(approvals!$AA$2:$AA$251,MATCH($B$2&amp;"|"&amp;10,approvals!$AZ$2:$AZ$251,0)),"")</f>
        <v/>
      </c>
      <c r="F20" s="0" t="str">
        <f aca="false">IFERROR(INDEX(approvals!$AD$2:$AD$251,MATCH($B$2&amp;"|"&amp;10,approvals!$AZ$2:$AZ$251,0)),"")</f>
        <v/>
      </c>
      <c r="G20" s="0" t="str">
        <f aca="false">IFERROR(INDEX(approvals!$AG$2:$AG$251,MATCH($B$2&amp;"|"&amp;10,approvals!$AZ$2:$AZ$251,0)),"")</f>
        <v/>
      </c>
      <c r="H20" s="0" t="str">
        <f aca="false">IFERROR(INDEX(approvals!$AL$2:$AL$251,MATCH($B$2&amp;"|"&amp;10,approvals!$AZ$2:$AZ$251,0)),"")</f>
        <v/>
      </c>
      <c r="I20" s="0" t="str">
        <f aca="false">IFERROR(INDEX(approvals!$AN$2:$AN$251,MATCH($B$2&amp;"|"&amp;10,approvals!$AZ$2:$AZ$251,0)),"")</f>
        <v/>
      </c>
      <c r="J20" s="0" t="str">
        <f aca="false">IFERROR(IF(INDEX(approvals!$Y$2:$Y$251,MATCH($B$2&amp;"|"&amp;10,approvals!$AZ$2:$AZ$251,0))="","none received",TEXT(INDEX(approvals!$Y$2:$Y$251,MATCH($B$2&amp;"|"&amp;10,approvals!$AZ$2:$AZ$251,0)),"yyyy-mm-dd")),"")</f>
        <v/>
      </c>
      <c r="K20" s="0" t="str">
        <f aca="false">IFERROR(IF(INDEX(approvals!$AI$2:$AI$251,MATCH($B$2&amp;"|"&amp;10,approvals!$AZ$2:$AZ$251,0))="","none received",TEXT(INDEX(approvals!$AI$2:$AI$251,MATCH($B$2&amp;"|"&amp;10,approvals!$AZ$2:$AZ$251,0)),"yyyy-mm-dd")),"")</f>
        <v/>
      </c>
    </row>
    <row r="21" customFormat="false" ht="15" hidden="false" customHeight="false" outlineLevel="0" collapsed="false">
      <c r="A21" s="0" t="str">
        <f aca="false">IFERROR(INDEX(approvals!$M$2:$M$251,MATCH($B$2&amp;"|"&amp;11,approvals!$AZ$2:$AZ$251,0))&amp;IF(INDEX(approvals!$AB$2:$AB$251,MATCH($B$2&amp;"|"&amp;11,approvals!$AZ$2:$AZ$251,0))="N","*",""),"")</f>
        <v/>
      </c>
      <c r="B21" s="0" t="str">
        <f aca="false">IFERROR(INDEX(offices!$AI$2:$AI$61,MATCH(INDEX(approvals!$B$2:$B$251,MATCH($B$2&amp;"|"&amp;11,approvals!$AZ$2:$AZ$251,0)),offices!$A$2:$A$61,0)),"")</f>
        <v/>
      </c>
      <c r="C21" s="0" t="str">
        <f aca="false">IFERROR(SUBSTITUTE(INDEX(offices!$AK$2:$AK$61,MATCH(INDEX(approvals!$B$2:$B$251,MATCH($B$2&amp;"|"&amp;11,approvals!$AZ$2:$AZ$251,0)),offices!$A$2:$A$61,0)),"-"," to "),"")</f>
        <v/>
      </c>
      <c r="D21" s="0" t="str">
        <f aca="false">IFERROR(INDEX(approvals!$U$2:$U$251,MATCH($B$2&amp;"|"&amp;11,approvals!$AZ$2:$AZ$251,0)),"")</f>
        <v/>
      </c>
      <c r="E21" s="0" t="str">
        <f aca="false">IFERROR(INDEX(approvals!$AA$2:$AA$251,MATCH($B$2&amp;"|"&amp;11,approvals!$AZ$2:$AZ$251,0)),"")</f>
        <v/>
      </c>
      <c r="F21" s="0" t="str">
        <f aca="false">IFERROR(INDEX(approvals!$AD$2:$AD$251,MATCH($B$2&amp;"|"&amp;11,approvals!$AZ$2:$AZ$251,0)),"")</f>
        <v/>
      </c>
      <c r="G21" s="0" t="str">
        <f aca="false">IFERROR(INDEX(approvals!$AG$2:$AG$251,MATCH($B$2&amp;"|"&amp;11,approvals!$AZ$2:$AZ$251,0)),"")</f>
        <v/>
      </c>
      <c r="H21" s="0" t="str">
        <f aca="false">IFERROR(INDEX(approvals!$AL$2:$AL$251,MATCH($B$2&amp;"|"&amp;11,approvals!$AZ$2:$AZ$251,0)),"")</f>
        <v/>
      </c>
      <c r="I21" s="0" t="str">
        <f aca="false">IFERROR(INDEX(approvals!$AN$2:$AN$251,MATCH($B$2&amp;"|"&amp;11,approvals!$AZ$2:$AZ$251,0)),"")</f>
        <v/>
      </c>
      <c r="J21" s="0" t="str">
        <f aca="false">IFERROR(IF(INDEX(approvals!$Y$2:$Y$251,MATCH($B$2&amp;"|"&amp;11,approvals!$AZ$2:$AZ$251,0))="","none received",TEXT(INDEX(approvals!$Y$2:$Y$251,MATCH($B$2&amp;"|"&amp;11,approvals!$AZ$2:$AZ$251,0)),"yyyy-mm-dd")),"")</f>
        <v/>
      </c>
      <c r="K21" s="0" t="str">
        <f aca="false">IFERROR(IF(INDEX(approvals!$AI$2:$AI$251,MATCH($B$2&amp;"|"&amp;11,approvals!$AZ$2:$AZ$251,0))="","none received",TEXT(INDEX(approvals!$AI$2:$AI$251,MATCH($B$2&amp;"|"&amp;11,approvals!$AZ$2:$AZ$251,0)),"yyyy-mm-dd")),"")</f>
        <v/>
      </c>
    </row>
    <row r="22" customFormat="false" ht="15" hidden="false" customHeight="false" outlineLevel="0" collapsed="false">
      <c r="A22" s="0" t="str">
        <f aca="false">IFERROR(INDEX(approvals!$M$2:$M$251,MATCH($B$2&amp;"|"&amp;12,approvals!$AZ$2:$AZ$251,0))&amp;IF(INDEX(approvals!$AB$2:$AB$251,MATCH($B$2&amp;"|"&amp;12,approvals!$AZ$2:$AZ$251,0))="N","*",""),"")</f>
        <v/>
      </c>
      <c r="B22" s="0" t="str">
        <f aca="false">IFERROR(INDEX(offices!$AI$2:$AI$61,MATCH(INDEX(approvals!$B$2:$B$251,MATCH($B$2&amp;"|"&amp;12,approvals!$AZ$2:$AZ$251,0)),offices!$A$2:$A$61,0)),"")</f>
        <v/>
      </c>
      <c r="C22" s="0" t="str">
        <f aca="false">IFERROR(SUBSTITUTE(INDEX(offices!$AK$2:$AK$61,MATCH(INDEX(approvals!$B$2:$B$251,MATCH($B$2&amp;"|"&amp;12,approvals!$AZ$2:$AZ$251,0)),offices!$A$2:$A$61,0)),"-"," to "),"")</f>
        <v/>
      </c>
      <c r="D22" s="0" t="str">
        <f aca="false">IFERROR(INDEX(approvals!$U$2:$U$251,MATCH($B$2&amp;"|"&amp;12,approvals!$AZ$2:$AZ$251,0)),"")</f>
        <v/>
      </c>
      <c r="E22" s="0" t="str">
        <f aca="false">IFERROR(INDEX(approvals!$AA$2:$AA$251,MATCH($B$2&amp;"|"&amp;12,approvals!$AZ$2:$AZ$251,0)),"")</f>
        <v/>
      </c>
      <c r="F22" s="0" t="str">
        <f aca="false">IFERROR(INDEX(approvals!$AD$2:$AD$251,MATCH($B$2&amp;"|"&amp;12,approvals!$AZ$2:$AZ$251,0)),"")</f>
        <v/>
      </c>
      <c r="G22" s="0" t="str">
        <f aca="false">IFERROR(INDEX(approvals!$AG$2:$AG$251,MATCH($B$2&amp;"|"&amp;12,approvals!$AZ$2:$AZ$251,0)),"")</f>
        <v/>
      </c>
      <c r="H22" s="0" t="str">
        <f aca="false">IFERROR(INDEX(approvals!$AL$2:$AL$251,MATCH($B$2&amp;"|"&amp;12,approvals!$AZ$2:$AZ$251,0)),"")</f>
        <v/>
      </c>
      <c r="I22" s="0" t="str">
        <f aca="false">IFERROR(INDEX(approvals!$AN$2:$AN$251,MATCH($B$2&amp;"|"&amp;12,approvals!$AZ$2:$AZ$251,0)),"")</f>
        <v/>
      </c>
      <c r="J22" s="0" t="str">
        <f aca="false">IFERROR(IF(INDEX(approvals!$Y$2:$Y$251,MATCH($B$2&amp;"|"&amp;12,approvals!$AZ$2:$AZ$251,0))="","none received",TEXT(INDEX(approvals!$Y$2:$Y$251,MATCH($B$2&amp;"|"&amp;12,approvals!$AZ$2:$AZ$251,0)),"yyyy-mm-dd")),"")</f>
        <v/>
      </c>
      <c r="K22" s="0" t="str">
        <f aca="false">IFERROR(IF(INDEX(approvals!$AI$2:$AI$251,MATCH($B$2&amp;"|"&amp;12,approvals!$AZ$2:$AZ$251,0))="","none received",TEXT(INDEX(approvals!$AI$2:$AI$251,MATCH($B$2&amp;"|"&amp;12,approvals!$AZ$2:$AZ$251,0)),"yyyy-mm-dd")),"")</f>
        <v/>
      </c>
    </row>
    <row r="23" customFormat="false" ht="15" hidden="false" customHeight="false" outlineLevel="0" collapsed="false">
      <c r="A23" s="6" t="s">
        <v>171</v>
      </c>
      <c r="D23" s="6" t="n">
        <f aca="false">SUM(D11:D22)</f>
        <v>250</v>
      </c>
      <c r="E23" s="6" t="n">
        <f aca="false">SUM(E11:E22)</f>
        <v>248</v>
      </c>
      <c r="F23" s="6" t="n">
        <f aca="false">SUM(F11:F22)</f>
        <v>5</v>
      </c>
      <c r="G23" s="6" t="n">
        <f aca="false">SUM(G11:G22)</f>
        <v>200</v>
      </c>
      <c r="H23" s="6" t="n">
        <f aca="false">SUM(H11:H22)</f>
        <v>34</v>
      </c>
      <c r="I23" s="6" t="n">
        <f aca="false">SUM(I11:I22)</f>
        <v>45</v>
      </c>
    </row>
    <row r="24" customFormat="false" ht="15" hidden="false" customHeight="false" outlineLevel="0" collapsed="false">
      <c r="A24" s="0" t="str">
        <f aca="false">IF(COUNTIF(A11:A22,"*~*")&gt;0,"* placed after the first business day","")</f>
        <v>* placed after the first business day</v>
      </c>
    </row>
    <row r="26" customFormat="false" ht="15" hidden="false" customHeight="false" outlineLevel="0" collapsed="false">
      <c r="A26" s="6" t="str">
        <f aca="false">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Survey (n = 34): tried 74% (25) · average rating 4.2 of 5 (25 ratings) · would buy, of 25 who answered: yes 40% (10), maybe 32% (8), no 28% (7)</v>
      </c>
    </row>
    <row r="27" customFormat="false" ht="15" hidden="false" customHeight="false" outlineLevel="0" collapsed="false">
      <c r="A27" s="0" t="str">
        <f aca="false">IF($B$2="","","Did not try: didn't see it "&amp;IFERROR(INDEX(campaigns!$CL$2:$CL$51,MATCH($B$2,campaigns!$A$2:$A$51,0)),"")&amp;", not for me "&amp;IFERROR(INDEX(campaigns!$CM$2:$CM$51,MATCH($B$2,campaigns!$A$2:$A$51,0)),"")&amp;", gone by the time they looked "&amp;IFERROR(INDEX(campaigns!$CN$2:$CN$51,MATCH($B$2,campaigns!$A$2:$A$51,0)),""))</f>
        <v>Did not try: didn't see it 5, not for me 2, gone by the time they looked 2</v>
      </c>
    </row>
    <row r="28" customFormat="false" ht="30" hidden="false" customHeight="true" outlineLevel="0" collapsed="false">
      <c r="A28" s="25" t="str">
        <f aca="false">IF(IFERROR(INDEX(campaigns!$AL$2:$AL$51,MATCH($B$2,campaigns!$A$2:$A$51,0)),"")="","","“"&amp;IFERROR(INDEX(campaigns!$AL$2:$AL$51,MATCH($B$2,campaigns!$A$2:$A$51,0)),"")&amp;"”")</f>
        <v>“SAMPLE Saw it by the coffee machine and took two. Really good.”</v>
      </c>
      <c r="B28" s="25"/>
      <c r="C28" s="25"/>
      <c r="D28" s="25"/>
      <c r="E28" s="25"/>
      <c r="F28" s="25"/>
      <c r="G28" s="25"/>
      <c r="H28" s="25"/>
      <c r="I28" s="25"/>
      <c r="J28" s="25"/>
      <c r="K28" s="25"/>
    </row>
    <row r="29" customFormat="false" ht="30" hidden="false" customHeight="true" outlineLevel="0" collapsed="false">
      <c r="A29" s="25" t="str">
        <f aca="false">IF(IFERROR(INDEX(campaigns!$AM$2:$AM$51,MATCH($B$2,campaigns!$A$2:$A$51,0)),"")="","","“"&amp;IFERROR(INDEX(campaigns!$AM$2:$AM$51,MATCH($B$2,campaigns!$A$2:$A$51,0)),"")&amp;"”")</f>
        <v>“SAMPLE A bit too salty for me.”</v>
      </c>
      <c r="B29" s="25"/>
      <c r="C29" s="25"/>
      <c r="D29" s="25"/>
      <c r="E29" s="25"/>
      <c r="F29" s="25"/>
      <c r="G29" s="25"/>
      <c r="H29" s="25"/>
      <c r="I29" s="25"/>
      <c r="J29" s="25"/>
      <c r="K29" s="25"/>
    </row>
    <row r="30" customFormat="false" ht="30" hidden="false" customHeight="true" outlineLevel="0" collapsed="false">
      <c r="A30" s="25" t="str">
        <f aca="false">IF(IFERROR(INDEX(campaigns!$AN$2:$AN$51,MATCH($B$2,campaigns!$A$2:$A$51,0)),"")="","","“"&amp;IFERROR(INDEX(campaigns!$AN$2:$AN$51,MATCH($B$2,campaigns!$A$2:$A$51,0)),"")&amp;"”")</f>
        <v>“SAMPLE Asked [name removed] to save me a bag. Really good.”</v>
      </c>
      <c r="B30" s="25"/>
      <c r="C30" s="25"/>
      <c r="D30" s="25"/>
      <c r="E30" s="25"/>
      <c r="F30" s="25"/>
      <c r="G30" s="25"/>
      <c r="H30" s="25"/>
      <c r="I30" s="25"/>
      <c r="J30" s="25"/>
      <c r="K30" s="25"/>
    </row>
    <row r="31" customFormat="false" ht="15" hidden="false" customHeight="false" outlineLevel="0" collapsed="false">
      <c r="A31" s="0" t="str">
        <f aca="false">IF($B$2="","","Three of "&amp;IFERROR(INDEX(campaigns!$CT$2:$CT$51,MATCH($B$2,campaigns!$A$2:$A$51,0)),"")&amp;" comments, word for word.")</f>
        <v>Three of 18 comments, word for word.</v>
      </c>
    </row>
    <row r="33" customFormat="false" ht="15" hidden="false" customHeight="false" outlineLevel="0" collapsed="false">
      <c r="A33" s="6" t="str">
        <f aca="false">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Engagement: 45 QR scans across 5 offices · 11 code redemptions to date</v>
      </c>
    </row>
    <row r="35" customFormat="false" ht="15" hidden="false" customHeight="false" outlineLevel="0" collapsed="false">
      <c r="A35" s="6" t="s">
        <v>172</v>
      </c>
    </row>
    <row r="36" customFormat="false" ht="60" hidden="false" customHeight="true" outlineLevel="0" collapsed="false">
      <c r="A36" s="25" t="str">
        <f aca="false">IFERROR(INDEX(campaigns!$AO$2:$AO$51,MATCH($B$2,campaigns!$A$2:$A$51,0)),"")</f>
        <v>SAMPLE Office D placed a day late; agree a placement time at intake.
SAMPLE Four people found it gone by the time they looked.
SAMPLE Salt level came up in comments more than once.</v>
      </c>
      <c r="B36" s="25"/>
      <c r="C36" s="25"/>
      <c r="D36" s="25"/>
      <c r="E36" s="25"/>
      <c r="F36" s="25"/>
      <c r="G36" s="25"/>
      <c r="H36" s="25"/>
      <c r="I36" s="25"/>
      <c r="J36" s="25"/>
      <c r="K36" s="25"/>
    </row>
    <row r="38" customFormat="false" ht="15" hidden="false" customHeight="false" outlineLevel="0" collapsed="false">
      <c r="A38" s="6" t="s">
        <v>173</v>
      </c>
    </row>
    <row r="39" customFormat="false" ht="31.5" hidden="false" customHeight="true" outlineLevel="0" collapsed="false">
      <c r="A39" s="25" t="str">
        <f aca="false">IFERROR(INDEX(campaigns!$AP$2:$AP$51,MATCH($B$2,campaigns!$A$2:$A$51,0)),"")</f>
        <v>SAMPLE Renew into offices A, C and E at the founding price. Same card.</v>
      </c>
      <c r="B39" s="25"/>
      <c r="C39" s="25"/>
      <c r="D39" s="25"/>
      <c r="E39" s="25"/>
      <c r="F39" s="25"/>
      <c r="G39" s="25"/>
      <c r="H39" s="25"/>
      <c r="I39" s="25"/>
      <c r="J39" s="25"/>
      <c r="K39" s="25"/>
    </row>
    <row r="41" customFormat="false" ht="15" hidden="false" customHeight="false" outlineLevel="0" collapsed="false">
      <c r="A41" s="6" t="s">
        <v>174</v>
      </c>
    </row>
    <row r="42" customFormat="false" ht="96" hidden="false" customHeight="true" outlineLevel="0" collapsed="false">
      <c r="A42" s="25" t="s">
        <v>175</v>
      </c>
      <c r="B42" s="25"/>
      <c r="C42" s="25"/>
      <c r="D42" s="25"/>
      <c r="E42" s="25"/>
      <c r="F42" s="25"/>
      <c r="G42" s="25"/>
      <c r="H42" s="25"/>
      <c r="I42" s="25"/>
      <c r="J42" s="25"/>
      <c r="K42" s="25"/>
    </row>
    <row r="44" customFormat="false" ht="15" hidden="false" customHeight="false" outlineLevel="0" collapsed="false">
      <c r="A44" s="0" t="str">
        <f aca="false">"Prepared by "&amp;config!$B$4&amp;" · "&amp;config!$B$2&amp;" · "&amp;config!$B$6</f>
        <v>Prepared by [FOUNDER NAME] · Desk Drop · [EMAIL]</v>
      </c>
    </row>
  </sheetData>
  <mergeCells count="6">
    <mergeCell ref="A28:K28"/>
    <mergeCell ref="A29:K29"/>
    <mergeCell ref="A30:K30"/>
    <mergeCell ref="A36:K36"/>
    <mergeCell ref="A39:K39"/>
    <mergeCell ref="A42:K42"/>
  </mergeCells>
  <dataValidations count="1">
    <dataValidation allowBlank="true" errorStyle="stop" operator="between" showDropDown="false" showErrorMessage="false" showInputMessage="false" sqref="B2" type="list">
      <formula1>campaigns!$A$2:$A$51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C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4"/>
    <col collapsed="false" customWidth="true" hidden="false" outlineLevel="0" max="3" min="3" style="0" width="90"/>
  </cols>
  <sheetData>
    <row r="1" customFormat="false" ht="15" hidden="false" customHeight="false" outlineLevel="0" collapsed="false">
      <c r="A1" s="21" t="s">
        <v>176</v>
      </c>
      <c r="B1" s="21" t="s">
        <v>177</v>
      </c>
      <c r="C1" s="21" t="s">
        <v>178</v>
      </c>
    </row>
    <row r="2" customFormat="false" ht="28.35" hidden="false" customHeight="false" outlineLevel="0" collapsed="false">
      <c r="A2" s="6" t="s">
        <v>179</v>
      </c>
      <c r="B2" s="26" t="s">
        <v>180</v>
      </c>
      <c r="C2" s="23" t="s">
        <v>181</v>
      </c>
    </row>
    <row r="3" customFormat="false" ht="15" hidden="false" customHeight="false" outlineLevel="0" collapsed="false">
      <c r="A3" s="6" t="s">
        <v>182</v>
      </c>
      <c r="B3" s="10" t="s">
        <v>183</v>
      </c>
      <c r="C3" s="23" t="s">
        <v>184</v>
      </c>
    </row>
    <row r="4" customFormat="false" ht="15" hidden="false" customHeight="false" outlineLevel="0" collapsed="false">
      <c r="A4" s="6" t="s">
        <v>185</v>
      </c>
      <c r="B4" s="10" t="s">
        <v>186</v>
      </c>
      <c r="C4" s="23"/>
    </row>
    <row r="5" customFormat="false" ht="15" hidden="false" customHeight="false" outlineLevel="0" collapsed="false">
      <c r="A5" s="6" t="s">
        <v>187</v>
      </c>
      <c r="B5" s="10" t="s">
        <v>188</v>
      </c>
      <c r="C5" s="23" t="s">
        <v>189</v>
      </c>
    </row>
    <row r="6" customFormat="false" ht="15" hidden="false" customHeight="false" outlineLevel="0" collapsed="false">
      <c r="A6" s="6" t="s">
        <v>190</v>
      </c>
      <c r="B6" s="10" t="s">
        <v>191</v>
      </c>
      <c r="C6" s="23"/>
    </row>
    <row r="7" customFormat="false" ht="15" hidden="false" customHeight="false" outlineLevel="0" collapsed="false">
      <c r="A7" s="6" t="s">
        <v>192</v>
      </c>
      <c r="B7" s="10" t="s">
        <v>193</v>
      </c>
      <c r="C7" s="23" t="s">
        <v>194</v>
      </c>
    </row>
    <row r="8" customFormat="false" ht="28.35" hidden="false" customHeight="false" outlineLevel="0" collapsed="false">
      <c r="A8" s="6" t="s">
        <v>195</v>
      </c>
      <c r="B8" s="10" t="s">
        <v>196</v>
      </c>
      <c r="C8" s="23" t="s">
        <v>197</v>
      </c>
    </row>
    <row r="9" customFormat="false" ht="15" hidden="false" customHeight="false" outlineLevel="0" collapsed="false">
      <c r="A9" s="6" t="s">
        <v>198</v>
      </c>
      <c r="B9" s="10" t="s">
        <v>199</v>
      </c>
      <c r="C9" s="23" t="s">
        <v>200</v>
      </c>
    </row>
    <row r="10" customFormat="false" ht="15" hidden="false" customHeight="false" outlineLevel="0" collapsed="false">
      <c r="A10" s="6" t="s">
        <v>201</v>
      </c>
      <c r="B10" s="10" t="s">
        <v>202</v>
      </c>
      <c r="C10" s="23" t="s">
        <v>203</v>
      </c>
    </row>
    <row r="11" customFormat="false" ht="15" hidden="false" customHeight="false" outlineLevel="0" collapsed="false">
      <c r="A11" s="6" t="s">
        <v>204</v>
      </c>
      <c r="B11" s="10" t="s">
        <v>205</v>
      </c>
      <c r="C11" s="23" t="s">
        <v>206</v>
      </c>
    </row>
    <row r="12" customFormat="false" ht="15" hidden="false" customHeight="false" outlineLevel="0" collapsed="false">
      <c r="A12" s="6" t="s">
        <v>207</v>
      </c>
      <c r="B12" s="10" t="s">
        <v>208</v>
      </c>
      <c r="C12" s="23" t="s">
        <v>209</v>
      </c>
    </row>
    <row r="13" customFormat="false" ht="15" hidden="false" customHeight="false" outlineLevel="0" collapsed="false">
      <c r="A13" s="6" t="s">
        <v>210</v>
      </c>
      <c r="B13" s="0" t="n">
        <v>30</v>
      </c>
      <c r="C13" s="23" t="s">
        <v>211</v>
      </c>
    </row>
    <row r="14" customFormat="false" ht="15" hidden="false" customHeight="false" outlineLevel="0" collapsed="false">
      <c r="A14" s="6" t="s">
        <v>212</v>
      </c>
      <c r="B14" s="0" t="n">
        <v>0.2</v>
      </c>
      <c r="C14" s="23"/>
    </row>
    <row r="15" customFormat="false" ht="15" hidden="false" customHeight="false" outlineLevel="0" collapsed="false">
      <c r="A15" s="6" t="s">
        <v>213</v>
      </c>
      <c r="B15" s="0" t="n">
        <v>30</v>
      </c>
      <c r="C15" s="23" t="s">
        <v>214</v>
      </c>
    </row>
    <row r="16" customFormat="false" ht="15" hidden="false" customHeight="false" outlineLevel="0" collapsed="false">
      <c r="A16" s="6" t="s">
        <v>215</v>
      </c>
      <c r="B16" s="0" t="n">
        <v>80</v>
      </c>
      <c r="C16" s="23" t="s">
        <v>216</v>
      </c>
    </row>
    <row r="17" customFormat="false" ht="15" hidden="false" customHeight="false" outlineLevel="0" collapsed="false">
      <c r="A17" s="6" t="s">
        <v>217</v>
      </c>
      <c r="B17" s="0" t="n">
        <v>5</v>
      </c>
      <c r="C17" s="23"/>
    </row>
    <row r="18" customFormat="false" ht="15" hidden="false" customHeight="false" outlineLevel="0" collapsed="false">
      <c r="A18" s="6" t="s">
        <v>218</v>
      </c>
      <c r="B18" s="0" t="n">
        <v>0.1</v>
      </c>
      <c r="C18" s="23" t="s">
        <v>219</v>
      </c>
    </row>
    <row r="19" customFormat="false" ht="15" hidden="false" customHeight="false" outlineLevel="0" collapsed="false">
      <c r="A19" s="6" t="s">
        <v>220</v>
      </c>
      <c r="B19" s="0" t="n">
        <v>60</v>
      </c>
      <c r="C19" s="23" t="s">
        <v>221</v>
      </c>
    </row>
    <row r="20" customFormat="false" ht="15" hidden="false" customHeight="false" outlineLevel="0" collapsed="false">
      <c r="A20" s="6" t="s">
        <v>222</v>
      </c>
      <c r="B20" s="0" t="n">
        <v>600</v>
      </c>
      <c r="C20" s="23" t="s">
        <v>223</v>
      </c>
    </row>
    <row r="21" customFormat="false" ht="15" hidden="false" customHeight="false" outlineLevel="0" collapsed="false">
      <c r="A21" s="6" t="s">
        <v>224</v>
      </c>
      <c r="B21" s="0" t="n">
        <v>5</v>
      </c>
      <c r="C21" s="23"/>
    </row>
    <row r="22" customFormat="false" ht="15" hidden="false" customHeight="false" outlineLevel="0" collapsed="false">
      <c r="A22" s="6" t="s">
        <v>225</v>
      </c>
      <c r="B22" s="0" t="n">
        <v>1500</v>
      </c>
      <c r="C22" s="23" t="s">
        <v>226</v>
      </c>
    </row>
    <row r="23" customFormat="false" ht="15" hidden="false" customHeight="false" outlineLevel="0" collapsed="false">
      <c r="A23" s="6" t="s">
        <v>227</v>
      </c>
      <c r="B23" s="0" t="n">
        <v>10</v>
      </c>
      <c r="C23" s="23"/>
    </row>
    <row r="24" customFormat="false" ht="15" hidden="false" customHeight="false" outlineLevel="0" collapsed="false">
      <c r="A24" s="6" t="s">
        <v>228</v>
      </c>
      <c r="B24" s="0" t="n">
        <v>150</v>
      </c>
      <c r="C24" s="23" t="s">
        <v>229</v>
      </c>
    </row>
    <row r="25" customFormat="false" ht="15" hidden="false" customHeight="false" outlineLevel="0" collapsed="false">
      <c r="A25" s="6" t="s">
        <v>230</v>
      </c>
      <c r="B25" s="0" t="n">
        <v>120</v>
      </c>
      <c r="C25" s="23" t="s">
        <v>231</v>
      </c>
    </row>
    <row r="26" customFormat="false" ht="15" hidden="false" customHeight="false" outlineLevel="0" collapsed="false">
      <c r="A26" s="6" t="s">
        <v>232</v>
      </c>
      <c r="B26" s="0" t="n">
        <v>10</v>
      </c>
      <c r="C26" s="23"/>
    </row>
    <row r="27" customFormat="false" ht="15" hidden="false" customHeight="false" outlineLevel="0" collapsed="false">
      <c r="A27" s="6" t="s">
        <v>233</v>
      </c>
      <c r="B27" s="0" t="n">
        <v>5</v>
      </c>
      <c r="C27" s="23" t="s">
        <v>234</v>
      </c>
    </row>
    <row r="28" customFormat="false" ht="15" hidden="false" customHeight="false" outlineLevel="0" collapsed="false">
      <c r="A28" s="6" t="s">
        <v>235</v>
      </c>
      <c r="B28" s="0" t="n">
        <v>0.5</v>
      </c>
      <c r="C28" s="23" t="s">
        <v>236</v>
      </c>
    </row>
    <row r="29" customFormat="false" ht="15" hidden="false" customHeight="false" outlineLevel="0" collapsed="false">
      <c r="A29" s="6" t="s">
        <v>237</v>
      </c>
      <c r="B29" s="0" t="n">
        <v>3</v>
      </c>
      <c r="C29" s="23" t="s">
        <v>238</v>
      </c>
    </row>
    <row r="30" customFormat="false" ht="15" hidden="false" customHeight="false" outlineLevel="0" collapsed="false">
      <c r="A30" s="6" t="s">
        <v>239</v>
      </c>
      <c r="B30" s="0" t="n">
        <v>5</v>
      </c>
      <c r="C30" s="23" t="s">
        <v>240</v>
      </c>
    </row>
    <row r="31" customFormat="false" ht="15" hidden="false" customHeight="false" outlineLevel="0" collapsed="false">
      <c r="A31" s="6" t="s">
        <v>241</v>
      </c>
      <c r="B31" s="0" t="n">
        <v>0.8</v>
      </c>
      <c r="C31" s="23" t="s">
        <v>242</v>
      </c>
    </row>
    <row r="32" customFormat="false" ht="15" hidden="false" customHeight="false" outlineLevel="0" collapsed="false">
      <c r="A32" s="6" t="s">
        <v>243</v>
      </c>
      <c r="B32" s="0" t="n">
        <v>30</v>
      </c>
      <c r="C32" s="23" t="s">
        <v>244</v>
      </c>
    </row>
    <row r="33" customFormat="false" ht="15" hidden="false" customHeight="false" outlineLevel="0" collapsed="false">
      <c r="A33" s="6" t="s">
        <v>245</v>
      </c>
      <c r="B33" s="0" t="n">
        <v>12</v>
      </c>
      <c r="C33" s="23" t="s">
        <v>246</v>
      </c>
    </row>
    <row r="34" customFormat="false" ht="28.35" hidden="false" customHeight="false" outlineLevel="0" collapsed="false">
      <c r="A34" s="6" t="s">
        <v>247</v>
      </c>
      <c r="B34" s="10" t="s">
        <v>248</v>
      </c>
      <c r="C34" s="23" t="s">
        <v>249</v>
      </c>
    </row>
    <row r="35" customFormat="false" ht="15" hidden="false" customHeight="false" outlineLevel="0" collapsed="false">
      <c r="A35" s="6" t="s">
        <v>250</v>
      </c>
      <c r="B35" s="10" t="s">
        <v>251</v>
      </c>
      <c r="C35" s="23" t="s">
        <v>252</v>
      </c>
    </row>
    <row r="36" customFormat="false" ht="15" hidden="false" customHeight="false" outlineLevel="0" collapsed="false">
      <c r="A36" s="6" t="s">
        <v>253</v>
      </c>
      <c r="B36" s="10" t="s">
        <v>254</v>
      </c>
      <c r="C36" s="23" t="s">
        <v>255</v>
      </c>
    </row>
    <row r="37" customFormat="false" ht="15" hidden="false" customHeight="false" outlineLevel="0" collapsed="false">
      <c r="A37" s="6" t="s">
        <v>256</v>
      </c>
      <c r="B37" s="11" t="n">
        <v>46500</v>
      </c>
      <c r="C37" s="23" t="s">
        <v>257</v>
      </c>
    </row>
    <row r="38" customFormat="false" ht="15" hidden="false" customHeight="false" outlineLevel="0" collapsed="false">
      <c r="A38" s="6" t="s">
        <v>258</v>
      </c>
      <c r="B38" s="10" t="s">
        <v>259</v>
      </c>
      <c r="C38" s="23"/>
    </row>
    <row r="39" customFormat="false" ht="15" hidden="false" customHeight="false" outlineLevel="0" collapsed="false">
      <c r="A39" s="6" t="s">
        <v>260</v>
      </c>
      <c r="B39" s="10" t="s">
        <v>261</v>
      </c>
      <c r="C39" s="23" t="s">
        <v>262</v>
      </c>
    </row>
    <row r="40" customFormat="false" ht="15" hidden="false" customHeight="false" outlineLevel="0" collapsed="false">
      <c r="A40" s="6" t="s">
        <v>263</v>
      </c>
      <c r="B40" s="10" t="s">
        <v>264</v>
      </c>
      <c r="C40" s="23" t="s">
        <v>265</v>
      </c>
    </row>
    <row r="41" customFormat="false" ht="55.2" hidden="false" customHeight="false" outlineLevel="0" collapsed="false">
      <c r="A41" s="6" t="s">
        <v>266</v>
      </c>
      <c r="B41" s="0" t="n">
        <v>5</v>
      </c>
      <c r="C41" s="23" t="s">
        <v>267</v>
      </c>
    </row>
    <row r="42" customFormat="false" ht="28.35" hidden="false" customHeight="false" outlineLevel="0" collapsed="false">
      <c r="A42" s="6" t="s">
        <v>268</v>
      </c>
      <c r="B42" s="0" t="n">
        <v>365</v>
      </c>
      <c r="C42" s="23" t="s">
        <v>269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H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5" min="4" style="0" width="14"/>
    <col collapsed="false" customWidth="true" hidden="false" outlineLevel="0" max="6" min="6" style="0" width="34"/>
    <col collapsed="false" customWidth="true" hidden="false" outlineLevel="0" max="8" min="8" style="0" width="60"/>
  </cols>
  <sheetData>
    <row r="1" customFormat="false" ht="55.2" hidden="false" customHeight="false" outlineLevel="0" collapsed="false">
      <c r="A1" s="27" t="s">
        <v>270</v>
      </c>
      <c r="B1" s="27" t="s">
        <v>271</v>
      </c>
      <c r="D1" s="27" t="s">
        <v>272</v>
      </c>
      <c r="E1" s="27" t="s">
        <v>273</v>
      </c>
      <c r="F1" s="27" t="s">
        <v>274</v>
      </c>
      <c r="H1" s="23" t="s">
        <v>275</v>
      </c>
    </row>
    <row r="2" customFormat="false" ht="15" hidden="false" customHeight="false" outlineLevel="0" collapsed="false">
      <c r="A2" s="11" t="n">
        <v>46023</v>
      </c>
      <c r="B2" s="10" t="s">
        <v>276</v>
      </c>
      <c r="D2" s="11" t="n">
        <v>46202</v>
      </c>
      <c r="E2" s="11" t="n">
        <v>46206</v>
      </c>
      <c r="F2" s="10" t="s">
        <v>277</v>
      </c>
    </row>
    <row r="3" customFormat="false" ht="15" hidden="false" customHeight="false" outlineLevel="0" collapsed="false">
      <c r="A3" s="11" t="n">
        <v>46041</v>
      </c>
      <c r="B3" s="10" t="s">
        <v>278</v>
      </c>
      <c r="D3" s="11" t="n">
        <v>46252</v>
      </c>
      <c r="E3" s="11" t="n">
        <v>46265</v>
      </c>
      <c r="F3" s="10" t="s">
        <v>279</v>
      </c>
    </row>
    <row r="4" customFormat="false" ht="15" hidden="false" customHeight="false" outlineLevel="0" collapsed="false">
      <c r="A4" s="11" t="n">
        <v>46069</v>
      </c>
      <c r="B4" s="10" t="s">
        <v>280</v>
      </c>
      <c r="D4" s="11" t="n">
        <v>46374</v>
      </c>
      <c r="E4" s="11" t="n">
        <v>46387</v>
      </c>
      <c r="F4" s="10" t="s">
        <v>281</v>
      </c>
    </row>
    <row r="5" customFormat="false" ht="15" hidden="false" customHeight="false" outlineLevel="0" collapsed="false">
      <c r="A5" s="11" t="n">
        <v>46167</v>
      </c>
      <c r="B5" s="10" t="s">
        <v>282</v>
      </c>
      <c r="D5" s="11" t="n">
        <v>46573</v>
      </c>
      <c r="E5" s="11" t="n">
        <v>46577</v>
      </c>
      <c r="F5" s="10" t="s">
        <v>283</v>
      </c>
    </row>
    <row r="6" customFormat="false" ht="15" hidden="false" customHeight="false" outlineLevel="0" collapsed="false">
      <c r="A6" s="11" t="n">
        <v>46192</v>
      </c>
      <c r="B6" s="10" t="s">
        <v>284</v>
      </c>
      <c r="D6" s="11" t="n">
        <v>46617</v>
      </c>
      <c r="E6" s="11" t="n">
        <v>46630</v>
      </c>
      <c r="F6" s="10" t="s">
        <v>279</v>
      </c>
    </row>
    <row r="7" customFormat="false" ht="15" hidden="false" customHeight="false" outlineLevel="0" collapsed="false">
      <c r="A7" s="11" t="n">
        <v>46206</v>
      </c>
      <c r="B7" s="10" t="s">
        <v>285</v>
      </c>
      <c r="D7" s="11" t="n">
        <v>46739</v>
      </c>
      <c r="E7" s="11" t="n">
        <v>46752</v>
      </c>
      <c r="F7" s="10" t="s">
        <v>281</v>
      </c>
    </row>
    <row r="8" customFormat="false" ht="15" hidden="false" customHeight="false" outlineLevel="0" collapsed="false">
      <c r="A8" s="11" t="n">
        <v>46272</v>
      </c>
      <c r="B8" s="10" t="s">
        <v>286</v>
      </c>
      <c r="D8" s="11" t="n">
        <v>46937</v>
      </c>
      <c r="E8" s="11" t="n">
        <v>46941</v>
      </c>
      <c r="F8" s="10" t="s">
        <v>287</v>
      </c>
    </row>
    <row r="9" customFormat="false" ht="15" hidden="false" customHeight="false" outlineLevel="0" collapsed="false">
      <c r="A9" s="11" t="n">
        <v>46307</v>
      </c>
      <c r="B9" s="10" t="s">
        <v>288</v>
      </c>
      <c r="D9" s="11" t="n">
        <v>46983</v>
      </c>
      <c r="E9" s="11" t="n">
        <v>46996</v>
      </c>
      <c r="F9" s="10" t="s">
        <v>279</v>
      </c>
    </row>
    <row r="10" customFormat="false" ht="15" hidden="false" customHeight="false" outlineLevel="0" collapsed="false">
      <c r="A10" s="11" t="n">
        <v>46337</v>
      </c>
      <c r="B10" s="10" t="s">
        <v>289</v>
      </c>
      <c r="D10" s="11" t="n">
        <v>47105</v>
      </c>
      <c r="E10" s="11" t="n">
        <v>47118</v>
      </c>
      <c r="F10" s="10" t="s">
        <v>281</v>
      </c>
    </row>
    <row r="11" customFormat="false" ht="15" hidden="false" customHeight="false" outlineLevel="0" collapsed="false">
      <c r="A11" s="11" t="n">
        <v>46352</v>
      </c>
      <c r="B11" s="10" t="s">
        <v>290</v>
      </c>
      <c r="D11" s="11" t="n">
        <v>47301</v>
      </c>
      <c r="E11" s="11" t="n">
        <v>47305</v>
      </c>
      <c r="F11" s="10" t="s">
        <v>291</v>
      </c>
    </row>
    <row r="12" customFormat="false" ht="15" hidden="false" customHeight="false" outlineLevel="0" collapsed="false">
      <c r="A12" s="11" t="n">
        <v>46381</v>
      </c>
      <c r="B12" s="10" t="s">
        <v>292</v>
      </c>
      <c r="D12" s="11" t="n">
        <v>47348</v>
      </c>
      <c r="E12" s="11" t="n">
        <v>47361</v>
      </c>
      <c r="F12" s="10" t="s">
        <v>279</v>
      </c>
    </row>
    <row r="13" customFormat="false" ht="15" hidden="false" customHeight="false" outlineLevel="0" collapsed="false">
      <c r="A13" s="11" t="n">
        <v>46388</v>
      </c>
      <c r="B13" s="10" t="s">
        <v>276</v>
      </c>
      <c r="D13" s="11" t="n">
        <v>47470</v>
      </c>
      <c r="E13" s="11" t="n">
        <v>47483</v>
      </c>
      <c r="F13" s="10" t="s">
        <v>281</v>
      </c>
    </row>
    <row r="14" customFormat="false" ht="15" hidden="false" customHeight="false" outlineLevel="0" collapsed="false">
      <c r="A14" s="11" t="n">
        <v>46405</v>
      </c>
      <c r="B14" s="10" t="s">
        <v>278</v>
      </c>
      <c r="D14" s="11" t="n">
        <v>47665</v>
      </c>
      <c r="E14" s="11" t="n">
        <v>47669</v>
      </c>
      <c r="F14" s="10" t="s">
        <v>293</v>
      </c>
    </row>
    <row r="15" customFormat="false" ht="15" hidden="false" customHeight="false" outlineLevel="0" collapsed="false">
      <c r="A15" s="11" t="n">
        <v>46433</v>
      </c>
      <c r="B15" s="10" t="s">
        <v>280</v>
      </c>
      <c r="D15" s="11" t="n">
        <v>47713</v>
      </c>
      <c r="E15" s="11" t="n">
        <v>47726</v>
      </c>
      <c r="F15" s="10" t="s">
        <v>279</v>
      </c>
    </row>
    <row r="16" customFormat="false" ht="15" hidden="false" customHeight="false" outlineLevel="0" collapsed="false">
      <c r="A16" s="11" t="n">
        <v>46538</v>
      </c>
      <c r="B16" s="10" t="s">
        <v>282</v>
      </c>
      <c r="D16" s="11" t="n">
        <v>47835</v>
      </c>
      <c r="E16" s="11" t="n">
        <v>47848</v>
      </c>
      <c r="F16" s="10" t="s">
        <v>281</v>
      </c>
    </row>
    <row r="17" customFormat="false" ht="15" hidden="false" customHeight="false" outlineLevel="0" collapsed="false">
      <c r="A17" s="11" t="n">
        <v>46556</v>
      </c>
      <c r="B17" s="10" t="s">
        <v>294</v>
      </c>
    </row>
    <row r="18" customFormat="false" ht="15" hidden="false" customHeight="false" outlineLevel="0" collapsed="false">
      <c r="A18" s="11" t="n">
        <v>46573</v>
      </c>
      <c r="B18" s="10" t="s">
        <v>285</v>
      </c>
    </row>
    <row r="19" customFormat="false" ht="15" hidden="false" customHeight="false" outlineLevel="0" collapsed="false">
      <c r="A19" s="11" t="n">
        <v>46636</v>
      </c>
      <c r="B19" s="10" t="s">
        <v>286</v>
      </c>
    </row>
    <row r="20" customFormat="false" ht="15" hidden="false" customHeight="false" outlineLevel="0" collapsed="false">
      <c r="A20" s="11" t="n">
        <v>46671</v>
      </c>
      <c r="B20" s="10" t="s">
        <v>288</v>
      </c>
    </row>
    <row r="21" customFormat="false" ht="15" hidden="false" customHeight="false" outlineLevel="0" collapsed="false">
      <c r="A21" s="11" t="n">
        <v>46702</v>
      </c>
      <c r="B21" s="10" t="s">
        <v>289</v>
      </c>
    </row>
    <row r="22" customFormat="false" ht="15" hidden="false" customHeight="false" outlineLevel="0" collapsed="false">
      <c r="A22" s="11" t="n">
        <v>46716</v>
      </c>
      <c r="B22" s="10" t="s">
        <v>290</v>
      </c>
    </row>
    <row r="23" customFormat="false" ht="15" hidden="false" customHeight="false" outlineLevel="0" collapsed="false">
      <c r="A23" s="11" t="n">
        <v>46745</v>
      </c>
      <c r="B23" s="10" t="s">
        <v>295</v>
      </c>
    </row>
    <row r="24" customFormat="false" ht="15" hidden="false" customHeight="false" outlineLevel="0" collapsed="false">
      <c r="A24" s="11" t="n">
        <v>46752</v>
      </c>
      <c r="B24" s="10" t="s">
        <v>296</v>
      </c>
    </row>
    <row r="25" customFormat="false" ht="15" hidden="false" customHeight="false" outlineLevel="0" collapsed="false">
      <c r="A25" s="11" t="n">
        <v>46769</v>
      </c>
      <c r="B25" s="10" t="s">
        <v>278</v>
      </c>
    </row>
    <row r="26" customFormat="false" ht="15" hidden="false" customHeight="false" outlineLevel="0" collapsed="false">
      <c r="A26" s="11" t="n">
        <v>46804</v>
      </c>
      <c r="B26" s="10" t="s">
        <v>280</v>
      </c>
    </row>
    <row r="27" customFormat="false" ht="15" hidden="false" customHeight="false" outlineLevel="0" collapsed="false">
      <c r="A27" s="11" t="n">
        <v>46902</v>
      </c>
      <c r="B27" s="10" t="s">
        <v>282</v>
      </c>
    </row>
    <row r="28" customFormat="false" ht="15" hidden="false" customHeight="false" outlineLevel="0" collapsed="false">
      <c r="A28" s="11" t="n">
        <v>46923</v>
      </c>
      <c r="B28" s="10" t="s">
        <v>284</v>
      </c>
    </row>
    <row r="29" customFormat="false" ht="15" hidden="false" customHeight="false" outlineLevel="0" collapsed="false">
      <c r="A29" s="11" t="n">
        <v>46938</v>
      </c>
      <c r="B29" s="10" t="s">
        <v>297</v>
      </c>
    </row>
    <row r="30" customFormat="false" ht="15" hidden="false" customHeight="false" outlineLevel="0" collapsed="false">
      <c r="A30" s="11" t="n">
        <v>47000</v>
      </c>
      <c r="B30" s="10" t="s">
        <v>286</v>
      </c>
    </row>
    <row r="31" customFormat="false" ht="15" hidden="false" customHeight="false" outlineLevel="0" collapsed="false">
      <c r="A31" s="11" t="n">
        <v>47035</v>
      </c>
      <c r="B31" s="10" t="s">
        <v>288</v>
      </c>
    </row>
    <row r="32" customFormat="false" ht="15" hidden="false" customHeight="false" outlineLevel="0" collapsed="false">
      <c r="A32" s="11" t="n">
        <v>47067</v>
      </c>
      <c r="B32" s="10" t="s">
        <v>298</v>
      </c>
    </row>
    <row r="33" customFormat="false" ht="15" hidden="false" customHeight="false" outlineLevel="0" collapsed="false">
      <c r="A33" s="11" t="n">
        <v>47080</v>
      </c>
      <c r="B33" s="10" t="s">
        <v>290</v>
      </c>
    </row>
    <row r="34" customFormat="false" ht="15" hidden="false" customHeight="false" outlineLevel="0" collapsed="false">
      <c r="A34" s="11" t="n">
        <v>47112</v>
      </c>
      <c r="B34" s="10" t="s">
        <v>292</v>
      </c>
    </row>
    <row r="35" customFormat="false" ht="15" hidden="false" customHeight="false" outlineLevel="0" collapsed="false">
      <c r="A35" s="11" t="n">
        <v>47119</v>
      </c>
      <c r="B35" s="10" t="s">
        <v>276</v>
      </c>
    </row>
    <row r="36" customFormat="false" ht="15" hidden="false" customHeight="false" outlineLevel="0" collapsed="false">
      <c r="A36" s="11" t="n">
        <v>47133</v>
      </c>
      <c r="B36" s="10" t="s">
        <v>278</v>
      </c>
    </row>
    <row r="37" customFormat="false" ht="15" hidden="false" customHeight="false" outlineLevel="0" collapsed="false">
      <c r="A37" s="11" t="n">
        <v>47168</v>
      </c>
      <c r="B37" s="10" t="s">
        <v>280</v>
      </c>
    </row>
    <row r="38" customFormat="false" ht="15" hidden="false" customHeight="false" outlineLevel="0" collapsed="false">
      <c r="A38" s="11" t="n">
        <v>47266</v>
      </c>
      <c r="B38" s="10" t="s">
        <v>282</v>
      </c>
    </row>
    <row r="39" customFormat="false" ht="15" hidden="false" customHeight="false" outlineLevel="0" collapsed="false">
      <c r="A39" s="11" t="n">
        <v>47288</v>
      </c>
      <c r="B39" s="10" t="s">
        <v>284</v>
      </c>
    </row>
    <row r="40" customFormat="false" ht="15" hidden="false" customHeight="false" outlineLevel="0" collapsed="false">
      <c r="A40" s="11" t="n">
        <v>47303</v>
      </c>
      <c r="B40" s="10" t="s">
        <v>297</v>
      </c>
    </row>
    <row r="41" customFormat="false" ht="15" hidden="false" customHeight="false" outlineLevel="0" collapsed="false">
      <c r="A41" s="11" t="n">
        <v>47364</v>
      </c>
      <c r="B41" s="10" t="s">
        <v>286</v>
      </c>
    </row>
    <row r="42" customFormat="false" ht="15" hidden="false" customHeight="false" outlineLevel="0" collapsed="false">
      <c r="A42" s="11" t="n">
        <v>47399</v>
      </c>
      <c r="B42" s="10" t="s">
        <v>288</v>
      </c>
    </row>
    <row r="43" customFormat="false" ht="15" hidden="false" customHeight="false" outlineLevel="0" collapsed="false">
      <c r="A43" s="11" t="n">
        <v>47434</v>
      </c>
      <c r="B43" s="10" t="s">
        <v>298</v>
      </c>
    </row>
    <row r="44" customFormat="false" ht="15" hidden="false" customHeight="false" outlineLevel="0" collapsed="false">
      <c r="A44" s="11" t="n">
        <v>47444</v>
      </c>
      <c r="B44" s="10" t="s">
        <v>290</v>
      </c>
    </row>
    <row r="45" customFormat="false" ht="15" hidden="false" customHeight="false" outlineLevel="0" collapsed="false">
      <c r="A45" s="11" t="n">
        <v>47477</v>
      </c>
      <c r="B45" s="10" t="s">
        <v>292</v>
      </c>
    </row>
    <row r="46" customFormat="false" ht="15" hidden="false" customHeight="false" outlineLevel="0" collapsed="false">
      <c r="A46" s="11" t="n">
        <v>47484</v>
      </c>
      <c r="B46" s="10" t="s">
        <v>276</v>
      </c>
    </row>
    <row r="47" customFormat="false" ht="15" hidden="false" customHeight="false" outlineLevel="0" collapsed="false">
      <c r="A47" s="11" t="n">
        <v>47504</v>
      </c>
      <c r="B47" s="10" t="s">
        <v>278</v>
      </c>
    </row>
    <row r="48" customFormat="false" ht="15" hidden="false" customHeight="false" outlineLevel="0" collapsed="false">
      <c r="A48" s="11" t="n">
        <v>47532</v>
      </c>
      <c r="B48" s="10" t="s">
        <v>280</v>
      </c>
    </row>
    <row r="49" customFormat="false" ht="15" hidden="false" customHeight="false" outlineLevel="0" collapsed="false">
      <c r="A49" s="11" t="n">
        <v>47630</v>
      </c>
      <c r="B49" s="10" t="s">
        <v>282</v>
      </c>
    </row>
    <row r="50" customFormat="false" ht="15" hidden="false" customHeight="false" outlineLevel="0" collapsed="false">
      <c r="A50" s="11" t="n">
        <v>47653</v>
      </c>
      <c r="B50" s="10" t="s">
        <v>284</v>
      </c>
    </row>
    <row r="51" customFormat="false" ht="15" hidden="false" customHeight="false" outlineLevel="0" collapsed="false">
      <c r="A51" s="11" t="n">
        <v>47668</v>
      </c>
      <c r="B51" s="10" t="s">
        <v>297</v>
      </c>
    </row>
    <row r="52" customFormat="false" ht="15" hidden="false" customHeight="false" outlineLevel="0" collapsed="false">
      <c r="A52" s="11" t="n">
        <v>47728</v>
      </c>
      <c r="B52" s="10" t="s">
        <v>286</v>
      </c>
    </row>
    <row r="53" customFormat="false" ht="15" hidden="false" customHeight="false" outlineLevel="0" collapsed="false">
      <c r="A53" s="11" t="n">
        <v>47770</v>
      </c>
      <c r="B53" s="10" t="s">
        <v>288</v>
      </c>
    </row>
    <row r="54" customFormat="false" ht="15" hidden="false" customHeight="false" outlineLevel="0" collapsed="false">
      <c r="A54" s="11" t="n">
        <v>47798</v>
      </c>
      <c r="B54" s="10" t="s">
        <v>289</v>
      </c>
    </row>
    <row r="55" customFormat="false" ht="15" hidden="false" customHeight="false" outlineLevel="0" collapsed="false">
      <c r="A55" s="11" t="n">
        <v>47815</v>
      </c>
      <c r="B55" s="10" t="s">
        <v>290</v>
      </c>
    </row>
    <row r="56" customFormat="false" ht="15" hidden="false" customHeight="false" outlineLevel="0" collapsed="false">
      <c r="A56" s="11" t="n">
        <v>47842</v>
      </c>
      <c r="B56" s="10" t="s">
        <v>292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O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24"/>
    <col collapsed="false" customWidth="true" hidden="false" outlineLevel="0" max="6" min="6" style="0" width="18"/>
    <col collapsed="false" customWidth="true" hidden="false" outlineLevel="0" max="7" min="7" style="0" width="16"/>
    <col collapsed="false" customWidth="true" hidden="false" outlineLevel="0" max="8" min="8" style="0" width="24"/>
    <col collapsed="false" customWidth="true" hidden="false" outlineLevel="0" max="9" min="9" style="0" width="30"/>
    <col collapsed="false" customWidth="true" hidden="false" outlineLevel="0" max="10" min="10" style="0" width="8"/>
    <col collapsed="false" customWidth="true" hidden="false" outlineLevel="0" max="23" min="11" style="0" width="14"/>
    <col collapsed="false" customWidth="true" hidden="false" outlineLevel="0" max="24" min="24" style="0" width="34"/>
    <col collapsed="false" customWidth="true" hidden="false" outlineLevel="0" max="25" min="25" style="0" width="14"/>
    <col collapsed="false" customWidth="true" hidden="false" outlineLevel="0" max="26" min="26" style="0" width="9"/>
    <col collapsed="false" customWidth="true" hidden="false" outlineLevel="0" max="27" min="27" style="0" width="7"/>
    <col collapsed="false" customWidth="true" hidden="false" outlineLevel="0" max="28" min="28" style="0" width="9"/>
    <col collapsed="false" customWidth="true" hidden="false" outlineLevel="0" max="38" min="29" style="0" width="14"/>
    <col collapsed="false" customWidth="true" hidden="false" outlineLevel="0" max="41" min="39" style="0" width="8"/>
  </cols>
  <sheetData>
    <row r="1" customFormat="false" ht="15" hidden="false" customHeight="false" outlineLevel="0" collapsed="false">
      <c r="A1" s="28" t="s">
        <v>299</v>
      </c>
      <c r="B1" s="28" t="s">
        <v>300</v>
      </c>
      <c r="C1" s="28" t="s">
        <v>301</v>
      </c>
      <c r="D1" s="28" t="s">
        <v>79</v>
      </c>
      <c r="E1" s="28" t="s">
        <v>302</v>
      </c>
      <c r="F1" s="28" t="s">
        <v>303</v>
      </c>
      <c r="G1" s="28" t="s">
        <v>304</v>
      </c>
      <c r="H1" s="28" t="s">
        <v>305</v>
      </c>
      <c r="I1" s="29" t="s">
        <v>306</v>
      </c>
      <c r="J1" s="29" t="s">
        <v>307</v>
      </c>
      <c r="K1" s="29" t="s">
        <v>308</v>
      </c>
      <c r="L1" s="29" t="s">
        <v>309</v>
      </c>
      <c r="M1" s="29" t="s">
        <v>310</v>
      </c>
      <c r="N1" s="29" t="s">
        <v>311</v>
      </c>
      <c r="O1" s="29" t="s">
        <v>312</v>
      </c>
      <c r="P1" s="29" t="s">
        <v>313</v>
      </c>
      <c r="Q1" s="29" t="s">
        <v>314</v>
      </c>
      <c r="R1" s="29" t="s">
        <v>315</v>
      </c>
      <c r="S1" s="29" t="s">
        <v>316</v>
      </c>
      <c r="T1" s="29" t="s">
        <v>317</v>
      </c>
      <c r="U1" s="29" t="s">
        <v>318</v>
      </c>
      <c r="V1" s="29" t="s">
        <v>319</v>
      </c>
      <c r="W1" s="29" t="s">
        <v>320</v>
      </c>
      <c r="X1" s="29" t="s">
        <v>321</v>
      </c>
      <c r="Y1" s="29" t="s">
        <v>322</v>
      </c>
      <c r="Z1" s="29" t="s">
        <v>323</v>
      </c>
      <c r="AA1" s="29" t="s">
        <v>83</v>
      </c>
      <c r="AB1" s="29" t="s">
        <v>324</v>
      </c>
      <c r="AC1" s="29" t="s">
        <v>325</v>
      </c>
      <c r="AD1" s="29" t="s">
        <v>326</v>
      </c>
      <c r="AE1" s="29" t="s">
        <v>327</v>
      </c>
      <c r="AF1" s="29" t="s">
        <v>328</v>
      </c>
      <c r="AG1" s="29" t="s">
        <v>329</v>
      </c>
      <c r="AH1" s="29" t="s">
        <v>330</v>
      </c>
      <c r="AI1" s="29" t="s">
        <v>331</v>
      </c>
      <c r="AJ1" s="29" t="s">
        <v>332</v>
      </c>
      <c r="AK1" s="29" t="s">
        <v>333</v>
      </c>
      <c r="AL1" s="29" t="s">
        <v>241</v>
      </c>
      <c r="AM1" s="29" t="s">
        <v>334</v>
      </c>
      <c r="AN1" s="29" t="s">
        <v>335</v>
      </c>
      <c r="AO1" s="29" t="s">
        <v>336</v>
      </c>
    </row>
    <row r="2" customFormat="false" ht="15" hidden="false" customHeight="false" outlineLevel="0" collapsed="false">
      <c r="A2" s="0" t="s">
        <v>337</v>
      </c>
      <c r="B2" s="11" t="n">
        <v>46399</v>
      </c>
      <c r="C2" s="10" t="s">
        <v>338</v>
      </c>
      <c r="D2" s="10" t="s">
        <v>339</v>
      </c>
      <c r="E2" s="10" t="s">
        <v>340</v>
      </c>
      <c r="F2" s="10" t="s">
        <v>341</v>
      </c>
      <c r="G2" s="10" t="s">
        <v>342</v>
      </c>
      <c r="H2" s="10" t="s">
        <v>343</v>
      </c>
      <c r="I2" s="30" t="str">
        <f aca="false">IF($B2="","",IF(AND(WEEKDAY($B2)&lt;&gt;3,WEEKDAY($B2)&lt;&gt;4),"REFUSED: a "&amp;TEXT($B2,"dddd")&amp;". Tuesday or Wednesday only",IF(COUNTIF(calendar!$A$2:$A$80,$B2)&gt;0,"REFUSED: a federal holiday",IF(COUNTIFS(calendar!$D$2:$D$20,"&lt;="&amp;WORKDAY($B2,4,calendar!$A$2:$A$80),calendar!$E$2:$E$20,"&gt;="&amp;$B2)&gt;0,"REFUSED: the five-day window overlaps a blackout","OK"))))</f>
        <v>OK</v>
      </c>
      <c r="J2" s="30" t="str">
        <f aca="false">IF($B2="","",TEXT($B2,"ddd"))</f>
        <v>Tue</v>
      </c>
      <c r="K2" s="31" t="n">
        <f aca="false">IF($I2="OK",WORKDAY($B2,-10,calendar!$A$2:$A$80),"")</f>
        <v>46384</v>
      </c>
      <c r="L2" s="31" t="n">
        <f aca="false">IF($I2="OK",IF(SUMPRODUCT((calendar!$D$2:$D$20&lt;=$M2)*(calendar!$E$2:$E$20&gt;=$K2)*calendar!$D$2:$D$20)=0,$K2,MIN($K2,WORKDAY(SUMPRODUCT((calendar!$D$2:$D$20&lt;=$M2)*(calendar!$E$2:$E$20&gt;=$K2)*calendar!$D$2:$D$20)+5,-1,calendar!$A$2:$A$80))),"")</f>
        <v>46378</v>
      </c>
      <c r="M2" s="31" t="n">
        <f aca="false">IF($I2="OK",WORKDAY($B2,-5,calendar!$A$2:$A$80),"")</f>
        <v>46392</v>
      </c>
      <c r="N2" s="31" t="n">
        <f aca="false">IF($I2="OK",WORKDAY($B2,-3,calendar!$A$2:$A$80),"")</f>
        <v>46394</v>
      </c>
      <c r="O2" s="31" t="n">
        <f aca="false">IF($I2="OK",WORKDAY($B2,-1,calendar!$A$2:$A$80),"")</f>
        <v>46398</v>
      </c>
      <c r="P2" s="31" t="n">
        <f aca="false">IF($I2="OK",WORKDAY($B2,1,calendar!$A$2:$A$80),"")</f>
        <v>46400</v>
      </c>
      <c r="Q2" s="31" t="n">
        <f aca="false">IF($I2="OK",WORKDAY($B2,2,calendar!$A$2:$A$80),"")</f>
        <v>46401</v>
      </c>
      <c r="R2" s="31" t="n">
        <f aca="false">IF($I2="OK",WORKDAY($B2,4,calendar!$A$2:$A$80),"")</f>
        <v>46406</v>
      </c>
      <c r="S2" s="31" t="n">
        <f aca="false">IF($I2="OK",WORKDAY($B2,5,calendar!$A$2:$A$80),"")</f>
        <v>46407</v>
      </c>
      <c r="T2" s="31" t="n">
        <f aca="false">IF($I2="OK",WORKDAY($B2,7,calendar!$A$2:$A$80),"")</f>
        <v>46409</v>
      </c>
      <c r="U2" s="31" t="n">
        <f aca="false">IF($I2="OK",WORKDAY($B2,10,calendar!$A$2:$A$80),"")</f>
        <v>46414</v>
      </c>
      <c r="V2" s="31" t="n">
        <f aca="false">IF($I2="OK",WORKDAY($B2,14,calendar!$A$2:$A$80),"")</f>
        <v>46420</v>
      </c>
      <c r="W2" s="31" t="n">
        <f aca="false">IF($I2="OK",$B2+30,"")</f>
        <v>46429</v>
      </c>
      <c r="X2" s="30" t="str">
        <f aca="true">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done</v>
      </c>
      <c r="Y2" s="31" t="str">
        <f aca="true">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30" t="n">
        <f aca="false">IF($A2="","",COUNTIF(campaigns!$B$2:$B$51,$A2))</f>
        <v>2</v>
      </c>
      <c r="AA2" s="30" t="n">
        <f aca="false">IF($A2="","",COUNTIF(stops!$A$2:$A$151,$A2))</f>
        <v>5</v>
      </c>
      <c r="AB2" s="30" t="n">
        <f aca="false">IF($A2="","",SUMIFS(approvals!$S$2:$S$251,approvals!$H$2:$H$251,$A2,approvals!$P$2:$P$251,"Y"))</f>
        <v>500</v>
      </c>
      <c r="AC2" s="32" t="n">
        <f aca="false">IF($A2="","",SUMIFS(campaigns!$DC$2:$DC$51,campaigns!$B$2:$B$51,$A2))</f>
        <v>1080</v>
      </c>
      <c r="AD2" s="32" t="n">
        <f aca="false">IF($A2="","",SUMIFS(costs!$E$2:$E$301,costs!$B$2:$B$301,$A2,costs!$D$2:$D$301,"kit"))</f>
        <v>80</v>
      </c>
      <c r="AE2" s="32" t="n">
        <f aca="false">IF($A2="","",SUMIFS(costs!$E$2:$E$301,costs!$B$2:$B$301,$A2,costs!$D$2:$D$301,"transport"))</f>
        <v>63</v>
      </c>
      <c r="AF2" s="32" t="n">
        <f aca="false">IF($A2="","",SUMIFS(costs!$E$2:$E$301,costs!$B$2:$B$301,$A2,costs!$D$2:$D$301,"other_direct"))</f>
        <v>9</v>
      </c>
      <c r="AG2" s="32" t="n">
        <f aca="false">IF($A2="","",$AD2+$AE2+$AF2)</f>
        <v>152</v>
      </c>
      <c r="AH2" s="32" t="n">
        <f aca="false">IF(OR($A2="",N($AA2)=0),"",ROUND($AG2/$AA2,2))</f>
        <v>30.4</v>
      </c>
      <c r="AI2" s="33" t="n">
        <f aca="false">IF($A2="","",SUMIFS(hours!$E$2:$E$1501,hours!$B$2:$B$1501,$A2))</f>
        <v>57</v>
      </c>
      <c r="AJ2" s="32" t="n">
        <f aca="false">IF($A2="","",$AC2-SUMIFS(campaigns!$DG$2:$DG$51,campaigns!$B$2:$B$51,$A2)-$AG2)</f>
        <v>928</v>
      </c>
      <c r="AK2" s="32" t="n">
        <f aca="false">IF(OR($A2="",N($AI2)=0),"",ROUND($AJ2/$AI2,2))</f>
        <v>16.28</v>
      </c>
      <c r="AL2" s="34" t="n">
        <f aca="false">IF(OR($A2="",SUMIFS(campaigns!$CB$2:$CB$51,campaigns!$B$2:$B$51,$A2)=0),"",SUMIFS(campaigns!$CD$2:$CD$51,campaigns!$B$2:$B$51,$A2)/SUMIFS(campaigns!$CB$2:$CB$51,campaigns!$B$2:$B$51,$A2))</f>
        <v>0.896</v>
      </c>
      <c r="AM2" s="30" t="n">
        <f aca="false">IF(OR($A2="",COUNTIFS(approvals!$H$2:$H$251,$A2,approvals!$Q$2:$Q$251,"Y")=0),"",SUMPRODUCT(MIN(approvals!$BB$2:$BB$251+(approvals!$H$2:$H$251&lt;&gt;$A2)*1000000)))</f>
        <v>4</v>
      </c>
      <c r="AN2" s="30" t="n">
        <f aca="false">IF(OR($A2="",$T2=""),"",COUNTIFS(campaigns!$B$2:$B$51,$A2,campaigns!$DU$2:$DU$51,"late"))</f>
        <v>0</v>
      </c>
      <c r="AO2" s="30" t="n">
        <f aca="false">IF($A2="","",COUNTIFS(campaigns!$B$2:$B$51,$A2,campaigns!$AV$2:$AV$51,"yes"))</f>
        <v>1</v>
      </c>
    </row>
    <row r="3" customFormat="false" ht="15" hidden="false" customHeight="false" outlineLevel="0" collapsed="false">
      <c r="A3" s="0" t="s">
        <v>344</v>
      </c>
      <c r="B3" s="11" t="n">
        <v>46427</v>
      </c>
      <c r="C3" s="10" t="s">
        <v>345</v>
      </c>
      <c r="D3" s="10" t="s">
        <v>339</v>
      </c>
      <c r="E3" s="10" t="s">
        <v>340</v>
      </c>
      <c r="F3" s="10" t="s">
        <v>346</v>
      </c>
      <c r="G3" s="10" t="s">
        <v>347</v>
      </c>
      <c r="H3" s="10" t="s">
        <v>348</v>
      </c>
      <c r="I3" s="30" t="str">
        <f aca="false">IF($B3="","",IF(AND(WEEKDAY($B3)&lt;&gt;3,WEEKDAY($B3)&lt;&gt;4),"REFUSED: a "&amp;TEXT($B3,"dddd")&amp;". Tuesday or Wednesday only",IF(COUNTIF(calendar!$A$2:$A$80,$B3)&gt;0,"REFUSED: a federal holiday",IF(COUNTIFS(calendar!$D$2:$D$20,"&lt;="&amp;WORKDAY($B3,4,calendar!$A$2:$A$80),calendar!$E$2:$E$20,"&gt;="&amp;$B3)&gt;0,"REFUSED: the five-day window overlaps a blackout","OK"))))</f>
        <v>OK</v>
      </c>
      <c r="J3" s="30" t="str">
        <f aca="false">IF($B3="","",TEXT($B3,"ddd"))</f>
        <v>Tue</v>
      </c>
      <c r="K3" s="31" t="n">
        <f aca="false">IF($I3="OK",WORKDAY($B3,-10,calendar!$A$2:$A$80),"")</f>
        <v>46413</v>
      </c>
      <c r="L3" s="31" t="n">
        <f aca="false">IF($I3="OK",IF(SUMPRODUCT((calendar!$D$2:$D$20&lt;=$M3)*(calendar!$E$2:$E$20&gt;=$K3)*calendar!$D$2:$D$20)=0,$K3,MIN($K3,WORKDAY(SUMPRODUCT((calendar!$D$2:$D$20&lt;=$M3)*(calendar!$E$2:$E$20&gt;=$K3)*calendar!$D$2:$D$20)+5,-1,calendar!$A$2:$A$80))),"")</f>
        <v>46413</v>
      </c>
      <c r="M3" s="31" t="n">
        <f aca="false">IF($I3="OK",WORKDAY($B3,-5,calendar!$A$2:$A$80),"")</f>
        <v>46420</v>
      </c>
      <c r="N3" s="31" t="n">
        <f aca="false">IF($I3="OK",WORKDAY($B3,-3,calendar!$A$2:$A$80),"")</f>
        <v>46422</v>
      </c>
      <c r="O3" s="31" t="n">
        <f aca="false">IF($I3="OK",WORKDAY($B3,-1,calendar!$A$2:$A$80),"")</f>
        <v>46426</v>
      </c>
      <c r="P3" s="31" t="n">
        <f aca="false">IF($I3="OK",WORKDAY($B3,1,calendar!$A$2:$A$80),"")</f>
        <v>46428</v>
      </c>
      <c r="Q3" s="31" t="n">
        <f aca="false">IF($I3="OK",WORKDAY($B3,2,calendar!$A$2:$A$80),"")</f>
        <v>46429</v>
      </c>
      <c r="R3" s="31" t="n">
        <f aca="false">IF($I3="OK",WORKDAY($B3,4,calendar!$A$2:$A$80),"")</f>
        <v>46434</v>
      </c>
      <c r="S3" s="31" t="n">
        <f aca="false">IF($I3="OK",WORKDAY($B3,5,calendar!$A$2:$A$80),"")</f>
        <v>46435</v>
      </c>
      <c r="T3" s="31" t="n">
        <f aca="false">IF($I3="OK",WORKDAY($B3,7,calendar!$A$2:$A$80),"")</f>
        <v>46437</v>
      </c>
      <c r="U3" s="31" t="n">
        <f aca="false">IF($I3="OK",WORKDAY($B3,10,calendar!$A$2:$A$80),"")</f>
        <v>46442</v>
      </c>
      <c r="V3" s="31" t="n">
        <f aca="false">IF($I3="OK",WORKDAY($B3,14,calendar!$A$2:$A$80),"")</f>
        <v>46448</v>
      </c>
      <c r="W3" s="31" t="n">
        <f aca="false">IF($I3="OK",$B3+30,"")</f>
        <v>46457</v>
      </c>
      <c r="X3" s="30" t="str">
        <f aca="true">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done</v>
      </c>
      <c r="Y3" s="31" t="str">
        <f aca="true">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30" t="n">
        <f aca="false">IF($A3="","",COUNTIF(campaigns!$B$2:$B$51,$A3))</f>
        <v>3</v>
      </c>
      <c r="AA3" s="30" t="n">
        <f aca="false">IF($A3="","",COUNTIF(stops!$A$2:$A$151,$A3))</f>
        <v>10</v>
      </c>
      <c r="AB3" s="30" t="n">
        <f aca="false">IF($A3="","",SUMIFS(approvals!$S$2:$S$251,approvals!$H$2:$H$251,$A3,approvals!$P$2:$P$251,"Y"))</f>
        <v>1455</v>
      </c>
      <c r="AC3" s="32" t="n">
        <f aca="false">IF($A3="","",SUMIFS(campaigns!$DC$2:$DC$51,campaigns!$B$2:$B$51,$A3))</f>
        <v>4350</v>
      </c>
      <c r="AD3" s="32" t="n">
        <f aca="false">IF($A3="","",SUMIFS(costs!$E$2:$E$301,costs!$B$2:$B$301,$A3,costs!$D$2:$D$301,"kit"))</f>
        <v>232</v>
      </c>
      <c r="AE3" s="32" t="n">
        <f aca="false">IF($A3="","",SUMIFS(costs!$E$2:$E$301,costs!$B$2:$B$301,$A3,costs!$D$2:$D$301,"transport"))</f>
        <v>358</v>
      </c>
      <c r="AF3" s="32" t="n">
        <f aca="false">IF($A3="","",SUMIFS(costs!$E$2:$E$301,costs!$B$2:$B$301,$A3,costs!$D$2:$D$301,"other_direct"))</f>
        <v>0</v>
      </c>
      <c r="AG3" s="32" t="n">
        <f aca="false">IF($A3="","",$AD3+$AE3+$AF3)</f>
        <v>590</v>
      </c>
      <c r="AH3" s="32" t="n">
        <f aca="false">IF(OR($A3="",N($AA3)=0),"",ROUND($AG3/$AA3,2))</f>
        <v>59</v>
      </c>
      <c r="AI3" s="33" t="n">
        <f aca="false">IF($A3="","",SUMIFS(hours!$E$2:$E$1501,hours!$B$2:$B$1501,$A3))</f>
        <v>52</v>
      </c>
      <c r="AJ3" s="32" t="n">
        <f aca="false">IF($A3="","",$AC3-SUMIFS(campaigns!$DG$2:$DG$51,campaigns!$B$2:$B$51,$A3)-$AG3)</f>
        <v>3760</v>
      </c>
      <c r="AK3" s="32" t="n">
        <f aca="false">IF(OR($A3="",N($AI3)=0),"",ROUND($AJ3/$AI3,2))</f>
        <v>72.31</v>
      </c>
      <c r="AL3" s="34" t="n">
        <f aca="false">IF(OR($A3="",SUMIFS(campaigns!$CB$2:$CB$51,campaigns!$B$2:$B$51,$A3)=0),"",SUMIFS(campaigns!$CD$2:$CD$51,campaigns!$B$2:$B$51,$A3)/SUMIFS(campaigns!$CB$2:$CB$51,campaigns!$B$2:$B$51,$A3))</f>
        <v>1</v>
      </c>
      <c r="AM3" s="30" t="n">
        <f aca="false">IF(OR($A3="",COUNTIFS(approvals!$H$2:$H$251,$A3,approvals!$Q$2:$Q$251,"Y")=0),"",SUMPRODUCT(MIN(approvals!$BB$2:$BB$251+(approvals!$H$2:$H$251&lt;&gt;$A3)*1000000)))</f>
        <v>4</v>
      </c>
      <c r="AN3" s="30" t="n">
        <f aca="false">IF(OR($A3="",$T3=""),"",COUNTIFS(campaigns!$B$2:$B$51,$A3,campaigns!$DU$2:$DU$51,"late"))</f>
        <v>0</v>
      </c>
      <c r="AO3" s="30" t="n">
        <f aca="false">IF($A3="","",COUNTIFS(campaigns!$B$2:$B$51,$A3,campaigns!$AV$2:$AV$51,"yes"))</f>
        <v>2</v>
      </c>
    </row>
    <row r="4" customFormat="false" ht="15" hidden="false" customHeight="false" outlineLevel="0" collapsed="false">
      <c r="A4" s="0" t="s">
        <v>349</v>
      </c>
      <c r="B4" s="11" t="n">
        <v>46441</v>
      </c>
      <c r="C4" s="10" t="s">
        <v>345</v>
      </c>
      <c r="D4" s="10" t="s">
        <v>339</v>
      </c>
      <c r="E4" s="10" t="s">
        <v>340</v>
      </c>
      <c r="F4" s="10" t="s">
        <v>350</v>
      </c>
      <c r="G4" s="10" t="s">
        <v>351</v>
      </c>
      <c r="H4" s="10" t="s">
        <v>352</v>
      </c>
      <c r="I4" s="30" t="str">
        <f aca="false">IF($B4="","",IF(AND(WEEKDAY($B4)&lt;&gt;3,WEEKDAY($B4)&lt;&gt;4),"REFUSED: a "&amp;TEXT($B4,"dddd")&amp;". Tuesday or Wednesday only",IF(COUNTIF(calendar!$A$2:$A$80,$B4)&gt;0,"REFUSED: a federal holiday",IF(COUNTIFS(calendar!$D$2:$D$20,"&lt;="&amp;WORKDAY($B4,4,calendar!$A$2:$A$80),calendar!$E$2:$E$20,"&gt;="&amp;$B4)&gt;0,"REFUSED: the five-day window overlaps a blackout","OK"))))</f>
        <v>OK</v>
      </c>
      <c r="J4" s="30" t="str">
        <f aca="false">IF($B4="","",TEXT($B4,"ddd"))</f>
        <v>Tue</v>
      </c>
      <c r="K4" s="31" t="n">
        <f aca="false">IF($I4="OK",WORKDAY($B4,-10,calendar!$A$2:$A$80),"")</f>
        <v>46426</v>
      </c>
      <c r="L4" s="31" t="n">
        <f aca="false">IF($I4="OK",IF(SUMPRODUCT((calendar!$D$2:$D$20&lt;=$M4)*(calendar!$E$2:$E$20&gt;=$K4)*calendar!$D$2:$D$20)=0,$K4,MIN($K4,WORKDAY(SUMPRODUCT((calendar!$D$2:$D$20&lt;=$M4)*(calendar!$E$2:$E$20&gt;=$K4)*calendar!$D$2:$D$20)+5,-1,calendar!$A$2:$A$80))),"")</f>
        <v>46426</v>
      </c>
      <c r="M4" s="31" t="n">
        <f aca="false">IF($I4="OK",WORKDAY($B4,-5,calendar!$A$2:$A$80),"")</f>
        <v>46434</v>
      </c>
      <c r="N4" s="31" t="n">
        <f aca="false">IF($I4="OK",WORKDAY($B4,-3,calendar!$A$2:$A$80),"")</f>
        <v>46436</v>
      </c>
      <c r="O4" s="31" t="n">
        <f aca="false">IF($I4="OK",WORKDAY($B4,-1,calendar!$A$2:$A$80),"")</f>
        <v>46440</v>
      </c>
      <c r="P4" s="31" t="n">
        <f aca="false">IF($I4="OK",WORKDAY($B4,1,calendar!$A$2:$A$80),"")</f>
        <v>46442</v>
      </c>
      <c r="Q4" s="31" t="n">
        <f aca="false">IF($I4="OK",WORKDAY($B4,2,calendar!$A$2:$A$80),"")</f>
        <v>46443</v>
      </c>
      <c r="R4" s="31" t="n">
        <f aca="false">IF($I4="OK",WORKDAY($B4,4,calendar!$A$2:$A$80),"")</f>
        <v>46447</v>
      </c>
      <c r="S4" s="31" t="n">
        <f aca="false">IF($I4="OK",WORKDAY($B4,5,calendar!$A$2:$A$80),"")</f>
        <v>46448</v>
      </c>
      <c r="T4" s="31" t="n">
        <f aca="false">IF($I4="OK",WORKDAY($B4,7,calendar!$A$2:$A$80),"")</f>
        <v>46450</v>
      </c>
      <c r="U4" s="31" t="n">
        <f aca="false">IF($I4="OK",WORKDAY($B4,10,calendar!$A$2:$A$80),"")</f>
        <v>46455</v>
      </c>
      <c r="V4" s="31" t="n">
        <f aca="false">IF($I4="OK",WORKDAY($B4,14,calendar!$A$2:$A$80),"")</f>
        <v>46461</v>
      </c>
      <c r="W4" s="31" t="n">
        <f aca="false">IF($I4="OK",$B4+30,"")</f>
        <v>46471</v>
      </c>
      <c r="X4" s="30" t="str">
        <f aca="true">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done</v>
      </c>
      <c r="Y4" s="31" t="str">
        <f aca="true">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30" t="n">
        <f aca="false">IF($A4="","",COUNTIF(campaigns!$B$2:$B$51,$A4))</f>
        <v>1</v>
      </c>
      <c r="AA4" s="30" t="n">
        <f aca="false">IF($A4="","",COUNTIF(stops!$A$2:$A$151,$A4))</f>
        <v>10</v>
      </c>
      <c r="AB4" s="30" t="n">
        <f aca="false">IF($A4="","",SUMIFS(approvals!$S$2:$S$251,approvals!$H$2:$H$251,$A4,approvals!$P$2:$P$251,"Y"))</f>
        <v>465</v>
      </c>
      <c r="AC4" s="32" t="n">
        <f aca="false">IF($A4="","",SUMIFS(campaigns!$DC$2:$DC$51,campaigns!$B$2:$B$51,$A4))</f>
        <v>1350</v>
      </c>
      <c r="AD4" s="32" t="n">
        <f aca="false">IF($A4="","",SUMIFS(costs!$E$2:$E$301,costs!$B$2:$B$301,$A4,costs!$D$2:$D$301,"kit"))</f>
        <v>80</v>
      </c>
      <c r="AE4" s="32" t="n">
        <f aca="false">IF($A4="","",SUMIFS(costs!$E$2:$E$301,costs!$B$2:$B$301,$A4,costs!$D$2:$D$301,"transport"))</f>
        <v>300</v>
      </c>
      <c r="AF4" s="32" t="n">
        <f aca="false">IF($A4="","",SUMIFS(costs!$E$2:$E$301,costs!$B$2:$B$301,$A4,costs!$D$2:$D$301,"other_direct"))</f>
        <v>0</v>
      </c>
      <c r="AG4" s="32" t="n">
        <f aca="false">IF($A4="","",$AD4+$AE4+$AF4)</f>
        <v>380</v>
      </c>
      <c r="AH4" s="32" t="n">
        <f aca="false">IF(OR($A4="",N($AA4)=0),"",ROUND($AG4/$AA4,2))</f>
        <v>38</v>
      </c>
      <c r="AI4" s="33" t="n">
        <f aca="false">IF($A4="","",SUMIFS(hours!$E$2:$E$1501,hours!$B$2:$B$1501,$A4))</f>
        <v>20.5</v>
      </c>
      <c r="AJ4" s="32" t="n">
        <f aca="false">IF($A4="","",$AC4-SUMIFS(campaigns!$DG$2:$DG$51,campaigns!$B$2:$B$51,$A4)-$AG4)</f>
        <v>970</v>
      </c>
      <c r="AK4" s="32" t="n">
        <f aca="false">IF(OR($A4="",N($AI4)=0),"",ROUND($AJ4/$AI4,2))</f>
        <v>47.32</v>
      </c>
      <c r="AL4" s="34" t="n">
        <f aca="false">IF(OR($A4="",SUMIFS(campaigns!$CB$2:$CB$51,campaigns!$B$2:$B$51,$A4)=0),"",SUMIFS(campaigns!$CD$2:$CD$51,campaigns!$B$2:$B$51,$A4)/SUMIFS(campaigns!$CB$2:$CB$51,campaigns!$B$2:$B$51,$A4))</f>
        <v>1</v>
      </c>
      <c r="AM4" s="30" t="n">
        <f aca="false">IF(OR($A4="",COUNTIFS(approvals!$H$2:$H$251,$A4,approvals!$Q$2:$Q$251,"Y")=0),"",SUMPRODUCT(MIN(approvals!$BB$2:$BB$251+(approvals!$H$2:$H$251&lt;&gt;$A4)*1000000)))</f>
        <v>5</v>
      </c>
      <c r="AN4" s="30" t="n">
        <f aca="false">IF(OR($A4="",$T4=""),"",COUNTIFS(campaigns!$B$2:$B$51,$A4,campaigns!$DU$2:$DU$51,"late"))</f>
        <v>0</v>
      </c>
      <c r="AO4" s="30" t="n">
        <f aca="false">IF($A4="","",COUNTIFS(campaigns!$B$2:$B$51,$A4,campaigns!$AV$2:$AV$51,"yes"))</f>
        <v>1</v>
      </c>
    </row>
    <row r="5" customFormat="false" ht="15" hidden="false" customHeight="false" outlineLevel="0" collapsed="false">
      <c r="A5" s="0" t="s">
        <v>353</v>
      </c>
      <c r="B5" s="11" t="n">
        <v>46469</v>
      </c>
      <c r="C5" s="10" t="s">
        <v>354</v>
      </c>
      <c r="D5" s="10" t="s">
        <v>339</v>
      </c>
      <c r="E5" s="10" t="s">
        <v>355</v>
      </c>
      <c r="G5" s="10" t="s">
        <v>356</v>
      </c>
      <c r="H5" s="10" t="s">
        <v>357</v>
      </c>
      <c r="I5" s="30" t="str">
        <f aca="false">IF($B5="","",IF(AND(WEEKDAY($B5)&lt;&gt;3,WEEKDAY($B5)&lt;&gt;4),"REFUSED: a "&amp;TEXT($B5,"dddd")&amp;". Tuesday or Wednesday only",IF(COUNTIF(calendar!$A$2:$A$80,$B5)&gt;0,"REFUSED: a federal holiday",IF(COUNTIFS(calendar!$D$2:$D$20,"&lt;="&amp;WORKDAY($B5,4,calendar!$A$2:$A$80),calendar!$E$2:$E$20,"&gt;="&amp;$B5)&gt;0,"REFUSED: the five-day window overlaps a blackout","OK"))))</f>
        <v>OK</v>
      </c>
      <c r="J5" s="30" t="str">
        <f aca="false">IF($B5="","",TEXT($B5,"ddd"))</f>
        <v>Tue</v>
      </c>
      <c r="K5" s="31" t="n">
        <f aca="false">IF($I5="OK",WORKDAY($B5,-10,calendar!$A$2:$A$80),"")</f>
        <v>46455</v>
      </c>
      <c r="L5" s="31" t="n">
        <f aca="false">IF($I5="OK",IF(SUMPRODUCT((calendar!$D$2:$D$20&lt;=$M5)*(calendar!$E$2:$E$20&gt;=$K5)*calendar!$D$2:$D$20)=0,$K5,MIN($K5,WORKDAY(SUMPRODUCT((calendar!$D$2:$D$20&lt;=$M5)*(calendar!$E$2:$E$20&gt;=$K5)*calendar!$D$2:$D$20)+5,-1,calendar!$A$2:$A$80))),"")</f>
        <v>46455</v>
      </c>
      <c r="M5" s="31" t="n">
        <f aca="false">IF($I5="OK",WORKDAY($B5,-5,calendar!$A$2:$A$80),"")</f>
        <v>46462</v>
      </c>
      <c r="N5" s="31" t="n">
        <f aca="false">IF($I5="OK",WORKDAY($B5,-3,calendar!$A$2:$A$80),"")</f>
        <v>46464</v>
      </c>
      <c r="O5" s="31" t="n">
        <f aca="false">IF($I5="OK",WORKDAY($B5,-1,calendar!$A$2:$A$80),"")</f>
        <v>46468</v>
      </c>
      <c r="P5" s="31" t="n">
        <f aca="false">IF($I5="OK",WORKDAY($B5,1,calendar!$A$2:$A$80),"")</f>
        <v>46470</v>
      </c>
      <c r="Q5" s="31" t="n">
        <f aca="false">IF($I5="OK",WORKDAY($B5,2,calendar!$A$2:$A$80),"")</f>
        <v>46471</v>
      </c>
      <c r="R5" s="31" t="n">
        <f aca="false">IF($I5="OK",WORKDAY($B5,4,calendar!$A$2:$A$80),"")</f>
        <v>46475</v>
      </c>
      <c r="S5" s="31" t="n">
        <f aca="false">IF($I5="OK",WORKDAY($B5,5,calendar!$A$2:$A$80),"")</f>
        <v>46476</v>
      </c>
      <c r="T5" s="31" t="n">
        <f aca="false">IF($I5="OK",WORKDAY($B5,7,calendar!$A$2:$A$80),"")</f>
        <v>46478</v>
      </c>
      <c r="U5" s="31" t="n">
        <f aca="false">IF($I5="OK",WORKDAY($B5,10,calendar!$A$2:$A$80),"")</f>
        <v>46483</v>
      </c>
      <c r="V5" s="31" t="n">
        <f aca="false">IF($I5="OK",WORKDAY($B5,14,calendar!$A$2:$A$80),"")</f>
        <v>46489</v>
      </c>
      <c r="W5" s="31" t="n">
        <f aca="false">IF($I5="OK",$B5+30,"")</f>
        <v>46499</v>
      </c>
      <c r="X5" s="30" t="str">
        <f aca="true">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done</v>
      </c>
      <c r="Y5" s="31" t="str">
        <f aca="true">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30" t="n">
        <f aca="false">IF($A5="","",COUNTIF(campaigns!$B$2:$B$51,$A5))</f>
        <v>2</v>
      </c>
      <c r="AA5" s="30" t="n">
        <f aca="false">IF($A5="","",COUNTIF(stops!$A$2:$A$151,$A5))</f>
        <v>10</v>
      </c>
      <c r="AB5" s="30" t="n">
        <f aca="false">IF($A5="","",SUMIFS(approvals!$S$2:$S$251,approvals!$H$2:$H$251,$A5,approvals!$P$2:$P$251,"Y"))</f>
        <v>1030</v>
      </c>
      <c r="AC5" s="32" t="n">
        <f aca="false">IF($A5="","",SUMIFS(campaigns!$DC$2:$DC$51,campaigns!$B$2:$B$51,$A5))</f>
        <v>2550</v>
      </c>
      <c r="AD5" s="32" t="n">
        <f aca="false">IF($A5="","",SUMIFS(costs!$E$2:$E$301,costs!$B$2:$B$301,$A5,costs!$D$2:$D$301,"kit"))</f>
        <v>160</v>
      </c>
      <c r="AE5" s="32" t="n">
        <f aca="false">IF($A5="","",SUMIFS(costs!$E$2:$E$301,costs!$B$2:$B$301,$A5,costs!$D$2:$D$301,"transport"))</f>
        <v>0</v>
      </c>
      <c r="AF5" s="32" t="n">
        <f aca="false">IF($A5="","",SUMIFS(costs!$E$2:$E$301,costs!$B$2:$B$301,$A5,costs!$D$2:$D$301,"other_direct"))</f>
        <v>45</v>
      </c>
      <c r="AG5" s="32" t="n">
        <f aca="false">IF($A5="","",$AD5+$AE5+$AF5)</f>
        <v>205</v>
      </c>
      <c r="AH5" s="32" t="n">
        <f aca="false">IF(OR($A5="",N($AA5)=0),"",ROUND($AG5/$AA5,2))</f>
        <v>20.5</v>
      </c>
      <c r="AI5" s="33" t="n">
        <f aca="false">IF($A5="","",SUMIFS(hours!$E$2:$E$1501,hours!$B$2:$B$1501,$A5))</f>
        <v>17.5</v>
      </c>
      <c r="AJ5" s="32" t="n">
        <f aca="false">IF($A5="","",$AC5-SUMIFS(campaigns!$DG$2:$DG$51,campaigns!$B$2:$B$51,$A5)-$AG5)</f>
        <v>2345</v>
      </c>
      <c r="AK5" s="32" t="n">
        <f aca="false">IF(OR($A5="",N($AI5)=0),"",ROUND($AJ5/$AI5,2))</f>
        <v>134</v>
      </c>
      <c r="AL5" s="34" t="n">
        <f aca="false">IF(OR($A5="",SUMIFS(campaigns!$CB$2:$CB$51,campaigns!$B$2:$B$51,$A5)=0),"",SUMIFS(campaigns!$CD$2:$CD$51,campaigns!$B$2:$B$51,$A5)/SUMIFS(campaigns!$CB$2:$CB$51,campaigns!$B$2:$B$51,$A5))</f>
        <v>1</v>
      </c>
      <c r="AM5" s="30" t="n">
        <f aca="false">IF(OR($A5="",COUNTIFS(approvals!$H$2:$H$251,$A5,approvals!$Q$2:$Q$251,"Y")=0),"",SUMPRODUCT(MIN(approvals!$BB$2:$BB$251+(approvals!$H$2:$H$251&lt;&gt;$A5)*1000000)))</f>
        <v>4</v>
      </c>
      <c r="AN5" s="30" t="n">
        <f aca="false">IF(OR($A5="",$T5=""),"",COUNTIFS(campaigns!$B$2:$B$51,$A5,campaigns!$DU$2:$DU$51,"late"))</f>
        <v>0</v>
      </c>
      <c r="AO5" s="30" t="n">
        <f aca="false">IF($A5="","",COUNTIFS(campaigns!$B$2:$B$51,$A5,campaigns!$AV$2:$AV$51,"yes"))</f>
        <v>1</v>
      </c>
    </row>
    <row r="6" customFormat="false" ht="15" hidden="false" customHeight="false" outlineLevel="0" collapsed="false">
      <c r="B6" s="11"/>
      <c r="C6" s="10"/>
      <c r="D6" s="10"/>
      <c r="I6" s="30" t="str">
        <f aca="false">IF($B6="","",IF(AND(WEEKDAY($B6)&lt;&gt;3,WEEKDAY($B6)&lt;&gt;4),"REFUSED: a "&amp;TEXT($B6,"dddd")&amp;". Tuesday or Wednesday only",IF(COUNTIF(calendar!$A$2:$A$80,$B6)&gt;0,"REFUSED: a federal holiday",IF(COUNTIFS(calendar!$D$2:$D$20,"&lt;="&amp;WORKDAY($B6,4,calendar!$A$2:$A$80),calendar!$E$2:$E$20,"&gt;="&amp;$B6)&gt;0,"REFUSED: the five-day window overlaps a blackout","OK"))))</f>
        <v/>
      </c>
      <c r="J6" s="30" t="str">
        <f aca="false">IF($B6="","",TEXT($B6,"ddd"))</f>
        <v/>
      </c>
      <c r="K6" s="31" t="str">
        <f aca="false">IF($I6="OK",WORKDAY($B6,-10,calendar!$A$2:$A$80),"")</f>
        <v/>
      </c>
      <c r="L6" s="31" t="str">
        <f aca="false">IF($I6="OK",IF(SUMPRODUCT((calendar!$D$2:$D$20&lt;=$M6)*(calendar!$E$2:$E$20&gt;=$K6)*calendar!$D$2:$D$20)=0,$K6,MIN($K6,WORKDAY(SUMPRODUCT((calendar!$D$2:$D$20&lt;=$M6)*(calendar!$E$2:$E$20&gt;=$K6)*calendar!$D$2:$D$20)+5,-1,calendar!$A$2:$A$80))),"")</f>
        <v/>
      </c>
      <c r="M6" s="31" t="str">
        <f aca="false">IF($I6="OK",WORKDAY($B6,-5,calendar!$A$2:$A$80),"")</f>
        <v/>
      </c>
      <c r="N6" s="31" t="str">
        <f aca="false">IF($I6="OK",WORKDAY($B6,-3,calendar!$A$2:$A$80),"")</f>
        <v/>
      </c>
      <c r="O6" s="31" t="str">
        <f aca="false">IF($I6="OK",WORKDAY($B6,-1,calendar!$A$2:$A$80),"")</f>
        <v/>
      </c>
      <c r="P6" s="31" t="str">
        <f aca="false">IF($I6="OK",WORKDAY($B6,1,calendar!$A$2:$A$80),"")</f>
        <v/>
      </c>
      <c r="Q6" s="31" t="str">
        <f aca="false">IF($I6="OK",WORKDAY($B6,2,calendar!$A$2:$A$80),"")</f>
        <v/>
      </c>
      <c r="R6" s="31" t="str">
        <f aca="false">IF($I6="OK",WORKDAY($B6,4,calendar!$A$2:$A$80),"")</f>
        <v/>
      </c>
      <c r="S6" s="31" t="str">
        <f aca="false">IF($I6="OK",WORKDAY($B6,5,calendar!$A$2:$A$80),"")</f>
        <v/>
      </c>
      <c r="T6" s="31" t="str">
        <f aca="false">IF($I6="OK",WORKDAY($B6,7,calendar!$A$2:$A$80),"")</f>
        <v/>
      </c>
      <c r="U6" s="31" t="str">
        <f aca="false">IF($I6="OK",WORKDAY($B6,10,calendar!$A$2:$A$80),"")</f>
        <v/>
      </c>
      <c r="V6" s="31" t="str">
        <f aca="false">IF($I6="OK",WORKDAY($B6,14,calendar!$A$2:$A$80),"")</f>
        <v/>
      </c>
      <c r="W6" s="31" t="str">
        <f aca="false">IF($I6="OK",$B6+30,"")</f>
        <v/>
      </c>
      <c r="X6" s="30" t="str">
        <f aca="true">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31" t="str">
        <f aca="true">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30" t="str">
        <f aca="false">IF($A6="","",COUNTIF(campaigns!$B$2:$B$51,$A6))</f>
        <v/>
      </c>
      <c r="AA6" s="30" t="str">
        <f aca="false">IF($A6="","",COUNTIF(stops!$A$2:$A$151,$A6))</f>
        <v/>
      </c>
      <c r="AB6" s="30" t="str">
        <f aca="false">IF($A6="","",SUMIFS(approvals!$S$2:$S$251,approvals!$H$2:$H$251,$A6,approvals!$P$2:$P$251,"Y"))</f>
        <v/>
      </c>
      <c r="AC6" s="32" t="str">
        <f aca="false">IF($A6="","",SUMIFS(campaigns!$DC$2:$DC$51,campaigns!$B$2:$B$51,$A6))</f>
        <v/>
      </c>
      <c r="AD6" s="32" t="str">
        <f aca="false">IF($A6="","",SUMIFS(costs!$E$2:$E$301,costs!$B$2:$B$301,$A6,costs!$D$2:$D$301,"kit"))</f>
        <v/>
      </c>
      <c r="AE6" s="32" t="str">
        <f aca="false">IF($A6="","",SUMIFS(costs!$E$2:$E$301,costs!$B$2:$B$301,$A6,costs!$D$2:$D$301,"transport"))</f>
        <v/>
      </c>
      <c r="AF6" s="32" t="str">
        <f aca="false">IF($A6="","",SUMIFS(costs!$E$2:$E$301,costs!$B$2:$B$301,$A6,costs!$D$2:$D$301,"other_direct"))</f>
        <v/>
      </c>
      <c r="AG6" s="32" t="str">
        <f aca="false">IF($A6="","",$AD6+$AE6+$AF6)</f>
        <v/>
      </c>
      <c r="AH6" s="32" t="str">
        <f aca="false">IF(OR($A6="",N($AA6)=0),"",ROUND($AG6/$AA6,2))</f>
        <v/>
      </c>
      <c r="AI6" s="33" t="str">
        <f aca="false">IF($A6="","",SUMIFS(hours!$E$2:$E$1501,hours!$B$2:$B$1501,$A6))</f>
        <v/>
      </c>
      <c r="AJ6" s="32" t="str">
        <f aca="false">IF($A6="","",$AC6-SUMIFS(campaigns!$DG$2:$DG$51,campaigns!$B$2:$B$51,$A6)-$AG6)</f>
        <v/>
      </c>
      <c r="AK6" s="32" t="str">
        <f aca="false">IF(OR($A6="",N($AI6)=0),"",ROUND($AJ6/$AI6,2))</f>
        <v/>
      </c>
      <c r="AL6" s="34" t="str">
        <f aca="false">IF(OR($A6="",SUMIFS(campaigns!$CB$2:$CB$51,campaigns!$B$2:$B$51,$A6)=0),"",SUMIFS(campaigns!$CD$2:$CD$51,campaigns!$B$2:$B$51,$A6)/SUMIFS(campaigns!$CB$2:$CB$51,campaigns!$B$2:$B$51,$A6))</f>
        <v/>
      </c>
      <c r="AM6" s="30" t="str">
        <f aca="false">IF(OR($A6="",COUNTIFS(approvals!$H$2:$H$251,$A6,approvals!$Q$2:$Q$251,"Y")=0),"",SUMPRODUCT(MIN(approvals!$BB$2:$BB$251+(approvals!$H$2:$H$251&lt;&gt;$A6)*1000000)))</f>
        <v/>
      </c>
      <c r="AN6" s="30" t="str">
        <f aca="false">IF(OR($A6="",$T6=""),"",COUNTIFS(campaigns!$B$2:$B$51,$A6,campaigns!$DU$2:$DU$51,"late"))</f>
        <v/>
      </c>
      <c r="AO6" s="30" t="str">
        <f aca="false">IF($A6="","",COUNTIFS(campaigns!$B$2:$B$51,$A6,campaigns!$AV$2:$AV$51,"yes"))</f>
        <v/>
      </c>
    </row>
    <row r="7" customFormat="false" ht="15" hidden="false" customHeight="false" outlineLevel="0" collapsed="false">
      <c r="B7" s="11"/>
      <c r="C7" s="10"/>
      <c r="D7" s="10"/>
      <c r="I7" s="30" t="str">
        <f aca="false">IF($B7="","",IF(AND(WEEKDAY($B7)&lt;&gt;3,WEEKDAY($B7)&lt;&gt;4),"REFUSED: a "&amp;TEXT($B7,"dddd")&amp;". Tuesday or Wednesday only",IF(COUNTIF(calendar!$A$2:$A$80,$B7)&gt;0,"REFUSED: a federal holiday",IF(COUNTIFS(calendar!$D$2:$D$20,"&lt;="&amp;WORKDAY($B7,4,calendar!$A$2:$A$80),calendar!$E$2:$E$20,"&gt;="&amp;$B7)&gt;0,"REFUSED: the five-day window overlaps a blackout","OK"))))</f>
        <v/>
      </c>
      <c r="J7" s="30" t="str">
        <f aca="false">IF($B7="","",TEXT($B7,"ddd"))</f>
        <v/>
      </c>
      <c r="K7" s="31" t="str">
        <f aca="false">IF($I7="OK",WORKDAY($B7,-10,calendar!$A$2:$A$80),"")</f>
        <v/>
      </c>
      <c r="L7" s="31" t="str">
        <f aca="false">IF($I7="OK",IF(SUMPRODUCT((calendar!$D$2:$D$20&lt;=$M7)*(calendar!$E$2:$E$20&gt;=$K7)*calendar!$D$2:$D$20)=0,$K7,MIN($K7,WORKDAY(SUMPRODUCT((calendar!$D$2:$D$20&lt;=$M7)*(calendar!$E$2:$E$20&gt;=$K7)*calendar!$D$2:$D$20)+5,-1,calendar!$A$2:$A$80))),"")</f>
        <v/>
      </c>
      <c r="M7" s="31" t="str">
        <f aca="false">IF($I7="OK",WORKDAY($B7,-5,calendar!$A$2:$A$80),"")</f>
        <v/>
      </c>
      <c r="N7" s="31" t="str">
        <f aca="false">IF($I7="OK",WORKDAY($B7,-3,calendar!$A$2:$A$80),"")</f>
        <v/>
      </c>
      <c r="O7" s="31" t="str">
        <f aca="false">IF($I7="OK",WORKDAY($B7,-1,calendar!$A$2:$A$80),"")</f>
        <v/>
      </c>
      <c r="P7" s="31" t="str">
        <f aca="false">IF($I7="OK",WORKDAY($B7,1,calendar!$A$2:$A$80),"")</f>
        <v/>
      </c>
      <c r="Q7" s="31" t="str">
        <f aca="false">IF($I7="OK",WORKDAY($B7,2,calendar!$A$2:$A$80),"")</f>
        <v/>
      </c>
      <c r="R7" s="31" t="str">
        <f aca="false">IF($I7="OK",WORKDAY($B7,4,calendar!$A$2:$A$80),"")</f>
        <v/>
      </c>
      <c r="S7" s="31" t="str">
        <f aca="false">IF($I7="OK",WORKDAY($B7,5,calendar!$A$2:$A$80),"")</f>
        <v/>
      </c>
      <c r="T7" s="31" t="str">
        <f aca="false">IF($I7="OK",WORKDAY($B7,7,calendar!$A$2:$A$80),"")</f>
        <v/>
      </c>
      <c r="U7" s="31" t="str">
        <f aca="false">IF($I7="OK",WORKDAY($B7,10,calendar!$A$2:$A$80),"")</f>
        <v/>
      </c>
      <c r="V7" s="31" t="str">
        <f aca="false">IF($I7="OK",WORKDAY($B7,14,calendar!$A$2:$A$80),"")</f>
        <v/>
      </c>
      <c r="W7" s="31" t="str">
        <f aca="false">IF($I7="OK",$B7+30,"")</f>
        <v/>
      </c>
      <c r="X7" s="30" t="str">
        <f aca="true">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31" t="str">
        <f aca="true">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30" t="str">
        <f aca="false">IF($A7="","",COUNTIF(campaigns!$B$2:$B$51,$A7))</f>
        <v/>
      </c>
      <c r="AA7" s="30" t="str">
        <f aca="false">IF($A7="","",COUNTIF(stops!$A$2:$A$151,$A7))</f>
        <v/>
      </c>
      <c r="AB7" s="30" t="str">
        <f aca="false">IF($A7="","",SUMIFS(approvals!$S$2:$S$251,approvals!$H$2:$H$251,$A7,approvals!$P$2:$P$251,"Y"))</f>
        <v/>
      </c>
      <c r="AC7" s="32" t="str">
        <f aca="false">IF($A7="","",SUMIFS(campaigns!$DC$2:$DC$51,campaigns!$B$2:$B$51,$A7))</f>
        <v/>
      </c>
      <c r="AD7" s="32" t="str">
        <f aca="false">IF($A7="","",SUMIFS(costs!$E$2:$E$301,costs!$B$2:$B$301,$A7,costs!$D$2:$D$301,"kit"))</f>
        <v/>
      </c>
      <c r="AE7" s="32" t="str">
        <f aca="false">IF($A7="","",SUMIFS(costs!$E$2:$E$301,costs!$B$2:$B$301,$A7,costs!$D$2:$D$301,"transport"))</f>
        <v/>
      </c>
      <c r="AF7" s="32" t="str">
        <f aca="false">IF($A7="","",SUMIFS(costs!$E$2:$E$301,costs!$B$2:$B$301,$A7,costs!$D$2:$D$301,"other_direct"))</f>
        <v/>
      </c>
      <c r="AG7" s="32" t="str">
        <f aca="false">IF($A7="","",$AD7+$AE7+$AF7)</f>
        <v/>
      </c>
      <c r="AH7" s="32" t="str">
        <f aca="false">IF(OR($A7="",N($AA7)=0),"",ROUND($AG7/$AA7,2))</f>
        <v/>
      </c>
      <c r="AI7" s="33" t="str">
        <f aca="false">IF($A7="","",SUMIFS(hours!$E$2:$E$1501,hours!$B$2:$B$1501,$A7))</f>
        <v/>
      </c>
      <c r="AJ7" s="32" t="str">
        <f aca="false">IF($A7="","",$AC7-SUMIFS(campaigns!$DG$2:$DG$51,campaigns!$B$2:$B$51,$A7)-$AG7)</f>
        <v/>
      </c>
      <c r="AK7" s="32" t="str">
        <f aca="false">IF(OR($A7="",N($AI7)=0),"",ROUND($AJ7/$AI7,2))</f>
        <v/>
      </c>
      <c r="AL7" s="34" t="str">
        <f aca="false">IF(OR($A7="",SUMIFS(campaigns!$CB$2:$CB$51,campaigns!$B$2:$B$51,$A7)=0),"",SUMIFS(campaigns!$CD$2:$CD$51,campaigns!$B$2:$B$51,$A7)/SUMIFS(campaigns!$CB$2:$CB$51,campaigns!$B$2:$B$51,$A7))</f>
        <v/>
      </c>
      <c r="AM7" s="30" t="str">
        <f aca="false">IF(OR($A7="",COUNTIFS(approvals!$H$2:$H$251,$A7,approvals!$Q$2:$Q$251,"Y")=0),"",SUMPRODUCT(MIN(approvals!$BB$2:$BB$251+(approvals!$H$2:$H$251&lt;&gt;$A7)*1000000)))</f>
        <v/>
      </c>
      <c r="AN7" s="30" t="str">
        <f aca="false">IF(OR($A7="",$T7=""),"",COUNTIFS(campaigns!$B$2:$B$51,$A7,campaigns!$DU$2:$DU$51,"late"))</f>
        <v/>
      </c>
      <c r="AO7" s="30" t="str">
        <f aca="false">IF($A7="","",COUNTIFS(campaigns!$B$2:$B$51,$A7,campaigns!$AV$2:$AV$51,"yes"))</f>
        <v/>
      </c>
    </row>
    <row r="8" customFormat="false" ht="15" hidden="false" customHeight="false" outlineLevel="0" collapsed="false">
      <c r="B8" s="11"/>
      <c r="C8" s="10"/>
      <c r="D8" s="10"/>
      <c r="I8" s="30" t="str">
        <f aca="false">IF($B8="","",IF(AND(WEEKDAY($B8)&lt;&gt;3,WEEKDAY($B8)&lt;&gt;4),"REFUSED: a "&amp;TEXT($B8,"dddd")&amp;". Tuesday or Wednesday only",IF(COUNTIF(calendar!$A$2:$A$80,$B8)&gt;0,"REFUSED: a federal holiday",IF(COUNTIFS(calendar!$D$2:$D$20,"&lt;="&amp;WORKDAY($B8,4,calendar!$A$2:$A$80),calendar!$E$2:$E$20,"&gt;="&amp;$B8)&gt;0,"REFUSED: the five-day window overlaps a blackout","OK"))))</f>
        <v/>
      </c>
      <c r="J8" s="30" t="str">
        <f aca="false">IF($B8="","",TEXT($B8,"ddd"))</f>
        <v/>
      </c>
      <c r="K8" s="31" t="str">
        <f aca="false">IF($I8="OK",WORKDAY($B8,-10,calendar!$A$2:$A$80),"")</f>
        <v/>
      </c>
      <c r="L8" s="31" t="str">
        <f aca="false">IF($I8="OK",IF(SUMPRODUCT((calendar!$D$2:$D$20&lt;=$M8)*(calendar!$E$2:$E$20&gt;=$K8)*calendar!$D$2:$D$20)=0,$K8,MIN($K8,WORKDAY(SUMPRODUCT((calendar!$D$2:$D$20&lt;=$M8)*(calendar!$E$2:$E$20&gt;=$K8)*calendar!$D$2:$D$20)+5,-1,calendar!$A$2:$A$80))),"")</f>
        <v/>
      </c>
      <c r="M8" s="31" t="str">
        <f aca="false">IF($I8="OK",WORKDAY($B8,-5,calendar!$A$2:$A$80),"")</f>
        <v/>
      </c>
      <c r="N8" s="31" t="str">
        <f aca="false">IF($I8="OK",WORKDAY($B8,-3,calendar!$A$2:$A$80),"")</f>
        <v/>
      </c>
      <c r="O8" s="31" t="str">
        <f aca="false">IF($I8="OK",WORKDAY($B8,-1,calendar!$A$2:$A$80),"")</f>
        <v/>
      </c>
      <c r="P8" s="31" t="str">
        <f aca="false">IF($I8="OK",WORKDAY($B8,1,calendar!$A$2:$A$80),"")</f>
        <v/>
      </c>
      <c r="Q8" s="31" t="str">
        <f aca="false">IF($I8="OK",WORKDAY($B8,2,calendar!$A$2:$A$80),"")</f>
        <v/>
      </c>
      <c r="R8" s="31" t="str">
        <f aca="false">IF($I8="OK",WORKDAY($B8,4,calendar!$A$2:$A$80),"")</f>
        <v/>
      </c>
      <c r="S8" s="31" t="str">
        <f aca="false">IF($I8="OK",WORKDAY($B8,5,calendar!$A$2:$A$80),"")</f>
        <v/>
      </c>
      <c r="T8" s="31" t="str">
        <f aca="false">IF($I8="OK",WORKDAY($B8,7,calendar!$A$2:$A$80),"")</f>
        <v/>
      </c>
      <c r="U8" s="31" t="str">
        <f aca="false">IF($I8="OK",WORKDAY($B8,10,calendar!$A$2:$A$80),"")</f>
        <v/>
      </c>
      <c r="V8" s="31" t="str">
        <f aca="false">IF($I8="OK",WORKDAY($B8,14,calendar!$A$2:$A$80),"")</f>
        <v/>
      </c>
      <c r="W8" s="31" t="str">
        <f aca="false">IF($I8="OK",$B8+30,"")</f>
        <v/>
      </c>
      <c r="X8" s="30" t="str">
        <f aca="true">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31" t="str">
        <f aca="true">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30" t="str">
        <f aca="false">IF($A8="","",COUNTIF(campaigns!$B$2:$B$51,$A8))</f>
        <v/>
      </c>
      <c r="AA8" s="30" t="str">
        <f aca="false">IF($A8="","",COUNTIF(stops!$A$2:$A$151,$A8))</f>
        <v/>
      </c>
      <c r="AB8" s="30" t="str">
        <f aca="false">IF($A8="","",SUMIFS(approvals!$S$2:$S$251,approvals!$H$2:$H$251,$A8,approvals!$P$2:$P$251,"Y"))</f>
        <v/>
      </c>
      <c r="AC8" s="32" t="str">
        <f aca="false">IF($A8="","",SUMIFS(campaigns!$DC$2:$DC$51,campaigns!$B$2:$B$51,$A8))</f>
        <v/>
      </c>
      <c r="AD8" s="32" t="str">
        <f aca="false">IF($A8="","",SUMIFS(costs!$E$2:$E$301,costs!$B$2:$B$301,$A8,costs!$D$2:$D$301,"kit"))</f>
        <v/>
      </c>
      <c r="AE8" s="32" t="str">
        <f aca="false">IF($A8="","",SUMIFS(costs!$E$2:$E$301,costs!$B$2:$B$301,$A8,costs!$D$2:$D$301,"transport"))</f>
        <v/>
      </c>
      <c r="AF8" s="32" t="str">
        <f aca="false">IF($A8="","",SUMIFS(costs!$E$2:$E$301,costs!$B$2:$B$301,$A8,costs!$D$2:$D$301,"other_direct"))</f>
        <v/>
      </c>
      <c r="AG8" s="32" t="str">
        <f aca="false">IF($A8="","",$AD8+$AE8+$AF8)</f>
        <v/>
      </c>
      <c r="AH8" s="32" t="str">
        <f aca="false">IF(OR($A8="",N($AA8)=0),"",ROUND($AG8/$AA8,2))</f>
        <v/>
      </c>
      <c r="AI8" s="33" t="str">
        <f aca="false">IF($A8="","",SUMIFS(hours!$E$2:$E$1501,hours!$B$2:$B$1501,$A8))</f>
        <v/>
      </c>
      <c r="AJ8" s="32" t="str">
        <f aca="false">IF($A8="","",$AC8-SUMIFS(campaigns!$DG$2:$DG$51,campaigns!$B$2:$B$51,$A8)-$AG8)</f>
        <v/>
      </c>
      <c r="AK8" s="32" t="str">
        <f aca="false">IF(OR($A8="",N($AI8)=0),"",ROUND($AJ8/$AI8,2))</f>
        <v/>
      </c>
      <c r="AL8" s="34" t="str">
        <f aca="false">IF(OR($A8="",SUMIFS(campaigns!$CB$2:$CB$51,campaigns!$B$2:$B$51,$A8)=0),"",SUMIFS(campaigns!$CD$2:$CD$51,campaigns!$B$2:$B$51,$A8)/SUMIFS(campaigns!$CB$2:$CB$51,campaigns!$B$2:$B$51,$A8))</f>
        <v/>
      </c>
      <c r="AM8" s="30" t="str">
        <f aca="false">IF(OR($A8="",COUNTIFS(approvals!$H$2:$H$251,$A8,approvals!$Q$2:$Q$251,"Y")=0),"",SUMPRODUCT(MIN(approvals!$BB$2:$BB$251+(approvals!$H$2:$H$251&lt;&gt;$A8)*1000000)))</f>
        <v/>
      </c>
      <c r="AN8" s="30" t="str">
        <f aca="false">IF(OR($A8="",$T8=""),"",COUNTIFS(campaigns!$B$2:$B$51,$A8,campaigns!$DU$2:$DU$51,"late"))</f>
        <v/>
      </c>
      <c r="AO8" s="30" t="str">
        <f aca="false">IF($A8="","",COUNTIFS(campaigns!$B$2:$B$51,$A8,campaigns!$AV$2:$AV$51,"yes"))</f>
        <v/>
      </c>
    </row>
    <row r="9" customFormat="false" ht="15" hidden="false" customHeight="false" outlineLevel="0" collapsed="false">
      <c r="B9" s="11"/>
      <c r="C9" s="10"/>
      <c r="D9" s="10"/>
      <c r="I9" s="30" t="str">
        <f aca="false">IF($B9="","",IF(AND(WEEKDAY($B9)&lt;&gt;3,WEEKDAY($B9)&lt;&gt;4),"REFUSED: a "&amp;TEXT($B9,"dddd")&amp;". Tuesday or Wednesday only",IF(COUNTIF(calendar!$A$2:$A$80,$B9)&gt;0,"REFUSED: a federal holiday",IF(COUNTIFS(calendar!$D$2:$D$20,"&lt;="&amp;WORKDAY($B9,4,calendar!$A$2:$A$80),calendar!$E$2:$E$20,"&gt;="&amp;$B9)&gt;0,"REFUSED: the five-day window overlaps a blackout","OK"))))</f>
        <v/>
      </c>
      <c r="J9" s="30" t="str">
        <f aca="false">IF($B9="","",TEXT($B9,"ddd"))</f>
        <v/>
      </c>
      <c r="K9" s="31" t="str">
        <f aca="false">IF($I9="OK",WORKDAY($B9,-10,calendar!$A$2:$A$80),"")</f>
        <v/>
      </c>
      <c r="L9" s="31" t="str">
        <f aca="false">IF($I9="OK",IF(SUMPRODUCT((calendar!$D$2:$D$20&lt;=$M9)*(calendar!$E$2:$E$20&gt;=$K9)*calendar!$D$2:$D$20)=0,$K9,MIN($K9,WORKDAY(SUMPRODUCT((calendar!$D$2:$D$20&lt;=$M9)*(calendar!$E$2:$E$20&gt;=$K9)*calendar!$D$2:$D$20)+5,-1,calendar!$A$2:$A$80))),"")</f>
        <v/>
      </c>
      <c r="M9" s="31" t="str">
        <f aca="false">IF($I9="OK",WORKDAY($B9,-5,calendar!$A$2:$A$80),"")</f>
        <v/>
      </c>
      <c r="N9" s="31" t="str">
        <f aca="false">IF($I9="OK",WORKDAY($B9,-3,calendar!$A$2:$A$80),"")</f>
        <v/>
      </c>
      <c r="O9" s="31" t="str">
        <f aca="false">IF($I9="OK",WORKDAY($B9,-1,calendar!$A$2:$A$80),"")</f>
        <v/>
      </c>
      <c r="P9" s="31" t="str">
        <f aca="false">IF($I9="OK",WORKDAY($B9,1,calendar!$A$2:$A$80),"")</f>
        <v/>
      </c>
      <c r="Q9" s="31" t="str">
        <f aca="false">IF($I9="OK",WORKDAY($B9,2,calendar!$A$2:$A$80),"")</f>
        <v/>
      </c>
      <c r="R9" s="31" t="str">
        <f aca="false">IF($I9="OK",WORKDAY($B9,4,calendar!$A$2:$A$80),"")</f>
        <v/>
      </c>
      <c r="S9" s="31" t="str">
        <f aca="false">IF($I9="OK",WORKDAY($B9,5,calendar!$A$2:$A$80),"")</f>
        <v/>
      </c>
      <c r="T9" s="31" t="str">
        <f aca="false">IF($I9="OK",WORKDAY($B9,7,calendar!$A$2:$A$80),"")</f>
        <v/>
      </c>
      <c r="U9" s="31" t="str">
        <f aca="false">IF($I9="OK",WORKDAY($B9,10,calendar!$A$2:$A$80),"")</f>
        <v/>
      </c>
      <c r="V9" s="31" t="str">
        <f aca="false">IF($I9="OK",WORKDAY($B9,14,calendar!$A$2:$A$80),"")</f>
        <v/>
      </c>
      <c r="W9" s="31" t="str">
        <f aca="false">IF($I9="OK",$B9+30,"")</f>
        <v/>
      </c>
      <c r="X9" s="30" t="str">
        <f aca="true">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31" t="str">
        <f aca="true">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30" t="str">
        <f aca="false">IF($A9="","",COUNTIF(campaigns!$B$2:$B$51,$A9))</f>
        <v/>
      </c>
      <c r="AA9" s="30" t="str">
        <f aca="false">IF($A9="","",COUNTIF(stops!$A$2:$A$151,$A9))</f>
        <v/>
      </c>
      <c r="AB9" s="30" t="str">
        <f aca="false">IF($A9="","",SUMIFS(approvals!$S$2:$S$251,approvals!$H$2:$H$251,$A9,approvals!$P$2:$P$251,"Y"))</f>
        <v/>
      </c>
      <c r="AC9" s="32" t="str">
        <f aca="false">IF($A9="","",SUMIFS(campaigns!$DC$2:$DC$51,campaigns!$B$2:$B$51,$A9))</f>
        <v/>
      </c>
      <c r="AD9" s="32" t="str">
        <f aca="false">IF($A9="","",SUMIFS(costs!$E$2:$E$301,costs!$B$2:$B$301,$A9,costs!$D$2:$D$301,"kit"))</f>
        <v/>
      </c>
      <c r="AE9" s="32" t="str">
        <f aca="false">IF($A9="","",SUMIFS(costs!$E$2:$E$301,costs!$B$2:$B$301,$A9,costs!$D$2:$D$301,"transport"))</f>
        <v/>
      </c>
      <c r="AF9" s="32" t="str">
        <f aca="false">IF($A9="","",SUMIFS(costs!$E$2:$E$301,costs!$B$2:$B$301,$A9,costs!$D$2:$D$301,"other_direct"))</f>
        <v/>
      </c>
      <c r="AG9" s="32" t="str">
        <f aca="false">IF($A9="","",$AD9+$AE9+$AF9)</f>
        <v/>
      </c>
      <c r="AH9" s="32" t="str">
        <f aca="false">IF(OR($A9="",N($AA9)=0),"",ROUND($AG9/$AA9,2))</f>
        <v/>
      </c>
      <c r="AI9" s="33" t="str">
        <f aca="false">IF($A9="","",SUMIFS(hours!$E$2:$E$1501,hours!$B$2:$B$1501,$A9))</f>
        <v/>
      </c>
      <c r="AJ9" s="32" t="str">
        <f aca="false">IF($A9="","",$AC9-SUMIFS(campaigns!$DG$2:$DG$51,campaigns!$B$2:$B$51,$A9)-$AG9)</f>
        <v/>
      </c>
      <c r="AK9" s="32" t="str">
        <f aca="false">IF(OR($A9="",N($AI9)=0),"",ROUND($AJ9/$AI9,2))</f>
        <v/>
      </c>
      <c r="AL9" s="34" t="str">
        <f aca="false">IF(OR($A9="",SUMIFS(campaigns!$CB$2:$CB$51,campaigns!$B$2:$B$51,$A9)=0),"",SUMIFS(campaigns!$CD$2:$CD$51,campaigns!$B$2:$B$51,$A9)/SUMIFS(campaigns!$CB$2:$CB$51,campaigns!$B$2:$B$51,$A9))</f>
        <v/>
      </c>
      <c r="AM9" s="30" t="str">
        <f aca="false">IF(OR($A9="",COUNTIFS(approvals!$H$2:$H$251,$A9,approvals!$Q$2:$Q$251,"Y")=0),"",SUMPRODUCT(MIN(approvals!$BB$2:$BB$251+(approvals!$H$2:$H$251&lt;&gt;$A9)*1000000)))</f>
        <v/>
      </c>
      <c r="AN9" s="30" t="str">
        <f aca="false">IF(OR($A9="",$T9=""),"",COUNTIFS(campaigns!$B$2:$B$51,$A9,campaigns!$DU$2:$DU$51,"late"))</f>
        <v/>
      </c>
      <c r="AO9" s="30" t="str">
        <f aca="false">IF($A9="","",COUNTIFS(campaigns!$B$2:$B$51,$A9,campaigns!$AV$2:$AV$51,"yes"))</f>
        <v/>
      </c>
    </row>
    <row r="10" customFormat="false" ht="15" hidden="false" customHeight="false" outlineLevel="0" collapsed="false">
      <c r="B10" s="11"/>
      <c r="C10" s="10"/>
      <c r="D10" s="10"/>
      <c r="I10" s="30" t="str">
        <f aca="false">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30" t="str">
        <f aca="false">IF($B10="","",TEXT($B10,"ddd"))</f>
        <v/>
      </c>
      <c r="K10" s="31" t="str">
        <f aca="false">IF($I10="OK",WORKDAY($B10,-10,calendar!$A$2:$A$80),"")</f>
        <v/>
      </c>
      <c r="L10" s="31" t="str">
        <f aca="false">IF($I10="OK",IF(SUMPRODUCT((calendar!$D$2:$D$20&lt;=$M10)*(calendar!$E$2:$E$20&gt;=$K10)*calendar!$D$2:$D$20)=0,$K10,MIN($K10,WORKDAY(SUMPRODUCT((calendar!$D$2:$D$20&lt;=$M10)*(calendar!$E$2:$E$20&gt;=$K10)*calendar!$D$2:$D$20)+5,-1,calendar!$A$2:$A$80))),"")</f>
        <v/>
      </c>
      <c r="M10" s="31" t="str">
        <f aca="false">IF($I10="OK",WORKDAY($B10,-5,calendar!$A$2:$A$80),"")</f>
        <v/>
      </c>
      <c r="N10" s="31" t="str">
        <f aca="false">IF($I10="OK",WORKDAY($B10,-3,calendar!$A$2:$A$80),"")</f>
        <v/>
      </c>
      <c r="O10" s="31" t="str">
        <f aca="false">IF($I10="OK",WORKDAY($B10,-1,calendar!$A$2:$A$80),"")</f>
        <v/>
      </c>
      <c r="P10" s="31" t="str">
        <f aca="false">IF($I10="OK",WORKDAY($B10,1,calendar!$A$2:$A$80),"")</f>
        <v/>
      </c>
      <c r="Q10" s="31" t="str">
        <f aca="false">IF($I10="OK",WORKDAY($B10,2,calendar!$A$2:$A$80),"")</f>
        <v/>
      </c>
      <c r="R10" s="31" t="str">
        <f aca="false">IF($I10="OK",WORKDAY($B10,4,calendar!$A$2:$A$80),"")</f>
        <v/>
      </c>
      <c r="S10" s="31" t="str">
        <f aca="false">IF($I10="OK",WORKDAY($B10,5,calendar!$A$2:$A$80),"")</f>
        <v/>
      </c>
      <c r="T10" s="31" t="str">
        <f aca="false">IF($I10="OK",WORKDAY($B10,7,calendar!$A$2:$A$80),"")</f>
        <v/>
      </c>
      <c r="U10" s="31" t="str">
        <f aca="false">IF($I10="OK",WORKDAY($B10,10,calendar!$A$2:$A$80),"")</f>
        <v/>
      </c>
      <c r="V10" s="31" t="str">
        <f aca="false">IF($I10="OK",WORKDAY($B10,14,calendar!$A$2:$A$80),"")</f>
        <v/>
      </c>
      <c r="W10" s="31" t="str">
        <f aca="false">IF($I10="OK",$B10+30,"")</f>
        <v/>
      </c>
      <c r="X10" s="30" t="str">
        <f aca="true">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31" t="str">
        <f aca="true">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30" t="str">
        <f aca="false">IF($A10="","",COUNTIF(campaigns!$B$2:$B$51,$A10))</f>
        <v/>
      </c>
      <c r="AA10" s="30" t="str">
        <f aca="false">IF($A10="","",COUNTIF(stops!$A$2:$A$151,$A10))</f>
        <v/>
      </c>
      <c r="AB10" s="30" t="str">
        <f aca="false">IF($A10="","",SUMIFS(approvals!$S$2:$S$251,approvals!$H$2:$H$251,$A10,approvals!$P$2:$P$251,"Y"))</f>
        <v/>
      </c>
      <c r="AC10" s="32" t="str">
        <f aca="false">IF($A10="","",SUMIFS(campaigns!$DC$2:$DC$51,campaigns!$B$2:$B$51,$A10))</f>
        <v/>
      </c>
      <c r="AD10" s="32" t="str">
        <f aca="false">IF($A10="","",SUMIFS(costs!$E$2:$E$301,costs!$B$2:$B$301,$A10,costs!$D$2:$D$301,"kit"))</f>
        <v/>
      </c>
      <c r="AE10" s="32" t="str">
        <f aca="false">IF($A10="","",SUMIFS(costs!$E$2:$E$301,costs!$B$2:$B$301,$A10,costs!$D$2:$D$301,"transport"))</f>
        <v/>
      </c>
      <c r="AF10" s="32" t="str">
        <f aca="false">IF($A10="","",SUMIFS(costs!$E$2:$E$301,costs!$B$2:$B$301,$A10,costs!$D$2:$D$301,"other_direct"))</f>
        <v/>
      </c>
      <c r="AG10" s="32" t="str">
        <f aca="false">IF($A10="","",$AD10+$AE10+$AF10)</f>
        <v/>
      </c>
      <c r="AH10" s="32" t="str">
        <f aca="false">IF(OR($A10="",N($AA10)=0),"",ROUND($AG10/$AA10,2))</f>
        <v/>
      </c>
      <c r="AI10" s="33" t="str">
        <f aca="false">IF($A10="","",SUMIFS(hours!$E$2:$E$1501,hours!$B$2:$B$1501,$A10))</f>
        <v/>
      </c>
      <c r="AJ10" s="32" t="str">
        <f aca="false">IF($A10="","",$AC10-SUMIFS(campaigns!$DG$2:$DG$51,campaigns!$B$2:$B$51,$A10)-$AG10)</f>
        <v/>
      </c>
      <c r="AK10" s="32" t="str">
        <f aca="false">IF(OR($A10="",N($AI10)=0),"",ROUND($AJ10/$AI10,2))</f>
        <v/>
      </c>
      <c r="AL10" s="34" t="str">
        <f aca="false">IF(OR($A10="",SUMIFS(campaigns!$CB$2:$CB$51,campaigns!$B$2:$B$51,$A10)=0),"",SUMIFS(campaigns!$CD$2:$CD$51,campaigns!$B$2:$B$51,$A10)/SUMIFS(campaigns!$CB$2:$CB$51,campaigns!$B$2:$B$51,$A10))</f>
        <v/>
      </c>
      <c r="AM10" s="30" t="str">
        <f aca="false">IF(OR($A10="",COUNTIFS(approvals!$H$2:$H$251,$A10,approvals!$Q$2:$Q$251,"Y")=0),"",SUMPRODUCT(MIN(approvals!$BB$2:$BB$251+(approvals!$H$2:$H$251&lt;&gt;$A10)*1000000)))</f>
        <v/>
      </c>
      <c r="AN10" s="30" t="str">
        <f aca="false">IF(OR($A10="",$T10=""),"",COUNTIFS(campaigns!$B$2:$B$51,$A10,campaigns!$DU$2:$DU$51,"late"))</f>
        <v/>
      </c>
      <c r="AO10" s="30" t="str">
        <f aca="false">IF($A10="","",COUNTIFS(campaigns!$B$2:$B$51,$A10,campaigns!$AV$2:$AV$51,"yes"))</f>
        <v/>
      </c>
    </row>
    <row r="11" customFormat="false" ht="15" hidden="false" customHeight="false" outlineLevel="0" collapsed="false">
      <c r="B11" s="11"/>
      <c r="C11" s="10"/>
      <c r="D11" s="10"/>
      <c r="I11" s="30" t="str">
        <f aca="false">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30" t="str">
        <f aca="false">IF($B11="","",TEXT($B11,"ddd"))</f>
        <v/>
      </c>
      <c r="K11" s="31" t="str">
        <f aca="false">IF($I11="OK",WORKDAY($B11,-10,calendar!$A$2:$A$80),"")</f>
        <v/>
      </c>
      <c r="L11" s="31" t="str">
        <f aca="false">IF($I11="OK",IF(SUMPRODUCT((calendar!$D$2:$D$20&lt;=$M11)*(calendar!$E$2:$E$20&gt;=$K11)*calendar!$D$2:$D$20)=0,$K11,MIN($K11,WORKDAY(SUMPRODUCT((calendar!$D$2:$D$20&lt;=$M11)*(calendar!$E$2:$E$20&gt;=$K11)*calendar!$D$2:$D$20)+5,-1,calendar!$A$2:$A$80))),"")</f>
        <v/>
      </c>
      <c r="M11" s="31" t="str">
        <f aca="false">IF($I11="OK",WORKDAY($B11,-5,calendar!$A$2:$A$80),"")</f>
        <v/>
      </c>
      <c r="N11" s="31" t="str">
        <f aca="false">IF($I11="OK",WORKDAY($B11,-3,calendar!$A$2:$A$80),"")</f>
        <v/>
      </c>
      <c r="O11" s="31" t="str">
        <f aca="false">IF($I11="OK",WORKDAY($B11,-1,calendar!$A$2:$A$80),"")</f>
        <v/>
      </c>
      <c r="P11" s="31" t="str">
        <f aca="false">IF($I11="OK",WORKDAY($B11,1,calendar!$A$2:$A$80),"")</f>
        <v/>
      </c>
      <c r="Q11" s="31" t="str">
        <f aca="false">IF($I11="OK",WORKDAY($B11,2,calendar!$A$2:$A$80),"")</f>
        <v/>
      </c>
      <c r="R11" s="31" t="str">
        <f aca="false">IF($I11="OK",WORKDAY($B11,4,calendar!$A$2:$A$80),"")</f>
        <v/>
      </c>
      <c r="S11" s="31" t="str">
        <f aca="false">IF($I11="OK",WORKDAY($B11,5,calendar!$A$2:$A$80),"")</f>
        <v/>
      </c>
      <c r="T11" s="31" t="str">
        <f aca="false">IF($I11="OK",WORKDAY($B11,7,calendar!$A$2:$A$80),"")</f>
        <v/>
      </c>
      <c r="U11" s="31" t="str">
        <f aca="false">IF($I11="OK",WORKDAY($B11,10,calendar!$A$2:$A$80),"")</f>
        <v/>
      </c>
      <c r="V11" s="31" t="str">
        <f aca="false">IF($I11="OK",WORKDAY($B11,14,calendar!$A$2:$A$80),"")</f>
        <v/>
      </c>
      <c r="W11" s="31" t="str">
        <f aca="false">IF($I11="OK",$B11+30,"")</f>
        <v/>
      </c>
      <c r="X11" s="30" t="str">
        <f aca="true">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31" t="str">
        <f aca="true">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30" t="str">
        <f aca="false">IF($A11="","",COUNTIF(campaigns!$B$2:$B$51,$A11))</f>
        <v/>
      </c>
      <c r="AA11" s="30" t="str">
        <f aca="false">IF($A11="","",COUNTIF(stops!$A$2:$A$151,$A11))</f>
        <v/>
      </c>
      <c r="AB11" s="30" t="str">
        <f aca="false">IF($A11="","",SUMIFS(approvals!$S$2:$S$251,approvals!$H$2:$H$251,$A11,approvals!$P$2:$P$251,"Y"))</f>
        <v/>
      </c>
      <c r="AC11" s="32" t="str">
        <f aca="false">IF($A11="","",SUMIFS(campaigns!$DC$2:$DC$51,campaigns!$B$2:$B$51,$A11))</f>
        <v/>
      </c>
      <c r="AD11" s="32" t="str">
        <f aca="false">IF($A11="","",SUMIFS(costs!$E$2:$E$301,costs!$B$2:$B$301,$A11,costs!$D$2:$D$301,"kit"))</f>
        <v/>
      </c>
      <c r="AE11" s="32" t="str">
        <f aca="false">IF($A11="","",SUMIFS(costs!$E$2:$E$301,costs!$B$2:$B$301,$A11,costs!$D$2:$D$301,"transport"))</f>
        <v/>
      </c>
      <c r="AF11" s="32" t="str">
        <f aca="false">IF($A11="","",SUMIFS(costs!$E$2:$E$301,costs!$B$2:$B$301,$A11,costs!$D$2:$D$301,"other_direct"))</f>
        <v/>
      </c>
      <c r="AG11" s="32" t="str">
        <f aca="false">IF($A11="","",$AD11+$AE11+$AF11)</f>
        <v/>
      </c>
      <c r="AH11" s="32" t="str">
        <f aca="false">IF(OR($A11="",N($AA11)=0),"",ROUND($AG11/$AA11,2))</f>
        <v/>
      </c>
      <c r="AI11" s="33" t="str">
        <f aca="false">IF($A11="","",SUMIFS(hours!$E$2:$E$1501,hours!$B$2:$B$1501,$A11))</f>
        <v/>
      </c>
      <c r="AJ11" s="32" t="str">
        <f aca="false">IF($A11="","",$AC11-SUMIFS(campaigns!$DG$2:$DG$51,campaigns!$B$2:$B$51,$A11)-$AG11)</f>
        <v/>
      </c>
      <c r="AK11" s="32" t="str">
        <f aca="false">IF(OR($A11="",N($AI11)=0),"",ROUND($AJ11/$AI11,2))</f>
        <v/>
      </c>
      <c r="AL11" s="34" t="str">
        <f aca="false">IF(OR($A11="",SUMIFS(campaigns!$CB$2:$CB$51,campaigns!$B$2:$B$51,$A11)=0),"",SUMIFS(campaigns!$CD$2:$CD$51,campaigns!$B$2:$B$51,$A11)/SUMIFS(campaigns!$CB$2:$CB$51,campaigns!$B$2:$B$51,$A11))</f>
        <v/>
      </c>
      <c r="AM11" s="30" t="str">
        <f aca="false">IF(OR($A11="",COUNTIFS(approvals!$H$2:$H$251,$A11,approvals!$Q$2:$Q$251,"Y")=0),"",SUMPRODUCT(MIN(approvals!$BB$2:$BB$251+(approvals!$H$2:$H$251&lt;&gt;$A11)*1000000)))</f>
        <v/>
      </c>
      <c r="AN11" s="30" t="str">
        <f aca="false">IF(OR($A11="",$T11=""),"",COUNTIFS(campaigns!$B$2:$B$51,$A11,campaigns!$DU$2:$DU$51,"late"))</f>
        <v/>
      </c>
      <c r="AO11" s="30" t="str">
        <f aca="false">IF($A11="","",COUNTIFS(campaigns!$B$2:$B$51,$A11,campaigns!$AV$2:$AV$51,"yes"))</f>
        <v/>
      </c>
    </row>
    <row r="12" customFormat="false" ht="15" hidden="false" customHeight="false" outlineLevel="0" collapsed="false">
      <c r="B12" s="11"/>
      <c r="C12" s="10"/>
      <c r="D12" s="10"/>
      <c r="I12" s="30" t="str">
        <f aca="false">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30" t="str">
        <f aca="false">IF($B12="","",TEXT($B12,"ddd"))</f>
        <v/>
      </c>
      <c r="K12" s="31" t="str">
        <f aca="false">IF($I12="OK",WORKDAY($B12,-10,calendar!$A$2:$A$80),"")</f>
        <v/>
      </c>
      <c r="L12" s="31" t="str">
        <f aca="false">IF($I12="OK",IF(SUMPRODUCT((calendar!$D$2:$D$20&lt;=$M12)*(calendar!$E$2:$E$20&gt;=$K12)*calendar!$D$2:$D$20)=0,$K12,MIN($K12,WORKDAY(SUMPRODUCT((calendar!$D$2:$D$20&lt;=$M12)*(calendar!$E$2:$E$20&gt;=$K12)*calendar!$D$2:$D$20)+5,-1,calendar!$A$2:$A$80))),"")</f>
        <v/>
      </c>
      <c r="M12" s="31" t="str">
        <f aca="false">IF($I12="OK",WORKDAY($B12,-5,calendar!$A$2:$A$80),"")</f>
        <v/>
      </c>
      <c r="N12" s="31" t="str">
        <f aca="false">IF($I12="OK",WORKDAY($B12,-3,calendar!$A$2:$A$80),"")</f>
        <v/>
      </c>
      <c r="O12" s="31" t="str">
        <f aca="false">IF($I12="OK",WORKDAY($B12,-1,calendar!$A$2:$A$80),"")</f>
        <v/>
      </c>
      <c r="P12" s="31" t="str">
        <f aca="false">IF($I12="OK",WORKDAY($B12,1,calendar!$A$2:$A$80),"")</f>
        <v/>
      </c>
      <c r="Q12" s="31" t="str">
        <f aca="false">IF($I12="OK",WORKDAY($B12,2,calendar!$A$2:$A$80),"")</f>
        <v/>
      </c>
      <c r="R12" s="31" t="str">
        <f aca="false">IF($I12="OK",WORKDAY($B12,4,calendar!$A$2:$A$80),"")</f>
        <v/>
      </c>
      <c r="S12" s="31" t="str">
        <f aca="false">IF($I12="OK",WORKDAY($B12,5,calendar!$A$2:$A$80),"")</f>
        <v/>
      </c>
      <c r="T12" s="31" t="str">
        <f aca="false">IF($I12="OK",WORKDAY($B12,7,calendar!$A$2:$A$80),"")</f>
        <v/>
      </c>
      <c r="U12" s="31" t="str">
        <f aca="false">IF($I12="OK",WORKDAY($B12,10,calendar!$A$2:$A$80),"")</f>
        <v/>
      </c>
      <c r="V12" s="31" t="str">
        <f aca="false">IF($I12="OK",WORKDAY($B12,14,calendar!$A$2:$A$80),"")</f>
        <v/>
      </c>
      <c r="W12" s="31" t="str">
        <f aca="false">IF($I12="OK",$B12+30,"")</f>
        <v/>
      </c>
      <c r="X12" s="30" t="str">
        <f aca="true">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31" t="str">
        <f aca="true">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30" t="str">
        <f aca="false">IF($A12="","",COUNTIF(campaigns!$B$2:$B$51,$A12))</f>
        <v/>
      </c>
      <c r="AA12" s="30" t="str">
        <f aca="false">IF($A12="","",COUNTIF(stops!$A$2:$A$151,$A12))</f>
        <v/>
      </c>
      <c r="AB12" s="30" t="str">
        <f aca="false">IF($A12="","",SUMIFS(approvals!$S$2:$S$251,approvals!$H$2:$H$251,$A12,approvals!$P$2:$P$251,"Y"))</f>
        <v/>
      </c>
      <c r="AC12" s="32" t="str">
        <f aca="false">IF($A12="","",SUMIFS(campaigns!$DC$2:$DC$51,campaigns!$B$2:$B$51,$A12))</f>
        <v/>
      </c>
      <c r="AD12" s="32" t="str">
        <f aca="false">IF($A12="","",SUMIFS(costs!$E$2:$E$301,costs!$B$2:$B$301,$A12,costs!$D$2:$D$301,"kit"))</f>
        <v/>
      </c>
      <c r="AE12" s="32" t="str">
        <f aca="false">IF($A12="","",SUMIFS(costs!$E$2:$E$301,costs!$B$2:$B$301,$A12,costs!$D$2:$D$301,"transport"))</f>
        <v/>
      </c>
      <c r="AF12" s="32" t="str">
        <f aca="false">IF($A12="","",SUMIFS(costs!$E$2:$E$301,costs!$B$2:$B$301,$A12,costs!$D$2:$D$301,"other_direct"))</f>
        <v/>
      </c>
      <c r="AG12" s="32" t="str">
        <f aca="false">IF($A12="","",$AD12+$AE12+$AF12)</f>
        <v/>
      </c>
      <c r="AH12" s="32" t="str">
        <f aca="false">IF(OR($A12="",N($AA12)=0),"",ROUND($AG12/$AA12,2))</f>
        <v/>
      </c>
      <c r="AI12" s="33" t="str">
        <f aca="false">IF($A12="","",SUMIFS(hours!$E$2:$E$1501,hours!$B$2:$B$1501,$A12))</f>
        <v/>
      </c>
      <c r="AJ12" s="32" t="str">
        <f aca="false">IF($A12="","",$AC12-SUMIFS(campaigns!$DG$2:$DG$51,campaigns!$B$2:$B$51,$A12)-$AG12)</f>
        <v/>
      </c>
      <c r="AK12" s="32" t="str">
        <f aca="false">IF(OR($A12="",N($AI12)=0),"",ROUND($AJ12/$AI12,2))</f>
        <v/>
      </c>
      <c r="AL12" s="34" t="str">
        <f aca="false">IF(OR($A12="",SUMIFS(campaigns!$CB$2:$CB$51,campaigns!$B$2:$B$51,$A12)=0),"",SUMIFS(campaigns!$CD$2:$CD$51,campaigns!$B$2:$B$51,$A12)/SUMIFS(campaigns!$CB$2:$CB$51,campaigns!$B$2:$B$51,$A12))</f>
        <v/>
      </c>
      <c r="AM12" s="30" t="str">
        <f aca="false">IF(OR($A12="",COUNTIFS(approvals!$H$2:$H$251,$A12,approvals!$Q$2:$Q$251,"Y")=0),"",SUMPRODUCT(MIN(approvals!$BB$2:$BB$251+(approvals!$H$2:$H$251&lt;&gt;$A12)*1000000)))</f>
        <v/>
      </c>
      <c r="AN12" s="30" t="str">
        <f aca="false">IF(OR($A12="",$T12=""),"",COUNTIFS(campaigns!$B$2:$B$51,$A12,campaigns!$DU$2:$DU$51,"late"))</f>
        <v/>
      </c>
      <c r="AO12" s="30" t="str">
        <f aca="false">IF($A12="","",COUNTIFS(campaigns!$B$2:$B$51,$A12,campaigns!$AV$2:$AV$51,"yes"))</f>
        <v/>
      </c>
    </row>
    <row r="13" customFormat="false" ht="15" hidden="false" customHeight="false" outlineLevel="0" collapsed="false">
      <c r="B13" s="11"/>
      <c r="C13" s="10"/>
      <c r="D13" s="10"/>
      <c r="I13" s="30" t="str">
        <f aca="false">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30" t="str">
        <f aca="false">IF($B13="","",TEXT($B13,"ddd"))</f>
        <v/>
      </c>
      <c r="K13" s="31" t="str">
        <f aca="false">IF($I13="OK",WORKDAY($B13,-10,calendar!$A$2:$A$80),"")</f>
        <v/>
      </c>
      <c r="L13" s="31" t="str">
        <f aca="false">IF($I13="OK",IF(SUMPRODUCT((calendar!$D$2:$D$20&lt;=$M13)*(calendar!$E$2:$E$20&gt;=$K13)*calendar!$D$2:$D$20)=0,$K13,MIN($K13,WORKDAY(SUMPRODUCT((calendar!$D$2:$D$20&lt;=$M13)*(calendar!$E$2:$E$20&gt;=$K13)*calendar!$D$2:$D$20)+5,-1,calendar!$A$2:$A$80))),"")</f>
        <v/>
      </c>
      <c r="M13" s="31" t="str">
        <f aca="false">IF($I13="OK",WORKDAY($B13,-5,calendar!$A$2:$A$80),"")</f>
        <v/>
      </c>
      <c r="N13" s="31" t="str">
        <f aca="false">IF($I13="OK",WORKDAY($B13,-3,calendar!$A$2:$A$80),"")</f>
        <v/>
      </c>
      <c r="O13" s="31" t="str">
        <f aca="false">IF($I13="OK",WORKDAY($B13,-1,calendar!$A$2:$A$80),"")</f>
        <v/>
      </c>
      <c r="P13" s="31" t="str">
        <f aca="false">IF($I13="OK",WORKDAY($B13,1,calendar!$A$2:$A$80),"")</f>
        <v/>
      </c>
      <c r="Q13" s="31" t="str">
        <f aca="false">IF($I13="OK",WORKDAY($B13,2,calendar!$A$2:$A$80),"")</f>
        <v/>
      </c>
      <c r="R13" s="31" t="str">
        <f aca="false">IF($I13="OK",WORKDAY($B13,4,calendar!$A$2:$A$80),"")</f>
        <v/>
      </c>
      <c r="S13" s="31" t="str">
        <f aca="false">IF($I13="OK",WORKDAY($B13,5,calendar!$A$2:$A$80),"")</f>
        <v/>
      </c>
      <c r="T13" s="31" t="str">
        <f aca="false">IF($I13="OK",WORKDAY($B13,7,calendar!$A$2:$A$80),"")</f>
        <v/>
      </c>
      <c r="U13" s="31" t="str">
        <f aca="false">IF($I13="OK",WORKDAY($B13,10,calendar!$A$2:$A$80),"")</f>
        <v/>
      </c>
      <c r="V13" s="31" t="str">
        <f aca="false">IF($I13="OK",WORKDAY($B13,14,calendar!$A$2:$A$80),"")</f>
        <v/>
      </c>
      <c r="W13" s="31" t="str">
        <f aca="false">IF($I13="OK",$B13+30,"")</f>
        <v/>
      </c>
      <c r="X13" s="30" t="str">
        <f aca="true">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31" t="str">
        <f aca="true">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30" t="str">
        <f aca="false">IF($A13="","",COUNTIF(campaigns!$B$2:$B$51,$A13))</f>
        <v/>
      </c>
      <c r="AA13" s="30" t="str">
        <f aca="false">IF($A13="","",COUNTIF(stops!$A$2:$A$151,$A13))</f>
        <v/>
      </c>
      <c r="AB13" s="30" t="str">
        <f aca="false">IF($A13="","",SUMIFS(approvals!$S$2:$S$251,approvals!$H$2:$H$251,$A13,approvals!$P$2:$P$251,"Y"))</f>
        <v/>
      </c>
      <c r="AC13" s="32" t="str">
        <f aca="false">IF($A13="","",SUMIFS(campaigns!$DC$2:$DC$51,campaigns!$B$2:$B$51,$A13))</f>
        <v/>
      </c>
      <c r="AD13" s="32" t="str">
        <f aca="false">IF($A13="","",SUMIFS(costs!$E$2:$E$301,costs!$B$2:$B$301,$A13,costs!$D$2:$D$301,"kit"))</f>
        <v/>
      </c>
      <c r="AE13" s="32" t="str">
        <f aca="false">IF($A13="","",SUMIFS(costs!$E$2:$E$301,costs!$B$2:$B$301,$A13,costs!$D$2:$D$301,"transport"))</f>
        <v/>
      </c>
      <c r="AF13" s="32" t="str">
        <f aca="false">IF($A13="","",SUMIFS(costs!$E$2:$E$301,costs!$B$2:$B$301,$A13,costs!$D$2:$D$301,"other_direct"))</f>
        <v/>
      </c>
      <c r="AG13" s="32" t="str">
        <f aca="false">IF($A13="","",$AD13+$AE13+$AF13)</f>
        <v/>
      </c>
      <c r="AH13" s="32" t="str">
        <f aca="false">IF(OR($A13="",N($AA13)=0),"",ROUND($AG13/$AA13,2))</f>
        <v/>
      </c>
      <c r="AI13" s="33" t="str">
        <f aca="false">IF($A13="","",SUMIFS(hours!$E$2:$E$1501,hours!$B$2:$B$1501,$A13))</f>
        <v/>
      </c>
      <c r="AJ13" s="32" t="str">
        <f aca="false">IF($A13="","",$AC13-SUMIFS(campaigns!$DG$2:$DG$51,campaigns!$B$2:$B$51,$A13)-$AG13)</f>
        <v/>
      </c>
      <c r="AK13" s="32" t="str">
        <f aca="false">IF(OR($A13="",N($AI13)=0),"",ROUND($AJ13/$AI13,2))</f>
        <v/>
      </c>
      <c r="AL13" s="34" t="str">
        <f aca="false">IF(OR($A13="",SUMIFS(campaigns!$CB$2:$CB$51,campaigns!$B$2:$B$51,$A13)=0),"",SUMIFS(campaigns!$CD$2:$CD$51,campaigns!$B$2:$B$51,$A13)/SUMIFS(campaigns!$CB$2:$CB$51,campaigns!$B$2:$B$51,$A13))</f>
        <v/>
      </c>
      <c r="AM13" s="30" t="str">
        <f aca="false">IF(OR($A13="",COUNTIFS(approvals!$H$2:$H$251,$A13,approvals!$Q$2:$Q$251,"Y")=0),"",SUMPRODUCT(MIN(approvals!$BB$2:$BB$251+(approvals!$H$2:$H$251&lt;&gt;$A13)*1000000)))</f>
        <v/>
      </c>
      <c r="AN13" s="30" t="str">
        <f aca="false">IF(OR($A13="",$T13=""),"",COUNTIFS(campaigns!$B$2:$B$51,$A13,campaigns!$DU$2:$DU$51,"late"))</f>
        <v/>
      </c>
      <c r="AO13" s="30" t="str">
        <f aca="false">IF($A13="","",COUNTIFS(campaigns!$B$2:$B$51,$A13,campaigns!$AV$2:$AV$51,"yes"))</f>
        <v/>
      </c>
    </row>
    <row r="14" customFormat="false" ht="15" hidden="false" customHeight="false" outlineLevel="0" collapsed="false">
      <c r="B14" s="11"/>
      <c r="C14" s="10"/>
      <c r="D14" s="10"/>
      <c r="I14" s="30" t="str">
        <f aca="false">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30" t="str">
        <f aca="false">IF($B14="","",TEXT($B14,"ddd"))</f>
        <v/>
      </c>
      <c r="K14" s="31" t="str">
        <f aca="false">IF($I14="OK",WORKDAY($B14,-10,calendar!$A$2:$A$80),"")</f>
        <v/>
      </c>
      <c r="L14" s="31" t="str">
        <f aca="false">IF($I14="OK",IF(SUMPRODUCT((calendar!$D$2:$D$20&lt;=$M14)*(calendar!$E$2:$E$20&gt;=$K14)*calendar!$D$2:$D$20)=0,$K14,MIN($K14,WORKDAY(SUMPRODUCT((calendar!$D$2:$D$20&lt;=$M14)*(calendar!$E$2:$E$20&gt;=$K14)*calendar!$D$2:$D$20)+5,-1,calendar!$A$2:$A$80))),"")</f>
        <v/>
      </c>
      <c r="M14" s="31" t="str">
        <f aca="false">IF($I14="OK",WORKDAY($B14,-5,calendar!$A$2:$A$80),"")</f>
        <v/>
      </c>
      <c r="N14" s="31" t="str">
        <f aca="false">IF($I14="OK",WORKDAY($B14,-3,calendar!$A$2:$A$80),"")</f>
        <v/>
      </c>
      <c r="O14" s="31" t="str">
        <f aca="false">IF($I14="OK",WORKDAY($B14,-1,calendar!$A$2:$A$80),"")</f>
        <v/>
      </c>
      <c r="P14" s="31" t="str">
        <f aca="false">IF($I14="OK",WORKDAY($B14,1,calendar!$A$2:$A$80),"")</f>
        <v/>
      </c>
      <c r="Q14" s="31" t="str">
        <f aca="false">IF($I14="OK",WORKDAY($B14,2,calendar!$A$2:$A$80),"")</f>
        <v/>
      </c>
      <c r="R14" s="31" t="str">
        <f aca="false">IF($I14="OK",WORKDAY($B14,4,calendar!$A$2:$A$80),"")</f>
        <v/>
      </c>
      <c r="S14" s="31" t="str">
        <f aca="false">IF($I14="OK",WORKDAY($B14,5,calendar!$A$2:$A$80),"")</f>
        <v/>
      </c>
      <c r="T14" s="31" t="str">
        <f aca="false">IF($I14="OK",WORKDAY($B14,7,calendar!$A$2:$A$80),"")</f>
        <v/>
      </c>
      <c r="U14" s="31" t="str">
        <f aca="false">IF($I14="OK",WORKDAY($B14,10,calendar!$A$2:$A$80),"")</f>
        <v/>
      </c>
      <c r="V14" s="31" t="str">
        <f aca="false">IF($I14="OK",WORKDAY($B14,14,calendar!$A$2:$A$80),"")</f>
        <v/>
      </c>
      <c r="W14" s="31" t="str">
        <f aca="false">IF($I14="OK",$B14+30,"")</f>
        <v/>
      </c>
      <c r="X14" s="30" t="str">
        <f aca="true">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31" t="str">
        <f aca="true">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30" t="str">
        <f aca="false">IF($A14="","",COUNTIF(campaigns!$B$2:$B$51,$A14))</f>
        <v/>
      </c>
      <c r="AA14" s="30" t="str">
        <f aca="false">IF($A14="","",COUNTIF(stops!$A$2:$A$151,$A14))</f>
        <v/>
      </c>
      <c r="AB14" s="30" t="str">
        <f aca="false">IF($A14="","",SUMIFS(approvals!$S$2:$S$251,approvals!$H$2:$H$251,$A14,approvals!$P$2:$P$251,"Y"))</f>
        <v/>
      </c>
      <c r="AC14" s="32" t="str">
        <f aca="false">IF($A14="","",SUMIFS(campaigns!$DC$2:$DC$51,campaigns!$B$2:$B$51,$A14))</f>
        <v/>
      </c>
      <c r="AD14" s="32" t="str">
        <f aca="false">IF($A14="","",SUMIFS(costs!$E$2:$E$301,costs!$B$2:$B$301,$A14,costs!$D$2:$D$301,"kit"))</f>
        <v/>
      </c>
      <c r="AE14" s="32" t="str">
        <f aca="false">IF($A14="","",SUMIFS(costs!$E$2:$E$301,costs!$B$2:$B$301,$A14,costs!$D$2:$D$301,"transport"))</f>
        <v/>
      </c>
      <c r="AF14" s="32" t="str">
        <f aca="false">IF($A14="","",SUMIFS(costs!$E$2:$E$301,costs!$B$2:$B$301,$A14,costs!$D$2:$D$301,"other_direct"))</f>
        <v/>
      </c>
      <c r="AG14" s="32" t="str">
        <f aca="false">IF($A14="","",$AD14+$AE14+$AF14)</f>
        <v/>
      </c>
      <c r="AH14" s="32" t="str">
        <f aca="false">IF(OR($A14="",N($AA14)=0),"",ROUND($AG14/$AA14,2))</f>
        <v/>
      </c>
      <c r="AI14" s="33" t="str">
        <f aca="false">IF($A14="","",SUMIFS(hours!$E$2:$E$1501,hours!$B$2:$B$1501,$A14))</f>
        <v/>
      </c>
      <c r="AJ14" s="32" t="str">
        <f aca="false">IF($A14="","",$AC14-SUMIFS(campaigns!$DG$2:$DG$51,campaigns!$B$2:$B$51,$A14)-$AG14)</f>
        <v/>
      </c>
      <c r="AK14" s="32" t="str">
        <f aca="false">IF(OR($A14="",N($AI14)=0),"",ROUND($AJ14/$AI14,2))</f>
        <v/>
      </c>
      <c r="AL14" s="34" t="str">
        <f aca="false">IF(OR($A14="",SUMIFS(campaigns!$CB$2:$CB$51,campaigns!$B$2:$B$51,$A14)=0),"",SUMIFS(campaigns!$CD$2:$CD$51,campaigns!$B$2:$B$51,$A14)/SUMIFS(campaigns!$CB$2:$CB$51,campaigns!$B$2:$B$51,$A14))</f>
        <v/>
      </c>
      <c r="AM14" s="30" t="str">
        <f aca="false">IF(OR($A14="",COUNTIFS(approvals!$H$2:$H$251,$A14,approvals!$Q$2:$Q$251,"Y")=0),"",SUMPRODUCT(MIN(approvals!$BB$2:$BB$251+(approvals!$H$2:$H$251&lt;&gt;$A14)*1000000)))</f>
        <v/>
      </c>
      <c r="AN14" s="30" t="str">
        <f aca="false">IF(OR($A14="",$T14=""),"",COUNTIFS(campaigns!$B$2:$B$51,$A14,campaigns!$DU$2:$DU$51,"late"))</f>
        <v/>
      </c>
      <c r="AO14" s="30" t="str">
        <f aca="false">IF($A14="","",COUNTIFS(campaigns!$B$2:$B$51,$A14,campaigns!$AV$2:$AV$51,"yes"))</f>
        <v/>
      </c>
    </row>
    <row r="15" customFormat="false" ht="15" hidden="false" customHeight="false" outlineLevel="0" collapsed="false">
      <c r="B15" s="11"/>
      <c r="C15" s="10"/>
      <c r="D15" s="10"/>
      <c r="I15" s="30" t="str">
        <f aca="false">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30" t="str">
        <f aca="false">IF($B15="","",TEXT($B15,"ddd"))</f>
        <v/>
      </c>
      <c r="K15" s="31" t="str">
        <f aca="false">IF($I15="OK",WORKDAY($B15,-10,calendar!$A$2:$A$80),"")</f>
        <v/>
      </c>
      <c r="L15" s="31" t="str">
        <f aca="false">IF($I15="OK",IF(SUMPRODUCT((calendar!$D$2:$D$20&lt;=$M15)*(calendar!$E$2:$E$20&gt;=$K15)*calendar!$D$2:$D$20)=0,$K15,MIN($K15,WORKDAY(SUMPRODUCT((calendar!$D$2:$D$20&lt;=$M15)*(calendar!$E$2:$E$20&gt;=$K15)*calendar!$D$2:$D$20)+5,-1,calendar!$A$2:$A$80))),"")</f>
        <v/>
      </c>
      <c r="M15" s="31" t="str">
        <f aca="false">IF($I15="OK",WORKDAY($B15,-5,calendar!$A$2:$A$80),"")</f>
        <v/>
      </c>
      <c r="N15" s="31" t="str">
        <f aca="false">IF($I15="OK",WORKDAY($B15,-3,calendar!$A$2:$A$80),"")</f>
        <v/>
      </c>
      <c r="O15" s="31" t="str">
        <f aca="false">IF($I15="OK",WORKDAY($B15,-1,calendar!$A$2:$A$80),"")</f>
        <v/>
      </c>
      <c r="P15" s="31" t="str">
        <f aca="false">IF($I15="OK",WORKDAY($B15,1,calendar!$A$2:$A$80),"")</f>
        <v/>
      </c>
      <c r="Q15" s="31" t="str">
        <f aca="false">IF($I15="OK",WORKDAY($B15,2,calendar!$A$2:$A$80),"")</f>
        <v/>
      </c>
      <c r="R15" s="31" t="str">
        <f aca="false">IF($I15="OK",WORKDAY($B15,4,calendar!$A$2:$A$80),"")</f>
        <v/>
      </c>
      <c r="S15" s="31" t="str">
        <f aca="false">IF($I15="OK",WORKDAY($B15,5,calendar!$A$2:$A$80),"")</f>
        <v/>
      </c>
      <c r="T15" s="31" t="str">
        <f aca="false">IF($I15="OK",WORKDAY($B15,7,calendar!$A$2:$A$80),"")</f>
        <v/>
      </c>
      <c r="U15" s="31" t="str">
        <f aca="false">IF($I15="OK",WORKDAY($B15,10,calendar!$A$2:$A$80),"")</f>
        <v/>
      </c>
      <c r="V15" s="31" t="str">
        <f aca="false">IF($I15="OK",WORKDAY($B15,14,calendar!$A$2:$A$80),"")</f>
        <v/>
      </c>
      <c r="W15" s="31" t="str">
        <f aca="false">IF($I15="OK",$B15+30,"")</f>
        <v/>
      </c>
      <c r="X15" s="30" t="str">
        <f aca="true">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31" t="str">
        <f aca="true">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30" t="str">
        <f aca="false">IF($A15="","",COUNTIF(campaigns!$B$2:$B$51,$A15))</f>
        <v/>
      </c>
      <c r="AA15" s="30" t="str">
        <f aca="false">IF($A15="","",COUNTIF(stops!$A$2:$A$151,$A15))</f>
        <v/>
      </c>
      <c r="AB15" s="30" t="str">
        <f aca="false">IF($A15="","",SUMIFS(approvals!$S$2:$S$251,approvals!$H$2:$H$251,$A15,approvals!$P$2:$P$251,"Y"))</f>
        <v/>
      </c>
      <c r="AC15" s="32" t="str">
        <f aca="false">IF($A15="","",SUMIFS(campaigns!$DC$2:$DC$51,campaigns!$B$2:$B$51,$A15))</f>
        <v/>
      </c>
      <c r="AD15" s="32" t="str">
        <f aca="false">IF($A15="","",SUMIFS(costs!$E$2:$E$301,costs!$B$2:$B$301,$A15,costs!$D$2:$D$301,"kit"))</f>
        <v/>
      </c>
      <c r="AE15" s="32" t="str">
        <f aca="false">IF($A15="","",SUMIFS(costs!$E$2:$E$301,costs!$B$2:$B$301,$A15,costs!$D$2:$D$301,"transport"))</f>
        <v/>
      </c>
      <c r="AF15" s="32" t="str">
        <f aca="false">IF($A15="","",SUMIFS(costs!$E$2:$E$301,costs!$B$2:$B$301,$A15,costs!$D$2:$D$301,"other_direct"))</f>
        <v/>
      </c>
      <c r="AG15" s="32" t="str">
        <f aca="false">IF($A15="","",$AD15+$AE15+$AF15)</f>
        <v/>
      </c>
      <c r="AH15" s="32" t="str">
        <f aca="false">IF(OR($A15="",N($AA15)=0),"",ROUND($AG15/$AA15,2))</f>
        <v/>
      </c>
      <c r="AI15" s="33" t="str">
        <f aca="false">IF($A15="","",SUMIFS(hours!$E$2:$E$1501,hours!$B$2:$B$1501,$A15))</f>
        <v/>
      </c>
      <c r="AJ15" s="32" t="str">
        <f aca="false">IF($A15="","",$AC15-SUMIFS(campaigns!$DG$2:$DG$51,campaigns!$B$2:$B$51,$A15)-$AG15)</f>
        <v/>
      </c>
      <c r="AK15" s="32" t="str">
        <f aca="false">IF(OR($A15="",N($AI15)=0),"",ROUND($AJ15/$AI15,2))</f>
        <v/>
      </c>
      <c r="AL15" s="34" t="str">
        <f aca="false">IF(OR($A15="",SUMIFS(campaigns!$CB$2:$CB$51,campaigns!$B$2:$B$51,$A15)=0),"",SUMIFS(campaigns!$CD$2:$CD$51,campaigns!$B$2:$B$51,$A15)/SUMIFS(campaigns!$CB$2:$CB$51,campaigns!$B$2:$B$51,$A15))</f>
        <v/>
      </c>
      <c r="AM15" s="30" t="str">
        <f aca="false">IF(OR($A15="",COUNTIFS(approvals!$H$2:$H$251,$A15,approvals!$Q$2:$Q$251,"Y")=0),"",SUMPRODUCT(MIN(approvals!$BB$2:$BB$251+(approvals!$H$2:$H$251&lt;&gt;$A15)*1000000)))</f>
        <v/>
      </c>
      <c r="AN15" s="30" t="str">
        <f aca="false">IF(OR($A15="",$T15=""),"",COUNTIFS(campaigns!$B$2:$B$51,$A15,campaigns!$DU$2:$DU$51,"late"))</f>
        <v/>
      </c>
      <c r="AO15" s="30" t="str">
        <f aca="false">IF($A15="","",COUNTIFS(campaigns!$B$2:$B$51,$A15,campaigns!$AV$2:$AV$51,"yes"))</f>
        <v/>
      </c>
    </row>
    <row r="16" customFormat="false" ht="15" hidden="false" customHeight="false" outlineLevel="0" collapsed="false">
      <c r="B16" s="11"/>
      <c r="C16" s="10"/>
      <c r="D16" s="10"/>
      <c r="I16" s="30" t="str">
        <f aca="false">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30" t="str">
        <f aca="false">IF($B16="","",TEXT($B16,"ddd"))</f>
        <v/>
      </c>
      <c r="K16" s="31" t="str">
        <f aca="false">IF($I16="OK",WORKDAY($B16,-10,calendar!$A$2:$A$80),"")</f>
        <v/>
      </c>
      <c r="L16" s="31" t="str">
        <f aca="false">IF($I16="OK",IF(SUMPRODUCT((calendar!$D$2:$D$20&lt;=$M16)*(calendar!$E$2:$E$20&gt;=$K16)*calendar!$D$2:$D$20)=0,$K16,MIN($K16,WORKDAY(SUMPRODUCT((calendar!$D$2:$D$20&lt;=$M16)*(calendar!$E$2:$E$20&gt;=$K16)*calendar!$D$2:$D$20)+5,-1,calendar!$A$2:$A$80))),"")</f>
        <v/>
      </c>
      <c r="M16" s="31" t="str">
        <f aca="false">IF($I16="OK",WORKDAY($B16,-5,calendar!$A$2:$A$80),"")</f>
        <v/>
      </c>
      <c r="N16" s="31" t="str">
        <f aca="false">IF($I16="OK",WORKDAY($B16,-3,calendar!$A$2:$A$80),"")</f>
        <v/>
      </c>
      <c r="O16" s="31" t="str">
        <f aca="false">IF($I16="OK",WORKDAY($B16,-1,calendar!$A$2:$A$80),"")</f>
        <v/>
      </c>
      <c r="P16" s="31" t="str">
        <f aca="false">IF($I16="OK",WORKDAY($B16,1,calendar!$A$2:$A$80),"")</f>
        <v/>
      </c>
      <c r="Q16" s="31" t="str">
        <f aca="false">IF($I16="OK",WORKDAY($B16,2,calendar!$A$2:$A$80),"")</f>
        <v/>
      </c>
      <c r="R16" s="31" t="str">
        <f aca="false">IF($I16="OK",WORKDAY($B16,4,calendar!$A$2:$A$80),"")</f>
        <v/>
      </c>
      <c r="S16" s="31" t="str">
        <f aca="false">IF($I16="OK",WORKDAY($B16,5,calendar!$A$2:$A$80),"")</f>
        <v/>
      </c>
      <c r="T16" s="31" t="str">
        <f aca="false">IF($I16="OK",WORKDAY($B16,7,calendar!$A$2:$A$80),"")</f>
        <v/>
      </c>
      <c r="U16" s="31" t="str">
        <f aca="false">IF($I16="OK",WORKDAY($B16,10,calendar!$A$2:$A$80),"")</f>
        <v/>
      </c>
      <c r="V16" s="31" t="str">
        <f aca="false">IF($I16="OK",WORKDAY($B16,14,calendar!$A$2:$A$80),"")</f>
        <v/>
      </c>
      <c r="W16" s="31" t="str">
        <f aca="false">IF($I16="OK",$B16+30,"")</f>
        <v/>
      </c>
      <c r="X16" s="30" t="str">
        <f aca="true">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31" t="str">
        <f aca="true">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30" t="str">
        <f aca="false">IF($A16="","",COUNTIF(campaigns!$B$2:$B$51,$A16))</f>
        <v/>
      </c>
      <c r="AA16" s="30" t="str">
        <f aca="false">IF($A16="","",COUNTIF(stops!$A$2:$A$151,$A16))</f>
        <v/>
      </c>
      <c r="AB16" s="30" t="str">
        <f aca="false">IF($A16="","",SUMIFS(approvals!$S$2:$S$251,approvals!$H$2:$H$251,$A16,approvals!$P$2:$P$251,"Y"))</f>
        <v/>
      </c>
      <c r="AC16" s="32" t="str">
        <f aca="false">IF($A16="","",SUMIFS(campaigns!$DC$2:$DC$51,campaigns!$B$2:$B$51,$A16))</f>
        <v/>
      </c>
      <c r="AD16" s="32" t="str">
        <f aca="false">IF($A16="","",SUMIFS(costs!$E$2:$E$301,costs!$B$2:$B$301,$A16,costs!$D$2:$D$301,"kit"))</f>
        <v/>
      </c>
      <c r="AE16" s="32" t="str">
        <f aca="false">IF($A16="","",SUMIFS(costs!$E$2:$E$301,costs!$B$2:$B$301,$A16,costs!$D$2:$D$301,"transport"))</f>
        <v/>
      </c>
      <c r="AF16" s="32" t="str">
        <f aca="false">IF($A16="","",SUMIFS(costs!$E$2:$E$301,costs!$B$2:$B$301,$A16,costs!$D$2:$D$301,"other_direct"))</f>
        <v/>
      </c>
      <c r="AG16" s="32" t="str">
        <f aca="false">IF($A16="","",$AD16+$AE16+$AF16)</f>
        <v/>
      </c>
      <c r="AH16" s="32" t="str">
        <f aca="false">IF(OR($A16="",N($AA16)=0),"",ROUND($AG16/$AA16,2))</f>
        <v/>
      </c>
      <c r="AI16" s="33" t="str">
        <f aca="false">IF($A16="","",SUMIFS(hours!$E$2:$E$1501,hours!$B$2:$B$1501,$A16))</f>
        <v/>
      </c>
      <c r="AJ16" s="32" t="str">
        <f aca="false">IF($A16="","",$AC16-SUMIFS(campaigns!$DG$2:$DG$51,campaigns!$B$2:$B$51,$A16)-$AG16)</f>
        <v/>
      </c>
      <c r="AK16" s="32" t="str">
        <f aca="false">IF(OR($A16="",N($AI16)=0),"",ROUND($AJ16/$AI16,2))</f>
        <v/>
      </c>
      <c r="AL16" s="34" t="str">
        <f aca="false">IF(OR($A16="",SUMIFS(campaigns!$CB$2:$CB$51,campaigns!$B$2:$B$51,$A16)=0),"",SUMIFS(campaigns!$CD$2:$CD$51,campaigns!$B$2:$B$51,$A16)/SUMIFS(campaigns!$CB$2:$CB$51,campaigns!$B$2:$B$51,$A16))</f>
        <v/>
      </c>
      <c r="AM16" s="30" t="str">
        <f aca="false">IF(OR($A16="",COUNTIFS(approvals!$H$2:$H$251,$A16,approvals!$Q$2:$Q$251,"Y")=0),"",SUMPRODUCT(MIN(approvals!$BB$2:$BB$251+(approvals!$H$2:$H$251&lt;&gt;$A16)*1000000)))</f>
        <v/>
      </c>
      <c r="AN16" s="30" t="str">
        <f aca="false">IF(OR($A16="",$T16=""),"",COUNTIFS(campaigns!$B$2:$B$51,$A16,campaigns!$DU$2:$DU$51,"late"))</f>
        <v/>
      </c>
      <c r="AO16" s="30" t="str">
        <f aca="false">IF($A16="","",COUNTIFS(campaigns!$B$2:$B$51,$A16,campaigns!$AV$2:$AV$51,"yes"))</f>
        <v/>
      </c>
    </row>
    <row r="17" customFormat="false" ht="15" hidden="false" customHeight="false" outlineLevel="0" collapsed="false">
      <c r="B17" s="11"/>
      <c r="C17" s="10"/>
      <c r="D17" s="10"/>
      <c r="I17" s="30" t="str">
        <f aca="false">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30" t="str">
        <f aca="false">IF($B17="","",TEXT($B17,"ddd"))</f>
        <v/>
      </c>
      <c r="K17" s="31" t="str">
        <f aca="false">IF($I17="OK",WORKDAY($B17,-10,calendar!$A$2:$A$80),"")</f>
        <v/>
      </c>
      <c r="L17" s="31" t="str">
        <f aca="false">IF($I17="OK",IF(SUMPRODUCT((calendar!$D$2:$D$20&lt;=$M17)*(calendar!$E$2:$E$20&gt;=$K17)*calendar!$D$2:$D$20)=0,$K17,MIN($K17,WORKDAY(SUMPRODUCT((calendar!$D$2:$D$20&lt;=$M17)*(calendar!$E$2:$E$20&gt;=$K17)*calendar!$D$2:$D$20)+5,-1,calendar!$A$2:$A$80))),"")</f>
        <v/>
      </c>
      <c r="M17" s="31" t="str">
        <f aca="false">IF($I17="OK",WORKDAY($B17,-5,calendar!$A$2:$A$80),"")</f>
        <v/>
      </c>
      <c r="N17" s="31" t="str">
        <f aca="false">IF($I17="OK",WORKDAY($B17,-3,calendar!$A$2:$A$80),"")</f>
        <v/>
      </c>
      <c r="O17" s="31" t="str">
        <f aca="false">IF($I17="OK",WORKDAY($B17,-1,calendar!$A$2:$A$80),"")</f>
        <v/>
      </c>
      <c r="P17" s="31" t="str">
        <f aca="false">IF($I17="OK",WORKDAY($B17,1,calendar!$A$2:$A$80),"")</f>
        <v/>
      </c>
      <c r="Q17" s="31" t="str">
        <f aca="false">IF($I17="OK",WORKDAY($B17,2,calendar!$A$2:$A$80),"")</f>
        <v/>
      </c>
      <c r="R17" s="31" t="str">
        <f aca="false">IF($I17="OK",WORKDAY($B17,4,calendar!$A$2:$A$80),"")</f>
        <v/>
      </c>
      <c r="S17" s="31" t="str">
        <f aca="false">IF($I17="OK",WORKDAY($B17,5,calendar!$A$2:$A$80),"")</f>
        <v/>
      </c>
      <c r="T17" s="31" t="str">
        <f aca="false">IF($I17="OK",WORKDAY($B17,7,calendar!$A$2:$A$80),"")</f>
        <v/>
      </c>
      <c r="U17" s="31" t="str">
        <f aca="false">IF($I17="OK",WORKDAY($B17,10,calendar!$A$2:$A$80),"")</f>
        <v/>
      </c>
      <c r="V17" s="31" t="str">
        <f aca="false">IF($I17="OK",WORKDAY($B17,14,calendar!$A$2:$A$80),"")</f>
        <v/>
      </c>
      <c r="W17" s="31" t="str">
        <f aca="false">IF($I17="OK",$B17+30,"")</f>
        <v/>
      </c>
      <c r="X17" s="30" t="str">
        <f aca="true">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31" t="str">
        <f aca="true">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30" t="str">
        <f aca="false">IF($A17="","",COUNTIF(campaigns!$B$2:$B$51,$A17))</f>
        <v/>
      </c>
      <c r="AA17" s="30" t="str">
        <f aca="false">IF($A17="","",COUNTIF(stops!$A$2:$A$151,$A17))</f>
        <v/>
      </c>
      <c r="AB17" s="30" t="str">
        <f aca="false">IF($A17="","",SUMIFS(approvals!$S$2:$S$251,approvals!$H$2:$H$251,$A17,approvals!$P$2:$P$251,"Y"))</f>
        <v/>
      </c>
      <c r="AC17" s="32" t="str">
        <f aca="false">IF($A17="","",SUMIFS(campaigns!$DC$2:$DC$51,campaigns!$B$2:$B$51,$A17))</f>
        <v/>
      </c>
      <c r="AD17" s="32" t="str">
        <f aca="false">IF($A17="","",SUMIFS(costs!$E$2:$E$301,costs!$B$2:$B$301,$A17,costs!$D$2:$D$301,"kit"))</f>
        <v/>
      </c>
      <c r="AE17" s="32" t="str">
        <f aca="false">IF($A17="","",SUMIFS(costs!$E$2:$E$301,costs!$B$2:$B$301,$A17,costs!$D$2:$D$301,"transport"))</f>
        <v/>
      </c>
      <c r="AF17" s="32" t="str">
        <f aca="false">IF($A17="","",SUMIFS(costs!$E$2:$E$301,costs!$B$2:$B$301,$A17,costs!$D$2:$D$301,"other_direct"))</f>
        <v/>
      </c>
      <c r="AG17" s="32" t="str">
        <f aca="false">IF($A17="","",$AD17+$AE17+$AF17)</f>
        <v/>
      </c>
      <c r="AH17" s="32" t="str">
        <f aca="false">IF(OR($A17="",N($AA17)=0),"",ROUND($AG17/$AA17,2))</f>
        <v/>
      </c>
      <c r="AI17" s="33" t="str">
        <f aca="false">IF($A17="","",SUMIFS(hours!$E$2:$E$1501,hours!$B$2:$B$1501,$A17))</f>
        <v/>
      </c>
      <c r="AJ17" s="32" t="str">
        <f aca="false">IF($A17="","",$AC17-SUMIFS(campaigns!$DG$2:$DG$51,campaigns!$B$2:$B$51,$A17)-$AG17)</f>
        <v/>
      </c>
      <c r="AK17" s="32" t="str">
        <f aca="false">IF(OR($A17="",N($AI17)=0),"",ROUND($AJ17/$AI17,2))</f>
        <v/>
      </c>
      <c r="AL17" s="34" t="str">
        <f aca="false">IF(OR($A17="",SUMIFS(campaigns!$CB$2:$CB$51,campaigns!$B$2:$B$51,$A17)=0),"",SUMIFS(campaigns!$CD$2:$CD$51,campaigns!$B$2:$B$51,$A17)/SUMIFS(campaigns!$CB$2:$CB$51,campaigns!$B$2:$B$51,$A17))</f>
        <v/>
      </c>
      <c r="AM17" s="30" t="str">
        <f aca="false">IF(OR($A17="",COUNTIFS(approvals!$H$2:$H$251,$A17,approvals!$Q$2:$Q$251,"Y")=0),"",SUMPRODUCT(MIN(approvals!$BB$2:$BB$251+(approvals!$H$2:$H$251&lt;&gt;$A17)*1000000)))</f>
        <v/>
      </c>
      <c r="AN17" s="30" t="str">
        <f aca="false">IF(OR($A17="",$T17=""),"",COUNTIFS(campaigns!$B$2:$B$51,$A17,campaigns!$DU$2:$DU$51,"late"))</f>
        <v/>
      </c>
      <c r="AO17" s="30" t="str">
        <f aca="false">IF($A17="","",COUNTIFS(campaigns!$B$2:$B$51,$A17,campaigns!$AV$2:$AV$51,"yes"))</f>
        <v/>
      </c>
    </row>
    <row r="18" customFormat="false" ht="15" hidden="false" customHeight="false" outlineLevel="0" collapsed="false">
      <c r="B18" s="11"/>
      <c r="C18" s="10"/>
      <c r="D18" s="10"/>
      <c r="I18" s="30" t="str">
        <f aca="false">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30" t="str">
        <f aca="false">IF($B18="","",TEXT($B18,"ddd"))</f>
        <v/>
      </c>
      <c r="K18" s="31" t="str">
        <f aca="false">IF($I18="OK",WORKDAY($B18,-10,calendar!$A$2:$A$80),"")</f>
        <v/>
      </c>
      <c r="L18" s="31" t="str">
        <f aca="false">IF($I18="OK",IF(SUMPRODUCT((calendar!$D$2:$D$20&lt;=$M18)*(calendar!$E$2:$E$20&gt;=$K18)*calendar!$D$2:$D$20)=0,$K18,MIN($K18,WORKDAY(SUMPRODUCT((calendar!$D$2:$D$20&lt;=$M18)*(calendar!$E$2:$E$20&gt;=$K18)*calendar!$D$2:$D$20)+5,-1,calendar!$A$2:$A$80))),"")</f>
        <v/>
      </c>
      <c r="M18" s="31" t="str">
        <f aca="false">IF($I18="OK",WORKDAY($B18,-5,calendar!$A$2:$A$80),"")</f>
        <v/>
      </c>
      <c r="N18" s="31" t="str">
        <f aca="false">IF($I18="OK",WORKDAY($B18,-3,calendar!$A$2:$A$80),"")</f>
        <v/>
      </c>
      <c r="O18" s="31" t="str">
        <f aca="false">IF($I18="OK",WORKDAY($B18,-1,calendar!$A$2:$A$80),"")</f>
        <v/>
      </c>
      <c r="P18" s="31" t="str">
        <f aca="false">IF($I18="OK",WORKDAY($B18,1,calendar!$A$2:$A$80),"")</f>
        <v/>
      </c>
      <c r="Q18" s="31" t="str">
        <f aca="false">IF($I18="OK",WORKDAY($B18,2,calendar!$A$2:$A$80),"")</f>
        <v/>
      </c>
      <c r="R18" s="31" t="str">
        <f aca="false">IF($I18="OK",WORKDAY($B18,4,calendar!$A$2:$A$80),"")</f>
        <v/>
      </c>
      <c r="S18" s="31" t="str">
        <f aca="false">IF($I18="OK",WORKDAY($B18,5,calendar!$A$2:$A$80),"")</f>
        <v/>
      </c>
      <c r="T18" s="31" t="str">
        <f aca="false">IF($I18="OK",WORKDAY($B18,7,calendar!$A$2:$A$80),"")</f>
        <v/>
      </c>
      <c r="U18" s="31" t="str">
        <f aca="false">IF($I18="OK",WORKDAY($B18,10,calendar!$A$2:$A$80),"")</f>
        <v/>
      </c>
      <c r="V18" s="31" t="str">
        <f aca="false">IF($I18="OK",WORKDAY($B18,14,calendar!$A$2:$A$80),"")</f>
        <v/>
      </c>
      <c r="W18" s="31" t="str">
        <f aca="false">IF($I18="OK",$B18+30,"")</f>
        <v/>
      </c>
      <c r="X18" s="30" t="str">
        <f aca="true">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31" t="str">
        <f aca="true">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30" t="str">
        <f aca="false">IF($A18="","",COUNTIF(campaigns!$B$2:$B$51,$A18))</f>
        <v/>
      </c>
      <c r="AA18" s="30" t="str">
        <f aca="false">IF($A18="","",COUNTIF(stops!$A$2:$A$151,$A18))</f>
        <v/>
      </c>
      <c r="AB18" s="30" t="str">
        <f aca="false">IF($A18="","",SUMIFS(approvals!$S$2:$S$251,approvals!$H$2:$H$251,$A18,approvals!$P$2:$P$251,"Y"))</f>
        <v/>
      </c>
      <c r="AC18" s="32" t="str">
        <f aca="false">IF($A18="","",SUMIFS(campaigns!$DC$2:$DC$51,campaigns!$B$2:$B$51,$A18))</f>
        <v/>
      </c>
      <c r="AD18" s="32" t="str">
        <f aca="false">IF($A18="","",SUMIFS(costs!$E$2:$E$301,costs!$B$2:$B$301,$A18,costs!$D$2:$D$301,"kit"))</f>
        <v/>
      </c>
      <c r="AE18" s="32" t="str">
        <f aca="false">IF($A18="","",SUMIFS(costs!$E$2:$E$301,costs!$B$2:$B$301,$A18,costs!$D$2:$D$301,"transport"))</f>
        <v/>
      </c>
      <c r="AF18" s="32" t="str">
        <f aca="false">IF($A18="","",SUMIFS(costs!$E$2:$E$301,costs!$B$2:$B$301,$A18,costs!$D$2:$D$301,"other_direct"))</f>
        <v/>
      </c>
      <c r="AG18" s="32" t="str">
        <f aca="false">IF($A18="","",$AD18+$AE18+$AF18)</f>
        <v/>
      </c>
      <c r="AH18" s="32" t="str">
        <f aca="false">IF(OR($A18="",N($AA18)=0),"",ROUND($AG18/$AA18,2))</f>
        <v/>
      </c>
      <c r="AI18" s="33" t="str">
        <f aca="false">IF($A18="","",SUMIFS(hours!$E$2:$E$1501,hours!$B$2:$B$1501,$A18))</f>
        <v/>
      </c>
      <c r="AJ18" s="32" t="str">
        <f aca="false">IF($A18="","",$AC18-SUMIFS(campaigns!$DG$2:$DG$51,campaigns!$B$2:$B$51,$A18)-$AG18)</f>
        <v/>
      </c>
      <c r="AK18" s="32" t="str">
        <f aca="false">IF(OR($A18="",N($AI18)=0),"",ROUND($AJ18/$AI18,2))</f>
        <v/>
      </c>
      <c r="AL18" s="34" t="str">
        <f aca="false">IF(OR($A18="",SUMIFS(campaigns!$CB$2:$CB$51,campaigns!$B$2:$B$51,$A18)=0),"",SUMIFS(campaigns!$CD$2:$CD$51,campaigns!$B$2:$B$51,$A18)/SUMIFS(campaigns!$CB$2:$CB$51,campaigns!$B$2:$B$51,$A18))</f>
        <v/>
      </c>
      <c r="AM18" s="30" t="str">
        <f aca="false">IF(OR($A18="",COUNTIFS(approvals!$H$2:$H$251,$A18,approvals!$Q$2:$Q$251,"Y")=0),"",SUMPRODUCT(MIN(approvals!$BB$2:$BB$251+(approvals!$H$2:$H$251&lt;&gt;$A18)*1000000)))</f>
        <v/>
      </c>
      <c r="AN18" s="30" t="str">
        <f aca="false">IF(OR($A18="",$T18=""),"",COUNTIFS(campaigns!$B$2:$B$51,$A18,campaigns!$DU$2:$DU$51,"late"))</f>
        <v/>
      </c>
      <c r="AO18" s="30" t="str">
        <f aca="false">IF($A18="","",COUNTIFS(campaigns!$B$2:$B$51,$A18,campaigns!$AV$2:$AV$51,"yes"))</f>
        <v/>
      </c>
    </row>
    <row r="19" customFormat="false" ht="15" hidden="false" customHeight="false" outlineLevel="0" collapsed="false">
      <c r="B19" s="11"/>
      <c r="C19" s="10"/>
      <c r="D19" s="10"/>
      <c r="I19" s="30" t="str">
        <f aca="false">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30" t="str">
        <f aca="false">IF($B19="","",TEXT($B19,"ddd"))</f>
        <v/>
      </c>
      <c r="K19" s="31" t="str">
        <f aca="false">IF($I19="OK",WORKDAY($B19,-10,calendar!$A$2:$A$80),"")</f>
        <v/>
      </c>
      <c r="L19" s="31" t="str">
        <f aca="false">IF($I19="OK",IF(SUMPRODUCT((calendar!$D$2:$D$20&lt;=$M19)*(calendar!$E$2:$E$20&gt;=$K19)*calendar!$D$2:$D$20)=0,$K19,MIN($K19,WORKDAY(SUMPRODUCT((calendar!$D$2:$D$20&lt;=$M19)*(calendar!$E$2:$E$20&gt;=$K19)*calendar!$D$2:$D$20)+5,-1,calendar!$A$2:$A$80))),"")</f>
        <v/>
      </c>
      <c r="M19" s="31" t="str">
        <f aca="false">IF($I19="OK",WORKDAY($B19,-5,calendar!$A$2:$A$80),"")</f>
        <v/>
      </c>
      <c r="N19" s="31" t="str">
        <f aca="false">IF($I19="OK",WORKDAY($B19,-3,calendar!$A$2:$A$80),"")</f>
        <v/>
      </c>
      <c r="O19" s="31" t="str">
        <f aca="false">IF($I19="OK",WORKDAY($B19,-1,calendar!$A$2:$A$80),"")</f>
        <v/>
      </c>
      <c r="P19" s="31" t="str">
        <f aca="false">IF($I19="OK",WORKDAY($B19,1,calendar!$A$2:$A$80),"")</f>
        <v/>
      </c>
      <c r="Q19" s="31" t="str">
        <f aca="false">IF($I19="OK",WORKDAY($B19,2,calendar!$A$2:$A$80),"")</f>
        <v/>
      </c>
      <c r="R19" s="31" t="str">
        <f aca="false">IF($I19="OK",WORKDAY($B19,4,calendar!$A$2:$A$80),"")</f>
        <v/>
      </c>
      <c r="S19" s="31" t="str">
        <f aca="false">IF($I19="OK",WORKDAY($B19,5,calendar!$A$2:$A$80),"")</f>
        <v/>
      </c>
      <c r="T19" s="31" t="str">
        <f aca="false">IF($I19="OK",WORKDAY($B19,7,calendar!$A$2:$A$80),"")</f>
        <v/>
      </c>
      <c r="U19" s="31" t="str">
        <f aca="false">IF($I19="OK",WORKDAY($B19,10,calendar!$A$2:$A$80),"")</f>
        <v/>
      </c>
      <c r="V19" s="31" t="str">
        <f aca="false">IF($I19="OK",WORKDAY($B19,14,calendar!$A$2:$A$80),"")</f>
        <v/>
      </c>
      <c r="W19" s="31" t="str">
        <f aca="false">IF($I19="OK",$B19+30,"")</f>
        <v/>
      </c>
      <c r="X19" s="30" t="str">
        <f aca="true">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31" t="str">
        <f aca="true">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30" t="str">
        <f aca="false">IF($A19="","",COUNTIF(campaigns!$B$2:$B$51,$A19))</f>
        <v/>
      </c>
      <c r="AA19" s="30" t="str">
        <f aca="false">IF($A19="","",COUNTIF(stops!$A$2:$A$151,$A19))</f>
        <v/>
      </c>
      <c r="AB19" s="30" t="str">
        <f aca="false">IF($A19="","",SUMIFS(approvals!$S$2:$S$251,approvals!$H$2:$H$251,$A19,approvals!$P$2:$P$251,"Y"))</f>
        <v/>
      </c>
      <c r="AC19" s="32" t="str">
        <f aca="false">IF($A19="","",SUMIFS(campaigns!$DC$2:$DC$51,campaigns!$B$2:$B$51,$A19))</f>
        <v/>
      </c>
      <c r="AD19" s="32" t="str">
        <f aca="false">IF($A19="","",SUMIFS(costs!$E$2:$E$301,costs!$B$2:$B$301,$A19,costs!$D$2:$D$301,"kit"))</f>
        <v/>
      </c>
      <c r="AE19" s="32" t="str">
        <f aca="false">IF($A19="","",SUMIFS(costs!$E$2:$E$301,costs!$B$2:$B$301,$A19,costs!$D$2:$D$301,"transport"))</f>
        <v/>
      </c>
      <c r="AF19" s="32" t="str">
        <f aca="false">IF($A19="","",SUMIFS(costs!$E$2:$E$301,costs!$B$2:$B$301,$A19,costs!$D$2:$D$301,"other_direct"))</f>
        <v/>
      </c>
      <c r="AG19" s="32" t="str">
        <f aca="false">IF($A19="","",$AD19+$AE19+$AF19)</f>
        <v/>
      </c>
      <c r="AH19" s="32" t="str">
        <f aca="false">IF(OR($A19="",N($AA19)=0),"",ROUND($AG19/$AA19,2))</f>
        <v/>
      </c>
      <c r="AI19" s="33" t="str">
        <f aca="false">IF($A19="","",SUMIFS(hours!$E$2:$E$1501,hours!$B$2:$B$1501,$A19))</f>
        <v/>
      </c>
      <c r="AJ19" s="32" t="str">
        <f aca="false">IF($A19="","",$AC19-SUMIFS(campaigns!$DG$2:$DG$51,campaigns!$B$2:$B$51,$A19)-$AG19)</f>
        <v/>
      </c>
      <c r="AK19" s="32" t="str">
        <f aca="false">IF(OR($A19="",N($AI19)=0),"",ROUND($AJ19/$AI19,2))</f>
        <v/>
      </c>
      <c r="AL19" s="34" t="str">
        <f aca="false">IF(OR($A19="",SUMIFS(campaigns!$CB$2:$CB$51,campaigns!$B$2:$B$51,$A19)=0),"",SUMIFS(campaigns!$CD$2:$CD$51,campaigns!$B$2:$B$51,$A19)/SUMIFS(campaigns!$CB$2:$CB$51,campaigns!$B$2:$B$51,$A19))</f>
        <v/>
      </c>
      <c r="AM19" s="30" t="str">
        <f aca="false">IF(OR($A19="",COUNTIFS(approvals!$H$2:$H$251,$A19,approvals!$Q$2:$Q$251,"Y")=0),"",SUMPRODUCT(MIN(approvals!$BB$2:$BB$251+(approvals!$H$2:$H$251&lt;&gt;$A19)*1000000)))</f>
        <v/>
      </c>
      <c r="AN19" s="30" t="str">
        <f aca="false">IF(OR($A19="",$T19=""),"",COUNTIFS(campaigns!$B$2:$B$51,$A19,campaigns!$DU$2:$DU$51,"late"))</f>
        <v/>
      </c>
      <c r="AO19" s="30" t="str">
        <f aca="false">IF($A19="","",COUNTIFS(campaigns!$B$2:$B$51,$A19,campaigns!$AV$2:$AV$51,"yes"))</f>
        <v/>
      </c>
    </row>
    <row r="20" customFormat="false" ht="15" hidden="false" customHeight="false" outlineLevel="0" collapsed="false">
      <c r="B20" s="11"/>
      <c r="C20" s="10"/>
      <c r="D20" s="10"/>
      <c r="I20" s="30" t="str">
        <f aca="false">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30" t="str">
        <f aca="false">IF($B20="","",TEXT($B20,"ddd"))</f>
        <v/>
      </c>
      <c r="K20" s="31" t="str">
        <f aca="false">IF($I20="OK",WORKDAY($B20,-10,calendar!$A$2:$A$80),"")</f>
        <v/>
      </c>
      <c r="L20" s="31" t="str">
        <f aca="false">IF($I20="OK",IF(SUMPRODUCT((calendar!$D$2:$D$20&lt;=$M20)*(calendar!$E$2:$E$20&gt;=$K20)*calendar!$D$2:$D$20)=0,$K20,MIN($K20,WORKDAY(SUMPRODUCT((calendar!$D$2:$D$20&lt;=$M20)*(calendar!$E$2:$E$20&gt;=$K20)*calendar!$D$2:$D$20)+5,-1,calendar!$A$2:$A$80))),"")</f>
        <v/>
      </c>
      <c r="M20" s="31" t="str">
        <f aca="false">IF($I20="OK",WORKDAY($B20,-5,calendar!$A$2:$A$80),"")</f>
        <v/>
      </c>
      <c r="N20" s="31" t="str">
        <f aca="false">IF($I20="OK",WORKDAY($B20,-3,calendar!$A$2:$A$80),"")</f>
        <v/>
      </c>
      <c r="O20" s="31" t="str">
        <f aca="false">IF($I20="OK",WORKDAY($B20,-1,calendar!$A$2:$A$80),"")</f>
        <v/>
      </c>
      <c r="P20" s="31" t="str">
        <f aca="false">IF($I20="OK",WORKDAY($B20,1,calendar!$A$2:$A$80),"")</f>
        <v/>
      </c>
      <c r="Q20" s="31" t="str">
        <f aca="false">IF($I20="OK",WORKDAY($B20,2,calendar!$A$2:$A$80),"")</f>
        <v/>
      </c>
      <c r="R20" s="31" t="str">
        <f aca="false">IF($I20="OK",WORKDAY($B20,4,calendar!$A$2:$A$80),"")</f>
        <v/>
      </c>
      <c r="S20" s="31" t="str">
        <f aca="false">IF($I20="OK",WORKDAY($B20,5,calendar!$A$2:$A$80),"")</f>
        <v/>
      </c>
      <c r="T20" s="31" t="str">
        <f aca="false">IF($I20="OK",WORKDAY($B20,7,calendar!$A$2:$A$80),"")</f>
        <v/>
      </c>
      <c r="U20" s="31" t="str">
        <f aca="false">IF($I20="OK",WORKDAY($B20,10,calendar!$A$2:$A$80),"")</f>
        <v/>
      </c>
      <c r="V20" s="31" t="str">
        <f aca="false">IF($I20="OK",WORKDAY($B20,14,calendar!$A$2:$A$80),"")</f>
        <v/>
      </c>
      <c r="W20" s="31" t="str">
        <f aca="false">IF($I20="OK",$B20+30,"")</f>
        <v/>
      </c>
      <c r="X20" s="30" t="str">
        <f aca="true">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31" t="str">
        <f aca="true">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30" t="str">
        <f aca="false">IF($A20="","",COUNTIF(campaigns!$B$2:$B$51,$A20))</f>
        <v/>
      </c>
      <c r="AA20" s="30" t="str">
        <f aca="false">IF($A20="","",COUNTIF(stops!$A$2:$A$151,$A20))</f>
        <v/>
      </c>
      <c r="AB20" s="30" t="str">
        <f aca="false">IF($A20="","",SUMIFS(approvals!$S$2:$S$251,approvals!$H$2:$H$251,$A20,approvals!$P$2:$P$251,"Y"))</f>
        <v/>
      </c>
      <c r="AC20" s="32" t="str">
        <f aca="false">IF($A20="","",SUMIFS(campaigns!$DC$2:$DC$51,campaigns!$B$2:$B$51,$A20))</f>
        <v/>
      </c>
      <c r="AD20" s="32" t="str">
        <f aca="false">IF($A20="","",SUMIFS(costs!$E$2:$E$301,costs!$B$2:$B$301,$A20,costs!$D$2:$D$301,"kit"))</f>
        <v/>
      </c>
      <c r="AE20" s="32" t="str">
        <f aca="false">IF($A20="","",SUMIFS(costs!$E$2:$E$301,costs!$B$2:$B$301,$A20,costs!$D$2:$D$301,"transport"))</f>
        <v/>
      </c>
      <c r="AF20" s="32" t="str">
        <f aca="false">IF($A20="","",SUMIFS(costs!$E$2:$E$301,costs!$B$2:$B$301,$A20,costs!$D$2:$D$301,"other_direct"))</f>
        <v/>
      </c>
      <c r="AG20" s="32" t="str">
        <f aca="false">IF($A20="","",$AD20+$AE20+$AF20)</f>
        <v/>
      </c>
      <c r="AH20" s="32" t="str">
        <f aca="false">IF(OR($A20="",N($AA20)=0),"",ROUND($AG20/$AA20,2))</f>
        <v/>
      </c>
      <c r="AI20" s="33" t="str">
        <f aca="false">IF($A20="","",SUMIFS(hours!$E$2:$E$1501,hours!$B$2:$B$1501,$A20))</f>
        <v/>
      </c>
      <c r="AJ20" s="32" t="str">
        <f aca="false">IF($A20="","",$AC20-SUMIFS(campaigns!$DG$2:$DG$51,campaigns!$B$2:$B$51,$A20)-$AG20)</f>
        <v/>
      </c>
      <c r="AK20" s="32" t="str">
        <f aca="false">IF(OR($A20="",N($AI20)=0),"",ROUND($AJ20/$AI20,2))</f>
        <v/>
      </c>
      <c r="AL20" s="34" t="str">
        <f aca="false">IF(OR($A20="",SUMIFS(campaigns!$CB$2:$CB$51,campaigns!$B$2:$B$51,$A20)=0),"",SUMIFS(campaigns!$CD$2:$CD$51,campaigns!$B$2:$B$51,$A20)/SUMIFS(campaigns!$CB$2:$CB$51,campaigns!$B$2:$B$51,$A20))</f>
        <v/>
      </c>
      <c r="AM20" s="30" t="str">
        <f aca="false">IF(OR($A20="",COUNTIFS(approvals!$H$2:$H$251,$A20,approvals!$Q$2:$Q$251,"Y")=0),"",SUMPRODUCT(MIN(approvals!$BB$2:$BB$251+(approvals!$H$2:$H$251&lt;&gt;$A20)*1000000)))</f>
        <v/>
      </c>
      <c r="AN20" s="30" t="str">
        <f aca="false">IF(OR($A20="",$T20=""),"",COUNTIFS(campaigns!$B$2:$B$51,$A20,campaigns!$DU$2:$DU$51,"late"))</f>
        <v/>
      </c>
      <c r="AO20" s="30" t="str">
        <f aca="false">IF($A20="","",COUNTIFS(campaigns!$B$2:$B$51,$A20,campaigns!$AV$2:$AV$51,"yes"))</f>
        <v/>
      </c>
    </row>
    <row r="21" customFormat="false" ht="15" hidden="false" customHeight="false" outlineLevel="0" collapsed="false">
      <c r="B21" s="11"/>
      <c r="C21" s="10"/>
      <c r="D21" s="10"/>
      <c r="I21" s="30" t="str">
        <f aca="false">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30" t="str">
        <f aca="false">IF($B21="","",TEXT($B21,"ddd"))</f>
        <v/>
      </c>
      <c r="K21" s="31" t="str">
        <f aca="false">IF($I21="OK",WORKDAY($B21,-10,calendar!$A$2:$A$80),"")</f>
        <v/>
      </c>
      <c r="L21" s="31" t="str">
        <f aca="false">IF($I21="OK",IF(SUMPRODUCT((calendar!$D$2:$D$20&lt;=$M21)*(calendar!$E$2:$E$20&gt;=$K21)*calendar!$D$2:$D$20)=0,$K21,MIN($K21,WORKDAY(SUMPRODUCT((calendar!$D$2:$D$20&lt;=$M21)*(calendar!$E$2:$E$20&gt;=$K21)*calendar!$D$2:$D$20)+5,-1,calendar!$A$2:$A$80))),"")</f>
        <v/>
      </c>
      <c r="M21" s="31" t="str">
        <f aca="false">IF($I21="OK",WORKDAY($B21,-5,calendar!$A$2:$A$80),"")</f>
        <v/>
      </c>
      <c r="N21" s="31" t="str">
        <f aca="false">IF($I21="OK",WORKDAY($B21,-3,calendar!$A$2:$A$80),"")</f>
        <v/>
      </c>
      <c r="O21" s="31" t="str">
        <f aca="false">IF($I21="OK",WORKDAY($B21,-1,calendar!$A$2:$A$80),"")</f>
        <v/>
      </c>
      <c r="P21" s="31" t="str">
        <f aca="false">IF($I21="OK",WORKDAY($B21,1,calendar!$A$2:$A$80),"")</f>
        <v/>
      </c>
      <c r="Q21" s="31" t="str">
        <f aca="false">IF($I21="OK",WORKDAY($B21,2,calendar!$A$2:$A$80),"")</f>
        <v/>
      </c>
      <c r="R21" s="31" t="str">
        <f aca="false">IF($I21="OK",WORKDAY($B21,4,calendar!$A$2:$A$80),"")</f>
        <v/>
      </c>
      <c r="S21" s="31" t="str">
        <f aca="false">IF($I21="OK",WORKDAY($B21,5,calendar!$A$2:$A$80),"")</f>
        <v/>
      </c>
      <c r="T21" s="31" t="str">
        <f aca="false">IF($I21="OK",WORKDAY($B21,7,calendar!$A$2:$A$80),"")</f>
        <v/>
      </c>
      <c r="U21" s="31" t="str">
        <f aca="false">IF($I21="OK",WORKDAY($B21,10,calendar!$A$2:$A$80),"")</f>
        <v/>
      </c>
      <c r="V21" s="31" t="str">
        <f aca="false">IF($I21="OK",WORKDAY($B21,14,calendar!$A$2:$A$80),"")</f>
        <v/>
      </c>
      <c r="W21" s="31" t="str">
        <f aca="false">IF($I21="OK",$B21+30,"")</f>
        <v/>
      </c>
      <c r="X21" s="30" t="str">
        <f aca="true">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31" t="str">
        <f aca="true">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30" t="str">
        <f aca="false">IF($A21="","",COUNTIF(campaigns!$B$2:$B$51,$A21))</f>
        <v/>
      </c>
      <c r="AA21" s="30" t="str">
        <f aca="false">IF($A21="","",COUNTIF(stops!$A$2:$A$151,$A21))</f>
        <v/>
      </c>
      <c r="AB21" s="30" t="str">
        <f aca="false">IF($A21="","",SUMIFS(approvals!$S$2:$S$251,approvals!$H$2:$H$251,$A21,approvals!$P$2:$P$251,"Y"))</f>
        <v/>
      </c>
      <c r="AC21" s="32" t="str">
        <f aca="false">IF($A21="","",SUMIFS(campaigns!$DC$2:$DC$51,campaigns!$B$2:$B$51,$A21))</f>
        <v/>
      </c>
      <c r="AD21" s="32" t="str">
        <f aca="false">IF($A21="","",SUMIFS(costs!$E$2:$E$301,costs!$B$2:$B$301,$A21,costs!$D$2:$D$301,"kit"))</f>
        <v/>
      </c>
      <c r="AE21" s="32" t="str">
        <f aca="false">IF($A21="","",SUMIFS(costs!$E$2:$E$301,costs!$B$2:$B$301,$A21,costs!$D$2:$D$301,"transport"))</f>
        <v/>
      </c>
      <c r="AF21" s="32" t="str">
        <f aca="false">IF($A21="","",SUMIFS(costs!$E$2:$E$301,costs!$B$2:$B$301,$A21,costs!$D$2:$D$301,"other_direct"))</f>
        <v/>
      </c>
      <c r="AG21" s="32" t="str">
        <f aca="false">IF($A21="","",$AD21+$AE21+$AF21)</f>
        <v/>
      </c>
      <c r="AH21" s="32" t="str">
        <f aca="false">IF(OR($A21="",N($AA21)=0),"",ROUND($AG21/$AA21,2))</f>
        <v/>
      </c>
      <c r="AI21" s="33" t="str">
        <f aca="false">IF($A21="","",SUMIFS(hours!$E$2:$E$1501,hours!$B$2:$B$1501,$A21))</f>
        <v/>
      </c>
      <c r="AJ21" s="32" t="str">
        <f aca="false">IF($A21="","",$AC21-SUMIFS(campaigns!$DG$2:$DG$51,campaigns!$B$2:$B$51,$A21)-$AG21)</f>
        <v/>
      </c>
      <c r="AK21" s="32" t="str">
        <f aca="false">IF(OR($A21="",N($AI21)=0),"",ROUND($AJ21/$AI21,2))</f>
        <v/>
      </c>
      <c r="AL21" s="34" t="str">
        <f aca="false">IF(OR($A21="",SUMIFS(campaigns!$CB$2:$CB$51,campaigns!$B$2:$B$51,$A21)=0),"",SUMIFS(campaigns!$CD$2:$CD$51,campaigns!$B$2:$B$51,$A21)/SUMIFS(campaigns!$CB$2:$CB$51,campaigns!$B$2:$B$51,$A21))</f>
        <v/>
      </c>
      <c r="AM21" s="30" t="str">
        <f aca="false">IF(OR($A21="",COUNTIFS(approvals!$H$2:$H$251,$A21,approvals!$Q$2:$Q$251,"Y")=0),"",SUMPRODUCT(MIN(approvals!$BB$2:$BB$251+(approvals!$H$2:$H$251&lt;&gt;$A21)*1000000)))</f>
        <v/>
      </c>
      <c r="AN21" s="30" t="str">
        <f aca="false">IF(OR($A21="",$T21=""),"",COUNTIFS(campaigns!$B$2:$B$51,$A21,campaigns!$DU$2:$DU$51,"late"))</f>
        <v/>
      </c>
      <c r="AO21" s="30" t="str">
        <f aca="false">IF($A21="","",COUNTIFS(campaigns!$B$2:$B$51,$A21,campaigns!$AV$2:$AV$51,"yes"))</f>
        <v/>
      </c>
    </row>
  </sheetData>
  <conditionalFormatting sqref="I2:I21">
    <cfRule type="expression" priority="2" aboveAverage="0" equalAverage="0" bottom="0" percent="0" rank="0" text="" dxfId="0">
      <formula>LEFT(I2,7)="REFUSED"</formula>
    </cfRule>
  </conditionalFormatting>
  <dataValidations count="3">
    <dataValidation allowBlank="true" error="Pick a value from the list." errorStyle="stop" errorTitle="Not on the list" operator="between" showDropDown="false" showErrorMessage="true" showInputMessage="false" sqref="C2:C21" type="list">
      <formula1>"founder,courier,direct-ship"</formula1>
      <formula2>0</formula2>
    </dataValidation>
    <dataValidation allowBlank="true" error="Pick a value from the list." errorStyle="stop" errorTitle="Not on the list" operator="between" showDropDown="false" showErrorMessage="true" showInputMessage="false" sqref="D2:D21" type="list">
      <formula1>"planned,confirmed,slipped,done,cancelled"</formula1>
      <formula2>0</formula2>
    </dataValidation>
    <dataValidation allowBlank="true" error="Drop days are Tuesday or Wednesday business days, and the five-day window must be clear of 18-31 Dec, 18-31 Aug and the 4 July week. Run tools/opscal.py next to pick one." errorStyle="stop" errorTitle="Not a valid drop day" operator="between" showDropDown="false" showErrorMessage="true" showInputMessage="false" sqref="B2:B21" type="custom">
      <formula1>AND(OR(WEEKDAY(B2)=3,WEEKDAY(B2)=4),COUNTIF(INDIRECT("calendar!$A$2:$A$80"),B2)=0,COUNTIFS(INDIRECT("calendar!$D$2:$D$20"),"&lt;="&amp;WORKDAY(B2,4,INDIRECT("calendar!$A$2:$A$80")),INDIRECT("calendar!$E$2:$E$20"),"&gt;="&amp;B2)=0)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DV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9"/>
    <col collapsed="false" customWidth="true" hidden="false" outlineLevel="0" max="8" min="7" style="0" width="14"/>
    <col collapsed="false" customWidth="true" hidden="false" outlineLevel="0" max="9" min="9" style="0" width="8"/>
    <col collapsed="false" customWidth="true" hidden="false" outlineLevel="0" max="10" min="10" style="0" width="22"/>
    <col collapsed="false" customWidth="true" hidden="false" outlineLevel="0" max="11" min="11" style="0" width="7"/>
    <col collapsed="false" customWidth="true" hidden="false" outlineLevel="0" max="12" min="12" style="0" width="30"/>
    <col collapsed="false" customWidth="true" hidden="false" outlineLevel="0" max="13" min="13" style="0" width="14"/>
    <col collapsed="false" customWidth="true" hidden="false" outlineLevel="0" max="14" min="14" style="0" width="30"/>
    <col collapsed="false" customWidth="true" hidden="false" outlineLevel="0" max="15" min="15" style="0" width="22"/>
    <col collapsed="false" customWidth="true" hidden="false" outlineLevel="0" max="18" min="16" style="0" width="14"/>
    <col collapsed="false" customWidth="true" hidden="false" outlineLevel="0" max="19" min="19" style="0" width="22"/>
    <col collapsed="false" customWidth="true" hidden="false" outlineLevel="0" max="20" min="20" style="0" width="18"/>
    <col collapsed="false" customWidth="true" hidden="false" outlineLevel="0" max="21" min="21" style="0" width="24"/>
    <col collapsed="false" customWidth="true" hidden="false" outlineLevel="0" max="23" min="22" style="0" width="14"/>
    <col collapsed="false" customWidth="true" hidden="false" outlineLevel="0" max="24" min="24" style="0" width="22"/>
    <col collapsed="false" customWidth="true" hidden="false" outlineLevel="0" max="26" min="25" style="0" width="14"/>
    <col collapsed="false" customWidth="true" hidden="false" outlineLevel="0" max="27" min="27" style="0" width="20"/>
    <col collapsed="false" customWidth="true" hidden="false" outlineLevel="0" max="30" min="28" style="0" width="14"/>
    <col collapsed="false" customWidth="true" hidden="false" outlineLevel="0" max="31" min="31" style="0" width="16"/>
    <col collapsed="false" customWidth="true" hidden="false" outlineLevel="0" max="33" min="32" style="0" width="14"/>
    <col collapsed="false" customWidth="true" hidden="false" outlineLevel="0" max="34" min="34" style="0" width="8"/>
    <col collapsed="false" customWidth="true" hidden="false" outlineLevel="0" max="35" min="35" style="0" width="20"/>
    <col collapsed="false" customWidth="true" hidden="false" outlineLevel="0" max="36" min="36" style="0" width="30"/>
    <col collapsed="false" customWidth="true" hidden="false" outlineLevel="0" max="37" min="37" style="0" width="20"/>
    <col collapsed="false" customWidth="true" hidden="false" outlineLevel="0" max="42" min="38" style="0" width="30"/>
    <col collapsed="false" customWidth="true" hidden="false" outlineLevel="0" max="43" min="43" style="0" width="20"/>
    <col collapsed="false" customWidth="true" hidden="false" outlineLevel="0" max="44" min="44" style="0" width="14"/>
    <col collapsed="false" customWidth="true" hidden="false" outlineLevel="0" max="45" min="45" style="0" width="18"/>
    <col collapsed="false" customWidth="true" hidden="false" outlineLevel="0" max="49" min="46" style="0" width="14"/>
    <col collapsed="false" customWidth="true" hidden="false" outlineLevel="0" max="50" min="50" style="0" width="20"/>
    <col collapsed="false" customWidth="true" hidden="false" outlineLevel="0" max="51" min="51" style="0" width="14"/>
    <col collapsed="false" customWidth="true" hidden="false" outlineLevel="0" max="52" min="52" style="0" width="8"/>
    <col collapsed="false" customWidth="true" hidden="false" outlineLevel="0" max="55" min="53" style="0" width="14"/>
    <col collapsed="false" customWidth="true" hidden="false" outlineLevel="0" max="56" min="56" style="0" width="24"/>
    <col collapsed="false" customWidth="true" hidden="false" outlineLevel="0" max="57" min="57" style="0" width="18"/>
    <col collapsed="false" customWidth="true" hidden="false" outlineLevel="0" max="58" min="58" style="0" width="12"/>
    <col collapsed="false" customWidth="true" hidden="false" outlineLevel="0" max="59" min="59" style="0" width="11"/>
    <col collapsed="false" customWidth="true" hidden="false" outlineLevel="0" max="62" min="60" style="0" width="10"/>
    <col collapsed="false" customWidth="true" hidden="false" outlineLevel="0" max="63" min="63" style="0" width="30"/>
    <col collapsed="false" customWidth="true" hidden="false" outlineLevel="0" max="65" min="64" style="0" width="11"/>
    <col collapsed="false" customWidth="true" hidden="false" outlineLevel="0" max="72" min="66" style="0" width="8"/>
    <col collapsed="false" customWidth="true" hidden="false" outlineLevel="0" max="74" min="73" style="0" width="9"/>
    <col collapsed="false" customWidth="true" hidden="false" outlineLevel="0" max="75" min="75" style="0" width="36"/>
    <col collapsed="false" customWidth="true" hidden="false" outlineLevel="0" max="104" min="76" style="0" width="8"/>
    <col collapsed="false" customWidth="true" hidden="false" outlineLevel="0" max="105" min="105" style="0" width="11"/>
    <col collapsed="false" customWidth="true" hidden="false" outlineLevel="0" max="106" min="106" style="0" width="8"/>
    <col collapsed="false" customWidth="true" hidden="false" outlineLevel="0" max="108" min="107" style="0" width="10"/>
    <col collapsed="false" customWidth="true" hidden="false" outlineLevel="0" max="110" min="109" style="0" width="11"/>
    <col collapsed="false" customWidth="true" hidden="false" outlineLevel="0" max="111" min="111" style="0" width="9"/>
    <col collapsed="false" customWidth="true" hidden="false" outlineLevel="0" max="113" min="112" style="0" width="10"/>
    <col collapsed="false" customWidth="true" hidden="false" outlineLevel="0" max="115" min="114" style="0" width="8"/>
    <col collapsed="false" customWidth="true" hidden="false" outlineLevel="0" max="117" min="116" style="0" width="10"/>
    <col collapsed="false" customWidth="true" hidden="false" outlineLevel="0" max="119" min="118" style="0" width="8"/>
    <col collapsed="false" customWidth="true" hidden="false" outlineLevel="0" max="122" min="120" style="0" width="11"/>
    <col collapsed="false" customWidth="true" hidden="false" outlineLevel="0" max="125" min="123" style="0" width="7"/>
    <col collapsed="false" customWidth="true" hidden="false" outlineLevel="0" max="126" min="126" style="0" width="40"/>
  </cols>
  <sheetData>
    <row r="1" customFormat="false" ht="15" hidden="false" customHeight="false" outlineLevel="0" collapsed="false">
      <c r="A1" s="28" t="s">
        <v>358</v>
      </c>
      <c r="B1" s="28" t="s">
        <v>299</v>
      </c>
      <c r="C1" s="28" t="s">
        <v>359</v>
      </c>
      <c r="D1" s="28" t="s">
        <v>100</v>
      </c>
      <c r="E1" s="28" t="s">
        <v>360</v>
      </c>
      <c r="F1" s="28" t="s">
        <v>361</v>
      </c>
      <c r="G1" s="28" t="s">
        <v>362</v>
      </c>
      <c r="H1" s="28" t="s">
        <v>363</v>
      </c>
      <c r="I1" s="28" t="s">
        <v>364</v>
      </c>
      <c r="J1" s="28" t="s">
        <v>365</v>
      </c>
      <c r="K1" s="28" t="s">
        <v>366</v>
      </c>
      <c r="L1" s="28" t="s">
        <v>367</v>
      </c>
      <c r="M1" s="28" t="s">
        <v>368</v>
      </c>
      <c r="N1" s="28" t="s">
        <v>369</v>
      </c>
      <c r="O1" s="28" t="s">
        <v>370</v>
      </c>
      <c r="P1" s="28" t="s">
        <v>371</v>
      </c>
      <c r="Q1" s="28" t="s">
        <v>372</v>
      </c>
      <c r="R1" s="28" t="s">
        <v>373</v>
      </c>
      <c r="S1" s="28" t="s">
        <v>374</v>
      </c>
      <c r="T1" s="28" t="s">
        <v>375</v>
      </c>
      <c r="U1" s="28" t="s">
        <v>376</v>
      </c>
      <c r="V1" s="28" t="s">
        <v>377</v>
      </c>
      <c r="W1" s="28" t="s">
        <v>378</v>
      </c>
      <c r="X1" s="28" t="s">
        <v>379</v>
      </c>
      <c r="Y1" s="28" t="s">
        <v>380</v>
      </c>
      <c r="Z1" s="28" t="s">
        <v>381</v>
      </c>
      <c r="AA1" s="28" t="s">
        <v>382</v>
      </c>
      <c r="AB1" s="28" t="s">
        <v>383</v>
      </c>
      <c r="AC1" s="28" t="s">
        <v>384</v>
      </c>
      <c r="AD1" s="28" t="s">
        <v>385</v>
      </c>
      <c r="AE1" s="28" t="s">
        <v>386</v>
      </c>
      <c r="AF1" s="28" t="s">
        <v>387</v>
      </c>
      <c r="AG1" s="28" t="s">
        <v>388</v>
      </c>
      <c r="AH1" s="28" t="s">
        <v>389</v>
      </c>
      <c r="AI1" s="28" t="s">
        <v>390</v>
      </c>
      <c r="AJ1" s="28" t="s">
        <v>391</v>
      </c>
      <c r="AK1" s="28" t="s">
        <v>392</v>
      </c>
      <c r="AL1" s="28" t="s">
        <v>393</v>
      </c>
      <c r="AM1" s="28" t="s">
        <v>394</v>
      </c>
      <c r="AN1" s="28" t="s">
        <v>395</v>
      </c>
      <c r="AO1" s="28" t="s">
        <v>396</v>
      </c>
      <c r="AP1" s="28" t="s">
        <v>397</v>
      </c>
      <c r="AQ1" s="28" t="s">
        <v>398</v>
      </c>
      <c r="AR1" s="28" t="s">
        <v>399</v>
      </c>
      <c r="AS1" s="28" t="s">
        <v>400</v>
      </c>
      <c r="AT1" s="28" t="s">
        <v>401</v>
      </c>
      <c r="AU1" s="28" t="s">
        <v>402</v>
      </c>
      <c r="AV1" s="28" t="s">
        <v>403</v>
      </c>
      <c r="AW1" s="28" t="s">
        <v>404</v>
      </c>
      <c r="AX1" s="28" t="s">
        <v>405</v>
      </c>
      <c r="AY1" s="28" t="s">
        <v>406</v>
      </c>
      <c r="AZ1" s="28" t="s">
        <v>407</v>
      </c>
      <c r="BA1" s="28" t="s">
        <v>408</v>
      </c>
      <c r="BB1" s="28" t="s">
        <v>409</v>
      </c>
      <c r="BC1" s="28" t="s">
        <v>410</v>
      </c>
      <c r="BD1" s="28" t="s">
        <v>305</v>
      </c>
      <c r="BE1" s="29" t="s">
        <v>411</v>
      </c>
      <c r="BF1" s="29" t="s">
        <v>412</v>
      </c>
      <c r="BG1" s="29" t="s">
        <v>300</v>
      </c>
      <c r="BH1" s="29" t="s">
        <v>301</v>
      </c>
      <c r="BI1" s="29" t="s">
        <v>413</v>
      </c>
      <c r="BJ1" s="29" t="s">
        <v>414</v>
      </c>
      <c r="BK1" s="29" t="s">
        <v>415</v>
      </c>
      <c r="BL1" s="29" t="s">
        <v>416</v>
      </c>
      <c r="BM1" s="29" t="s">
        <v>309</v>
      </c>
      <c r="BN1" s="29" t="s">
        <v>417</v>
      </c>
      <c r="BO1" s="29" t="s">
        <v>418</v>
      </c>
      <c r="BP1" s="29" t="s">
        <v>419</v>
      </c>
      <c r="BQ1" s="29" t="s">
        <v>420</v>
      </c>
      <c r="BR1" s="29" t="s">
        <v>324</v>
      </c>
      <c r="BS1" s="29" t="s">
        <v>421</v>
      </c>
      <c r="BT1" s="29" t="s">
        <v>422</v>
      </c>
      <c r="BU1" s="29" t="s">
        <v>423</v>
      </c>
      <c r="BV1" s="29" t="s">
        <v>424</v>
      </c>
      <c r="BW1" s="29" t="s">
        <v>425</v>
      </c>
      <c r="BX1" s="29" t="s">
        <v>426</v>
      </c>
      <c r="BY1" s="29" t="s">
        <v>427</v>
      </c>
      <c r="BZ1" s="29" t="s">
        <v>428</v>
      </c>
      <c r="CA1" s="29" t="s">
        <v>429</v>
      </c>
      <c r="CB1" s="29" t="s">
        <v>430</v>
      </c>
      <c r="CC1" s="29" t="s">
        <v>431</v>
      </c>
      <c r="CD1" s="29" t="s">
        <v>432</v>
      </c>
      <c r="CE1" s="29" t="s">
        <v>433</v>
      </c>
      <c r="CF1" s="29" t="s">
        <v>434</v>
      </c>
      <c r="CG1" s="29" t="s">
        <v>435</v>
      </c>
      <c r="CH1" s="29" t="s">
        <v>436</v>
      </c>
      <c r="CI1" s="29" t="s">
        <v>437</v>
      </c>
      <c r="CJ1" s="29" t="s">
        <v>438</v>
      </c>
      <c r="CK1" s="29" t="s">
        <v>439</v>
      </c>
      <c r="CL1" s="29" t="s">
        <v>440</v>
      </c>
      <c r="CM1" s="29" t="s">
        <v>441</v>
      </c>
      <c r="CN1" s="29" t="s">
        <v>442</v>
      </c>
      <c r="CO1" s="29" t="s">
        <v>443</v>
      </c>
      <c r="CP1" s="29" t="s">
        <v>444</v>
      </c>
      <c r="CQ1" s="29" t="s">
        <v>445</v>
      </c>
      <c r="CR1" s="29" t="s">
        <v>446</v>
      </c>
      <c r="CS1" s="29" t="s">
        <v>447</v>
      </c>
      <c r="CT1" s="29" t="s">
        <v>448</v>
      </c>
      <c r="CU1" s="29" t="s">
        <v>449</v>
      </c>
      <c r="CV1" s="29" t="s">
        <v>450</v>
      </c>
      <c r="CW1" s="29" t="s">
        <v>451</v>
      </c>
      <c r="CX1" s="29" t="s">
        <v>452</v>
      </c>
      <c r="CY1" s="29" t="s">
        <v>453</v>
      </c>
      <c r="CZ1" s="29" t="s">
        <v>454</v>
      </c>
      <c r="DA1" s="29" t="s">
        <v>455</v>
      </c>
      <c r="DB1" s="29" t="s">
        <v>456</v>
      </c>
      <c r="DC1" s="29" t="s">
        <v>325</v>
      </c>
      <c r="DD1" s="29" t="s">
        <v>457</v>
      </c>
      <c r="DE1" s="29" t="s">
        <v>458</v>
      </c>
      <c r="DF1" s="29" t="s">
        <v>459</v>
      </c>
      <c r="DG1" s="29" t="s">
        <v>460</v>
      </c>
      <c r="DH1" s="29" t="s">
        <v>329</v>
      </c>
      <c r="DI1" s="29" t="s">
        <v>461</v>
      </c>
      <c r="DJ1" s="29" t="s">
        <v>462</v>
      </c>
      <c r="DK1" s="29" t="s">
        <v>463</v>
      </c>
      <c r="DL1" s="29" t="s">
        <v>332</v>
      </c>
      <c r="DM1" s="29" t="s">
        <v>333</v>
      </c>
      <c r="DN1" s="29" t="s">
        <v>464</v>
      </c>
      <c r="DO1" s="29" t="s">
        <v>465</v>
      </c>
      <c r="DP1" s="29" t="s">
        <v>466</v>
      </c>
      <c r="DQ1" s="29" t="s">
        <v>467</v>
      </c>
      <c r="DR1" s="29" t="s">
        <v>468</v>
      </c>
      <c r="DS1" s="29" t="s">
        <v>469</v>
      </c>
      <c r="DT1" s="29" t="s">
        <v>470</v>
      </c>
      <c r="DU1" s="29" t="s">
        <v>471</v>
      </c>
      <c r="DV1" s="29" t="s">
        <v>120</v>
      </c>
    </row>
    <row r="2" customFormat="false" ht="41.75" hidden="false" customHeight="false" outlineLevel="0" collapsed="false">
      <c r="A2" s="0" t="s">
        <v>472</v>
      </c>
      <c r="B2" s="0" t="s">
        <v>337</v>
      </c>
      <c r="C2" s="0" t="s">
        <v>473</v>
      </c>
      <c r="D2" s="10" t="s">
        <v>474</v>
      </c>
      <c r="F2" s="0" t="n">
        <v>5</v>
      </c>
      <c r="G2" s="12"/>
      <c r="H2" s="11" t="n">
        <v>46363</v>
      </c>
      <c r="I2" s="10" t="s">
        <v>475</v>
      </c>
      <c r="J2" s="10" t="s">
        <v>476</v>
      </c>
      <c r="L2" s="10" t="s">
        <v>477</v>
      </c>
      <c r="M2" s="10" t="s">
        <v>478</v>
      </c>
      <c r="N2" s="10" t="s">
        <v>479</v>
      </c>
      <c r="O2" s="10" t="s">
        <v>480</v>
      </c>
      <c r="U2" s="10" t="s">
        <v>481</v>
      </c>
      <c r="V2" s="10" t="s">
        <v>482</v>
      </c>
      <c r="W2" s="10" t="s">
        <v>483</v>
      </c>
      <c r="X2" s="10" t="s">
        <v>484</v>
      </c>
      <c r="Y2" s="10" t="s">
        <v>485</v>
      </c>
      <c r="Z2" s="10" t="s">
        <v>486</v>
      </c>
      <c r="AA2" s="10" t="s">
        <v>487</v>
      </c>
      <c r="AB2" s="11" t="n">
        <v>46370</v>
      </c>
      <c r="AC2" s="11" t="n">
        <v>46370</v>
      </c>
      <c r="AD2" s="11" t="n">
        <v>46370</v>
      </c>
      <c r="AF2" s="11" t="n">
        <v>46377</v>
      </c>
      <c r="AG2" s="11" t="n">
        <v>46374</v>
      </c>
      <c r="AH2" s="0" t="n">
        <v>275</v>
      </c>
      <c r="AI2" s="10" t="s">
        <v>488</v>
      </c>
      <c r="AJ2" s="10" t="s">
        <v>489</v>
      </c>
      <c r="AK2" s="10" t="s">
        <v>490</v>
      </c>
      <c r="AL2" s="10" t="s">
        <v>491</v>
      </c>
      <c r="AM2" s="10" t="s">
        <v>492</v>
      </c>
      <c r="AN2" s="10" t="s">
        <v>493</v>
      </c>
      <c r="AO2" s="2" t="s">
        <v>494</v>
      </c>
      <c r="AP2" s="10" t="s">
        <v>495</v>
      </c>
      <c r="AT2" s="11" t="n">
        <v>46409</v>
      </c>
      <c r="AU2" s="11" t="n">
        <v>46414</v>
      </c>
      <c r="AV2" s="10" t="s">
        <v>496</v>
      </c>
      <c r="AW2" s="10" t="s">
        <v>486</v>
      </c>
      <c r="AX2" s="10" t="s">
        <v>497</v>
      </c>
      <c r="AY2" s="11" t="n">
        <v>46407</v>
      </c>
      <c r="AZ2" s="0" t="n">
        <v>7</v>
      </c>
      <c r="BA2" s="11" t="n">
        <v>46407</v>
      </c>
      <c r="BB2" s="11" t="n">
        <v>46437</v>
      </c>
      <c r="BC2" s="11"/>
      <c r="BE2" s="30" t="str">
        <f aca="false">IF($A2="","",IFERROR(IF(INDEX(brands!$K$2:$K$41,MATCH($C2,brands!$A$2:$A$41,0))="","",INDEX(brands!$K$2:$K$41,MATCH($C2,brands!$A$2:$A$41,0))),""))</f>
        <v>SAMPLE Brightside</v>
      </c>
      <c r="BF2" s="30" t="str">
        <f aca="false">IF($A2="","",IFERROR(IF(INDEX(brands!$M$2:$M$41,MATCH($C2,brands!$A$2:$A$41,0))="","",INDEX(brands!$M$2:$M$41,MATCH($C2,brands!$A$2:$A$41,0))),""))</f>
        <v>chips-crisps</v>
      </c>
      <c r="BG2" s="31" t="n">
        <f aca="false">IF($A2="","",IF(IFERROR(IF(INDEX(drops!$I$2:$I$21,MATCH($B2,drops!$A$2:$A$21,0))="","",INDEX(drops!$I$2:$I$21,MATCH($B2,drops!$A$2:$A$21,0))),"")="OK",IFERROR(IF(INDEX(drops!$B$2:$B$21,MATCH($B2,drops!$A$2:$A$21,0))="","",INDEX(drops!$B$2:$B$21,MATCH($B2,drops!$A$2:$A$21,0))),""),""))</f>
        <v>46399</v>
      </c>
      <c r="BH2" s="30" t="str">
        <f aca="false">IF($A2="","",IFERROR(IF(INDEX(drops!$C$2:$C$21,MATCH($B2,drops!$A$2:$A$21,0))="","",INDEX(drops!$C$2:$C$21,MATCH($B2,drops!$A$2:$A$21,0))),""))</f>
        <v>founder</v>
      </c>
      <c r="BI2" s="32" t="n">
        <f aca="false">IF($A2="","",IF($F2="","",IF($D2="founding",IF($E2="Y",config!$B$25*MIN($F2,config!$B$26)+config!$B$24*MAX(0,$F2-config!$B$26),config!$B$20+config!$B$24*MAX(0,$F2-config!$B$21)),IF($D2="standard",config!$B$22+config!$B$24*MAX(0,$F2-config!$B$23),""))))</f>
        <v>600</v>
      </c>
      <c r="BJ2" s="32" t="n">
        <f aca="false">IF($A2="","",IF($G2&lt;&gt;"",$G2,$BI2))</f>
        <v>600</v>
      </c>
      <c r="BK2" s="30" t="str">
        <f aca="false">IF($A2="","",IF($D2="founding","100% within "&amp;config!$B$27&amp;" business days of the invoice, before shipping",IF($D2="standard","50% on signing; 50% at placement confirmation (T+1)","")))</f>
        <v>100% within 5 business days of the invoice, before shipping</v>
      </c>
      <c r="BL2" s="31" t="n">
        <f aca="false">IF($A2="","",IFERROR(IF(INDEX(drops!$K$2:$K$21,MATCH($B2,drops!$A$2:$A$21,0))="","",INDEX(drops!$K$2:$K$21,MATCH($B2,drops!$A$2:$A$21,0))),""))</f>
        <v>46384</v>
      </c>
      <c r="BM2" s="31" t="n">
        <f aca="false">IF($A2="","",IFERROR(IF(INDEX(drops!$L$2:$L$21,MATCH($B2,drops!$A$2:$A$21,0))="","",INDEX(drops!$L$2:$L$21,MATCH($B2,drops!$A$2:$A$21,0))),""))</f>
        <v>46378</v>
      </c>
      <c r="BN2" s="30" t="n">
        <f aca="false">IF($A2="","",COUNTIF(approvals!$A$2:$A$251,$A2))</f>
        <v>5</v>
      </c>
      <c r="BO2" s="30" t="n">
        <f aca="false">IF($A2="","",COUNTIFS(approvals!$A$2:$A$251,$A2,approvals!$P$2:$P$251,"Y"))</f>
        <v>5</v>
      </c>
      <c r="BP2" s="30" t="n">
        <f aca="false">IF($A2="","",COUNTIFS(approvals!$A$2:$A$251,$A2,approvals!$Q$2:$Q$251,"Y"))</f>
        <v>5</v>
      </c>
      <c r="BQ2" s="30" t="n">
        <f aca="false">IF($A2="","",COUNTIFS(approvals!$A$2:$A$251,$A2,approvals!$P$2:$P$251,"pending"))</f>
        <v>0</v>
      </c>
      <c r="BR2" s="30" t="n">
        <f aca="false">IF($A2="","",SUMIFS(approvals!$S$2:$S$251,approvals!$A$2:$A$251,$A2,approvals!$P$2:$P$251,"Y"))</f>
        <v>250</v>
      </c>
      <c r="BS2" s="30" t="n">
        <f aca="false">IF($A2="","",ROUNDUP($BR2*config!$B$18,0))</f>
        <v>25</v>
      </c>
      <c r="BT2" s="30" t="n">
        <f aca="false">IF($A2="","",$BR2+$BS2)</f>
        <v>275</v>
      </c>
      <c r="BU2" s="32" t="n">
        <f aca="false">IF($A2="","",SUMIFS(invoices!$I$2:$I$151,invoices!$B$2:$B$151,$A2,invoices!$R$2:$R$151,"Y",invoices!$H$2:$H$151,"&gt;0"))</f>
        <v>600</v>
      </c>
      <c r="BV2" s="32" t="n">
        <f aca="false">IF($A2="","",IF($BJ2="","",IF($D2="founding",$BJ2,ROUND($BJ2*config!$B$28,2))))</f>
        <v>600</v>
      </c>
      <c r="BW2" s="30" t="str">
        <f aca="false">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RELEASED 2026-12-18: ship by Tue 2026-12-22 (latest Mon 2026-12-28)</v>
      </c>
      <c r="BX2" s="30" t="n">
        <f aca="false">IF($A2="","",SUMIFS(inventory!$G$2:$G$801,inventory!$C$2:$C$801,$A2,inventory!$E$2:$E$801,"received"))</f>
        <v>276</v>
      </c>
      <c r="BY2" s="30" t="n">
        <f aca="false">IF($A2="","",SUMIFS(inventory!$G$2:$G$801,inventory!$C$2:$C$801,$A2,inventory!$E$2:$E$801,"rejected"))</f>
        <v>0</v>
      </c>
      <c r="BZ2" s="30" t="n">
        <f aca="false">IF($A2="","",SUMIFS(inventory!$M$2:$M$801,inventory!$C$2:$C$801,$A2))</f>
        <v>0</v>
      </c>
      <c r="CA2" s="30" t="n">
        <f aca="false">IF($A2="","",SUMIFS(inventory!$O$2:$O$801,inventory!$C$2:$C$801,$A2))</f>
        <v>0</v>
      </c>
      <c r="CB2" s="30" t="n">
        <f aca="false">IF($A2="","",SUMIFS(approvals!$U$2:$U$251,approvals!$A$2:$A$251,$A2))</f>
        <v>250</v>
      </c>
      <c r="CC2" s="30" t="n">
        <f aca="false">IF($A2="","",SUMIFS(approvals!$AA$2:$AA$251,approvals!$A$2:$A$251,$A2))</f>
        <v>248</v>
      </c>
      <c r="CD2" s="30" t="n">
        <f aca="false">IF($A2="","",SUMIFS(approvals!$AA$2:$AA$251,approvals!$A$2:$A$251,$A2,approvals!$AB$2:$AB$251,"Y"))</f>
        <v>198</v>
      </c>
      <c r="CE2" s="34" t="n">
        <f aca="false">IF($A2="","",IF(N($CB2)=0,"",$CD2/$CB2))</f>
        <v>0.792</v>
      </c>
      <c r="CF2" s="30" t="n">
        <f aca="false">IF($A2="","",SUMIFS(approvals!$AD$2:$AD$251,approvals!$A$2:$A$251,$A2))</f>
        <v>5</v>
      </c>
      <c r="CG2" s="30" t="n">
        <f aca="false">IF($A2="","",IF(COUNTIFS(approvals!$A$2:$A$251,$A2,approvals!$Q$2:$Q$251,"Y",approvals!$AG$2:$AG$251,"")&gt;0,"",SUMIFS(approvals!$AG$2:$AG$251,approvals!$A$2:$A$251,$A2,approvals!$Q$2:$Q$251,"Y")))</f>
        <v>200</v>
      </c>
      <c r="CH2" s="30" t="n">
        <f aca="false">IF($A2="","",SUMIFS(approvals!$AL$2:$AL$251,approvals!$A$2:$A$251,$A2,approvals!$Q$2:$Q$251,"Y"))</f>
        <v>34</v>
      </c>
      <c r="CI2" s="30" t="n">
        <f aca="false">IF($A2="","",IF(N($BP2)=0,"",SUMPRODUCT(MIN(approvals!$BB$2:$BB$251+(approvals!$A$2:$A$251&lt;&gt;$A2)*1000000))))</f>
        <v>4</v>
      </c>
      <c r="CJ2" s="30" t="n">
        <f aca="false">IF($A2="","",COUNTIFS(approvals!$A$2:$A$251,$A2,approvals!$Q$2:$Q$251,"Y",approvals!$AL$2:$AL$251,"&lt;"&amp;config!$B$30))</f>
        <v>1</v>
      </c>
      <c r="CK2" s="30" t="n">
        <f aca="false">IF($A2="","",SUMIFS(approvals!$AM$2:$AM$251,approvals!$A$2:$A$251,$A2,approvals!$Q$2:$Q$251,"Y"))</f>
        <v>25</v>
      </c>
      <c r="CL2" s="30" t="n">
        <f aca="false">IF($A2="","",SUMIFS(approvals!$AQ$2:$AQ$251,approvals!$A$2:$A$251,$A2,approvals!$Q$2:$Q$251,"Y"))</f>
        <v>5</v>
      </c>
      <c r="CM2" s="30" t="n">
        <f aca="false">IF($A2="","",SUMIFS(approvals!$AR$2:$AR$251,approvals!$A$2:$A$251,$A2,approvals!$Q$2:$Q$251,"Y"))</f>
        <v>2</v>
      </c>
      <c r="CN2" s="30" t="n">
        <f aca="false">IF($A2="","",SUMIFS(approvals!$AS$2:$AS$251,approvals!$A$2:$A$251,$A2,approvals!$Q$2:$Q$251,"Y"))</f>
        <v>2</v>
      </c>
      <c r="CO2" s="30" t="n">
        <f aca="false">IF($A2="","",SUMIFS(approvals!$AT$2:$AT$251,approvals!$A$2:$A$251,$A2,approvals!$Q$2:$Q$251,"Y"))</f>
        <v>25</v>
      </c>
      <c r="CP2" s="33" t="n">
        <f aca="false">IF($A2="","",IF(N($CO2)=0,"",ROUND(SUMIFS(approvals!$AU$2:$AU$251,approvals!$A$2:$A$251,$A2,approvals!$Q$2:$Q$251,"Y")/$CO2,1)))</f>
        <v>4.2</v>
      </c>
      <c r="CQ2" s="30" t="n">
        <f aca="false">IF($A2="","",SUMIFS(approvals!$AV$2:$AV$251,approvals!$A$2:$A$251,$A2,approvals!$Q$2:$Q$251,"Y"))</f>
        <v>10</v>
      </c>
      <c r="CR2" s="30" t="n">
        <f aca="false">IF($A2="","",SUMIFS(approvals!$AW$2:$AW$251,approvals!$A$2:$A$251,$A2,approvals!$Q$2:$Q$251,"Y"))</f>
        <v>8</v>
      </c>
      <c r="CS2" s="30" t="n">
        <f aca="false">IF($A2="","",SUMIFS(approvals!$AX$2:$AX$251,approvals!$A$2:$A$251,$A2,approvals!$Q$2:$Q$251,"Y"))</f>
        <v>7</v>
      </c>
      <c r="CT2" s="30" t="n">
        <f aca="false">IF($A2="","",SUMIFS(approvals!$AY$2:$AY$251,approvals!$A$2:$A$251,$A2,approvals!$Q$2:$Q$251,"Y"))</f>
        <v>18</v>
      </c>
      <c r="CU2" s="30" t="n">
        <f aca="true">IF($A2="","",IF(OR($BG2="",$BC2&lt;&gt;""),"",IFERROR(COUNT(INDIRECT("'"&amp;$A2&amp;"'!$A$2:$A$501")),0)-IFERROR(COUNTIFS(INDIRECT("'"&amp;$A2&amp;"'!$A$2:$A$501"),"&gt;="&amp;$BG2,INDIRECT("'"&amp;$A2&amp;"'!$A$2:$A$501"),"&lt;"&amp;(IFERROR(IF(INDEX(drops!$R$2:$R$21,MATCH($B2,drops!$A$2:$A$21,0))="","",INDEX(drops!$R$2:$R$21,MATCH($B2,drops!$A$2:$A$21,0))),"")+1)),0)))</f>
        <v>2</v>
      </c>
      <c r="CV2" s="30" t="n">
        <f aca="true">IF($A2="","",IF(OR($BG2="",$BC2&lt;&gt;""),"",IFERROR(COUNTIFS(INDIRECT("'"&amp;$A2&amp;"'!$A$2:$A$501"),"&gt;="&amp;$BG2,INDIRECT("'"&amp;$A2&amp;"'!$A$2:$A$501"),"&lt;"&amp;(IFERROR(IF(INDEX(drops!$R$2:$R$21,MATCH($B2,drops!$A$2:$A$21,0))="","",INDEX(drops!$R$2:$R$21,MATCH($B2,drops!$A$2:$A$21,0))),"")+1)),0)-N($CH2)-N($CW2)))</f>
        <v>1</v>
      </c>
      <c r="CW2" s="30" t="n">
        <f aca="false">IF($A2="","",IF($BG2="","",SUMIFS(approvals!$AL$2:$AL$251,approvals!$A$2:$A$251,$A2,approvals!$Q$2:$Q$251,"&lt;&gt;Y")))</f>
        <v>0</v>
      </c>
      <c r="CX2" s="30" t="n">
        <f aca="false">IF($A2="","",SUMIFS(approvals!$AN$2:$AN$251,approvals!$A$2:$A$251,$A2,approvals!$Q$2:$Q$251,"Y"))</f>
        <v>45</v>
      </c>
      <c r="CY2" s="30" t="n">
        <f aca="false">IF($A2="","",SUMIFS(approvals!$AO$2:$AO$251,approvals!$A$2:$A$251,$A2,approvals!$Q$2:$Q$251,"Y"))</f>
        <v>22</v>
      </c>
      <c r="CZ2" s="30" t="n">
        <f aca="false">IF($A2="","",IF($DA2="","",SUMIFS(redemptions!$C$2:$C$121,redemptions!$A$2:$A$121,$A2,redemptions!$B$2:$B$121,$DA2)))</f>
        <v>11</v>
      </c>
      <c r="DA2" s="31" t="n">
        <f aca="false">IF($A2="","",IFERROR(1/(1/SUMPRODUCT(MAX((redemptions!$A$2:$A$121=$A2)*redemptions!$B$2:$B$121))),""))</f>
        <v>46429</v>
      </c>
      <c r="DB2" s="30" t="n">
        <f aca="false">IF($A2="","",IF(COUNTIFS(redemptions!$A$2:$A$121,$A2,redemptions!$H$2:$H$121,"Y")=0,"",SUMIFS(redemptions!$C$2:$C$121,redemptions!$A$2:$A$121,$A2,redemptions!$B$2:$B$121,SUMPRODUCT(MIN((redemptions!$A$2:$A$121=$A2)*(redemptions!$H$2:$H$121="Y")*redemptions!$B$2:$B$121+((redemptions!$A$2:$A$121&lt;&gt;$A2)+(redemptions!$H$2:$H$121&lt;&gt;"Y")&gt;0)*1000000)))))</f>
        <v>11</v>
      </c>
      <c r="DC2" s="32" t="n">
        <f aca="false">IF($A2="","",SUMIFS(invoices!$E$2:$E$151,invoices!$B$2:$B$151,$A2))</f>
        <v>480</v>
      </c>
      <c r="DD2" s="32" t="str">
        <f aca="false">IF($A2="","",IF(COUNTIFS(invoices!$B$2:$B$151,$A2,invoices!$C$2:$C$151,"standard_deposit",invoices!$H$2:$H$151,"&gt;0")=0,"",SUMIFS(invoices!$I$2:$I$151,invoices!$B$2:$B$151,$A2,invoices!$C$2:$C$151,"standard_deposit")))</f>
        <v/>
      </c>
      <c r="DE2" s="31" t="str">
        <f aca="false">IF($A2="","",IFERROR(1/(1/SUMPRODUCT(MAX((invoices!$B$2:$B$151=$A2)*(invoices!$C$2:$C$151="standard_deposit")*invoices!$H$2:$H$151))),""))</f>
        <v/>
      </c>
      <c r="DF2" s="31" t="n">
        <f aca="false">IF($A2="","",IFERROR(1/(1/SUMPRODUCT(MAX((invoices!$B$2:$B$151=$A2)*((invoices!$C$2:$C$151="founding_full")+(invoices!$C$2:$C$151="standard_balance"))*invoices!$H$2:$H$151))),""))</f>
        <v>46366</v>
      </c>
      <c r="DG2" s="32" t="n">
        <f aca="false">IF($A2="","",SUMIFS(invoices!$L$2:$L$151,invoices!$B$2:$B$151,$A2))</f>
        <v>0</v>
      </c>
      <c r="DH2" s="32" t="n">
        <f aca="false">IF($A2="","",SUMIFS(costs!$E$2:$E$301,costs!$C$2:$C$301,$A2))</f>
        <v>40</v>
      </c>
      <c r="DI2" s="32" t="n">
        <f aca="false">IF($A2="","",ROUND(IF(SUMIFS(campaigns!$BO$2:$BO$51,campaigns!$B$2:$B$51,$B2)=0,0,$BO2/SUMIFS(campaigns!$BO$2:$BO$51,campaigns!$B$2:$B$51,$B2))*(SUMIFS(costs!$E$2:$E$301,costs!$B$2:$B$301,$B2)-SUMPRODUCT((costs!$B$2:$B$301=$B2)*(LEN(costs!$C$2:$C$301)&gt;0)*costs!$E$2:$E$301)),2))</f>
        <v>36</v>
      </c>
      <c r="DJ2" s="33" t="n">
        <f aca="false">IF($A2="","",SUMIFS(hours!$E$2:$E$1501,hours!$C$2:$C$1501,$A2))</f>
        <v>12</v>
      </c>
      <c r="DK2" s="33" t="n">
        <f aca="false">IF($A2="","",ROUND(IF(SUMIFS(campaigns!$BO$2:$BO$51,campaigns!$B$2:$B$51,$B2)=0,0,$BO2/SUMIFS(campaigns!$BO$2:$BO$51,campaigns!$B$2:$B$51,$B2))*(SUMIFS(hours!$E$2:$E$1501,hours!$B$2:$B$1501,$B2)-SUMPRODUCT((hours!$B$2:$B$1501=$B2)*(LEN(hours!$C$2:$C$1501)&gt;0)*hours!$E$2:$E$1501)),2))</f>
        <v>16.5</v>
      </c>
      <c r="DL2" s="32" t="n">
        <f aca="false">IF($A2="","",$DC2-$DG2-$DH2-$DI2)</f>
        <v>404</v>
      </c>
      <c r="DM2" s="32" t="n">
        <f aca="false">IF($A2="","",IF(N($DJ2)+N($DK2)=0,"",ROUND($DL2/($DJ2+$DK2),2)))</f>
        <v>14.18</v>
      </c>
      <c r="DN2" s="34" t="n">
        <f aca="false">IF($A2="","",IF(N($BP2)=0,"",COUNTIFS(approvals!$A$2:$A$251,$A2,approvals!$Q$2:$Q$251,"Y",approvals!$AK$2:$AK$251,"Y")/$BP2))</f>
        <v>1</v>
      </c>
      <c r="DO2" s="33" t="n">
        <f aca="false">IF($A2="","",IF(COUNTIFS(approvals!$A$2:$A$251,$A2,approvals!$AC$2:$AC$251,"&gt;=0")=0,"",ROUND(SUMIFS(approvals!$AC$2:$AC$251,approvals!$A$2:$A$251,$A2)/COUNTIFS(approvals!$A$2:$A$251,$A2,approvals!$AC$2:$AC$251,"&gt;=0"),1)))</f>
        <v>10.7</v>
      </c>
      <c r="DP2" s="31" t="n">
        <f aca="false">IF($A2="","",IFERROR(IF(INDEX(drops!$T$2:$T$21,MATCH($B2,drops!$A$2:$A$21,0))="","",INDEX(drops!$T$2:$T$21,MATCH($B2,drops!$A$2:$A$21,0))),""))</f>
        <v>46409</v>
      </c>
      <c r="DQ2" s="31" t="n">
        <f aca="false">IF($A2="","",IFERROR(IF(INDEX(drops!$U$2:$U$21,MATCH($B2,drops!$A$2:$A$21,0))="","",INDEX(drops!$U$2:$U$21,MATCH($B2,drops!$A$2:$A$21,0))),""))</f>
        <v>46414</v>
      </c>
      <c r="DR2" s="31" t="n">
        <f aca="false">IF($A2="","",IFERROR(IF(INDEX(drops!$W$2:$W$21,MATCH($B2,drops!$A$2:$A$21,0))="","",INDEX(drops!$W$2:$W$21,MATCH($B2,drops!$A$2:$A$21,0))),""))</f>
        <v>46429</v>
      </c>
      <c r="DS2" s="30" t="str">
        <f aca="false">IF($A2="","",IF($CE2="","",IF($CE2&gt;=config!$B$31,"pass","miss")))</f>
        <v>miss</v>
      </c>
      <c r="DT2" s="30" t="str">
        <f aca="false">IF($A2="","",IF($CI2="","",IF($CI2&gt;=config!$B$30,"pass","miss")))</f>
        <v>miss</v>
      </c>
      <c r="DU2" s="30" t="str">
        <f aca="true">IF($A2="","",IF($AT2="",IF($DP2="","",IF(IF(config!$B$37&lt;&gt;"",config!$B$37,TODAY())&gt;$DP2,"late","due")),IF($AT2&lt;=$DP2,"pass","late")))</f>
        <v>pass</v>
      </c>
      <c r="DV2" s="30" t="str">
        <f aca="false">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info: 1 in-window responses with a card code that matches no office (not counted); info: brand insurance ends 2027-06-30: diary the renewal certificate; </v>
      </c>
    </row>
    <row r="3" customFormat="false" ht="41.75" hidden="false" customHeight="false" outlineLevel="0" collapsed="false">
      <c r="A3" s="0" t="s">
        <v>498</v>
      </c>
      <c r="B3" s="0" t="s">
        <v>337</v>
      </c>
      <c r="C3" s="0" t="s">
        <v>499</v>
      </c>
      <c r="D3" s="10" t="s">
        <v>474</v>
      </c>
      <c r="F3" s="0" t="n">
        <v>5</v>
      </c>
      <c r="G3" s="12"/>
      <c r="H3" s="11" t="n">
        <v>46364</v>
      </c>
      <c r="I3" s="10" t="s">
        <v>475</v>
      </c>
      <c r="J3" s="10" t="s">
        <v>500</v>
      </c>
      <c r="K3" s="0" t="n">
        <v>24</v>
      </c>
      <c r="L3" s="10" t="s">
        <v>501</v>
      </c>
      <c r="M3" s="10" t="s">
        <v>502</v>
      </c>
      <c r="N3" s="10" t="s">
        <v>503</v>
      </c>
      <c r="U3" s="10" t="s">
        <v>504</v>
      </c>
      <c r="V3" s="10" t="s">
        <v>505</v>
      </c>
      <c r="W3" s="10" t="s">
        <v>483</v>
      </c>
      <c r="Y3" s="10" t="s">
        <v>506</v>
      </c>
      <c r="Z3" s="10" t="s">
        <v>507</v>
      </c>
      <c r="AB3" s="11" t="n">
        <v>46371</v>
      </c>
      <c r="AC3" s="11" t="n">
        <v>46370</v>
      </c>
      <c r="AD3" s="11" t="n">
        <v>46370</v>
      </c>
      <c r="AF3" s="11" t="n">
        <v>46377</v>
      </c>
      <c r="AG3" s="11" t="n">
        <v>46374</v>
      </c>
      <c r="AH3" s="0" t="n">
        <v>275</v>
      </c>
      <c r="AI3" s="10" t="s">
        <v>508</v>
      </c>
      <c r="AJ3" s="10" t="s">
        <v>509</v>
      </c>
      <c r="AL3" s="10" t="s">
        <v>510</v>
      </c>
      <c r="AM3" s="10" t="s">
        <v>511</v>
      </c>
      <c r="AN3" s="10" t="s">
        <v>512</v>
      </c>
      <c r="AO3" s="2" t="s">
        <v>513</v>
      </c>
      <c r="AP3" s="10" t="s">
        <v>514</v>
      </c>
      <c r="AT3" s="11" t="n">
        <v>46409</v>
      </c>
      <c r="AU3" s="11" t="n">
        <v>46414</v>
      </c>
      <c r="AV3" s="10" t="s">
        <v>145</v>
      </c>
      <c r="AW3" s="10" t="s">
        <v>507</v>
      </c>
      <c r="AX3" s="10" t="s">
        <v>515</v>
      </c>
      <c r="AY3" s="11"/>
      <c r="BA3" s="11"/>
      <c r="BB3" s="11"/>
      <c r="BC3" s="11"/>
      <c r="BE3" s="30" t="str">
        <f aca="false">IF($A3="","",IFERROR(IF(INDEX(brands!$K$2:$K$41,MATCH($C3,brands!$A$2:$A$41,0))="","",INDEX(brands!$K$2:$K$41,MATCH($C3,brands!$A$2:$A$41,0))),""))</f>
        <v>SAMPLE Northbound</v>
      </c>
      <c r="BF3" s="30" t="str">
        <f aca="false">IF($A3="","",IFERROR(IF(INDEX(brands!$M$2:$M$41,MATCH($C3,brands!$A$2:$A$41,0))="","",INDEX(brands!$M$2:$M$41,MATCH($C3,brands!$A$2:$A$41,0))),""))</f>
        <v>sparkling-soda</v>
      </c>
      <c r="BG3" s="31" t="n">
        <f aca="false">IF($A3="","",IF(IFERROR(IF(INDEX(drops!$I$2:$I$21,MATCH($B3,drops!$A$2:$A$21,0))="","",INDEX(drops!$I$2:$I$21,MATCH($B3,drops!$A$2:$A$21,0))),"")="OK",IFERROR(IF(INDEX(drops!$B$2:$B$21,MATCH($B3,drops!$A$2:$A$21,0))="","",INDEX(drops!$B$2:$B$21,MATCH($B3,drops!$A$2:$A$21,0))),""),""))</f>
        <v>46399</v>
      </c>
      <c r="BH3" s="30" t="str">
        <f aca="false">IF($A3="","",IFERROR(IF(INDEX(drops!$C$2:$C$21,MATCH($B3,drops!$A$2:$A$21,0))="","",INDEX(drops!$C$2:$C$21,MATCH($B3,drops!$A$2:$A$21,0))),""))</f>
        <v>founder</v>
      </c>
      <c r="BI3" s="32" t="n">
        <f aca="false">IF($A3="","",IF($F3="","",IF($D3="founding",IF($E3="Y",config!$B$25*MIN($F3,config!$B$26)+config!$B$24*MAX(0,$F3-config!$B$26),config!$B$20+config!$B$24*MAX(0,$F3-config!$B$21)),IF($D3="standard",config!$B$22+config!$B$24*MAX(0,$F3-config!$B$23),""))))</f>
        <v>600</v>
      </c>
      <c r="BJ3" s="32" t="n">
        <f aca="false">IF($A3="","",IF($G3&lt;&gt;"",$G3,$BI3))</f>
        <v>600</v>
      </c>
      <c r="BK3" s="30" t="str">
        <f aca="false">IF($A3="","",IF($D3="founding","100% within "&amp;config!$B$27&amp;" business days of the invoice, before shipping",IF($D3="standard","50% on signing; 50% at placement confirmation (T+1)","")))</f>
        <v>100% within 5 business days of the invoice, before shipping</v>
      </c>
      <c r="BL3" s="31" t="n">
        <f aca="false">IF($A3="","",IFERROR(IF(INDEX(drops!$K$2:$K$21,MATCH($B3,drops!$A$2:$A$21,0))="","",INDEX(drops!$K$2:$K$21,MATCH($B3,drops!$A$2:$A$21,0))),""))</f>
        <v>46384</v>
      </c>
      <c r="BM3" s="31" t="n">
        <f aca="false">IF($A3="","",IFERROR(IF(INDEX(drops!$L$2:$L$21,MATCH($B3,drops!$A$2:$A$21,0))="","",INDEX(drops!$L$2:$L$21,MATCH($B3,drops!$A$2:$A$21,0))),""))</f>
        <v>46378</v>
      </c>
      <c r="BN3" s="30" t="n">
        <f aca="false">IF($A3="","",COUNTIF(approvals!$A$2:$A$251,$A3))</f>
        <v>5</v>
      </c>
      <c r="BO3" s="30" t="n">
        <f aca="false">IF($A3="","",COUNTIFS(approvals!$A$2:$A$251,$A3,approvals!$P$2:$P$251,"Y"))</f>
        <v>5</v>
      </c>
      <c r="BP3" s="30" t="n">
        <f aca="false">IF($A3="","",COUNTIFS(approvals!$A$2:$A$251,$A3,approvals!$Q$2:$Q$251,"Y"))</f>
        <v>5</v>
      </c>
      <c r="BQ3" s="30" t="n">
        <f aca="false">IF($A3="","",COUNTIFS(approvals!$A$2:$A$251,$A3,approvals!$P$2:$P$251,"pending"))</f>
        <v>0</v>
      </c>
      <c r="BR3" s="30" t="n">
        <f aca="false">IF($A3="","",SUMIFS(approvals!$S$2:$S$251,approvals!$A$2:$A$251,$A3,approvals!$P$2:$P$251,"Y"))</f>
        <v>250</v>
      </c>
      <c r="BS3" s="30" t="n">
        <f aca="false">IF($A3="","",ROUNDUP($BR3*config!$B$18,0))</f>
        <v>25</v>
      </c>
      <c r="BT3" s="30" t="n">
        <f aca="false">IF($A3="","",$BR3+$BS3)</f>
        <v>275</v>
      </c>
      <c r="BU3" s="32" t="n">
        <f aca="false">IF($A3="","",SUMIFS(invoices!$I$2:$I$151,invoices!$B$2:$B$151,$A3,invoices!$R$2:$R$151,"Y",invoices!$H$2:$H$151,"&gt;0"))</f>
        <v>600</v>
      </c>
      <c r="BV3" s="32" t="n">
        <f aca="false">IF($A3="","",IF($BJ3="","",IF($D3="founding",$BJ3,ROUND($BJ3*config!$B$28,2))))</f>
        <v>600</v>
      </c>
      <c r="BW3" s="30" t="str">
        <f aca="false">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RELEASED 2026-12-18: ship by Tue 2026-12-22 (latest Mon 2026-12-28)</v>
      </c>
      <c r="BX3" s="30" t="n">
        <f aca="false">IF($A3="","",SUMIFS(inventory!$G$2:$G$801,inventory!$C$2:$C$801,$A3,inventory!$E$2:$E$801,"received"))</f>
        <v>275</v>
      </c>
      <c r="BY3" s="30" t="n">
        <f aca="false">IF($A3="","",SUMIFS(inventory!$G$2:$G$801,inventory!$C$2:$C$801,$A3,inventory!$E$2:$E$801,"rejected"))</f>
        <v>16</v>
      </c>
      <c r="BZ3" s="30" t="n">
        <f aca="false">IF($A3="","",SUMIFS(inventory!$M$2:$M$801,inventory!$C$2:$C$801,$A3))</f>
        <v>0</v>
      </c>
      <c r="CA3" s="30" t="n">
        <f aca="false">IF($A3="","",SUMIFS(inventory!$O$2:$O$801,inventory!$C$2:$C$801,$A3))</f>
        <v>0</v>
      </c>
      <c r="CB3" s="30" t="n">
        <f aca="false">IF($A3="","",SUMIFS(approvals!$U$2:$U$251,approvals!$A$2:$A$251,$A3))</f>
        <v>250</v>
      </c>
      <c r="CC3" s="30" t="n">
        <f aca="false">IF($A3="","",SUMIFS(approvals!$AA$2:$AA$251,approvals!$A$2:$A$251,$A3))</f>
        <v>250</v>
      </c>
      <c r="CD3" s="30" t="n">
        <f aca="false">IF($A3="","",SUMIFS(approvals!$AA$2:$AA$251,approvals!$A$2:$A$251,$A3,approvals!$AB$2:$AB$251,"Y"))</f>
        <v>250</v>
      </c>
      <c r="CE3" s="34" t="n">
        <f aca="false">IF($A3="","",IF(N($CB3)=0,"",$CD3/$CB3))</f>
        <v>1</v>
      </c>
      <c r="CF3" s="30" t="n">
        <f aca="false">IF($A3="","",SUMIFS(approvals!$AD$2:$AD$251,approvals!$A$2:$A$251,$A3))</f>
        <v>6</v>
      </c>
      <c r="CG3" s="30" t="n">
        <f aca="false">IF($A3="","",IF(COUNTIFS(approvals!$A$2:$A$251,$A3,approvals!$Q$2:$Q$251,"Y",approvals!$AG$2:$AG$251,"")&gt;0,"",SUMIFS(approvals!$AG$2:$AG$251,approvals!$A$2:$A$251,$A3,approvals!$Q$2:$Q$251,"Y")))</f>
        <v>238</v>
      </c>
      <c r="CH3" s="30" t="n">
        <f aca="false">IF($A3="","",SUMIFS(approvals!$AL$2:$AL$251,approvals!$A$2:$A$251,$A3,approvals!$Q$2:$Q$251,"Y"))</f>
        <v>32</v>
      </c>
      <c r="CI3" s="30" t="n">
        <f aca="false">IF($A3="","",IF(N($BP3)=0,"",SUMPRODUCT(MIN(approvals!$BB$2:$BB$251+(approvals!$A$2:$A$251&lt;&gt;$A3)*1000000))))</f>
        <v>5</v>
      </c>
      <c r="CJ3" s="30" t="n">
        <f aca="false">IF($A3="","",COUNTIFS(approvals!$A$2:$A$251,$A3,approvals!$Q$2:$Q$251,"Y",approvals!$AL$2:$AL$251,"&lt;"&amp;config!$B$30))</f>
        <v>0</v>
      </c>
      <c r="CK3" s="30" t="n">
        <f aca="false">IF($A3="","",SUMIFS(approvals!$AM$2:$AM$251,approvals!$A$2:$A$251,$A3,approvals!$Q$2:$Q$251,"Y"))</f>
        <v>21</v>
      </c>
      <c r="CL3" s="30" t="n">
        <f aca="false">IF($A3="","",SUMIFS(approvals!$AQ$2:$AQ$251,approvals!$A$2:$A$251,$A3,approvals!$Q$2:$Q$251,"Y"))</f>
        <v>5</v>
      </c>
      <c r="CM3" s="30" t="n">
        <f aca="false">IF($A3="","",SUMIFS(approvals!$AR$2:$AR$251,approvals!$A$2:$A$251,$A3,approvals!$Q$2:$Q$251,"Y"))</f>
        <v>1</v>
      </c>
      <c r="CN3" s="30" t="n">
        <f aca="false">IF($A3="","",SUMIFS(approvals!$AS$2:$AS$251,approvals!$A$2:$A$251,$A3,approvals!$Q$2:$Q$251,"Y"))</f>
        <v>5</v>
      </c>
      <c r="CO3" s="30" t="n">
        <f aca="false">IF($A3="","",SUMIFS(approvals!$AT$2:$AT$251,approvals!$A$2:$A$251,$A3,approvals!$Q$2:$Q$251,"Y"))</f>
        <v>21</v>
      </c>
      <c r="CP3" s="33" t="n">
        <f aca="false">IF($A3="","",IF(N($CO3)=0,"",ROUND(SUMIFS(approvals!$AU$2:$AU$251,approvals!$A$2:$A$251,$A3,approvals!$Q$2:$Q$251,"Y")/$CO3,1)))</f>
        <v>4.1</v>
      </c>
      <c r="CQ3" s="30" t="n">
        <f aca="false">IF($A3="","",SUMIFS(approvals!$AV$2:$AV$251,approvals!$A$2:$A$251,$A3,approvals!$Q$2:$Q$251,"Y"))</f>
        <v>8</v>
      </c>
      <c r="CR3" s="30" t="n">
        <f aca="false">IF($A3="","",SUMIFS(approvals!$AW$2:$AW$251,approvals!$A$2:$A$251,$A3,approvals!$Q$2:$Q$251,"Y"))</f>
        <v>8</v>
      </c>
      <c r="CS3" s="30" t="n">
        <f aca="false">IF($A3="","",SUMIFS(approvals!$AX$2:$AX$251,approvals!$A$2:$A$251,$A3,approvals!$Q$2:$Q$251,"Y"))</f>
        <v>5</v>
      </c>
      <c r="CT3" s="30" t="n">
        <f aca="false">IF($A3="","",SUMIFS(approvals!$AY$2:$AY$251,approvals!$A$2:$A$251,$A3,approvals!$Q$2:$Q$251,"Y"))</f>
        <v>12</v>
      </c>
      <c r="CU3" s="30" t="n">
        <f aca="true">IF($A3="","",IF(OR($BG3="",$BC3&lt;&gt;""),"",IFERROR(COUNT(INDIRECT("'"&amp;$A3&amp;"'!$A$2:$A$501")),0)-IFERROR(COUNTIFS(INDIRECT("'"&amp;$A3&amp;"'!$A$2:$A$501"),"&gt;="&amp;$BG3,INDIRECT("'"&amp;$A3&amp;"'!$A$2:$A$501"),"&lt;"&amp;(IFERROR(IF(INDEX(drops!$R$2:$R$21,MATCH($B3,drops!$A$2:$A$21,0))="","",INDEX(drops!$R$2:$R$21,MATCH($B3,drops!$A$2:$A$21,0))),"")+1)),0)))</f>
        <v>0</v>
      </c>
      <c r="CV3" s="30" t="n">
        <f aca="true">IF($A3="","",IF(OR($BG3="",$BC3&lt;&gt;""),"",IFERROR(COUNTIFS(INDIRECT("'"&amp;$A3&amp;"'!$A$2:$A$501"),"&gt;="&amp;$BG3,INDIRECT("'"&amp;$A3&amp;"'!$A$2:$A$501"),"&lt;"&amp;(IFERROR(IF(INDEX(drops!$R$2:$R$21,MATCH($B3,drops!$A$2:$A$21,0))="","",INDEX(drops!$R$2:$R$21,MATCH($B3,drops!$A$2:$A$21,0))),"")+1)),0)-N($CH3)-N($CW3)))</f>
        <v>0</v>
      </c>
      <c r="CW3" s="30" t="n">
        <f aca="false">IF($A3="","",IF($BG3="","",SUMIFS(approvals!$AL$2:$AL$251,approvals!$A$2:$A$251,$A3,approvals!$Q$2:$Q$251,"&lt;&gt;Y")))</f>
        <v>0</v>
      </c>
      <c r="CX3" s="30" t="n">
        <f aca="false">IF($A3="","",SUMIFS(approvals!$AN$2:$AN$251,approvals!$A$2:$A$251,$A3,approvals!$Q$2:$Q$251,"Y"))</f>
        <v>39</v>
      </c>
      <c r="CY3" s="30" t="n">
        <f aca="false">IF($A3="","",SUMIFS(approvals!$AO$2:$AO$251,approvals!$A$2:$A$251,$A3,approvals!$Q$2:$Q$251,"Y"))</f>
        <v>15</v>
      </c>
      <c r="CZ3" s="30" t="n">
        <f aca="false">IF($A3="","",IF($DA3="","",SUMIFS(redemptions!$C$2:$C$121,redemptions!$A$2:$A$121,$A3,redemptions!$B$2:$B$121,$DA3)))</f>
        <v>4</v>
      </c>
      <c r="DA3" s="31" t="n">
        <f aca="false">IF($A3="","",IFERROR(1/(1/SUMPRODUCT(MAX((redemptions!$A$2:$A$121=$A3)*redemptions!$B$2:$B$121))),""))</f>
        <v>46430</v>
      </c>
      <c r="DB3" s="30" t="n">
        <f aca="false">IF($A3="","",IF(COUNTIFS(redemptions!$A$2:$A$121,$A3,redemptions!$H$2:$H$121,"Y")=0,"",SUMIFS(redemptions!$C$2:$C$121,redemptions!$A$2:$A$121,$A3,redemptions!$B$2:$B$121,SUMPRODUCT(MIN((redemptions!$A$2:$A$121=$A3)*(redemptions!$H$2:$H$121="Y")*redemptions!$B$2:$B$121+((redemptions!$A$2:$A$121&lt;&gt;$A3)+(redemptions!$H$2:$H$121&lt;&gt;"Y")&gt;0)*1000000)))))</f>
        <v>4</v>
      </c>
      <c r="DC3" s="32" t="n">
        <f aca="false">IF($A3="","",SUMIFS(invoices!$E$2:$E$151,invoices!$B$2:$B$151,$A3))</f>
        <v>600</v>
      </c>
      <c r="DD3" s="32" t="str">
        <f aca="false">IF($A3="","",IF(COUNTIFS(invoices!$B$2:$B$151,$A3,invoices!$C$2:$C$151,"standard_deposit",invoices!$H$2:$H$151,"&gt;0")=0,"",SUMIFS(invoices!$I$2:$I$151,invoices!$B$2:$B$151,$A3,invoices!$C$2:$C$151,"standard_deposit")))</f>
        <v/>
      </c>
      <c r="DE3" s="31" t="str">
        <f aca="false">IF($A3="","",IFERROR(1/(1/SUMPRODUCT(MAX((invoices!$B$2:$B$151=$A3)*(invoices!$C$2:$C$151="standard_deposit")*invoices!$H$2:$H$151))),""))</f>
        <v/>
      </c>
      <c r="DF3" s="31" t="n">
        <f aca="false">IF($A3="","",IFERROR(1/(1/SUMPRODUCT(MAX((invoices!$B$2:$B$151=$A3)*((invoices!$C$2:$C$151="founding_full")+(invoices!$C$2:$C$151="standard_balance"))*invoices!$H$2:$H$151))),""))</f>
        <v>46367</v>
      </c>
      <c r="DG3" s="32" t="n">
        <f aca="false">IF($A3="","",SUMIFS(invoices!$L$2:$L$151,invoices!$B$2:$B$151,$A3))</f>
        <v>0</v>
      </c>
      <c r="DH3" s="32" t="n">
        <f aca="false">IF($A3="","",SUMIFS(costs!$E$2:$E$301,costs!$C$2:$C$301,$A3))</f>
        <v>40</v>
      </c>
      <c r="DI3" s="32" t="n">
        <f aca="false">IF($A3="","",ROUND(IF(SUMIFS(campaigns!$BO$2:$BO$51,campaigns!$B$2:$B$51,$B3)=0,0,$BO3/SUMIFS(campaigns!$BO$2:$BO$51,campaigns!$B$2:$B$51,$B3))*(SUMIFS(costs!$E$2:$E$301,costs!$B$2:$B$301,$B3)-SUMPRODUCT((costs!$B$2:$B$301=$B3)*(LEN(costs!$C$2:$C$301)&gt;0)*costs!$E$2:$E$301)),2))</f>
        <v>36</v>
      </c>
      <c r="DJ3" s="33" t="n">
        <f aca="false">IF($A3="","",SUMIFS(hours!$E$2:$E$1501,hours!$C$2:$C$1501,$A3))</f>
        <v>12</v>
      </c>
      <c r="DK3" s="33" t="n">
        <f aca="false">IF($A3="","",ROUND(IF(SUMIFS(campaigns!$BO$2:$BO$51,campaigns!$B$2:$B$51,$B3)=0,0,$BO3/SUMIFS(campaigns!$BO$2:$BO$51,campaigns!$B$2:$B$51,$B3))*(SUMIFS(hours!$E$2:$E$1501,hours!$B$2:$B$1501,$B3)-SUMPRODUCT((hours!$B$2:$B$1501=$B3)*(LEN(hours!$C$2:$C$1501)&gt;0)*hours!$E$2:$E$1501)),2))</f>
        <v>16.5</v>
      </c>
      <c r="DL3" s="32" t="n">
        <f aca="false">IF($A3="","",$DC3-$DG3-$DH3-$DI3)</f>
        <v>524</v>
      </c>
      <c r="DM3" s="32" t="n">
        <f aca="false">IF($A3="","",IF(N($DJ3)+N($DK3)=0,"",ROUND($DL3/($DJ3+$DK3),2)))</f>
        <v>18.39</v>
      </c>
      <c r="DN3" s="34" t="n">
        <f aca="false">IF($A3="","",IF(N($BP3)=0,"",COUNTIFS(approvals!$A$2:$A$251,$A3,approvals!$Q$2:$Q$251,"Y",approvals!$AK$2:$AK$251,"Y")/$BP3))</f>
        <v>0.8</v>
      </c>
      <c r="DO3" s="33" t="n">
        <f aca="false">IF($A3="","",IF(COUNTIFS(approvals!$A$2:$A$251,$A3,approvals!$AC$2:$AC$251,"&gt;=0")=0,"",ROUND(SUMIFS(approvals!$AC$2:$AC$251,approvals!$A$2:$A$251,$A3)/COUNTIFS(approvals!$A$2:$A$251,$A3,approvals!$AC$2:$AC$251,"&gt;=0"),1)))</f>
        <v>5.7</v>
      </c>
      <c r="DP3" s="31" t="n">
        <f aca="false">IF($A3="","",IFERROR(IF(INDEX(drops!$T$2:$T$21,MATCH($B3,drops!$A$2:$A$21,0))="","",INDEX(drops!$T$2:$T$21,MATCH($B3,drops!$A$2:$A$21,0))),""))</f>
        <v>46409</v>
      </c>
      <c r="DQ3" s="31" t="n">
        <f aca="false">IF($A3="","",IFERROR(IF(INDEX(drops!$U$2:$U$21,MATCH($B3,drops!$A$2:$A$21,0))="","",INDEX(drops!$U$2:$U$21,MATCH($B3,drops!$A$2:$A$21,0))),""))</f>
        <v>46414</v>
      </c>
      <c r="DR3" s="31" t="n">
        <f aca="false">IF($A3="","",IFERROR(IF(INDEX(drops!$W$2:$W$21,MATCH($B3,drops!$A$2:$A$21,0))="","",INDEX(drops!$W$2:$W$21,MATCH($B3,drops!$A$2:$A$21,0))),""))</f>
        <v>46429</v>
      </c>
      <c r="DS3" s="30" t="str">
        <f aca="false">IF($A3="","",IF($CE3="","",IF($CE3&gt;=config!$B$31,"pass","miss")))</f>
        <v>pass</v>
      </c>
      <c r="DT3" s="30" t="str">
        <f aca="false">IF($A3="","",IF($CI3="","",IF($CI3&gt;=config!$B$30,"pass","miss")))</f>
        <v>pass</v>
      </c>
      <c r="DU3" s="30" t="str">
        <f aca="true">IF($A3="","",IF($AT3="",IF($DP3="","",IF(IF(config!$B$37&lt;&gt;"",config!$B$37,TODAY())&gt;$DP3,"late","due")),IF($AT3&lt;=$DP3,"pass","late")))</f>
        <v>pass</v>
      </c>
      <c r="DV3" s="30" t="str">
        <f aca="false">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ustomFormat="false" ht="41.75" hidden="false" customHeight="false" outlineLevel="0" collapsed="false">
      <c r="A4" s="0" t="s">
        <v>516</v>
      </c>
      <c r="B4" s="0" t="s">
        <v>344</v>
      </c>
      <c r="C4" s="0" t="s">
        <v>517</v>
      </c>
      <c r="D4" s="10" t="s">
        <v>518</v>
      </c>
      <c r="F4" s="0" t="n">
        <v>10</v>
      </c>
      <c r="G4" s="12"/>
      <c r="H4" s="11" t="n">
        <v>46391</v>
      </c>
      <c r="I4" s="10" t="s">
        <v>475</v>
      </c>
      <c r="J4" s="10" t="s">
        <v>519</v>
      </c>
      <c r="L4" s="10" t="s">
        <v>520</v>
      </c>
      <c r="M4" s="10" t="s">
        <v>478</v>
      </c>
      <c r="N4" s="10" t="s">
        <v>521</v>
      </c>
      <c r="O4" s="10" t="s">
        <v>522</v>
      </c>
      <c r="U4" s="10" t="s">
        <v>481</v>
      </c>
      <c r="V4" s="10" t="s">
        <v>523</v>
      </c>
      <c r="W4" s="10" t="s">
        <v>483</v>
      </c>
      <c r="Y4" s="10" t="s">
        <v>485</v>
      </c>
      <c r="Z4" s="10" t="s">
        <v>507</v>
      </c>
      <c r="AB4" s="11" t="n">
        <v>46394</v>
      </c>
      <c r="AC4" s="11" t="n">
        <v>46394</v>
      </c>
      <c r="AD4" s="11" t="n">
        <v>46394</v>
      </c>
      <c r="AF4" s="11" t="n">
        <v>46416</v>
      </c>
      <c r="AG4" s="11" t="n">
        <v>46402</v>
      </c>
      <c r="AH4" s="0" t="n">
        <v>567</v>
      </c>
      <c r="AI4" s="10" t="s">
        <v>524</v>
      </c>
      <c r="AJ4" s="10" t="s">
        <v>525</v>
      </c>
      <c r="AL4" s="10" t="s">
        <v>526</v>
      </c>
      <c r="AM4" s="10" t="s">
        <v>527</v>
      </c>
      <c r="AN4" s="10" t="s">
        <v>528</v>
      </c>
      <c r="AO4" s="2" t="s">
        <v>529</v>
      </c>
      <c r="AP4" s="10" t="s">
        <v>530</v>
      </c>
      <c r="AT4" s="11" t="n">
        <v>46437</v>
      </c>
      <c r="AU4" s="11" t="n">
        <v>46442</v>
      </c>
      <c r="AV4" s="10" t="s">
        <v>496</v>
      </c>
      <c r="AW4" s="10" t="s">
        <v>486</v>
      </c>
      <c r="AX4" s="10" t="s">
        <v>531</v>
      </c>
      <c r="AY4" s="11"/>
      <c r="BA4" s="11"/>
      <c r="BB4" s="11"/>
      <c r="BC4" s="11"/>
      <c r="BE4" s="30" t="str">
        <f aca="false">IF($A4="","",IFERROR(IF(INDEX(brands!$K$2:$K$41,MATCH($C4,brands!$A$2:$A$41,0))="","",INDEX(brands!$K$2:$K$41,MATCH($C4,brands!$A$2:$A$41,0))),""))</f>
        <v>SAMPLE Tallgrass</v>
      </c>
      <c r="BF4" s="30" t="str">
        <f aca="false">IF($A4="","",IFERROR(IF(INDEX(brands!$M$2:$M$41,MATCH($C4,brands!$A$2:$A$41,0))="","",INDEX(brands!$M$2:$M$41,MATCH($C4,brands!$A$2:$A$41,0))),""))</f>
        <v>bars</v>
      </c>
      <c r="BG4" s="31" t="n">
        <f aca="false">IF($A4="","",IF(IFERROR(IF(INDEX(drops!$I$2:$I$21,MATCH($B4,drops!$A$2:$A$21,0))="","",INDEX(drops!$I$2:$I$21,MATCH($B4,drops!$A$2:$A$21,0))),"")="OK",IFERROR(IF(INDEX(drops!$B$2:$B$21,MATCH($B4,drops!$A$2:$A$21,0))="","",INDEX(drops!$B$2:$B$21,MATCH($B4,drops!$A$2:$A$21,0))),""),""))</f>
        <v>46427</v>
      </c>
      <c r="BH4" s="30" t="str">
        <f aca="false">IF($A4="","",IFERROR(IF(INDEX(drops!$C$2:$C$21,MATCH($B4,drops!$A$2:$A$21,0))="","",INDEX(drops!$C$2:$C$21,MATCH($B4,drops!$A$2:$A$21,0))),""))</f>
        <v>courier</v>
      </c>
      <c r="BI4" s="32" t="n">
        <f aca="false">IF($A4="","",IF($F4="","",IF($D4="founding",IF($E4="Y",config!$B$25*MIN($F4,config!$B$26)+config!$B$24*MAX(0,$F4-config!$B$26),config!$B$20+config!$B$24*MAX(0,$F4-config!$B$21)),IF($D4="standard",config!$B$22+config!$B$24*MAX(0,$F4-config!$B$23),""))))</f>
        <v>1500</v>
      </c>
      <c r="BJ4" s="32" t="n">
        <f aca="false">IF($A4="","",IF($G4&lt;&gt;"",$G4,$BI4))</f>
        <v>1500</v>
      </c>
      <c r="BK4" s="30" t="str">
        <f aca="false">IF($A4="","",IF($D4="founding","100% within "&amp;config!$B$27&amp;" business days of the invoice, before shipping",IF($D4="standard","50% on signing; 50% at placement confirmation (T+1)","")))</f>
        <v>50% on signing; 50% at placement confirmation (T+1)</v>
      </c>
      <c r="BL4" s="31" t="n">
        <f aca="false">IF($A4="","",IFERROR(IF(INDEX(drops!$K$2:$K$21,MATCH($B4,drops!$A$2:$A$21,0))="","",INDEX(drops!$K$2:$K$21,MATCH($B4,drops!$A$2:$A$21,0))),""))</f>
        <v>46413</v>
      </c>
      <c r="BM4" s="31" t="n">
        <f aca="false">IF($A4="","",IFERROR(IF(INDEX(drops!$L$2:$L$21,MATCH($B4,drops!$A$2:$A$21,0))="","",INDEX(drops!$L$2:$L$21,MATCH($B4,drops!$A$2:$A$21,0))),""))</f>
        <v>46413</v>
      </c>
      <c r="BN4" s="30" t="n">
        <f aca="false">IF($A4="","",COUNTIF(approvals!$A$2:$A$251,$A4))</f>
        <v>10</v>
      </c>
      <c r="BO4" s="30" t="n">
        <f aca="false">IF($A4="","",COUNTIFS(approvals!$A$2:$A$251,$A4,approvals!$P$2:$P$251,"Y"))</f>
        <v>10</v>
      </c>
      <c r="BP4" s="30" t="n">
        <f aca="false">IF($A4="","",COUNTIFS(approvals!$A$2:$A$251,$A4,approvals!$Q$2:$Q$251,"Y"))</f>
        <v>10</v>
      </c>
      <c r="BQ4" s="30" t="n">
        <f aca="false">IF($A4="","",COUNTIFS(approvals!$A$2:$A$251,$A4,approvals!$P$2:$P$251,"pending"))</f>
        <v>0</v>
      </c>
      <c r="BR4" s="30" t="n">
        <f aca="false">IF($A4="","",SUMIFS(approvals!$S$2:$S$251,approvals!$A$2:$A$251,$A4,approvals!$P$2:$P$251,"Y"))</f>
        <v>485</v>
      </c>
      <c r="BS4" s="30" t="n">
        <f aca="false">IF($A4="","",ROUNDUP($BR4*config!$B$18,0))</f>
        <v>49</v>
      </c>
      <c r="BT4" s="30" t="n">
        <f aca="false">IF($A4="","",$BR4+$BS4)</f>
        <v>534</v>
      </c>
      <c r="BU4" s="32" t="n">
        <f aca="false">IF($A4="","",SUMIFS(invoices!$I$2:$I$151,invoices!$B$2:$B$151,$A4,invoices!$R$2:$R$151,"Y",invoices!$H$2:$H$151,"&gt;0"))</f>
        <v>750</v>
      </c>
      <c r="BV4" s="32" t="n">
        <f aca="false">IF($A4="","",IF($BJ4="","",IF($D4="founding",$BJ4,ROUND($BJ4*config!$B$28,2))))</f>
        <v>750</v>
      </c>
      <c r="BW4" s="30" t="str">
        <f aca="false">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RELEASED 2027-01-14: ship by Tue 2027-01-26 (latest Tue 2027-01-26)</v>
      </c>
      <c r="BX4" s="30" t="n">
        <f aca="false">IF($A4="","",SUMIFS(inventory!$G$2:$G$801,inventory!$C$2:$C$801,$A4,inventory!$E$2:$E$801,"received"))</f>
        <v>510</v>
      </c>
      <c r="BY4" s="30" t="n">
        <f aca="false">IF($A4="","",SUMIFS(inventory!$G$2:$G$801,inventory!$C$2:$C$801,$A4,inventory!$E$2:$E$801,"rejected"))</f>
        <v>0</v>
      </c>
      <c r="BZ4" s="30" t="n">
        <f aca="false">IF($A4="","",SUMIFS(inventory!$M$2:$M$801,inventory!$C$2:$C$801,$A4))</f>
        <v>0</v>
      </c>
      <c r="CA4" s="30" t="n">
        <f aca="false">IF($A4="","",SUMIFS(inventory!$O$2:$O$801,inventory!$C$2:$C$801,$A4))</f>
        <v>0</v>
      </c>
      <c r="CB4" s="30" t="n">
        <f aca="false">IF($A4="","",SUMIFS(approvals!$U$2:$U$251,approvals!$A$2:$A$251,$A4))</f>
        <v>485</v>
      </c>
      <c r="CC4" s="30" t="n">
        <f aca="false">IF($A4="","",SUMIFS(approvals!$AA$2:$AA$251,approvals!$A$2:$A$251,$A4))</f>
        <v>485</v>
      </c>
      <c r="CD4" s="30" t="n">
        <f aca="false">IF($A4="","",SUMIFS(approvals!$AA$2:$AA$251,approvals!$A$2:$A$251,$A4,approvals!$AB$2:$AB$251,"Y"))</f>
        <v>485</v>
      </c>
      <c r="CE4" s="34" t="n">
        <f aca="false">IF($A4="","",IF(N($CB4)=0,"",$CD4/$CB4))</f>
        <v>1</v>
      </c>
      <c r="CF4" s="30" t="n">
        <f aca="false">IF($A4="","",SUMIFS(approvals!$AD$2:$AD$251,approvals!$A$2:$A$251,$A4))</f>
        <v>0</v>
      </c>
      <c r="CG4" s="30" t="n">
        <f aca="false">IF($A4="","",IF(COUNTIFS(approvals!$A$2:$A$251,$A4,approvals!$Q$2:$Q$251,"Y",approvals!$AG$2:$AG$251,"")&gt;0,"",SUMIFS(approvals!$AG$2:$AG$251,approvals!$A$2:$A$251,$A4,approvals!$Q$2:$Q$251,"Y")))</f>
        <v>443</v>
      </c>
      <c r="CH4" s="30" t="n">
        <f aca="false">IF($A4="","",SUMIFS(approvals!$AL$2:$AL$251,approvals!$A$2:$A$251,$A4,approvals!$Q$2:$Q$251,"Y"))</f>
        <v>76</v>
      </c>
      <c r="CI4" s="30" t="n">
        <f aca="false">IF($A4="","",IF(N($BP4)=0,"",SUMPRODUCT(MIN(approvals!$BB$2:$BB$251+(approvals!$A$2:$A$251&lt;&gt;$A4)*1000000))))</f>
        <v>6</v>
      </c>
      <c r="CJ4" s="30" t="n">
        <f aca="false">IF($A4="","",COUNTIFS(approvals!$A$2:$A$251,$A4,approvals!$Q$2:$Q$251,"Y",approvals!$AL$2:$AL$251,"&lt;"&amp;config!$B$30))</f>
        <v>0</v>
      </c>
      <c r="CK4" s="30" t="n">
        <f aca="false">IF($A4="","",SUMIFS(approvals!$AM$2:$AM$251,approvals!$A$2:$A$251,$A4,approvals!$Q$2:$Q$251,"Y"))</f>
        <v>54</v>
      </c>
      <c r="CL4" s="30" t="n">
        <f aca="false">IF($A4="","",SUMIFS(approvals!$AQ$2:$AQ$251,approvals!$A$2:$A$251,$A4,approvals!$Q$2:$Q$251,"Y"))</f>
        <v>11</v>
      </c>
      <c r="CM4" s="30" t="n">
        <f aca="false">IF($A4="","",SUMIFS(approvals!$AR$2:$AR$251,approvals!$A$2:$A$251,$A4,approvals!$Q$2:$Q$251,"Y"))</f>
        <v>5</v>
      </c>
      <c r="CN4" s="30" t="n">
        <f aca="false">IF($A4="","",SUMIFS(approvals!$AS$2:$AS$251,approvals!$A$2:$A$251,$A4,approvals!$Q$2:$Q$251,"Y"))</f>
        <v>6</v>
      </c>
      <c r="CO4" s="30" t="n">
        <f aca="false">IF($A4="","",SUMIFS(approvals!$AT$2:$AT$251,approvals!$A$2:$A$251,$A4,approvals!$Q$2:$Q$251,"Y"))</f>
        <v>54</v>
      </c>
      <c r="CP4" s="33" t="n">
        <f aca="false">IF($A4="","",IF(N($CO4)=0,"",ROUND(SUMIFS(approvals!$AU$2:$AU$251,approvals!$A$2:$A$251,$A4,approvals!$Q$2:$Q$251,"Y")/$CO4,1)))</f>
        <v>4.1</v>
      </c>
      <c r="CQ4" s="30" t="n">
        <f aca="false">IF($A4="","",SUMIFS(approvals!$AV$2:$AV$251,approvals!$A$2:$A$251,$A4,approvals!$Q$2:$Q$251,"Y"))</f>
        <v>27</v>
      </c>
      <c r="CR4" s="30" t="n">
        <f aca="false">IF($A4="","",SUMIFS(approvals!$AW$2:$AW$251,approvals!$A$2:$A$251,$A4,approvals!$Q$2:$Q$251,"Y"))</f>
        <v>16</v>
      </c>
      <c r="CS4" s="30" t="n">
        <f aca="false">IF($A4="","",SUMIFS(approvals!$AX$2:$AX$251,approvals!$A$2:$A$251,$A4,approvals!$Q$2:$Q$251,"Y"))</f>
        <v>11</v>
      </c>
      <c r="CT4" s="30" t="n">
        <f aca="false">IF($A4="","",SUMIFS(approvals!$AY$2:$AY$251,approvals!$A$2:$A$251,$A4,approvals!$Q$2:$Q$251,"Y"))</f>
        <v>32</v>
      </c>
      <c r="CU4" s="30" t="n">
        <f aca="true">IF($A4="","",IF(OR($BG4="",$BC4&lt;&gt;""),"",IFERROR(COUNT(INDIRECT("'"&amp;$A4&amp;"'!$A$2:$A$501")),0)-IFERROR(COUNTIFS(INDIRECT("'"&amp;$A4&amp;"'!$A$2:$A$501"),"&gt;="&amp;$BG4,INDIRECT("'"&amp;$A4&amp;"'!$A$2:$A$501"),"&lt;"&amp;(IFERROR(IF(INDEX(drops!$R$2:$R$21,MATCH($B4,drops!$A$2:$A$21,0))="","",INDEX(drops!$R$2:$R$21,MATCH($B4,drops!$A$2:$A$21,0))),"")+1)),0)))</f>
        <v>0</v>
      </c>
      <c r="CV4" s="30" t="n">
        <f aca="true">IF($A4="","",IF(OR($BG4="",$BC4&lt;&gt;""),"",IFERROR(COUNTIFS(INDIRECT("'"&amp;$A4&amp;"'!$A$2:$A$501"),"&gt;="&amp;$BG4,INDIRECT("'"&amp;$A4&amp;"'!$A$2:$A$501"),"&lt;"&amp;(IFERROR(IF(INDEX(drops!$R$2:$R$21,MATCH($B4,drops!$A$2:$A$21,0))="","",INDEX(drops!$R$2:$R$21,MATCH($B4,drops!$A$2:$A$21,0))),"")+1)),0)-N($CH4)-N($CW4)))</f>
        <v>0</v>
      </c>
      <c r="CW4" s="30" t="n">
        <f aca="false">IF($A4="","",IF($BG4="","",SUMIFS(approvals!$AL$2:$AL$251,approvals!$A$2:$A$251,$A4,approvals!$Q$2:$Q$251,"&lt;&gt;Y")))</f>
        <v>0</v>
      </c>
      <c r="CX4" s="30" t="n">
        <f aca="false">IF($A4="","",SUMIFS(approvals!$AN$2:$AN$251,approvals!$A$2:$A$251,$A4,approvals!$Q$2:$Q$251,"Y"))</f>
        <v>83</v>
      </c>
      <c r="CY4" s="30" t="n">
        <f aca="false">IF($A4="","",SUMIFS(approvals!$AO$2:$AO$251,approvals!$A$2:$A$251,$A4,approvals!$Q$2:$Q$251,"Y"))</f>
        <v>73</v>
      </c>
      <c r="CZ4" s="30" t="n">
        <f aca="false">IF($A4="","",IF($DA4="","",SUMIFS(redemptions!$C$2:$C$121,redemptions!$A$2:$A$121,$A4,redemptions!$B$2:$B$121,$DA4)))</f>
        <v>17</v>
      </c>
      <c r="DA4" s="31" t="n">
        <f aca="false">IF($A4="","",IFERROR(1/(1/SUMPRODUCT(MAX((redemptions!$A$2:$A$121=$A4)*redemptions!$B$2:$B$121))),""))</f>
        <v>46457</v>
      </c>
      <c r="DB4" s="30" t="n">
        <f aca="false">IF($A4="","",IF(COUNTIFS(redemptions!$A$2:$A$121,$A4,redemptions!$H$2:$H$121,"Y")=0,"",SUMIFS(redemptions!$C$2:$C$121,redemptions!$A$2:$A$121,$A4,redemptions!$B$2:$B$121,SUMPRODUCT(MIN((redemptions!$A$2:$A$121=$A4)*(redemptions!$H$2:$H$121="Y")*redemptions!$B$2:$B$121+((redemptions!$A$2:$A$121&lt;&gt;$A4)+(redemptions!$H$2:$H$121&lt;&gt;"Y")&gt;0)*1000000)))))</f>
        <v>17</v>
      </c>
      <c r="DC4" s="32" t="n">
        <f aca="false">IF($A4="","",SUMIFS(invoices!$E$2:$E$151,invoices!$B$2:$B$151,$A4))</f>
        <v>1500</v>
      </c>
      <c r="DD4" s="32" t="n">
        <f aca="false">IF($A4="","",IF(COUNTIFS(invoices!$B$2:$B$151,$A4,invoices!$C$2:$C$151,"standard_deposit",invoices!$H$2:$H$151,"&gt;0")=0,"",SUMIFS(invoices!$I$2:$I$151,invoices!$B$2:$B$151,$A4,invoices!$C$2:$C$151,"standard_deposit")))</f>
        <v>750</v>
      </c>
      <c r="DE4" s="31" t="n">
        <f aca="false">IF($A4="","",IFERROR(1/(1/SUMPRODUCT(MAX((invoices!$B$2:$B$151=$A4)*(invoices!$C$2:$C$151="standard_deposit")*invoices!$H$2:$H$151))),""))</f>
        <v>46394</v>
      </c>
      <c r="DF4" s="31" t="n">
        <f aca="false">IF($A4="","",IFERROR(1/(1/SUMPRODUCT(MAX((invoices!$B$2:$B$151=$A4)*((invoices!$C$2:$C$151="founding_full")+(invoices!$C$2:$C$151="standard_balance"))*invoices!$H$2:$H$151))),""))</f>
        <v>46434</v>
      </c>
      <c r="DG4" s="32" t="n">
        <f aca="false">IF($A4="","",SUMIFS(invoices!$L$2:$L$151,invoices!$B$2:$B$151,$A4))</f>
        <v>0</v>
      </c>
      <c r="DH4" s="32" t="n">
        <f aca="false">IF($A4="","",SUMIFS(costs!$E$2:$E$301,costs!$C$2:$C$301,$A4))</f>
        <v>80</v>
      </c>
      <c r="DI4" s="32" t="n">
        <f aca="false">IF($A4="","",ROUND(IF(SUMIFS(campaigns!$BO$2:$BO$51,campaigns!$B$2:$B$51,$B4)=0,0,$BO4/SUMIFS(campaigns!$BO$2:$BO$51,campaigns!$B$2:$B$51,$B4))*(SUMIFS(costs!$E$2:$E$301,costs!$B$2:$B$301,$B4)-SUMPRODUCT((costs!$B$2:$B$301=$B4)*(LEN(costs!$C$2:$C$301)&gt;0)*costs!$E$2:$E$301)),2))</f>
        <v>123.45</v>
      </c>
      <c r="DJ4" s="33" t="n">
        <f aca="false">IF($A4="","",SUMIFS(hours!$E$2:$E$1501,hours!$C$2:$C$1501,$A4))</f>
        <v>8</v>
      </c>
      <c r="DK4" s="33" t="n">
        <f aca="false">IF($A4="","",ROUND(IF(SUMIFS(campaigns!$BO$2:$BO$51,campaigns!$B$2:$B$51,$B4)=0,0,$BO4/SUMIFS(campaigns!$BO$2:$BO$51,campaigns!$B$2:$B$51,$B4))*(SUMIFS(hours!$E$2:$E$1501,hours!$B$2:$B$1501,$B4)-SUMPRODUCT((hours!$B$2:$B$1501=$B4)*(LEN(hours!$C$2:$C$1501)&gt;0)*hours!$E$2:$E$1501)),2))</f>
        <v>9.66</v>
      </c>
      <c r="DL4" s="32" t="n">
        <f aca="false">IF($A4="","",$DC4-$DG4-$DH4-$DI4)</f>
        <v>1296.55</v>
      </c>
      <c r="DM4" s="32" t="n">
        <f aca="false">IF($A4="","",IF(N($DJ4)+N($DK4)=0,"",ROUND($DL4/($DJ4+$DK4),2)))</f>
        <v>73.42</v>
      </c>
      <c r="DN4" s="34" t="n">
        <f aca="false">IF($A4="","",IF(N($BP4)=0,"",COUNTIFS(approvals!$A$2:$A$251,$A4,approvals!$Q$2:$Q$251,"Y",approvals!$AK$2:$AK$251,"Y")/$BP4))</f>
        <v>1</v>
      </c>
      <c r="DO4" s="33" t="n">
        <f aca="false">IF($A4="","",IF(COUNTIFS(approvals!$A$2:$A$251,$A4,approvals!$AC$2:$AC$251,"&gt;=0")=0,"",ROUND(SUMIFS(approvals!$AC$2:$AC$251,approvals!$A$2:$A$251,$A4)/COUNTIFS(approvals!$A$2:$A$251,$A4,approvals!$AC$2:$AC$251,"&gt;=0"),1)))</f>
        <v>5.4</v>
      </c>
      <c r="DP4" s="31" t="n">
        <f aca="false">IF($A4="","",IFERROR(IF(INDEX(drops!$T$2:$T$21,MATCH($B4,drops!$A$2:$A$21,0))="","",INDEX(drops!$T$2:$T$21,MATCH($B4,drops!$A$2:$A$21,0))),""))</f>
        <v>46437</v>
      </c>
      <c r="DQ4" s="31" t="n">
        <f aca="false">IF($A4="","",IFERROR(IF(INDEX(drops!$U$2:$U$21,MATCH($B4,drops!$A$2:$A$21,0))="","",INDEX(drops!$U$2:$U$21,MATCH($B4,drops!$A$2:$A$21,0))),""))</f>
        <v>46442</v>
      </c>
      <c r="DR4" s="31" t="n">
        <f aca="false">IF($A4="","",IFERROR(IF(INDEX(drops!$W$2:$W$21,MATCH($B4,drops!$A$2:$A$21,0))="","",INDEX(drops!$W$2:$W$21,MATCH($B4,drops!$A$2:$A$21,0))),""))</f>
        <v>46457</v>
      </c>
      <c r="DS4" s="30" t="str">
        <f aca="false">IF($A4="","",IF($CE4="","",IF($CE4&gt;=config!$B$31,"pass","miss")))</f>
        <v>pass</v>
      </c>
      <c r="DT4" s="30" t="str">
        <f aca="false">IF($A4="","",IF($CI4="","",IF($CI4&gt;=config!$B$30,"pass","miss")))</f>
        <v>pass</v>
      </c>
      <c r="DU4" s="30" t="str">
        <f aca="true">IF($A4="","",IF($AT4="",IF($DP4="","",IF(IF(config!$B$37&lt;&gt;"",config!$B$37,TODAY())&gt;$DP4,"late","due")),IF($AT4&lt;=$DP4,"pass","late")))</f>
        <v>pass</v>
      </c>
      <c r="DV4" s="30" t="str">
        <f aca="false">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ustomFormat="false" ht="41.75" hidden="false" customHeight="false" outlineLevel="0" collapsed="false">
      <c r="A5" s="0" t="s">
        <v>532</v>
      </c>
      <c r="B5" s="0" t="s">
        <v>344</v>
      </c>
      <c r="C5" s="0" t="s">
        <v>533</v>
      </c>
      <c r="D5" s="10" t="s">
        <v>518</v>
      </c>
      <c r="F5" s="0" t="n">
        <v>10</v>
      </c>
      <c r="G5" s="12"/>
      <c r="H5" s="11" t="n">
        <v>46393</v>
      </c>
      <c r="I5" s="10" t="s">
        <v>475</v>
      </c>
      <c r="J5" s="10" t="s">
        <v>534</v>
      </c>
      <c r="L5" s="10" t="s">
        <v>535</v>
      </c>
      <c r="M5" s="10" t="s">
        <v>502</v>
      </c>
      <c r="N5" s="10" t="s">
        <v>536</v>
      </c>
      <c r="O5" s="10" t="s">
        <v>537</v>
      </c>
      <c r="U5" s="10" t="s">
        <v>504</v>
      </c>
      <c r="V5" s="10" t="s">
        <v>538</v>
      </c>
      <c r="W5" s="10" t="s">
        <v>483</v>
      </c>
      <c r="Y5" s="10" t="s">
        <v>506</v>
      </c>
      <c r="Z5" s="10" t="s">
        <v>486</v>
      </c>
      <c r="AA5" s="10" t="s">
        <v>539</v>
      </c>
      <c r="AB5" s="11" t="n">
        <v>46398</v>
      </c>
      <c r="AC5" s="11" t="n">
        <v>46398</v>
      </c>
      <c r="AD5" s="11" t="n">
        <v>46398</v>
      </c>
      <c r="AF5" s="11" t="n">
        <v>46416</v>
      </c>
      <c r="AG5" s="11" t="n">
        <v>46402</v>
      </c>
      <c r="AH5" s="0" t="n">
        <v>501</v>
      </c>
      <c r="AI5" s="10" t="s">
        <v>540</v>
      </c>
      <c r="AJ5" s="10" t="s">
        <v>541</v>
      </c>
      <c r="AK5" s="10" t="s">
        <v>542</v>
      </c>
      <c r="AL5" s="10" t="s">
        <v>543</v>
      </c>
      <c r="AM5" s="10" t="s">
        <v>544</v>
      </c>
      <c r="AN5" s="10" t="s">
        <v>545</v>
      </c>
      <c r="AO5" s="2" t="s">
        <v>546</v>
      </c>
      <c r="AP5" s="10" t="s">
        <v>547</v>
      </c>
      <c r="AT5" s="11" t="n">
        <v>46437</v>
      </c>
      <c r="AU5" s="11" t="n">
        <v>46442</v>
      </c>
      <c r="AV5" s="10" t="s">
        <v>145</v>
      </c>
      <c r="AW5" s="10" t="s">
        <v>548</v>
      </c>
      <c r="AY5" s="11" t="n">
        <v>46435</v>
      </c>
      <c r="AZ5" s="0" t="n">
        <v>4</v>
      </c>
      <c r="BA5" s="11" t="n">
        <v>46435</v>
      </c>
      <c r="BB5" s="11" t="n">
        <v>46465</v>
      </c>
      <c r="BC5" s="11"/>
      <c r="BE5" s="30" t="str">
        <f aca="false">IF($A5="","",IFERROR(IF(INDEX(brands!$K$2:$K$41,MATCH($C5,brands!$A$2:$A$41,0))="","",INDEX(brands!$K$2:$K$41,MATCH($C5,brands!$A$2:$A$41,0))),""))</f>
        <v>SAMPLE Orchard Row</v>
      </c>
      <c r="BF5" s="30" t="str">
        <f aca="false">IF($A5="","",IFERROR(IF(INDEX(brands!$M$2:$M$41,MATCH($C5,brands!$A$2:$A$41,0))="","",INDEX(brands!$M$2:$M$41,MATCH($C5,brands!$A$2:$A$41,0))),""))</f>
        <v>fruit-snacks</v>
      </c>
      <c r="BG5" s="31" t="n">
        <f aca="false">IF($A5="","",IF(IFERROR(IF(INDEX(drops!$I$2:$I$21,MATCH($B5,drops!$A$2:$A$21,0))="","",INDEX(drops!$I$2:$I$21,MATCH($B5,drops!$A$2:$A$21,0))),"")="OK",IFERROR(IF(INDEX(drops!$B$2:$B$21,MATCH($B5,drops!$A$2:$A$21,0))="","",INDEX(drops!$B$2:$B$21,MATCH($B5,drops!$A$2:$A$21,0))),""),""))</f>
        <v>46427</v>
      </c>
      <c r="BH5" s="30" t="str">
        <f aca="false">IF($A5="","",IFERROR(IF(INDEX(drops!$C$2:$C$21,MATCH($B5,drops!$A$2:$A$21,0))="","",INDEX(drops!$C$2:$C$21,MATCH($B5,drops!$A$2:$A$21,0))),""))</f>
        <v>courier</v>
      </c>
      <c r="BI5" s="32" t="n">
        <f aca="false">IF($A5="","",IF($F5="","",IF($D5="founding",IF($E5="Y",config!$B$25*MIN($F5,config!$B$26)+config!$B$24*MAX(0,$F5-config!$B$26),config!$B$20+config!$B$24*MAX(0,$F5-config!$B$21)),IF($D5="standard",config!$B$22+config!$B$24*MAX(0,$F5-config!$B$23),""))))</f>
        <v>1500</v>
      </c>
      <c r="BJ5" s="32" t="n">
        <f aca="false">IF($A5="","",IF($G5&lt;&gt;"",$G5,$BI5))</f>
        <v>1500</v>
      </c>
      <c r="BK5" s="30" t="str">
        <f aca="false">IF($A5="","",IF($D5="founding","100% within "&amp;config!$B$27&amp;" business days of the invoice, before shipping",IF($D5="standard","50% on signing; 50% at placement confirmation (T+1)","")))</f>
        <v>50% on signing; 50% at placement confirmation (T+1)</v>
      </c>
      <c r="BL5" s="31" t="n">
        <f aca="false">IF($A5="","",IFERROR(IF(INDEX(drops!$K$2:$K$21,MATCH($B5,drops!$A$2:$A$21,0))="","",INDEX(drops!$K$2:$K$21,MATCH($B5,drops!$A$2:$A$21,0))),""))</f>
        <v>46413</v>
      </c>
      <c r="BM5" s="31" t="n">
        <f aca="false">IF($A5="","",IFERROR(IF(INDEX(drops!$L$2:$L$21,MATCH($B5,drops!$A$2:$A$21,0))="","",INDEX(drops!$L$2:$L$21,MATCH($B5,drops!$A$2:$A$21,0))),""))</f>
        <v>46413</v>
      </c>
      <c r="BN5" s="30" t="n">
        <f aca="false">IF($A5="","",COUNTIF(approvals!$A$2:$A$251,$A5))</f>
        <v>10</v>
      </c>
      <c r="BO5" s="30" t="n">
        <f aca="false">IF($A5="","",COUNTIFS(approvals!$A$2:$A$251,$A5,approvals!$P$2:$P$251,"Y"))</f>
        <v>9</v>
      </c>
      <c r="BP5" s="30" t="n">
        <f aca="false">IF($A5="","",COUNTIFS(approvals!$A$2:$A$251,$A5,approvals!$Q$2:$Q$251,"Y"))</f>
        <v>9</v>
      </c>
      <c r="BQ5" s="30" t="n">
        <f aca="false">IF($A5="","",COUNTIFS(approvals!$A$2:$A$251,$A5,approvals!$P$2:$P$251,"pending"))</f>
        <v>0</v>
      </c>
      <c r="BR5" s="30" t="n">
        <f aca="false">IF($A5="","",SUMIFS(approvals!$S$2:$S$251,approvals!$A$2:$A$251,$A5,approvals!$P$2:$P$251,"Y"))</f>
        <v>455</v>
      </c>
      <c r="BS5" s="30" t="n">
        <f aca="false">IF($A5="","",ROUNDUP($BR5*config!$B$18,0))</f>
        <v>46</v>
      </c>
      <c r="BT5" s="30" t="n">
        <f aca="false">IF($A5="","",$BR5+$BS5)</f>
        <v>501</v>
      </c>
      <c r="BU5" s="32" t="n">
        <f aca="false">IF($A5="","",SUMIFS(invoices!$I$2:$I$151,invoices!$B$2:$B$151,$A5,invoices!$R$2:$R$151,"Y",invoices!$H$2:$H$151,"&gt;0"))</f>
        <v>750</v>
      </c>
      <c r="BV5" s="32" t="n">
        <f aca="false">IF($A5="","",IF($BJ5="","",IF($D5="founding",$BJ5,ROUND($BJ5*config!$B$28,2))))</f>
        <v>750</v>
      </c>
      <c r="BW5" s="30" t="str">
        <f aca="false">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RELEASED 2027-01-14: ship by Tue 2027-01-26 (latest Tue 2027-01-26)</v>
      </c>
      <c r="BX5" s="30" t="n">
        <f aca="false">IF($A5="","",SUMIFS(inventory!$G$2:$G$801,inventory!$C$2:$C$801,$A5,inventory!$E$2:$E$801,"received"))</f>
        <v>501</v>
      </c>
      <c r="BY5" s="30" t="n">
        <f aca="false">IF($A5="","",SUMIFS(inventory!$G$2:$G$801,inventory!$C$2:$C$801,$A5,inventory!$E$2:$E$801,"rejected"))</f>
        <v>0</v>
      </c>
      <c r="BZ5" s="30" t="n">
        <f aca="false">IF($A5="","",SUMIFS(inventory!$M$2:$M$801,inventory!$C$2:$C$801,$A5))</f>
        <v>0</v>
      </c>
      <c r="CA5" s="30" t="n">
        <f aca="false">IF($A5="","",SUMIFS(inventory!$O$2:$O$801,inventory!$C$2:$C$801,$A5))</f>
        <v>0</v>
      </c>
      <c r="CB5" s="30" t="n">
        <f aca="false">IF($A5="","",SUMIFS(approvals!$U$2:$U$251,approvals!$A$2:$A$251,$A5))</f>
        <v>455</v>
      </c>
      <c r="CC5" s="30" t="n">
        <f aca="false">IF($A5="","",SUMIFS(approvals!$AA$2:$AA$251,approvals!$A$2:$A$251,$A5))</f>
        <v>455</v>
      </c>
      <c r="CD5" s="30" t="n">
        <f aca="false">IF($A5="","",SUMIFS(approvals!$AA$2:$AA$251,approvals!$A$2:$A$251,$A5,approvals!$AB$2:$AB$251,"Y"))</f>
        <v>455</v>
      </c>
      <c r="CE5" s="34" t="n">
        <f aca="false">IF($A5="","",IF(N($CB5)=0,"",$CD5/$CB5))</f>
        <v>1</v>
      </c>
      <c r="CF5" s="30" t="n">
        <f aca="false">IF($A5="","",SUMIFS(approvals!$AD$2:$AD$251,approvals!$A$2:$A$251,$A5))</f>
        <v>6</v>
      </c>
      <c r="CG5" s="30" t="n">
        <f aca="false">IF($A5="","",IF(COUNTIFS(approvals!$A$2:$A$251,$A5,approvals!$Q$2:$Q$251,"Y",approvals!$AG$2:$AG$251,"")&gt;0,"",SUMIFS(approvals!$AG$2:$AG$251,approvals!$A$2:$A$251,$A5,approvals!$Q$2:$Q$251,"Y")))</f>
        <v>428</v>
      </c>
      <c r="CH5" s="30" t="n">
        <f aca="false">IF($A5="","",SUMIFS(approvals!$AL$2:$AL$251,approvals!$A$2:$A$251,$A5,approvals!$Q$2:$Q$251,"Y"))</f>
        <v>71</v>
      </c>
      <c r="CI5" s="30" t="n">
        <f aca="false">IF($A5="","",IF(N($BP5)=0,"",SUMPRODUCT(MIN(approvals!$BB$2:$BB$251+(approvals!$A$2:$A$251&lt;&gt;$A5)*1000000))))</f>
        <v>6</v>
      </c>
      <c r="CJ5" s="30" t="n">
        <f aca="false">IF($A5="","",COUNTIFS(approvals!$A$2:$A$251,$A5,approvals!$Q$2:$Q$251,"Y",approvals!$AL$2:$AL$251,"&lt;"&amp;config!$B$30))</f>
        <v>0</v>
      </c>
      <c r="CK5" s="30" t="n">
        <f aca="false">IF($A5="","",SUMIFS(approvals!$AM$2:$AM$251,approvals!$A$2:$A$251,$A5,approvals!$Q$2:$Q$251,"Y"))</f>
        <v>55</v>
      </c>
      <c r="CL5" s="30" t="n">
        <f aca="false">IF($A5="","",SUMIFS(approvals!$AQ$2:$AQ$251,approvals!$A$2:$A$251,$A5,approvals!$Q$2:$Q$251,"Y"))</f>
        <v>8</v>
      </c>
      <c r="CM5" s="30" t="n">
        <f aca="false">IF($A5="","",SUMIFS(approvals!$AR$2:$AR$251,approvals!$A$2:$A$251,$A5,approvals!$Q$2:$Q$251,"Y"))</f>
        <v>5</v>
      </c>
      <c r="CN5" s="30" t="n">
        <f aca="false">IF($A5="","",SUMIFS(approvals!$AS$2:$AS$251,approvals!$A$2:$A$251,$A5,approvals!$Q$2:$Q$251,"Y"))</f>
        <v>3</v>
      </c>
      <c r="CO5" s="30" t="n">
        <f aca="false">IF($A5="","",SUMIFS(approvals!$AT$2:$AT$251,approvals!$A$2:$A$251,$A5,approvals!$Q$2:$Q$251,"Y"))</f>
        <v>55</v>
      </c>
      <c r="CP5" s="33" t="n">
        <f aca="false">IF($A5="","",IF(N($CO5)=0,"",ROUND(SUMIFS(approvals!$AU$2:$AU$251,approvals!$A$2:$A$251,$A5,approvals!$Q$2:$Q$251,"Y")/$CO5,1)))</f>
        <v>4.2</v>
      </c>
      <c r="CQ5" s="30" t="n">
        <f aca="false">IF($A5="","",SUMIFS(approvals!$AV$2:$AV$251,approvals!$A$2:$A$251,$A5,approvals!$Q$2:$Q$251,"Y"))</f>
        <v>22</v>
      </c>
      <c r="CR5" s="30" t="n">
        <f aca="false">IF($A5="","",SUMIFS(approvals!$AW$2:$AW$251,approvals!$A$2:$A$251,$A5,approvals!$Q$2:$Q$251,"Y"))</f>
        <v>24</v>
      </c>
      <c r="CS5" s="30" t="n">
        <f aca="false">IF($A5="","",SUMIFS(approvals!$AX$2:$AX$251,approvals!$A$2:$A$251,$A5,approvals!$Q$2:$Q$251,"Y"))</f>
        <v>9</v>
      </c>
      <c r="CT5" s="30" t="n">
        <f aca="false">IF($A5="","",SUMIFS(approvals!$AY$2:$AY$251,approvals!$A$2:$A$251,$A5,approvals!$Q$2:$Q$251,"Y"))</f>
        <v>30</v>
      </c>
      <c r="CU5" s="30" t="n">
        <f aca="true">IF($A5="","",IF(OR($BG5="",$BC5&lt;&gt;""),"",IFERROR(COUNT(INDIRECT("'"&amp;$A5&amp;"'!$A$2:$A$501")),0)-IFERROR(COUNTIFS(INDIRECT("'"&amp;$A5&amp;"'!$A$2:$A$501"),"&gt;="&amp;$BG5,INDIRECT("'"&amp;$A5&amp;"'!$A$2:$A$501"),"&lt;"&amp;(IFERROR(IF(INDEX(drops!$R$2:$R$21,MATCH($B5,drops!$A$2:$A$21,0))="","",INDEX(drops!$R$2:$R$21,MATCH($B5,drops!$A$2:$A$21,0))),"")+1)),0)))</f>
        <v>0</v>
      </c>
      <c r="CV5" s="30" t="n">
        <f aca="true">IF($A5="","",IF(OR($BG5="",$BC5&lt;&gt;""),"",IFERROR(COUNTIFS(INDIRECT("'"&amp;$A5&amp;"'!$A$2:$A$501"),"&gt;="&amp;$BG5,INDIRECT("'"&amp;$A5&amp;"'!$A$2:$A$501"),"&lt;"&amp;(IFERROR(IF(INDEX(drops!$R$2:$R$21,MATCH($B5,drops!$A$2:$A$21,0))="","",INDEX(drops!$R$2:$R$21,MATCH($B5,drops!$A$2:$A$21,0))),"")+1)),0)-N($CH5)-N($CW5)))</f>
        <v>0</v>
      </c>
      <c r="CW5" s="30" t="n">
        <f aca="false">IF($A5="","",IF($BG5="","",SUMIFS(approvals!$AL$2:$AL$251,approvals!$A$2:$A$251,$A5,approvals!$Q$2:$Q$251,"&lt;&gt;Y")))</f>
        <v>0</v>
      </c>
      <c r="CX5" s="30" t="n">
        <f aca="false">IF($A5="","",SUMIFS(approvals!$AN$2:$AN$251,approvals!$A$2:$A$251,$A5,approvals!$Q$2:$Q$251,"Y"))</f>
        <v>71</v>
      </c>
      <c r="CY5" s="30" t="n">
        <f aca="false">IF($A5="","",SUMIFS(approvals!$AO$2:$AO$251,approvals!$A$2:$A$251,$A5,approvals!$Q$2:$Q$251,"Y"))</f>
        <v>74</v>
      </c>
      <c r="CZ5" s="30" t="n">
        <f aca="false">IF($A5="","",IF($DA5="","",SUMIFS(redemptions!$C$2:$C$121,redemptions!$A$2:$A$121,$A5,redemptions!$B$2:$B$121,$DA5)))</f>
        <v>8</v>
      </c>
      <c r="DA5" s="31" t="n">
        <f aca="false">IF($A5="","",IFERROR(1/(1/SUMPRODUCT(MAX((redemptions!$A$2:$A$121=$A5)*redemptions!$B$2:$B$121))),""))</f>
        <v>46457</v>
      </c>
      <c r="DB5" s="30" t="n">
        <f aca="false">IF($A5="","",IF(COUNTIFS(redemptions!$A$2:$A$121,$A5,redemptions!$H$2:$H$121,"Y")=0,"",SUMIFS(redemptions!$C$2:$C$121,redemptions!$A$2:$A$121,$A5,redemptions!$B$2:$B$121,SUMPRODUCT(MIN((redemptions!$A$2:$A$121=$A5)*(redemptions!$H$2:$H$121="Y")*redemptions!$B$2:$B$121+((redemptions!$A$2:$A$121&lt;&gt;$A5)+(redemptions!$H$2:$H$121&lt;&gt;"Y")&gt;0)*1000000)))))</f>
        <v>8</v>
      </c>
      <c r="DC5" s="32" t="n">
        <f aca="false">IF($A5="","",SUMIFS(invoices!$E$2:$E$151,invoices!$B$2:$B$151,$A5))</f>
        <v>1350</v>
      </c>
      <c r="DD5" s="32" t="n">
        <f aca="false">IF($A5="","",IF(COUNTIFS(invoices!$B$2:$B$151,$A5,invoices!$C$2:$C$151,"standard_deposit",invoices!$H$2:$H$151,"&gt;0")=0,"",SUMIFS(invoices!$I$2:$I$151,invoices!$B$2:$B$151,$A5,invoices!$C$2:$C$151,"standard_deposit")))</f>
        <v>750</v>
      </c>
      <c r="DE5" s="31" t="n">
        <f aca="false">IF($A5="","",IFERROR(1/(1/SUMPRODUCT(MAX((invoices!$B$2:$B$151=$A5)*(invoices!$C$2:$C$151="standard_deposit")*invoices!$H$2:$H$151))),""))</f>
        <v>46398</v>
      </c>
      <c r="DF5" s="31" t="n">
        <f aca="false">IF($A5="","",IFERROR(1/(1/SUMPRODUCT(MAX((invoices!$B$2:$B$151=$A5)*((invoices!$C$2:$C$151="founding_full")+(invoices!$C$2:$C$151="standard_balance"))*invoices!$H$2:$H$151))),""))</f>
        <v>46435</v>
      </c>
      <c r="DG5" s="32" t="n">
        <f aca="false">IF($A5="","",SUMIFS(invoices!$L$2:$L$151,invoices!$B$2:$B$151,$A5))</f>
        <v>0</v>
      </c>
      <c r="DH5" s="32" t="n">
        <f aca="false">IF($A5="","",SUMIFS(costs!$E$2:$E$301,costs!$C$2:$C$301,$A5))</f>
        <v>72</v>
      </c>
      <c r="DI5" s="32" t="n">
        <f aca="false">IF($A5="","",ROUND(IF(SUMIFS(campaigns!$BO$2:$BO$51,campaigns!$B$2:$B$51,$B5)=0,0,$BO5/SUMIFS(campaigns!$BO$2:$BO$51,campaigns!$B$2:$B$51,$B5))*(SUMIFS(costs!$E$2:$E$301,costs!$B$2:$B$301,$B5)-SUMPRODUCT((costs!$B$2:$B$301=$B5)*(LEN(costs!$C$2:$C$301)&gt;0)*costs!$E$2:$E$301)),2))</f>
        <v>111.1</v>
      </c>
      <c r="DJ5" s="33" t="n">
        <f aca="false">IF($A5="","",SUMIFS(hours!$E$2:$E$1501,hours!$C$2:$C$1501,$A5))</f>
        <v>8</v>
      </c>
      <c r="DK5" s="33" t="n">
        <f aca="false">IF($A5="","",ROUND(IF(SUMIFS(campaigns!$BO$2:$BO$51,campaigns!$B$2:$B$51,$B5)=0,0,$BO5/SUMIFS(campaigns!$BO$2:$BO$51,campaigns!$B$2:$B$51,$B5))*(SUMIFS(hours!$E$2:$E$1501,hours!$B$2:$B$1501,$B5)-SUMPRODUCT((hours!$B$2:$B$1501=$B5)*(LEN(hours!$C$2:$C$1501)&gt;0)*hours!$E$2:$E$1501)),2))</f>
        <v>8.69</v>
      </c>
      <c r="DL5" s="32" t="n">
        <f aca="false">IF($A5="","",$DC5-$DG5-$DH5-$DI5)</f>
        <v>1166.9</v>
      </c>
      <c r="DM5" s="32" t="n">
        <f aca="false">IF($A5="","",IF(N($DJ5)+N($DK5)=0,"",ROUND($DL5/($DJ5+$DK5),2)))</f>
        <v>69.92</v>
      </c>
      <c r="DN5" s="34" t="n">
        <f aca="false">IF($A5="","",IF(N($BP5)=0,"",COUNTIFS(approvals!$A$2:$A$251,$A5,approvals!$Q$2:$Q$251,"Y",approvals!$AK$2:$AK$251,"Y")/$BP5))</f>
        <v>1</v>
      </c>
      <c r="DO5" s="33" t="n">
        <f aca="false">IF($A5="","",IF(COUNTIFS(approvals!$A$2:$A$251,$A5,approvals!$AC$2:$AC$251,"&gt;=0")=0,"",ROUND(SUMIFS(approvals!$AC$2:$AC$251,approvals!$A$2:$A$251,$A5)/COUNTIFS(approvals!$A$2:$A$251,$A5,approvals!$AC$2:$AC$251,"&gt;=0"),1)))</f>
        <v>5.6</v>
      </c>
      <c r="DP5" s="31" t="n">
        <f aca="false">IF($A5="","",IFERROR(IF(INDEX(drops!$T$2:$T$21,MATCH($B5,drops!$A$2:$A$21,0))="","",INDEX(drops!$T$2:$T$21,MATCH($B5,drops!$A$2:$A$21,0))),""))</f>
        <v>46437</v>
      </c>
      <c r="DQ5" s="31" t="n">
        <f aca="false">IF($A5="","",IFERROR(IF(INDEX(drops!$U$2:$U$21,MATCH($B5,drops!$A$2:$A$21,0))="","",INDEX(drops!$U$2:$U$21,MATCH($B5,drops!$A$2:$A$21,0))),""))</f>
        <v>46442</v>
      </c>
      <c r="DR5" s="31" t="n">
        <f aca="false">IF($A5="","",IFERROR(IF(INDEX(drops!$W$2:$W$21,MATCH($B5,drops!$A$2:$A$21,0))="","",INDEX(drops!$W$2:$W$21,MATCH($B5,drops!$A$2:$A$21,0))),""))</f>
        <v>46457</v>
      </c>
      <c r="DS5" s="30" t="str">
        <f aca="false">IF($A5="","",IF($CE5="","",IF($CE5&gt;=config!$B$31,"pass","miss")))</f>
        <v>pass</v>
      </c>
      <c r="DT5" s="30" t="str">
        <f aca="false">IF($A5="","",IF($CI5="","",IF($CI5&gt;=config!$B$30,"pass","miss")))</f>
        <v>pass</v>
      </c>
      <c r="DU5" s="30" t="str">
        <f aca="true">IF($A5="","",IF($AT5="",IF($DP5="","",IF(IF(config!$B$37&lt;&gt;"",config!$B$37,TODAY())&gt;$DP5,"late","due")),IF($AT5&lt;=$DP5,"pass","late")))</f>
        <v>pass</v>
      </c>
      <c r="DV5" s="30" t="str">
        <f aca="false">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info: 1 office(s) short of the contract: add a roster office or credit $150 each; </v>
      </c>
    </row>
    <row r="6" customFormat="false" ht="41.75" hidden="false" customHeight="false" outlineLevel="0" collapsed="false">
      <c r="A6" s="0" t="s">
        <v>549</v>
      </c>
      <c r="B6" s="0" t="s">
        <v>344</v>
      </c>
      <c r="C6" s="0" t="s">
        <v>550</v>
      </c>
      <c r="D6" s="10" t="s">
        <v>518</v>
      </c>
      <c r="F6" s="0" t="n">
        <v>10</v>
      </c>
      <c r="G6" s="12"/>
      <c r="H6" s="11" t="n">
        <v>46395</v>
      </c>
      <c r="I6" s="10" t="s">
        <v>475</v>
      </c>
      <c r="J6" s="10" t="s">
        <v>551</v>
      </c>
      <c r="K6" s="0" t="n">
        <v>24</v>
      </c>
      <c r="L6" s="10" t="s">
        <v>552</v>
      </c>
      <c r="M6" s="10" t="s">
        <v>553</v>
      </c>
      <c r="N6" s="10" t="s">
        <v>554</v>
      </c>
      <c r="U6" s="10" t="s">
        <v>481</v>
      </c>
      <c r="V6" s="10" t="s">
        <v>555</v>
      </c>
      <c r="W6" s="10" t="s">
        <v>483</v>
      </c>
      <c r="Y6" s="10" t="s">
        <v>485</v>
      </c>
      <c r="Z6" s="10" t="s">
        <v>507</v>
      </c>
      <c r="AB6" s="11" t="n">
        <v>46399</v>
      </c>
      <c r="AC6" s="11" t="n">
        <v>46399</v>
      </c>
      <c r="AD6" s="11" t="n">
        <v>46399</v>
      </c>
      <c r="AF6" s="11" t="n">
        <v>46416</v>
      </c>
      <c r="AG6" s="11" t="n">
        <v>46402</v>
      </c>
      <c r="AH6" s="0" t="n">
        <v>567</v>
      </c>
      <c r="AI6" s="10" t="s">
        <v>556</v>
      </c>
      <c r="AJ6" s="10" t="s">
        <v>557</v>
      </c>
      <c r="AL6" s="10" t="s">
        <v>558</v>
      </c>
      <c r="AM6" s="10" t="s">
        <v>559</v>
      </c>
      <c r="AN6" s="10" t="s">
        <v>560</v>
      </c>
      <c r="AO6" s="2" t="s">
        <v>561</v>
      </c>
      <c r="AP6" s="10" t="s">
        <v>562</v>
      </c>
      <c r="AT6" s="11" t="n">
        <v>46437</v>
      </c>
      <c r="AU6" s="11" t="n">
        <v>46442</v>
      </c>
      <c r="AV6" s="10" t="s">
        <v>496</v>
      </c>
      <c r="AW6" s="10" t="s">
        <v>548</v>
      </c>
      <c r="AY6" s="11"/>
      <c r="BA6" s="11"/>
      <c r="BB6" s="11"/>
      <c r="BC6" s="11"/>
      <c r="BE6" s="30" t="str">
        <f aca="false">IF($A6="","",IFERROR(IF(INDEX(brands!$K$2:$K$41,MATCH($C6,brands!$A$2:$A$41,0))="","",INDEX(brands!$K$2:$K$41,MATCH($C6,brands!$A$2:$A$41,0))),""))</f>
        <v>SAMPLE Kettle Ridge</v>
      </c>
      <c r="BF6" s="30" t="str">
        <f aca="false">IF($A6="","",IFERROR(IF(INDEX(brands!$M$2:$M$41,MATCH($C6,brands!$A$2:$A$41,0))="","",INDEX(brands!$M$2:$M$41,MATCH($C6,brands!$A$2:$A$41,0))),""))</f>
        <v>chips-crisps</v>
      </c>
      <c r="BG6" s="31" t="n">
        <f aca="false">IF($A6="","",IF(IFERROR(IF(INDEX(drops!$I$2:$I$21,MATCH($B6,drops!$A$2:$A$21,0))="","",INDEX(drops!$I$2:$I$21,MATCH($B6,drops!$A$2:$A$21,0))),"")="OK",IFERROR(IF(INDEX(drops!$B$2:$B$21,MATCH($B6,drops!$A$2:$A$21,0))="","",INDEX(drops!$B$2:$B$21,MATCH($B6,drops!$A$2:$A$21,0))),""),""))</f>
        <v>46427</v>
      </c>
      <c r="BH6" s="30" t="str">
        <f aca="false">IF($A6="","",IFERROR(IF(INDEX(drops!$C$2:$C$21,MATCH($B6,drops!$A$2:$A$21,0))="","",INDEX(drops!$C$2:$C$21,MATCH($B6,drops!$A$2:$A$21,0))),""))</f>
        <v>courier</v>
      </c>
      <c r="BI6" s="32" t="n">
        <f aca="false">IF($A6="","",IF($F6="","",IF($D6="founding",IF($E6="Y",config!$B$25*MIN($F6,config!$B$26)+config!$B$24*MAX(0,$F6-config!$B$26),config!$B$20+config!$B$24*MAX(0,$F6-config!$B$21)),IF($D6="standard",config!$B$22+config!$B$24*MAX(0,$F6-config!$B$23),""))))</f>
        <v>1500</v>
      </c>
      <c r="BJ6" s="32" t="n">
        <f aca="false">IF($A6="","",IF($G6&lt;&gt;"",$G6,$BI6))</f>
        <v>1500</v>
      </c>
      <c r="BK6" s="30" t="str">
        <f aca="false">IF($A6="","",IF($D6="founding","100% within "&amp;config!$B$27&amp;" business days of the invoice, before shipping",IF($D6="standard","50% on signing; 50% at placement confirmation (T+1)","")))</f>
        <v>50% on signing; 50% at placement confirmation (T+1)</v>
      </c>
      <c r="BL6" s="31" t="n">
        <f aca="false">IF($A6="","",IFERROR(IF(INDEX(drops!$K$2:$K$21,MATCH($B6,drops!$A$2:$A$21,0))="","",INDEX(drops!$K$2:$K$21,MATCH($B6,drops!$A$2:$A$21,0))),""))</f>
        <v>46413</v>
      </c>
      <c r="BM6" s="31" t="n">
        <f aca="false">IF($A6="","",IFERROR(IF(INDEX(drops!$L$2:$L$21,MATCH($B6,drops!$A$2:$A$21,0))="","",INDEX(drops!$L$2:$L$21,MATCH($B6,drops!$A$2:$A$21,0))),""))</f>
        <v>46413</v>
      </c>
      <c r="BN6" s="30" t="n">
        <f aca="false">IF($A6="","",COUNTIF(approvals!$A$2:$A$251,$A6))</f>
        <v>10</v>
      </c>
      <c r="BO6" s="30" t="n">
        <f aca="false">IF($A6="","",COUNTIFS(approvals!$A$2:$A$251,$A6,approvals!$P$2:$P$251,"Y"))</f>
        <v>10</v>
      </c>
      <c r="BP6" s="30" t="n">
        <f aca="false">IF($A6="","",COUNTIFS(approvals!$A$2:$A$251,$A6,approvals!$Q$2:$Q$251,"Y"))</f>
        <v>10</v>
      </c>
      <c r="BQ6" s="30" t="n">
        <f aca="false">IF($A6="","",COUNTIFS(approvals!$A$2:$A$251,$A6,approvals!$P$2:$P$251,"pending"))</f>
        <v>0</v>
      </c>
      <c r="BR6" s="30" t="n">
        <f aca="false">IF($A6="","",SUMIFS(approvals!$S$2:$S$251,approvals!$A$2:$A$251,$A6,approvals!$P$2:$P$251,"Y"))</f>
        <v>515</v>
      </c>
      <c r="BS6" s="30" t="n">
        <f aca="false">IF($A6="","",ROUNDUP($BR6*config!$B$18,0))</f>
        <v>52</v>
      </c>
      <c r="BT6" s="30" t="n">
        <f aca="false">IF($A6="","",$BR6+$BS6)</f>
        <v>567</v>
      </c>
      <c r="BU6" s="32" t="n">
        <f aca="false">IF($A6="","",SUMIFS(invoices!$I$2:$I$151,invoices!$B$2:$B$151,$A6,invoices!$R$2:$R$151,"Y",invoices!$H$2:$H$151,"&gt;0"))</f>
        <v>750</v>
      </c>
      <c r="BV6" s="32" t="n">
        <f aca="false">IF($A6="","",IF($BJ6="","",IF($D6="founding",$BJ6,ROUND($BJ6*config!$B$28,2))))</f>
        <v>750</v>
      </c>
      <c r="BW6" s="30" t="str">
        <f aca="false">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RELEASED 2027-01-14: ship by Tue 2027-01-26 (latest Tue 2027-01-26)</v>
      </c>
      <c r="BX6" s="30" t="n">
        <f aca="false">IF($A6="","",SUMIFS(inventory!$G$2:$G$801,inventory!$C$2:$C$801,$A6,inventory!$E$2:$E$801,"received"))</f>
        <v>567</v>
      </c>
      <c r="BY6" s="30" t="n">
        <f aca="false">IF($A6="","",SUMIFS(inventory!$G$2:$G$801,inventory!$C$2:$C$801,$A6,inventory!$E$2:$E$801,"rejected"))</f>
        <v>0</v>
      </c>
      <c r="BZ6" s="30" t="n">
        <f aca="false">IF($A6="","",SUMIFS(inventory!$M$2:$M$801,inventory!$C$2:$C$801,$A6))</f>
        <v>0</v>
      </c>
      <c r="CA6" s="30" t="n">
        <f aca="false">IF($A6="","",SUMIFS(inventory!$O$2:$O$801,inventory!$C$2:$C$801,$A6))</f>
        <v>0</v>
      </c>
      <c r="CB6" s="30" t="n">
        <f aca="false">IF($A6="","",SUMIFS(approvals!$U$2:$U$251,approvals!$A$2:$A$251,$A6))</f>
        <v>515</v>
      </c>
      <c r="CC6" s="30" t="n">
        <f aca="false">IF($A6="","",SUMIFS(approvals!$AA$2:$AA$251,approvals!$A$2:$A$251,$A6))</f>
        <v>515</v>
      </c>
      <c r="CD6" s="30" t="n">
        <f aca="false">IF($A6="","",SUMIFS(approvals!$AA$2:$AA$251,approvals!$A$2:$A$251,$A6,approvals!$AB$2:$AB$251,"Y"))</f>
        <v>515</v>
      </c>
      <c r="CE6" s="34" t="n">
        <f aca="false">IF($A6="","",IF(N($CB6)=0,"",$CD6/$CB6))</f>
        <v>1</v>
      </c>
      <c r="CF6" s="30" t="n">
        <f aca="false">IF($A6="","",SUMIFS(approvals!$AD$2:$AD$251,approvals!$A$2:$A$251,$A6))</f>
        <v>12</v>
      </c>
      <c r="CG6" s="30" t="n">
        <f aca="false">IF($A6="","",IF(COUNTIFS(approvals!$A$2:$A$251,$A6,approvals!$Q$2:$Q$251,"Y",approvals!$AG$2:$AG$251,"")&gt;0,"",SUMIFS(approvals!$AG$2:$AG$251,approvals!$A$2:$A$251,$A6,approvals!$Q$2:$Q$251,"Y")))</f>
        <v>474</v>
      </c>
      <c r="CH6" s="30" t="n">
        <f aca="false">IF($A6="","",SUMIFS(approvals!$AL$2:$AL$251,approvals!$A$2:$A$251,$A6,approvals!$Q$2:$Q$251,"Y"))</f>
        <v>77</v>
      </c>
      <c r="CI6" s="30" t="n">
        <f aca="false">IF($A6="","",IF(N($BP6)=0,"",SUMPRODUCT(MIN(approvals!$BB$2:$BB$251+(approvals!$A$2:$A$251&lt;&gt;$A6)*1000000))))</f>
        <v>4</v>
      </c>
      <c r="CJ6" s="30" t="n">
        <f aca="false">IF($A6="","",COUNTIFS(approvals!$A$2:$A$251,$A6,approvals!$Q$2:$Q$251,"Y",approvals!$AL$2:$AL$251,"&lt;"&amp;config!$B$30))</f>
        <v>1</v>
      </c>
      <c r="CK6" s="30" t="n">
        <f aca="false">IF($A6="","",SUMIFS(approvals!$AM$2:$AM$251,approvals!$A$2:$A$251,$A6,approvals!$Q$2:$Q$251,"Y"))</f>
        <v>51</v>
      </c>
      <c r="CL6" s="30" t="n">
        <f aca="false">IF($A6="","",SUMIFS(approvals!$AQ$2:$AQ$251,approvals!$A$2:$A$251,$A6,approvals!$Q$2:$Q$251,"Y"))</f>
        <v>7</v>
      </c>
      <c r="CM6" s="30" t="n">
        <f aca="false">IF($A6="","",SUMIFS(approvals!$AR$2:$AR$251,approvals!$A$2:$A$251,$A6,approvals!$Q$2:$Q$251,"Y"))</f>
        <v>10</v>
      </c>
      <c r="CN6" s="30" t="n">
        <f aca="false">IF($A6="","",SUMIFS(approvals!$AS$2:$AS$251,approvals!$A$2:$A$251,$A6,approvals!$Q$2:$Q$251,"Y"))</f>
        <v>9</v>
      </c>
      <c r="CO6" s="30" t="n">
        <f aca="false">IF($A6="","",SUMIFS(approvals!$AT$2:$AT$251,approvals!$A$2:$A$251,$A6,approvals!$Q$2:$Q$251,"Y"))</f>
        <v>51</v>
      </c>
      <c r="CP6" s="33" t="n">
        <f aca="false">IF($A6="","",IF(N($CO6)=0,"",ROUND(SUMIFS(approvals!$AU$2:$AU$251,approvals!$A$2:$A$251,$A6,approvals!$Q$2:$Q$251,"Y")/$CO6,1)))</f>
        <v>4.3</v>
      </c>
      <c r="CQ6" s="30" t="n">
        <f aca="false">IF($A6="","",SUMIFS(approvals!$AV$2:$AV$251,approvals!$A$2:$A$251,$A6,approvals!$Q$2:$Q$251,"Y"))</f>
        <v>15</v>
      </c>
      <c r="CR6" s="30" t="n">
        <f aca="false">IF($A6="","",SUMIFS(approvals!$AW$2:$AW$251,approvals!$A$2:$A$251,$A6,approvals!$Q$2:$Q$251,"Y"))</f>
        <v>25</v>
      </c>
      <c r="CS6" s="30" t="n">
        <f aca="false">IF($A6="","",SUMIFS(approvals!$AX$2:$AX$251,approvals!$A$2:$A$251,$A6,approvals!$Q$2:$Q$251,"Y"))</f>
        <v>11</v>
      </c>
      <c r="CT6" s="30" t="n">
        <f aca="false">IF($A6="","",SUMIFS(approvals!$AY$2:$AY$251,approvals!$A$2:$A$251,$A6,approvals!$Q$2:$Q$251,"Y"))</f>
        <v>28</v>
      </c>
      <c r="CU6" s="30" t="n">
        <f aca="true">IF($A6="","",IF(OR($BG6="",$BC6&lt;&gt;""),"",IFERROR(COUNT(INDIRECT("'"&amp;$A6&amp;"'!$A$2:$A$501")),0)-IFERROR(COUNTIFS(INDIRECT("'"&amp;$A6&amp;"'!$A$2:$A$501"),"&gt;="&amp;$BG6,INDIRECT("'"&amp;$A6&amp;"'!$A$2:$A$501"),"&lt;"&amp;(IFERROR(IF(INDEX(drops!$R$2:$R$21,MATCH($B6,drops!$A$2:$A$21,0))="","",INDEX(drops!$R$2:$R$21,MATCH($B6,drops!$A$2:$A$21,0))),"")+1)),0)))</f>
        <v>0</v>
      </c>
      <c r="CV6" s="30" t="n">
        <f aca="true">IF($A6="","",IF(OR($BG6="",$BC6&lt;&gt;""),"",IFERROR(COUNTIFS(INDIRECT("'"&amp;$A6&amp;"'!$A$2:$A$501"),"&gt;="&amp;$BG6,INDIRECT("'"&amp;$A6&amp;"'!$A$2:$A$501"),"&lt;"&amp;(IFERROR(IF(INDEX(drops!$R$2:$R$21,MATCH($B6,drops!$A$2:$A$21,0))="","",INDEX(drops!$R$2:$R$21,MATCH($B6,drops!$A$2:$A$21,0))),"")+1)),0)-N($CH6)-N($CW6)))</f>
        <v>0</v>
      </c>
      <c r="CW6" s="30" t="n">
        <f aca="false">IF($A6="","",IF($BG6="","",SUMIFS(approvals!$AL$2:$AL$251,approvals!$A$2:$A$251,$A6,approvals!$Q$2:$Q$251,"&lt;&gt;Y")))</f>
        <v>0</v>
      </c>
      <c r="CX6" s="30" t="n">
        <f aca="false">IF($A6="","",SUMIFS(approvals!$AN$2:$AN$251,approvals!$A$2:$A$251,$A6,approvals!$Q$2:$Q$251,"Y"))</f>
        <v>79</v>
      </c>
      <c r="CY6" s="30" t="n">
        <f aca="false">IF($A6="","",SUMIFS(approvals!$AO$2:$AO$251,approvals!$A$2:$A$251,$A6,approvals!$Q$2:$Q$251,"Y"))</f>
        <v>69</v>
      </c>
      <c r="CZ6" s="30" t="n">
        <f aca="false">IF($A6="","",IF($DA6="","",SUMIFS(redemptions!$C$2:$C$121,redemptions!$A$2:$A$121,$A6,redemptions!$B$2:$B$121,$DA6)))</f>
        <v>21</v>
      </c>
      <c r="DA6" s="31" t="n">
        <f aca="false">IF($A6="","",IFERROR(1/(1/SUMPRODUCT(MAX((redemptions!$A$2:$A$121=$A6)*redemptions!$B$2:$B$121))),""))</f>
        <v>46457</v>
      </c>
      <c r="DB6" s="30" t="n">
        <f aca="false">IF($A6="","",IF(COUNTIFS(redemptions!$A$2:$A$121,$A6,redemptions!$H$2:$H$121,"Y")=0,"",SUMIFS(redemptions!$C$2:$C$121,redemptions!$A$2:$A$121,$A6,redemptions!$B$2:$B$121,SUMPRODUCT(MIN((redemptions!$A$2:$A$121=$A6)*(redemptions!$H$2:$H$121="Y")*redemptions!$B$2:$B$121+((redemptions!$A$2:$A$121&lt;&gt;$A6)+(redemptions!$H$2:$H$121&lt;&gt;"Y")&gt;0)*1000000)))))</f>
        <v>21</v>
      </c>
      <c r="DC6" s="32" t="n">
        <f aca="false">IF($A6="","",SUMIFS(invoices!$E$2:$E$151,invoices!$B$2:$B$151,$A6))</f>
        <v>1500</v>
      </c>
      <c r="DD6" s="32" t="n">
        <f aca="false">IF($A6="","",IF(COUNTIFS(invoices!$B$2:$B$151,$A6,invoices!$C$2:$C$151,"standard_deposit",invoices!$H$2:$H$151,"&gt;0")=0,"",SUMIFS(invoices!$I$2:$I$151,invoices!$B$2:$B$151,$A6,invoices!$C$2:$C$151,"standard_deposit")))</f>
        <v>750</v>
      </c>
      <c r="DE6" s="31" t="n">
        <f aca="false">IF($A6="","",IFERROR(1/(1/SUMPRODUCT(MAX((invoices!$B$2:$B$151=$A6)*(invoices!$C$2:$C$151="standard_deposit")*invoices!$H$2:$H$151))),""))</f>
        <v>46399</v>
      </c>
      <c r="DF6" s="31" t="n">
        <f aca="false">IF($A6="","",IFERROR(1/(1/SUMPRODUCT(MAX((invoices!$B$2:$B$151=$A6)*((invoices!$C$2:$C$151="founding_full")+(invoices!$C$2:$C$151="standard_balance"))*invoices!$H$2:$H$151))),""))</f>
        <v>46430</v>
      </c>
      <c r="DG6" s="32" t="n">
        <f aca="false">IF($A6="","",SUMIFS(invoices!$L$2:$L$151,invoices!$B$2:$B$151,$A6))</f>
        <v>0</v>
      </c>
      <c r="DH6" s="32" t="n">
        <f aca="false">IF($A6="","",SUMIFS(costs!$E$2:$E$301,costs!$C$2:$C$301,$A6))</f>
        <v>80</v>
      </c>
      <c r="DI6" s="32" t="n">
        <f aca="false">IF($A6="","",ROUND(IF(SUMIFS(campaigns!$BO$2:$BO$51,campaigns!$B$2:$B$51,$B6)=0,0,$BO6/SUMIFS(campaigns!$BO$2:$BO$51,campaigns!$B$2:$B$51,$B6))*(SUMIFS(costs!$E$2:$E$301,costs!$B$2:$B$301,$B6)-SUMPRODUCT((costs!$B$2:$B$301=$B6)*(LEN(costs!$C$2:$C$301)&gt;0)*costs!$E$2:$E$301)),2))</f>
        <v>123.45</v>
      </c>
      <c r="DJ6" s="33" t="n">
        <f aca="false">IF($A6="","",SUMIFS(hours!$E$2:$E$1501,hours!$C$2:$C$1501,$A6))</f>
        <v>8</v>
      </c>
      <c r="DK6" s="33" t="n">
        <f aca="false">IF($A6="","",ROUND(IF(SUMIFS(campaigns!$BO$2:$BO$51,campaigns!$B$2:$B$51,$B6)=0,0,$BO6/SUMIFS(campaigns!$BO$2:$BO$51,campaigns!$B$2:$B$51,$B6))*(SUMIFS(hours!$E$2:$E$1501,hours!$B$2:$B$1501,$B6)-SUMPRODUCT((hours!$B$2:$B$1501=$B6)*(LEN(hours!$C$2:$C$1501)&gt;0)*hours!$E$2:$E$1501)),2))</f>
        <v>9.66</v>
      </c>
      <c r="DL6" s="32" t="n">
        <f aca="false">IF($A6="","",$DC6-$DG6-$DH6-$DI6)</f>
        <v>1296.55</v>
      </c>
      <c r="DM6" s="32" t="n">
        <f aca="false">IF($A6="","",IF(N($DJ6)+N($DK6)=0,"",ROUND($DL6/($DJ6+$DK6),2)))</f>
        <v>73.42</v>
      </c>
      <c r="DN6" s="34" t="n">
        <f aca="false">IF($A6="","",IF(N($BP6)=0,"",COUNTIFS(approvals!$A$2:$A$251,$A6,approvals!$Q$2:$Q$251,"Y",approvals!$AK$2:$AK$251,"Y")/$BP6))</f>
        <v>1</v>
      </c>
      <c r="DO6" s="33" t="n">
        <f aca="false">IF($A6="","",IF(COUNTIFS(approvals!$A$2:$A$251,$A6,approvals!$AC$2:$AC$251,"&gt;=0")=0,"",ROUND(SUMIFS(approvals!$AC$2:$AC$251,approvals!$A$2:$A$251,$A6)/COUNTIFS(approvals!$A$2:$A$251,$A6,approvals!$AC$2:$AC$251,"&gt;=0"),1)))</f>
        <v>5.4</v>
      </c>
      <c r="DP6" s="31" t="n">
        <f aca="false">IF($A6="","",IFERROR(IF(INDEX(drops!$T$2:$T$21,MATCH($B6,drops!$A$2:$A$21,0))="","",INDEX(drops!$T$2:$T$21,MATCH($B6,drops!$A$2:$A$21,0))),""))</f>
        <v>46437</v>
      </c>
      <c r="DQ6" s="31" t="n">
        <f aca="false">IF($A6="","",IFERROR(IF(INDEX(drops!$U$2:$U$21,MATCH($B6,drops!$A$2:$A$21,0))="","",INDEX(drops!$U$2:$U$21,MATCH($B6,drops!$A$2:$A$21,0))),""))</f>
        <v>46442</v>
      </c>
      <c r="DR6" s="31" t="n">
        <f aca="false">IF($A6="","",IFERROR(IF(INDEX(drops!$W$2:$W$21,MATCH($B6,drops!$A$2:$A$21,0))="","",INDEX(drops!$W$2:$W$21,MATCH($B6,drops!$A$2:$A$21,0))),""))</f>
        <v>46457</v>
      </c>
      <c r="DS6" s="30" t="str">
        <f aca="false">IF($A6="","",IF($CE6="","",IF($CE6&gt;=config!$B$31,"pass","miss")))</f>
        <v>pass</v>
      </c>
      <c r="DT6" s="30" t="str">
        <f aca="false">IF($A6="","",IF($CI6="","",IF($CI6&gt;=config!$B$30,"pass","miss")))</f>
        <v>miss</v>
      </c>
      <c r="DU6" s="30" t="str">
        <f aca="true">IF($A6="","",IF($AT6="",IF($DP6="","",IF(IF(config!$B$37&lt;&gt;"",config!$B$37,TODAY())&gt;$DP6,"late","due")),IF($AT6&lt;=$DP6,"pass","late")))</f>
        <v>pass</v>
      </c>
      <c r="DV6" s="30" t="str">
        <f aca="false">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ustomFormat="false" ht="41.75" hidden="false" customHeight="false" outlineLevel="0" collapsed="false">
      <c r="A7" s="0" t="s">
        <v>563</v>
      </c>
      <c r="B7" s="0" t="s">
        <v>349</v>
      </c>
      <c r="C7" s="0" t="s">
        <v>564</v>
      </c>
      <c r="D7" s="10" t="s">
        <v>518</v>
      </c>
      <c r="F7" s="0" t="n">
        <v>10</v>
      </c>
      <c r="G7" s="12"/>
      <c r="H7" s="11" t="n">
        <v>46412</v>
      </c>
      <c r="I7" s="10" t="s">
        <v>475</v>
      </c>
      <c r="J7" s="10" t="s">
        <v>565</v>
      </c>
      <c r="L7" s="10" t="s">
        <v>566</v>
      </c>
      <c r="M7" s="10" t="s">
        <v>553</v>
      </c>
      <c r="N7" s="10" t="s">
        <v>567</v>
      </c>
      <c r="U7" s="10" t="s">
        <v>481</v>
      </c>
      <c r="V7" s="10" t="s">
        <v>568</v>
      </c>
      <c r="W7" s="10" t="s">
        <v>483</v>
      </c>
      <c r="Y7" s="10" t="s">
        <v>485</v>
      </c>
      <c r="Z7" s="10" t="s">
        <v>507</v>
      </c>
      <c r="AB7" s="11" t="n">
        <v>46415</v>
      </c>
      <c r="AC7" s="11" t="n">
        <v>46415</v>
      </c>
      <c r="AD7" s="11" t="n">
        <v>46415</v>
      </c>
      <c r="AF7" s="11" t="n">
        <v>46434</v>
      </c>
      <c r="AG7" s="11" t="n">
        <v>46415</v>
      </c>
      <c r="AH7" s="0" t="n">
        <v>567</v>
      </c>
      <c r="AI7" s="10" t="s">
        <v>569</v>
      </c>
      <c r="AJ7" s="10" t="s">
        <v>570</v>
      </c>
      <c r="AL7" s="10" t="s">
        <v>571</v>
      </c>
      <c r="AM7" s="10" t="s">
        <v>572</v>
      </c>
      <c r="AN7" s="10" t="s">
        <v>573</v>
      </c>
      <c r="AO7" s="2" t="s">
        <v>574</v>
      </c>
      <c r="AP7" s="10" t="s">
        <v>575</v>
      </c>
      <c r="AT7" s="11" t="n">
        <v>46450</v>
      </c>
      <c r="AU7" s="11" t="n">
        <v>46455</v>
      </c>
      <c r="AV7" s="10" t="s">
        <v>496</v>
      </c>
      <c r="AW7" s="10" t="s">
        <v>548</v>
      </c>
      <c r="AY7" s="11"/>
      <c r="BA7" s="11"/>
      <c r="BB7" s="11"/>
      <c r="BC7" s="11"/>
      <c r="BE7" s="30" t="str">
        <f aca="false">IF($A7="","",IFERROR(IF(INDEX(brands!$K$2:$K$41,MATCH($C7,brands!$A$2:$A$41,0))="","",INDEX(brands!$K$2:$K$41,MATCH($C7,brands!$A$2:$A$41,0))),""))</f>
        <v>SAMPLE Saltmarsh</v>
      </c>
      <c r="BF7" s="30" t="str">
        <f aca="false">IF($A7="","",IFERROR(IF(INDEX(brands!$M$2:$M$41,MATCH($C7,brands!$A$2:$A$41,0))="","",INDEX(brands!$M$2:$M$41,MATCH($C7,brands!$A$2:$A$41,0))),""))</f>
        <v>chips-crisps</v>
      </c>
      <c r="BG7" s="31" t="n">
        <f aca="false">IF($A7="","",IF(IFERROR(IF(INDEX(drops!$I$2:$I$21,MATCH($B7,drops!$A$2:$A$21,0))="","",INDEX(drops!$I$2:$I$21,MATCH($B7,drops!$A$2:$A$21,0))),"")="OK",IFERROR(IF(INDEX(drops!$B$2:$B$21,MATCH($B7,drops!$A$2:$A$21,0))="","",INDEX(drops!$B$2:$B$21,MATCH($B7,drops!$A$2:$A$21,0))),""),""))</f>
        <v>46441</v>
      </c>
      <c r="BH7" s="30" t="str">
        <f aca="false">IF($A7="","",IFERROR(IF(INDEX(drops!$C$2:$C$21,MATCH($B7,drops!$A$2:$A$21,0))="","",INDEX(drops!$C$2:$C$21,MATCH($B7,drops!$A$2:$A$21,0))),""))</f>
        <v>courier</v>
      </c>
      <c r="BI7" s="32" t="n">
        <f aca="false">IF($A7="","",IF($F7="","",IF($D7="founding",IF($E7="Y",config!$B$25*MIN($F7,config!$B$26)+config!$B$24*MAX(0,$F7-config!$B$26),config!$B$20+config!$B$24*MAX(0,$F7-config!$B$21)),IF($D7="standard",config!$B$22+config!$B$24*MAX(0,$F7-config!$B$23),""))))</f>
        <v>1500</v>
      </c>
      <c r="BJ7" s="32" t="n">
        <f aca="false">IF($A7="","",IF($G7&lt;&gt;"",$G7,$BI7))</f>
        <v>1500</v>
      </c>
      <c r="BK7" s="30" t="str">
        <f aca="false">IF($A7="","",IF($D7="founding","100% within "&amp;config!$B$27&amp;" business days of the invoice, before shipping",IF($D7="standard","50% on signing; 50% at placement confirmation (T+1)","")))</f>
        <v>50% on signing; 50% at placement confirmation (T+1)</v>
      </c>
      <c r="BL7" s="31" t="n">
        <f aca="false">IF($A7="","",IFERROR(IF(INDEX(drops!$K$2:$K$21,MATCH($B7,drops!$A$2:$A$21,0))="","",INDEX(drops!$K$2:$K$21,MATCH($B7,drops!$A$2:$A$21,0))),""))</f>
        <v>46426</v>
      </c>
      <c r="BM7" s="31" t="n">
        <f aca="false">IF($A7="","",IFERROR(IF(INDEX(drops!$L$2:$L$21,MATCH($B7,drops!$A$2:$A$21,0))="","",INDEX(drops!$L$2:$L$21,MATCH($B7,drops!$A$2:$A$21,0))),""))</f>
        <v>46426</v>
      </c>
      <c r="BN7" s="30" t="n">
        <f aca="false">IF($A7="","",COUNTIF(approvals!$A$2:$A$251,$A7))</f>
        <v>10</v>
      </c>
      <c r="BO7" s="30" t="n">
        <f aca="false">IF($A7="","",COUNTIFS(approvals!$A$2:$A$251,$A7,approvals!$P$2:$P$251,"Y"))</f>
        <v>10</v>
      </c>
      <c r="BP7" s="30" t="n">
        <f aca="false">IF($A7="","",COUNTIFS(approvals!$A$2:$A$251,$A7,approvals!$Q$2:$Q$251,"Y"))</f>
        <v>9</v>
      </c>
      <c r="BQ7" s="30" t="n">
        <f aca="false">IF($A7="","",COUNTIFS(approvals!$A$2:$A$251,$A7,approvals!$P$2:$P$251,"pending"))</f>
        <v>0</v>
      </c>
      <c r="BR7" s="30" t="n">
        <f aca="false">IF($A7="","",SUMIFS(approvals!$S$2:$S$251,approvals!$A$2:$A$251,$A7,approvals!$P$2:$P$251,"Y"))</f>
        <v>465</v>
      </c>
      <c r="BS7" s="30" t="n">
        <f aca="false">IF($A7="","",ROUNDUP($BR7*config!$B$18,0))</f>
        <v>47</v>
      </c>
      <c r="BT7" s="30" t="n">
        <f aca="false">IF($A7="","",$BR7+$BS7)</f>
        <v>512</v>
      </c>
      <c r="BU7" s="32" t="n">
        <f aca="false">IF($A7="","",SUMIFS(invoices!$I$2:$I$151,invoices!$B$2:$B$151,$A7,invoices!$R$2:$R$151,"Y",invoices!$H$2:$H$151,"&gt;0"))</f>
        <v>750</v>
      </c>
      <c r="BV7" s="32" t="n">
        <f aca="false">IF($A7="","",IF($BJ7="","",IF($D7="founding",$BJ7,ROUND($BJ7*config!$B$28,2))))</f>
        <v>750</v>
      </c>
      <c r="BW7" s="30" t="str">
        <f aca="false">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RELEASED 2027-01-28: ship by Mon 2027-02-08 (latest Mon 2027-02-08)</v>
      </c>
      <c r="BX7" s="30" t="n">
        <f aca="false">IF($A7="","",SUMIFS(inventory!$G$2:$G$801,inventory!$C$2:$C$801,$A7,inventory!$E$2:$E$801,"received"))</f>
        <v>480</v>
      </c>
      <c r="BY7" s="30" t="n">
        <f aca="false">IF($A7="","",SUMIFS(inventory!$G$2:$G$801,inventory!$C$2:$C$801,$A7,inventory!$E$2:$E$801,"rejected"))</f>
        <v>0</v>
      </c>
      <c r="BZ7" s="30" t="n">
        <f aca="false">IF($A7="","",SUMIFS(inventory!$M$2:$M$801,inventory!$C$2:$C$801,$A7))</f>
        <v>0</v>
      </c>
      <c r="CA7" s="30" t="n">
        <f aca="false">IF($A7="","",SUMIFS(inventory!$O$2:$O$801,inventory!$C$2:$C$801,$A7))</f>
        <v>0</v>
      </c>
      <c r="CB7" s="30" t="n">
        <f aca="false">IF($A7="","",SUMIFS(approvals!$U$2:$U$251,approvals!$A$2:$A$251,$A7))</f>
        <v>425</v>
      </c>
      <c r="CC7" s="30" t="n">
        <f aca="false">IF($A7="","",SUMIFS(approvals!$AA$2:$AA$251,approvals!$A$2:$A$251,$A7))</f>
        <v>425</v>
      </c>
      <c r="CD7" s="30" t="n">
        <f aca="false">IF($A7="","",SUMIFS(approvals!$AA$2:$AA$251,approvals!$A$2:$A$251,$A7,approvals!$AB$2:$AB$251,"Y"))</f>
        <v>425</v>
      </c>
      <c r="CE7" s="34" t="n">
        <f aca="false">IF($A7="","",IF(N($CB7)=0,"",$CD7/$CB7))</f>
        <v>1</v>
      </c>
      <c r="CF7" s="30" t="n">
        <f aca="false">IF($A7="","",SUMIFS(approvals!$AD$2:$AD$251,approvals!$A$2:$A$251,$A7))</f>
        <v>12</v>
      </c>
      <c r="CG7" s="30" t="n">
        <f aca="false">IF($A7="","",IF(COUNTIFS(approvals!$A$2:$A$251,$A7,approvals!$Q$2:$Q$251,"Y",approvals!$AG$2:$AG$251,"")&gt;0,"",SUMIFS(approvals!$AG$2:$AG$251,approvals!$A$2:$A$251,$A7,approvals!$Q$2:$Q$251,"Y")))</f>
        <v>408</v>
      </c>
      <c r="CH7" s="30" t="n">
        <f aca="false">IF($A7="","",SUMIFS(approvals!$AL$2:$AL$251,approvals!$A$2:$A$251,$A7,approvals!$Q$2:$Q$251,"Y"))</f>
        <v>62</v>
      </c>
      <c r="CI7" s="30" t="n">
        <f aca="false">IF($A7="","",IF(N($BP7)=0,"",SUMPRODUCT(MIN(approvals!$BB$2:$BB$251+(approvals!$A$2:$A$251&lt;&gt;$A7)*1000000))))</f>
        <v>5</v>
      </c>
      <c r="CJ7" s="30" t="n">
        <f aca="false">IF($A7="","",COUNTIFS(approvals!$A$2:$A$251,$A7,approvals!$Q$2:$Q$251,"Y",approvals!$AL$2:$AL$251,"&lt;"&amp;config!$B$30))</f>
        <v>0</v>
      </c>
      <c r="CK7" s="30" t="n">
        <f aca="false">IF($A7="","",SUMIFS(approvals!$AM$2:$AM$251,approvals!$A$2:$A$251,$A7,approvals!$Q$2:$Q$251,"Y"))</f>
        <v>49</v>
      </c>
      <c r="CL7" s="30" t="n">
        <f aca="false">IF($A7="","",SUMIFS(approvals!$AQ$2:$AQ$251,approvals!$A$2:$A$251,$A7,approvals!$Q$2:$Q$251,"Y"))</f>
        <v>5</v>
      </c>
      <c r="CM7" s="30" t="n">
        <f aca="false">IF($A7="","",SUMIFS(approvals!$AR$2:$AR$251,approvals!$A$2:$A$251,$A7,approvals!$Q$2:$Q$251,"Y"))</f>
        <v>3</v>
      </c>
      <c r="CN7" s="30" t="n">
        <f aca="false">IF($A7="","",SUMIFS(approvals!$AS$2:$AS$251,approvals!$A$2:$A$251,$A7,approvals!$Q$2:$Q$251,"Y"))</f>
        <v>5</v>
      </c>
      <c r="CO7" s="30" t="n">
        <f aca="false">IF($A7="","",SUMIFS(approvals!$AT$2:$AT$251,approvals!$A$2:$A$251,$A7,approvals!$Q$2:$Q$251,"Y"))</f>
        <v>49</v>
      </c>
      <c r="CP7" s="33" t="n">
        <f aca="false">IF($A7="","",IF(N($CO7)=0,"",ROUND(SUMIFS(approvals!$AU$2:$AU$251,approvals!$A$2:$A$251,$A7,approvals!$Q$2:$Q$251,"Y")/$CO7,1)))</f>
        <v>4.4</v>
      </c>
      <c r="CQ7" s="30" t="n">
        <f aca="false">IF($A7="","",SUMIFS(approvals!$AV$2:$AV$251,approvals!$A$2:$A$251,$A7,approvals!$Q$2:$Q$251,"Y"))</f>
        <v>12</v>
      </c>
      <c r="CR7" s="30" t="n">
        <f aca="false">IF($A7="","",SUMIFS(approvals!$AW$2:$AW$251,approvals!$A$2:$A$251,$A7,approvals!$Q$2:$Q$251,"Y"))</f>
        <v>22</v>
      </c>
      <c r="CS7" s="30" t="n">
        <f aca="false">IF($A7="","",SUMIFS(approvals!$AX$2:$AX$251,approvals!$A$2:$A$251,$A7,approvals!$Q$2:$Q$251,"Y"))</f>
        <v>15</v>
      </c>
      <c r="CT7" s="30" t="n">
        <f aca="false">IF($A7="","",SUMIFS(approvals!$AY$2:$AY$251,approvals!$A$2:$A$251,$A7,approvals!$Q$2:$Q$251,"Y"))</f>
        <v>25</v>
      </c>
      <c r="CU7" s="30" t="n">
        <f aca="true">IF($A7="","",IF(OR($BG7="",$BC7&lt;&gt;""),"",IFERROR(COUNT(INDIRECT("'"&amp;$A7&amp;"'!$A$2:$A$501")),0)-IFERROR(COUNTIFS(INDIRECT("'"&amp;$A7&amp;"'!$A$2:$A$501"),"&gt;="&amp;$BG7,INDIRECT("'"&amp;$A7&amp;"'!$A$2:$A$501"),"&lt;"&amp;(IFERROR(IF(INDEX(drops!$R$2:$R$21,MATCH($B7,drops!$A$2:$A$21,0))="","",INDEX(drops!$R$2:$R$21,MATCH($B7,drops!$A$2:$A$21,0))),"")+1)),0)))</f>
        <v>0</v>
      </c>
      <c r="CV7" s="30" t="n">
        <f aca="true">IF($A7="","",IF(OR($BG7="",$BC7&lt;&gt;""),"",IFERROR(COUNTIFS(INDIRECT("'"&amp;$A7&amp;"'!$A$2:$A$501"),"&gt;="&amp;$BG7,INDIRECT("'"&amp;$A7&amp;"'!$A$2:$A$501"),"&lt;"&amp;(IFERROR(IF(INDEX(drops!$R$2:$R$21,MATCH($B7,drops!$A$2:$A$21,0))="","",INDEX(drops!$R$2:$R$21,MATCH($B7,drops!$A$2:$A$21,0))),"")+1)),0)-N($CH7)-N($CW7)))</f>
        <v>0</v>
      </c>
      <c r="CW7" s="30" t="n">
        <f aca="false">IF($A7="","",IF($BG7="","",SUMIFS(approvals!$AL$2:$AL$251,approvals!$A$2:$A$251,$A7,approvals!$Q$2:$Q$251,"&lt;&gt;Y")))</f>
        <v>0</v>
      </c>
      <c r="CX7" s="30" t="n">
        <f aca="false">IF($A7="","",SUMIFS(approvals!$AN$2:$AN$251,approvals!$A$2:$A$251,$A7,approvals!$Q$2:$Q$251,"Y"))</f>
        <v>71</v>
      </c>
      <c r="CY7" s="30" t="n">
        <f aca="false">IF($A7="","",SUMIFS(approvals!$AO$2:$AO$251,approvals!$A$2:$A$251,$A7,approvals!$Q$2:$Q$251,"Y"))</f>
        <v>68</v>
      </c>
      <c r="CZ7" s="30" t="n">
        <f aca="false">IF($A7="","",IF($DA7="","",SUMIFS(redemptions!$C$2:$C$121,redemptions!$A$2:$A$121,$A7,redemptions!$B$2:$B$121,$DA7)))</f>
        <v>13</v>
      </c>
      <c r="DA7" s="31" t="n">
        <f aca="false">IF($A7="","",IFERROR(1/(1/SUMPRODUCT(MAX((redemptions!$A$2:$A$121=$A7)*redemptions!$B$2:$B$121))),""))</f>
        <v>46471</v>
      </c>
      <c r="DB7" s="30" t="n">
        <f aca="false">IF($A7="","",IF(COUNTIFS(redemptions!$A$2:$A$121,$A7,redemptions!$H$2:$H$121,"Y")=0,"",SUMIFS(redemptions!$C$2:$C$121,redemptions!$A$2:$A$121,$A7,redemptions!$B$2:$B$121,SUMPRODUCT(MIN((redemptions!$A$2:$A$121=$A7)*(redemptions!$H$2:$H$121="Y")*redemptions!$B$2:$B$121+((redemptions!$A$2:$A$121&lt;&gt;$A7)+(redemptions!$H$2:$H$121&lt;&gt;"Y")&gt;0)*1000000)))))</f>
        <v>13</v>
      </c>
      <c r="DC7" s="32" t="n">
        <f aca="false">IF($A7="","",SUMIFS(invoices!$E$2:$E$151,invoices!$B$2:$B$151,$A7))</f>
        <v>1350</v>
      </c>
      <c r="DD7" s="32" t="n">
        <f aca="false">IF($A7="","",IF(COUNTIFS(invoices!$B$2:$B$151,$A7,invoices!$C$2:$C$151,"standard_deposit",invoices!$H$2:$H$151,"&gt;0")=0,"",SUMIFS(invoices!$I$2:$I$151,invoices!$B$2:$B$151,$A7,invoices!$C$2:$C$151,"standard_deposit")))</f>
        <v>750</v>
      </c>
      <c r="DE7" s="31" t="n">
        <f aca="false">IF($A7="","",IFERROR(1/(1/SUMPRODUCT(MAX((invoices!$B$2:$B$151=$A7)*(invoices!$C$2:$C$151="standard_deposit")*invoices!$H$2:$H$151))),""))</f>
        <v>46415</v>
      </c>
      <c r="DF7" s="31" t="n">
        <f aca="false">IF($A7="","",IFERROR(1/(1/SUMPRODUCT(MAX((invoices!$B$2:$B$151=$A7)*((invoices!$C$2:$C$151="founding_full")+(invoices!$C$2:$C$151="standard_balance"))*invoices!$H$2:$H$151))),""))</f>
        <v>46444</v>
      </c>
      <c r="DG7" s="32" t="n">
        <f aca="false">IF($A7="","",SUMIFS(invoices!$L$2:$L$151,invoices!$B$2:$B$151,$A7))</f>
        <v>0</v>
      </c>
      <c r="DH7" s="32" t="n">
        <f aca="false">IF($A7="","",SUMIFS(costs!$E$2:$E$301,costs!$C$2:$C$301,$A7))</f>
        <v>80</v>
      </c>
      <c r="DI7" s="32" t="n">
        <f aca="false">IF($A7="","",ROUND(IF(SUMIFS(campaigns!$BO$2:$BO$51,campaigns!$B$2:$B$51,$B7)=0,0,$BO7/SUMIFS(campaigns!$BO$2:$BO$51,campaigns!$B$2:$B$51,$B7))*(SUMIFS(costs!$E$2:$E$301,costs!$B$2:$B$301,$B7)-SUMPRODUCT((costs!$B$2:$B$301=$B7)*(LEN(costs!$C$2:$C$301)&gt;0)*costs!$E$2:$E$301)),2))</f>
        <v>300</v>
      </c>
      <c r="DJ7" s="33" t="n">
        <f aca="false">IF($A7="","",SUMIFS(hours!$E$2:$E$1501,hours!$C$2:$C$1501,$A7))</f>
        <v>8</v>
      </c>
      <c r="DK7" s="33" t="n">
        <f aca="false">IF($A7="","",ROUND(IF(SUMIFS(campaigns!$BO$2:$BO$51,campaigns!$B$2:$B$51,$B7)=0,0,$BO7/SUMIFS(campaigns!$BO$2:$BO$51,campaigns!$B$2:$B$51,$B7))*(SUMIFS(hours!$E$2:$E$1501,hours!$B$2:$B$1501,$B7)-SUMPRODUCT((hours!$B$2:$B$1501=$B7)*(LEN(hours!$C$2:$C$1501)&gt;0)*hours!$E$2:$E$1501)),2))</f>
        <v>12.5</v>
      </c>
      <c r="DL7" s="32" t="n">
        <f aca="false">IF($A7="","",$DC7-$DG7-$DH7-$DI7)</f>
        <v>970</v>
      </c>
      <c r="DM7" s="32" t="n">
        <f aca="false">IF($A7="","",IF(N($DJ7)+N($DK7)=0,"",ROUND($DL7/($DJ7+$DK7),2)))</f>
        <v>47.32</v>
      </c>
      <c r="DN7" s="34" t="n">
        <f aca="false">IF($A7="","",IF(N($BP7)=0,"",COUNTIFS(approvals!$A$2:$A$251,$A7,approvals!$Q$2:$Q$251,"Y",approvals!$AK$2:$AK$251,"Y")/$BP7))</f>
        <v>1</v>
      </c>
      <c r="DO7" s="33" t="n">
        <f aca="false">IF($A7="","",IF(COUNTIFS(approvals!$A$2:$A$251,$A7,approvals!$AC$2:$AC$251,"&gt;=0")=0,"",ROUND(SUMIFS(approvals!$AC$2:$AC$251,approvals!$A$2:$A$251,$A7)/COUNTIFS(approvals!$A$2:$A$251,$A7,approvals!$AC$2:$AC$251,"&gt;=0"),1)))</f>
        <v>3.4</v>
      </c>
      <c r="DP7" s="31" t="n">
        <f aca="false">IF($A7="","",IFERROR(IF(INDEX(drops!$T$2:$T$21,MATCH($B7,drops!$A$2:$A$21,0))="","",INDEX(drops!$T$2:$T$21,MATCH($B7,drops!$A$2:$A$21,0))),""))</f>
        <v>46450</v>
      </c>
      <c r="DQ7" s="31" t="n">
        <f aca="false">IF($A7="","",IFERROR(IF(INDEX(drops!$U$2:$U$21,MATCH($B7,drops!$A$2:$A$21,0))="","",INDEX(drops!$U$2:$U$21,MATCH($B7,drops!$A$2:$A$21,0))),""))</f>
        <v>46455</v>
      </c>
      <c r="DR7" s="31" t="n">
        <f aca="false">IF($A7="","",IFERROR(IF(INDEX(drops!$W$2:$W$21,MATCH($B7,drops!$A$2:$A$21,0))="","",INDEX(drops!$W$2:$W$21,MATCH($B7,drops!$A$2:$A$21,0))),""))</f>
        <v>46471</v>
      </c>
      <c r="DS7" s="30" t="str">
        <f aca="false">IF($A7="","",IF($CE7="","",IF($CE7&gt;=config!$B$31,"pass","miss")))</f>
        <v>pass</v>
      </c>
      <c r="DT7" s="30" t="str">
        <f aca="false">IF($A7="","",IF($CI7="","",IF($CI7&gt;=config!$B$30,"pass","miss")))</f>
        <v>pass</v>
      </c>
      <c r="DU7" s="30" t="str">
        <f aca="true">IF($A7="","",IF($AT7="",IF($DP7="","",IF(IF(config!$B$37&lt;&gt;"",config!$B$37,TODAY())&gt;$DP7,"late","due")),IF($AT7&lt;=$DP7,"pass","late")))</f>
        <v>pass</v>
      </c>
      <c r="DV7" s="30" t="str">
        <f aca="false">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ustomFormat="false" ht="41.75" hidden="false" customHeight="false" outlineLevel="0" collapsed="false">
      <c r="A8" s="0" t="s">
        <v>576</v>
      </c>
      <c r="B8" s="0" t="s">
        <v>353</v>
      </c>
      <c r="C8" s="0" t="s">
        <v>473</v>
      </c>
      <c r="D8" s="10" t="s">
        <v>474</v>
      </c>
      <c r="E8" s="0" t="s">
        <v>486</v>
      </c>
      <c r="F8" s="0" t="n">
        <v>10</v>
      </c>
      <c r="G8" s="12"/>
      <c r="H8" s="11" t="n">
        <v>46442</v>
      </c>
      <c r="I8" s="10" t="s">
        <v>475</v>
      </c>
      <c r="J8" s="10" t="s">
        <v>476</v>
      </c>
      <c r="L8" s="10" t="s">
        <v>477</v>
      </c>
      <c r="M8" s="10" t="s">
        <v>478</v>
      </c>
      <c r="N8" s="10" t="s">
        <v>479</v>
      </c>
      <c r="O8" s="10" t="s">
        <v>480</v>
      </c>
      <c r="U8" s="10" t="s">
        <v>481</v>
      </c>
      <c r="V8" s="10" t="s">
        <v>482</v>
      </c>
      <c r="W8" s="10" t="s">
        <v>483</v>
      </c>
      <c r="X8" s="10" t="s">
        <v>484</v>
      </c>
      <c r="Y8" s="10" t="s">
        <v>485</v>
      </c>
      <c r="Z8" s="10" t="s">
        <v>507</v>
      </c>
      <c r="AB8" s="11" t="n">
        <v>46447</v>
      </c>
      <c r="AC8" s="11" t="n">
        <v>46447</v>
      </c>
      <c r="AD8" s="11" t="n">
        <v>46447</v>
      </c>
      <c r="AF8" s="11" t="n">
        <v>46462</v>
      </c>
      <c r="AG8" s="11" t="n">
        <v>46447</v>
      </c>
      <c r="AH8" s="0" t="n">
        <v>567</v>
      </c>
      <c r="AI8" s="10" t="s">
        <v>577</v>
      </c>
      <c r="AJ8" s="10" t="s">
        <v>578</v>
      </c>
      <c r="AL8" s="10" t="s">
        <v>579</v>
      </c>
      <c r="AM8" s="10" t="s">
        <v>580</v>
      </c>
      <c r="AN8" s="10" t="s">
        <v>581</v>
      </c>
      <c r="AO8" s="2" t="s">
        <v>582</v>
      </c>
      <c r="AP8" s="10" t="s">
        <v>583</v>
      </c>
      <c r="AT8" s="11" t="n">
        <v>46478</v>
      </c>
      <c r="AU8" s="11" t="n">
        <v>46483</v>
      </c>
      <c r="AV8" s="10" t="s">
        <v>496</v>
      </c>
      <c r="AW8" s="10" t="s">
        <v>548</v>
      </c>
      <c r="AY8" s="11"/>
      <c r="BA8" s="11"/>
      <c r="BB8" s="11"/>
      <c r="BC8" s="11"/>
      <c r="BE8" s="30" t="str">
        <f aca="false">IF($A8="","",IFERROR(IF(INDEX(brands!$K$2:$K$41,MATCH($C8,brands!$A$2:$A$41,0))="","",INDEX(brands!$K$2:$K$41,MATCH($C8,brands!$A$2:$A$41,0))),""))</f>
        <v>SAMPLE Brightside</v>
      </c>
      <c r="BF8" s="30" t="str">
        <f aca="false">IF($A8="","",IFERROR(IF(INDEX(brands!$M$2:$M$41,MATCH($C8,brands!$A$2:$A$41,0))="","",INDEX(brands!$M$2:$M$41,MATCH($C8,brands!$A$2:$A$41,0))),""))</f>
        <v>chips-crisps</v>
      </c>
      <c r="BG8" s="31" t="n">
        <f aca="false">IF($A8="","",IF(IFERROR(IF(INDEX(drops!$I$2:$I$21,MATCH($B8,drops!$A$2:$A$21,0))="","",INDEX(drops!$I$2:$I$21,MATCH($B8,drops!$A$2:$A$21,0))),"")="OK",IFERROR(IF(INDEX(drops!$B$2:$B$21,MATCH($B8,drops!$A$2:$A$21,0))="","",INDEX(drops!$B$2:$B$21,MATCH($B8,drops!$A$2:$A$21,0))),""),""))</f>
        <v>46469</v>
      </c>
      <c r="BH8" s="30" t="str">
        <f aca="false">IF($A8="","",IFERROR(IF(INDEX(drops!$C$2:$C$21,MATCH($B8,drops!$A$2:$A$21,0))="","",INDEX(drops!$C$2:$C$21,MATCH($B8,drops!$A$2:$A$21,0))),""))</f>
        <v>direct-ship</v>
      </c>
      <c r="BI8" s="32" t="n">
        <f aca="false">IF($A8="","",IF($F8="","",IF($D8="founding",IF($E8="Y",config!$B$25*MIN($F8,config!$B$26)+config!$B$24*MAX(0,$F8-config!$B$26),config!$B$20+config!$B$24*MAX(0,$F8-config!$B$21)),IF($D8="standard",config!$B$22+config!$B$24*MAX(0,$F8-config!$B$23),""))))</f>
        <v>1200</v>
      </c>
      <c r="BJ8" s="32" t="n">
        <f aca="false">IF($A8="","",IF($G8&lt;&gt;"",$G8,$BI8))</f>
        <v>1200</v>
      </c>
      <c r="BK8" s="30" t="str">
        <f aca="false">IF($A8="","",IF($D8="founding","100% within "&amp;config!$B$27&amp;" business days of the invoice, before shipping",IF($D8="standard","50% on signing; 50% at placement confirmation (T+1)","")))</f>
        <v>100% within 5 business days of the invoice, before shipping</v>
      </c>
      <c r="BL8" s="31" t="n">
        <f aca="false">IF($A8="","",IFERROR(IF(INDEX(drops!$K$2:$K$21,MATCH($B8,drops!$A$2:$A$21,0))="","",INDEX(drops!$K$2:$K$21,MATCH($B8,drops!$A$2:$A$21,0))),""))</f>
        <v>46455</v>
      </c>
      <c r="BM8" s="31" t="n">
        <f aca="false">IF($A8="","",IFERROR(IF(INDEX(drops!$L$2:$L$21,MATCH($B8,drops!$A$2:$A$21,0))="","",INDEX(drops!$L$2:$L$21,MATCH($B8,drops!$A$2:$A$21,0))),""))</f>
        <v>46455</v>
      </c>
      <c r="BN8" s="30" t="n">
        <f aca="false">IF($A8="","",COUNTIF(approvals!$A$2:$A$251,$A8))</f>
        <v>10</v>
      </c>
      <c r="BO8" s="30" t="n">
        <f aca="false">IF($A8="","",COUNTIFS(approvals!$A$2:$A$251,$A8,approvals!$P$2:$P$251,"Y"))</f>
        <v>10</v>
      </c>
      <c r="BP8" s="30" t="n">
        <f aca="false">IF($A8="","",COUNTIFS(approvals!$A$2:$A$251,$A8,approvals!$Q$2:$Q$251,"Y"))</f>
        <v>10</v>
      </c>
      <c r="BQ8" s="30" t="n">
        <f aca="false">IF($A8="","",COUNTIFS(approvals!$A$2:$A$251,$A8,approvals!$P$2:$P$251,"pending"))</f>
        <v>0</v>
      </c>
      <c r="BR8" s="30" t="n">
        <f aca="false">IF($A8="","",SUMIFS(approvals!$S$2:$S$251,approvals!$A$2:$A$251,$A8,approvals!$P$2:$P$251,"Y"))</f>
        <v>515</v>
      </c>
      <c r="BS8" s="30" t="n">
        <f aca="false">IF($A8="","",ROUNDUP($BR8*config!$B$18,0))</f>
        <v>52</v>
      </c>
      <c r="BT8" s="30" t="n">
        <f aca="false">IF($A8="","",$BR8+$BS8)</f>
        <v>567</v>
      </c>
      <c r="BU8" s="32" t="n">
        <f aca="false">IF($A8="","",SUMIFS(invoices!$I$2:$I$151,invoices!$B$2:$B$151,$A8,invoices!$R$2:$R$151,"Y",invoices!$H$2:$H$151,"&gt;0"))</f>
        <v>1200</v>
      </c>
      <c r="BV8" s="32" t="n">
        <f aca="false">IF($A8="","",IF($BJ8="","",IF($D8="founding",$BJ8,ROUND($BJ8*config!$B$28,2))))</f>
        <v>1200</v>
      </c>
      <c r="BW8" s="30" t="str">
        <f aca="false">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RELEASED 2027-03-01: ship by Tue 2027-03-09 (latest Tue 2027-03-09)</v>
      </c>
      <c r="BX8" s="30" t="n">
        <f aca="false">IF($A8="","",SUMIFS(inventory!$G$2:$G$801,inventory!$C$2:$C$801,$A8,inventory!$E$2:$E$801,"received"))</f>
        <v>543</v>
      </c>
      <c r="BY8" s="30" t="n">
        <f aca="false">IF($A8="","",SUMIFS(inventory!$G$2:$G$801,inventory!$C$2:$C$801,$A8,inventory!$E$2:$E$801,"rejected"))</f>
        <v>0</v>
      </c>
      <c r="BZ8" s="30" t="n">
        <f aca="false">IF($A8="","",SUMIFS(inventory!$M$2:$M$801,inventory!$C$2:$C$801,$A8))</f>
        <v>0</v>
      </c>
      <c r="CA8" s="30" t="n">
        <f aca="false">IF($A8="","",SUMIFS(inventory!$O$2:$O$801,inventory!$C$2:$C$801,$A8))</f>
        <v>0</v>
      </c>
      <c r="CB8" s="30" t="n">
        <f aca="false">IF($A8="","",SUMIFS(approvals!$U$2:$U$251,approvals!$A$2:$A$251,$A8))</f>
        <v>491</v>
      </c>
      <c r="CC8" s="30" t="n">
        <f aca="false">IF($A8="","",SUMIFS(approvals!$AA$2:$AA$251,approvals!$A$2:$A$251,$A8))</f>
        <v>491</v>
      </c>
      <c r="CD8" s="30" t="n">
        <f aca="false">IF($A8="","",SUMIFS(approvals!$AA$2:$AA$251,approvals!$A$2:$A$251,$A8,approvals!$AB$2:$AB$251,"Y"))</f>
        <v>491</v>
      </c>
      <c r="CE8" s="34" t="n">
        <f aca="false">IF($A8="","",IF(N($CB8)=0,"",$CD8/$CB8))</f>
        <v>1</v>
      </c>
      <c r="CF8" s="30" t="n">
        <f aca="false">IF($A8="","",SUMIFS(approvals!$AD$2:$AD$251,approvals!$A$2:$A$251,$A8))</f>
        <v>20</v>
      </c>
      <c r="CG8" s="30" t="n">
        <f aca="false">IF($A8="","",IF(COUNTIFS(approvals!$A$2:$A$251,$A8,approvals!$Q$2:$Q$251,"Y",approvals!$AG$2:$AG$251,"")&gt;0,"",SUMIFS(approvals!$AG$2:$AG$251,approvals!$A$2:$A$251,$A8,approvals!$Q$2:$Q$251,"Y")))</f>
        <v>474</v>
      </c>
      <c r="CH8" s="30" t="n">
        <f aca="false">IF($A8="","",SUMIFS(approvals!$AL$2:$AL$251,approvals!$A$2:$A$251,$A8,approvals!$Q$2:$Q$251,"Y"))</f>
        <v>66</v>
      </c>
      <c r="CI8" s="30" t="n">
        <f aca="false">IF($A8="","",IF(N($BP8)=0,"",SUMPRODUCT(MIN(approvals!$BB$2:$BB$251+(approvals!$A$2:$A$251&lt;&gt;$A8)*1000000))))</f>
        <v>4</v>
      </c>
      <c r="CJ8" s="30" t="n">
        <f aca="false">IF($A8="","",COUNTIFS(approvals!$A$2:$A$251,$A8,approvals!$Q$2:$Q$251,"Y",approvals!$AL$2:$AL$251,"&lt;"&amp;config!$B$30))</f>
        <v>1</v>
      </c>
      <c r="CK8" s="30" t="n">
        <f aca="false">IF($A8="","",SUMIFS(approvals!$AM$2:$AM$251,approvals!$A$2:$A$251,$A8,approvals!$Q$2:$Q$251,"Y"))</f>
        <v>48</v>
      </c>
      <c r="CL8" s="30" t="n">
        <f aca="false">IF($A8="","",SUMIFS(approvals!$AQ$2:$AQ$251,approvals!$A$2:$A$251,$A8,approvals!$Q$2:$Q$251,"Y"))</f>
        <v>5</v>
      </c>
      <c r="CM8" s="30" t="n">
        <f aca="false">IF($A8="","",SUMIFS(approvals!$AR$2:$AR$251,approvals!$A$2:$A$251,$A8,approvals!$Q$2:$Q$251,"Y"))</f>
        <v>11</v>
      </c>
      <c r="CN8" s="30" t="n">
        <f aca="false">IF($A8="","",SUMIFS(approvals!$AS$2:$AS$251,approvals!$A$2:$A$251,$A8,approvals!$Q$2:$Q$251,"Y"))</f>
        <v>2</v>
      </c>
      <c r="CO8" s="30" t="n">
        <f aca="false">IF($A8="","",SUMIFS(approvals!$AT$2:$AT$251,approvals!$A$2:$A$251,$A8,approvals!$Q$2:$Q$251,"Y"))</f>
        <v>48</v>
      </c>
      <c r="CP8" s="33" t="n">
        <f aca="false">IF($A8="","",IF(N($CO8)=0,"",ROUND(SUMIFS(approvals!$AU$2:$AU$251,approvals!$A$2:$A$251,$A8,approvals!$Q$2:$Q$251,"Y")/$CO8,1)))</f>
        <v>4.2</v>
      </c>
      <c r="CQ8" s="30" t="n">
        <f aca="false">IF($A8="","",SUMIFS(approvals!$AV$2:$AV$251,approvals!$A$2:$A$251,$A8,approvals!$Q$2:$Q$251,"Y"))</f>
        <v>19</v>
      </c>
      <c r="CR8" s="30" t="n">
        <f aca="false">IF($A8="","",SUMIFS(approvals!$AW$2:$AW$251,approvals!$A$2:$A$251,$A8,approvals!$Q$2:$Q$251,"Y"))</f>
        <v>25</v>
      </c>
      <c r="CS8" s="30" t="n">
        <f aca="false">IF($A8="","",SUMIFS(approvals!$AX$2:$AX$251,approvals!$A$2:$A$251,$A8,approvals!$Q$2:$Q$251,"Y"))</f>
        <v>4</v>
      </c>
      <c r="CT8" s="30" t="n">
        <f aca="false">IF($A8="","",SUMIFS(approvals!$AY$2:$AY$251,approvals!$A$2:$A$251,$A8,approvals!$Q$2:$Q$251,"Y"))</f>
        <v>21</v>
      </c>
      <c r="CU8" s="30" t="n">
        <f aca="true">IF($A8="","",IF(OR($BG8="",$BC8&lt;&gt;""),"",IFERROR(COUNT(INDIRECT("'"&amp;$A8&amp;"'!$A$2:$A$501")),0)-IFERROR(COUNTIFS(INDIRECT("'"&amp;$A8&amp;"'!$A$2:$A$501"),"&gt;="&amp;$BG8,INDIRECT("'"&amp;$A8&amp;"'!$A$2:$A$501"),"&lt;"&amp;(IFERROR(IF(INDEX(drops!$R$2:$R$21,MATCH($B8,drops!$A$2:$A$21,0))="","",INDEX(drops!$R$2:$R$21,MATCH($B8,drops!$A$2:$A$21,0))),"")+1)),0)))</f>
        <v>0</v>
      </c>
      <c r="CV8" s="30" t="n">
        <f aca="true">IF($A8="","",IF(OR($BG8="",$BC8&lt;&gt;""),"",IFERROR(COUNTIFS(INDIRECT("'"&amp;$A8&amp;"'!$A$2:$A$501"),"&gt;="&amp;$BG8,INDIRECT("'"&amp;$A8&amp;"'!$A$2:$A$501"),"&lt;"&amp;(IFERROR(IF(INDEX(drops!$R$2:$R$21,MATCH($B8,drops!$A$2:$A$21,0))="","",INDEX(drops!$R$2:$R$21,MATCH($B8,drops!$A$2:$A$21,0))),"")+1)),0)-N($CH8)-N($CW8)))</f>
        <v>0</v>
      </c>
      <c r="CW8" s="30" t="n">
        <f aca="false">IF($A8="","",IF($BG8="","",SUMIFS(approvals!$AL$2:$AL$251,approvals!$A$2:$A$251,$A8,approvals!$Q$2:$Q$251,"&lt;&gt;Y")))</f>
        <v>0</v>
      </c>
      <c r="CX8" s="30" t="n">
        <f aca="false">IF($A8="","",SUMIFS(approvals!$AN$2:$AN$251,approvals!$A$2:$A$251,$A8,approvals!$Q$2:$Q$251,"Y"))</f>
        <v>81</v>
      </c>
      <c r="CY8" s="30" t="n">
        <f aca="false">IF($A8="","",SUMIFS(approvals!$AO$2:$AO$251,approvals!$A$2:$A$251,$A8,approvals!$Q$2:$Q$251,"Y"))</f>
        <v>71</v>
      </c>
      <c r="CZ8" s="30" t="n">
        <f aca="false">IF($A8="","",IF($DA8="","",SUMIFS(redemptions!$C$2:$C$121,redemptions!$A$2:$A$121,$A8,redemptions!$B$2:$B$121,$DA8)))</f>
        <v>9</v>
      </c>
      <c r="DA8" s="31" t="n">
        <f aca="false">IF($A8="","",IFERROR(1/(1/SUMPRODUCT(MAX((redemptions!$A$2:$A$121=$A8)*redemptions!$B$2:$B$121))),""))</f>
        <v>46499</v>
      </c>
      <c r="DB8" s="30" t="n">
        <f aca="false">IF($A8="","",IF(COUNTIFS(redemptions!$A$2:$A$121,$A8,redemptions!$H$2:$H$121,"Y")=0,"",SUMIFS(redemptions!$C$2:$C$121,redemptions!$A$2:$A$121,$A8,redemptions!$B$2:$B$121,SUMPRODUCT(MIN((redemptions!$A$2:$A$121=$A8)*(redemptions!$H$2:$H$121="Y")*redemptions!$B$2:$B$121+((redemptions!$A$2:$A$121&lt;&gt;$A8)+(redemptions!$H$2:$H$121&lt;&gt;"Y")&gt;0)*1000000)))))</f>
        <v>9</v>
      </c>
      <c r="DC8" s="32" t="n">
        <f aca="false">IF($A8="","",SUMIFS(invoices!$E$2:$E$151,invoices!$B$2:$B$151,$A8))</f>
        <v>1200</v>
      </c>
      <c r="DD8" s="32" t="str">
        <f aca="false">IF($A8="","",IF(COUNTIFS(invoices!$B$2:$B$151,$A8,invoices!$C$2:$C$151,"standard_deposit",invoices!$H$2:$H$151,"&gt;0")=0,"",SUMIFS(invoices!$I$2:$I$151,invoices!$B$2:$B$151,$A8,invoices!$C$2:$C$151,"standard_deposit")))</f>
        <v/>
      </c>
      <c r="DE8" s="31" t="str">
        <f aca="false">IF($A8="","",IFERROR(1/(1/SUMPRODUCT(MAX((invoices!$B$2:$B$151=$A8)*(invoices!$C$2:$C$151="standard_deposit")*invoices!$H$2:$H$151))),""))</f>
        <v/>
      </c>
      <c r="DF8" s="31" t="n">
        <f aca="false">IF($A8="","",IFERROR(1/(1/SUMPRODUCT(MAX((invoices!$B$2:$B$151=$A8)*((invoices!$C$2:$C$151="founding_full")+(invoices!$C$2:$C$151="standard_balance"))*invoices!$H$2:$H$151))),""))</f>
        <v>46447</v>
      </c>
      <c r="DG8" s="32" t="n">
        <f aca="false">IF($A8="","",SUMIFS(invoices!$L$2:$L$151,invoices!$B$2:$B$151,$A8))</f>
        <v>0</v>
      </c>
      <c r="DH8" s="32" t="n">
        <f aca="false">IF($A8="","",SUMIFS(costs!$E$2:$E$301,costs!$C$2:$C$301,$A8))</f>
        <v>80</v>
      </c>
      <c r="DI8" s="32" t="n">
        <f aca="false">IF($A8="","",ROUND(IF(SUMIFS(campaigns!$BO$2:$BO$51,campaigns!$B$2:$B$51,$B8)=0,0,$BO8/SUMIFS(campaigns!$BO$2:$BO$51,campaigns!$B$2:$B$51,$B8))*(SUMIFS(costs!$E$2:$E$301,costs!$B$2:$B$301,$B8)-SUMPRODUCT((costs!$B$2:$B$301=$B8)*(LEN(costs!$C$2:$C$301)&gt;0)*costs!$E$2:$E$301)),2))</f>
        <v>22.5</v>
      </c>
      <c r="DJ8" s="33" t="n">
        <f aca="false">IF($A8="","",SUMIFS(hours!$E$2:$E$1501,hours!$C$2:$C$1501,$A8))</f>
        <v>4</v>
      </c>
      <c r="DK8" s="33" t="n">
        <f aca="false">IF($A8="","",ROUND(IF(SUMIFS(campaigns!$BO$2:$BO$51,campaigns!$B$2:$B$51,$B8)=0,0,$BO8/SUMIFS(campaigns!$BO$2:$BO$51,campaigns!$B$2:$B$51,$B8))*(SUMIFS(hours!$E$2:$E$1501,hours!$B$2:$B$1501,$B8)-SUMPRODUCT((hours!$B$2:$B$1501=$B8)*(LEN(hours!$C$2:$C$1501)&gt;0)*hours!$E$2:$E$1501)),2))</f>
        <v>4.75</v>
      </c>
      <c r="DL8" s="32" t="n">
        <f aca="false">IF($A8="","",$DC8-$DG8-$DH8-$DI8)</f>
        <v>1097.5</v>
      </c>
      <c r="DM8" s="32" t="n">
        <f aca="false">IF($A8="","",IF(N($DJ8)+N($DK8)=0,"",ROUND($DL8/($DJ8+$DK8),2)))</f>
        <v>125.43</v>
      </c>
      <c r="DN8" s="34" t="n">
        <f aca="false">IF($A8="","",IF(N($BP8)=0,"",COUNTIFS(approvals!$A$2:$A$251,$A8,approvals!$Q$2:$Q$251,"Y",approvals!$AK$2:$AK$251,"Y")/$BP8))</f>
        <v>1</v>
      </c>
      <c r="DO8" s="33" t="n">
        <f aca="false">IF($A8="","",IF(COUNTIFS(approvals!$A$2:$A$251,$A8,approvals!$AC$2:$AC$251,"&gt;=0")=0,"",ROUND(SUMIFS(approvals!$AC$2:$AC$251,approvals!$A$2:$A$251,$A8)/COUNTIFS(approvals!$A$2:$A$251,$A8,approvals!$AC$2:$AC$251,"&gt;=0"),1)))</f>
        <v>2.5</v>
      </c>
      <c r="DP8" s="31" t="n">
        <f aca="false">IF($A8="","",IFERROR(IF(INDEX(drops!$T$2:$T$21,MATCH($B8,drops!$A$2:$A$21,0))="","",INDEX(drops!$T$2:$T$21,MATCH($B8,drops!$A$2:$A$21,0))),""))</f>
        <v>46478</v>
      </c>
      <c r="DQ8" s="31" t="n">
        <f aca="false">IF($A8="","",IFERROR(IF(INDEX(drops!$U$2:$U$21,MATCH($B8,drops!$A$2:$A$21,0))="","",INDEX(drops!$U$2:$U$21,MATCH($B8,drops!$A$2:$A$21,0))),""))</f>
        <v>46483</v>
      </c>
      <c r="DR8" s="31" t="n">
        <f aca="false">IF($A8="","",IFERROR(IF(INDEX(drops!$W$2:$W$21,MATCH($B8,drops!$A$2:$A$21,0))="","",INDEX(drops!$W$2:$W$21,MATCH($B8,drops!$A$2:$A$21,0))),""))</f>
        <v>46499</v>
      </c>
      <c r="DS8" s="30" t="str">
        <f aca="false">IF($A8="","",IF($CE8="","",IF($CE8&gt;=config!$B$31,"pass","miss")))</f>
        <v>pass</v>
      </c>
      <c r="DT8" s="30" t="str">
        <f aca="false">IF($A8="","",IF($CI8="","",IF($CI8&gt;=config!$B$30,"pass","miss")))</f>
        <v>miss</v>
      </c>
      <c r="DU8" s="30" t="str">
        <f aca="true">IF($A8="","",IF($AT8="",IF($DP8="","",IF(IF(config!$B$37&lt;&gt;"",config!$B$37,TODAY())&gt;$DP8,"late","due")),IF($AT8&lt;=$DP8,"pass","late")))</f>
        <v>pass</v>
      </c>
      <c r="DV8" s="30" t="str">
        <f aca="false">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info: brand insurance ends 2027-06-30: diary the renewal certificate; </v>
      </c>
    </row>
    <row r="9" customFormat="false" ht="41.75" hidden="false" customHeight="false" outlineLevel="0" collapsed="false">
      <c r="A9" s="0" t="s">
        <v>584</v>
      </c>
      <c r="B9" s="0" t="s">
        <v>353</v>
      </c>
      <c r="C9" s="0" t="s">
        <v>517</v>
      </c>
      <c r="D9" s="10" t="s">
        <v>518</v>
      </c>
      <c r="F9" s="0" t="n">
        <v>10</v>
      </c>
      <c r="G9" s="12"/>
      <c r="H9" s="11" t="n">
        <v>46442</v>
      </c>
      <c r="I9" s="10" t="s">
        <v>475</v>
      </c>
      <c r="J9" s="10" t="s">
        <v>519</v>
      </c>
      <c r="L9" s="10" t="s">
        <v>520</v>
      </c>
      <c r="M9" s="10" t="s">
        <v>478</v>
      </c>
      <c r="N9" s="10" t="s">
        <v>521</v>
      </c>
      <c r="O9" s="10" t="s">
        <v>522</v>
      </c>
      <c r="U9" s="10" t="s">
        <v>481</v>
      </c>
      <c r="V9" s="10" t="s">
        <v>523</v>
      </c>
      <c r="W9" s="10" t="s">
        <v>483</v>
      </c>
      <c r="Y9" s="10" t="s">
        <v>485</v>
      </c>
      <c r="Z9" s="10" t="s">
        <v>507</v>
      </c>
      <c r="AB9" s="11" t="n">
        <v>46444</v>
      </c>
      <c r="AC9" s="11" t="n">
        <v>46444</v>
      </c>
      <c r="AD9" s="11" t="n">
        <v>46444</v>
      </c>
      <c r="AF9" s="11" t="n">
        <v>46462</v>
      </c>
      <c r="AG9" s="11" t="n">
        <v>46444</v>
      </c>
      <c r="AH9" s="0" t="n">
        <v>567</v>
      </c>
      <c r="AI9" s="10" t="s">
        <v>585</v>
      </c>
      <c r="AJ9" s="10" t="s">
        <v>586</v>
      </c>
      <c r="AL9" s="10" t="s">
        <v>587</v>
      </c>
      <c r="AM9" s="10" t="s">
        <v>588</v>
      </c>
      <c r="AN9" s="10" t="s">
        <v>589</v>
      </c>
      <c r="AO9" s="2" t="s">
        <v>590</v>
      </c>
      <c r="AP9" s="10" t="s">
        <v>591</v>
      </c>
      <c r="AT9" s="11" t="n">
        <v>46478</v>
      </c>
      <c r="AU9" s="11" t="n">
        <v>46483</v>
      </c>
      <c r="AV9" s="10" t="s">
        <v>145</v>
      </c>
      <c r="AW9" s="10" t="s">
        <v>548</v>
      </c>
      <c r="AY9" s="11"/>
      <c r="BA9" s="11"/>
      <c r="BB9" s="11"/>
      <c r="BC9" s="11"/>
      <c r="BE9" s="30" t="str">
        <f aca="false">IF($A9="","",IFERROR(IF(INDEX(brands!$K$2:$K$41,MATCH($C9,brands!$A$2:$A$41,0))="","",INDEX(brands!$K$2:$K$41,MATCH($C9,brands!$A$2:$A$41,0))),""))</f>
        <v>SAMPLE Tallgrass</v>
      </c>
      <c r="BF9" s="30" t="str">
        <f aca="false">IF($A9="","",IFERROR(IF(INDEX(brands!$M$2:$M$41,MATCH($C9,brands!$A$2:$A$41,0))="","",INDEX(brands!$M$2:$M$41,MATCH($C9,brands!$A$2:$A$41,0))),""))</f>
        <v>bars</v>
      </c>
      <c r="BG9" s="31" t="n">
        <f aca="false">IF($A9="","",IF(IFERROR(IF(INDEX(drops!$I$2:$I$21,MATCH($B9,drops!$A$2:$A$21,0))="","",INDEX(drops!$I$2:$I$21,MATCH($B9,drops!$A$2:$A$21,0))),"")="OK",IFERROR(IF(INDEX(drops!$B$2:$B$21,MATCH($B9,drops!$A$2:$A$21,0))="","",INDEX(drops!$B$2:$B$21,MATCH($B9,drops!$A$2:$A$21,0))),""),""))</f>
        <v>46469</v>
      </c>
      <c r="BH9" s="30" t="str">
        <f aca="false">IF($A9="","",IFERROR(IF(INDEX(drops!$C$2:$C$21,MATCH($B9,drops!$A$2:$A$21,0))="","",INDEX(drops!$C$2:$C$21,MATCH($B9,drops!$A$2:$A$21,0))),""))</f>
        <v>direct-ship</v>
      </c>
      <c r="BI9" s="32" t="n">
        <f aca="false">IF($A9="","",IF($F9="","",IF($D9="founding",IF($E9="Y",config!$B$25*MIN($F9,config!$B$26)+config!$B$24*MAX(0,$F9-config!$B$26),config!$B$20+config!$B$24*MAX(0,$F9-config!$B$21)),IF($D9="standard",config!$B$22+config!$B$24*MAX(0,$F9-config!$B$23),""))))</f>
        <v>1500</v>
      </c>
      <c r="BJ9" s="32" t="n">
        <f aca="false">IF($A9="","",IF($G9&lt;&gt;"",$G9,$BI9))</f>
        <v>1500</v>
      </c>
      <c r="BK9" s="30" t="str">
        <f aca="false">IF($A9="","",IF($D9="founding","100% within "&amp;config!$B$27&amp;" business days of the invoice, before shipping",IF($D9="standard","50% on signing; 50% at placement confirmation (T+1)","")))</f>
        <v>50% on signing; 50% at placement confirmation (T+1)</v>
      </c>
      <c r="BL9" s="31" t="n">
        <f aca="false">IF($A9="","",IFERROR(IF(INDEX(drops!$K$2:$K$21,MATCH($B9,drops!$A$2:$A$21,0))="","",INDEX(drops!$K$2:$K$21,MATCH($B9,drops!$A$2:$A$21,0))),""))</f>
        <v>46455</v>
      </c>
      <c r="BM9" s="31" t="n">
        <f aca="false">IF($A9="","",IFERROR(IF(INDEX(drops!$L$2:$L$21,MATCH($B9,drops!$A$2:$A$21,0))="","",INDEX(drops!$L$2:$L$21,MATCH($B9,drops!$A$2:$A$21,0))),""))</f>
        <v>46455</v>
      </c>
      <c r="BN9" s="30" t="n">
        <f aca="false">IF($A9="","",COUNTIF(approvals!$A$2:$A$251,$A9))</f>
        <v>10</v>
      </c>
      <c r="BO9" s="30" t="n">
        <f aca="false">IF($A9="","",COUNTIFS(approvals!$A$2:$A$251,$A9,approvals!$P$2:$P$251,"Y"))</f>
        <v>10</v>
      </c>
      <c r="BP9" s="30" t="n">
        <f aca="false">IF($A9="","",COUNTIFS(approvals!$A$2:$A$251,$A9,approvals!$Q$2:$Q$251,"Y"))</f>
        <v>9</v>
      </c>
      <c r="BQ9" s="30" t="n">
        <f aca="false">IF($A9="","",COUNTIFS(approvals!$A$2:$A$251,$A9,approvals!$P$2:$P$251,"pending"))</f>
        <v>0</v>
      </c>
      <c r="BR9" s="30" t="n">
        <f aca="false">IF($A9="","",SUMIFS(approvals!$S$2:$S$251,approvals!$A$2:$A$251,$A9,approvals!$P$2:$P$251,"Y"))</f>
        <v>515</v>
      </c>
      <c r="BS9" s="30" t="n">
        <f aca="false">IF($A9="","",ROUNDUP($BR9*config!$B$18,0))</f>
        <v>52</v>
      </c>
      <c r="BT9" s="30" t="n">
        <f aca="false">IF($A9="","",$BR9+$BS9)</f>
        <v>567</v>
      </c>
      <c r="BU9" s="32" t="n">
        <f aca="false">IF($A9="","",SUMIFS(invoices!$I$2:$I$151,invoices!$B$2:$B$151,$A9,invoices!$R$2:$R$151,"Y",invoices!$H$2:$H$151,"&gt;0"))</f>
        <v>750</v>
      </c>
      <c r="BV9" s="32" t="n">
        <f aca="false">IF($A9="","",IF($BJ9="","",IF($D9="founding",$BJ9,ROUND($BJ9*config!$B$28,2))))</f>
        <v>750</v>
      </c>
      <c r="BW9" s="30" t="str">
        <f aca="false">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RELEASED 2027-02-26: ship by Tue 2027-03-09 (latest Tue 2027-03-09)</v>
      </c>
      <c r="BX9" s="30" t="n">
        <f aca="false">IF($A9="","",SUMIFS(inventory!$G$2:$G$801,inventory!$C$2:$C$801,$A9,inventory!$E$2:$E$801,"received"))</f>
        <v>522</v>
      </c>
      <c r="BY9" s="30" t="n">
        <f aca="false">IF($A9="","",SUMIFS(inventory!$G$2:$G$801,inventory!$C$2:$C$801,$A9,inventory!$E$2:$E$801,"rejected"))</f>
        <v>0</v>
      </c>
      <c r="BZ9" s="30" t="n">
        <f aca="false">IF($A9="","",SUMIFS(inventory!$M$2:$M$801,inventory!$C$2:$C$801,$A9))</f>
        <v>0</v>
      </c>
      <c r="CA9" s="30" t="n">
        <f aca="false">IF($A9="","",SUMIFS(inventory!$O$2:$O$801,inventory!$C$2:$C$801,$A9))</f>
        <v>0</v>
      </c>
      <c r="CB9" s="30" t="n">
        <f aca="false">IF($A9="","",SUMIFS(approvals!$U$2:$U$251,approvals!$A$2:$A$251,$A9))</f>
        <v>470</v>
      </c>
      <c r="CC9" s="30" t="n">
        <f aca="false">IF($A9="","",SUMIFS(approvals!$AA$2:$AA$251,approvals!$A$2:$A$251,$A9))</f>
        <v>470</v>
      </c>
      <c r="CD9" s="30" t="n">
        <f aca="false">IF($A9="","",SUMIFS(approvals!$AA$2:$AA$251,approvals!$A$2:$A$251,$A9,approvals!$AB$2:$AB$251,"Y"))</f>
        <v>470</v>
      </c>
      <c r="CE9" s="34" t="n">
        <f aca="false">IF($A9="","",IF(N($CB9)=0,"",$CD9/$CB9))</f>
        <v>1</v>
      </c>
      <c r="CF9" s="30" t="n">
        <f aca="false">IF($A9="","",SUMIFS(approvals!$AD$2:$AD$251,approvals!$A$2:$A$251,$A9))</f>
        <v>6</v>
      </c>
      <c r="CG9" s="30" t="n">
        <f aca="false">IF($A9="","",IF(COUNTIFS(approvals!$A$2:$A$251,$A9,approvals!$Q$2:$Q$251,"Y",approvals!$AG$2:$AG$251,"")&gt;0,"",SUMIFS(approvals!$AG$2:$AG$251,approvals!$A$2:$A$251,$A9,approvals!$Q$2:$Q$251,"Y")))</f>
        <v>460</v>
      </c>
      <c r="CH9" s="30" t="n">
        <f aca="false">IF($A9="","",SUMIFS(approvals!$AL$2:$AL$251,approvals!$A$2:$A$251,$A9,approvals!$Q$2:$Q$251,"Y"))</f>
        <v>61</v>
      </c>
      <c r="CI9" s="30" t="n">
        <f aca="false">IF($A9="","",IF(N($BP9)=0,"",SUMPRODUCT(MIN(approvals!$BB$2:$BB$251+(approvals!$A$2:$A$251&lt;&gt;$A9)*1000000))))</f>
        <v>5</v>
      </c>
      <c r="CJ9" s="30" t="n">
        <f aca="false">IF($A9="","",COUNTIFS(approvals!$A$2:$A$251,$A9,approvals!$Q$2:$Q$251,"Y",approvals!$AL$2:$AL$251,"&lt;"&amp;config!$B$30))</f>
        <v>0</v>
      </c>
      <c r="CK9" s="30" t="n">
        <f aca="false">IF($A9="","",SUMIFS(approvals!$AM$2:$AM$251,approvals!$A$2:$A$251,$A9,approvals!$Q$2:$Q$251,"Y"))</f>
        <v>44</v>
      </c>
      <c r="CL9" s="30" t="n">
        <f aca="false">IF($A9="","",SUMIFS(approvals!$AQ$2:$AQ$251,approvals!$A$2:$A$251,$A9,approvals!$Q$2:$Q$251,"Y"))</f>
        <v>5</v>
      </c>
      <c r="CM9" s="30" t="n">
        <f aca="false">IF($A9="","",SUMIFS(approvals!$AR$2:$AR$251,approvals!$A$2:$A$251,$A9,approvals!$Q$2:$Q$251,"Y"))</f>
        <v>7</v>
      </c>
      <c r="CN9" s="30" t="n">
        <f aca="false">IF($A9="","",SUMIFS(approvals!$AS$2:$AS$251,approvals!$A$2:$A$251,$A9,approvals!$Q$2:$Q$251,"Y"))</f>
        <v>5</v>
      </c>
      <c r="CO9" s="30" t="n">
        <f aca="false">IF($A9="","",SUMIFS(approvals!$AT$2:$AT$251,approvals!$A$2:$A$251,$A9,approvals!$Q$2:$Q$251,"Y"))</f>
        <v>44</v>
      </c>
      <c r="CP9" s="33" t="n">
        <f aca="false">IF($A9="","",IF(N($CO9)=0,"",ROUND(SUMIFS(approvals!$AU$2:$AU$251,approvals!$A$2:$A$251,$A9,approvals!$Q$2:$Q$251,"Y")/$CO9,1)))</f>
        <v>4.3</v>
      </c>
      <c r="CQ9" s="30" t="n">
        <f aca="false">IF($A9="","",SUMIFS(approvals!$AV$2:$AV$251,approvals!$A$2:$A$251,$A9,approvals!$Q$2:$Q$251,"Y"))</f>
        <v>11</v>
      </c>
      <c r="CR9" s="30" t="n">
        <f aca="false">IF($A9="","",SUMIFS(approvals!$AW$2:$AW$251,approvals!$A$2:$A$251,$A9,approvals!$Q$2:$Q$251,"Y"))</f>
        <v>21</v>
      </c>
      <c r="CS9" s="30" t="n">
        <f aca="false">IF($A9="","",SUMIFS(approvals!$AX$2:$AX$251,approvals!$A$2:$A$251,$A9,approvals!$Q$2:$Q$251,"Y"))</f>
        <v>12</v>
      </c>
      <c r="CT9" s="30" t="n">
        <f aca="false">IF($A9="","",SUMIFS(approvals!$AY$2:$AY$251,approvals!$A$2:$A$251,$A9,approvals!$Q$2:$Q$251,"Y"))</f>
        <v>18</v>
      </c>
      <c r="CU9" s="30" t="n">
        <f aca="true">IF($A9="","",IF(OR($BG9="",$BC9&lt;&gt;""),"",IFERROR(COUNT(INDIRECT("'"&amp;$A9&amp;"'!$A$2:$A$501")),0)-IFERROR(COUNTIFS(INDIRECT("'"&amp;$A9&amp;"'!$A$2:$A$501"),"&gt;="&amp;$BG9,INDIRECT("'"&amp;$A9&amp;"'!$A$2:$A$501"),"&lt;"&amp;(IFERROR(IF(INDEX(drops!$R$2:$R$21,MATCH($B9,drops!$A$2:$A$21,0))="","",INDEX(drops!$R$2:$R$21,MATCH($B9,drops!$A$2:$A$21,0))),"")+1)),0)))</f>
        <v>0</v>
      </c>
      <c r="CV9" s="30" t="n">
        <f aca="true">IF($A9="","",IF(OR($BG9="",$BC9&lt;&gt;""),"",IFERROR(COUNTIFS(INDIRECT("'"&amp;$A9&amp;"'!$A$2:$A$501"),"&gt;="&amp;$BG9,INDIRECT("'"&amp;$A9&amp;"'!$A$2:$A$501"),"&lt;"&amp;(IFERROR(IF(INDEX(drops!$R$2:$R$21,MATCH($B9,drops!$A$2:$A$21,0))="","",INDEX(drops!$R$2:$R$21,MATCH($B9,drops!$A$2:$A$21,0))),"")+1)),0)-N($CH9)-N($CW9)))</f>
        <v>0</v>
      </c>
      <c r="CW9" s="30" t="n">
        <f aca="false">IF($A9="","",IF($BG9="","",SUMIFS(approvals!$AL$2:$AL$251,approvals!$A$2:$A$251,$A9,approvals!$Q$2:$Q$251,"&lt;&gt;Y")))</f>
        <v>2</v>
      </c>
      <c r="CX9" s="30" t="n">
        <f aca="false">IF($A9="","",SUMIFS(approvals!$AN$2:$AN$251,approvals!$A$2:$A$251,$A9,approvals!$Q$2:$Q$251,"Y"))</f>
        <v>75</v>
      </c>
      <c r="CY9" s="30" t="n">
        <f aca="false">IF($A9="","",SUMIFS(approvals!$AO$2:$AO$251,approvals!$A$2:$A$251,$A9,approvals!$Q$2:$Q$251,"Y"))</f>
        <v>62</v>
      </c>
      <c r="CZ9" s="30" t="n">
        <f aca="false">IF($A9="","",IF($DA9="","",SUMIFS(redemptions!$C$2:$C$121,redemptions!$A$2:$A$121,$A9,redemptions!$B$2:$B$121,$DA9)))</f>
        <v>12</v>
      </c>
      <c r="DA9" s="31" t="n">
        <f aca="false">IF($A9="","",IFERROR(1/(1/SUMPRODUCT(MAX((redemptions!$A$2:$A$121=$A9)*redemptions!$B$2:$B$121))),""))</f>
        <v>46499</v>
      </c>
      <c r="DB9" s="30" t="n">
        <f aca="false">IF($A9="","",IF(COUNTIFS(redemptions!$A$2:$A$121,$A9,redemptions!$H$2:$H$121,"Y")=0,"",SUMIFS(redemptions!$C$2:$C$121,redemptions!$A$2:$A$121,$A9,redemptions!$B$2:$B$121,SUMPRODUCT(MIN((redemptions!$A$2:$A$121=$A9)*(redemptions!$H$2:$H$121="Y")*redemptions!$B$2:$B$121+((redemptions!$A$2:$A$121&lt;&gt;$A9)+(redemptions!$H$2:$H$121&lt;&gt;"Y")&gt;0)*1000000)))))</f>
        <v>12</v>
      </c>
      <c r="DC9" s="32" t="n">
        <f aca="false">IF($A9="","",SUMIFS(invoices!$E$2:$E$151,invoices!$B$2:$B$151,$A9))</f>
        <v>1350</v>
      </c>
      <c r="DD9" s="32" t="n">
        <f aca="false">IF($A9="","",IF(COUNTIFS(invoices!$B$2:$B$151,$A9,invoices!$C$2:$C$151,"standard_deposit",invoices!$H$2:$H$151,"&gt;0")=0,"",SUMIFS(invoices!$I$2:$I$151,invoices!$B$2:$B$151,$A9,invoices!$C$2:$C$151,"standard_deposit")))</f>
        <v>750</v>
      </c>
      <c r="DE9" s="31" t="n">
        <f aca="false">IF($A9="","",IFERROR(1/(1/SUMPRODUCT(MAX((invoices!$B$2:$B$151=$A9)*(invoices!$C$2:$C$151="standard_deposit")*invoices!$H$2:$H$151))),""))</f>
        <v>46444</v>
      </c>
      <c r="DF9" s="31" t="n">
        <f aca="false">IF($A9="","",IFERROR(1/(1/SUMPRODUCT(MAX((invoices!$B$2:$B$151=$A9)*((invoices!$C$2:$C$151="founding_full")+(invoices!$C$2:$C$151="standard_balance"))*invoices!$H$2:$H$151))),""))</f>
        <v>46475</v>
      </c>
      <c r="DG9" s="32" t="n">
        <f aca="false">IF($A9="","",SUMIFS(invoices!$L$2:$L$151,invoices!$B$2:$B$151,$A9))</f>
        <v>0</v>
      </c>
      <c r="DH9" s="32" t="n">
        <f aca="false">IF($A9="","",SUMIFS(costs!$E$2:$E$301,costs!$C$2:$C$301,$A9))</f>
        <v>80</v>
      </c>
      <c r="DI9" s="32" t="n">
        <f aca="false">IF($A9="","",ROUND(IF(SUMIFS(campaigns!$BO$2:$BO$51,campaigns!$B$2:$B$51,$B9)=0,0,$BO9/SUMIFS(campaigns!$BO$2:$BO$51,campaigns!$B$2:$B$51,$B9))*(SUMIFS(costs!$E$2:$E$301,costs!$B$2:$B$301,$B9)-SUMPRODUCT((costs!$B$2:$B$301=$B9)*(LEN(costs!$C$2:$C$301)&gt;0)*costs!$E$2:$E$301)),2))</f>
        <v>22.5</v>
      </c>
      <c r="DJ9" s="33" t="n">
        <f aca="false">IF($A9="","",SUMIFS(hours!$E$2:$E$1501,hours!$C$2:$C$1501,$A9))</f>
        <v>4</v>
      </c>
      <c r="DK9" s="33" t="n">
        <f aca="false">IF($A9="","",ROUND(IF(SUMIFS(campaigns!$BO$2:$BO$51,campaigns!$B$2:$B$51,$B9)=0,0,$BO9/SUMIFS(campaigns!$BO$2:$BO$51,campaigns!$B$2:$B$51,$B9))*(SUMIFS(hours!$E$2:$E$1501,hours!$B$2:$B$1501,$B9)-SUMPRODUCT((hours!$B$2:$B$1501=$B9)*(LEN(hours!$C$2:$C$1501)&gt;0)*hours!$E$2:$E$1501)),2))</f>
        <v>4.75</v>
      </c>
      <c r="DL9" s="32" t="n">
        <f aca="false">IF($A9="","",$DC9-$DG9-$DH9-$DI9)</f>
        <v>1247.5</v>
      </c>
      <c r="DM9" s="32" t="n">
        <f aca="false">IF($A9="","",IF(N($DJ9)+N($DK9)=0,"",ROUND($DL9/($DJ9+$DK9),2)))</f>
        <v>142.57</v>
      </c>
      <c r="DN9" s="34" t="n">
        <f aca="false">IF($A9="","",IF(N($BP9)=0,"",COUNTIFS(approvals!$A$2:$A$251,$A9,approvals!$Q$2:$Q$251,"Y",approvals!$AK$2:$AK$251,"Y")/$BP9))</f>
        <v>1</v>
      </c>
      <c r="DO9" s="33" t="n">
        <f aca="false">IF($A9="","",IF(COUNTIFS(approvals!$A$2:$A$251,$A9,approvals!$AC$2:$AC$251,"&gt;=0")=0,"",ROUND(SUMIFS(approvals!$AC$2:$AC$251,approvals!$A$2:$A$251,$A9)/COUNTIFS(approvals!$A$2:$A$251,$A9,approvals!$AC$2:$AC$251,"&gt;=0"),1)))</f>
        <v>2.5</v>
      </c>
      <c r="DP9" s="31" t="n">
        <f aca="false">IF($A9="","",IFERROR(IF(INDEX(drops!$T$2:$T$21,MATCH($B9,drops!$A$2:$A$21,0))="","",INDEX(drops!$T$2:$T$21,MATCH($B9,drops!$A$2:$A$21,0))),""))</f>
        <v>46478</v>
      </c>
      <c r="DQ9" s="31" t="n">
        <f aca="false">IF($A9="","",IFERROR(IF(INDEX(drops!$U$2:$U$21,MATCH($B9,drops!$A$2:$A$21,0))="","",INDEX(drops!$U$2:$U$21,MATCH($B9,drops!$A$2:$A$21,0))),""))</f>
        <v>46483</v>
      </c>
      <c r="DR9" s="31" t="n">
        <f aca="false">IF($A9="","",IFERROR(IF(INDEX(drops!$W$2:$W$21,MATCH($B9,drops!$A$2:$A$21,0))="","",INDEX(drops!$W$2:$W$21,MATCH($B9,drops!$A$2:$A$21,0))),""))</f>
        <v>46499</v>
      </c>
      <c r="DS9" s="30" t="str">
        <f aca="false">IF($A9="","",IF($CE9="","",IF($CE9&gt;=config!$B$31,"pass","miss")))</f>
        <v>pass</v>
      </c>
      <c r="DT9" s="30" t="str">
        <f aca="false">IF($A9="","",IF($CI9="","",IF($CI9&gt;=config!$B$30,"pass","miss")))</f>
        <v>pass</v>
      </c>
      <c r="DU9" s="30" t="str">
        <f aca="true">IF($A9="","",IF($AT9="",IF($DP9="","",IF(IF(config!$B$37&lt;&gt;"",config!$B$37,TODAY())&gt;$DP9,"late","due")),IF($AT9&lt;=$DP9,"pass","late")))</f>
        <v>pass</v>
      </c>
      <c r="DV9" s="30" t="str">
        <f aca="false">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info: 2 in-window answers from an office not on the drop (it said no, or turned the brand away at the door): not counted; </v>
      </c>
    </row>
    <row r="10" customFormat="false" ht="15" hidden="false" customHeight="false" outlineLevel="0" collapsed="false">
      <c r="D10" s="10"/>
      <c r="G10" s="12"/>
      <c r="H10" s="11"/>
      <c r="M10" s="10"/>
      <c r="Y10" s="10"/>
      <c r="Z10" s="10"/>
      <c r="AB10" s="11"/>
      <c r="AC10" s="11"/>
      <c r="AD10" s="11"/>
      <c r="AF10" s="11"/>
      <c r="AG10" s="11"/>
      <c r="AT10" s="11"/>
      <c r="AU10" s="11"/>
      <c r="AV10" s="10"/>
      <c r="AW10" s="10"/>
      <c r="AY10" s="11"/>
      <c r="BA10" s="11"/>
      <c r="BB10" s="11"/>
      <c r="BC10" s="11"/>
      <c r="BE10" s="30" t="str">
        <f aca="false">IF($A10="","",IFERROR(IF(INDEX(brands!$K$2:$K$41,MATCH($C10,brands!$A$2:$A$41,0))="","",INDEX(brands!$K$2:$K$41,MATCH($C10,brands!$A$2:$A$41,0))),""))</f>
        <v/>
      </c>
      <c r="BF10" s="30" t="str">
        <f aca="false">IF($A10="","",IFERROR(IF(INDEX(brands!$M$2:$M$41,MATCH($C10,brands!$A$2:$A$41,0))="","",INDEX(brands!$M$2:$M$41,MATCH($C10,brands!$A$2:$A$41,0))),""))</f>
        <v/>
      </c>
      <c r="BG10" s="31" t="str">
        <f aca="false">IF($A10="","",IF(IFERROR(IF(INDEX(drops!$I$2:$I$21,MATCH($B10,drops!$A$2:$A$21,0))="","",INDEX(drops!$I$2:$I$21,MATCH($B10,drops!$A$2:$A$21,0))),"")="OK",IFERROR(IF(INDEX(drops!$B$2:$B$21,MATCH($B10,drops!$A$2:$A$21,0))="","",INDEX(drops!$B$2:$B$21,MATCH($B10,drops!$A$2:$A$21,0))),""),""))</f>
        <v/>
      </c>
      <c r="BH10" s="30" t="str">
        <f aca="false">IF($A10="","",IFERROR(IF(INDEX(drops!$C$2:$C$21,MATCH($B10,drops!$A$2:$A$21,0))="","",INDEX(drops!$C$2:$C$21,MATCH($B10,drops!$A$2:$A$21,0))),""))</f>
        <v/>
      </c>
      <c r="BI10" s="32" t="str">
        <f aca="false">IF($A10="","",IF($F10="","",IF($D10="founding",IF($E10="Y",config!$B$25*MIN($F10,config!$B$26)+config!$B$24*MAX(0,$F10-config!$B$26),config!$B$20+config!$B$24*MAX(0,$F10-config!$B$21)),IF($D10="standard",config!$B$22+config!$B$24*MAX(0,$F10-config!$B$23),""))))</f>
        <v/>
      </c>
      <c r="BJ10" s="32" t="str">
        <f aca="false">IF($A10="","",IF($G10&lt;&gt;"",$G10,$BI10))</f>
        <v/>
      </c>
      <c r="BK10" s="30" t="str">
        <f aca="false">IF($A10="","",IF($D10="founding","100% within "&amp;config!$B$27&amp;" business days of the invoice, before shipping",IF($D10="standard","50% on signing; 50% at placement confirmation (T+1)","")))</f>
        <v/>
      </c>
      <c r="BL10" s="31" t="str">
        <f aca="false">IF($A10="","",IFERROR(IF(INDEX(drops!$K$2:$K$21,MATCH($B10,drops!$A$2:$A$21,0))="","",INDEX(drops!$K$2:$K$21,MATCH($B10,drops!$A$2:$A$21,0))),""))</f>
        <v/>
      </c>
      <c r="BM10" s="31" t="str">
        <f aca="false">IF($A10="","",IFERROR(IF(INDEX(drops!$L$2:$L$21,MATCH($B10,drops!$A$2:$A$21,0))="","",INDEX(drops!$L$2:$L$21,MATCH($B10,drops!$A$2:$A$21,0))),""))</f>
        <v/>
      </c>
      <c r="BN10" s="30" t="str">
        <f aca="false">IF($A10="","",COUNTIF(approvals!$A$2:$A$251,$A10))</f>
        <v/>
      </c>
      <c r="BO10" s="30" t="str">
        <f aca="false">IF($A10="","",COUNTIFS(approvals!$A$2:$A$251,$A10,approvals!$P$2:$P$251,"Y"))</f>
        <v/>
      </c>
      <c r="BP10" s="30" t="str">
        <f aca="false">IF($A10="","",COUNTIFS(approvals!$A$2:$A$251,$A10,approvals!$Q$2:$Q$251,"Y"))</f>
        <v/>
      </c>
      <c r="BQ10" s="30" t="str">
        <f aca="false">IF($A10="","",COUNTIFS(approvals!$A$2:$A$251,$A10,approvals!$P$2:$P$251,"pending"))</f>
        <v/>
      </c>
      <c r="BR10" s="30" t="str">
        <f aca="false">IF($A10="","",SUMIFS(approvals!$S$2:$S$251,approvals!$A$2:$A$251,$A10,approvals!$P$2:$P$251,"Y"))</f>
        <v/>
      </c>
      <c r="BS10" s="30" t="str">
        <f aca="false">IF($A10="","",ROUNDUP($BR10*config!$B$18,0))</f>
        <v/>
      </c>
      <c r="BT10" s="30" t="str">
        <f aca="false">IF($A10="","",$BR10+$BS10)</f>
        <v/>
      </c>
      <c r="BU10" s="32" t="str">
        <f aca="false">IF($A10="","",SUMIFS(invoices!$I$2:$I$151,invoices!$B$2:$B$151,$A10,invoices!$R$2:$R$151,"Y",invoices!$H$2:$H$151,"&gt;0"))</f>
        <v/>
      </c>
      <c r="BV10" s="32" t="str">
        <f aca="false">IF($A10="","",IF($BJ10="","",IF($D10="founding",$BJ10,ROUND($BJ10*config!$B$28,2))))</f>
        <v/>
      </c>
      <c r="BW10" s="30" t="str">
        <f aca="false">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30" t="str">
        <f aca="false">IF($A10="","",SUMIFS(inventory!$G$2:$G$801,inventory!$C$2:$C$801,$A10,inventory!$E$2:$E$801,"received"))</f>
        <v/>
      </c>
      <c r="BY10" s="30" t="str">
        <f aca="false">IF($A10="","",SUMIFS(inventory!$G$2:$G$801,inventory!$C$2:$C$801,$A10,inventory!$E$2:$E$801,"rejected"))</f>
        <v/>
      </c>
      <c r="BZ10" s="30" t="str">
        <f aca="false">IF($A10="","",SUMIFS(inventory!$M$2:$M$801,inventory!$C$2:$C$801,$A10))</f>
        <v/>
      </c>
      <c r="CA10" s="30" t="str">
        <f aca="false">IF($A10="","",SUMIFS(inventory!$O$2:$O$801,inventory!$C$2:$C$801,$A10))</f>
        <v/>
      </c>
      <c r="CB10" s="30" t="str">
        <f aca="false">IF($A10="","",SUMIFS(approvals!$U$2:$U$251,approvals!$A$2:$A$251,$A10))</f>
        <v/>
      </c>
      <c r="CC10" s="30" t="str">
        <f aca="false">IF($A10="","",SUMIFS(approvals!$AA$2:$AA$251,approvals!$A$2:$A$251,$A10))</f>
        <v/>
      </c>
      <c r="CD10" s="30" t="str">
        <f aca="false">IF($A10="","",SUMIFS(approvals!$AA$2:$AA$251,approvals!$A$2:$A$251,$A10,approvals!$AB$2:$AB$251,"Y"))</f>
        <v/>
      </c>
      <c r="CE10" s="34" t="str">
        <f aca="false">IF($A10="","",IF(N($CB10)=0,"",$CD10/$CB10))</f>
        <v/>
      </c>
      <c r="CF10" s="30" t="str">
        <f aca="false">IF($A10="","",SUMIFS(approvals!$AD$2:$AD$251,approvals!$A$2:$A$251,$A10))</f>
        <v/>
      </c>
      <c r="CG10" s="30" t="str">
        <f aca="false">IF($A10="","",IF(COUNTIFS(approvals!$A$2:$A$251,$A10,approvals!$Q$2:$Q$251,"Y",approvals!$AG$2:$AG$251,"")&gt;0,"",SUMIFS(approvals!$AG$2:$AG$251,approvals!$A$2:$A$251,$A10,approvals!$Q$2:$Q$251,"Y")))</f>
        <v/>
      </c>
      <c r="CH10" s="30" t="str">
        <f aca="false">IF($A10="","",SUMIFS(approvals!$AL$2:$AL$251,approvals!$A$2:$A$251,$A10,approvals!$Q$2:$Q$251,"Y"))</f>
        <v/>
      </c>
      <c r="CI10" s="30" t="str">
        <f aca="false">IF($A10="","",IF(N($BP10)=0,"",SUMPRODUCT(MIN(approvals!$BB$2:$BB$251+(approvals!$A$2:$A$251&lt;&gt;$A10)*1000000))))</f>
        <v/>
      </c>
      <c r="CJ10" s="30" t="str">
        <f aca="false">IF($A10="","",COUNTIFS(approvals!$A$2:$A$251,$A10,approvals!$Q$2:$Q$251,"Y",approvals!$AL$2:$AL$251,"&lt;"&amp;config!$B$30))</f>
        <v/>
      </c>
      <c r="CK10" s="30" t="str">
        <f aca="false">IF($A10="","",SUMIFS(approvals!$AM$2:$AM$251,approvals!$A$2:$A$251,$A10,approvals!$Q$2:$Q$251,"Y"))</f>
        <v/>
      </c>
      <c r="CL10" s="30" t="str">
        <f aca="false">IF($A10="","",SUMIFS(approvals!$AQ$2:$AQ$251,approvals!$A$2:$A$251,$A10,approvals!$Q$2:$Q$251,"Y"))</f>
        <v/>
      </c>
      <c r="CM10" s="30" t="str">
        <f aca="false">IF($A10="","",SUMIFS(approvals!$AR$2:$AR$251,approvals!$A$2:$A$251,$A10,approvals!$Q$2:$Q$251,"Y"))</f>
        <v/>
      </c>
      <c r="CN10" s="30" t="str">
        <f aca="false">IF($A10="","",SUMIFS(approvals!$AS$2:$AS$251,approvals!$A$2:$A$251,$A10,approvals!$Q$2:$Q$251,"Y"))</f>
        <v/>
      </c>
      <c r="CO10" s="30" t="str">
        <f aca="false">IF($A10="","",SUMIFS(approvals!$AT$2:$AT$251,approvals!$A$2:$A$251,$A10,approvals!$Q$2:$Q$251,"Y"))</f>
        <v/>
      </c>
      <c r="CP10" s="33" t="str">
        <f aca="false">IF($A10="","",IF(N($CO10)=0,"",ROUND(SUMIFS(approvals!$AU$2:$AU$251,approvals!$A$2:$A$251,$A10,approvals!$Q$2:$Q$251,"Y")/$CO10,1)))</f>
        <v/>
      </c>
      <c r="CQ10" s="30" t="str">
        <f aca="false">IF($A10="","",SUMIFS(approvals!$AV$2:$AV$251,approvals!$A$2:$A$251,$A10,approvals!$Q$2:$Q$251,"Y"))</f>
        <v/>
      </c>
      <c r="CR10" s="30" t="str">
        <f aca="false">IF($A10="","",SUMIFS(approvals!$AW$2:$AW$251,approvals!$A$2:$A$251,$A10,approvals!$Q$2:$Q$251,"Y"))</f>
        <v/>
      </c>
      <c r="CS10" s="30" t="str">
        <f aca="false">IF($A10="","",SUMIFS(approvals!$AX$2:$AX$251,approvals!$A$2:$A$251,$A10,approvals!$Q$2:$Q$251,"Y"))</f>
        <v/>
      </c>
      <c r="CT10" s="30" t="str">
        <f aca="false">IF($A10="","",SUMIFS(approvals!$AY$2:$AY$251,approvals!$A$2:$A$251,$A10,approvals!$Q$2:$Q$251,"Y"))</f>
        <v/>
      </c>
      <c r="CU10" s="30" t="str">
        <f aca="true">IF($A10="","",IF(OR($BG10="",$BC10&lt;&gt;""),"",IFERROR(COUNT(INDIRECT("'"&amp;$A10&amp;"'!$A$2:$A$501")),0)-IFERROR(COUNTIFS(INDIRECT("'"&amp;$A10&amp;"'!$A$2:$A$501"),"&gt;="&amp;$BG10,INDIRECT("'"&amp;$A10&amp;"'!$A$2:$A$501"),"&lt;"&amp;(IFERROR(IF(INDEX(drops!$R$2:$R$21,MATCH($B10,drops!$A$2:$A$21,0))="","",INDEX(drops!$R$2:$R$21,MATCH($B10,drops!$A$2:$A$21,0))),"")+1)),0)))</f>
        <v/>
      </c>
      <c r="CV10" s="30" t="str">
        <f aca="true">IF($A10="","",IF(OR($BG10="",$BC10&lt;&gt;""),"",IFERROR(COUNTIFS(INDIRECT("'"&amp;$A10&amp;"'!$A$2:$A$501"),"&gt;="&amp;$BG10,INDIRECT("'"&amp;$A10&amp;"'!$A$2:$A$501"),"&lt;"&amp;(IFERROR(IF(INDEX(drops!$R$2:$R$21,MATCH($B10,drops!$A$2:$A$21,0))="","",INDEX(drops!$R$2:$R$21,MATCH($B10,drops!$A$2:$A$21,0))),"")+1)),0)-N($CH10)-N($CW10)))</f>
        <v/>
      </c>
      <c r="CW10" s="30" t="str">
        <f aca="false">IF($A10="","",IF($BG10="","",SUMIFS(approvals!$AL$2:$AL$251,approvals!$A$2:$A$251,$A10,approvals!$Q$2:$Q$251,"&lt;&gt;Y")))</f>
        <v/>
      </c>
      <c r="CX10" s="30" t="str">
        <f aca="false">IF($A10="","",SUMIFS(approvals!$AN$2:$AN$251,approvals!$A$2:$A$251,$A10,approvals!$Q$2:$Q$251,"Y"))</f>
        <v/>
      </c>
      <c r="CY10" s="30" t="str">
        <f aca="false">IF($A10="","",SUMIFS(approvals!$AO$2:$AO$251,approvals!$A$2:$A$251,$A10,approvals!$Q$2:$Q$251,"Y"))</f>
        <v/>
      </c>
      <c r="CZ10" s="30" t="str">
        <f aca="false">IF($A10="","",IF($DA10="","",SUMIFS(redemptions!$C$2:$C$121,redemptions!$A$2:$A$121,$A10,redemptions!$B$2:$B$121,$DA10)))</f>
        <v/>
      </c>
      <c r="DA10" s="31" t="str">
        <f aca="false">IF($A10="","",IFERROR(1/(1/SUMPRODUCT(MAX((redemptions!$A$2:$A$121=$A10)*redemptions!$B$2:$B$121))),""))</f>
        <v/>
      </c>
      <c r="DB10" s="30" t="str">
        <f aca="false">IF($A10="","",IF(COUNTIFS(redemptions!$A$2:$A$121,$A10,redemptions!$H$2:$H$121,"Y")=0,"",SUMIFS(redemptions!$C$2:$C$121,redemptions!$A$2:$A$121,$A10,redemptions!$B$2:$B$121,SUMPRODUCT(MIN((redemptions!$A$2:$A$121=$A10)*(redemptions!$H$2:$H$121="Y")*redemptions!$B$2:$B$121+((redemptions!$A$2:$A$121&lt;&gt;$A10)+(redemptions!$H$2:$H$121&lt;&gt;"Y")&gt;0)*1000000)))))</f>
        <v/>
      </c>
      <c r="DC10" s="32" t="str">
        <f aca="false">IF($A10="","",SUMIFS(invoices!$E$2:$E$151,invoices!$B$2:$B$151,$A10))</f>
        <v/>
      </c>
      <c r="DD10" s="32" t="str">
        <f aca="false">IF($A10="","",IF(COUNTIFS(invoices!$B$2:$B$151,$A10,invoices!$C$2:$C$151,"standard_deposit",invoices!$H$2:$H$151,"&gt;0")=0,"",SUMIFS(invoices!$I$2:$I$151,invoices!$B$2:$B$151,$A10,invoices!$C$2:$C$151,"standard_deposit")))</f>
        <v/>
      </c>
      <c r="DE10" s="31" t="str">
        <f aca="false">IF($A10="","",IFERROR(1/(1/SUMPRODUCT(MAX((invoices!$B$2:$B$151=$A10)*(invoices!$C$2:$C$151="standard_deposit")*invoices!$H$2:$H$151))),""))</f>
        <v/>
      </c>
      <c r="DF10" s="31" t="str">
        <f aca="false">IF($A10="","",IFERROR(1/(1/SUMPRODUCT(MAX((invoices!$B$2:$B$151=$A10)*((invoices!$C$2:$C$151="founding_full")+(invoices!$C$2:$C$151="standard_balance"))*invoices!$H$2:$H$151))),""))</f>
        <v/>
      </c>
      <c r="DG10" s="32" t="str">
        <f aca="false">IF($A10="","",SUMIFS(invoices!$L$2:$L$151,invoices!$B$2:$B$151,$A10))</f>
        <v/>
      </c>
      <c r="DH10" s="32" t="str">
        <f aca="false">IF($A10="","",SUMIFS(costs!$E$2:$E$301,costs!$C$2:$C$301,$A10))</f>
        <v/>
      </c>
      <c r="DI10" s="32" t="str">
        <f aca="false">IF($A10="","",ROUND(IF(SUMIFS(campaigns!$BO$2:$BO$51,campaigns!$B$2:$B$51,$B10)=0,0,$BO10/SUMIFS(campaigns!$BO$2:$BO$51,campaigns!$B$2:$B$51,$B10))*(SUMIFS(costs!$E$2:$E$301,costs!$B$2:$B$301,$B10)-SUMPRODUCT((costs!$B$2:$B$301=$B10)*(LEN(costs!$C$2:$C$301)&gt;0)*costs!$E$2:$E$301)),2))</f>
        <v/>
      </c>
      <c r="DJ10" s="33" t="str">
        <f aca="false">IF($A10="","",SUMIFS(hours!$E$2:$E$1501,hours!$C$2:$C$1501,$A10))</f>
        <v/>
      </c>
      <c r="DK10" s="33" t="str">
        <f aca="false">IF($A10="","",ROUND(IF(SUMIFS(campaigns!$BO$2:$BO$51,campaigns!$B$2:$B$51,$B10)=0,0,$BO10/SUMIFS(campaigns!$BO$2:$BO$51,campaigns!$B$2:$B$51,$B10))*(SUMIFS(hours!$E$2:$E$1501,hours!$B$2:$B$1501,$B10)-SUMPRODUCT((hours!$B$2:$B$1501=$B10)*(LEN(hours!$C$2:$C$1501)&gt;0)*hours!$E$2:$E$1501)),2))</f>
        <v/>
      </c>
      <c r="DL10" s="32" t="str">
        <f aca="false">IF($A10="","",$DC10-$DG10-$DH10-$DI10)</f>
        <v/>
      </c>
      <c r="DM10" s="32" t="str">
        <f aca="false">IF($A10="","",IF(N($DJ10)+N($DK10)=0,"",ROUND($DL10/($DJ10+$DK10),2)))</f>
        <v/>
      </c>
      <c r="DN10" s="34" t="str">
        <f aca="false">IF($A10="","",IF(N($BP10)=0,"",COUNTIFS(approvals!$A$2:$A$251,$A10,approvals!$Q$2:$Q$251,"Y",approvals!$AK$2:$AK$251,"Y")/$BP10))</f>
        <v/>
      </c>
      <c r="DO10" s="33" t="str">
        <f aca="false">IF($A10="","",IF(COUNTIFS(approvals!$A$2:$A$251,$A10,approvals!$AC$2:$AC$251,"&gt;=0")=0,"",ROUND(SUMIFS(approvals!$AC$2:$AC$251,approvals!$A$2:$A$251,$A10)/COUNTIFS(approvals!$A$2:$A$251,$A10,approvals!$AC$2:$AC$251,"&gt;=0"),1)))</f>
        <v/>
      </c>
      <c r="DP10" s="31" t="str">
        <f aca="false">IF($A10="","",IFERROR(IF(INDEX(drops!$T$2:$T$21,MATCH($B10,drops!$A$2:$A$21,0))="","",INDEX(drops!$T$2:$T$21,MATCH($B10,drops!$A$2:$A$21,0))),""))</f>
        <v/>
      </c>
      <c r="DQ10" s="31" t="str">
        <f aca="false">IF($A10="","",IFERROR(IF(INDEX(drops!$U$2:$U$21,MATCH($B10,drops!$A$2:$A$21,0))="","",INDEX(drops!$U$2:$U$21,MATCH($B10,drops!$A$2:$A$21,0))),""))</f>
        <v/>
      </c>
      <c r="DR10" s="31" t="str">
        <f aca="false">IF($A10="","",IFERROR(IF(INDEX(drops!$W$2:$W$21,MATCH($B10,drops!$A$2:$A$21,0))="","",INDEX(drops!$W$2:$W$21,MATCH($B10,drops!$A$2:$A$21,0))),""))</f>
        <v/>
      </c>
      <c r="DS10" s="30" t="str">
        <f aca="false">IF($A10="","",IF($CE10="","",IF($CE10&gt;=config!$B$31,"pass","miss")))</f>
        <v/>
      </c>
      <c r="DT10" s="30" t="str">
        <f aca="false">IF($A10="","",IF($CI10="","",IF($CI10&gt;=config!$B$30,"pass","miss")))</f>
        <v/>
      </c>
      <c r="DU10" s="30" t="str">
        <f aca="true">IF($A10="","",IF($AT10="",IF($DP10="","",IF(IF(config!$B$37&lt;&gt;"",config!$B$37,TODAY())&gt;$DP10,"late","due")),IF($AT10&lt;=$DP10,"pass","late")))</f>
        <v/>
      </c>
      <c r="DV10" s="30" t="str">
        <f aca="false">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ustomFormat="false" ht="15" hidden="false" customHeight="false" outlineLevel="0" collapsed="false">
      <c r="D11" s="10"/>
      <c r="G11" s="12"/>
      <c r="H11" s="11"/>
      <c r="M11" s="10"/>
      <c r="Y11" s="10"/>
      <c r="Z11" s="10"/>
      <c r="AB11" s="11"/>
      <c r="AC11" s="11"/>
      <c r="AD11" s="11"/>
      <c r="AF11" s="11"/>
      <c r="AG11" s="11"/>
      <c r="AT11" s="11"/>
      <c r="AU11" s="11"/>
      <c r="AV11" s="10"/>
      <c r="AW11" s="10"/>
      <c r="AY11" s="11"/>
      <c r="BA11" s="11"/>
      <c r="BB11" s="11"/>
      <c r="BC11" s="11"/>
      <c r="BE11" s="30" t="str">
        <f aca="false">IF($A11="","",IFERROR(IF(INDEX(brands!$K$2:$K$41,MATCH($C11,brands!$A$2:$A$41,0))="","",INDEX(brands!$K$2:$K$41,MATCH($C11,brands!$A$2:$A$41,0))),""))</f>
        <v/>
      </c>
      <c r="BF11" s="30" t="str">
        <f aca="false">IF($A11="","",IFERROR(IF(INDEX(brands!$M$2:$M$41,MATCH($C11,brands!$A$2:$A$41,0))="","",INDEX(brands!$M$2:$M$41,MATCH($C11,brands!$A$2:$A$41,0))),""))</f>
        <v/>
      </c>
      <c r="BG11" s="31" t="str">
        <f aca="false">IF($A11="","",IF(IFERROR(IF(INDEX(drops!$I$2:$I$21,MATCH($B11,drops!$A$2:$A$21,0))="","",INDEX(drops!$I$2:$I$21,MATCH($B11,drops!$A$2:$A$21,0))),"")="OK",IFERROR(IF(INDEX(drops!$B$2:$B$21,MATCH($B11,drops!$A$2:$A$21,0))="","",INDEX(drops!$B$2:$B$21,MATCH($B11,drops!$A$2:$A$21,0))),""),""))</f>
        <v/>
      </c>
      <c r="BH11" s="30" t="str">
        <f aca="false">IF($A11="","",IFERROR(IF(INDEX(drops!$C$2:$C$21,MATCH($B11,drops!$A$2:$A$21,0))="","",INDEX(drops!$C$2:$C$21,MATCH($B11,drops!$A$2:$A$21,0))),""))</f>
        <v/>
      </c>
      <c r="BI11" s="32" t="str">
        <f aca="false">IF($A11="","",IF($F11="","",IF($D11="founding",IF($E11="Y",config!$B$25*MIN($F11,config!$B$26)+config!$B$24*MAX(0,$F11-config!$B$26),config!$B$20+config!$B$24*MAX(0,$F11-config!$B$21)),IF($D11="standard",config!$B$22+config!$B$24*MAX(0,$F11-config!$B$23),""))))</f>
        <v/>
      </c>
      <c r="BJ11" s="32" t="str">
        <f aca="false">IF($A11="","",IF($G11&lt;&gt;"",$G11,$BI11))</f>
        <v/>
      </c>
      <c r="BK11" s="30" t="str">
        <f aca="false">IF($A11="","",IF($D11="founding","100% within "&amp;config!$B$27&amp;" business days of the invoice, before shipping",IF($D11="standard","50% on signing; 50% at placement confirmation (T+1)","")))</f>
        <v/>
      </c>
      <c r="BL11" s="31" t="str">
        <f aca="false">IF($A11="","",IFERROR(IF(INDEX(drops!$K$2:$K$21,MATCH($B11,drops!$A$2:$A$21,0))="","",INDEX(drops!$K$2:$K$21,MATCH($B11,drops!$A$2:$A$21,0))),""))</f>
        <v/>
      </c>
      <c r="BM11" s="31" t="str">
        <f aca="false">IF($A11="","",IFERROR(IF(INDEX(drops!$L$2:$L$21,MATCH($B11,drops!$A$2:$A$21,0))="","",INDEX(drops!$L$2:$L$21,MATCH($B11,drops!$A$2:$A$21,0))),""))</f>
        <v/>
      </c>
      <c r="BN11" s="30" t="str">
        <f aca="false">IF($A11="","",COUNTIF(approvals!$A$2:$A$251,$A11))</f>
        <v/>
      </c>
      <c r="BO11" s="30" t="str">
        <f aca="false">IF($A11="","",COUNTIFS(approvals!$A$2:$A$251,$A11,approvals!$P$2:$P$251,"Y"))</f>
        <v/>
      </c>
      <c r="BP11" s="30" t="str">
        <f aca="false">IF($A11="","",COUNTIFS(approvals!$A$2:$A$251,$A11,approvals!$Q$2:$Q$251,"Y"))</f>
        <v/>
      </c>
      <c r="BQ11" s="30" t="str">
        <f aca="false">IF($A11="","",COUNTIFS(approvals!$A$2:$A$251,$A11,approvals!$P$2:$P$251,"pending"))</f>
        <v/>
      </c>
      <c r="BR11" s="30" t="str">
        <f aca="false">IF($A11="","",SUMIFS(approvals!$S$2:$S$251,approvals!$A$2:$A$251,$A11,approvals!$P$2:$P$251,"Y"))</f>
        <v/>
      </c>
      <c r="BS11" s="30" t="str">
        <f aca="false">IF($A11="","",ROUNDUP($BR11*config!$B$18,0))</f>
        <v/>
      </c>
      <c r="BT11" s="30" t="str">
        <f aca="false">IF($A11="","",$BR11+$BS11)</f>
        <v/>
      </c>
      <c r="BU11" s="32" t="str">
        <f aca="false">IF($A11="","",SUMIFS(invoices!$I$2:$I$151,invoices!$B$2:$B$151,$A11,invoices!$R$2:$R$151,"Y",invoices!$H$2:$H$151,"&gt;0"))</f>
        <v/>
      </c>
      <c r="BV11" s="32" t="str">
        <f aca="false">IF($A11="","",IF($BJ11="","",IF($D11="founding",$BJ11,ROUND($BJ11*config!$B$28,2))))</f>
        <v/>
      </c>
      <c r="BW11" s="30" t="str">
        <f aca="false">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30" t="str">
        <f aca="false">IF($A11="","",SUMIFS(inventory!$G$2:$G$801,inventory!$C$2:$C$801,$A11,inventory!$E$2:$E$801,"received"))</f>
        <v/>
      </c>
      <c r="BY11" s="30" t="str">
        <f aca="false">IF($A11="","",SUMIFS(inventory!$G$2:$G$801,inventory!$C$2:$C$801,$A11,inventory!$E$2:$E$801,"rejected"))</f>
        <v/>
      </c>
      <c r="BZ11" s="30" t="str">
        <f aca="false">IF($A11="","",SUMIFS(inventory!$M$2:$M$801,inventory!$C$2:$C$801,$A11))</f>
        <v/>
      </c>
      <c r="CA11" s="30" t="str">
        <f aca="false">IF($A11="","",SUMIFS(inventory!$O$2:$O$801,inventory!$C$2:$C$801,$A11))</f>
        <v/>
      </c>
      <c r="CB11" s="30" t="str">
        <f aca="false">IF($A11="","",SUMIFS(approvals!$U$2:$U$251,approvals!$A$2:$A$251,$A11))</f>
        <v/>
      </c>
      <c r="CC11" s="30" t="str">
        <f aca="false">IF($A11="","",SUMIFS(approvals!$AA$2:$AA$251,approvals!$A$2:$A$251,$A11))</f>
        <v/>
      </c>
      <c r="CD11" s="30" t="str">
        <f aca="false">IF($A11="","",SUMIFS(approvals!$AA$2:$AA$251,approvals!$A$2:$A$251,$A11,approvals!$AB$2:$AB$251,"Y"))</f>
        <v/>
      </c>
      <c r="CE11" s="34" t="str">
        <f aca="false">IF($A11="","",IF(N($CB11)=0,"",$CD11/$CB11))</f>
        <v/>
      </c>
      <c r="CF11" s="30" t="str">
        <f aca="false">IF($A11="","",SUMIFS(approvals!$AD$2:$AD$251,approvals!$A$2:$A$251,$A11))</f>
        <v/>
      </c>
      <c r="CG11" s="30" t="str">
        <f aca="false">IF($A11="","",IF(COUNTIFS(approvals!$A$2:$A$251,$A11,approvals!$Q$2:$Q$251,"Y",approvals!$AG$2:$AG$251,"")&gt;0,"",SUMIFS(approvals!$AG$2:$AG$251,approvals!$A$2:$A$251,$A11,approvals!$Q$2:$Q$251,"Y")))</f>
        <v/>
      </c>
      <c r="CH11" s="30" t="str">
        <f aca="false">IF($A11="","",SUMIFS(approvals!$AL$2:$AL$251,approvals!$A$2:$A$251,$A11,approvals!$Q$2:$Q$251,"Y"))</f>
        <v/>
      </c>
      <c r="CI11" s="30" t="str">
        <f aca="false">IF($A11="","",IF(N($BP11)=0,"",SUMPRODUCT(MIN(approvals!$BB$2:$BB$251+(approvals!$A$2:$A$251&lt;&gt;$A11)*1000000))))</f>
        <v/>
      </c>
      <c r="CJ11" s="30" t="str">
        <f aca="false">IF($A11="","",COUNTIFS(approvals!$A$2:$A$251,$A11,approvals!$Q$2:$Q$251,"Y",approvals!$AL$2:$AL$251,"&lt;"&amp;config!$B$30))</f>
        <v/>
      </c>
      <c r="CK11" s="30" t="str">
        <f aca="false">IF($A11="","",SUMIFS(approvals!$AM$2:$AM$251,approvals!$A$2:$A$251,$A11,approvals!$Q$2:$Q$251,"Y"))</f>
        <v/>
      </c>
      <c r="CL11" s="30" t="str">
        <f aca="false">IF($A11="","",SUMIFS(approvals!$AQ$2:$AQ$251,approvals!$A$2:$A$251,$A11,approvals!$Q$2:$Q$251,"Y"))</f>
        <v/>
      </c>
      <c r="CM11" s="30" t="str">
        <f aca="false">IF($A11="","",SUMIFS(approvals!$AR$2:$AR$251,approvals!$A$2:$A$251,$A11,approvals!$Q$2:$Q$251,"Y"))</f>
        <v/>
      </c>
      <c r="CN11" s="30" t="str">
        <f aca="false">IF($A11="","",SUMIFS(approvals!$AS$2:$AS$251,approvals!$A$2:$A$251,$A11,approvals!$Q$2:$Q$251,"Y"))</f>
        <v/>
      </c>
      <c r="CO11" s="30" t="str">
        <f aca="false">IF($A11="","",SUMIFS(approvals!$AT$2:$AT$251,approvals!$A$2:$A$251,$A11,approvals!$Q$2:$Q$251,"Y"))</f>
        <v/>
      </c>
      <c r="CP11" s="33" t="str">
        <f aca="false">IF($A11="","",IF(N($CO11)=0,"",ROUND(SUMIFS(approvals!$AU$2:$AU$251,approvals!$A$2:$A$251,$A11,approvals!$Q$2:$Q$251,"Y")/$CO11,1)))</f>
        <v/>
      </c>
      <c r="CQ11" s="30" t="str">
        <f aca="false">IF($A11="","",SUMIFS(approvals!$AV$2:$AV$251,approvals!$A$2:$A$251,$A11,approvals!$Q$2:$Q$251,"Y"))</f>
        <v/>
      </c>
      <c r="CR11" s="30" t="str">
        <f aca="false">IF($A11="","",SUMIFS(approvals!$AW$2:$AW$251,approvals!$A$2:$A$251,$A11,approvals!$Q$2:$Q$251,"Y"))</f>
        <v/>
      </c>
      <c r="CS11" s="30" t="str">
        <f aca="false">IF($A11="","",SUMIFS(approvals!$AX$2:$AX$251,approvals!$A$2:$A$251,$A11,approvals!$Q$2:$Q$251,"Y"))</f>
        <v/>
      </c>
      <c r="CT11" s="30" t="str">
        <f aca="false">IF($A11="","",SUMIFS(approvals!$AY$2:$AY$251,approvals!$A$2:$A$251,$A11,approvals!$Q$2:$Q$251,"Y"))</f>
        <v/>
      </c>
      <c r="CU11" s="30" t="str">
        <f aca="true">IF($A11="","",IF(OR($BG11="",$BC11&lt;&gt;""),"",IFERROR(COUNT(INDIRECT("'"&amp;$A11&amp;"'!$A$2:$A$501")),0)-IFERROR(COUNTIFS(INDIRECT("'"&amp;$A11&amp;"'!$A$2:$A$501"),"&gt;="&amp;$BG11,INDIRECT("'"&amp;$A11&amp;"'!$A$2:$A$501"),"&lt;"&amp;(IFERROR(IF(INDEX(drops!$R$2:$R$21,MATCH($B11,drops!$A$2:$A$21,0))="","",INDEX(drops!$R$2:$R$21,MATCH($B11,drops!$A$2:$A$21,0))),"")+1)),0)))</f>
        <v/>
      </c>
      <c r="CV11" s="30" t="str">
        <f aca="true">IF($A11="","",IF(OR($BG11="",$BC11&lt;&gt;""),"",IFERROR(COUNTIFS(INDIRECT("'"&amp;$A11&amp;"'!$A$2:$A$501"),"&gt;="&amp;$BG11,INDIRECT("'"&amp;$A11&amp;"'!$A$2:$A$501"),"&lt;"&amp;(IFERROR(IF(INDEX(drops!$R$2:$R$21,MATCH($B11,drops!$A$2:$A$21,0))="","",INDEX(drops!$R$2:$R$21,MATCH($B11,drops!$A$2:$A$21,0))),"")+1)),0)-N($CH11)-N($CW11)))</f>
        <v/>
      </c>
      <c r="CW11" s="30" t="str">
        <f aca="false">IF($A11="","",IF($BG11="","",SUMIFS(approvals!$AL$2:$AL$251,approvals!$A$2:$A$251,$A11,approvals!$Q$2:$Q$251,"&lt;&gt;Y")))</f>
        <v/>
      </c>
      <c r="CX11" s="30" t="str">
        <f aca="false">IF($A11="","",SUMIFS(approvals!$AN$2:$AN$251,approvals!$A$2:$A$251,$A11,approvals!$Q$2:$Q$251,"Y"))</f>
        <v/>
      </c>
      <c r="CY11" s="30" t="str">
        <f aca="false">IF($A11="","",SUMIFS(approvals!$AO$2:$AO$251,approvals!$A$2:$A$251,$A11,approvals!$Q$2:$Q$251,"Y"))</f>
        <v/>
      </c>
      <c r="CZ11" s="30" t="str">
        <f aca="false">IF($A11="","",IF($DA11="","",SUMIFS(redemptions!$C$2:$C$121,redemptions!$A$2:$A$121,$A11,redemptions!$B$2:$B$121,$DA11)))</f>
        <v/>
      </c>
      <c r="DA11" s="31" t="str">
        <f aca="false">IF($A11="","",IFERROR(1/(1/SUMPRODUCT(MAX((redemptions!$A$2:$A$121=$A11)*redemptions!$B$2:$B$121))),""))</f>
        <v/>
      </c>
      <c r="DB11" s="30" t="str">
        <f aca="false">IF($A11="","",IF(COUNTIFS(redemptions!$A$2:$A$121,$A11,redemptions!$H$2:$H$121,"Y")=0,"",SUMIFS(redemptions!$C$2:$C$121,redemptions!$A$2:$A$121,$A11,redemptions!$B$2:$B$121,SUMPRODUCT(MIN((redemptions!$A$2:$A$121=$A11)*(redemptions!$H$2:$H$121="Y")*redemptions!$B$2:$B$121+((redemptions!$A$2:$A$121&lt;&gt;$A11)+(redemptions!$H$2:$H$121&lt;&gt;"Y")&gt;0)*1000000)))))</f>
        <v/>
      </c>
      <c r="DC11" s="32" t="str">
        <f aca="false">IF($A11="","",SUMIFS(invoices!$E$2:$E$151,invoices!$B$2:$B$151,$A11))</f>
        <v/>
      </c>
      <c r="DD11" s="32" t="str">
        <f aca="false">IF($A11="","",IF(COUNTIFS(invoices!$B$2:$B$151,$A11,invoices!$C$2:$C$151,"standard_deposit",invoices!$H$2:$H$151,"&gt;0")=0,"",SUMIFS(invoices!$I$2:$I$151,invoices!$B$2:$B$151,$A11,invoices!$C$2:$C$151,"standard_deposit")))</f>
        <v/>
      </c>
      <c r="DE11" s="31" t="str">
        <f aca="false">IF($A11="","",IFERROR(1/(1/SUMPRODUCT(MAX((invoices!$B$2:$B$151=$A11)*(invoices!$C$2:$C$151="standard_deposit")*invoices!$H$2:$H$151))),""))</f>
        <v/>
      </c>
      <c r="DF11" s="31" t="str">
        <f aca="false">IF($A11="","",IFERROR(1/(1/SUMPRODUCT(MAX((invoices!$B$2:$B$151=$A11)*((invoices!$C$2:$C$151="founding_full")+(invoices!$C$2:$C$151="standard_balance"))*invoices!$H$2:$H$151))),""))</f>
        <v/>
      </c>
      <c r="DG11" s="32" t="str">
        <f aca="false">IF($A11="","",SUMIFS(invoices!$L$2:$L$151,invoices!$B$2:$B$151,$A11))</f>
        <v/>
      </c>
      <c r="DH11" s="32" t="str">
        <f aca="false">IF($A11="","",SUMIFS(costs!$E$2:$E$301,costs!$C$2:$C$301,$A11))</f>
        <v/>
      </c>
      <c r="DI11" s="32" t="str">
        <f aca="false">IF($A11="","",ROUND(IF(SUMIFS(campaigns!$BO$2:$BO$51,campaigns!$B$2:$B$51,$B11)=0,0,$BO11/SUMIFS(campaigns!$BO$2:$BO$51,campaigns!$B$2:$B$51,$B11))*(SUMIFS(costs!$E$2:$E$301,costs!$B$2:$B$301,$B11)-SUMPRODUCT((costs!$B$2:$B$301=$B11)*(LEN(costs!$C$2:$C$301)&gt;0)*costs!$E$2:$E$301)),2))</f>
        <v/>
      </c>
      <c r="DJ11" s="33" t="str">
        <f aca="false">IF($A11="","",SUMIFS(hours!$E$2:$E$1501,hours!$C$2:$C$1501,$A11))</f>
        <v/>
      </c>
      <c r="DK11" s="33" t="str">
        <f aca="false">IF($A11="","",ROUND(IF(SUMIFS(campaigns!$BO$2:$BO$51,campaigns!$B$2:$B$51,$B11)=0,0,$BO11/SUMIFS(campaigns!$BO$2:$BO$51,campaigns!$B$2:$B$51,$B11))*(SUMIFS(hours!$E$2:$E$1501,hours!$B$2:$B$1501,$B11)-SUMPRODUCT((hours!$B$2:$B$1501=$B11)*(LEN(hours!$C$2:$C$1501)&gt;0)*hours!$E$2:$E$1501)),2))</f>
        <v/>
      </c>
      <c r="DL11" s="32" t="str">
        <f aca="false">IF($A11="","",$DC11-$DG11-$DH11-$DI11)</f>
        <v/>
      </c>
      <c r="DM11" s="32" t="str">
        <f aca="false">IF($A11="","",IF(N($DJ11)+N($DK11)=0,"",ROUND($DL11/($DJ11+$DK11),2)))</f>
        <v/>
      </c>
      <c r="DN11" s="34" t="str">
        <f aca="false">IF($A11="","",IF(N($BP11)=0,"",COUNTIFS(approvals!$A$2:$A$251,$A11,approvals!$Q$2:$Q$251,"Y",approvals!$AK$2:$AK$251,"Y")/$BP11))</f>
        <v/>
      </c>
      <c r="DO11" s="33" t="str">
        <f aca="false">IF($A11="","",IF(COUNTIFS(approvals!$A$2:$A$251,$A11,approvals!$AC$2:$AC$251,"&gt;=0")=0,"",ROUND(SUMIFS(approvals!$AC$2:$AC$251,approvals!$A$2:$A$251,$A11)/COUNTIFS(approvals!$A$2:$A$251,$A11,approvals!$AC$2:$AC$251,"&gt;=0"),1)))</f>
        <v/>
      </c>
      <c r="DP11" s="31" t="str">
        <f aca="false">IF($A11="","",IFERROR(IF(INDEX(drops!$T$2:$T$21,MATCH($B11,drops!$A$2:$A$21,0))="","",INDEX(drops!$T$2:$T$21,MATCH($B11,drops!$A$2:$A$21,0))),""))</f>
        <v/>
      </c>
      <c r="DQ11" s="31" t="str">
        <f aca="false">IF($A11="","",IFERROR(IF(INDEX(drops!$U$2:$U$21,MATCH($B11,drops!$A$2:$A$21,0))="","",INDEX(drops!$U$2:$U$21,MATCH($B11,drops!$A$2:$A$21,0))),""))</f>
        <v/>
      </c>
      <c r="DR11" s="31" t="str">
        <f aca="false">IF($A11="","",IFERROR(IF(INDEX(drops!$W$2:$W$21,MATCH($B11,drops!$A$2:$A$21,0))="","",INDEX(drops!$W$2:$W$21,MATCH($B11,drops!$A$2:$A$21,0))),""))</f>
        <v/>
      </c>
      <c r="DS11" s="30" t="str">
        <f aca="false">IF($A11="","",IF($CE11="","",IF($CE11&gt;=config!$B$31,"pass","miss")))</f>
        <v/>
      </c>
      <c r="DT11" s="30" t="str">
        <f aca="false">IF($A11="","",IF($CI11="","",IF($CI11&gt;=config!$B$30,"pass","miss")))</f>
        <v/>
      </c>
      <c r="DU11" s="30" t="str">
        <f aca="true">IF($A11="","",IF($AT11="",IF($DP11="","",IF(IF(config!$B$37&lt;&gt;"",config!$B$37,TODAY())&gt;$DP11,"late","due")),IF($AT11&lt;=$DP11,"pass","late")))</f>
        <v/>
      </c>
      <c r="DV11" s="30" t="str">
        <f aca="false">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ustomFormat="false" ht="15" hidden="false" customHeight="false" outlineLevel="0" collapsed="false">
      <c r="D12" s="10"/>
      <c r="G12" s="12"/>
      <c r="H12" s="11"/>
      <c r="M12" s="10"/>
      <c r="Y12" s="10"/>
      <c r="Z12" s="10"/>
      <c r="AB12" s="11"/>
      <c r="AC12" s="11"/>
      <c r="AD12" s="11"/>
      <c r="AF12" s="11"/>
      <c r="AG12" s="11"/>
      <c r="AT12" s="11"/>
      <c r="AU12" s="11"/>
      <c r="AV12" s="10"/>
      <c r="AW12" s="10"/>
      <c r="AY12" s="11"/>
      <c r="BA12" s="11"/>
      <c r="BB12" s="11"/>
      <c r="BC12" s="11"/>
      <c r="BE12" s="30" t="str">
        <f aca="false">IF($A12="","",IFERROR(IF(INDEX(brands!$K$2:$K$41,MATCH($C12,brands!$A$2:$A$41,0))="","",INDEX(brands!$K$2:$K$41,MATCH($C12,brands!$A$2:$A$41,0))),""))</f>
        <v/>
      </c>
      <c r="BF12" s="30" t="str">
        <f aca="false">IF($A12="","",IFERROR(IF(INDEX(brands!$M$2:$M$41,MATCH($C12,brands!$A$2:$A$41,0))="","",INDEX(brands!$M$2:$M$41,MATCH($C12,brands!$A$2:$A$41,0))),""))</f>
        <v/>
      </c>
      <c r="BG12" s="31" t="str">
        <f aca="false">IF($A12="","",IF(IFERROR(IF(INDEX(drops!$I$2:$I$21,MATCH($B12,drops!$A$2:$A$21,0))="","",INDEX(drops!$I$2:$I$21,MATCH($B12,drops!$A$2:$A$21,0))),"")="OK",IFERROR(IF(INDEX(drops!$B$2:$B$21,MATCH($B12,drops!$A$2:$A$21,0))="","",INDEX(drops!$B$2:$B$21,MATCH($B12,drops!$A$2:$A$21,0))),""),""))</f>
        <v/>
      </c>
      <c r="BH12" s="30" t="str">
        <f aca="false">IF($A12="","",IFERROR(IF(INDEX(drops!$C$2:$C$21,MATCH($B12,drops!$A$2:$A$21,0))="","",INDEX(drops!$C$2:$C$21,MATCH($B12,drops!$A$2:$A$21,0))),""))</f>
        <v/>
      </c>
      <c r="BI12" s="32" t="str">
        <f aca="false">IF($A12="","",IF($F12="","",IF($D12="founding",IF($E12="Y",config!$B$25*MIN($F12,config!$B$26)+config!$B$24*MAX(0,$F12-config!$B$26),config!$B$20+config!$B$24*MAX(0,$F12-config!$B$21)),IF($D12="standard",config!$B$22+config!$B$24*MAX(0,$F12-config!$B$23),""))))</f>
        <v/>
      </c>
      <c r="BJ12" s="32" t="str">
        <f aca="false">IF($A12="","",IF($G12&lt;&gt;"",$G12,$BI12))</f>
        <v/>
      </c>
      <c r="BK12" s="30" t="str">
        <f aca="false">IF($A12="","",IF($D12="founding","100% within "&amp;config!$B$27&amp;" business days of the invoice, before shipping",IF($D12="standard","50% on signing; 50% at placement confirmation (T+1)","")))</f>
        <v/>
      </c>
      <c r="BL12" s="31" t="str">
        <f aca="false">IF($A12="","",IFERROR(IF(INDEX(drops!$K$2:$K$21,MATCH($B12,drops!$A$2:$A$21,0))="","",INDEX(drops!$K$2:$K$21,MATCH($B12,drops!$A$2:$A$21,0))),""))</f>
        <v/>
      </c>
      <c r="BM12" s="31" t="str">
        <f aca="false">IF($A12="","",IFERROR(IF(INDEX(drops!$L$2:$L$21,MATCH($B12,drops!$A$2:$A$21,0))="","",INDEX(drops!$L$2:$L$21,MATCH($B12,drops!$A$2:$A$21,0))),""))</f>
        <v/>
      </c>
      <c r="BN12" s="30" t="str">
        <f aca="false">IF($A12="","",COUNTIF(approvals!$A$2:$A$251,$A12))</f>
        <v/>
      </c>
      <c r="BO12" s="30" t="str">
        <f aca="false">IF($A12="","",COUNTIFS(approvals!$A$2:$A$251,$A12,approvals!$P$2:$P$251,"Y"))</f>
        <v/>
      </c>
      <c r="BP12" s="30" t="str">
        <f aca="false">IF($A12="","",COUNTIFS(approvals!$A$2:$A$251,$A12,approvals!$Q$2:$Q$251,"Y"))</f>
        <v/>
      </c>
      <c r="BQ12" s="30" t="str">
        <f aca="false">IF($A12="","",COUNTIFS(approvals!$A$2:$A$251,$A12,approvals!$P$2:$P$251,"pending"))</f>
        <v/>
      </c>
      <c r="BR12" s="30" t="str">
        <f aca="false">IF($A12="","",SUMIFS(approvals!$S$2:$S$251,approvals!$A$2:$A$251,$A12,approvals!$P$2:$P$251,"Y"))</f>
        <v/>
      </c>
      <c r="BS12" s="30" t="str">
        <f aca="false">IF($A12="","",ROUNDUP($BR12*config!$B$18,0))</f>
        <v/>
      </c>
      <c r="BT12" s="30" t="str">
        <f aca="false">IF($A12="","",$BR12+$BS12)</f>
        <v/>
      </c>
      <c r="BU12" s="32" t="str">
        <f aca="false">IF($A12="","",SUMIFS(invoices!$I$2:$I$151,invoices!$B$2:$B$151,$A12,invoices!$R$2:$R$151,"Y",invoices!$H$2:$H$151,"&gt;0"))</f>
        <v/>
      </c>
      <c r="BV12" s="32" t="str">
        <f aca="false">IF($A12="","",IF($BJ12="","",IF($D12="founding",$BJ12,ROUND($BJ12*config!$B$28,2))))</f>
        <v/>
      </c>
      <c r="BW12" s="30" t="str">
        <f aca="false">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30" t="str">
        <f aca="false">IF($A12="","",SUMIFS(inventory!$G$2:$G$801,inventory!$C$2:$C$801,$A12,inventory!$E$2:$E$801,"received"))</f>
        <v/>
      </c>
      <c r="BY12" s="30" t="str">
        <f aca="false">IF($A12="","",SUMIFS(inventory!$G$2:$G$801,inventory!$C$2:$C$801,$A12,inventory!$E$2:$E$801,"rejected"))</f>
        <v/>
      </c>
      <c r="BZ12" s="30" t="str">
        <f aca="false">IF($A12="","",SUMIFS(inventory!$M$2:$M$801,inventory!$C$2:$C$801,$A12))</f>
        <v/>
      </c>
      <c r="CA12" s="30" t="str">
        <f aca="false">IF($A12="","",SUMIFS(inventory!$O$2:$O$801,inventory!$C$2:$C$801,$A12))</f>
        <v/>
      </c>
      <c r="CB12" s="30" t="str">
        <f aca="false">IF($A12="","",SUMIFS(approvals!$U$2:$U$251,approvals!$A$2:$A$251,$A12))</f>
        <v/>
      </c>
      <c r="CC12" s="30" t="str">
        <f aca="false">IF($A12="","",SUMIFS(approvals!$AA$2:$AA$251,approvals!$A$2:$A$251,$A12))</f>
        <v/>
      </c>
      <c r="CD12" s="30" t="str">
        <f aca="false">IF($A12="","",SUMIFS(approvals!$AA$2:$AA$251,approvals!$A$2:$A$251,$A12,approvals!$AB$2:$AB$251,"Y"))</f>
        <v/>
      </c>
      <c r="CE12" s="34" t="str">
        <f aca="false">IF($A12="","",IF(N($CB12)=0,"",$CD12/$CB12))</f>
        <v/>
      </c>
      <c r="CF12" s="30" t="str">
        <f aca="false">IF($A12="","",SUMIFS(approvals!$AD$2:$AD$251,approvals!$A$2:$A$251,$A12))</f>
        <v/>
      </c>
      <c r="CG12" s="30" t="str">
        <f aca="false">IF($A12="","",IF(COUNTIFS(approvals!$A$2:$A$251,$A12,approvals!$Q$2:$Q$251,"Y",approvals!$AG$2:$AG$251,"")&gt;0,"",SUMIFS(approvals!$AG$2:$AG$251,approvals!$A$2:$A$251,$A12,approvals!$Q$2:$Q$251,"Y")))</f>
        <v/>
      </c>
      <c r="CH12" s="30" t="str">
        <f aca="false">IF($A12="","",SUMIFS(approvals!$AL$2:$AL$251,approvals!$A$2:$A$251,$A12,approvals!$Q$2:$Q$251,"Y"))</f>
        <v/>
      </c>
      <c r="CI12" s="30" t="str">
        <f aca="false">IF($A12="","",IF(N($BP12)=0,"",SUMPRODUCT(MIN(approvals!$BB$2:$BB$251+(approvals!$A$2:$A$251&lt;&gt;$A12)*1000000))))</f>
        <v/>
      </c>
      <c r="CJ12" s="30" t="str">
        <f aca="false">IF($A12="","",COUNTIFS(approvals!$A$2:$A$251,$A12,approvals!$Q$2:$Q$251,"Y",approvals!$AL$2:$AL$251,"&lt;"&amp;config!$B$30))</f>
        <v/>
      </c>
      <c r="CK12" s="30" t="str">
        <f aca="false">IF($A12="","",SUMIFS(approvals!$AM$2:$AM$251,approvals!$A$2:$A$251,$A12,approvals!$Q$2:$Q$251,"Y"))</f>
        <v/>
      </c>
      <c r="CL12" s="30" t="str">
        <f aca="false">IF($A12="","",SUMIFS(approvals!$AQ$2:$AQ$251,approvals!$A$2:$A$251,$A12,approvals!$Q$2:$Q$251,"Y"))</f>
        <v/>
      </c>
      <c r="CM12" s="30" t="str">
        <f aca="false">IF($A12="","",SUMIFS(approvals!$AR$2:$AR$251,approvals!$A$2:$A$251,$A12,approvals!$Q$2:$Q$251,"Y"))</f>
        <v/>
      </c>
      <c r="CN12" s="30" t="str">
        <f aca="false">IF($A12="","",SUMIFS(approvals!$AS$2:$AS$251,approvals!$A$2:$A$251,$A12,approvals!$Q$2:$Q$251,"Y"))</f>
        <v/>
      </c>
      <c r="CO12" s="30" t="str">
        <f aca="false">IF($A12="","",SUMIFS(approvals!$AT$2:$AT$251,approvals!$A$2:$A$251,$A12,approvals!$Q$2:$Q$251,"Y"))</f>
        <v/>
      </c>
      <c r="CP12" s="33" t="str">
        <f aca="false">IF($A12="","",IF(N($CO12)=0,"",ROUND(SUMIFS(approvals!$AU$2:$AU$251,approvals!$A$2:$A$251,$A12,approvals!$Q$2:$Q$251,"Y")/$CO12,1)))</f>
        <v/>
      </c>
      <c r="CQ12" s="30" t="str">
        <f aca="false">IF($A12="","",SUMIFS(approvals!$AV$2:$AV$251,approvals!$A$2:$A$251,$A12,approvals!$Q$2:$Q$251,"Y"))</f>
        <v/>
      </c>
      <c r="CR12" s="30" t="str">
        <f aca="false">IF($A12="","",SUMIFS(approvals!$AW$2:$AW$251,approvals!$A$2:$A$251,$A12,approvals!$Q$2:$Q$251,"Y"))</f>
        <v/>
      </c>
      <c r="CS12" s="30" t="str">
        <f aca="false">IF($A12="","",SUMIFS(approvals!$AX$2:$AX$251,approvals!$A$2:$A$251,$A12,approvals!$Q$2:$Q$251,"Y"))</f>
        <v/>
      </c>
      <c r="CT12" s="30" t="str">
        <f aca="false">IF($A12="","",SUMIFS(approvals!$AY$2:$AY$251,approvals!$A$2:$A$251,$A12,approvals!$Q$2:$Q$251,"Y"))</f>
        <v/>
      </c>
      <c r="CU12" s="30" t="str">
        <f aca="true">IF($A12="","",IF(OR($BG12="",$BC12&lt;&gt;""),"",IFERROR(COUNT(INDIRECT("'"&amp;$A12&amp;"'!$A$2:$A$501")),0)-IFERROR(COUNTIFS(INDIRECT("'"&amp;$A12&amp;"'!$A$2:$A$501"),"&gt;="&amp;$BG12,INDIRECT("'"&amp;$A12&amp;"'!$A$2:$A$501"),"&lt;"&amp;(IFERROR(IF(INDEX(drops!$R$2:$R$21,MATCH($B12,drops!$A$2:$A$21,0))="","",INDEX(drops!$R$2:$R$21,MATCH($B12,drops!$A$2:$A$21,0))),"")+1)),0)))</f>
        <v/>
      </c>
      <c r="CV12" s="30" t="str">
        <f aca="true">IF($A12="","",IF(OR($BG12="",$BC12&lt;&gt;""),"",IFERROR(COUNTIFS(INDIRECT("'"&amp;$A12&amp;"'!$A$2:$A$501"),"&gt;="&amp;$BG12,INDIRECT("'"&amp;$A12&amp;"'!$A$2:$A$501"),"&lt;"&amp;(IFERROR(IF(INDEX(drops!$R$2:$R$21,MATCH($B12,drops!$A$2:$A$21,0))="","",INDEX(drops!$R$2:$R$21,MATCH($B12,drops!$A$2:$A$21,0))),"")+1)),0)-N($CH12)-N($CW12)))</f>
        <v/>
      </c>
      <c r="CW12" s="30" t="str">
        <f aca="false">IF($A12="","",IF($BG12="","",SUMIFS(approvals!$AL$2:$AL$251,approvals!$A$2:$A$251,$A12,approvals!$Q$2:$Q$251,"&lt;&gt;Y")))</f>
        <v/>
      </c>
      <c r="CX12" s="30" t="str">
        <f aca="false">IF($A12="","",SUMIFS(approvals!$AN$2:$AN$251,approvals!$A$2:$A$251,$A12,approvals!$Q$2:$Q$251,"Y"))</f>
        <v/>
      </c>
      <c r="CY12" s="30" t="str">
        <f aca="false">IF($A12="","",SUMIFS(approvals!$AO$2:$AO$251,approvals!$A$2:$A$251,$A12,approvals!$Q$2:$Q$251,"Y"))</f>
        <v/>
      </c>
      <c r="CZ12" s="30" t="str">
        <f aca="false">IF($A12="","",IF($DA12="","",SUMIFS(redemptions!$C$2:$C$121,redemptions!$A$2:$A$121,$A12,redemptions!$B$2:$B$121,$DA12)))</f>
        <v/>
      </c>
      <c r="DA12" s="31" t="str">
        <f aca="false">IF($A12="","",IFERROR(1/(1/SUMPRODUCT(MAX((redemptions!$A$2:$A$121=$A12)*redemptions!$B$2:$B$121))),""))</f>
        <v/>
      </c>
      <c r="DB12" s="30" t="str">
        <f aca="false">IF($A12="","",IF(COUNTIFS(redemptions!$A$2:$A$121,$A12,redemptions!$H$2:$H$121,"Y")=0,"",SUMIFS(redemptions!$C$2:$C$121,redemptions!$A$2:$A$121,$A12,redemptions!$B$2:$B$121,SUMPRODUCT(MIN((redemptions!$A$2:$A$121=$A12)*(redemptions!$H$2:$H$121="Y")*redemptions!$B$2:$B$121+((redemptions!$A$2:$A$121&lt;&gt;$A12)+(redemptions!$H$2:$H$121&lt;&gt;"Y")&gt;0)*1000000)))))</f>
        <v/>
      </c>
      <c r="DC12" s="32" t="str">
        <f aca="false">IF($A12="","",SUMIFS(invoices!$E$2:$E$151,invoices!$B$2:$B$151,$A12))</f>
        <v/>
      </c>
      <c r="DD12" s="32" t="str">
        <f aca="false">IF($A12="","",IF(COUNTIFS(invoices!$B$2:$B$151,$A12,invoices!$C$2:$C$151,"standard_deposit",invoices!$H$2:$H$151,"&gt;0")=0,"",SUMIFS(invoices!$I$2:$I$151,invoices!$B$2:$B$151,$A12,invoices!$C$2:$C$151,"standard_deposit")))</f>
        <v/>
      </c>
      <c r="DE12" s="31" t="str">
        <f aca="false">IF($A12="","",IFERROR(1/(1/SUMPRODUCT(MAX((invoices!$B$2:$B$151=$A12)*(invoices!$C$2:$C$151="standard_deposit")*invoices!$H$2:$H$151))),""))</f>
        <v/>
      </c>
      <c r="DF12" s="31" t="str">
        <f aca="false">IF($A12="","",IFERROR(1/(1/SUMPRODUCT(MAX((invoices!$B$2:$B$151=$A12)*((invoices!$C$2:$C$151="founding_full")+(invoices!$C$2:$C$151="standard_balance"))*invoices!$H$2:$H$151))),""))</f>
        <v/>
      </c>
      <c r="DG12" s="32" t="str">
        <f aca="false">IF($A12="","",SUMIFS(invoices!$L$2:$L$151,invoices!$B$2:$B$151,$A12))</f>
        <v/>
      </c>
      <c r="DH12" s="32" t="str">
        <f aca="false">IF($A12="","",SUMIFS(costs!$E$2:$E$301,costs!$C$2:$C$301,$A12))</f>
        <v/>
      </c>
      <c r="DI12" s="32" t="str">
        <f aca="false">IF($A12="","",ROUND(IF(SUMIFS(campaigns!$BO$2:$BO$51,campaigns!$B$2:$B$51,$B12)=0,0,$BO12/SUMIFS(campaigns!$BO$2:$BO$51,campaigns!$B$2:$B$51,$B12))*(SUMIFS(costs!$E$2:$E$301,costs!$B$2:$B$301,$B12)-SUMPRODUCT((costs!$B$2:$B$301=$B12)*(LEN(costs!$C$2:$C$301)&gt;0)*costs!$E$2:$E$301)),2))</f>
        <v/>
      </c>
      <c r="DJ12" s="33" t="str">
        <f aca="false">IF($A12="","",SUMIFS(hours!$E$2:$E$1501,hours!$C$2:$C$1501,$A12))</f>
        <v/>
      </c>
      <c r="DK12" s="33" t="str">
        <f aca="false">IF($A12="","",ROUND(IF(SUMIFS(campaigns!$BO$2:$BO$51,campaigns!$B$2:$B$51,$B12)=0,0,$BO12/SUMIFS(campaigns!$BO$2:$BO$51,campaigns!$B$2:$B$51,$B12))*(SUMIFS(hours!$E$2:$E$1501,hours!$B$2:$B$1501,$B12)-SUMPRODUCT((hours!$B$2:$B$1501=$B12)*(LEN(hours!$C$2:$C$1501)&gt;0)*hours!$E$2:$E$1501)),2))</f>
        <v/>
      </c>
      <c r="DL12" s="32" t="str">
        <f aca="false">IF($A12="","",$DC12-$DG12-$DH12-$DI12)</f>
        <v/>
      </c>
      <c r="DM12" s="32" t="str">
        <f aca="false">IF($A12="","",IF(N($DJ12)+N($DK12)=0,"",ROUND($DL12/($DJ12+$DK12),2)))</f>
        <v/>
      </c>
      <c r="DN12" s="34" t="str">
        <f aca="false">IF($A12="","",IF(N($BP12)=0,"",COUNTIFS(approvals!$A$2:$A$251,$A12,approvals!$Q$2:$Q$251,"Y",approvals!$AK$2:$AK$251,"Y")/$BP12))</f>
        <v/>
      </c>
      <c r="DO12" s="33" t="str">
        <f aca="false">IF($A12="","",IF(COUNTIFS(approvals!$A$2:$A$251,$A12,approvals!$AC$2:$AC$251,"&gt;=0")=0,"",ROUND(SUMIFS(approvals!$AC$2:$AC$251,approvals!$A$2:$A$251,$A12)/COUNTIFS(approvals!$A$2:$A$251,$A12,approvals!$AC$2:$AC$251,"&gt;=0"),1)))</f>
        <v/>
      </c>
      <c r="DP12" s="31" t="str">
        <f aca="false">IF($A12="","",IFERROR(IF(INDEX(drops!$T$2:$T$21,MATCH($B12,drops!$A$2:$A$21,0))="","",INDEX(drops!$T$2:$T$21,MATCH($B12,drops!$A$2:$A$21,0))),""))</f>
        <v/>
      </c>
      <c r="DQ12" s="31" t="str">
        <f aca="false">IF($A12="","",IFERROR(IF(INDEX(drops!$U$2:$U$21,MATCH($B12,drops!$A$2:$A$21,0))="","",INDEX(drops!$U$2:$U$21,MATCH($B12,drops!$A$2:$A$21,0))),""))</f>
        <v/>
      </c>
      <c r="DR12" s="31" t="str">
        <f aca="false">IF($A12="","",IFERROR(IF(INDEX(drops!$W$2:$W$21,MATCH($B12,drops!$A$2:$A$21,0))="","",INDEX(drops!$W$2:$W$21,MATCH($B12,drops!$A$2:$A$21,0))),""))</f>
        <v/>
      </c>
      <c r="DS12" s="30" t="str">
        <f aca="false">IF($A12="","",IF($CE12="","",IF($CE12&gt;=config!$B$31,"pass","miss")))</f>
        <v/>
      </c>
      <c r="DT12" s="30" t="str">
        <f aca="false">IF($A12="","",IF($CI12="","",IF($CI12&gt;=config!$B$30,"pass","miss")))</f>
        <v/>
      </c>
      <c r="DU12" s="30" t="str">
        <f aca="true">IF($A12="","",IF($AT12="",IF($DP12="","",IF(IF(config!$B$37&lt;&gt;"",config!$B$37,TODAY())&gt;$DP12,"late","due")),IF($AT12&lt;=$DP12,"pass","late")))</f>
        <v/>
      </c>
      <c r="DV12" s="30" t="str">
        <f aca="false">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ustomFormat="false" ht="15" hidden="false" customHeight="false" outlineLevel="0" collapsed="false">
      <c r="D13" s="10"/>
      <c r="G13" s="12"/>
      <c r="H13" s="11"/>
      <c r="M13" s="10"/>
      <c r="Y13" s="10"/>
      <c r="Z13" s="10"/>
      <c r="AB13" s="11"/>
      <c r="AC13" s="11"/>
      <c r="AD13" s="11"/>
      <c r="AF13" s="11"/>
      <c r="AG13" s="11"/>
      <c r="AT13" s="11"/>
      <c r="AU13" s="11"/>
      <c r="AV13" s="10"/>
      <c r="AW13" s="10"/>
      <c r="AY13" s="11"/>
      <c r="BA13" s="11"/>
      <c r="BB13" s="11"/>
      <c r="BC13" s="11"/>
      <c r="BE13" s="30" t="str">
        <f aca="false">IF($A13="","",IFERROR(IF(INDEX(brands!$K$2:$K$41,MATCH($C13,brands!$A$2:$A$41,0))="","",INDEX(brands!$K$2:$K$41,MATCH($C13,brands!$A$2:$A$41,0))),""))</f>
        <v/>
      </c>
      <c r="BF13" s="30" t="str">
        <f aca="false">IF($A13="","",IFERROR(IF(INDEX(brands!$M$2:$M$41,MATCH($C13,brands!$A$2:$A$41,0))="","",INDEX(brands!$M$2:$M$41,MATCH($C13,brands!$A$2:$A$41,0))),""))</f>
        <v/>
      </c>
      <c r="BG13" s="31" t="str">
        <f aca="false">IF($A13="","",IF(IFERROR(IF(INDEX(drops!$I$2:$I$21,MATCH($B13,drops!$A$2:$A$21,0))="","",INDEX(drops!$I$2:$I$21,MATCH($B13,drops!$A$2:$A$21,0))),"")="OK",IFERROR(IF(INDEX(drops!$B$2:$B$21,MATCH($B13,drops!$A$2:$A$21,0))="","",INDEX(drops!$B$2:$B$21,MATCH($B13,drops!$A$2:$A$21,0))),""),""))</f>
        <v/>
      </c>
      <c r="BH13" s="30" t="str">
        <f aca="false">IF($A13="","",IFERROR(IF(INDEX(drops!$C$2:$C$21,MATCH($B13,drops!$A$2:$A$21,0))="","",INDEX(drops!$C$2:$C$21,MATCH($B13,drops!$A$2:$A$21,0))),""))</f>
        <v/>
      </c>
      <c r="BI13" s="32" t="str">
        <f aca="false">IF($A13="","",IF($F13="","",IF($D13="founding",IF($E13="Y",config!$B$25*MIN($F13,config!$B$26)+config!$B$24*MAX(0,$F13-config!$B$26),config!$B$20+config!$B$24*MAX(0,$F13-config!$B$21)),IF($D13="standard",config!$B$22+config!$B$24*MAX(0,$F13-config!$B$23),""))))</f>
        <v/>
      </c>
      <c r="BJ13" s="32" t="str">
        <f aca="false">IF($A13="","",IF($G13&lt;&gt;"",$G13,$BI13))</f>
        <v/>
      </c>
      <c r="BK13" s="30" t="str">
        <f aca="false">IF($A13="","",IF($D13="founding","100% within "&amp;config!$B$27&amp;" business days of the invoice, before shipping",IF($D13="standard","50% on signing; 50% at placement confirmation (T+1)","")))</f>
        <v/>
      </c>
      <c r="BL13" s="31" t="str">
        <f aca="false">IF($A13="","",IFERROR(IF(INDEX(drops!$K$2:$K$21,MATCH($B13,drops!$A$2:$A$21,0))="","",INDEX(drops!$K$2:$K$21,MATCH($B13,drops!$A$2:$A$21,0))),""))</f>
        <v/>
      </c>
      <c r="BM13" s="31" t="str">
        <f aca="false">IF($A13="","",IFERROR(IF(INDEX(drops!$L$2:$L$21,MATCH($B13,drops!$A$2:$A$21,0))="","",INDEX(drops!$L$2:$L$21,MATCH($B13,drops!$A$2:$A$21,0))),""))</f>
        <v/>
      </c>
      <c r="BN13" s="30" t="str">
        <f aca="false">IF($A13="","",COUNTIF(approvals!$A$2:$A$251,$A13))</f>
        <v/>
      </c>
      <c r="BO13" s="30" t="str">
        <f aca="false">IF($A13="","",COUNTIFS(approvals!$A$2:$A$251,$A13,approvals!$P$2:$P$251,"Y"))</f>
        <v/>
      </c>
      <c r="BP13" s="30" t="str">
        <f aca="false">IF($A13="","",COUNTIFS(approvals!$A$2:$A$251,$A13,approvals!$Q$2:$Q$251,"Y"))</f>
        <v/>
      </c>
      <c r="BQ13" s="30" t="str">
        <f aca="false">IF($A13="","",COUNTIFS(approvals!$A$2:$A$251,$A13,approvals!$P$2:$P$251,"pending"))</f>
        <v/>
      </c>
      <c r="BR13" s="30" t="str">
        <f aca="false">IF($A13="","",SUMIFS(approvals!$S$2:$S$251,approvals!$A$2:$A$251,$A13,approvals!$P$2:$P$251,"Y"))</f>
        <v/>
      </c>
      <c r="BS13" s="30" t="str">
        <f aca="false">IF($A13="","",ROUNDUP($BR13*config!$B$18,0))</f>
        <v/>
      </c>
      <c r="BT13" s="30" t="str">
        <f aca="false">IF($A13="","",$BR13+$BS13)</f>
        <v/>
      </c>
      <c r="BU13" s="32" t="str">
        <f aca="false">IF($A13="","",SUMIFS(invoices!$I$2:$I$151,invoices!$B$2:$B$151,$A13,invoices!$R$2:$R$151,"Y",invoices!$H$2:$H$151,"&gt;0"))</f>
        <v/>
      </c>
      <c r="BV13" s="32" t="str">
        <f aca="false">IF($A13="","",IF($BJ13="","",IF($D13="founding",$BJ13,ROUND($BJ13*config!$B$28,2))))</f>
        <v/>
      </c>
      <c r="BW13" s="30" t="str">
        <f aca="false">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30" t="str">
        <f aca="false">IF($A13="","",SUMIFS(inventory!$G$2:$G$801,inventory!$C$2:$C$801,$A13,inventory!$E$2:$E$801,"received"))</f>
        <v/>
      </c>
      <c r="BY13" s="30" t="str">
        <f aca="false">IF($A13="","",SUMIFS(inventory!$G$2:$G$801,inventory!$C$2:$C$801,$A13,inventory!$E$2:$E$801,"rejected"))</f>
        <v/>
      </c>
      <c r="BZ13" s="30" t="str">
        <f aca="false">IF($A13="","",SUMIFS(inventory!$M$2:$M$801,inventory!$C$2:$C$801,$A13))</f>
        <v/>
      </c>
      <c r="CA13" s="30" t="str">
        <f aca="false">IF($A13="","",SUMIFS(inventory!$O$2:$O$801,inventory!$C$2:$C$801,$A13))</f>
        <v/>
      </c>
      <c r="CB13" s="30" t="str">
        <f aca="false">IF($A13="","",SUMIFS(approvals!$U$2:$U$251,approvals!$A$2:$A$251,$A13))</f>
        <v/>
      </c>
      <c r="CC13" s="30" t="str">
        <f aca="false">IF($A13="","",SUMIFS(approvals!$AA$2:$AA$251,approvals!$A$2:$A$251,$A13))</f>
        <v/>
      </c>
      <c r="CD13" s="30" t="str">
        <f aca="false">IF($A13="","",SUMIFS(approvals!$AA$2:$AA$251,approvals!$A$2:$A$251,$A13,approvals!$AB$2:$AB$251,"Y"))</f>
        <v/>
      </c>
      <c r="CE13" s="34" t="str">
        <f aca="false">IF($A13="","",IF(N($CB13)=0,"",$CD13/$CB13))</f>
        <v/>
      </c>
      <c r="CF13" s="30" t="str">
        <f aca="false">IF($A13="","",SUMIFS(approvals!$AD$2:$AD$251,approvals!$A$2:$A$251,$A13))</f>
        <v/>
      </c>
      <c r="CG13" s="30" t="str">
        <f aca="false">IF($A13="","",IF(COUNTIFS(approvals!$A$2:$A$251,$A13,approvals!$Q$2:$Q$251,"Y",approvals!$AG$2:$AG$251,"")&gt;0,"",SUMIFS(approvals!$AG$2:$AG$251,approvals!$A$2:$A$251,$A13,approvals!$Q$2:$Q$251,"Y")))</f>
        <v/>
      </c>
      <c r="CH13" s="30" t="str">
        <f aca="false">IF($A13="","",SUMIFS(approvals!$AL$2:$AL$251,approvals!$A$2:$A$251,$A13,approvals!$Q$2:$Q$251,"Y"))</f>
        <v/>
      </c>
      <c r="CI13" s="30" t="str">
        <f aca="false">IF($A13="","",IF(N($BP13)=0,"",SUMPRODUCT(MIN(approvals!$BB$2:$BB$251+(approvals!$A$2:$A$251&lt;&gt;$A13)*1000000))))</f>
        <v/>
      </c>
      <c r="CJ13" s="30" t="str">
        <f aca="false">IF($A13="","",COUNTIFS(approvals!$A$2:$A$251,$A13,approvals!$Q$2:$Q$251,"Y",approvals!$AL$2:$AL$251,"&lt;"&amp;config!$B$30))</f>
        <v/>
      </c>
      <c r="CK13" s="30" t="str">
        <f aca="false">IF($A13="","",SUMIFS(approvals!$AM$2:$AM$251,approvals!$A$2:$A$251,$A13,approvals!$Q$2:$Q$251,"Y"))</f>
        <v/>
      </c>
      <c r="CL13" s="30" t="str">
        <f aca="false">IF($A13="","",SUMIFS(approvals!$AQ$2:$AQ$251,approvals!$A$2:$A$251,$A13,approvals!$Q$2:$Q$251,"Y"))</f>
        <v/>
      </c>
      <c r="CM13" s="30" t="str">
        <f aca="false">IF($A13="","",SUMIFS(approvals!$AR$2:$AR$251,approvals!$A$2:$A$251,$A13,approvals!$Q$2:$Q$251,"Y"))</f>
        <v/>
      </c>
      <c r="CN13" s="30" t="str">
        <f aca="false">IF($A13="","",SUMIFS(approvals!$AS$2:$AS$251,approvals!$A$2:$A$251,$A13,approvals!$Q$2:$Q$251,"Y"))</f>
        <v/>
      </c>
      <c r="CO13" s="30" t="str">
        <f aca="false">IF($A13="","",SUMIFS(approvals!$AT$2:$AT$251,approvals!$A$2:$A$251,$A13,approvals!$Q$2:$Q$251,"Y"))</f>
        <v/>
      </c>
      <c r="CP13" s="33" t="str">
        <f aca="false">IF($A13="","",IF(N($CO13)=0,"",ROUND(SUMIFS(approvals!$AU$2:$AU$251,approvals!$A$2:$A$251,$A13,approvals!$Q$2:$Q$251,"Y")/$CO13,1)))</f>
        <v/>
      </c>
      <c r="CQ13" s="30" t="str">
        <f aca="false">IF($A13="","",SUMIFS(approvals!$AV$2:$AV$251,approvals!$A$2:$A$251,$A13,approvals!$Q$2:$Q$251,"Y"))</f>
        <v/>
      </c>
      <c r="CR13" s="30" t="str">
        <f aca="false">IF($A13="","",SUMIFS(approvals!$AW$2:$AW$251,approvals!$A$2:$A$251,$A13,approvals!$Q$2:$Q$251,"Y"))</f>
        <v/>
      </c>
      <c r="CS13" s="30" t="str">
        <f aca="false">IF($A13="","",SUMIFS(approvals!$AX$2:$AX$251,approvals!$A$2:$A$251,$A13,approvals!$Q$2:$Q$251,"Y"))</f>
        <v/>
      </c>
      <c r="CT13" s="30" t="str">
        <f aca="false">IF($A13="","",SUMIFS(approvals!$AY$2:$AY$251,approvals!$A$2:$A$251,$A13,approvals!$Q$2:$Q$251,"Y"))</f>
        <v/>
      </c>
      <c r="CU13" s="30" t="str">
        <f aca="true">IF($A13="","",IF(OR($BG13="",$BC13&lt;&gt;""),"",IFERROR(COUNT(INDIRECT("'"&amp;$A13&amp;"'!$A$2:$A$501")),0)-IFERROR(COUNTIFS(INDIRECT("'"&amp;$A13&amp;"'!$A$2:$A$501"),"&gt;="&amp;$BG13,INDIRECT("'"&amp;$A13&amp;"'!$A$2:$A$501"),"&lt;"&amp;(IFERROR(IF(INDEX(drops!$R$2:$R$21,MATCH($B13,drops!$A$2:$A$21,0))="","",INDEX(drops!$R$2:$R$21,MATCH($B13,drops!$A$2:$A$21,0))),"")+1)),0)))</f>
        <v/>
      </c>
      <c r="CV13" s="30" t="str">
        <f aca="true">IF($A13="","",IF(OR($BG13="",$BC13&lt;&gt;""),"",IFERROR(COUNTIFS(INDIRECT("'"&amp;$A13&amp;"'!$A$2:$A$501"),"&gt;="&amp;$BG13,INDIRECT("'"&amp;$A13&amp;"'!$A$2:$A$501"),"&lt;"&amp;(IFERROR(IF(INDEX(drops!$R$2:$R$21,MATCH($B13,drops!$A$2:$A$21,0))="","",INDEX(drops!$R$2:$R$21,MATCH($B13,drops!$A$2:$A$21,0))),"")+1)),0)-N($CH13)-N($CW13)))</f>
        <v/>
      </c>
      <c r="CW13" s="30" t="str">
        <f aca="false">IF($A13="","",IF($BG13="","",SUMIFS(approvals!$AL$2:$AL$251,approvals!$A$2:$A$251,$A13,approvals!$Q$2:$Q$251,"&lt;&gt;Y")))</f>
        <v/>
      </c>
      <c r="CX13" s="30" t="str">
        <f aca="false">IF($A13="","",SUMIFS(approvals!$AN$2:$AN$251,approvals!$A$2:$A$251,$A13,approvals!$Q$2:$Q$251,"Y"))</f>
        <v/>
      </c>
      <c r="CY13" s="30" t="str">
        <f aca="false">IF($A13="","",SUMIFS(approvals!$AO$2:$AO$251,approvals!$A$2:$A$251,$A13,approvals!$Q$2:$Q$251,"Y"))</f>
        <v/>
      </c>
      <c r="CZ13" s="30" t="str">
        <f aca="false">IF($A13="","",IF($DA13="","",SUMIFS(redemptions!$C$2:$C$121,redemptions!$A$2:$A$121,$A13,redemptions!$B$2:$B$121,$DA13)))</f>
        <v/>
      </c>
      <c r="DA13" s="31" t="str">
        <f aca="false">IF($A13="","",IFERROR(1/(1/SUMPRODUCT(MAX((redemptions!$A$2:$A$121=$A13)*redemptions!$B$2:$B$121))),""))</f>
        <v/>
      </c>
      <c r="DB13" s="30" t="str">
        <f aca="false">IF($A13="","",IF(COUNTIFS(redemptions!$A$2:$A$121,$A13,redemptions!$H$2:$H$121,"Y")=0,"",SUMIFS(redemptions!$C$2:$C$121,redemptions!$A$2:$A$121,$A13,redemptions!$B$2:$B$121,SUMPRODUCT(MIN((redemptions!$A$2:$A$121=$A13)*(redemptions!$H$2:$H$121="Y")*redemptions!$B$2:$B$121+((redemptions!$A$2:$A$121&lt;&gt;$A13)+(redemptions!$H$2:$H$121&lt;&gt;"Y")&gt;0)*1000000)))))</f>
        <v/>
      </c>
      <c r="DC13" s="32" t="str">
        <f aca="false">IF($A13="","",SUMIFS(invoices!$E$2:$E$151,invoices!$B$2:$B$151,$A13))</f>
        <v/>
      </c>
      <c r="DD13" s="32" t="str">
        <f aca="false">IF($A13="","",IF(COUNTIFS(invoices!$B$2:$B$151,$A13,invoices!$C$2:$C$151,"standard_deposit",invoices!$H$2:$H$151,"&gt;0")=0,"",SUMIFS(invoices!$I$2:$I$151,invoices!$B$2:$B$151,$A13,invoices!$C$2:$C$151,"standard_deposit")))</f>
        <v/>
      </c>
      <c r="DE13" s="31" t="str">
        <f aca="false">IF($A13="","",IFERROR(1/(1/SUMPRODUCT(MAX((invoices!$B$2:$B$151=$A13)*(invoices!$C$2:$C$151="standard_deposit")*invoices!$H$2:$H$151))),""))</f>
        <v/>
      </c>
      <c r="DF13" s="31" t="str">
        <f aca="false">IF($A13="","",IFERROR(1/(1/SUMPRODUCT(MAX((invoices!$B$2:$B$151=$A13)*((invoices!$C$2:$C$151="founding_full")+(invoices!$C$2:$C$151="standard_balance"))*invoices!$H$2:$H$151))),""))</f>
        <v/>
      </c>
      <c r="DG13" s="32" t="str">
        <f aca="false">IF($A13="","",SUMIFS(invoices!$L$2:$L$151,invoices!$B$2:$B$151,$A13))</f>
        <v/>
      </c>
      <c r="DH13" s="32" t="str">
        <f aca="false">IF($A13="","",SUMIFS(costs!$E$2:$E$301,costs!$C$2:$C$301,$A13))</f>
        <v/>
      </c>
      <c r="DI13" s="32" t="str">
        <f aca="false">IF($A13="","",ROUND(IF(SUMIFS(campaigns!$BO$2:$BO$51,campaigns!$B$2:$B$51,$B13)=0,0,$BO13/SUMIFS(campaigns!$BO$2:$BO$51,campaigns!$B$2:$B$51,$B13))*(SUMIFS(costs!$E$2:$E$301,costs!$B$2:$B$301,$B13)-SUMPRODUCT((costs!$B$2:$B$301=$B13)*(LEN(costs!$C$2:$C$301)&gt;0)*costs!$E$2:$E$301)),2))</f>
        <v/>
      </c>
      <c r="DJ13" s="33" t="str">
        <f aca="false">IF($A13="","",SUMIFS(hours!$E$2:$E$1501,hours!$C$2:$C$1501,$A13))</f>
        <v/>
      </c>
      <c r="DK13" s="33" t="str">
        <f aca="false">IF($A13="","",ROUND(IF(SUMIFS(campaigns!$BO$2:$BO$51,campaigns!$B$2:$B$51,$B13)=0,0,$BO13/SUMIFS(campaigns!$BO$2:$BO$51,campaigns!$B$2:$B$51,$B13))*(SUMIFS(hours!$E$2:$E$1501,hours!$B$2:$B$1501,$B13)-SUMPRODUCT((hours!$B$2:$B$1501=$B13)*(LEN(hours!$C$2:$C$1501)&gt;0)*hours!$E$2:$E$1501)),2))</f>
        <v/>
      </c>
      <c r="DL13" s="32" t="str">
        <f aca="false">IF($A13="","",$DC13-$DG13-$DH13-$DI13)</f>
        <v/>
      </c>
      <c r="DM13" s="32" t="str">
        <f aca="false">IF($A13="","",IF(N($DJ13)+N($DK13)=0,"",ROUND($DL13/($DJ13+$DK13),2)))</f>
        <v/>
      </c>
      <c r="DN13" s="34" t="str">
        <f aca="false">IF($A13="","",IF(N($BP13)=0,"",COUNTIFS(approvals!$A$2:$A$251,$A13,approvals!$Q$2:$Q$251,"Y",approvals!$AK$2:$AK$251,"Y")/$BP13))</f>
        <v/>
      </c>
      <c r="DO13" s="33" t="str">
        <f aca="false">IF($A13="","",IF(COUNTIFS(approvals!$A$2:$A$251,$A13,approvals!$AC$2:$AC$251,"&gt;=0")=0,"",ROUND(SUMIFS(approvals!$AC$2:$AC$251,approvals!$A$2:$A$251,$A13)/COUNTIFS(approvals!$A$2:$A$251,$A13,approvals!$AC$2:$AC$251,"&gt;=0"),1)))</f>
        <v/>
      </c>
      <c r="DP13" s="31" t="str">
        <f aca="false">IF($A13="","",IFERROR(IF(INDEX(drops!$T$2:$T$21,MATCH($B13,drops!$A$2:$A$21,0))="","",INDEX(drops!$T$2:$T$21,MATCH($B13,drops!$A$2:$A$21,0))),""))</f>
        <v/>
      </c>
      <c r="DQ13" s="31" t="str">
        <f aca="false">IF($A13="","",IFERROR(IF(INDEX(drops!$U$2:$U$21,MATCH($B13,drops!$A$2:$A$21,0))="","",INDEX(drops!$U$2:$U$21,MATCH($B13,drops!$A$2:$A$21,0))),""))</f>
        <v/>
      </c>
      <c r="DR13" s="31" t="str">
        <f aca="false">IF($A13="","",IFERROR(IF(INDEX(drops!$W$2:$W$21,MATCH($B13,drops!$A$2:$A$21,0))="","",INDEX(drops!$W$2:$W$21,MATCH($B13,drops!$A$2:$A$21,0))),""))</f>
        <v/>
      </c>
      <c r="DS13" s="30" t="str">
        <f aca="false">IF($A13="","",IF($CE13="","",IF($CE13&gt;=config!$B$31,"pass","miss")))</f>
        <v/>
      </c>
      <c r="DT13" s="30" t="str">
        <f aca="false">IF($A13="","",IF($CI13="","",IF($CI13&gt;=config!$B$30,"pass","miss")))</f>
        <v/>
      </c>
      <c r="DU13" s="30" t="str">
        <f aca="true">IF($A13="","",IF($AT13="",IF($DP13="","",IF(IF(config!$B$37&lt;&gt;"",config!$B$37,TODAY())&gt;$DP13,"late","due")),IF($AT13&lt;=$DP13,"pass","late")))</f>
        <v/>
      </c>
      <c r="DV13" s="30" t="str">
        <f aca="false">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ustomFormat="false" ht="15" hidden="false" customHeight="false" outlineLevel="0" collapsed="false">
      <c r="D14" s="10"/>
      <c r="G14" s="12"/>
      <c r="H14" s="11"/>
      <c r="M14" s="10"/>
      <c r="Y14" s="10"/>
      <c r="Z14" s="10"/>
      <c r="AB14" s="11"/>
      <c r="AC14" s="11"/>
      <c r="AD14" s="11"/>
      <c r="AF14" s="11"/>
      <c r="AG14" s="11"/>
      <c r="AT14" s="11"/>
      <c r="AU14" s="11"/>
      <c r="AV14" s="10"/>
      <c r="AW14" s="10"/>
      <c r="AY14" s="11"/>
      <c r="BA14" s="11"/>
      <c r="BB14" s="11"/>
      <c r="BC14" s="11"/>
      <c r="BE14" s="30" t="str">
        <f aca="false">IF($A14="","",IFERROR(IF(INDEX(brands!$K$2:$K$41,MATCH($C14,brands!$A$2:$A$41,0))="","",INDEX(brands!$K$2:$K$41,MATCH($C14,brands!$A$2:$A$41,0))),""))</f>
        <v/>
      </c>
      <c r="BF14" s="30" t="str">
        <f aca="false">IF($A14="","",IFERROR(IF(INDEX(brands!$M$2:$M$41,MATCH($C14,brands!$A$2:$A$41,0))="","",INDEX(brands!$M$2:$M$41,MATCH($C14,brands!$A$2:$A$41,0))),""))</f>
        <v/>
      </c>
      <c r="BG14" s="31" t="str">
        <f aca="false">IF($A14="","",IF(IFERROR(IF(INDEX(drops!$I$2:$I$21,MATCH($B14,drops!$A$2:$A$21,0))="","",INDEX(drops!$I$2:$I$21,MATCH($B14,drops!$A$2:$A$21,0))),"")="OK",IFERROR(IF(INDEX(drops!$B$2:$B$21,MATCH($B14,drops!$A$2:$A$21,0))="","",INDEX(drops!$B$2:$B$21,MATCH($B14,drops!$A$2:$A$21,0))),""),""))</f>
        <v/>
      </c>
      <c r="BH14" s="30" t="str">
        <f aca="false">IF($A14="","",IFERROR(IF(INDEX(drops!$C$2:$C$21,MATCH($B14,drops!$A$2:$A$21,0))="","",INDEX(drops!$C$2:$C$21,MATCH($B14,drops!$A$2:$A$21,0))),""))</f>
        <v/>
      </c>
      <c r="BI14" s="32" t="str">
        <f aca="false">IF($A14="","",IF($F14="","",IF($D14="founding",IF($E14="Y",config!$B$25*MIN($F14,config!$B$26)+config!$B$24*MAX(0,$F14-config!$B$26),config!$B$20+config!$B$24*MAX(0,$F14-config!$B$21)),IF($D14="standard",config!$B$22+config!$B$24*MAX(0,$F14-config!$B$23),""))))</f>
        <v/>
      </c>
      <c r="BJ14" s="32" t="str">
        <f aca="false">IF($A14="","",IF($G14&lt;&gt;"",$G14,$BI14))</f>
        <v/>
      </c>
      <c r="BK14" s="30" t="str">
        <f aca="false">IF($A14="","",IF($D14="founding","100% within "&amp;config!$B$27&amp;" business days of the invoice, before shipping",IF($D14="standard","50% on signing; 50% at placement confirmation (T+1)","")))</f>
        <v/>
      </c>
      <c r="BL14" s="31" t="str">
        <f aca="false">IF($A14="","",IFERROR(IF(INDEX(drops!$K$2:$K$21,MATCH($B14,drops!$A$2:$A$21,0))="","",INDEX(drops!$K$2:$K$21,MATCH($B14,drops!$A$2:$A$21,0))),""))</f>
        <v/>
      </c>
      <c r="BM14" s="31" t="str">
        <f aca="false">IF($A14="","",IFERROR(IF(INDEX(drops!$L$2:$L$21,MATCH($B14,drops!$A$2:$A$21,0))="","",INDEX(drops!$L$2:$L$21,MATCH($B14,drops!$A$2:$A$21,0))),""))</f>
        <v/>
      </c>
      <c r="BN14" s="30" t="str">
        <f aca="false">IF($A14="","",COUNTIF(approvals!$A$2:$A$251,$A14))</f>
        <v/>
      </c>
      <c r="BO14" s="30" t="str">
        <f aca="false">IF($A14="","",COUNTIFS(approvals!$A$2:$A$251,$A14,approvals!$P$2:$P$251,"Y"))</f>
        <v/>
      </c>
      <c r="BP14" s="30" t="str">
        <f aca="false">IF($A14="","",COUNTIFS(approvals!$A$2:$A$251,$A14,approvals!$Q$2:$Q$251,"Y"))</f>
        <v/>
      </c>
      <c r="BQ14" s="30" t="str">
        <f aca="false">IF($A14="","",COUNTIFS(approvals!$A$2:$A$251,$A14,approvals!$P$2:$P$251,"pending"))</f>
        <v/>
      </c>
      <c r="BR14" s="30" t="str">
        <f aca="false">IF($A14="","",SUMIFS(approvals!$S$2:$S$251,approvals!$A$2:$A$251,$A14,approvals!$P$2:$P$251,"Y"))</f>
        <v/>
      </c>
      <c r="BS14" s="30" t="str">
        <f aca="false">IF($A14="","",ROUNDUP($BR14*config!$B$18,0))</f>
        <v/>
      </c>
      <c r="BT14" s="30" t="str">
        <f aca="false">IF($A14="","",$BR14+$BS14)</f>
        <v/>
      </c>
      <c r="BU14" s="32" t="str">
        <f aca="false">IF($A14="","",SUMIFS(invoices!$I$2:$I$151,invoices!$B$2:$B$151,$A14,invoices!$R$2:$R$151,"Y",invoices!$H$2:$H$151,"&gt;0"))</f>
        <v/>
      </c>
      <c r="BV14" s="32" t="str">
        <f aca="false">IF($A14="","",IF($BJ14="","",IF($D14="founding",$BJ14,ROUND($BJ14*config!$B$28,2))))</f>
        <v/>
      </c>
      <c r="BW14" s="30" t="str">
        <f aca="false">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30" t="str">
        <f aca="false">IF($A14="","",SUMIFS(inventory!$G$2:$G$801,inventory!$C$2:$C$801,$A14,inventory!$E$2:$E$801,"received"))</f>
        <v/>
      </c>
      <c r="BY14" s="30" t="str">
        <f aca="false">IF($A14="","",SUMIFS(inventory!$G$2:$G$801,inventory!$C$2:$C$801,$A14,inventory!$E$2:$E$801,"rejected"))</f>
        <v/>
      </c>
      <c r="BZ14" s="30" t="str">
        <f aca="false">IF($A14="","",SUMIFS(inventory!$M$2:$M$801,inventory!$C$2:$C$801,$A14))</f>
        <v/>
      </c>
      <c r="CA14" s="30" t="str">
        <f aca="false">IF($A14="","",SUMIFS(inventory!$O$2:$O$801,inventory!$C$2:$C$801,$A14))</f>
        <v/>
      </c>
      <c r="CB14" s="30" t="str">
        <f aca="false">IF($A14="","",SUMIFS(approvals!$U$2:$U$251,approvals!$A$2:$A$251,$A14))</f>
        <v/>
      </c>
      <c r="CC14" s="30" t="str">
        <f aca="false">IF($A14="","",SUMIFS(approvals!$AA$2:$AA$251,approvals!$A$2:$A$251,$A14))</f>
        <v/>
      </c>
      <c r="CD14" s="30" t="str">
        <f aca="false">IF($A14="","",SUMIFS(approvals!$AA$2:$AA$251,approvals!$A$2:$A$251,$A14,approvals!$AB$2:$AB$251,"Y"))</f>
        <v/>
      </c>
      <c r="CE14" s="34" t="str">
        <f aca="false">IF($A14="","",IF(N($CB14)=0,"",$CD14/$CB14))</f>
        <v/>
      </c>
      <c r="CF14" s="30" t="str">
        <f aca="false">IF($A14="","",SUMIFS(approvals!$AD$2:$AD$251,approvals!$A$2:$A$251,$A14))</f>
        <v/>
      </c>
      <c r="CG14" s="30" t="str">
        <f aca="false">IF($A14="","",IF(COUNTIFS(approvals!$A$2:$A$251,$A14,approvals!$Q$2:$Q$251,"Y",approvals!$AG$2:$AG$251,"")&gt;0,"",SUMIFS(approvals!$AG$2:$AG$251,approvals!$A$2:$A$251,$A14,approvals!$Q$2:$Q$251,"Y")))</f>
        <v/>
      </c>
      <c r="CH14" s="30" t="str">
        <f aca="false">IF($A14="","",SUMIFS(approvals!$AL$2:$AL$251,approvals!$A$2:$A$251,$A14,approvals!$Q$2:$Q$251,"Y"))</f>
        <v/>
      </c>
      <c r="CI14" s="30" t="str">
        <f aca="false">IF($A14="","",IF(N($BP14)=0,"",SUMPRODUCT(MIN(approvals!$BB$2:$BB$251+(approvals!$A$2:$A$251&lt;&gt;$A14)*1000000))))</f>
        <v/>
      </c>
      <c r="CJ14" s="30" t="str">
        <f aca="false">IF($A14="","",COUNTIFS(approvals!$A$2:$A$251,$A14,approvals!$Q$2:$Q$251,"Y",approvals!$AL$2:$AL$251,"&lt;"&amp;config!$B$30))</f>
        <v/>
      </c>
      <c r="CK14" s="30" t="str">
        <f aca="false">IF($A14="","",SUMIFS(approvals!$AM$2:$AM$251,approvals!$A$2:$A$251,$A14,approvals!$Q$2:$Q$251,"Y"))</f>
        <v/>
      </c>
      <c r="CL14" s="30" t="str">
        <f aca="false">IF($A14="","",SUMIFS(approvals!$AQ$2:$AQ$251,approvals!$A$2:$A$251,$A14,approvals!$Q$2:$Q$251,"Y"))</f>
        <v/>
      </c>
      <c r="CM14" s="30" t="str">
        <f aca="false">IF($A14="","",SUMIFS(approvals!$AR$2:$AR$251,approvals!$A$2:$A$251,$A14,approvals!$Q$2:$Q$251,"Y"))</f>
        <v/>
      </c>
      <c r="CN14" s="30" t="str">
        <f aca="false">IF($A14="","",SUMIFS(approvals!$AS$2:$AS$251,approvals!$A$2:$A$251,$A14,approvals!$Q$2:$Q$251,"Y"))</f>
        <v/>
      </c>
      <c r="CO14" s="30" t="str">
        <f aca="false">IF($A14="","",SUMIFS(approvals!$AT$2:$AT$251,approvals!$A$2:$A$251,$A14,approvals!$Q$2:$Q$251,"Y"))</f>
        <v/>
      </c>
      <c r="CP14" s="33" t="str">
        <f aca="false">IF($A14="","",IF(N($CO14)=0,"",ROUND(SUMIFS(approvals!$AU$2:$AU$251,approvals!$A$2:$A$251,$A14,approvals!$Q$2:$Q$251,"Y")/$CO14,1)))</f>
        <v/>
      </c>
      <c r="CQ14" s="30" t="str">
        <f aca="false">IF($A14="","",SUMIFS(approvals!$AV$2:$AV$251,approvals!$A$2:$A$251,$A14,approvals!$Q$2:$Q$251,"Y"))</f>
        <v/>
      </c>
      <c r="CR14" s="30" t="str">
        <f aca="false">IF($A14="","",SUMIFS(approvals!$AW$2:$AW$251,approvals!$A$2:$A$251,$A14,approvals!$Q$2:$Q$251,"Y"))</f>
        <v/>
      </c>
      <c r="CS14" s="30" t="str">
        <f aca="false">IF($A14="","",SUMIFS(approvals!$AX$2:$AX$251,approvals!$A$2:$A$251,$A14,approvals!$Q$2:$Q$251,"Y"))</f>
        <v/>
      </c>
      <c r="CT14" s="30" t="str">
        <f aca="false">IF($A14="","",SUMIFS(approvals!$AY$2:$AY$251,approvals!$A$2:$A$251,$A14,approvals!$Q$2:$Q$251,"Y"))</f>
        <v/>
      </c>
      <c r="CU14" s="30" t="str">
        <f aca="true">IF($A14="","",IF(OR($BG14="",$BC14&lt;&gt;""),"",IFERROR(COUNT(INDIRECT("'"&amp;$A14&amp;"'!$A$2:$A$501")),0)-IFERROR(COUNTIFS(INDIRECT("'"&amp;$A14&amp;"'!$A$2:$A$501"),"&gt;="&amp;$BG14,INDIRECT("'"&amp;$A14&amp;"'!$A$2:$A$501"),"&lt;"&amp;(IFERROR(IF(INDEX(drops!$R$2:$R$21,MATCH($B14,drops!$A$2:$A$21,0))="","",INDEX(drops!$R$2:$R$21,MATCH($B14,drops!$A$2:$A$21,0))),"")+1)),0)))</f>
        <v/>
      </c>
      <c r="CV14" s="30" t="str">
        <f aca="true">IF($A14="","",IF(OR($BG14="",$BC14&lt;&gt;""),"",IFERROR(COUNTIFS(INDIRECT("'"&amp;$A14&amp;"'!$A$2:$A$501"),"&gt;="&amp;$BG14,INDIRECT("'"&amp;$A14&amp;"'!$A$2:$A$501"),"&lt;"&amp;(IFERROR(IF(INDEX(drops!$R$2:$R$21,MATCH($B14,drops!$A$2:$A$21,0))="","",INDEX(drops!$R$2:$R$21,MATCH($B14,drops!$A$2:$A$21,0))),"")+1)),0)-N($CH14)-N($CW14)))</f>
        <v/>
      </c>
      <c r="CW14" s="30" t="str">
        <f aca="false">IF($A14="","",IF($BG14="","",SUMIFS(approvals!$AL$2:$AL$251,approvals!$A$2:$A$251,$A14,approvals!$Q$2:$Q$251,"&lt;&gt;Y")))</f>
        <v/>
      </c>
      <c r="CX14" s="30" t="str">
        <f aca="false">IF($A14="","",SUMIFS(approvals!$AN$2:$AN$251,approvals!$A$2:$A$251,$A14,approvals!$Q$2:$Q$251,"Y"))</f>
        <v/>
      </c>
      <c r="CY14" s="30" t="str">
        <f aca="false">IF($A14="","",SUMIFS(approvals!$AO$2:$AO$251,approvals!$A$2:$A$251,$A14,approvals!$Q$2:$Q$251,"Y"))</f>
        <v/>
      </c>
      <c r="CZ14" s="30" t="str">
        <f aca="false">IF($A14="","",IF($DA14="","",SUMIFS(redemptions!$C$2:$C$121,redemptions!$A$2:$A$121,$A14,redemptions!$B$2:$B$121,$DA14)))</f>
        <v/>
      </c>
      <c r="DA14" s="31" t="str">
        <f aca="false">IF($A14="","",IFERROR(1/(1/SUMPRODUCT(MAX((redemptions!$A$2:$A$121=$A14)*redemptions!$B$2:$B$121))),""))</f>
        <v/>
      </c>
      <c r="DB14" s="30" t="str">
        <f aca="false">IF($A14="","",IF(COUNTIFS(redemptions!$A$2:$A$121,$A14,redemptions!$H$2:$H$121,"Y")=0,"",SUMIFS(redemptions!$C$2:$C$121,redemptions!$A$2:$A$121,$A14,redemptions!$B$2:$B$121,SUMPRODUCT(MIN((redemptions!$A$2:$A$121=$A14)*(redemptions!$H$2:$H$121="Y")*redemptions!$B$2:$B$121+((redemptions!$A$2:$A$121&lt;&gt;$A14)+(redemptions!$H$2:$H$121&lt;&gt;"Y")&gt;0)*1000000)))))</f>
        <v/>
      </c>
      <c r="DC14" s="32" t="str">
        <f aca="false">IF($A14="","",SUMIFS(invoices!$E$2:$E$151,invoices!$B$2:$B$151,$A14))</f>
        <v/>
      </c>
      <c r="DD14" s="32" t="str">
        <f aca="false">IF($A14="","",IF(COUNTIFS(invoices!$B$2:$B$151,$A14,invoices!$C$2:$C$151,"standard_deposit",invoices!$H$2:$H$151,"&gt;0")=0,"",SUMIFS(invoices!$I$2:$I$151,invoices!$B$2:$B$151,$A14,invoices!$C$2:$C$151,"standard_deposit")))</f>
        <v/>
      </c>
      <c r="DE14" s="31" t="str">
        <f aca="false">IF($A14="","",IFERROR(1/(1/SUMPRODUCT(MAX((invoices!$B$2:$B$151=$A14)*(invoices!$C$2:$C$151="standard_deposit")*invoices!$H$2:$H$151))),""))</f>
        <v/>
      </c>
      <c r="DF14" s="31" t="str">
        <f aca="false">IF($A14="","",IFERROR(1/(1/SUMPRODUCT(MAX((invoices!$B$2:$B$151=$A14)*((invoices!$C$2:$C$151="founding_full")+(invoices!$C$2:$C$151="standard_balance"))*invoices!$H$2:$H$151))),""))</f>
        <v/>
      </c>
      <c r="DG14" s="32" t="str">
        <f aca="false">IF($A14="","",SUMIFS(invoices!$L$2:$L$151,invoices!$B$2:$B$151,$A14))</f>
        <v/>
      </c>
      <c r="DH14" s="32" t="str">
        <f aca="false">IF($A14="","",SUMIFS(costs!$E$2:$E$301,costs!$C$2:$C$301,$A14))</f>
        <v/>
      </c>
      <c r="DI14" s="32" t="str">
        <f aca="false">IF($A14="","",ROUND(IF(SUMIFS(campaigns!$BO$2:$BO$51,campaigns!$B$2:$B$51,$B14)=0,0,$BO14/SUMIFS(campaigns!$BO$2:$BO$51,campaigns!$B$2:$B$51,$B14))*(SUMIFS(costs!$E$2:$E$301,costs!$B$2:$B$301,$B14)-SUMPRODUCT((costs!$B$2:$B$301=$B14)*(LEN(costs!$C$2:$C$301)&gt;0)*costs!$E$2:$E$301)),2))</f>
        <v/>
      </c>
      <c r="DJ14" s="33" t="str">
        <f aca="false">IF($A14="","",SUMIFS(hours!$E$2:$E$1501,hours!$C$2:$C$1501,$A14))</f>
        <v/>
      </c>
      <c r="DK14" s="33" t="str">
        <f aca="false">IF($A14="","",ROUND(IF(SUMIFS(campaigns!$BO$2:$BO$51,campaigns!$B$2:$B$51,$B14)=0,0,$BO14/SUMIFS(campaigns!$BO$2:$BO$51,campaigns!$B$2:$B$51,$B14))*(SUMIFS(hours!$E$2:$E$1501,hours!$B$2:$B$1501,$B14)-SUMPRODUCT((hours!$B$2:$B$1501=$B14)*(LEN(hours!$C$2:$C$1501)&gt;0)*hours!$E$2:$E$1501)),2))</f>
        <v/>
      </c>
      <c r="DL14" s="32" t="str">
        <f aca="false">IF($A14="","",$DC14-$DG14-$DH14-$DI14)</f>
        <v/>
      </c>
      <c r="DM14" s="32" t="str">
        <f aca="false">IF($A14="","",IF(N($DJ14)+N($DK14)=0,"",ROUND($DL14/($DJ14+$DK14),2)))</f>
        <v/>
      </c>
      <c r="DN14" s="34" t="str">
        <f aca="false">IF($A14="","",IF(N($BP14)=0,"",COUNTIFS(approvals!$A$2:$A$251,$A14,approvals!$Q$2:$Q$251,"Y",approvals!$AK$2:$AK$251,"Y")/$BP14))</f>
        <v/>
      </c>
      <c r="DO14" s="33" t="str">
        <f aca="false">IF($A14="","",IF(COUNTIFS(approvals!$A$2:$A$251,$A14,approvals!$AC$2:$AC$251,"&gt;=0")=0,"",ROUND(SUMIFS(approvals!$AC$2:$AC$251,approvals!$A$2:$A$251,$A14)/COUNTIFS(approvals!$A$2:$A$251,$A14,approvals!$AC$2:$AC$251,"&gt;=0"),1)))</f>
        <v/>
      </c>
      <c r="DP14" s="31" t="str">
        <f aca="false">IF($A14="","",IFERROR(IF(INDEX(drops!$T$2:$T$21,MATCH($B14,drops!$A$2:$A$21,0))="","",INDEX(drops!$T$2:$T$21,MATCH($B14,drops!$A$2:$A$21,0))),""))</f>
        <v/>
      </c>
      <c r="DQ14" s="31" t="str">
        <f aca="false">IF($A14="","",IFERROR(IF(INDEX(drops!$U$2:$U$21,MATCH($B14,drops!$A$2:$A$21,0))="","",INDEX(drops!$U$2:$U$21,MATCH($B14,drops!$A$2:$A$21,0))),""))</f>
        <v/>
      </c>
      <c r="DR14" s="31" t="str">
        <f aca="false">IF($A14="","",IFERROR(IF(INDEX(drops!$W$2:$W$21,MATCH($B14,drops!$A$2:$A$21,0))="","",INDEX(drops!$W$2:$W$21,MATCH($B14,drops!$A$2:$A$21,0))),""))</f>
        <v/>
      </c>
      <c r="DS14" s="30" t="str">
        <f aca="false">IF($A14="","",IF($CE14="","",IF($CE14&gt;=config!$B$31,"pass","miss")))</f>
        <v/>
      </c>
      <c r="DT14" s="30" t="str">
        <f aca="false">IF($A14="","",IF($CI14="","",IF($CI14&gt;=config!$B$30,"pass","miss")))</f>
        <v/>
      </c>
      <c r="DU14" s="30" t="str">
        <f aca="true">IF($A14="","",IF($AT14="",IF($DP14="","",IF(IF(config!$B$37&lt;&gt;"",config!$B$37,TODAY())&gt;$DP14,"late","due")),IF($AT14&lt;=$DP14,"pass","late")))</f>
        <v/>
      </c>
      <c r="DV14" s="30" t="str">
        <f aca="false">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ustomFormat="false" ht="15" hidden="false" customHeight="false" outlineLevel="0" collapsed="false">
      <c r="D15" s="10"/>
      <c r="G15" s="12"/>
      <c r="H15" s="11"/>
      <c r="M15" s="10"/>
      <c r="Y15" s="10"/>
      <c r="Z15" s="10"/>
      <c r="AB15" s="11"/>
      <c r="AC15" s="11"/>
      <c r="AD15" s="11"/>
      <c r="AF15" s="11"/>
      <c r="AG15" s="11"/>
      <c r="AT15" s="11"/>
      <c r="AU15" s="11"/>
      <c r="AV15" s="10"/>
      <c r="AW15" s="10"/>
      <c r="AY15" s="11"/>
      <c r="BA15" s="11"/>
      <c r="BB15" s="11"/>
      <c r="BC15" s="11"/>
      <c r="BE15" s="30" t="str">
        <f aca="false">IF($A15="","",IFERROR(IF(INDEX(brands!$K$2:$K$41,MATCH($C15,brands!$A$2:$A$41,0))="","",INDEX(brands!$K$2:$K$41,MATCH($C15,brands!$A$2:$A$41,0))),""))</f>
        <v/>
      </c>
      <c r="BF15" s="30" t="str">
        <f aca="false">IF($A15="","",IFERROR(IF(INDEX(brands!$M$2:$M$41,MATCH($C15,brands!$A$2:$A$41,0))="","",INDEX(brands!$M$2:$M$41,MATCH($C15,brands!$A$2:$A$41,0))),""))</f>
        <v/>
      </c>
      <c r="BG15" s="31" t="str">
        <f aca="false">IF($A15="","",IF(IFERROR(IF(INDEX(drops!$I$2:$I$21,MATCH($B15,drops!$A$2:$A$21,0))="","",INDEX(drops!$I$2:$I$21,MATCH($B15,drops!$A$2:$A$21,0))),"")="OK",IFERROR(IF(INDEX(drops!$B$2:$B$21,MATCH($B15,drops!$A$2:$A$21,0))="","",INDEX(drops!$B$2:$B$21,MATCH($B15,drops!$A$2:$A$21,0))),""),""))</f>
        <v/>
      </c>
      <c r="BH15" s="30" t="str">
        <f aca="false">IF($A15="","",IFERROR(IF(INDEX(drops!$C$2:$C$21,MATCH($B15,drops!$A$2:$A$21,0))="","",INDEX(drops!$C$2:$C$21,MATCH($B15,drops!$A$2:$A$21,0))),""))</f>
        <v/>
      </c>
      <c r="BI15" s="32" t="str">
        <f aca="false">IF($A15="","",IF($F15="","",IF($D15="founding",IF($E15="Y",config!$B$25*MIN($F15,config!$B$26)+config!$B$24*MAX(0,$F15-config!$B$26),config!$B$20+config!$B$24*MAX(0,$F15-config!$B$21)),IF($D15="standard",config!$B$22+config!$B$24*MAX(0,$F15-config!$B$23),""))))</f>
        <v/>
      </c>
      <c r="BJ15" s="32" t="str">
        <f aca="false">IF($A15="","",IF($G15&lt;&gt;"",$G15,$BI15))</f>
        <v/>
      </c>
      <c r="BK15" s="30" t="str">
        <f aca="false">IF($A15="","",IF($D15="founding","100% within "&amp;config!$B$27&amp;" business days of the invoice, before shipping",IF($D15="standard","50% on signing; 50% at placement confirmation (T+1)","")))</f>
        <v/>
      </c>
      <c r="BL15" s="31" t="str">
        <f aca="false">IF($A15="","",IFERROR(IF(INDEX(drops!$K$2:$K$21,MATCH($B15,drops!$A$2:$A$21,0))="","",INDEX(drops!$K$2:$K$21,MATCH($B15,drops!$A$2:$A$21,0))),""))</f>
        <v/>
      </c>
      <c r="BM15" s="31" t="str">
        <f aca="false">IF($A15="","",IFERROR(IF(INDEX(drops!$L$2:$L$21,MATCH($B15,drops!$A$2:$A$21,0))="","",INDEX(drops!$L$2:$L$21,MATCH($B15,drops!$A$2:$A$21,0))),""))</f>
        <v/>
      </c>
      <c r="BN15" s="30" t="str">
        <f aca="false">IF($A15="","",COUNTIF(approvals!$A$2:$A$251,$A15))</f>
        <v/>
      </c>
      <c r="BO15" s="30" t="str">
        <f aca="false">IF($A15="","",COUNTIFS(approvals!$A$2:$A$251,$A15,approvals!$P$2:$P$251,"Y"))</f>
        <v/>
      </c>
      <c r="BP15" s="30" t="str">
        <f aca="false">IF($A15="","",COUNTIFS(approvals!$A$2:$A$251,$A15,approvals!$Q$2:$Q$251,"Y"))</f>
        <v/>
      </c>
      <c r="BQ15" s="30" t="str">
        <f aca="false">IF($A15="","",COUNTIFS(approvals!$A$2:$A$251,$A15,approvals!$P$2:$P$251,"pending"))</f>
        <v/>
      </c>
      <c r="BR15" s="30" t="str">
        <f aca="false">IF($A15="","",SUMIFS(approvals!$S$2:$S$251,approvals!$A$2:$A$251,$A15,approvals!$P$2:$P$251,"Y"))</f>
        <v/>
      </c>
      <c r="BS15" s="30" t="str">
        <f aca="false">IF($A15="","",ROUNDUP($BR15*config!$B$18,0))</f>
        <v/>
      </c>
      <c r="BT15" s="30" t="str">
        <f aca="false">IF($A15="","",$BR15+$BS15)</f>
        <v/>
      </c>
      <c r="BU15" s="32" t="str">
        <f aca="false">IF($A15="","",SUMIFS(invoices!$I$2:$I$151,invoices!$B$2:$B$151,$A15,invoices!$R$2:$R$151,"Y",invoices!$H$2:$H$151,"&gt;0"))</f>
        <v/>
      </c>
      <c r="BV15" s="32" t="str">
        <f aca="false">IF($A15="","",IF($BJ15="","",IF($D15="founding",$BJ15,ROUND($BJ15*config!$B$28,2))))</f>
        <v/>
      </c>
      <c r="BW15" s="30" t="str">
        <f aca="false">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30" t="str">
        <f aca="false">IF($A15="","",SUMIFS(inventory!$G$2:$G$801,inventory!$C$2:$C$801,$A15,inventory!$E$2:$E$801,"received"))</f>
        <v/>
      </c>
      <c r="BY15" s="30" t="str">
        <f aca="false">IF($A15="","",SUMIFS(inventory!$G$2:$G$801,inventory!$C$2:$C$801,$A15,inventory!$E$2:$E$801,"rejected"))</f>
        <v/>
      </c>
      <c r="BZ15" s="30" t="str">
        <f aca="false">IF($A15="","",SUMIFS(inventory!$M$2:$M$801,inventory!$C$2:$C$801,$A15))</f>
        <v/>
      </c>
      <c r="CA15" s="30" t="str">
        <f aca="false">IF($A15="","",SUMIFS(inventory!$O$2:$O$801,inventory!$C$2:$C$801,$A15))</f>
        <v/>
      </c>
      <c r="CB15" s="30" t="str">
        <f aca="false">IF($A15="","",SUMIFS(approvals!$U$2:$U$251,approvals!$A$2:$A$251,$A15))</f>
        <v/>
      </c>
      <c r="CC15" s="30" t="str">
        <f aca="false">IF($A15="","",SUMIFS(approvals!$AA$2:$AA$251,approvals!$A$2:$A$251,$A15))</f>
        <v/>
      </c>
      <c r="CD15" s="30" t="str">
        <f aca="false">IF($A15="","",SUMIFS(approvals!$AA$2:$AA$251,approvals!$A$2:$A$251,$A15,approvals!$AB$2:$AB$251,"Y"))</f>
        <v/>
      </c>
      <c r="CE15" s="34" t="str">
        <f aca="false">IF($A15="","",IF(N($CB15)=0,"",$CD15/$CB15))</f>
        <v/>
      </c>
      <c r="CF15" s="30" t="str">
        <f aca="false">IF($A15="","",SUMIFS(approvals!$AD$2:$AD$251,approvals!$A$2:$A$251,$A15))</f>
        <v/>
      </c>
      <c r="CG15" s="30" t="str">
        <f aca="false">IF($A15="","",IF(COUNTIFS(approvals!$A$2:$A$251,$A15,approvals!$Q$2:$Q$251,"Y",approvals!$AG$2:$AG$251,"")&gt;0,"",SUMIFS(approvals!$AG$2:$AG$251,approvals!$A$2:$A$251,$A15,approvals!$Q$2:$Q$251,"Y")))</f>
        <v/>
      </c>
      <c r="CH15" s="30" t="str">
        <f aca="false">IF($A15="","",SUMIFS(approvals!$AL$2:$AL$251,approvals!$A$2:$A$251,$A15,approvals!$Q$2:$Q$251,"Y"))</f>
        <v/>
      </c>
      <c r="CI15" s="30" t="str">
        <f aca="false">IF($A15="","",IF(N($BP15)=0,"",SUMPRODUCT(MIN(approvals!$BB$2:$BB$251+(approvals!$A$2:$A$251&lt;&gt;$A15)*1000000))))</f>
        <v/>
      </c>
      <c r="CJ15" s="30" t="str">
        <f aca="false">IF($A15="","",COUNTIFS(approvals!$A$2:$A$251,$A15,approvals!$Q$2:$Q$251,"Y",approvals!$AL$2:$AL$251,"&lt;"&amp;config!$B$30))</f>
        <v/>
      </c>
      <c r="CK15" s="30" t="str">
        <f aca="false">IF($A15="","",SUMIFS(approvals!$AM$2:$AM$251,approvals!$A$2:$A$251,$A15,approvals!$Q$2:$Q$251,"Y"))</f>
        <v/>
      </c>
      <c r="CL15" s="30" t="str">
        <f aca="false">IF($A15="","",SUMIFS(approvals!$AQ$2:$AQ$251,approvals!$A$2:$A$251,$A15,approvals!$Q$2:$Q$251,"Y"))</f>
        <v/>
      </c>
      <c r="CM15" s="30" t="str">
        <f aca="false">IF($A15="","",SUMIFS(approvals!$AR$2:$AR$251,approvals!$A$2:$A$251,$A15,approvals!$Q$2:$Q$251,"Y"))</f>
        <v/>
      </c>
      <c r="CN15" s="30" t="str">
        <f aca="false">IF($A15="","",SUMIFS(approvals!$AS$2:$AS$251,approvals!$A$2:$A$251,$A15,approvals!$Q$2:$Q$251,"Y"))</f>
        <v/>
      </c>
      <c r="CO15" s="30" t="str">
        <f aca="false">IF($A15="","",SUMIFS(approvals!$AT$2:$AT$251,approvals!$A$2:$A$251,$A15,approvals!$Q$2:$Q$251,"Y"))</f>
        <v/>
      </c>
      <c r="CP15" s="33" t="str">
        <f aca="false">IF($A15="","",IF(N($CO15)=0,"",ROUND(SUMIFS(approvals!$AU$2:$AU$251,approvals!$A$2:$A$251,$A15,approvals!$Q$2:$Q$251,"Y")/$CO15,1)))</f>
        <v/>
      </c>
      <c r="CQ15" s="30" t="str">
        <f aca="false">IF($A15="","",SUMIFS(approvals!$AV$2:$AV$251,approvals!$A$2:$A$251,$A15,approvals!$Q$2:$Q$251,"Y"))</f>
        <v/>
      </c>
      <c r="CR15" s="30" t="str">
        <f aca="false">IF($A15="","",SUMIFS(approvals!$AW$2:$AW$251,approvals!$A$2:$A$251,$A15,approvals!$Q$2:$Q$251,"Y"))</f>
        <v/>
      </c>
      <c r="CS15" s="30" t="str">
        <f aca="false">IF($A15="","",SUMIFS(approvals!$AX$2:$AX$251,approvals!$A$2:$A$251,$A15,approvals!$Q$2:$Q$251,"Y"))</f>
        <v/>
      </c>
      <c r="CT15" s="30" t="str">
        <f aca="false">IF($A15="","",SUMIFS(approvals!$AY$2:$AY$251,approvals!$A$2:$A$251,$A15,approvals!$Q$2:$Q$251,"Y"))</f>
        <v/>
      </c>
      <c r="CU15" s="30" t="str">
        <f aca="true">IF($A15="","",IF(OR($BG15="",$BC15&lt;&gt;""),"",IFERROR(COUNT(INDIRECT("'"&amp;$A15&amp;"'!$A$2:$A$501")),0)-IFERROR(COUNTIFS(INDIRECT("'"&amp;$A15&amp;"'!$A$2:$A$501"),"&gt;="&amp;$BG15,INDIRECT("'"&amp;$A15&amp;"'!$A$2:$A$501"),"&lt;"&amp;(IFERROR(IF(INDEX(drops!$R$2:$R$21,MATCH($B15,drops!$A$2:$A$21,0))="","",INDEX(drops!$R$2:$R$21,MATCH($B15,drops!$A$2:$A$21,0))),"")+1)),0)))</f>
        <v/>
      </c>
      <c r="CV15" s="30" t="str">
        <f aca="true">IF($A15="","",IF(OR($BG15="",$BC15&lt;&gt;""),"",IFERROR(COUNTIFS(INDIRECT("'"&amp;$A15&amp;"'!$A$2:$A$501"),"&gt;="&amp;$BG15,INDIRECT("'"&amp;$A15&amp;"'!$A$2:$A$501"),"&lt;"&amp;(IFERROR(IF(INDEX(drops!$R$2:$R$21,MATCH($B15,drops!$A$2:$A$21,0))="","",INDEX(drops!$R$2:$R$21,MATCH($B15,drops!$A$2:$A$21,0))),"")+1)),0)-N($CH15)-N($CW15)))</f>
        <v/>
      </c>
      <c r="CW15" s="30" t="str">
        <f aca="false">IF($A15="","",IF($BG15="","",SUMIFS(approvals!$AL$2:$AL$251,approvals!$A$2:$A$251,$A15,approvals!$Q$2:$Q$251,"&lt;&gt;Y")))</f>
        <v/>
      </c>
      <c r="CX15" s="30" t="str">
        <f aca="false">IF($A15="","",SUMIFS(approvals!$AN$2:$AN$251,approvals!$A$2:$A$251,$A15,approvals!$Q$2:$Q$251,"Y"))</f>
        <v/>
      </c>
      <c r="CY15" s="30" t="str">
        <f aca="false">IF($A15="","",SUMIFS(approvals!$AO$2:$AO$251,approvals!$A$2:$A$251,$A15,approvals!$Q$2:$Q$251,"Y"))</f>
        <v/>
      </c>
      <c r="CZ15" s="30" t="str">
        <f aca="false">IF($A15="","",IF($DA15="","",SUMIFS(redemptions!$C$2:$C$121,redemptions!$A$2:$A$121,$A15,redemptions!$B$2:$B$121,$DA15)))</f>
        <v/>
      </c>
      <c r="DA15" s="31" t="str">
        <f aca="false">IF($A15="","",IFERROR(1/(1/SUMPRODUCT(MAX((redemptions!$A$2:$A$121=$A15)*redemptions!$B$2:$B$121))),""))</f>
        <v/>
      </c>
      <c r="DB15" s="30" t="str">
        <f aca="false">IF($A15="","",IF(COUNTIFS(redemptions!$A$2:$A$121,$A15,redemptions!$H$2:$H$121,"Y")=0,"",SUMIFS(redemptions!$C$2:$C$121,redemptions!$A$2:$A$121,$A15,redemptions!$B$2:$B$121,SUMPRODUCT(MIN((redemptions!$A$2:$A$121=$A15)*(redemptions!$H$2:$H$121="Y")*redemptions!$B$2:$B$121+((redemptions!$A$2:$A$121&lt;&gt;$A15)+(redemptions!$H$2:$H$121&lt;&gt;"Y")&gt;0)*1000000)))))</f>
        <v/>
      </c>
      <c r="DC15" s="32" t="str">
        <f aca="false">IF($A15="","",SUMIFS(invoices!$E$2:$E$151,invoices!$B$2:$B$151,$A15))</f>
        <v/>
      </c>
      <c r="DD15" s="32" t="str">
        <f aca="false">IF($A15="","",IF(COUNTIFS(invoices!$B$2:$B$151,$A15,invoices!$C$2:$C$151,"standard_deposit",invoices!$H$2:$H$151,"&gt;0")=0,"",SUMIFS(invoices!$I$2:$I$151,invoices!$B$2:$B$151,$A15,invoices!$C$2:$C$151,"standard_deposit")))</f>
        <v/>
      </c>
      <c r="DE15" s="31" t="str">
        <f aca="false">IF($A15="","",IFERROR(1/(1/SUMPRODUCT(MAX((invoices!$B$2:$B$151=$A15)*(invoices!$C$2:$C$151="standard_deposit")*invoices!$H$2:$H$151))),""))</f>
        <v/>
      </c>
      <c r="DF15" s="31" t="str">
        <f aca="false">IF($A15="","",IFERROR(1/(1/SUMPRODUCT(MAX((invoices!$B$2:$B$151=$A15)*((invoices!$C$2:$C$151="founding_full")+(invoices!$C$2:$C$151="standard_balance"))*invoices!$H$2:$H$151))),""))</f>
        <v/>
      </c>
      <c r="DG15" s="32" t="str">
        <f aca="false">IF($A15="","",SUMIFS(invoices!$L$2:$L$151,invoices!$B$2:$B$151,$A15))</f>
        <v/>
      </c>
      <c r="DH15" s="32" t="str">
        <f aca="false">IF($A15="","",SUMIFS(costs!$E$2:$E$301,costs!$C$2:$C$301,$A15))</f>
        <v/>
      </c>
      <c r="DI15" s="32" t="str">
        <f aca="false">IF($A15="","",ROUND(IF(SUMIFS(campaigns!$BO$2:$BO$51,campaigns!$B$2:$B$51,$B15)=0,0,$BO15/SUMIFS(campaigns!$BO$2:$BO$51,campaigns!$B$2:$B$51,$B15))*(SUMIFS(costs!$E$2:$E$301,costs!$B$2:$B$301,$B15)-SUMPRODUCT((costs!$B$2:$B$301=$B15)*(LEN(costs!$C$2:$C$301)&gt;0)*costs!$E$2:$E$301)),2))</f>
        <v/>
      </c>
      <c r="DJ15" s="33" t="str">
        <f aca="false">IF($A15="","",SUMIFS(hours!$E$2:$E$1501,hours!$C$2:$C$1501,$A15))</f>
        <v/>
      </c>
      <c r="DK15" s="33" t="str">
        <f aca="false">IF($A15="","",ROUND(IF(SUMIFS(campaigns!$BO$2:$BO$51,campaigns!$B$2:$B$51,$B15)=0,0,$BO15/SUMIFS(campaigns!$BO$2:$BO$51,campaigns!$B$2:$B$51,$B15))*(SUMIFS(hours!$E$2:$E$1501,hours!$B$2:$B$1501,$B15)-SUMPRODUCT((hours!$B$2:$B$1501=$B15)*(LEN(hours!$C$2:$C$1501)&gt;0)*hours!$E$2:$E$1501)),2))</f>
        <v/>
      </c>
      <c r="DL15" s="32" t="str">
        <f aca="false">IF($A15="","",$DC15-$DG15-$DH15-$DI15)</f>
        <v/>
      </c>
      <c r="DM15" s="32" t="str">
        <f aca="false">IF($A15="","",IF(N($DJ15)+N($DK15)=0,"",ROUND($DL15/($DJ15+$DK15),2)))</f>
        <v/>
      </c>
      <c r="DN15" s="34" t="str">
        <f aca="false">IF($A15="","",IF(N($BP15)=0,"",COUNTIFS(approvals!$A$2:$A$251,$A15,approvals!$Q$2:$Q$251,"Y",approvals!$AK$2:$AK$251,"Y")/$BP15))</f>
        <v/>
      </c>
      <c r="DO15" s="33" t="str">
        <f aca="false">IF($A15="","",IF(COUNTIFS(approvals!$A$2:$A$251,$A15,approvals!$AC$2:$AC$251,"&gt;=0")=0,"",ROUND(SUMIFS(approvals!$AC$2:$AC$251,approvals!$A$2:$A$251,$A15)/COUNTIFS(approvals!$A$2:$A$251,$A15,approvals!$AC$2:$AC$251,"&gt;=0"),1)))</f>
        <v/>
      </c>
      <c r="DP15" s="31" t="str">
        <f aca="false">IF($A15="","",IFERROR(IF(INDEX(drops!$T$2:$T$21,MATCH($B15,drops!$A$2:$A$21,0))="","",INDEX(drops!$T$2:$T$21,MATCH($B15,drops!$A$2:$A$21,0))),""))</f>
        <v/>
      </c>
      <c r="DQ15" s="31" t="str">
        <f aca="false">IF($A15="","",IFERROR(IF(INDEX(drops!$U$2:$U$21,MATCH($B15,drops!$A$2:$A$21,0))="","",INDEX(drops!$U$2:$U$21,MATCH($B15,drops!$A$2:$A$21,0))),""))</f>
        <v/>
      </c>
      <c r="DR15" s="31" t="str">
        <f aca="false">IF($A15="","",IFERROR(IF(INDEX(drops!$W$2:$W$21,MATCH($B15,drops!$A$2:$A$21,0))="","",INDEX(drops!$W$2:$W$21,MATCH($B15,drops!$A$2:$A$21,0))),""))</f>
        <v/>
      </c>
      <c r="DS15" s="30" t="str">
        <f aca="false">IF($A15="","",IF($CE15="","",IF($CE15&gt;=config!$B$31,"pass","miss")))</f>
        <v/>
      </c>
      <c r="DT15" s="30" t="str">
        <f aca="false">IF($A15="","",IF($CI15="","",IF($CI15&gt;=config!$B$30,"pass","miss")))</f>
        <v/>
      </c>
      <c r="DU15" s="30" t="str">
        <f aca="true">IF($A15="","",IF($AT15="",IF($DP15="","",IF(IF(config!$B$37&lt;&gt;"",config!$B$37,TODAY())&gt;$DP15,"late","due")),IF($AT15&lt;=$DP15,"pass","late")))</f>
        <v/>
      </c>
      <c r="DV15" s="30" t="str">
        <f aca="false">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ustomFormat="false" ht="15" hidden="false" customHeight="false" outlineLevel="0" collapsed="false">
      <c r="D16" s="10"/>
      <c r="G16" s="12"/>
      <c r="H16" s="11"/>
      <c r="M16" s="10"/>
      <c r="Y16" s="10"/>
      <c r="Z16" s="10"/>
      <c r="AB16" s="11"/>
      <c r="AC16" s="11"/>
      <c r="AD16" s="11"/>
      <c r="AF16" s="11"/>
      <c r="AG16" s="11"/>
      <c r="AT16" s="11"/>
      <c r="AU16" s="11"/>
      <c r="AV16" s="10"/>
      <c r="AW16" s="10"/>
      <c r="AY16" s="11"/>
      <c r="BA16" s="11"/>
      <c r="BB16" s="11"/>
      <c r="BC16" s="11"/>
      <c r="BE16" s="30" t="str">
        <f aca="false">IF($A16="","",IFERROR(IF(INDEX(brands!$K$2:$K$41,MATCH($C16,brands!$A$2:$A$41,0))="","",INDEX(brands!$K$2:$K$41,MATCH($C16,brands!$A$2:$A$41,0))),""))</f>
        <v/>
      </c>
      <c r="BF16" s="30" t="str">
        <f aca="false">IF($A16="","",IFERROR(IF(INDEX(brands!$M$2:$M$41,MATCH($C16,brands!$A$2:$A$41,0))="","",INDEX(brands!$M$2:$M$41,MATCH($C16,brands!$A$2:$A$41,0))),""))</f>
        <v/>
      </c>
      <c r="BG16" s="31" t="str">
        <f aca="false">IF($A16="","",IF(IFERROR(IF(INDEX(drops!$I$2:$I$21,MATCH($B16,drops!$A$2:$A$21,0))="","",INDEX(drops!$I$2:$I$21,MATCH($B16,drops!$A$2:$A$21,0))),"")="OK",IFERROR(IF(INDEX(drops!$B$2:$B$21,MATCH($B16,drops!$A$2:$A$21,0))="","",INDEX(drops!$B$2:$B$21,MATCH($B16,drops!$A$2:$A$21,0))),""),""))</f>
        <v/>
      </c>
      <c r="BH16" s="30" t="str">
        <f aca="false">IF($A16="","",IFERROR(IF(INDEX(drops!$C$2:$C$21,MATCH($B16,drops!$A$2:$A$21,0))="","",INDEX(drops!$C$2:$C$21,MATCH($B16,drops!$A$2:$A$21,0))),""))</f>
        <v/>
      </c>
      <c r="BI16" s="32" t="str">
        <f aca="false">IF($A16="","",IF($F16="","",IF($D16="founding",IF($E16="Y",config!$B$25*MIN($F16,config!$B$26)+config!$B$24*MAX(0,$F16-config!$B$26),config!$B$20+config!$B$24*MAX(0,$F16-config!$B$21)),IF($D16="standard",config!$B$22+config!$B$24*MAX(0,$F16-config!$B$23),""))))</f>
        <v/>
      </c>
      <c r="BJ16" s="32" t="str">
        <f aca="false">IF($A16="","",IF($G16&lt;&gt;"",$G16,$BI16))</f>
        <v/>
      </c>
      <c r="BK16" s="30" t="str">
        <f aca="false">IF($A16="","",IF($D16="founding","100% within "&amp;config!$B$27&amp;" business days of the invoice, before shipping",IF($D16="standard","50% on signing; 50% at placement confirmation (T+1)","")))</f>
        <v/>
      </c>
      <c r="BL16" s="31" t="str">
        <f aca="false">IF($A16="","",IFERROR(IF(INDEX(drops!$K$2:$K$21,MATCH($B16,drops!$A$2:$A$21,0))="","",INDEX(drops!$K$2:$K$21,MATCH($B16,drops!$A$2:$A$21,0))),""))</f>
        <v/>
      </c>
      <c r="BM16" s="31" t="str">
        <f aca="false">IF($A16="","",IFERROR(IF(INDEX(drops!$L$2:$L$21,MATCH($B16,drops!$A$2:$A$21,0))="","",INDEX(drops!$L$2:$L$21,MATCH($B16,drops!$A$2:$A$21,0))),""))</f>
        <v/>
      </c>
      <c r="BN16" s="30" t="str">
        <f aca="false">IF($A16="","",COUNTIF(approvals!$A$2:$A$251,$A16))</f>
        <v/>
      </c>
      <c r="BO16" s="30" t="str">
        <f aca="false">IF($A16="","",COUNTIFS(approvals!$A$2:$A$251,$A16,approvals!$P$2:$P$251,"Y"))</f>
        <v/>
      </c>
      <c r="BP16" s="30" t="str">
        <f aca="false">IF($A16="","",COUNTIFS(approvals!$A$2:$A$251,$A16,approvals!$Q$2:$Q$251,"Y"))</f>
        <v/>
      </c>
      <c r="BQ16" s="30" t="str">
        <f aca="false">IF($A16="","",COUNTIFS(approvals!$A$2:$A$251,$A16,approvals!$P$2:$P$251,"pending"))</f>
        <v/>
      </c>
      <c r="BR16" s="30" t="str">
        <f aca="false">IF($A16="","",SUMIFS(approvals!$S$2:$S$251,approvals!$A$2:$A$251,$A16,approvals!$P$2:$P$251,"Y"))</f>
        <v/>
      </c>
      <c r="BS16" s="30" t="str">
        <f aca="false">IF($A16="","",ROUNDUP($BR16*config!$B$18,0))</f>
        <v/>
      </c>
      <c r="BT16" s="30" t="str">
        <f aca="false">IF($A16="","",$BR16+$BS16)</f>
        <v/>
      </c>
      <c r="BU16" s="32" t="str">
        <f aca="false">IF($A16="","",SUMIFS(invoices!$I$2:$I$151,invoices!$B$2:$B$151,$A16,invoices!$R$2:$R$151,"Y",invoices!$H$2:$H$151,"&gt;0"))</f>
        <v/>
      </c>
      <c r="BV16" s="32" t="str">
        <f aca="false">IF($A16="","",IF($BJ16="","",IF($D16="founding",$BJ16,ROUND($BJ16*config!$B$28,2))))</f>
        <v/>
      </c>
      <c r="BW16" s="30" t="str">
        <f aca="false">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30" t="str">
        <f aca="false">IF($A16="","",SUMIFS(inventory!$G$2:$G$801,inventory!$C$2:$C$801,$A16,inventory!$E$2:$E$801,"received"))</f>
        <v/>
      </c>
      <c r="BY16" s="30" t="str">
        <f aca="false">IF($A16="","",SUMIFS(inventory!$G$2:$G$801,inventory!$C$2:$C$801,$A16,inventory!$E$2:$E$801,"rejected"))</f>
        <v/>
      </c>
      <c r="BZ16" s="30" t="str">
        <f aca="false">IF($A16="","",SUMIFS(inventory!$M$2:$M$801,inventory!$C$2:$C$801,$A16))</f>
        <v/>
      </c>
      <c r="CA16" s="30" t="str">
        <f aca="false">IF($A16="","",SUMIFS(inventory!$O$2:$O$801,inventory!$C$2:$C$801,$A16))</f>
        <v/>
      </c>
      <c r="CB16" s="30" t="str">
        <f aca="false">IF($A16="","",SUMIFS(approvals!$U$2:$U$251,approvals!$A$2:$A$251,$A16))</f>
        <v/>
      </c>
      <c r="CC16" s="30" t="str">
        <f aca="false">IF($A16="","",SUMIFS(approvals!$AA$2:$AA$251,approvals!$A$2:$A$251,$A16))</f>
        <v/>
      </c>
      <c r="CD16" s="30" t="str">
        <f aca="false">IF($A16="","",SUMIFS(approvals!$AA$2:$AA$251,approvals!$A$2:$A$251,$A16,approvals!$AB$2:$AB$251,"Y"))</f>
        <v/>
      </c>
      <c r="CE16" s="34" t="str">
        <f aca="false">IF($A16="","",IF(N($CB16)=0,"",$CD16/$CB16))</f>
        <v/>
      </c>
      <c r="CF16" s="30" t="str">
        <f aca="false">IF($A16="","",SUMIFS(approvals!$AD$2:$AD$251,approvals!$A$2:$A$251,$A16))</f>
        <v/>
      </c>
      <c r="CG16" s="30" t="str">
        <f aca="false">IF($A16="","",IF(COUNTIFS(approvals!$A$2:$A$251,$A16,approvals!$Q$2:$Q$251,"Y",approvals!$AG$2:$AG$251,"")&gt;0,"",SUMIFS(approvals!$AG$2:$AG$251,approvals!$A$2:$A$251,$A16,approvals!$Q$2:$Q$251,"Y")))</f>
        <v/>
      </c>
      <c r="CH16" s="30" t="str">
        <f aca="false">IF($A16="","",SUMIFS(approvals!$AL$2:$AL$251,approvals!$A$2:$A$251,$A16,approvals!$Q$2:$Q$251,"Y"))</f>
        <v/>
      </c>
      <c r="CI16" s="30" t="str">
        <f aca="false">IF($A16="","",IF(N($BP16)=0,"",SUMPRODUCT(MIN(approvals!$BB$2:$BB$251+(approvals!$A$2:$A$251&lt;&gt;$A16)*1000000))))</f>
        <v/>
      </c>
      <c r="CJ16" s="30" t="str">
        <f aca="false">IF($A16="","",COUNTIFS(approvals!$A$2:$A$251,$A16,approvals!$Q$2:$Q$251,"Y",approvals!$AL$2:$AL$251,"&lt;"&amp;config!$B$30))</f>
        <v/>
      </c>
      <c r="CK16" s="30" t="str">
        <f aca="false">IF($A16="","",SUMIFS(approvals!$AM$2:$AM$251,approvals!$A$2:$A$251,$A16,approvals!$Q$2:$Q$251,"Y"))</f>
        <v/>
      </c>
      <c r="CL16" s="30" t="str">
        <f aca="false">IF($A16="","",SUMIFS(approvals!$AQ$2:$AQ$251,approvals!$A$2:$A$251,$A16,approvals!$Q$2:$Q$251,"Y"))</f>
        <v/>
      </c>
      <c r="CM16" s="30" t="str">
        <f aca="false">IF($A16="","",SUMIFS(approvals!$AR$2:$AR$251,approvals!$A$2:$A$251,$A16,approvals!$Q$2:$Q$251,"Y"))</f>
        <v/>
      </c>
      <c r="CN16" s="30" t="str">
        <f aca="false">IF($A16="","",SUMIFS(approvals!$AS$2:$AS$251,approvals!$A$2:$A$251,$A16,approvals!$Q$2:$Q$251,"Y"))</f>
        <v/>
      </c>
      <c r="CO16" s="30" t="str">
        <f aca="false">IF($A16="","",SUMIFS(approvals!$AT$2:$AT$251,approvals!$A$2:$A$251,$A16,approvals!$Q$2:$Q$251,"Y"))</f>
        <v/>
      </c>
      <c r="CP16" s="33" t="str">
        <f aca="false">IF($A16="","",IF(N($CO16)=0,"",ROUND(SUMIFS(approvals!$AU$2:$AU$251,approvals!$A$2:$A$251,$A16,approvals!$Q$2:$Q$251,"Y")/$CO16,1)))</f>
        <v/>
      </c>
      <c r="CQ16" s="30" t="str">
        <f aca="false">IF($A16="","",SUMIFS(approvals!$AV$2:$AV$251,approvals!$A$2:$A$251,$A16,approvals!$Q$2:$Q$251,"Y"))</f>
        <v/>
      </c>
      <c r="CR16" s="30" t="str">
        <f aca="false">IF($A16="","",SUMIFS(approvals!$AW$2:$AW$251,approvals!$A$2:$A$251,$A16,approvals!$Q$2:$Q$251,"Y"))</f>
        <v/>
      </c>
      <c r="CS16" s="30" t="str">
        <f aca="false">IF($A16="","",SUMIFS(approvals!$AX$2:$AX$251,approvals!$A$2:$A$251,$A16,approvals!$Q$2:$Q$251,"Y"))</f>
        <v/>
      </c>
      <c r="CT16" s="30" t="str">
        <f aca="false">IF($A16="","",SUMIFS(approvals!$AY$2:$AY$251,approvals!$A$2:$A$251,$A16,approvals!$Q$2:$Q$251,"Y"))</f>
        <v/>
      </c>
      <c r="CU16" s="30" t="str">
        <f aca="true">IF($A16="","",IF(OR($BG16="",$BC16&lt;&gt;""),"",IFERROR(COUNT(INDIRECT("'"&amp;$A16&amp;"'!$A$2:$A$501")),0)-IFERROR(COUNTIFS(INDIRECT("'"&amp;$A16&amp;"'!$A$2:$A$501"),"&gt;="&amp;$BG16,INDIRECT("'"&amp;$A16&amp;"'!$A$2:$A$501"),"&lt;"&amp;(IFERROR(IF(INDEX(drops!$R$2:$R$21,MATCH($B16,drops!$A$2:$A$21,0))="","",INDEX(drops!$R$2:$R$21,MATCH($B16,drops!$A$2:$A$21,0))),"")+1)),0)))</f>
        <v/>
      </c>
      <c r="CV16" s="30" t="str">
        <f aca="true">IF($A16="","",IF(OR($BG16="",$BC16&lt;&gt;""),"",IFERROR(COUNTIFS(INDIRECT("'"&amp;$A16&amp;"'!$A$2:$A$501"),"&gt;="&amp;$BG16,INDIRECT("'"&amp;$A16&amp;"'!$A$2:$A$501"),"&lt;"&amp;(IFERROR(IF(INDEX(drops!$R$2:$R$21,MATCH($B16,drops!$A$2:$A$21,0))="","",INDEX(drops!$R$2:$R$21,MATCH($B16,drops!$A$2:$A$21,0))),"")+1)),0)-N($CH16)-N($CW16)))</f>
        <v/>
      </c>
      <c r="CW16" s="30" t="str">
        <f aca="false">IF($A16="","",IF($BG16="","",SUMIFS(approvals!$AL$2:$AL$251,approvals!$A$2:$A$251,$A16,approvals!$Q$2:$Q$251,"&lt;&gt;Y")))</f>
        <v/>
      </c>
      <c r="CX16" s="30" t="str">
        <f aca="false">IF($A16="","",SUMIFS(approvals!$AN$2:$AN$251,approvals!$A$2:$A$251,$A16,approvals!$Q$2:$Q$251,"Y"))</f>
        <v/>
      </c>
      <c r="CY16" s="30" t="str">
        <f aca="false">IF($A16="","",SUMIFS(approvals!$AO$2:$AO$251,approvals!$A$2:$A$251,$A16,approvals!$Q$2:$Q$251,"Y"))</f>
        <v/>
      </c>
      <c r="CZ16" s="30" t="str">
        <f aca="false">IF($A16="","",IF($DA16="","",SUMIFS(redemptions!$C$2:$C$121,redemptions!$A$2:$A$121,$A16,redemptions!$B$2:$B$121,$DA16)))</f>
        <v/>
      </c>
      <c r="DA16" s="31" t="str">
        <f aca="false">IF($A16="","",IFERROR(1/(1/SUMPRODUCT(MAX((redemptions!$A$2:$A$121=$A16)*redemptions!$B$2:$B$121))),""))</f>
        <v/>
      </c>
      <c r="DB16" s="30" t="str">
        <f aca="false">IF($A16="","",IF(COUNTIFS(redemptions!$A$2:$A$121,$A16,redemptions!$H$2:$H$121,"Y")=0,"",SUMIFS(redemptions!$C$2:$C$121,redemptions!$A$2:$A$121,$A16,redemptions!$B$2:$B$121,SUMPRODUCT(MIN((redemptions!$A$2:$A$121=$A16)*(redemptions!$H$2:$H$121="Y")*redemptions!$B$2:$B$121+((redemptions!$A$2:$A$121&lt;&gt;$A16)+(redemptions!$H$2:$H$121&lt;&gt;"Y")&gt;0)*1000000)))))</f>
        <v/>
      </c>
      <c r="DC16" s="32" t="str">
        <f aca="false">IF($A16="","",SUMIFS(invoices!$E$2:$E$151,invoices!$B$2:$B$151,$A16))</f>
        <v/>
      </c>
      <c r="DD16" s="32" t="str">
        <f aca="false">IF($A16="","",IF(COUNTIFS(invoices!$B$2:$B$151,$A16,invoices!$C$2:$C$151,"standard_deposit",invoices!$H$2:$H$151,"&gt;0")=0,"",SUMIFS(invoices!$I$2:$I$151,invoices!$B$2:$B$151,$A16,invoices!$C$2:$C$151,"standard_deposit")))</f>
        <v/>
      </c>
      <c r="DE16" s="31" t="str">
        <f aca="false">IF($A16="","",IFERROR(1/(1/SUMPRODUCT(MAX((invoices!$B$2:$B$151=$A16)*(invoices!$C$2:$C$151="standard_deposit")*invoices!$H$2:$H$151))),""))</f>
        <v/>
      </c>
      <c r="DF16" s="31" t="str">
        <f aca="false">IF($A16="","",IFERROR(1/(1/SUMPRODUCT(MAX((invoices!$B$2:$B$151=$A16)*((invoices!$C$2:$C$151="founding_full")+(invoices!$C$2:$C$151="standard_balance"))*invoices!$H$2:$H$151))),""))</f>
        <v/>
      </c>
      <c r="DG16" s="32" t="str">
        <f aca="false">IF($A16="","",SUMIFS(invoices!$L$2:$L$151,invoices!$B$2:$B$151,$A16))</f>
        <v/>
      </c>
      <c r="DH16" s="32" t="str">
        <f aca="false">IF($A16="","",SUMIFS(costs!$E$2:$E$301,costs!$C$2:$C$301,$A16))</f>
        <v/>
      </c>
      <c r="DI16" s="32" t="str">
        <f aca="false">IF($A16="","",ROUND(IF(SUMIFS(campaigns!$BO$2:$BO$51,campaigns!$B$2:$B$51,$B16)=0,0,$BO16/SUMIFS(campaigns!$BO$2:$BO$51,campaigns!$B$2:$B$51,$B16))*(SUMIFS(costs!$E$2:$E$301,costs!$B$2:$B$301,$B16)-SUMPRODUCT((costs!$B$2:$B$301=$B16)*(LEN(costs!$C$2:$C$301)&gt;0)*costs!$E$2:$E$301)),2))</f>
        <v/>
      </c>
      <c r="DJ16" s="33" t="str">
        <f aca="false">IF($A16="","",SUMIFS(hours!$E$2:$E$1501,hours!$C$2:$C$1501,$A16))</f>
        <v/>
      </c>
      <c r="DK16" s="33" t="str">
        <f aca="false">IF($A16="","",ROUND(IF(SUMIFS(campaigns!$BO$2:$BO$51,campaigns!$B$2:$B$51,$B16)=0,0,$BO16/SUMIFS(campaigns!$BO$2:$BO$51,campaigns!$B$2:$B$51,$B16))*(SUMIFS(hours!$E$2:$E$1501,hours!$B$2:$B$1501,$B16)-SUMPRODUCT((hours!$B$2:$B$1501=$B16)*(LEN(hours!$C$2:$C$1501)&gt;0)*hours!$E$2:$E$1501)),2))</f>
        <v/>
      </c>
      <c r="DL16" s="32" t="str">
        <f aca="false">IF($A16="","",$DC16-$DG16-$DH16-$DI16)</f>
        <v/>
      </c>
      <c r="DM16" s="32" t="str">
        <f aca="false">IF($A16="","",IF(N($DJ16)+N($DK16)=0,"",ROUND($DL16/($DJ16+$DK16),2)))</f>
        <v/>
      </c>
      <c r="DN16" s="34" t="str">
        <f aca="false">IF($A16="","",IF(N($BP16)=0,"",COUNTIFS(approvals!$A$2:$A$251,$A16,approvals!$Q$2:$Q$251,"Y",approvals!$AK$2:$AK$251,"Y")/$BP16))</f>
        <v/>
      </c>
      <c r="DO16" s="33" t="str">
        <f aca="false">IF($A16="","",IF(COUNTIFS(approvals!$A$2:$A$251,$A16,approvals!$AC$2:$AC$251,"&gt;=0")=0,"",ROUND(SUMIFS(approvals!$AC$2:$AC$251,approvals!$A$2:$A$251,$A16)/COUNTIFS(approvals!$A$2:$A$251,$A16,approvals!$AC$2:$AC$251,"&gt;=0"),1)))</f>
        <v/>
      </c>
      <c r="DP16" s="31" t="str">
        <f aca="false">IF($A16="","",IFERROR(IF(INDEX(drops!$T$2:$T$21,MATCH($B16,drops!$A$2:$A$21,0))="","",INDEX(drops!$T$2:$T$21,MATCH($B16,drops!$A$2:$A$21,0))),""))</f>
        <v/>
      </c>
      <c r="DQ16" s="31" t="str">
        <f aca="false">IF($A16="","",IFERROR(IF(INDEX(drops!$U$2:$U$21,MATCH($B16,drops!$A$2:$A$21,0))="","",INDEX(drops!$U$2:$U$21,MATCH($B16,drops!$A$2:$A$21,0))),""))</f>
        <v/>
      </c>
      <c r="DR16" s="31" t="str">
        <f aca="false">IF($A16="","",IFERROR(IF(INDEX(drops!$W$2:$W$21,MATCH($B16,drops!$A$2:$A$21,0))="","",INDEX(drops!$W$2:$W$21,MATCH($B16,drops!$A$2:$A$21,0))),""))</f>
        <v/>
      </c>
      <c r="DS16" s="30" t="str">
        <f aca="false">IF($A16="","",IF($CE16="","",IF($CE16&gt;=config!$B$31,"pass","miss")))</f>
        <v/>
      </c>
      <c r="DT16" s="30" t="str">
        <f aca="false">IF($A16="","",IF($CI16="","",IF($CI16&gt;=config!$B$30,"pass","miss")))</f>
        <v/>
      </c>
      <c r="DU16" s="30" t="str">
        <f aca="true">IF($A16="","",IF($AT16="",IF($DP16="","",IF(IF(config!$B$37&lt;&gt;"",config!$B$37,TODAY())&gt;$DP16,"late","due")),IF($AT16&lt;=$DP16,"pass","late")))</f>
        <v/>
      </c>
      <c r="DV16" s="30" t="str">
        <f aca="false">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ustomFormat="false" ht="15" hidden="false" customHeight="false" outlineLevel="0" collapsed="false">
      <c r="D17" s="10"/>
      <c r="G17" s="12"/>
      <c r="H17" s="11"/>
      <c r="M17" s="10"/>
      <c r="Y17" s="10"/>
      <c r="Z17" s="10"/>
      <c r="AB17" s="11"/>
      <c r="AC17" s="11"/>
      <c r="AD17" s="11"/>
      <c r="AF17" s="11"/>
      <c r="AG17" s="11"/>
      <c r="AT17" s="11"/>
      <c r="AU17" s="11"/>
      <c r="AV17" s="10"/>
      <c r="AW17" s="10"/>
      <c r="AY17" s="11"/>
      <c r="BA17" s="11"/>
      <c r="BB17" s="11"/>
      <c r="BC17" s="11"/>
      <c r="BE17" s="30" t="str">
        <f aca="false">IF($A17="","",IFERROR(IF(INDEX(brands!$K$2:$K$41,MATCH($C17,brands!$A$2:$A$41,0))="","",INDEX(brands!$K$2:$K$41,MATCH($C17,brands!$A$2:$A$41,0))),""))</f>
        <v/>
      </c>
      <c r="BF17" s="30" t="str">
        <f aca="false">IF($A17="","",IFERROR(IF(INDEX(brands!$M$2:$M$41,MATCH($C17,brands!$A$2:$A$41,0))="","",INDEX(brands!$M$2:$M$41,MATCH($C17,brands!$A$2:$A$41,0))),""))</f>
        <v/>
      </c>
      <c r="BG17" s="31" t="str">
        <f aca="false">IF($A17="","",IF(IFERROR(IF(INDEX(drops!$I$2:$I$21,MATCH($B17,drops!$A$2:$A$21,0))="","",INDEX(drops!$I$2:$I$21,MATCH($B17,drops!$A$2:$A$21,0))),"")="OK",IFERROR(IF(INDEX(drops!$B$2:$B$21,MATCH($B17,drops!$A$2:$A$21,0))="","",INDEX(drops!$B$2:$B$21,MATCH($B17,drops!$A$2:$A$21,0))),""),""))</f>
        <v/>
      </c>
      <c r="BH17" s="30" t="str">
        <f aca="false">IF($A17="","",IFERROR(IF(INDEX(drops!$C$2:$C$21,MATCH($B17,drops!$A$2:$A$21,0))="","",INDEX(drops!$C$2:$C$21,MATCH($B17,drops!$A$2:$A$21,0))),""))</f>
        <v/>
      </c>
      <c r="BI17" s="32" t="str">
        <f aca="false">IF($A17="","",IF($F17="","",IF($D17="founding",IF($E17="Y",config!$B$25*MIN($F17,config!$B$26)+config!$B$24*MAX(0,$F17-config!$B$26),config!$B$20+config!$B$24*MAX(0,$F17-config!$B$21)),IF($D17="standard",config!$B$22+config!$B$24*MAX(0,$F17-config!$B$23),""))))</f>
        <v/>
      </c>
      <c r="BJ17" s="32" t="str">
        <f aca="false">IF($A17="","",IF($G17&lt;&gt;"",$G17,$BI17))</f>
        <v/>
      </c>
      <c r="BK17" s="30" t="str">
        <f aca="false">IF($A17="","",IF($D17="founding","100% within "&amp;config!$B$27&amp;" business days of the invoice, before shipping",IF($D17="standard","50% on signing; 50% at placement confirmation (T+1)","")))</f>
        <v/>
      </c>
      <c r="BL17" s="31" t="str">
        <f aca="false">IF($A17="","",IFERROR(IF(INDEX(drops!$K$2:$K$21,MATCH($B17,drops!$A$2:$A$21,0))="","",INDEX(drops!$K$2:$K$21,MATCH($B17,drops!$A$2:$A$21,0))),""))</f>
        <v/>
      </c>
      <c r="BM17" s="31" t="str">
        <f aca="false">IF($A17="","",IFERROR(IF(INDEX(drops!$L$2:$L$21,MATCH($B17,drops!$A$2:$A$21,0))="","",INDEX(drops!$L$2:$L$21,MATCH($B17,drops!$A$2:$A$21,0))),""))</f>
        <v/>
      </c>
      <c r="BN17" s="30" t="str">
        <f aca="false">IF($A17="","",COUNTIF(approvals!$A$2:$A$251,$A17))</f>
        <v/>
      </c>
      <c r="BO17" s="30" t="str">
        <f aca="false">IF($A17="","",COUNTIFS(approvals!$A$2:$A$251,$A17,approvals!$P$2:$P$251,"Y"))</f>
        <v/>
      </c>
      <c r="BP17" s="30" t="str">
        <f aca="false">IF($A17="","",COUNTIFS(approvals!$A$2:$A$251,$A17,approvals!$Q$2:$Q$251,"Y"))</f>
        <v/>
      </c>
      <c r="BQ17" s="30" t="str">
        <f aca="false">IF($A17="","",COUNTIFS(approvals!$A$2:$A$251,$A17,approvals!$P$2:$P$251,"pending"))</f>
        <v/>
      </c>
      <c r="BR17" s="30" t="str">
        <f aca="false">IF($A17="","",SUMIFS(approvals!$S$2:$S$251,approvals!$A$2:$A$251,$A17,approvals!$P$2:$P$251,"Y"))</f>
        <v/>
      </c>
      <c r="BS17" s="30" t="str">
        <f aca="false">IF($A17="","",ROUNDUP($BR17*config!$B$18,0))</f>
        <v/>
      </c>
      <c r="BT17" s="30" t="str">
        <f aca="false">IF($A17="","",$BR17+$BS17)</f>
        <v/>
      </c>
      <c r="BU17" s="32" t="str">
        <f aca="false">IF($A17="","",SUMIFS(invoices!$I$2:$I$151,invoices!$B$2:$B$151,$A17,invoices!$R$2:$R$151,"Y",invoices!$H$2:$H$151,"&gt;0"))</f>
        <v/>
      </c>
      <c r="BV17" s="32" t="str">
        <f aca="false">IF($A17="","",IF($BJ17="","",IF($D17="founding",$BJ17,ROUND($BJ17*config!$B$28,2))))</f>
        <v/>
      </c>
      <c r="BW17" s="30" t="str">
        <f aca="false">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30" t="str">
        <f aca="false">IF($A17="","",SUMIFS(inventory!$G$2:$G$801,inventory!$C$2:$C$801,$A17,inventory!$E$2:$E$801,"received"))</f>
        <v/>
      </c>
      <c r="BY17" s="30" t="str">
        <f aca="false">IF($A17="","",SUMIFS(inventory!$G$2:$G$801,inventory!$C$2:$C$801,$A17,inventory!$E$2:$E$801,"rejected"))</f>
        <v/>
      </c>
      <c r="BZ17" s="30" t="str">
        <f aca="false">IF($A17="","",SUMIFS(inventory!$M$2:$M$801,inventory!$C$2:$C$801,$A17))</f>
        <v/>
      </c>
      <c r="CA17" s="30" t="str">
        <f aca="false">IF($A17="","",SUMIFS(inventory!$O$2:$O$801,inventory!$C$2:$C$801,$A17))</f>
        <v/>
      </c>
      <c r="CB17" s="30" t="str">
        <f aca="false">IF($A17="","",SUMIFS(approvals!$U$2:$U$251,approvals!$A$2:$A$251,$A17))</f>
        <v/>
      </c>
      <c r="CC17" s="30" t="str">
        <f aca="false">IF($A17="","",SUMIFS(approvals!$AA$2:$AA$251,approvals!$A$2:$A$251,$A17))</f>
        <v/>
      </c>
      <c r="CD17" s="30" t="str">
        <f aca="false">IF($A17="","",SUMIFS(approvals!$AA$2:$AA$251,approvals!$A$2:$A$251,$A17,approvals!$AB$2:$AB$251,"Y"))</f>
        <v/>
      </c>
      <c r="CE17" s="34" t="str">
        <f aca="false">IF($A17="","",IF(N($CB17)=0,"",$CD17/$CB17))</f>
        <v/>
      </c>
      <c r="CF17" s="30" t="str">
        <f aca="false">IF($A17="","",SUMIFS(approvals!$AD$2:$AD$251,approvals!$A$2:$A$251,$A17))</f>
        <v/>
      </c>
      <c r="CG17" s="30" t="str">
        <f aca="false">IF($A17="","",IF(COUNTIFS(approvals!$A$2:$A$251,$A17,approvals!$Q$2:$Q$251,"Y",approvals!$AG$2:$AG$251,"")&gt;0,"",SUMIFS(approvals!$AG$2:$AG$251,approvals!$A$2:$A$251,$A17,approvals!$Q$2:$Q$251,"Y")))</f>
        <v/>
      </c>
      <c r="CH17" s="30" t="str">
        <f aca="false">IF($A17="","",SUMIFS(approvals!$AL$2:$AL$251,approvals!$A$2:$A$251,$A17,approvals!$Q$2:$Q$251,"Y"))</f>
        <v/>
      </c>
      <c r="CI17" s="30" t="str">
        <f aca="false">IF($A17="","",IF(N($BP17)=0,"",SUMPRODUCT(MIN(approvals!$BB$2:$BB$251+(approvals!$A$2:$A$251&lt;&gt;$A17)*1000000))))</f>
        <v/>
      </c>
      <c r="CJ17" s="30" t="str">
        <f aca="false">IF($A17="","",COUNTIFS(approvals!$A$2:$A$251,$A17,approvals!$Q$2:$Q$251,"Y",approvals!$AL$2:$AL$251,"&lt;"&amp;config!$B$30))</f>
        <v/>
      </c>
      <c r="CK17" s="30" t="str">
        <f aca="false">IF($A17="","",SUMIFS(approvals!$AM$2:$AM$251,approvals!$A$2:$A$251,$A17,approvals!$Q$2:$Q$251,"Y"))</f>
        <v/>
      </c>
      <c r="CL17" s="30" t="str">
        <f aca="false">IF($A17="","",SUMIFS(approvals!$AQ$2:$AQ$251,approvals!$A$2:$A$251,$A17,approvals!$Q$2:$Q$251,"Y"))</f>
        <v/>
      </c>
      <c r="CM17" s="30" t="str">
        <f aca="false">IF($A17="","",SUMIFS(approvals!$AR$2:$AR$251,approvals!$A$2:$A$251,$A17,approvals!$Q$2:$Q$251,"Y"))</f>
        <v/>
      </c>
      <c r="CN17" s="30" t="str">
        <f aca="false">IF($A17="","",SUMIFS(approvals!$AS$2:$AS$251,approvals!$A$2:$A$251,$A17,approvals!$Q$2:$Q$251,"Y"))</f>
        <v/>
      </c>
      <c r="CO17" s="30" t="str">
        <f aca="false">IF($A17="","",SUMIFS(approvals!$AT$2:$AT$251,approvals!$A$2:$A$251,$A17,approvals!$Q$2:$Q$251,"Y"))</f>
        <v/>
      </c>
      <c r="CP17" s="33" t="str">
        <f aca="false">IF($A17="","",IF(N($CO17)=0,"",ROUND(SUMIFS(approvals!$AU$2:$AU$251,approvals!$A$2:$A$251,$A17,approvals!$Q$2:$Q$251,"Y")/$CO17,1)))</f>
        <v/>
      </c>
      <c r="CQ17" s="30" t="str">
        <f aca="false">IF($A17="","",SUMIFS(approvals!$AV$2:$AV$251,approvals!$A$2:$A$251,$A17,approvals!$Q$2:$Q$251,"Y"))</f>
        <v/>
      </c>
      <c r="CR17" s="30" t="str">
        <f aca="false">IF($A17="","",SUMIFS(approvals!$AW$2:$AW$251,approvals!$A$2:$A$251,$A17,approvals!$Q$2:$Q$251,"Y"))</f>
        <v/>
      </c>
      <c r="CS17" s="30" t="str">
        <f aca="false">IF($A17="","",SUMIFS(approvals!$AX$2:$AX$251,approvals!$A$2:$A$251,$A17,approvals!$Q$2:$Q$251,"Y"))</f>
        <v/>
      </c>
      <c r="CT17" s="30" t="str">
        <f aca="false">IF($A17="","",SUMIFS(approvals!$AY$2:$AY$251,approvals!$A$2:$A$251,$A17,approvals!$Q$2:$Q$251,"Y"))</f>
        <v/>
      </c>
      <c r="CU17" s="30" t="str">
        <f aca="true">IF($A17="","",IF(OR($BG17="",$BC17&lt;&gt;""),"",IFERROR(COUNT(INDIRECT("'"&amp;$A17&amp;"'!$A$2:$A$501")),0)-IFERROR(COUNTIFS(INDIRECT("'"&amp;$A17&amp;"'!$A$2:$A$501"),"&gt;="&amp;$BG17,INDIRECT("'"&amp;$A17&amp;"'!$A$2:$A$501"),"&lt;"&amp;(IFERROR(IF(INDEX(drops!$R$2:$R$21,MATCH($B17,drops!$A$2:$A$21,0))="","",INDEX(drops!$R$2:$R$21,MATCH($B17,drops!$A$2:$A$21,0))),"")+1)),0)))</f>
        <v/>
      </c>
      <c r="CV17" s="30" t="str">
        <f aca="true">IF($A17="","",IF(OR($BG17="",$BC17&lt;&gt;""),"",IFERROR(COUNTIFS(INDIRECT("'"&amp;$A17&amp;"'!$A$2:$A$501"),"&gt;="&amp;$BG17,INDIRECT("'"&amp;$A17&amp;"'!$A$2:$A$501"),"&lt;"&amp;(IFERROR(IF(INDEX(drops!$R$2:$R$21,MATCH($B17,drops!$A$2:$A$21,0))="","",INDEX(drops!$R$2:$R$21,MATCH($B17,drops!$A$2:$A$21,0))),"")+1)),0)-N($CH17)-N($CW17)))</f>
        <v/>
      </c>
      <c r="CW17" s="30" t="str">
        <f aca="false">IF($A17="","",IF($BG17="","",SUMIFS(approvals!$AL$2:$AL$251,approvals!$A$2:$A$251,$A17,approvals!$Q$2:$Q$251,"&lt;&gt;Y")))</f>
        <v/>
      </c>
      <c r="CX17" s="30" t="str">
        <f aca="false">IF($A17="","",SUMIFS(approvals!$AN$2:$AN$251,approvals!$A$2:$A$251,$A17,approvals!$Q$2:$Q$251,"Y"))</f>
        <v/>
      </c>
      <c r="CY17" s="30" t="str">
        <f aca="false">IF($A17="","",SUMIFS(approvals!$AO$2:$AO$251,approvals!$A$2:$A$251,$A17,approvals!$Q$2:$Q$251,"Y"))</f>
        <v/>
      </c>
      <c r="CZ17" s="30" t="str">
        <f aca="false">IF($A17="","",IF($DA17="","",SUMIFS(redemptions!$C$2:$C$121,redemptions!$A$2:$A$121,$A17,redemptions!$B$2:$B$121,$DA17)))</f>
        <v/>
      </c>
      <c r="DA17" s="31" t="str">
        <f aca="false">IF($A17="","",IFERROR(1/(1/SUMPRODUCT(MAX((redemptions!$A$2:$A$121=$A17)*redemptions!$B$2:$B$121))),""))</f>
        <v/>
      </c>
      <c r="DB17" s="30" t="str">
        <f aca="false">IF($A17="","",IF(COUNTIFS(redemptions!$A$2:$A$121,$A17,redemptions!$H$2:$H$121,"Y")=0,"",SUMIFS(redemptions!$C$2:$C$121,redemptions!$A$2:$A$121,$A17,redemptions!$B$2:$B$121,SUMPRODUCT(MIN((redemptions!$A$2:$A$121=$A17)*(redemptions!$H$2:$H$121="Y")*redemptions!$B$2:$B$121+((redemptions!$A$2:$A$121&lt;&gt;$A17)+(redemptions!$H$2:$H$121&lt;&gt;"Y")&gt;0)*1000000)))))</f>
        <v/>
      </c>
      <c r="DC17" s="32" t="str">
        <f aca="false">IF($A17="","",SUMIFS(invoices!$E$2:$E$151,invoices!$B$2:$B$151,$A17))</f>
        <v/>
      </c>
      <c r="DD17" s="32" t="str">
        <f aca="false">IF($A17="","",IF(COUNTIFS(invoices!$B$2:$B$151,$A17,invoices!$C$2:$C$151,"standard_deposit",invoices!$H$2:$H$151,"&gt;0")=0,"",SUMIFS(invoices!$I$2:$I$151,invoices!$B$2:$B$151,$A17,invoices!$C$2:$C$151,"standard_deposit")))</f>
        <v/>
      </c>
      <c r="DE17" s="31" t="str">
        <f aca="false">IF($A17="","",IFERROR(1/(1/SUMPRODUCT(MAX((invoices!$B$2:$B$151=$A17)*(invoices!$C$2:$C$151="standard_deposit")*invoices!$H$2:$H$151))),""))</f>
        <v/>
      </c>
      <c r="DF17" s="31" t="str">
        <f aca="false">IF($A17="","",IFERROR(1/(1/SUMPRODUCT(MAX((invoices!$B$2:$B$151=$A17)*((invoices!$C$2:$C$151="founding_full")+(invoices!$C$2:$C$151="standard_balance"))*invoices!$H$2:$H$151))),""))</f>
        <v/>
      </c>
      <c r="DG17" s="32" t="str">
        <f aca="false">IF($A17="","",SUMIFS(invoices!$L$2:$L$151,invoices!$B$2:$B$151,$A17))</f>
        <v/>
      </c>
      <c r="DH17" s="32" t="str">
        <f aca="false">IF($A17="","",SUMIFS(costs!$E$2:$E$301,costs!$C$2:$C$301,$A17))</f>
        <v/>
      </c>
      <c r="DI17" s="32" t="str">
        <f aca="false">IF($A17="","",ROUND(IF(SUMIFS(campaigns!$BO$2:$BO$51,campaigns!$B$2:$B$51,$B17)=0,0,$BO17/SUMIFS(campaigns!$BO$2:$BO$51,campaigns!$B$2:$B$51,$B17))*(SUMIFS(costs!$E$2:$E$301,costs!$B$2:$B$301,$B17)-SUMPRODUCT((costs!$B$2:$B$301=$B17)*(LEN(costs!$C$2:$C$301)&gt;0)*costs!$E$2:$E$301)),2))</f>
        <v/>
      </c>
      <c r="DJ17" s="33" t="str">
        <f aca="false">IF($A17="","",SUMIFS(hours!$E$2:$E$1501,hours!$C$2:$C$1501,$A17))</f>
        <v/>
      </c>
      <c r="DK17" s="33" t="str">
        <f aca="false">IF($A17="","",ROUND(IF(SUMIFS(campaigns!$BO$2:$BO$51,campaigns!$B$2:$B$51,$B17)=0,0,$BO17/SUMIFS(campaigns!$BO$2:$BO$51,campaigns!$B$2:$B$51,$B17))*(SUMIFS(hours!$E$2:$E$1501,hours!$B$2:$B$1501,$B17)-SUMPRODUCT((hours!$B$2:$B$1501=$B17)*(LEN(hours!$C$2:$C$1501)&gt;0)*hours!$E$2:$E$1501)),2))</f>
        <v/>
      </c>
      <c r="DL17" s="32" t="str">
        <f aca="false">IF($A17="","",$DC17-$DG17-$DH17-$DI17)</f>
        <v/>
      </c>
      <c r="DM17" s="32" t="str">
        <f aca="false">IF($A17="","",IF(N($DJ17)+N($DK17)=0,"",ROUND($DL17/($DJ17+$DK17),2)))</f>
        <v/>
      </c>
      <c r="DN17" s="34" t="str">
        <f aca="false">IF($A17="","",IF(N($BP17)=0,"",COUNTIFS(approvals!$A$2:$A$251,$A17,approvals!$Q$2:$Q$251,"Y",approvals!$AK$2:$AK$251,"Y")/$BP17))</f>
        <v/>
      </c>
      <c r="DO17" s="33" t="str">
        <f aca="false">IF($A17="","",IF(COUNTIFS(approvals!$A$2:$A$251,$A17,approvals!$AC$2:$AC$251,"&gt;=0")=0,"",ROUND(SUMIFS(approvals!$AC$2:$AC$251,approvals!$A$2:$A$251,$A17)/COUNTIFS(approvals!$A$2:$A$251,$A17,approvals!$AC$2:$AC$251,"&gt;=0"),1)))</f>
        <v/>
      </c>
      <c r="DP17" s="31" t="str">
        <f aca="false">IF($A17="","",IFERROR(IF(INDEX(drops!$T$2:$T$21,MATCH($B17,drops!$A$2:$A$21,0))="","",INDEX(drops!$T$2:$T$21,MATCH($B17,drops!$A$2:$A$21,0))),""))</f>
        <v/>
      </c>
      <c r="DQ17" s="31" t="str">
        <f aca="false">IF($A17="","",IFERROR(IF(INDEX(drops!$U$2:$U$21,MATCH($B17,drops!$A$2:$A$21,0))="","",INDEX(drops!$U$2:$U$21,MATCH($B17,drops!$A$2:$A$21,0))),""))</f>
        <v/>
      </c>
      <c r="DR17" s="31" t="str">
        <f aca="false">IF($A17="","",IFERROR(IF(INDEX(drops!$W$2:$W$21,MATCH($B17,drops!$A$2:$A$21,0))="","",INDEX(drops!$W$2:$W$21,MATCH($B17,drops!$A$2:$A$21,0))),""))</f>
        <v/>
      </c>
      <c r="DS17" s="30" t="str">
        <f aca="false">IF($A17="","",IF($CE17="","",IF($CE17&gt;=config!$B$31,"pass","miss")))</f>
        <v/>
      </c>
      <c r="DT17" s="30" t="str">
        <f aca="false">IF($A17="","",IF($CI17="","",IF($CI17&gt;=config!$B$30,"pass","miss")))</f>
        <v/>
      </c>
      <c r="DU17" s="30" t="str">
        <f aca="true">IF($A17="","",IF($AT17="",IF($DP17="","",IF(IF(config!$B$37&lt;&gt;"",config!$B$37,TODAY())&gt;$DP17,"late","due")),IF($AT17&lt;=$DP17,"pass","late")))</f>
        <v/>
      </c>
      <c r="DV17" s="30" t="str">
        <f aca="false">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ustomFormat="false" ht="15" hidden="false" customHeight="false" outlineLevel="0" collapsed="false">
      <c r="D18" s="10"/>
      <c r="G18" s="12"/>
      <c r="H18" s="11"/>
      <c r="M18" s="10"/>
      <c r="Y18" s="10"/>
      <c r="Z18" s="10"/>
      <c r="AB18" s="11"/>
      <c r="AC18" s="11"/>
      <c r="AD18" s="11"/>
      <c r="AF18" s="11"/>
      <c r="AG18" s="11"/>
      <c r="AT18" s="11"/>
      <c r="AU18" s="11"/>
      <c r="AV18" s="10"/>
      <c r="AW18" s="10"/>
      <c r="AY18" s="11"/>
      <c r="BA18" s="11"/>
      <c r="BB18" s="11"/>
      <c r="BC18" s="11"/>
      <c r="BE18" s="30" t="str">
        <f aca="false">IF($A18="","",IFERROR(IF(INDEX(brands!$K$2:$K$41,MATCH($C18,brands!$A$2:$A$41,0))="","",INDEX(brands!$K$2:$K$41,MATCH($C18,brands!$A$2:$A$41,0))),""))</f>
        <v/>
      </c>
      <c r="BF18" s="30" t="str">
        <f aca="false">IF($A18="","",IFERROR(IF(INDEX(brands!$M$2:$M$41,MATCH($C18,brands!$A$2:$A$41,0))="","",INDEX(brands!$M$2:$M$41,MATCH($C18,brands!$A$2:$A$41,0))),""))</f>
        <v/>
      </c>
      <c r="BG18" s="31" t="str">
        <f aca="false">IF($A18="","",IF(IFERROR(IF(INDEX(drops!$I$2:$I$21,MATCH($B18,drops!$A$2:$A$21,0))="","",INDEX(drops!$I$2:$I$21,MATCH($B18,drops!$A$2:$A$21,0))),"")="OK",IFERROR(IF(INDEX(drops!$B$2:$B$21,MATCH($B18,drops!$A$2:$A$21,0))="","",INDEX(drops!$B$2:$B$21,MATCH($B18,drops!$A$2:$A$21,0))),""),""))</f>
        <v/>
      </c>
      <c r="BH18" s="30" t="str">
        <f aca="false">IF($A18="","",IFERROR(IF(INDEX(drops!$C$2:$C$21,MATCH($B18,drops!$A$2:$A$21,0))="","",INDEX(drops!$C$2:$C$21,MATCH($B18,drops!$A$2:$A$21,0))),""))</f>
        <v/>
      </c>
      <c r="BI18" s="32" t="str">
        <f aca="false">IF($A18="","",IF($F18="","",IF($D18="founding",IF($E18="Y",config!$B$25*MIN($F18,config!$B$26)+config!$B$24*MAX(0,$F18-config!$B$26),config!$B$20+config!$B$24*MAX(0,$F18-config!$B$21)),IF($D18="standard",config!$B$22+config!$B$24*MAX(0,$F18-config!$B$23),""))))</f>
        <v/>
      </c>
      <c r="BJ18" s="32" t="str">
        <f aca="false">IF($A18="","",IF($G18&lt;&gt;"",$G18,$BI18))</f>
        <v/>
      </c>
      <c r="BK18" s="30" t="str">
        <f aca="false">IF($A18="","",IF($D18="founding","100% within "&amp;config!$B$27&amp;" business days of the invoice, before shipping",IF($D18="standard","50% on signing; 50% at placement confirmation (T+1)","")))</f>
        <v/>
      </c>
      <c r="BL18" s="31" t="str">
        <f aca="false">IF($A18="","",IFERROR(IF(INDEX(drops!$K$2:$K$21,MATCH($B18,drops!$A$2:$A$21,0))="","",INDEX(drops!$K$2:$K$21,MATCH($B18,drops!$A$2:$A$21,0))),""))</f>
        <v/>
      </c>
      <c r="BM18" s="31" t="str">
        <f aca="false">IF($A18="","",IFERROR(IF(INDEX(drops!$L$2:$L$21,MATCH($B18,drops!$A$2:$A$21,0))="","",INDEX(drops!$L$2:$L$21,MATCH($B18,drops!$A$2:$A$21,0))),""))</f>
        <v/>
      </c>
      <c r="BN18" s="30" t="str">
        <f aca="false">IF($A18="","",COUNTIF(approvals!$A$2:$A$251,$A18))</f>
        <v/>
      </c>
      <c r="BO18" s="30" t="str">
        <f aca="false">IF($A18="","",COUNTIFS(approvals!$A$2:$A$251,$A18,approvals!$P$2:$P$251,"Y"))</f>
        <v/>
      </c>
      <c r="BP18" s="30" t="str">
        <f aca="false">IF($A18="","",COUNTIFS(approvals!$A$2:$A$251,$A18,approvals!$Q$2:$Q$251,"Y"))</f>
        <v/>
      </c>
      <c r="BQ18" s="30" t="str">
        <f aca="false">IF($A18="","",COUNTIFS(approvals!$A$2:$A$251,$A18,approvals!$P$2:$P$251,"pending"))</f>
        <v/>
      </c>
      <c r="BR18" s="30" t="str">
        <f aca="false">IF($A18="","",SUMIFS(approvals!$S$2:$S$251,approvals!$A$2:$A$251,$A18,approvals!$P$2:$P$251,"Y"))</f>
        <v/>
      </c>
      <c r="BS18" s="30" t="str">
        <f aca="false">IF($A18="","",ROUNDUP($BR18*config!$B$18,0))</f>
        <v/>
      </c>
      <c r="BT18" s="30" t="str">
        <f aca="false">IF($A18="","",$BR18+$BS18)</f>
        <v/>
      </c>
      <c r="BU18" s="32" t="str">
        <f aca="false">IF($A18="","",SUMIFS(invoices!$I$2:$I$151,invoices!$B$2:$B$151,$A18,invoices!$R$2:$R$151,"Y",invoices!$H$2:$H$151,"&gt;0"))</f>
        <v/>
      </c>
      <c r="BV18" s="32" t="str">
        <f aca="false">IF($A18="","",IF($BJ18="","",IF($D18="founding",$BJ18,ROUND($BJ18*config!$B$28,2))))</f>
        <v/>
      </c>
      <c r="BW18" s="30" t="str">
        <f aca="false">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30" t="str">
        <f aca="false">IF($A18="","",SUMIFS(inventory!$G$2:$G$801,inventory!$C$2:$C$801,$A18,inventory!$E$2:$E$801,"received"))</f>
        <v/>
      </c>
      <c r="BY18" s="30" t="str">
        <f aca="false">IF($A18="","",SUMIFS(inventory!$G$2:$G$801,inventory!$C$2:$C$801,$A18,inventory!$E$2:$E$801,"rejected"))</f>
        <v/>
      </c>
      <c r="BZ18" s="30" t="str">
        <f aca="false">IF($A18="","",SUMIFS(inventory!$M$2:$M$801,inventory!$C$2:$C$801,$A18))</f>
        <v/>
      </c>
      <c r="CA18" s="30" t="str">
        <f aca="false">IF($A18="","",SUMIFS(inventory!$O$2:$O$801,inventory!$C$2:$C$801,$A18))</f>
        <v/>
      </c>
      <c r="CB18" s="30" t="str">
        <f aca="false">IF($A18="","",SUMIFS(approvals!$U$2:$U$251,approvals!$A$2:$A$251,$A18))</f>
        <v/>
      </c>
      <c r="CC18" s="30" t="str">
        <f aca="false">IF($A18="","",SUMIFS(approvals!$AA$2:$AA$251,approvals!$A$2:$A$251,$A18))</f>
        <v/>
      </c>
      <c r="CD18" s="30" t="str">
        <f aca="false">IF($A18="","",SUMIFS(approvals!$AA$2:$AA$251,approvals!$A$2:$A$251,$A18,approvals!$AB$2:$AB$251,"Y"))</f>
        <v/>
      </c>
      <c r="CE18" s="34" t="str">
        <f aca="false">IF($A18="","",IF(N($CB18)=0,"",$CD18/$CB18))</f>
        <v/>
      </c>
      <c r="CF18" s="30" t="str">
        <f aca="false">IF($A18="","",SUMIFS(approvals!$AD$2:$AD$251,approvals!$A$2:$A$251,$A18))</f>
        <v/>
      </c>
      <c r="CG18" s="30" t="str">
        <f aca="false">IF($A18="","",IF(COUNTIFS(approvals!$A$2:$A$251,$A18,approvals!$Q$2:$Q$251,"Y",approvals!$AG$2:$AG$251,"")&gt;0,"",SUMIFS(approvals!$AG$2:$AG$251,approvals!$A$2:$A$251,$A18,approvals!$Q$2:$Q$251,"Y")))</f>
        <v/>
      </c>
      <c r="CH18" s="30" t="str">
        <f aca="false">IF($A18="","",SUMIFS(approvals!$AL$2:$AL$251,approvals!$A$2:$A$251,$A18,approvals!$Q$2:$Q$251,"Y"))</f>
        <v/>
      </c>
      <c r="CI18" s="30" t="str">
        <f aca="false">IF($A18="","",IF(N($BP18)=0,"",SUMPRODUCT(MIN(approvals!$BB$2:$BB$251+(approvals!$A$2:$A$251&lt;&gt;$A18)*1000000))))</f>
        <v/>
      </c>
      <c r="CJ18" s="30" t="str">
        <f aca="false">IF($A18="","",COUNTIFS(approvals!$A$2:$A$251,$A18,approvals!$Q$2:$Q$251,"Y",approvals!$AL$2:$AL$251,"&lt;"&amp;config!$B$30))</f>
        <v/>
      </c>
      <c r="CK18" s="30" t="str">
        <f aca="false">IF($A18="","",SUMIFS(approvals!$AM$2:$AM$251,approvals!$A$2:$A$251,$A18,approvals!$Q$2:$Q$251,"Y"))</f>
        <v/>
      </c>
      <c r="CL18" s="30" t="str">
        <f aca="false">IF($A18="","",SUMIFS(approvals!$AQ$2:$AQ$251,approvals!$A$2:$A$251,$A18,approvals!$Q$2:$Q$251,"Y"))</f>
        <v/>
      </c>
      <c r="CM18" s="30" t="str">
        <f aca="false">IF($A18="","",SUMIFS(approvals!$AR$2:$AR$251,approvals!$A$2:$A$251,$A18,approvals!$Q$2:$Q$251,"Y"))</f>
        <v/>
      </c>
      <c r="CN18" s="30" t="str">
        <f aca="false">IF($A18="","",SUMIFS(approvals!$AS$2:$AS$251,approvals!$A$2:$A$251,$A18,approvals!$Q$2:$Q$251,"Y"))</f>
        <v/>
      </c>
      <c r="CO18" s="30" t="str">
        <f aca="false">IF($A18="","",SUMIFS(approvals!$AT$2:$AT$251,approvals!$A$2:$A$251,$A18,approvals!$Q$2:$Q$251,"Y"))</f>
        <v/>
      </c>
      <c r="CP18" s="33" t="str">
        <f aca="false">IF($A18="","",IF(N($CO18)=0,"",ROUND(SUMIFS(approvals!$AU$2:$AU$251,approvals!$A$2:$A$251,$A18,approvals!$Q$2:$Q$251,"Y")/$CO18,1)))</f>
        <v/>
      </c>
      <c r="CQ18" s="30" t="str">
        <f aca="false">IF($A18="","",SUMIFS(approvals!$AV$2:$AV$251,approvals!$A$2:$A$251,$A18,approvals!$Q$2:$Q$251,"Y"))</f>
        <v/>
      </c>
      <c r="CR18" s="30" t="str">
        <f aca="false">IF($A18="","",SUMIFS(approvals!$AW$2:$AW$251,approvals!$A$2:$A$251,$A18,approvals!$Q$2:$Q$251,"Y"))</f>
        <v/>
      </c>
      <c r="CS18" s="30" t="str">
        <f aca="false">IF($A18="","",SUMIFS(approvals!$AX$2:$AX$251,approvals!$A$2:$A$251,$A18,approvals!$Q$2:$Q$251,"Y"))</f>
        <v/>
      </c>
      <c r="CT18" s="30" t="str">
        <f aca="false">IF($A18="","",SUMIFS(approvals!$AY$2:$AY$251,approvals!$A$2:$A$251,$A18,approvals!$Q$2:$Q$251,"Y"))</f>
        <v/>
      </c>
      <c r="CU18" s="30" t="str">
        <f aca="true">IF($A18="","",IF(OR($BG18="",$BC18&lt;&gt;""),"",IFERROR(COUNT(INDIRECT("'"&amp;$A18&amp;"'!$A$2:$A$501")),0)-IFERROR(COUNTIFS(INDIRECT("'"&amp;$A18&amp;"'!$A$2:$A$501"),"&gt;="&amp;$BG18,INDIRECT("'"&amp;$A18&amp;"'!$A$2:$A$501"),"&lt;"&amp;(IFERROR(IF(INDEX(drops!$R$2:$R$21,MATCH($B18,drops!$A$2:$A$21,0))="","",INDEX(drops!$R$2:$R$21,MATCH($B18,drops!$A$2:$A$21,0))),"")+1)),0)))</f>
        <v/>
      </c>
      <c r="CV18" s="30" t="str">
        <f aca="true">IF($A18="","",IF(OR($BG18="",$BC18&lt;&gt;""),"",IFERROR(COUNTIFS(INDIRECT("'"&amp;$A18&amp;"'!$A$2:$A$501"),"&gt;="&amp;$BG18,INDIRECT("'"&amp;$A18&amp;"'!$A$2:$A$501"),"&lt;"&amp;(IFERROR(IF(INDEX(drops!$R$2:$R$21,MATCH($B18,drops!$A$2:$A$21,0))="","",INDEX(drops!$R$2:$R$21,MATCH($B18,drops!$A$2:$A$21,0))),"")+1)),0)-N($CH18)-N($CW18)))</f>
        <v/>
      </c>
      <c r="CW18" s="30" t="str">
        <f aca="false">IF($A18="","",IF($BG18="","",SUMIFS(approvals!$AL$2:$AL$251,approvals!$A$2:$A$251,$A18,approvals!$Q$2:$Q$251,"&lt;&gt;Y")))</f>
        <v/>
      </c>
      <c r="CX18" s="30" t="str">
        <f aca="false">IF($A18="","",SUMIFS(approvals!$AN$2:$AN$251,approvals!$A$2:$A$251,$A18,approvals!$Q$2:$Q$251,"Y"))</f>
        <v/>
      </c>
      <c r="CY18" s="30" t="str">
        <f aca="false">IF($A18="","",SUMIFS(approvals!$AO$2:$AO$251,approvals!$A$2:$A$251,$A18,approvals!$Q$2:$Q$251,"Y"))</f>
        <v/>
      </c>
      <c r="CZ18" s="30" t="str">
        <f aca="false">IF($A18="","",IF($DA18="","",SUMIFS(redemptions!$C$2:$C$121,redemptions!$A$2:$A$121,$A18,redemptions!$B$2:$B$121,$DA18)))</f>
        <v/>
      </c>
      <c r="DA18" s="31" t="str">
        <f aca="false">IF($A18="","",IFERROR(1/(1/SUMPRODUCT(MAX((redemptions!$A$2:$A$121=$A18)*redemptions!$B$2:$B$121))),""))</f>
        <v/>
      </c>
      <c r="DB18" s="30" t="str">
        <f aca="false">IF($A18="","",IF(COUNTIFS(redemptions!$A$2:$A$121,$A18,redemptions!$H$2:$H$121,"Y")=0,"",SUMIFS(redemptions!$C$2:$C$121,redemptions!$A$2:$A$121,$A18,redemptions!$B$2:$B$121,SUMPRODUCT(MIN((redemptions!$A$2:$A$121=$A18)*(redemptions!$H$2:$H$121="Y")*redemptions!$B$2:$B$121+((redemptions!$A$2:$A$121&lt;&gt;$A18)+(redemptions!$H$2:$H$121&lt;&gt;"Y")&gt;0)*1000000)))))</f>
        <v/>
      </c>
      <c r="DC18" s="32" t="str">
        <f aca="false">IF($A18="","",SUMIFS(invoices!$E$2:$E$151,invoices!$B$2:$B$151,$A18))</f>
        <v/>
      </c>
      <c r="DD18" s="32" t="str">
        <f aca="false">IF($A18="","",IF(COUNTIFS(invoices!$B$2:$B$151,$A18,invoices!$C$2:$C$151,"standard_deposit",invoices!$H$2:$H$151,"&gt;0")=0,"",SUMIFS(invoices!$I$2:$I$151,invoices!$B$2:$B$151,$A18,invoices!$C$2:$C$151,"standard_deposit")))</f>
        <v/>
      </c>
      <c r="DE18" s="31" t="str">
        <f aca="false">IF($A18="","",IFERROR(1/(1/SUMPRODUCT(MAX((invoices!$B$2:$B$151=$A18)*(invoices!$C$2:$C$151="standard_deposit")*invoices!$H$2:$H$151))),""))</f>
        <v/>
      </c>
      <c r="DF18" s="31" t="str">
        <f aca="false">IF($A18="","",IFERROR(1/(1/SUMPRODUCT(MAX((invoices!$B$2:$B$151=$A18)*((invoices!$C$2:$C$151="founding_full")+(invoices!$C$2:$C$151="standard_balance"))*invoices!$H$2:$H$151))),""))</f>
        <v/>
      </c>
      <c r="DG18" s="32" t="str">
        <f aca="false">IF($A18="","",SUMIFS(invoices!$L$2:$L$151,invoices!$B$2:$B$151,$A18))</f>
        <v/>
      </c>
      <c r="DH18" s="32" t="str">
        <f aca="false">IF($A18="","",SUMIFS(costs!$E$2:$E$301,costs!$C$2:$C$301,$A18))</f>
        <v/>
      </c>
      <c r="DI18" s="32" t="str">
        <f aca="false">IF($A18="","",ROUND(IF(SUMIFS(campaigns!$BO$2:$BO$51,campaigns!$B$2:$B$51,$B18)=0,0,$BO18/SUMIFS(campaigns!$BO$2:$BO$51,campaigns!$B$2:$B$51,$B18))*(SUMIFS(costs!$E$2:$E$301,costs!$B$2:$B$301,$B18)-SUMPRODUCT((costs!$B$2:$B$301=$B18)*(LEN(costs!$C$2:$C$301)&gt;0)*costs!$E$2:$E$301)),2))</f>
        <v/>
      </c>
      <c r="DJ18" s="33" t="str">
        <f aca="false">IF($A18="","",SUMIFS(hours!$E$2:$E$1501,hours!$C$2:$C$1501,$A18))</f>
        <v/>
      </c>
      <c r="DK18" s="33" t="str">
        <f aca="false">IF($A18="","",ROUND(IF(SUMIFS(campaigns!$BO$2:$BO$51,campaigns!$B$2:$B$51,$B18)=0,0,$BO18/SUMIFS(campaigns!$BO$2:$BO$51,campaigns!$B$2:$B$51,$B18))*(SUMIFS(hours!$E$2:$E$1501,hours!$B$2:$B$1501,$B18)-SUMPRODUCT((hours!$B$2:$B$1501=$B18)*(LEN(hours!$C$2:$C$1501)&gt;0)*hours!$E$2:$E$1501)),2))</f>
        <v/>
      </c>
      <c r="DL18" s="32" t="str">
        <f aca="false">IF($A18="","",$DC18-$DG18-$DH18-$DI18)</f>
        <v/>
      </c>
      <c r="DM18" s="32" t="str">
        <f aca="false">IF($A18="","",IF(N($DJ18)+N($DK18)=0,"",ROUND($DL18/($DJ18+$DK18),2)))</f>
        <v/>
      </c>
      <c r="DN18" s="34" t="str">
        <f aca="false">IF($A18="","",IF(N($BP18)=0,"",COUNTIFS(approvals!$A$2:$A$251,$A18,approvals!$Q$2:$Q$251,"Y",approvals!$AK$2:$AK$251,"Y")/$BP18))</f>
        <v/>
      </c>
      <c r="DO18" s="33" t="str">
        <f aca="false">IF($A18="","",IF(COUNTIFS(approvals!$A$2:$A$251,$A18,approvals!$AC$2:$AC$251,"&gt;=0")=0,"",ROUND(SUMIFS(approvals!$AC$2:$AC$251,approvals!$A$2:$A$251,$A18)/COUNTIFS(approvals!$A$2:$A$251,$A18,approvals!$AC$2:$AC$251,"&gt;=0"),1)))</f>
        <v/>
      </c>
      <c r="DP18" s="31" t="str">
        <f aca="false">IF($A18="","",IFERROR(IF(INDEX(drops!$T$2:$T$21,MATCH($B18,drops!$A$2:$A$21,0))="","",INDEX(drops!$T$2:$T$21,MATCH($B18,drops!$A$2:$A$21,0))),""))</f>
        <v/>
      </c>
      <c r="DQ18" s="31" t="str">
        <f aca="false">IF($A18="","",IFERROR(IF(INDEX(drops!$U$2:$U$21,MATCH($B18,drops!$A$2:$A$21,0))="","",INDEX(drops!$U$2:$U$21,MATCH($B18,drops!$A$2:$A$21,0))),""))</f>
        <v/>
      </c>
      <c r="DR18" s="31" t="str">
        <f aca="false">IF($A18="","",IFERROR(IF(INDEX(drops!$W$2:$W$21,MATCH($B18,drops!$A$2:$A$21,0))="","",INDEX(drops!$W$2:$W$21,MATCH($B18,drops!$A$2:$A$21,0))),""))</f>
        <v/>
      </c>
      <c r="DS18" s="30" t="str">
        <f aca="false">IF($A18="","",IF($CE18="","",IF($CE18&gt;=config!$B$31,"pass","miss")))</f>
        <v/>
      </c>
      <c r="DT18" s="30" t="str">
        <f aca="false">IF($A18="","",IF($CI18="","",IF($CI18&gt;=config!$B$30,"pass","miss")))</f>
        <v/>
      </c>
      <c r="DU18" s="30" t="str">
        <f aca="true">IF($A18="","",IF($AT18="",IF($DP18="","",IF(IF(config!$B$37&lt;&gt;"",config!$B$37,TODAY())&gt;$DP18,"late","due")),IF($AT18&lt;=$DP18,"pass","late")))</f>
        <v/>
      </c>
      <c r="DV18" s="30" t="str">
        <f aca="false">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ustomFormat="false" ht="15" hidden="false" customHeight="false" outlineLevel="0" collapsed="false">
      <c r="D19" s="10"/>
      <c r="G19" s="12"/>
      <c r="H19" s="11"/>
      <c r="M19" s="10"/>
      <c r="Y19" s="10"/>
      <c r="Z19" s="10"/>
      <c r="AB19" s="11"/>
      <c r="AC19" s="11"/>
      <c r="AD19" s="11"/>
      <c r="AF19" s="11"/>
      <c r="AG19" s="11"/>
      <c r="AT19" s="11"/>
      <c r="AU19" s="11"/>
      <c r="AV19" s="10"/>
      <c r="AW19" s="10"/>
      <c r="AY19" s="11"/>
      <c r="BA19" s="11"/>
      <c r="BB19" s="11"/>
      <c r="BC19" s="11"/>
      <c r="BE19" s="30" t="str">
        <f aca="false">IF($A19="","",IFERROR(IF(INDEX(brands!$K$2:$K$41,MATCH($C19,brands!$A$2:$A$41,0))="","",INDEX(brands!$K$2:$K$41,MATCH($C19,brands!$A$2:$A$41,0))),""))</f>
        <v/>
      </c>
      <c r="BF19" s="30" t="str">
        <f aca="false">IF($A19="","",IFERROR(IF(INDEX(brands!$M$2:$M$41,MATCH($C19,brands!$A$2:$A$41,0))="","",INDEX(brands!$M$2:$M$41,MATCH($C19,brands!$A$2:$A$41,0))),""))</f>
        <v/>
      </c>
      <c r="BG19" s="31" t="str">
        <f aca="false">IF($A19="","",IF(IFERROR(IF(INDEX(drops!$I$2:$I$21,MATCH($B19,drops!$A$2:$A$21,0))="","",INDEX(drops!$I$2:$I$21,MATCH($B19,drops!$A$2:$A$21,0))),"")="OK",IFERROR(IF(INDEX(drops!$B$2:$B$21,MATCH($B19,drops!$A$2:$A$21,0))="","",INDEX(drops!$B$2:$B$21,MATCH($B19,drops!$A$2:$A$21,0))),""),""))</f>
        <v/>
      </c>
      <c r="BH19" s="30" t="str">
        <f aca="false">IF($A19="","",IFERROR(IF(INDEX(drops!$C$2:$C$21,MATCH($B19,drops!$A$2:$A$21,0))="","",INDEX(drops!$C$2:$C$21,MATCH($B19,drops!$A$2:$A$21,0))),""))</f>
        <v/>
      </c>
      <c r="BI19" s="32" t="str">
        <f aca="false">IF($A19="","",IF($F19="","",IF($D19="founding",IF($E19="Y",config!$B$25*MIN($F19,config!$B$26)+config!$B$24*MAX(0,$F19-config!$B$26),config!$B$20+config!$B$24*MAX(0,$F19-config!$B$21)),IF($D19="standard",config!$B$22+config!$B$24*MAX(0,$F19-config!$B$23),""))))</f>
        <v/>
      </c>
      <c r="BJ19" s="32" t="str">
        <f aca="false">IF($A19="","",IF($G19&lt;&gt;"",$G19,$BI19))</f>
        <v/>
      </c>
      <c r="BK19" s="30" t="str">
        <f aca="false">IF($A19="","",IF($D19="founding","100% within "&amp;config!$B$27&amp;" business days of the invoice, before shipping",IF($D19="standard","50% on signing; 50% at placement confirmation (T+1)","")))</f>
        <v/>
      </c>
      <c r="BL19" s="31" t="str">
        <f aca="false">IF($A19="","",IFERROR(IF(INDEX(drops!$K$2:$K$21,MATCH($B19,drops!$A$2:$A$21,0))="","",INDEX(drops!$K$2:$K$21,MATCH($B19,drops!$A$2:$A$21,0))),""))</f>
        <v/>
      </c>
      <c r="BM19" s="31" t="str">
        <f aca="false">IF($A19="","",IFERROR(IF(INDEX(drops!$L$2:$L$21,MATCH($B19,drops!$A$2:$A$21,0))="","",INDEX(drops!$L$2:$L$21,MATCH($B19,drops!$A$2:$A$21,0))),""))</f>
        <v/>
      </c>
      <c r="BN19" s="30" t="str">
        <f aca="false">IF($A19="","",COUNTIF(approvals!$A$2:$A$251,$A19))</f>
        <v/>
      </c>
      <c r="BO19" s="30" t="str">
        <f aca="false">IF($A19="","",COUNTIFS(approvals!$A$2:$A$251,$A19,approvals!$P$2:$P$251,"Y"))</f>
        <v/>
      </c>
      <c r="BP19" s="30" t="str">
        <f aca="false">IF($A19="","",COUNTIFS(approvals!$A$2:$A$251,$A19,approvals!$Q$2:$Q$251,"Y"))</f>
        <v/>
      </c>
      <c r="BQ19" s="30" t="str">
        <f aca="false">IF($A19="","",COUNTIFS(approvals!$A$2:$A$251,$A19,approvals!$P$2:$P$251,"pending"))</f>
        <v/>
      </c>
      <c r="BR19" s="30" t="str">
        <f aca="false">IF($A19="","",SUMIFS(approvals!$S$2:$S$251,approvals!$A$2:$A$251,$A19,approvals!$P$2:$P$251,"Y"))</f>
        <v/>
      </c>
      <c r="BS19" s="30" t="str">
        <f aca="false">IF($A19="","",ROUNDUP($BR19*config!$B$18,0))</f>
        <v/>
      </c>
      <c r="BT19" s="30" t="str">
        <f aca="false">IF($A19="","",$BR19+$BS19)</f>
        <v/>
      </c>
      <c r="BU19" s="32" t="str">
        <f aca="false">IF($A19="","",SUMIFS(invoices!$I$2:$I$151,invoices!$B$2:$B$151,$A19,invoices!$R$2:$R$151,"Y",invoices!$H$2:$H$151,"&gt;0"))</f>
        <v/>
      </c>
      <c r="BV19" s="32" t="str">
        <f aca="false">IF($A19="","",IF($BJ19="","",IF($D19="founding",$BJ19,ROUND($BJ19*config!$B$28,2))))</f>
        <v/>
      </c>
      <c r="BW19" s="30" t="str">
        <f aca="false">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30" t="str">
        <f aca="false">IF($A19="","",SUMIFS(inventory!$G$2:$G$801,inventory!$C$2:$C$801,$A19,inventory!$E$2:$E$801,"received"))</f>
        <v/>
      </c>
      <c r="BY19" s="30" t="str">
        <f aca="false">IF($A19="","",SUMIFS(inventory!$G$2:$G$801,inventory!$C$2:$C$801,$A19,inventory!$E$2:$E$801,"rejected"))</f>
        <v/>
      </c>
      <c r="BZ19" s="30" t="str">
        <f aca="false">IF($A19="","",SUMIFS(inventory!$M$2:$M$801,inventory!$C$2:$C$801,$A19))</f>
        <v/>
      </c>
      <c r="CA19" s="30" t="str">
        <f aca="false">IF($A19="","",SUMIFS(inventory!$O$2:$O$801,inventory!$C$2:$C$801,$A19))</f>
        <v/>
      </c>
      <c r="CB19" s="30" t="str">
        <f aca="false">IF($A19="","",SUMIFS(approvals!$U$2:$U$251,approvals!$A$2:$A$251,$A19))</f>
        <v/>
      </c>
      <c r="CC19" s="30" t="str">
        <f aca="false">IF($A19="","",SUMIFS(approvals!$AA$2:$AA$251,approvals!$A$2:$A$251,$A19))</f>
        <v/>
      </c>
      <c r="CD19" s="30" t="str">
        <f aca="false">IF($A19="","",SUMIFS(approvals!$AA$2:$AA$251,approvals!$A$2:$A$251,$A19,approvals!$AB$2:$AB$251,"Y"))</f>
        <v/>
      </c>
      <c r="CE19" s="34" t="str">
        <f aca="false">IF($A19="","",IF(N($CB19)=0,"",$CD19/$CB19))</f>
        <v/>
      </c>
      <c r="CF19" s="30" t="str">
        <f aca="false">IF($A19="","",SUMIFS(approvals!$AD$2:$AD$251,approvals!$A$2:$A$251,$A19))</f>
        <v/>
      </c>
      <c r="CG19" s="30" t="str">
        <f aca="false">IF($A19="","",IF(COUNTIFS(approvals!$A$2:$A$251,$A19,approvals!$Q$2:$Q$251,"Y",approvals!$AG$2:$AG$251,"")&gt;0,"",SUMIFS(approvals!$AG$2:$AG$251,approvals!$A$2:$A$251,$A19,approvals!$Q$2:$Q$251,"Y")))</f>
        <v/>
      </c>
      <c r="CH19" s="30" t="str">
        <f aca="false">IF($A19="","",SUMIFS(approvals!$AL$2:$AL$251,approvals!$A$2:$A$251,$A19,approvals!$Q$2:$Q$251,"Y"))</f>
        <v/>
      </c>
      <c r="CI19" s="30" t="str">
        <f aca="false">IF($A19="","",IF(N($BP19)=0,"",SUMPRODUCT(MIN(approvals!$BB$2:$BB$251+(approvals!$A$2:$A$251&lt;&gt;$A19)*1000000))))</f>
        <v/>
      </c>
      <c r="CJ19" s="30" t="str">
        <f aca="false">IF($A19="","",COUNTIFS(approvals!$A$2:$A$251,$A19,approvals!$Q$2:$Q$251,"Y",approvals!$AL$2:$AL$251,"&lt;"&amp;config!$B$30))</f>
        <v/>
      </c>
      <c r="CK19" s="30" t="str">
        <f aca="false">IF($A19="","",SUMIFS(approvals!$AM$2:$AM$251,approvals!$A$2:$A$251,$A19,approvals!$Q$2:$Q$251,"Y"))</f>
        <v/>
      </c>
      <c r="CL19" s="30" t="str">
        <f aca="false">IF($A19="","",SUMIFS(approvals!$AQ$2:$AQ$251,approvals!$A$2:$A$251,$A19,approvals!$Q$2:$Q$251,"Y"))</f>
        <v/>
      </c>
      <c r="CM19" s="30" t="str">
        <f aca="false">IF($A19="","",SUMIFS(approvals!$AR$2:$AR$251,approvals!$A$2:$A$251,$A19,approvals!$Q$2:$Q$251,"Y"))</f>
        <v/>
      </c>
      <c r="CN19" s="30" t="str">
        <f aca="false">IF($A19="","",SUMIFS(approvals!$AS$2:$AS$251,approvals!$A$2:$A$251,$A19,approvals!$Q$2:$Q$251,"Y"))</f>
        <v/>
      </c>
      <c r="CO19" s="30" t="str">
        <f aca="false">IF($A19="","",SUMIFS(approvals!$AT$2:$AT$251,approvals!$A$2:$A$251,$A19,approvals!$Q$2:$Q$251,"Y"))</f>
        <v/>
      </c>
      <c r="CP19" s="33" t="str">
        <f aca="false">IF($A19="","",IF(N($CO19)=0,"",ROUND(SUMIFS(approvals!$AU$2:$AU$251,approvals!$A$2:$A$251,$A19,approvals!$Q$2:$Q$251,"Y")/$CO19,1)))</f>
        <v/>
      </c>
      <c r="CQ19" s="30" t="str">
        <f aca="false">IF($A19="","",SUMIFS(approvals!$AV$2:$AV$251,approvals!$A$2:$A$251,$A19,approvals!$Q$2:$Q$251,"Y"))</f>
        <v/>
      </c>
      <c r="CR19" s="30" t="str">
        <f aca="false">IF($A19="","",SUMIFS(approvals!$AW$2:$AW$251,approvals!$A$2:$A$251,$A19,approvals!$Q$2:$Q$251,"Y"))</f>
        <v/>
      </c>
      <c r="CS19" s="30" t="str">
        <f aca="false">IF($A19="","",SUMIFS(approvals!$AX$2:$AX$251,approvals!$A$2:$A$251,$A19,approvals!$Q$2:$Q$251,"Y"))</f>
        <v/>
      </c>
      <c r="CT19" s="30" t="str">
        <f aca="false">IF($A19="","",SUMIFS(approvals!$AY$2:$AY$251,approvals!$A$2:$A$251,$A19,approvals!$Q$2:$Q$251,"Y"))</f>
        <v/>
      </c>
      <c r="CU19" s="30" t="str">
        <f aca="true">IF($A19="","",IF(OR($BG19="",$BC19&lt;&gt;""),"",IFERROR(COUNT(INDIRECT("'"&amp;$A19&amp;"'!$A$2:$A$501")),0)-IFERROR(COUNTIFS(INDIRECT("'"&amp;$A19&amp;"'!$A$2:$A$501"),"&gt;="&amp;$BG19,INDIRECT("'"&amp;$A19&amp;"'!$A$2:$A$501"),"&lt;"&amp;(IFERROR(IF(INDEX(drops!$R$2:$R$21,MATCH($B19,drops!$A$2:$A$21,0))="","",INDEX(drops!$R$2:$R$21,MATCH($B19,drops!$A$2:$A$21,0))),"")+1)),0)))</f>
        <v/>
      </c>
      <c r="CV19" s="30" t="str">
        <f aca="true">IF($A19="","",IF(OR($BG19="",$BC19&lt;&gt;""),"",IFERROR(COUNTIFS(INDIRECT("'"&amp;$A19&amp;"'!$A$2:$A$501"),"&gt;="&amp;$BG19,INDIRECT("'"&amp;$A19&amp;"'!$A$2:$A$501"),"&lt;"&amp;(IFERROR(IF(INDEX(drops!$R$2:$R$21,MATCH($B19,drops!$A$2:$A$21,0))="","",INDEX(drops!$R$2:$R$21,MATCH($B19,drops!$A$2:$A$21,0))),"")+1)),0)-N($CH19)-N($CW19)))</f>
        <v/>
      </c>
      <c r="CW19" s="30" t="str">
        <f aca="false">IF($A19="","",IF($BG19="","",SUMIFS(approvals!$AL$2:$AL$251,approvals!$A$2:$A$251,$A19,approvals!$Q$2:$Q$251,"&lt;&gt;Y")))</f>
        <v/>
      </c>
      <c r="CX19" s="30" t="str">
        <f aca="false">IF($A19="","",SUMIFS(approvals!$AN$2:$AN$251,approvals!$A$2:$A$251,$A19,approvals!$Q$2:$Q$251,"Y"))</f>
        <v/>
      </c>
      <c r="CY19" s="30" t="str">
        <f aca="false">IF($A19="","",SUMIFS(approvals!$AO$2:$AO$251,approvals!$A$2:$A$251,$A19,approvals!$Q$2:$Q$251,"Y"))</f>
        <v/>
      </c>
      <c r="CZ19" s="30" t="str">
        <f aca="false">IF($A19="","",IF($DA19="","",SUMIFS(redemptions!$C$2:$C$121,redemptions!$A$2:$A$121,$A19,redemptions!$B$2:$B$121,$DA19)))</f>
        <v/>
      </c>
      <c r="DA19" s="31" t="str">
        <f aca="false">IF($A19="","",IFERROR(1/(1/SUMPRODUCT(MAX((redemptions!$A$2:$A$121=$A19)*redemptions!$B$2:$B$121))),""))</f>
        <v/>
      </c>
      <c r="DB19" s="30" t="str">
        <f aca="false">IF($A19="","",IF(COUNTIFS(redemptions!$A$2:$A$121,$A19,redemptions!$H$2:$H$121,"Y")=0,"",SUMIFS(redemptions!$C$2:$C$121,redemptions!$A$2:$A$121,$A19,redemptions!$B$2:$B$121,SUMPRODUCT(MIN((redemptions!$A$2:$A$121=$A19)*(redemptions!$H$2:$H$121="Y")*redemptions!$B$2:$B$121+((redemptions!$A$2:$A$121&lt;&gt;$A19)+(redemptions!$H$2:$H$121&lt;&gt;"Y")&gt;0)*1000000)))))</f>
        <v/>
      </c>
      <c r="DC19" s="32" t="str">
        <f aca="false">IF($A19="","",SUMIFS(invoices!$E$2:$E$151,invoices!$B$2:$B$151,$A19))</f>
        <v/>
      </c>
      <c r="DD19" s="32" t="str">
        <f aca="false">IF($A19="","",IF(COUNTIFS(invoices!$B$2:$B$151,$A19,invoices!$C$2:$C$151,"standard_deposit",invoices!$H$2:$H$151,"&gt;0")=0,"",SUMIFS(invoices!$I$2:$I$151,invoices!$B$2:$B$151,$A19,invoices!$C$2:$C$151,"standard_deposit")))</f>
        <v/>
      </c>
      <c r="DE19" s="31" t="str">
        <f aca="false">IF($A19="","",IFERROR(1/(1/SUMPRODUCT(MAX((invoices!$B$2:$B$151=$A19)*(invoices!$C$2:$C$151="standard_deposit")*invoices!$H$2:$H$151))),""))</f>
        <v/>
      </c>
      <c r="DF19" s="31" t="str">
        <f aca="false">IF($A19="","",IFERROR(1/(1/SUMPRODUCT(MAX((invoices!$B$2:$B$151=$A19)*((invoices!$C$2:$C$151="founding_full")+(invoices!$C$2:$C$151="standard_balance"))*invoices!$H$2:$H$151))),""))</f>
        <v/>
      </c>
      <c r="DG19" s="32" t="str">
        <f aca="false">IF($A19="","",SUMIFS(invoices!$L$2:$L$151,invoices!$B$2:$B$151,$A19))</f>
        <v/>
      </c>
      <c r="DH19" s="32" t="str">
        <f aca="false">IF($A19="","",SUMIFS(costs!$E$2:$E$301,costs!$C$2:$C$301,$A19))</f>
        <v/>
      </c>
      <c r="DI19" s="32" t="str">
        <f aca="false">IF($A19="","",ROUND(IF(SUMIFS(campaigns!$BO$2:$BO$51,campaigns!$B$2:$B$51,$B19)=0,0,$BO19/SUMIFS(campaigns!$BO$2:$BO$51,campaigns!$B$2:$B$51,$B19))*(SUMIFS(costs!$E$2:$E$301,costs!$B$2:$B$301,$B19)-SUMPRODUCT((costs!$B$2:$B$301=$B19)*(LEN(costs!$C$2:$C$301)&gt;0)*costs!$E$2:$E$301)),2))</f>
        <v/>
      </c>
      <c r="DJ19" s="33" t="str">
        <f aca="false">IF($A19="","",SUMIFS(hours!$E$2:$E$1501,hours!$C$2:$C$1501,$A19))</f>
        <v/>
      </c>
      <c r="DK19" s="33" t="str">
        <f aca="false">IF($A19="","",ROUND(IF(SUMIFS(campaigns!$BO$2:$BO$51,campaigns!$B$2:$B$51,$B19)=0,0,$BO19/SUMIFS(campaigns!$BO$2:$BO$51,campaigns!$B$2:$B$51,$B19))*(SUMIFS(hours!$E$2:$E$1501,hours!$B$2:$B$1501,$B19)-SUMPRODUCT((hours!$B$2:$B$1501=$B19)*(LEN(hours!$C$2:$C$1501)&gt;0)*hours!$E$2:$E$1501)),2))</f>
        <v/>
      </c>
      <c r="DL19" s="32" t="str">
        <f aca="false">IF($A19="","",$DC19-$DG19-$DH19-$DI19)</f>
        <v/>
      </c>
      <c r="DM19" s="32" t="str">
        <f aca="false">IF($A19="","",IF(N($DJ19)+N($DK19)=0,"",ROUND($DL19/($DJ19+$DK19),2)))</f>
        <v/>
      </c>
      <c r="DN19" s="34" t="str">
        <f aca="false">IF($A19="","",IF(N($BP19)=0,"",COUNTIFS(approvals!$A$2:$A$251,$A19,approvals!$Q$2:$Q$251,"Y",approvals!$AK$2:$AK$251,"Y")/$BP19))</f>
        <v/>
      </c>
      <c r="DO19" s="33" t="str">
        <f aca="false">IF($A19="","",IF(COUNTIFS(approvals!$A$2:$A$251,$A19,approvals!$AC$2:$AC$251,"&gt;=0")=0,"",ROUND(SUMIFS(approvals!$AC$2:$AC$251,approvals!$A$2:$A$251,$A19)/COUNTIFS(approvals!$A$2:$A$251,$A19,approvals!$AC$2:$AC$251,"&gt;=0"),1)))</f>
        <v/>
      </c>
      <c r="DP19" s="31" t="str">
        <f aca="false">IF($A19="","",IFERROR(IF(INDEX(drops!$T$2:$T$21,MATCH($B19,drops!$A$2:$A$21,0))="","",INDEX(drops!$T$2:$T$21,MATCH($B19,drops!$A$2:$A$21,0))),""))</f>
        <v/>
      </c>
      <c r="DQ19" s="31" t="str">
        <f aca="false">IF($A19="","",IFERROR(IF(INDEX(drops!$U$2:$U$21,MATCH($B19,drops!$A$2:$A$21,0))="","",INDEX(drops!$U$2:$U$21,MATCH($B19,drops!$A$2:$A$21,0))),""))</f>
        <v/>
      </c>
      <c r="DR19" s="31" t="str">
        <f aca="false">IF($A19="","",IFERROR(IF(INDEX(drops!$W$2:$W$21,MATCH($B19,drops!$A$2:$A$21,0))="","",INDEX(drops!$W$2:$W$21,MATCH($B19,drops!$A$2:$A$21,0))),""))</f>
        <v/>
      </c>
      <c r="DS19" s="30" t="str">
        <f aca="false">IF($A19="","",IF($CE19="","",IF($CE19&gt;=config!$B$31,"pass","miss")))</f>
        <v/>
      </c>
      <c r="DT19" s="30" t="str">
        <f aca="false">IF($A19="","",IF($CI19="","",IF($CI19&gt;=config!$B$30,"pass","miss")))</f>
        <v/>
      </c>
      <c r="DU19" s="30" t="str">
        <f aca="true">IF($A19="","",IF($AT19="",IF($DP19="","",IF(IF(config!$B$37&lt;&gt;"",config!$B$37,TODAY())&gt;$DP19,"late","due")),IF($AT19&lt;=$DP19,"pass","late")))</f>
        <v/>
      </c>
      <c r="DV19" s="30" t="str">
        <f aca="false">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ustomFormat="false" ht="15" hidden="false" customHeight="false" outlineLevel="0" collapsed="false">
      <c r="D20" s="10"/>
      <c r="G20" s="12"/>
      <c r="H20" s="11"/>
      <c r="M20" s="10"/>
      <c r="Y20" s="10"/>
      <c r="Z20" s="10"/>
      <c r="AB20" s="11"/>
      <c r="AC20" s="11"/>
      <c r="AD20" s="11"/>
      <c r="AF20" s="11"/>
      <c r="AG20" s="11"/>
      <c r="AT20" s="11"/>
      <c r="AU20" s="11"/>
      <c r="AV20" s="10"/>
      <c r="AW20" s="10"/>
      <c r="AY20" s="11"/>
      <c r="BA20" s="11"/>
      <c r="BB20" s="11"/>
      <c r="BC20" s="11"/>
      <c r="BE20" s="30" t="str">
        <f aca="false">IF($A20="","",IFERROR(IF(INDEX(brands!$K$2:$K$41,MATCH($C20,brands!$A$2:$A$41,0))="","",INDEX(brands!$K$2:$K$41,MATCH($C20,brands!$A$2:$A$41,0))),""))</f>
        <v/>
      </c>
      <c r="BF20" s="30" t="str">
        <f aca="false">IF($A20="","",IFERROR(IF(INDEX(brands!$M$2:$M$41,MATCH($C20,brands!$A$2:$A$41,0))="","",INDEX(brands!$M$2:$M$41,MATCH($C20,brands!$A$2:$A$41,0))),""))</f>
        <v/>
      </c>
      <c r="BG20" s="31" t="str">
        <f aca="false">IF($A20="","",IF(IFERROR(IF(INDEX(drops!$I$2:$I$21,MATCH($B20,drops!$A$2:$A$21,0))="","",INDEX(drops!$I$2:$I$21,MATCH($B20,drops!$A$2:$A$21,0))),"")="OK",IFERROR(IF(INDEX(drops!$B$2:$B$21,MATCH($B20,drops!$A$2:$A$21,0))="","",INDEX(drops!$B$2:$B$21,MATCH($B20,drops!$A$2:$A$21,0))),""),""))</f>
        <v/>
      </c>
      <c r="BH20" s="30" t="str">
        <f aca="false">IF($A20="","",IFERROR(IF(INDEX(drops!$C$2:$C$21,MATCH($B20,drops!$A$2:$A$21,0))="","",INDEX(drops!$C$2:$C$21,MATCH($B20,drops!$A$2:$A$21,0))),""))</f>
        <v/>
      </c>
      <c r="BI20" s="32" t="str">
        <f aca="false">IF($A20="","",IF($F20="","",IF($D20="founding",IF($E20="Y",config!$B$25*MIN($F20,config!$B$26)+config!$B$24*MAX(0,$F20-config!$B$26),config!$B$20+config!$B$24*MAX(0,$F20-config!$B$21)),IF($D20="standard",config!$B$22+config!$B$24*MAX(0,$F20-config!$B$23),""))))</f>
        <v/>
      </c>
      <c r="BJ20" s="32" t="str">
        <f aca="false">IF($A20="","",IF($G20&lt;&gt;"",$G20,$BI20))</f>
        <v/>
      </c>
      <c r="BK20" s="30" t="str">
        <f aca="false">IF($A20="","",IF($D20="founding","100% within "&amp;config!$B$27&amp;" business days of the invoice, before shipping",IF($D20="standard","50% on signing; 50% at placement confirmation (T+1)","")))</f>
        <v/>
      </c>
      <c r="BL20" s="31" t="str">
        <f aca="false">IF($A20="","",IFERROR(IF(INDEX(drops!$K$2:$K$21,MATCH($B20,drops!$A$2:$A$21,0))="","",INDEX(drops!$K$2:$K$21,MATCH($B20,drops!$A$2:$A$21,0))),""))</f>
        <v/>
      </c>
      <c r="BM20" s="31" t="str">
        <f aca="false">IF($A20="","",IFERROR(IF(INDEX(drops!$L$2:$L$21,MATCH($B20,drops!$A$2:$A$21,0))="","",INDEX(drops!$L$2:$L$21,MATCH($B20,drops!$A$2:$A$21,0))),""))</f>
        <v/>
      </c>
      <c r="BN20" s="30" t="str">
        <f aca="false">IF($A20="","",COUNTIF(approvals!$A$2:$A$251,$A20))</f>
        <v/>
      </c>
      <c r="BO20" s="30" t="str">
        <f aca="false">IF($A20="","",COUNTIFS(approvals!$A$2:$A$251,$A20,approvals!$P$2:$P$251,"Y"))</f>
        <v/>
      </c>
      <c r="BP20" s="30" t="str">
        <f aca="false">IF($A20="","",COUNTIFS(approvals!$A$2:$A$251,$A20,approvals!$Q$2:$Q$251,"Y"))</f>
        <v/>
      </c>
      <c r="BQ20" s="30" t="str">
        <f aca="false">IF($A20="","",COUNTIFS(approvals!$A$2:$A$251,$A20,approvals!$P$2:$P$251,"pending"))</f>
        <v/>
      </c>
      <c r="BR20" s="30" t="str">
        <f aca="false">IF($A20="","",SUMIFS(approvals!$S$2:$S$251,approvals!$A$2:$A$251,$A20,approvals!$P$2:$P$251,"Y"))</f>
        <v/>
      </c>
      <c r="BS20" s="30" t="str">
        <f aca="false">IF($A20="","",ROUNDUP($BR20*config!$B$18,0))</f>
        <v/>
      </c>
      <c r="BT20" s="30" t="str">
        <f aca="false">IF($A20="","",$BR20+$BS20)</f>
        <v/>
      </c>
      <c r="BU20" s="32" t="str">
        <f aca="false">IF($A20="","",SUMIFS(invoices!$I$2:$I$151,invoices!$B$2:$B$151,$A20,invoices!$R$2:$R$151,"Y",invoices!$H$2:$H$151,"&gt;0"))</f>
        <v/>
      </c>
      <c r="BV20" s="32" t="str">
        <f aca="false">IF($A20="","",IF($BJ20="","",IF($D20="founding",$BJ20,ROUND($BJ20*config!$B$28,2))))</f>
        <v/>
      </c>
      <c r="BW20" s="30" t="str">
        <f aca="false">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30" t="str">
        <f aca="false">IF($A20="","",SUMIFS(inventory!$G$2:$G$801,inventory!$C$2:$C$801,$A20,inventory!$E$2:$E$801,"received"))</f>
        <v/>
      </c>
      <c r="BY20" s="30" t="str">
        <f aca="false">IF($A20="","",SUMIFS(inventory!$G$2:$G$801,inventory!$C$2:$C$801,$A20,inventory!$E$2:$E$801,"rejected"))</f>
        <v/>
      </c>
      <c r="BZ20" s="30" t="str">
        <f aca="false">IF($A20="","",SUMIFS(inventory!$M$2:$M$801,inventory!$C$2:$C$801,$A20))</f>
        <v/>
      </c>
      <c r="CA20" s="30" t="str">
        <f aca="false">IF($A20="","",SUMIFS(inventory!$O$2:$O$801,inventory!$C$2:$C$801,$A20))</f>
        <v/>
      </c>
      <c r="CB20" s="30" t="str">
        <f aca="false">IF($A20="","",SUMIFS(approvals!$U$2:$U$251,approvals!$A$2:$A$251,$A20))</f>
        <v/>
      </c>
      <c r="CC20" s="30" t="str">
        <f aca="false">IF($A20="","",SUMIFS(approvals!$AA$2:$AA$251,approvals!$A$2:$A$251,$A20))</f>
        <v/>
      </c>
      <c r="CD20" s="30" t="str">
        <f aca="false">IF($A20="","",SUMIFS(approvals!$AA$2:$AA$251,approvals!$A$2:$A$251,$A20,approvals!$AB$2:$AB$251,"Y"))</f>
        <v/>
      </c>
      <c r="CE20" s="34" t="str">
        <f aca="false">IF($A20="","",IF(N($CB20)=0,"",$CD20/$CB20))</f>
        <v/>
      </c>
      <c r="CF20" s="30" t="str">
        <f aca="false">IF($A20="","",SUMIFS(approvals!$AD$2:$AD$251,approvals!$A$2:$A$251,$A20))</f>
        <v/>
      </c>
      <c r="CG20" s="30" t="str">
        <f aca="false">IF($A20="","",IF(COUNTIFS(approvals!$A$2:$A$251,$A20,approvals!$Q$2:$Q$251,"Y",approvals!$AG$2:$AG$251,"")&gt;0,"",SUMIFS(approvals!$AG$2:$AG$251,approvals!$A$2:$A$251,$A20,approvals!$Q$2:$Q$251,"Y")))</f>
        <v/>
      </c>
      <c r="CH20" s="30" t="str">
        <f aca="false">IF($A20="","",SUMIFS(approvals!$AL$2:$AL$251,approvals!$A$2:$A$251,$A20,approvals!$Q$2:$Q$251,"Y"))</f>
        <v/>
      </c>
      <c r="CI20" s="30" t="str">
        <f aca="false">IF($A20="","",IF(N($BP20)=0,"",SUMPRODUCT(MIN(approvals!$BB$2:$BB$251+(approvals!$A$2:$A$251&lt;&gt;$A20)*1000000))))</f>
        <v/>
      </c>
      <c r="CJ20" s="30" t="str">
        <f aca="false">IF($A20="","",COUNTIFS(approvals!$A$2:$A$251,$A20,approvals!$Q$2:$Q$251,"Y",approvals!$AL$2:$AL$251,"&lt;"&amp;config!$B$30))</f>
        <v/>
      </c>
      <c r="CK20" s="30" t="str">
        <f aca="false">IF($A20="","",SUMIFS(approvals!$AM$2:$AM$251,approvals!$A$2:$A$251,$A20,approvals!$Q$2:$Q$251,"Y"))</f>
        <v/>
      </c>
      <c r="CL20" s="30" t="str">
        <f aca="false">IF($A20="","",SUMIFS(approvals!$AQ$2:$AQ$251,approvals!$A$2:$A$251,$A20,approvals!$Q$2:$Q$251,"Y"))</f>
        <v/>
      </c>
      <c r="CM20" s="30" t="str">
        <f aca="false">IF($A20="","",SUMIFS(approvals!$AR$2:$AR$251,approvals!$A$2:$A$251,$A20,approvals!$Q$2:$Q$251,"Y"))</f>
        <v/>
      </c>
      <c r="CN20" s="30" t="str">
        <f aca="false">IF($A20="","",SUMIFS(approvals!$AS$2:$AS$251,approvals!$A$2:$A$251,$A20,approvals!$Q$2:$Q$251,"Y"))</f>
        <v/>
      </c>
      <c r="CO20" s="30" t="str">
        <f aca="false">IF($A20="","",SUMIFS(approvals!$AT$2:$AT$251,approvals!$A$2:$A$251,$A20,approvals!$Q$2:$Q$251,"Y"))</f>
        <v/>
      </c>
      <c r="CP20" s="33" t="str">
        <f aca="false">IF($A20="","",IF(N($CO20)=0,"",ROUND(SUMIFS(approvals!$AU$2:$AU$251,approvals!$A$2:$A$251,$A20,approvals!$Q$2:$Q$251,"Y")/$CO20,1)))</f>
        <v/>
      </c>
      <c r="CQ20" s="30" t="str">
        <f aca="false">IF($A20="","",SUMIFS(approvals!$AV$2:$AV$251,approvals!$A$2:$A$251,$A20,approvals!$Q$2:$Q$251,"Y"))</f>
        <v/>
      </c>
      <c r="CR20" s="30" t="str">
        <f aca="false">IF($A20="","",SUMIFS(approvals!$AW$2:$AW$251,approvals!$A$2:$A$251,$A20,approvals!$Q$2:$Q$251,"Y"))</f>
        <v/>
      </c>
      <c r="CS20" s="30" t="str">
        <f aca="false">IF($A20="","",SUMIFS(approvals!$AX$2:$AX$251,approvals!$A$2:$A$251,$A20,approvals!$Q$2:$Q$251,"Y"))</f>
        <v/>
      </c>
      <c r="CT20" s="30" t="str">
        <f aca="false">IF($A20="","",SUMIFS(approvals!$AY$2:$AY$251,approvals!$A$2:$A$251,$A20,approvals!$Q$2:$Q$251,"Y"))</f>
        <v/>
      </c>
      <c r="CU20" s="30" t="str">
        <f aca="true">IF($A20="","",IF(OR($BG20="",$BC20&lt;&gt;""),"",IFERROR(COUNT(INDIRECT("'"&amp;$A20&amp;"'!$A$2:$A$501")),0)-IFERROR(COUNTIFS(INDIRECT("'"&amp;$A20&amp;"'!$A$2:$A$501"),"&gt;="&amp;$BG20,INDIRECT("'"&amp;$A20&amp;"'!$A$2:$A$501"),"&lt;"&amp;(IFERROR(IF(INDEX(drops!$R$2:$R$21,MATCH($B20,drops!$A$2:$A$21,0))="","",INDEX(drops!$R$2:$R$21,MATCH($B20,drops!$A$2:$A$21,0))),"")+1)),0)))</f>
        <v/>
      </c>
      <c r="CV20" s="30" t="str">
        <f aca="true">IF($A20="","",IF(OR($BG20="",$BC20&lt;&gt;""),"",IFERROR(COUNTIFS(INDIRECT("'"&amp;$A20&amp;"'!$A$2:$A$501"),"&gt;="&amp;$BG20,INDIRECT("'"&amp;$A20&amp;"'!$A$2:$A$501"),"&lt;"&amp;(IFERROR(IF(INDEX(drops!$R$2:$R$21,MATCH($B20,drops!$A$2:$A$21,0))="","",INDEX(drops!$R$2:$R$21,MATCH($B20,drops!$A$2:$A$21,0))),"")+1)),0)-N($CH20)-N($CW20)))</f>
        <v/>
      </c>
      <c r="CW20" s="30" t="str">
        <f aca="false">IF($A20="","",IF($BG20="","",SUMIFS(approvals!$AL$2:$AL$251,approvals!$A$2:$A$251,$A20,approvals!$Q$2:$Q$251,"&lt;&gt;Y")))</f>
        <v/>
      </c>
      <c r="CX20" s="30" t="str">
        <f aca="false">IF($A20="","",SUMIFS(approvals!$AN$2:$AN$251,approvals!$A$2:$A$251,$A20,approvals!$Q$2:$Q$251,"Y"))</f>
        <v/>
      </c>
      <c r="CY20" s="30" t="str">
        <f aca="false">IF($A20="","",SUMIFS(approvals!$AO$2:$AO$251,approvals!$A$2:$A$251,$A20,approvals!$Q$2:$Q$251,"Y"))</f>
        <v/>
      </c>
      <c r="CZ20" s="30" t="str">
        <f aca="false">IF($A20="","",IF($DA20="","",SUMIFS(redemptions!$C$2:$C$121,redemptions!$A$2:$A$121,$A20,redemptions!$B$2:$B$121,$DA20)))</f>
        <v/>
      </c>
      <c r="DA20" s="31" t="str">
        <f aca="false">IF($A20="","",IFERROR(1/(1/SUMPRODUCT(MAX((redemptions!$A$2:$A$121=$A20)*redemptions!$B$2:$B$121))),""))</f>
        <v/>
      </c>
      <c r="DB20" s="30" t="str">
        <f aca="false">IF($A20="","",IF(COUNTIFS(redemptions!$A$2:$A$121,$A20,redemptions!$H$2:$H$121,"Y")=0,"",SUMIFS(redemptions!$C$2:$C$121,redemptions!$A$2:$A$121,$A20,redemptions!$B$2:$B$121,SUMPRODUCT(MIN((redemptions!$A$2:$A$121=$A20)*(redemptions!$H$2:$H$121="Y")*redemptions!$B$2:$B$121+((redemptions!$A$2:$A$121&lt;&gt;$A20)+(redemptions!$H$2:$H$121&lt;&gt;"Y")&gt;0)*1000000)))))</f>
        <v/>
      </c>
      <c r="DC20" s="32" t="str">
        <f aca="false">IF($A20="","",SUMIFS(invoices!$E$2:$E$151,invoices!$B$2:$B$151,$A20))</f>
        <v/>
      </c>
      <c r="DD20" s="32" t="str">
        <f aca="false">IF($A20="","",IF(COUNTIFS(invoices!$B$2:$B$151,$A20,invoices!$C$2:$C$151,"standard_deposit",invoices!$H$2:$H$151,"&gt;0")=0,"",SUMIFS(invoices!$I$2:$I$151,invoices!$B$2:$B$151,$A20,invoices!$C$2:$C$151,"standard_deposit")))</f>
        <v/>
      </c>
      <c r="DE20" s="31" t="str">
        <f aca="false">IF($A20="","",IFERROR(1/(1/SUMPRODUCT(MAX((invoices!$B$2:$B$151=$A20)*(invoices!$C$2:$C$151="standard_deposit")*invoices!$H$2:$H$151))),""))</f>
        <v/>
      </c>
      <c r="DF20" s="31" t="str">
        <f aca="false">IF($A20="","",IFERROR(1/(1/SUMPRODUCT(MAX((invoices!$B$2:$B$151=$A20)*((invoices!$C$2:$C$151="founding_full")+(invoices!$C$2:$C$151="standard_balance"))*invoices!$H$2:$H$151))),""))</f>
        <v/>
      </c>
      <c r="DG20" s="32" t="str">
        <f aca="false">IF($A20="","",SUMIFS(invoices!$L$2:$L$151,invoices!$B$2:$B$151,$A20))</f>
        <v/>
      </c>
      <c r="DH20" s="32" t="str">
        <f aca="false">IF($A20="","",SUMIFS(costs!$E$2:$E$301,costs!$C$2:$C$301,$A20))</f>
        <v/>
      </c>
      <c r="DI20" s="32" t="str">
        <f aca="false">IF($A20="","",ROUND(IF(SUMIFS(campaigns!$BO$2:$BO$51,campaigns!$B$2:$B$51,$B20)=0,0,$BO20/SUMIFS(campaigns!$BO$2:$BO$51,campaigns!$B$2:$B$51,$B20))*(SUMIFS(costs!$E$2:$E$301,costs!$B$2:$B$301,$B20)-SUMPRODUCT((costs!$B$2:$B$301=$B20)*(LEN(costs!$C$2:$C$301)&gt;0)*costs!$E$2:$E$301)),2))</f>
        <v/>
      </c>
      <c r="DJ20" s="33" t="str">
        <f aca="false">IF($A20="","",SUMIFS(hours!$E$2:$E$1501,hours!$C$2:$C$1501,$A20))</f>
        <v/>
      </c>
      <c r="DK20" s="33" t="str">
        <f aca="false">IF($A20="","",ROUND(IF(SUMIFS(campaigns!$BO$2:$BO$51,campaigns!$B$2:$B$51,$B20)=0,0,$BO20/SUMIFS(campaigns!$BO$2:$BO$51,campaigns!$B$2:$B$51,$B20))*(SUMIFS(hours!$E$2:$E$1501,hours!$B$2:$B$1501,$B20)-SUMPRODUCT((hours!$B$2:$B$1501=$B20)*(LEN(hours!$C$2:$C$1501)&gt;0)*hours!$E$2:$E$1501)),2))</f>
        <v/>
      </c>
      <c r="DL20" s="32" t="str">
        <f aca="false">IF($A20="","",$DC20-$DG20-$DH20-$DI20)</f>
        <v/>
      </c>
      <c r="DM20" s="32" t="str">
        <f aca="false">IF($A20="","",IF(N($DJ20)+N($DK20)=0,"",ROUND($DL20/($DJ20+$DK20),2)))</f>
        <v/>
      </c>
      <c r="DN20" s="34" t="str">
        <f aca="false">IF($A20="","",IF(N($BP20)=0,"",COUNTIFS(approvals!$A$2:$A$251,$A20,approvals!$Q$2:$Q$251,"Y",approvals!$AK$2:$AK$251,"Y")/$BP20))</f>
        <v/>
      </c>
      <c r="DO20" s="33" t="str">
        <f aca="false">IF($A20="","",IF(COUNTIFS(approvals!$A$2:$A$251,$A20,approvals!$AC$2:$AC$251,"&gt;=0")=0,"",ROUND(SUMIFS(approvals!$AC$2:$AC$251,approvals!$A$2:$A$251,$A20)/COUNTIFS(approvals!$A$2:$A$251,$A20,approvals!$AC$2:$AC$251,"&gt;=0"),1)))</f>
        <v/>
      </c>
      <c r="DP20" s="31" t="str">
        <f aca="false">IF($A20="","",IFERROR(IF(INDEX(drops!$T$2:$T$21,MATCH($B20,drops!$A$2:$A$21,0))="","",INDEX(drops!$T$2:$T$21,MATCH($B20,drops!$A$2:$A$21,0))),""))</f>
        <v/>
      </c>
      <c r="DQ20" s="31" t="str">
        <f aca="false">IF($A20="","",IFERROR(IF(INDEX(drops!$U$2:$U$21,MATCH($B20,drops!$A$2:$A$21,0))="","",INDEX(drops!$U$2:$U$21,MATCH($B20,drops!$A$2:$A$21,0))),""))</f>
        <v/>
      </c>
      <c r="DR20" s="31" t="str">
        <f aca="false">IF($A20="","",IFERROR(IF(INDEX(drops!$W$2:$W$21,MATCH($B20,drops!$A$2:$A$21,0))="","",INDEX(drops!$W$2:$W$21,MATCH($B20,drops!$A$2:$A$21,0))),""))</f>
        <v/>
      </c>
      <c r="DS20" s="30" t="str">
        <f aca="false">IF($A20="","",IF($CE20="","",IF($CE20&gt;=config!$B$31,"pass","miss")))</f>
        <v/>
      </c>
      <c r="DT20" s="30" t="str">
        <f aca="false">IF($A20="","",IF($CI20="","",IF($CI20&gt;=config!$B$30,"pass","miss")))</f>
        <v/>
      </c>
      <c r="DU20" s="30" t="str">
        <f aca="true">IF($A20="","",IF($AT20="",IF($DP20="","",IF(IF(config!$B$37&lt;&gt;"",config!$B$37,TODAY())&gt;$DP20,"late","due")),IF($AT20&lt;=$DP20,"pass","late")))</f>
        <v/>
      </c>
      <c r="DV20" s="30" t="str">
        <f aca="false">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ustomFormat="false" ht="15" hidden="false" customHeight="false" outlineLevel="0" collapsed="false">
      <c r="D21" s="10"/>
      <c r="G21" s="12"/>
      <c r="H21" s="11"/>
      <c r="M21" s="10"/>
      <c r="Y21" s="10"/>
      <c r="Z21" s="10"/>
      <c r="AB21" s="11"/>
      <c r="AC21" s="11"/>
      <c r="AD21" s="11"/>
      <c r="AF21" s="11"/>
      <c r="AG21" s="11"/>
      <c r="AT21" s="11"/>
      <c r="AU21" s="11"/>
      <c r="AV21" s="10"/>
      <c r="AW21" s="10"/>
      <c r="AY21" s="11"/>
      <c r="BA21" s="11"/>
      <c r="BB21" s="11"/>
      <c r="BC21" s="11"/>
      <c r="BE21" s="30" t="str">
        <f aca="false">IF($A21="","",IFERROR(IF(INDEX(brands!$K$2:$K$41,MATCH($C21,brands!$A$2:$A$41,0))="","",INDEX(brands!$K$2:$K$41,MATCH($C21,brands!$A$2:$A$41,0))),""))</f>
        <v/>
      </c>
      <c r="BF21" s="30" t="str">
        <f aca="false">IF($A21="","",IFERROR(IF(INDEX(brands!$M$2:$M$41,MATCH($C21,brands!$A$2:$A$41,0))="","",INDEX(brands!$M$2:$M$41,MATCH($C21,brands!$A$2:$A$41,0))),""))</f>
        <v/>
      </c>
      <c r="BG21" s="31" t="str">
        <f aca="false">IF($A21="","",IF(IFERROR(IF(INDEX(drops!$I$2:$I$21,MATCH($B21,drops!$A$2:$A$21,0))="","",INDEX(drops!$I$2:$I$21,MATCH($B21,drops!$A$2:$A$21,0))),"")="OK",IFERROR(IF(INDEX(drops!$B$2:$B$21,MATCH($B21,drops!$A$2:$A$21,0))="","",INDEX(drops!$B$2:$B$21,MATCH($B21,drops!$A$2:$A$21,0))),""),""))</f>
        <v/>
      </c>
      <c r="BH21" s="30" t="str">
        <f aca="false">IF($A21="","",IFERROR(IF(INDEX(drops!$C$2:$C$21,MATCH($B21,drops!$A$2:$A$21,0))="","",INDEX(drops!$C$2:$C$21,MATCH($B21,drops!$A$2:$A$21,0))),""))</f>
        <v/>
      </c>
      <c r="BI21" s="32" t="str">
        <f aca="false">IF($A21="","",IF($F21="","",IF($D21="founding",IF($E21="Y",config!$B$25*MIN($F21,config!$B$26)+config!$B$24*MAX(0,$F21-config!$B$26),config!$B$20+config!$B$24*MAX(0,$F21-config!$B$21)),IF($D21="standard",config!$B$22+config!$B$24*MAX(0,$F21-config!$B$23),""))))</f>
        <v/>
      </c>
      <c r="BJ21" s="32" t="str">
        <f aca="false">IF($A21="","",IF($G21&lt;&gt;"",$G21,$BI21))</f>
        <v/>
      </c>
      <c r="BK21" s="30" t="str">
        <f aca="false">IF($A21="","",IF($D21="founding","100% within "&amp;config!$B$27&amp;" business days of the invoice, before shipping",IF($D21="standard","50% on signing; 50% at placement confirmation (T+1)","")))</f>
        <v/>
      </c>
      <c r="BL21" s="31" t="str">
        <f aca="false">IF($A21="","",IFERROR(IF(INDEX(drops!$K$2:$K$21,MATCH($B21,drops!$A$2:$A$21,0))="","",INDEX(drops!$K$2:$K$21,MATCH($B21,drops!$A$2:$A$21,0))),""))</f>
        <v/>
      </c>
      <c r="BM21" s="31" t="str">
        <f aca="false">IF($A21="","",IFERROR(IF(INDEX(drops!$L$2:$L$21,MATCH($B21,drops!$A$2:$A$21,0))="","",INDEX(drops!$L$2:$L$21,MATCH($B21,drops!$A$2:$A$21,0))),""))</f>
        <v/>
      </c>
      <c r="BN21" s="30" t="str">
        <f aca="false">IF($A21="","",COUNTIF(approvals!$A$2:$A$251,$A21))</f>
        <v/>
      </c>
      <c r="BO21" s="30" t="str">
        <f aca="false">IF($A21="","",COUNTIFS(approvals!$A$2:$A$251,$A21,approvals!$P$2:$P$251,"Y"))</f>
        <v/>
      </c>
      <c r="BP21" s="30" t="str">
        <f aca="false">IF($A21="","",COUNTIFS(approvals!$A$2:$A$251,$A21,approvals!$Q$2:$Q$251,"Y"))</f>
        <v/>
      </c>
      <c r="BQ21" s="30" t="str">
        <f aca="false">IF($A21="","",COUNTIFS(approvals!$A$2:$A$251,$A21,approvals!$P$2:$P$251,"pending"))</f>
        <v/>
      </c>
      <c r="BR21" s="30" t="str">
        <f aca="false">IF($A21="","",SUMIFS(approvals!$S$2:$S$251,approvals!$A$2:$A$251,$A21,approvals!$P$2:$P$251,"Y"))</f>
        <v/>
      </c>
      <c r="BS21" s="30" t="str">
        <f aca="false">IF($A21="","",ROUNDUP($BR21*config!$B$18,0))</f>
        <v/>
      </c>
      <c r="BT21" s="30" t="str">
        <f aca="false">IF($A21="","",$BR21+$BS21)</f>
        <v/>
      </c>
      <c r="BU21" s="32" t="str">
        <f aca="false">IF($A21="","",SUMIFS(invoices!$I$2:$I$151,invoices!$B$2:$B$151,$A21,invoices!$R$2:$R$151,"Y",invoices!$H$2:$H$151,"&gt;0"))</f>
        <v/>
      </c>
      <c r="BV21" s="32" t="str">
        <f aca="false">IF($A21="","",IF($BJ21="","",IF($D21="founding",$BJ21,ROUND($BJ21*config!$B$28,2))))</f>
        <v/>
      </c>
      <c r="BW21" s="30" t="str">
        <f aca="false">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30" t="str">
        <f aca="false">IF($A21="","",SUMIFS(inventory!$G$2:$G$801,inventory!$C$2:$C$801,$A21,inventory!$E$2:$E$801,"received"))</f>
        <v/>
      </c>
      <c r="BY21" s="30" t="str">
        <f aca="false">IF($A21="","",SUMIFS(inventory!$G$2:$G$801,inventory!$C$2:$C$801,$A21,inventory!$E$2:$E$801,"rejected"))</f>
        <v/>
      </c>
      <c r="BZ21" s="30" t="str">
        <f aca="false">IF($A21="","",SUMIFS(inventory!$M$2:$M$801,inventory!$C$2:$C$801,$A21))</f>
        <v/>
      </c>
      <c r="CA21" s="30" t="str">
        <f aca="false">IF($A21="","",SUMIFS(inventory!$O$2:$O$801,inventory!$C$2:$C$801,$A21))</f>
        <v/>
      </c>
      <c r="CB21" s="30" t="str">
        <f aca="false">IF($A21="","",SUMIFS(approvals!$U$2:$U$251,approvals!$A$2:$A$251,$A21))</f>
        <v/>
      </c>
      <c r="CC21" s="30" t="str">
        <f aca="false">IF($A21="","",SUMIFS(approvals!$AA$2:$AA$251,approvals!$A$2:$A$251,$A21))</f>
        <v/>
      </c>
      <c r="CD21" s="30" t="str">
        <f aca="false">IF($A21="","",SUMIFS(approvals!$AA$2:$AA$251,approvals!$A$2:$A$251,$A21,approvals!$AB$2:$AB$251,"Y"))</f>
        <v/>
      </c>
      <c r="CE21" s="34" t="str">
        <f aca="false">IF($A21="","",IF(N($CB21)=0,"",$CD21/$CB21))</f>
        <v/>
      </c>
      <c r="CF21" s="30" t="str">
        <f aca="false">IF($A21="","",SUMIFS(approvals!$AD$2:$AD$251,approvals!$A$2:$A$251,$A21))</f>
        <v/>
      </c>
      <c r="CG21" s="30" t="str">
        <f aca="false">IF($A21="","",IF(COUNTIFS(approvals!$A$2:$A$251,$A21,approvals!$Q$2:$Q$251,"Y",approvals!$AG$2:$AG$251,"")&gt;0,"",SUMIFS(approvals!$AG$2:$AG$251,approvals!$A$2:$A$251,$A21,approvals!$Q$2:$Q$251,"Y")))</f>
        <v/>
      </c>
      <c r="CH21" s="30" t="str">
        <f aca="false">IF($A21="","",SUMIFS(approvals!$AL$2:$AL$251,approvals!$A$2:$A$251,$A21,approvals!$Q$2:$Q$251,"Y"))</f>
        <v/>
      </c>
      <c r="CI21" s="30" t="str">
        <f aca="false">IF($A21="","",IF(N($BP21)=0,"",SUMPRODUCT(MIN(approvals!$BB$2:$BB$251+(approvals!$A$2:$A$251&lt;&gt;$A21)*1000000))))</f>
        <v/>
      </c>
      <c r="CJ21" s="30" t="str">
        <f aca="false">IF($A21="","",COUNTIFS(approvals!$A$2:$A$251,$A21,approvals!$Q$2:$Q$251,"Y",approvals!$AL$2:$AL$251,"&lt;"&amp;config!$B$30))</f>
        <v/>
      </c>
      <c r="CK21" s="30" t="str">
        <f aca="false">IF($A21="","",SUMIFS(approvals!$AM$2:$AM$251,approvals!$A$2:$A$251,$A21,approvals!$Q$2:$Q$251,"Y"))</f>
        <v/>
      </c>
      <c r="CL21" s="30" t="str">
        <f aca="false">IF($A21="","",SUMIFS(approvals!$AQ$2:$AQ$251,approvals!$A$2:$A$251,$A21,approvals!$Q$2:$Q$251,"Y"))</f>
        <v/>
      </c>
      <c r="CM21" s="30" t="str">
        <f aca="false">IF($A21="","",SUMIFS(approvals!$AR$2:$AR$251,approvals!$A$2:$A$251,$A21,approvals!$Q$2:$Q$251,"Y"))</f>
        <v/>
      </c>
      <c r="CN21" s="30" t="str">
        <f aca="false">IF($A21="","",SUMIFS(approvals!$AS$2:$AS$251,approvals!$A$2:$A$251,$A21,approvals!$Q$2:$Q$251,"Y"))</f>
        <v/>
      </c>
      <c r="CO21" s="30" t="str">
        <f aca="false">IF($A21="","",SUMIFS(approvals!$AT$2:$AT$251,approvals!$A$2:$A$251,$A21,approvals!$Q$2:$Q$251,"Y"))</f>
        <v/>
      </c>
      <c r="CP21" s="33" t="str">
        <f aca="false">IF($A21="","",IF(N($CO21)=0,"",ROUND(SUMIFS(approvals!$AU$2:$AU$251,approvals!$A$2:$A$251,$A21,approvals!$Q$2:$Q$251,"Y")/$CO21,1)))</f>
        <v/>
      </c>
      <c r="CQ21" s="30" t="str">
        <f aca="false">IF($A21="","",SUMIFS(approvals!$AV$2:$AV$251,approvals!$A$2:$A$251,$A21,approvals!$Q$2:$Q$251,"Y"))</f>
        <v/>
      </c>
      <c r="CR21" s="30" t="str">
        <f aca="false">IF($A21="","",SUMIFS(approvals!$AW$2:$AW$251,approvals!$A$2:$A$251,$A21,approvals!$Q$2:$Q$251,"Y"))</f>
        <v/>
      </c>
      <c r="CS21" s="30" t="str">
        <f aca="false">IF($A21="","",SUMIFS(approvals!$AX$2:$AX$251,approvals!$A$2:$A$251,$A21,approvals!$Q$2:$Q$251,"Y"))</f>
        <v/>
      </c>
      <c r="CT21" s="30" t="str">
        <f aca="false">IF($A21="","",SUMIFS(approvals!$AY$2:$AY$251,approvals!$A$2:$A$251,$A21,approvals!$Q$2:$Q$251,"Y"))</f>
        <v/>
      </c>
      <c r="CU21" s="30" t="str">
        <f aca="true">IF($A21="","",IF(OR($BG21="",$BC21&lt;&gt;""),"",IFERROR(COUNT(INDIRECT("'"&amp;$A21&amp;"'!$A$2:$A$501")),0)-IFERROR(COUNTIFS(INDIRECT("'"&amp;$A21&amp;"'!$A$2:$A$501"),"&gt;="&amp;$BG21,INDIRECT("'"&amp;$A21&amp;"'!$A$2:$A$501"),"&lt;"&amp;(IFERROR(IF(INDEX(drops!$R$2:$R$21,MATCH($B21,drops!$A$2:$A$21,0))="","",INDEX(drops!$R$2:$R$21,MATCH($B21,drops!$A$2:$A$21,0))),"")+1)),0)))</f>
        <v/>
      </c>
      <c r="CV21" s="30" t="str">
        <f aca="true">IF($A21="","",IF(OR($BG21="",$BC21&lt;&gt;""),"",IFERROR(COUNTIFS(INDIRECT("'"&amp;$A21&amp;"'!$A$2:$A$501"),"&gt;="&amp;$BG21,INDIRECT("'"&amp;$A21&amp;"'!$A$2:$A$501"),"&lt;"&amp;(IFERROR(IF(INDEX(drops!$R$2:$R$21,MATCH($B21,drops!$A$2:$A$21,0))="","",INDEX(drops!$R$2:$R$21,MATCH($B21,drops!$A$2:$A$21,0))),"")+1)),0)-N($CH21)-N($CW21)))</f>
        <v/>
      </c>
      <c r="CW21" s="30" t="str">
        <f aca="false">IF($A21="","",IF($BG21="","",SUMIFS(approvals!$AL$2:$AL$251,approvals!$A$2:$A$251,$A21,approvals!$Q$2:$Q$251,"&lt;&gt;Y")))</f>
        <v/>
      </c>
      <c r="CX21" s="30" t="str">
        <f aca="false">IF($A21="","",SUMIFS(approvals!$AN$2:$AN$251,approvals!$A$2:$A$251,$A21,approvals!$Q$2:$Q$251,"Y"))</f>
        <v/>
      </c>
      <c r="CY21" s="30" t="str">
        <f aca="false">IF($A21="","",SUMIFS(approvals!$AO$2:$AO$251,approvals!$A$2:$A$251,$A21,approvals!$Q$2:$Q$251,"Y"))</f>
        <v/>
      </c>
      <c r="CZ21" s="30" t="str">
        <f aca="false">IF($A21="","",IF($DA21="","",SUMIFS(redemptions!$C$2:$C$121,redemptions!$A$2:$A$121,$A21,redemptions!$B$2:$B$121,$DA21)))</f>
        <v/>
      </c>
      <c r="DA21" s="31" t="str">
        <f aca="false">IF($A21="","",IFERROR(1/(1/SUMPRODUCT(MAX((redemptions!$A$2:$A$121=$A21)*redemptions!$B$2:$B$121))),""))</f>
        <v/>
      </c>
      <c r="DB21" s="30" t="str">
        <f aca="false">IF($A21="","",IF(COUNTIFS(redemptions!$A$2:$A$121,$A21,redemptions!$H$2:$H$121,"Y")=0,"",SUMIFS(redemptions!$C$2:$C$121,redemptions!$A$2:$A$121,$A21,redemptions!$B$2:$B$121,SUMPRODUCT(MIN((redemptions!$A$2:$A$121=$A21)*(redemptions!$H$2:$H$121="Y")*redemptions!$B$2:$B$121+((redemptions!$A$2:$A$121&lt;&gt;$A21)+(redemptions!$H$2:$H$121&lt;&gt;"Y")&gt;0)*1000000)))))</f>
        <v/>
      </c>
      <c r="DC21" s="32" t="str">
        <f aca="false">IF($A21="","",SUMIFS(invoices!$E$2:$E$151,invoices!$B$2:$B$151,$A21))</f>
        <v/>
      </c>
      <c r="DD21" s="32" t="str">
        <f aca="false">IF($A21="","",IF(COUNTIFS(invoices!$B$2:$B$151,$A21,invoices!$C$2:$C$151,"standard_deposit",invoices!$H$2:$H$151,"&gt;0")=0,"",SUMIFS(invoices!$I$2:$I$151,invoices!$B$2:$B$151,$A21,invoices!$C$2:$C$151,"standard_deposit")))</f>
        <v/>
      </c>
      <c r="DE21" s="31" t="str">
        <f aca="false">IF($A21="","",IFERROR(1/(1/SUMPRODUCT(MAX((invoices!$B$2:$B$151=$A21)*(invoices!$C$2:$C$151="standard_deposit")*invoices!$H$2:$H$151))),""))</f>
        <v/>
      </c>
      <c r="DF21" s="31" t="str">
        <f aca="false">IF($A21="","",IFERROR(1/(1/SUMPRODUCT(MAX((invoices!$B$2:$B$151=$A21)*((invoices!$C$2:$C$151="founding_full")+(invoices!$C$2:$C$151="standard_balance"))*invoices!$H$2:$H$151))),""))</f>
        <v/>
      </c>
      <c r="DG21" s="32" t="str">
        <f aca="false">IF($A21="","",SUMIFS(invoices!$L$2:$L$151,invoices!$B$2:$B$151,$A21))</f>
        <v/>
      </c>
      <c r="DH21" s="32" t="str">
        <f aca="false">IF($A21="","",SUMIFS(costs!$E$2:$E$301,costs!$C$2:$C$301,$A21))</f>
        <v/>
      </c>
      <c r="DI21" s="32" t="str">
        <f aca="false">IF($A21="","",ROUND(IF(SUMIFS(campaigns!$BO$2:$BO$51,campaigns!$B$2:$B$51,$B21)=0,0,$BO21/SUMIFS(campaigns!$BO$2:$BO$51,campaigns!$B$2:$B$51,$B21))*(SUMIFS(costs!$E$2:$E$301,costs!$B$2:$B$301,$B21)-SUMPRODUCT((costs!$B$2:$B$301=$B21)*(LEN(costs!$C$2:$C$301)&gt;0)*costs!$E$2:$E$301)),2))</f>
        <v/>
      </c>
      <c r="DJ21" s="33" t="str">
        <f aca="false">IF($A21="","",SUMIFS(hours!$E$2:$E$1501,hours!$C$2:$C$1501,$A21))</f>
        <v/>
      </c>
      <c r="DK21" s="33" t="str">
        <f aca="false">IF($A21="","",ROUND(IF(SUMIFS(campaigns!$BO$2:$BO$51,campaigns!$B$2:$B$51,$B21)=0,0,$BO21/SUMIFS(campaigns!$BO$2:$BO$51,campaigns!$B$2:$B$51,$B21))*(SUMIFS(hours!$E$2:$E$1501,hours!$B$2:$B$1501,$B21)-SUMPRODUCT((hours!$B$2:$B$1501=$B21)*(LEN(hours!$C$2:$C$1501)&gt;0)*hours!$E$2:$E$1501)),2))</f>
        <v/>
      </c>
      <c r="DL21" s="32" t="str">
        <f aca="false">IF($A21="","",$DC21-$DG21-$DH21-$DI21)</f>
        <v/>
      </c>
      <c r="DM21" s="32" t="str">
        <f aca="false">IF($A21="","",IF(N($DJ21)+N($DK21)=0,"",ROUND($DL21/($DJ21+$DK21),2)))</f>
        <v/>
      </c>
      <c r="DN21" s="34" t="str">
        <f aca="false">IF($A21="","",IF(N($BP21)=0,"",COUNTIFS(approvals!$A$2:$A$251,$A21,approvals!$Q$2:$Q$251,"Y",approvals!$AK$2:$AK$251,"Y")/$BP21))</f>
        <v/>
      </c>
      <c r="DO21" s="33" t="str">
        <f aca="false">IF($A21="","",IF(COUNTIFS(approvals!$A$2:$A$251,$A21,approvals!$AC$2:$AC$251,"&gt;=0")=0,"",ROUND(SUMIFS(approvals!$AC$2:$AC$251,approvals!$A$2:$A$251,$A21)/COUNTIFS(approvals!$A$2:$A$251,$A21,approvals!$AC$2:$AC$251,"&gt;=0"),1)))</f>
        <v/>
      </c>
      <c r="DP21" s="31" t="str">
        <f aca="false">IF($A21="","",IFERROR(IF(INDEX(drops!$T$2:$T$21,MATCH($B21,drops!$A$2:$A$21,0))="","",INDEX(drops!$T$2:$T$21,MATCH($B21,drops!$A$2:$A$21,0))),""))</f>
        <v/>
      </c>
      <c r="DQ21" s="31" t="str">
        <f aca="false">IF($A21="","",IFERROR(IF(INDEX(drops!$U$2:$U$21,MATCH($B21,drops!$A$2:$A$21,0))="","",INDEX(drops!$U$2:$U$21,MATCH($B21,drops!$A$2:$A$21,0))),""))</f>
        <v/>
      </c>
      <c r="DR21" s="31" t="str">
        <f aca="false">IF($A21="","",IFERROR(IF(INDEX(drops!$W$2:$W$21,MATCH($B21,drops!$A$2:$A$21,0))="","",INDEX(drops!$W$2:$W$21,MATCH($B21,drops!$A$2:$A$21,0))),""))</f>
        <v/>
      </c>
      <c r="DS21" s="30" t="str">
        <f aca="false">IF($A21="","",IF($CE21="","",IF($CE21&gt;=config!$B$31,"pass","miss")))</f>
        <v/>
      </c>
      <c r="DT21" s="30" t="str">
        <f aca="false">IF($A21="","",IF($CI21="","",IF($CI21&gt;=config!$B$30,"pass","miss")))</f>
        <v/>
      </c>
      <c r="DU21" s="30" t="str">
        <f aca="true">IF($A21="","",IF($AT21="",IF($DP21="","",IF(IF(config!$B$37&lt;&gt;"",config!$B$37,TODAY())&gt;$DP21,"late","due")),IF($AT21&lt;=$DP21,"pass","late")))</f>
        <v/>
      </c>
      <c r="DV21" s="30" t="str">
        <f aca="false">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ustomFormat="false" ht="15" hidden="false" customHeight="false" outlineLevel="0" collapsed="false">
      <c r="D22" s="10"/>
      <c r="G22" s="12"/>
      <c r="H22" s="11"/>
      <c r="M22" s="10"/>
      <c r="Y22" s="10"/>
      <c r="Z22" s="10"/>
      <c r="AB22" s="11"/>
      <c r="AC22" s="11"/>
      <c r="AD22" s="11"/>
      <c r="AF22" s="11"/>
      <c r="AG22" s="11"/>
      <c r="AT22" s="11"/>
      <c r="AU22" s="11"/>
      <c r="AV22" s="10"/>
      <c r="AW22" s="10"/>
      <c r="AY22" s="11"/>
      <c r="BA22" s="11"/>
      <c r="BB22" s="11"/>
      <c r="BC22" s="11"/>
      <c r="BE22" s="30" t="str">
        <f aca="false">IF($A22="","",IFERROR(IF(INDEX(brands!$K$2:$K$41,MATCH($C22,brands!$A$2:$A$41,0))="","",INDEX(brands!$K$2:$K$41,MATCH($C22,brands!$A$2:$A$41,0))),""))</f>
        <v/>
      </c>
      <c r="BF22" s="30" t="str">
        <f aca="false">IF($A22="","",IFERROR(IF(INDEX(brands!$M$2:$M$41,MATCH($C22,brands!$A$2:$A$41,0))="","",INDEX(brands!$M$2:$M$41,MATCH($C22,brands!$A$2:$A$41,0))),""))</f>
        <v/>
      </c>
      <c r="BG22" s="31" t="str">
        <f aca="false">IF($A22="","",IF(IFERROR(IF(INDEX(drops!$I$2:$I$21,MATCH($B22,drops!$A$2:$A$21,0))="","",INDEX(drops!$I$2:$I$21,MATCH($B22,drops!$A$2:$A$21,0))),"")="OK",IFERROR(IF(INDEX(drops!$B$2:$B$21,MATCH($B22,drops!$A$2:$A$21,0))="","",INDEX(drops!$B$2:$B$21,MATCH($B22,drops!$A$2:$A$21,0))),""),""))</f>
        <v/>
      </c>
      <c r="BH22" s="30" t="str">
        <f aca="false">IF($A22="","",IFERROR(IF(INDEX(drops!$C$2:$C$21,MATCH($B22,drops!$A$2:$A$21,0))="","",INDEX(drops!$C$2:$C$21,MATCH($B22,drops!$A$2:$A$21,0))),""))</f>
        <v/>
      </c>
      <c r="BI22" s="32" t="str">
        <f aca="false">IF($A22="","",IF($F22="","",IF($D22="founding",IF($E22="Y",config!$B$25*MIN($F22,config!$B$26)+config!$B$24*MAX(0,$F22-config!$B$26),config!$B$20+config!$B$24*MAX(0,$F22-config!$B$21)),IF($D22="standard",config!$B$22+config!$B$24*MAX(0,$F22-config!$B$23),""))))</f>
        <v/>
      </c>
      <c r="BJ22" s="32" t="str">
        <f aca="false">IF($A22="","",IF($G22&lt;&gt;"",$G22,$BI22))</f>
        <v/>
      </c>
      <c r="BK22" s="30" t="str">
        <f aca="false">IF($A22="","",IF($D22="founding","100% within "&amp;config!$B$27&amp;" business days of the invoice, before shipping",IF($D22="standard","50% on signing; 50% at placement confirmation (T+1)","")))</f>
        <v/>
      </c>
      <c r="BL22" s="31" t="str">
        <f aca="false">IF($A22="","",IFERROR(IF(INDEX(drops!$K$2:$K$21,MATCH($B22,drops!$A$2:$A$21,0))="","",INDEX(drops!$K$2:$K$21,MATCH($B22,drops!$A$2:$A$21,0))),""))</f>
        <v/>
      </c>
      <c r="BM22" s="31" t="str">
        <f aca="false">IF($A22="","",IFERROR(IF(INDEX(drops!$L$2:$L$21,MATCH($B22,drops!$A$2:$A$21,0))="","",INDEX(drops!$L$2:$L$21,MATCH($B22,drops!$A$2:$A$21,0))),""))</f>
        <v/>
      </c>
      <c r="BN22" s="30" t="str">
        <f aca="false">IF($A22="","",COUNTIF(approvals!$A$2:$A$251,$A22))</f>
        <v/>
      </c>
      <c r="BO22" s="30" t="str">
        <f aca="false">IF($A22="","",COUNTIFS(approvals!$A$2:$A$251,$A22,approvals!$P$2:$P$251,"Y"))</f>
        <v/>
      </c>
      <c r="BP22" s="30" t="str">
        <f aca="false">IF($A22="","",COUNTIFS(approvals!$A$2:$A$251,$A22,approvals!$Q$2:$Q$251,"Y"))</f>
        <v/>
      </c>
      <c r="BQ22" s="30" t="str">
        <f aca="false">IF($A22="","",COUNTIFS(approvals!$A$2:$A$251,$A22,approvals!$P$2:$P$251,"pending"))</f>
        <v/>
      </c>
      <c r="BR22" s="30" t="str">
        <f aca="false">IF($A22="","",SUMIFS(approvals!$S$2:$S$251,approvals!$A$2:$A$251,$A22,approvals!$P$2:$P$251,"Y"))</f>
        <v/>
      </c>
      <c r="BS22" s="30" t="str">
        <f aca="false">IF($A22="","",ROUNDUP($BR22*config!$B$18,0))</f>
        <v/>
      </c>
      <c r="BT22" s="30" t="str">
        <f aca="false">IF($A22="","",$BR22+$BS22)</f>
        <v/>
      </c>
      <c r="BU22" s="32" t="str">
        <f aca="false">IF($A22="","",SUMIFS(invoices!$I$2:$I$151,invoices!$B$2:$B$151,$A22,invoices!$R$2:$R$151,"Y",invoices!$H$2:$H$151,"&gt;0"))</f>
        <v/>
      </c>
      <c r="BV22" s="32" t="str">
        <f aca="false">IF($A22="","",IF($BJ22="","",IF($D22="founding",$BJ22,ROUND($BJ22*config!$B$28,2))))</f>
        <v/>
      </c>
      <c r="BW22" s="30" t="str">
        <f aca="false">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30" t="str">
        <f aca="false">IF($A22="","",SUMIFS(inventory!$G$2:$G$801,inventory!$C$2:$C$801,$A22,inventory!$E$2:$E$801,"received"))</f>
        <v/>
      </c>
      <c r="BY22" s="30" t="str">
        <f aca="false">IF($A22="","",SUMIFS(inventory!$G$2:$G$801,inventory!$C$2:$C$801,$A22,inventory!$E$2:$E$801,"rejected"))</f>
        <v/>
      </c>
      <c r="BZ22" s="30" t="str">
        <f aca="false">IF($A22="","",SUMIFS(inventory!$M$2:$M$801,inventory!$C$2:$C$801,$A22))</f>
        <v/>
      </c>
      <c r="CA22" s="30" t="str">
        <f aca="false">IF($A22="","",SUMIFS(inventory!$O$2:$O$801,inventory!$C$2:$C$801,$A22))</f>
        <v/>
      </c>
      <c r="CB22" s="30" t="str">
        <f aca="false">IF($A22="","",SUMIFS(approvals!$U$2:$U$251,approvals!$A$2:$A$251,$A22))</f>
        <v/>
      </c>
      <c r="CC22" s="30" t="str">
        <f aca="false">IF($A22="","",SUMIFS(approvals!$AA$2:$AA$251,approvals!$A$2:$A$251,$A22))</f>
        <v/>
      </c>
      <c r="CD22" s="30" t="str">
        <f aca="false">IF($A22="","",SUMIFS(approvals!$AA$2:$AA$251,approvals!$A$2:$A$251,$A22,approvals!$AB$2:$AB$251,"Y"))</f>
        <v/>
      </c>
      <c r="CE22" s="34" t="str">
        <f aca="false">IF($A22="","",IF(N($CB22)=0,"",$CD22/$CB22))</f>
        <v/>
      </c>
      <c r="CF22" s="30" t="str">
        <f aca="false">IF($A22="","",SUMIFS(approvals!$AD$2:$AD$251,approvals!$A$2:$A$251,$A22))</f>
        <v/>
      </c>
      <c r="CG22" s="30" t="str">
        <f aca="false">IF($A22="","",IF(COUNTIFS(approvals!$A$2:$A$251,$A22,approvals!$Q$2:$Q$251,"Y",approvals!$AG$2:$AG$251,"")&gt;0,"",SUMIFS(approvals!$AG$2:$AG$251,approvals!$A$2:$A$251,$A22,approvals!$Q$2:$Q$251,"Y")))</f>
        <v/>
      </c>
      <c r="CH22" s="30" t="str">
        <f aca="false">IF($A22="","",SUMIFS(approvals!$AL$2:$AL$251,approvals!$A$2:$A$251,$A22,approvals!$Q$2:$Q$251,"Y"))</f>
        <v/>
      </c>
      <c r="CI22" s="30" t="str">
        <f aca="false">IF($A22="","",IF(N($BP22)=0,"",SUMPRODUCT(MIN(approvals!$BB$2:$BB$251+(approvals!$A$2:$A$251&lt;&gt;$A22)*1000000))))</f>
        <v/>
      </c>
      <c r="CJ22" s="30" t="str">
        <f aca="false">IF($A22="","",COUNTIFS(approvals!$A$2:$A$251,$A22,approvals!$Q$2:$Q$251,"Y",approvals!$AL$2:$AL$251,"&lt;"&amp;config!$B$30))</f>
        <v/>
      </c>
      <c r="CK22" s="30" t="str">
        <f aca="false">IF($A22="","",SUMIFS(approvals!$AM$2:$AM$251,approvals!$A$2:$A$251,$A22,approvals!$Q$2:$Q$251,"Y"))</f>
        <v/>
      </c>
      <c r="CL22" s="30" t="str">
        <f aca="false">IF($A22="","",SUMIFS(approvals!$AQ$2:$AQ$251,approvals!$A$2:$A$251,$A22,approvals!$Q$2:$Q$251,"Y"))</f>
        <v/>
      </c>
      <c r="CM22" s="30" t="str">
        <f aca="false">IF($A22="","",SUMIFS(approvals!$AR$2:$AR$251,approvals!$A$2:$A$251,$A22,approvals!$Q$2:$Q$251,"Y"))</f>
        <v/>
      </c>
      <c r="CN22" s="30" t="str">
        <f aca="false">IF($A22="","",SUMIFS(approvals!$AS$2:$AS$251,approvals!$A$2:$A$251,$A22,approvals!$Q$2:$Q$251,"Y"))</f>
        <v/>
      </c>
      <c r="CO22" s="30" t="str">
        <f aca="false">IF($A22="","",SUMIFS(approvals!$AT$2:$AT$251,approvals!$A$2:$A$251,$A22,approvals!$Q$2:$Q$251,"Y"))</f>
        <v/>
      </c>
      <c r="CP22" s="33" t="str">
        <f aca="false">IF($A22="","",IF(N($CO22)=0,"",ROUND(SUMIFS(approvals!$AU$2:$AU$251,approvals!$A$2:$A$251,$A22,approvals!$Q$2:$Q$251,"Y")/$CO22,1)))</f>
        <v/>
      </c>
      <c r="CQ22" s="30" t="str">
        <f aca="false">IF($A22="","",SUMIFS(approvals!$AV$2:$AV$251,approvals!$A$2:$A$251,$A22,approvals!$Q$2:$Q$251,"Y"))</f>
        <v/>
      </c>
      <c r="CR22" s="30" t="str">
        <f aca="false">IF($A22="","",SUMIFS(approvals!$AW$2:$AW$251,approvals!$A$2:$A$251,$A22,approvals!$Q$2:$Q$251,"Y"))</f>
        <v/>
      </c>
      <c r="CS22" s="30" t="str">
        <f aca="false">IF($A22="","",SUMIFS(approvals!$AX$2:$AX$251,approvals!$A$2:$A$251,$A22,approvals!$Q$2:$Q$251,"Y"))</f>
        <v/>
      </c>
      <c r="CT22" s="30" t="str">
        <f aca="false">IF($A22="","",SUMIFS(approvals!$AY$2:$AY$251,approvals!$A$2:$A$251,$A22,approvals!$Q$2:$Q$251,"Y"))</f>
        <v/>
      </c>
      <c r="CU22" s="30" t="str">
        <f aca="true">IF($A22="","",IF(OR($BG22="",$BC22&lt;&gt;""),"",IFERROR(COUNT(INDIRECT("'"&amp;$A22&amp;"'!$A$2:$A$501")),0)-IFERROR(COUNTIFS(INDIRECT("'"&amp;$A22&amp;"'!$A$2:$A$501"),"&gt;="&amp;$BG22,INDIRECT("'"&amp;$A22&amp;"'!$A$2:$A$501"),"&lt;"&amp;(IFERROR(IF(INDEX(drops!$R$2:$R$21,MATCH($B22,drops!$A$2:$A$21,0))="","",INDEX(drops!$R$2:$R$21,MATCH($B22,drops!$A$2:$A$21,0))),"")+1)),0)))</f>
        <v/>
      </c>
      <c r="CV22" s="30" t="str">
        <f aca="true">IF($A22="","",IF(OR($BG22="",$BC22&lt;&gt;""),"",IFERROR(COUNTIFS(INDIRECT("'"&amp;$A22&amp;"'!$A$2:$A$501"),"&gt;="&amp;$BG22,INDIRECT("'"&amp;$A22&amp;"'!$A$2:$A$501"),"&lt;"&amp;(IFERROR(IF(INDEX(drops!$R$2:$R$21,MATCH($B22,drops!$A$2:$A$21,0))="","",INDEX(drops!$R$2:$R$21,MATCH($B22,drops!$A$2:$A$21,0))),"")+1)),0)-N($CH22)-N($CW22)))</f>
        <v/>
      </c>
      <c r="CW22" s="30" t="str">
        <f aca="false">IF($A22="","",IF($BG22="","",SUMIFS(approvals!$AL$2:$AL$251,approvals!$A$2:$A$251,$A22,approvals!$Q$2:$Q$251,"&lt;&gt;Y")))</f>
        <v/>
      </c>
      <c r="CX22" s="30" t="str">
        <f aca="false">IF($A22="","",SUMIFS(approvals!$AN$2:$AN$251,approvals!$A$2:$A$251,$A22,approvals!$Q$2:$Q$251,"Y"))</f>
        <v/>
      </c>
      <c r="CY22" s="30" t="str">
        <f aca="false">IF($A22="","",SUMIFS(approvals!$AO$2:$AO$251,approvals!$A$2:$A$251,$A22,approvals!$Q$2:$Q$251,"Y"))</f>
        <v/>
      </c>
      <c r="CZ22" s="30" t="str">
        <f aca="false">IF($A22="","",IF($DA22="","",SUMIFS(redemptions!$C$2:$C$121,redemptions!$A$2:$A$121,$A22,redemptions!$B$2:$B$121,$DA22)))</f>
        <v/>
      </c>
      <c r="DA22" s="31" t="str">
        <f aca="false">IF($A22="","",IFERROR(1/(1/SUMPRODUCT(MAX((redemptions!$A$2:$A$121=$A22)*redemptions!$B$2:$B$121))),""))</f>
        <v/>
      </c>
      <c r="DB22" s="30" t="str">
        <f aca="false">IF($A22="","",IF(COUNTIFS(redemptions!$A$2:$A$121,$A22,redemptions!$H$2:$H$121,"Y")=0,"",SUMIFS(redemptions!$C$2:$C$121,redemptions!$A$2:$A$121,$A22,redemptions!$B$2:$B$121,SUMPRODUCT(MIN((redemptions!$A$2:$A$121=$A22)*(redemptions!$H$2:$H$121="Y")*redemptions!$B$2:$B$121+((redemptions!$A$2:$A$121&lt;&gt;$A22)+(redemptions!$H$2:$H$121&lt;&gt;"Y")&gt;0)*1000000)))))</f>
        <v/>
      </c>
      <c r="DC22" s="32" t="str">
        <f aca="false">IF($A22="","",SUMIFS(invoices!$E$2:$E$151,invoices!$B$2:$B$151,$A22))</f>
        <v/>
      </c>
      <c r="DD22" s="32" t="str">
        <f aca="false">IF($A22="","",IF(COUNTIFS(invoices!$B$2:$B$151,$A22,invoices!$C$2:$C$151,"standard_deposit",invoices!$H$2:$H$151,"&gt;0")=0,"",SUMIFS(invoices!$I$2:$I$151,invoices!$B$2:$B$151,$A22,invoices!$C$2:$C$151,"standard_deposit")))</f>
        <v/>
      </c>
      <c r="DE22" s="31" t="str">
        <f aca="false">IF($A22="","",IFERROR(1/(1/SUMPRODUCT(MAX((invoices!$B$2:$B$151=$A22)*(invoices!$C$2:$C$151="standard_deposit")*invoices!$H$2:$H$151))),""))</f>
        <v/>
      </c>
      <c r="DF22" s="31" t="str">
        <f aca="false">IF($A22="","",IFERROR(1/(1/SUMPRODUCT(MAX((invoices!$B$2:$B$151=$A22)*((invoices!$C$2:$C$151="founding_full")+(invoices!$C$2:$C$151="standard_balance"))*invoices!$H$2:$H$151))),""))</f>
        <v/>
      </c>
      <c r="DG22" s="32" t="str">
        <f aca="false">IF($A22="","",SUMIFS(invoices!$L$2:$L$151,invoices!$B$2:$B$151,$A22))</f>
        <v/>
      </c>
      <c r="DH22" s="32" t="str">
        <f aca="false">IF($A22="","",SUMIFS(costs!$E$2:$E$301,costs!$C$2:$C$301,$A22))</f>
        <v/>
      </c>
      <c r="DI22" s="32" t="str">
        <f aca="false">IF($A22="","",ROUND(IF(SUMIFS(campaigns!$BO$2:$BO$51,campaigns!$B$2:$B$51,$B22)=0,0,$BO22/SUMIFS(campaigns!$BO$2:$BO$51,campaigns!$B$2:$B$51,$B22))*(SUMIFS(costs!$E$2:$E$301,costs!$B$2:$B$301,$B22)-SUMPRODUCT((costs!$B$2:$B$301=$B22)*(LEN(costs!$C$2:$C$301)&gt;0)*costs!$E$2:$E$301)),2))</f>
        <v/>
      </c>
      <c r="DJ22" s="33" t="str">
        <f aca="false">IF($A22="","",SUMIFS(hours!$E$2:$E$1501,hours!$C$2:$C$1501,$A22))</f>
        <v/>
      </c>
      <c r="DK22" s="33" t="str">
        <f aca="false">IF($A22="","",ROUND(IF(SUMIFS(campaigns!$BO$2:$BO$51,campaigns!$B$2:$B$51,$B22)=0,0,$BO22/SUMIFS(campaigns!$BO$2:$BO$51,campaigns!$B$2:$B$51,$B22))*(SUMIFS(hours!$E$2:$E$1501,hours!$B$2:$B$1501,$B22)-SUMPRODUCT((hours!$B$2:$B$1501=$B22)*(LEN(hours!$C$2:$C$1501)&gt;0)*hours!$E$2:$E$1501)),2))</f>
        <v/>
      </c>
      <c r="DL22" s="32" t="str">
        <f aca="false">IF($A22="","",$DC22-$DG22-$DH22-$DI22)</f>
        <v/>
      </c>
      <c r="DM22" s="32" t="str">
        <f aca="false">IF($A22="","",IF(N($DJ22)+N($DK22)=0,"",ROUND($DL22/($DJ22+$DK22),2)))</f>
        <v/>
      </c>
      <c r="DN22" s="34" t="str">
        <f aca="false">IF($A22="","",IF(N($BP22)=0,"",COUNTIFS(approvals!$A$2:$A$251,$A22,approvals!$Q$2:$Q$251,"Y",approvals!$AK$2:$AK$251,"Y")/$BP22))</f>
        <v/>
      </c>
      <c r="DO22" s="33" t="str">
        <f aca="false">IF($A22="","",IF(COUNTIFS(approvals!$A$2:$A$251,$A22,approvals!$AC$2:$AC$251,"&gt;=0")=0,"",ROUND(SUMIFS(approvals!$AC$2:$AC$251,approvals!$A$2:$A$251,$A22)/COUNTIFS(approvals!$A$2:$A$251,$A22,approvals!$AC$2:$AC$251,"&gt;=0"),1)))</f>
        <v/>
      </c>
      <c r="DP22" s="31" t="str">
        <f aca="false">IF($A22="","",IFERROR(IF(INDEX(drops!$T$2:$T$21,MATCH($B22,drops!$A$2:$A$21,0))="","",INDEX(drops!$T$2:$T$21,MATCH($B22,drops!$A$2:$A$21,0))),""))</f>
        <v/>
      </c>
      <c r="DQ22" s="31" t="str">
        <f aca="false">IF($A22="","",IFERROR(IF(INDEX(drops!$U$2:$U$21,MATCH($B22,drops!$A$2:$A$21,0))="","",INDEX(drops!$U$2:$U$21,MATCH($B22,drops!$A$2:$A$21,0))),""))</f>
        <v/>
      </c>
      <c r="DR22" s="31" t="str">
        <f aca="false">IF($A22="","",IFERROR(IF(INDEX(drops!$W$2:$W$21,MATCH($B22,drops!$A$2:$A$21,0))="","",INDEX(drops!$W$2:$W$21,MATCH($B22,drops!$A$2:$A$21,0))),""))</f>
        <v/>
      </c>
      <c r="DS22" s="30" t="str">
        <f aca="false">IF($A22="","",IF($CE22="","",IF($CE22&gt;=config!$B$31,"pass","miss")))</f>
        <v/>
      </c>
      <c r="DT22" s="30" t="str">
        <f aca="false">IF($A22="","",IF($CI22="","",IF($CI22&gt;=config!$B$30,"pass","miss")))</f>
        <v/>
      </c>
      <c r="DU22" s="30" t="str">
        <f aca="true">IF($A22="","",IF($AT22="",IF($DP22="","",IF(IF(config!$B$37&lt;&gt;"",config!$B$37,TODAY())&gt;$DP22,"late","due")),IF($AT22&lt;=$DP22,"pass","late")))</f>
        <v/>
      </c>
      <c r="DV22" s="30" t="str">
        <f aca="false">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ustomFormat="false" ht="15" hidden="false" customHeight="false" outlineLevel="0" collapsed="false">
      <c r="D23" s="10"/>
      <c r="G23" s="12"/>
      <c r="H23" s="11"/>
      <c r="M23" s="10"/>
      <c r="Y23" s="10"/>
      <c r="Z23" s="10"/>
      <c r="AB23" s="11"/>
      <c r="AC23" s="11"/>
      <c r="AD23" s="11"/>
      <c r="AF23" s="11"/>
      <c r="AG23" s="11"/>
      <c r="AT23" s="11"/>
      <c r="AU23" s="11"/>
      <c r="AV23" s="10"/>
      <c r="AW23" s="10"/>
      <c r="AY23" s="11"/>
      <c r="BA23" s="11"/>
      <c r="BB23" s="11"/>
      <c r="BC23" s="11"/>
      <c r="BE23" s="30" t="str">
        <f aca="false">IF($A23="","",IFERROR(IF(INDEX(brands!$K$2:$K$41,MATCH($C23,brands!$A$2:$A$41,0))="","",INDEX(brands!$K$2:$K$41,MATCH($C23,brands!$A$2:$A$41,0))),""))</f>
        <v/>
      </c>
      <c r="BF23" s="30" t="str">
        <f aca="false">IF($A23="","",IFERROR(IF(INDEX(brands!$M$2:$M$41,MATCH($C23,brands!$A$2:$A$41,0))="","",INDEX(brands!$M$2:$M$41,MATCH($C23,brands!$A$2:$A$41,0))),""))</f>
        <v/>
      </c>
      <c r="BG23" s="31" t="str">
        <f aca="false">IF($A23="","",IF(IFERROR(IF(INDEX(drops!$I$2:$I$21,MATCH($B23,drops!$A$2:$A$21,0))="","",INDEX(drops!$I$2:$I$21,MATCH($B23,drops!$A$2:$A$21,0))),"")="OK",IFERROR(IF(INDEX(drops!$B$2:$B$21,MATCH($B23,drops!$A$2:$A$21,0))="","",INDEX(drops!$B$2:$B$21,MATCH($B23,drops!$A$2:$A$21,0))),""),""))</f>
        <v/>
      </c>
      <c r="BH23" s="30" t="str">
        <f aca="false">IF($A23="","",IFERROR(IF(INDEX(drops!$C$2:$C$21,MATCH($B23,drops!$A$2:$A$21,0))="","",INDEX(drops!$C$2:$C$21,MATCH($B23,drops!$A$2:$A$21,0))),""))</f>
        <v/>
      </c>
      <c r="BI23" s="32" t="str">
        <f aca="false">IF($A23="","",IF($F23="","",IF($D23="founding",IF($E23="Y",config!$B$25*MIN($F23,config!$B$26)+config!$B$24*MAX(0,$F23-config!$B$26),config!$B$20+config!$B$24*MAX(0,$F23-config!$B$21)),IF($D23="standard",config!$B$22+config!$B$24*MAX(0,$F23-config!$B$23),""))))</f>
        <v/>
      </c>
      <c r="BJ23" s="32" t="str">
        <f aca="false">IF($A23="","",IF($G23&lt;&gt;"",$G23,$BI23))</f>
        <v/>
      </c>
      <c r="BK23" s="30" t="str">
        <f aca="false">IF($A23="","",IF($D23="founding","100% within "&amp;config!$B$27&amp;" business days of the invoice, before shipping",IF($D23="standard","50% on signing; 50% at placement confirmation (T+1)","")))</f>
        <v/>
      </c>
      <c r="BL23" s="31" t="str">
        <f aca="false">IF($A23="","",IFERROR(IF(INDEX(drops!$K$2:$K$21,MATCH($B23,drops!$A$2:$A$21,0))="","",INDEX(drops!$K$2:$K$21,MATCH($B23,drops!$A$2:$A$21,0))),""))</f>
        <v/>
      </c>
      <c r="BM23" s="31" t="str">
        <f aca="false">IF($A23="","",IFERROR(IF(INDEX(drops!$L$2:$L$21,MATCH($B23,drops!$A$2:$A$21,0))="","",INDEX(drops!$L$2:$L$21,MATCH($B23,drops!$A$2:$A$21,0))),""))</f>
        <v/>
      </c>
      <c r="BN23" s="30" t="str">
        <f aca="false">IF($A23="","",COUNTIF(approvals!$A$2:$A$251,$A23))</f>
        <v/>
      </c>
      <c r="BO23" s="30" t="str">
        <f aca="false">IF($A23="","",COUNTIFS(approvals!$A$2:$A$251,$A23,approvals!$P$2:$P$251,"Y"))</f>
        <v/>
      </c>
      <c r="BP23" s="30" t="str">
        <f aca="false">IF($A23="","",COUNTIFS(approvals!$A$2:$A$251,$A23,approvals!$Q$2:$Q$251,"Y"))</f>
        <v/>
      </c>
      <c r="BQ23" s="30" t="str">
        <f aca="false">IF($A23="","",COUNTIFS(approvals!$A$2:$A$251,$A23,approvals!$P$2:$P$251,"pending"))</f>
        <v/>
      </c>
      <c r="BR23" s="30" t="str">
        <f aca="false">IF($A23="","",SUMIFS(approvals!$S$2:$S$251,approvals!$A$2:$A$251,$A23,approvals!$P$2:$P$251,"Y"))</f>
        <v/>
      </c>
      <c r="BS23" s="30" t="str">
        <f aca="false">IF($A23="","",ROUNDUP($BR23*config!$B$18,0))</f>
        <v/>
      </c>
      <c r="BT23" s="30" t="str">
        <f aca="false">IF($A23="","",$BR23+$BS23)</f>
        <v/>
      </c>
      <c r="BU23" s="32" t="str">
        <f aca="false">IF($A23="","",SUMIFS(invoices!$I$2:$I$151,invoices!$B$2:$B$151,$A23,invoices!$R$2:$R$151,"Y",invoices!$H$2:$H$151,"&gt;0"))</f>
        <v/>
      </c>
      <c r="BV23" s="32" t="str">
        <f aca="false">IF($A23="","",IF($BJ23="","",IF($D23="founding",$BJ23,ROUND($BJ23*config!$B$28,2))))</f>
        <v/>
      </c>
      <c r="BW23" s="30" t="str">
        <f aca="false">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30" t="str">
        <f aca="false">IF($A23="","",SUMIFS(inventory!$G$2:$G$801,inventory!$C$2:$C$801,$A23,inventory!$E$2:$E$801,"received"))</f>
        <v/>
      </c>
      <c r="BY23" s="30" t="str">
        <f aca="false">IF($A23="","",SUMIFS(inventory!$G$2:$G$801,inventory!$C$2:$C$801,$A23,inventory!$E$2:$E$801,"rejected"))</f>
        <v/>
      </c>
      <c r="BZ23" s="30" t="str">
        <f aca="false">IF($A23="","",SUMIFS(inventory!$M$2:$M$801,inventory!$C$2:$C$801,$A23))</f>
        <v/>
      </c>
      <c r="CA23" s="30" t="str">
        <f aca="false">IF($A23="","",SUMIFS(inventory!$O$2:$O$801,inventory!$C$2:$C$801,$A23))</f>
        <v/>
      </c>
      <c r="CB23" s="30" t="str">
        <f aca="false">IF($A23="","",SUMIFS(approvals!$U$2:$U$251,approvals!$A$2:$A$251,$A23))</f>
        <v/>
      </c>
      <c r="CC23" s="30" t="str">
        <f aca="false">IF($A23="","",SUMIFS(approvals!$AA$2:$AA$251,approvals!$A$2:$A$251,$A23))</f>
        <v/>
      </c>
      <c r="CD23" s="30" t="str">
        <f aca="false">IF($A23="","",SUMIFS(approvals!$AA$2:$AA$251,approvals!$A$2:$A$251,$A23,approvals!$AB$2:$AB$251,"Y"))</f>
        <v/>
      </c>
      <c r="CE23" s="34" t="str">
        <f aca="false">IF($A23="","",IF(N($CB23)=0,"",$CD23/$CB23))</f>
        <v/>
      </c>
      <c r="CF23" s="30" t="str">
        <f aca="false">IF($A23="","",SUMIFS(approvals!$AD$2:$AD$251,approvals!$A$2:$A$251,$A23))</f>
        <v/>
      </c>
      <c r="CG23" s="30" t="str">
        <f aca="false">IF($A23="","",IF(COUNTIFS(approvals!$A$2:$A$251,$A23,approvals!$Q$2:$Q$251,"Y",approvals!$AG$2:$AG$251,"")&gt;0,"",SUMIFS(approvals!$AG$2:$AG$251,approvals!$A$2:$A$251,$A23,approvals!$Q$2:$Q$251,"Y")))</f>
        <v/>
      </c>
      <c r="CH23" s="30" t="str">
        <f aca="false">IF($A23="","",SUMIFS(approvals!$AL$2:$AL$251,approvals!$A$2:$A$251,$A23,approvals!$Q$2:$Q$251,"Y"))</f>
        <v/>
      </c>
      <c r="CI23" s="30" t="str">
        <f aca="false">IF($A23="","",IF(N($BP23)=0,"",SUMPRODUCT(MIN(approvals!$BB$2:$BB$251+(approvals!$A$2:$A$251&lt;&gt;$A23)*1000000))))</f>
        <v/>
      </c>
      <c r="CJ23" s="30" t="str">
        <f aca="false">IF($A23="","",COUNTIFS(approvals!$A$2:$A$251,$A23,approvals!$Q$2:$Q$251,"Y",approvals!$AL$2:$AL$251,"&lt;"&amp;config!$B$30))</f>
        <v/>
      </c>
      <c r="CK23" s="30" t="str">
        <f aca="false">IF($A23="","",SUMIFS(approvals!$AM$2:$AM$251,approvals!$A$2:$A$251,$A23,approvals!$Q$2:$Q$251,"Y"))</f>
        <v/>
      </c>
      <c r="CL23" s="30" t="str">
        <f aca="false">IF($A23="","",SUMIFS(approvals!$AQ$2:$AQ$251,approvals!$A$2:$A$251,$A23,approvals!$Q$2:$Q$251,"Y"))</f>
        <v/>
      </c>
      <c r="CM23" s="30" t="str">
        <f aca="false">IF($A23="","",SUMIFS(approvals!$AR$2:$AR$251,approvals!$A$2:$A$251,$A23,approvals!$Q$2:$Q$251,"Y"))</f>
        <v/>
      </c>
      <c r="CN23" s="30" t="str">
        <f aca="false">IF($A23="","",SUMIFS(approvals!$AS$2:$AS$251,approvals!$A$2:$A$251,$A23,approvals!$Q$2:$Q$251,"Y"))</f>
        <v/>
      </c>
      <c r="CO23" s="30" t="str">
        <f aca="false">IF($A23="","",SUMIFS(approvals!$AT$2:$AT$251,approvals!$A$2:$A$251,$A23,approvals!$Q$2:$Q$251,"Y"))</f>
        <v/>
      </c>
      <c r="CP23" s="33" t="str">
        <f aca="false">IF($A23="","",IF(N($CO23)=0,"",ROUND(SUMIFS(approvals!$AU$2:$AU$251,approvals!$A$2:$A$251,$A23,approvals!$Q$2:$Q$251,"Y")/$CO23,1)))</f>
        <v/>
      </c>
      <c r="CQ23" s="30" t="str">
        <f aca="false">IF($A23="","",SUMIFS(approvals!$AV$2:$AV$251,approvals!$A$2:$A$251,$A23,approvals!$Q$2:$Q$251,"Y"))</f>
        <v/>
      </c>
      <c r="CR23" s="30" t="str">
        <f aca="false">IF($A23="","",SUMIFS(approvals!$AW$2:$AW$251,approvals!$A$2:$A$251,$A23,approvals!$Q$2:$Q$251,"Y"))</f>
        <v/>
      </c>
      <c r="CS23" s="30" t="str">
        <f aca="false">IF($A23="","",SUMIFS(approvals!$AX$2:$AX$251,approvals!$A$2:$A$251,$A23,approvals!$Q$2:$Q$251,"Y"))</f>
        <v/>
      </c>
      <c r="CT23" s="30" t="str">
        <f aca="false">IF($A23="","",SUMIFS(approvals!$AY$2:$AY$251,approvals!$A$2:$A$251,$A23,approvals!$Q$2:$Q$251,"Y"))</f>
        <v/>
      </c>
      <c r="CU23" s="30" t="str">
        <f aca="true">IF($A23="","",IF(OR($BG23="",$BC23&lt;&gt;""),"",IFERROR(COUNT(INDIRECT("'"&amp;$A23&amp;"'!$A$2:$A$501")),0)-IFERROR(COUNTIFS(INDIRECT("'"&amp;$A23&amp;"'!$A$2:$A$501"),"&gt;="&amp;$BG23,INDIRECT("'"&amp;$A23&amp;"'!$A$2:$A$501"),"&lt;"&amp;(IFERROR(IF(INDEX(drops!$R$2:$R$21,MATCH($B23,drops!$A$2:$A$21,0))="","",INDEX(drops!$R$2:$R$21,MATCH($B23,drops!$A$2:$A$21,0))),"")+1)),0)))</f>
        <v/>
      </c>
      <c r="CV23" s="30" t="str">
        <f aca="true">IF($A23="","",IF(OR($BG23="",$BC23&lt;&gt;""),"",IFERROR(COUNTIFS(INDIRECT("'"&amp;$A23&amp;"'!$A$2:$A$501"),"&gt;="&amp;$BG23,INDIRECT("'"&amp;$A23&amp;"'!$A$2:$A$501"),"&lt;"&amp;(IFERROR(IF(INDEX(drops!$R$2:$R$21,MATCH($B23,drops!$A$2:$A$21,0))="","",INDEX(drops!$R$2:$R$21,MATCH($B23,drops!$A$2:$A$21,0))),"")+1)),0)-N($CH23)-N($CW23)))</f>
        <v/>
      </c>
      <c r="CW23" s="30" t="str">
        <f aca="false">IF($A23="","",IF($BG23="","",SUMIFS(approvals!$AL$2:$AL$251,approvals!$A$2:$A$251,$A23,approvals!$Q$2:$Q$251,"&lt;&gt;Y")))</f>
        <v/>
      </c>
      <c r="CX23" s="30" t="str">
        <f aca="false">IF($A23="","",SUMIFS(approvals!$AN$2:$AN$251,approvals!$A$2:$A$251,$A23,approvals!$Q$2:$Q$251,"Y"))</f>
        <v/>
      </c>
      <c r="CY23" s="30" t="str">
        <f aca="false">IF($A23="","",SUMIFS(approvals!$AO$2:$AO$251,approvals!$A$2:$A$251,$A23,approvals!$Q$2:$Q$251,"Y"))</f>
        <v/>
      </c>
      <c r="CZ23" s="30" t="str">
        <f aca="false">IF($A23="","",IF($DA23="","",SUMIFS(redemptions!$C$2:$C$121,redemptions!$A$2:$A$121,$A23,redemptions!$B$2:$B$121,$DA23)))</f>
        <v/>
      </c>
      <c r="DA23" s="31" t="str">
        <f aca="false">IF($A23="","",IFERROR(1/(1/SUMPRODUCT(MAX((redemptions!$A$2:$A$121=$A23)*redemptions!$B$2:$B$121))),""))</f>
        <v/>
      </c>
      <c r="DB23" s="30" t="str">
        <f aca="false">IF($A23="","",IF(COUNTIFS(redemptions!$A$2:$A$121,$A23,redemptions!$H$2:$H$121,"Y")=0,"",SUMIFS(redemptions!$C$2:$C$121,redemptions!$A$2:$A$121,$A23,redemptions!$B$2:$B$121,SUMPRODUCT(MIN((redemptions!$A$2:$A$121=$A23)*(redemptions!$H$2:$H$121="Y")*redemptions!$B$2:$B$121+((redemptions!$A$2:$A$121&lt;&gt;$A23)+(redemptions!$H$2:$H$121&lt;&gt;"Y")&gt;0)*1000000)))))</f>
        <v/>
      </c>
      <c r="DC23" s="32" t="str">
        <f aca="false">IF($A23="","",SUMIFS(invoices!$E$2:$E$151,invoices!$B$2:$B$151,$A23))</f>
        <v/>
      </c>
      <c r="DD23" s="32" t="str">
        <f aca="false">IF($A23="","",IF(COUNTIFS(invoices!$B$2:$B$151,$A23,invoices!$C$2:$C$151,"standard_deposit",invoices!$H$2:$H$151,"&gt;0")=0,"",SUMIFS(invoices!$I$2:$I$151,invoices!$B$2:$B$151,$A23,invoices!$C$2:$C$151,"standard_deposit")))</f>
        <v/>
      </c>
      <c r="DE23" s="31" t="str">
        <f aca="false">IF($A23="","",IFERROR(1/(1/SUMPRODUCT(MAX((invoices!$B$2:$B$151=$A23)*(invoices!$C$2:$C$151="standard_deposit")*invoices!$H$2:$H$151))),""))</f>
        <v/>
      </c>
      <c r="DF23" s="31" t="str">
        <f aca="false">IF($A23="","",IFERROR(1/(1/SUMPRODUCT(MAX((invoices!$B$2:$B$151=$A23)*((invoices!$C$2:$C$151="founding_full")+(invoices!$C$2:$C$151="standard_balance"))*invoices!$H$2:$H$151))),""))</f>
        <v/>
      </c>
      <c r="DG23" s="32" t="str">
        <f aca="false">IF($A23="","",SUMIFS(invoices!$L$2:$L$151,invoices!$B$2:$B$151,$A23))</f>
        <v/>
      </c>
      <c r="DH23" s="32" t="str">
        <f aca="false">IF($A23="","",SUMIFS(costs!$E$2:$E$301,costs!$C$2:$C$301,$A23))</f>
        <v/>
      </c>
      <c r="DI23" s="32" t="str">
        <f aca="false">IF($A23="","",ROUND(IF(SUMIFS(campaigns!$BO$2:$BO$51,campaigns!$B$2:$B$51,$B23)=0,0,$BO23/SUMIFS(campaigns!$BO$2:$BO$51,campaigns!$B$2:$B$51,$B23))*(SUMIFS(costs!$E$2:$E$301,costs!$B$2:$B$301,$B23)-SUMPRODUCT((costs!$B$2:$B$301=$B23)*(LEN(costs!$C$2:$C$301)&gt;0)*costs!$E$2:$E$301)),2))</f>
        <v/>
      </c>
      <c r="DJ23" s="33" t="str">
        <f aca="false">IF($A23="","",SUMIFS(hours!$E$2:$E$1501,hours!$C$2:$C$1501,$A23))</f>
        <v/>
      </c>
      <c r="DK23" s="33" t="str">
        <f aca="false">IF($A23="","",ROUND(IF(SUMIFS(campaigns!$BO$2:$BO$51,campaigns!$B$2:$B$51,$B23)=0,0,$BO23/SUMIFS(campaigns!$BO$2:$BO$51,campaigns!$B$2:$B$51,$B23))*(SUMIFS(hours!$E$2:$E$1501,hours!$B$2:$B$1501,$B23)-SUMPRODUCT((hours!$B$2:$B$1501=$B23)*(LEN(hours!$C$2:$C$1501)&gt;0)*hours!$E$2:$E$1501)),2))</f>
        <v/>
      </c>
      <c r="DL23" s="32" t="str">
        <f aca="false">IF($A23="","",$DC23-$DG23-$DH23-$DI23)</f>
        <v/>
      </c>
      <c r="DM23" s="32" t="str">
        <f aca="false">IF($A23="","",IF(N($DJ23)+N($DK23)=0,"",ROUND($DL23/($DJ23+$DK23),2)))</f>
        <v/>
      </c>
      <c r="DN23" s="34" t="str">
        <f aca="false">IF($A23="","",IF(N($BP23)=0,"",COUNTIFS(approvals!$A$2:$A$251,$A23,approvals!$Q$2:$Q$251,"Y",approvals!$AK$2:$AK$251,"Y")/$BP23))</f>
        <v/>
      </c>
      <c r="DO23" s="33" t="str">
        <f aca="false">IF($A23="","",IF(COUNTIFS(approvals!$A$2:$A$251,$A23,approvals!$AC$2:$AC$251,"&gt;=0")=0,"",ROUND(SUMIFS(approvals!$AC$2:$AC$251,approvals!$A$2:$A$251,$A23)/COUNTIFS(approvals!$A$2:$A$251,$A23,approvals!$AC$2:$AC$251,"&gt;=0"),1)))</f>
        <v/>
      </c>
      <c r="DP23" s="31" t="str">
        <f aca="false">IF($A23="","",IFERROR(IF(INDEX(drops!$T$2:$T$21,MATCH($B23,drops!$A$2:$A$21,0))="","",INDEX(drops!$T$2:$T$21,MATCH($B23,drops!$A$2:$A$21,0))),""))</f>
        <v/>
      </c>
      <c r="DQ23" s="31" t="str">
        <f aca="false">IF($A23="","",IFERROR(IF(INDEX(drops!$U$2:$U$21,MATCH($B23,drops!$A$2:$A$21,0))="","",INDEX(drops!$U$2:$U$21,MATCH($B23,drops!$A$2:$A$21,0))),""))</f>
        <v/>
      </c>
      <c r="DR23" s="31" t="str">
        <f aca="false">IF($A23="","",IFERROR(IF(INDEX(drops!$W$2:$W$21,MATCH($B23,drops!$A$2:$A$21,0))="","",INDEX(drops!$W$2:$W$21,MATCH($B23,drops!$A$2:$A$21,0))),""))</f>
        <v/>
      </c>
      <c r="DS23" s="30" t="str">
        <f aca="false">IF($A23="","",IF($CE23="","",IF($CE23&gt;=config!$B$31,"pass","miss")))</f>
        <v/>
      </c>
      <c r="DT23" s="30" t="str">
        <f aca="false">IF($A23="","",IF($CI23="","",IF($CI23&gt;=config!$B$30,"pass","miss")))</f>
        <v/>
      </c>
      <c r="DU23" s="30" t="str">
        <f aca="true">IF($A23="","",IF($AT23="",IF($DP23="","",IF(IF(config!$B$37&lt;&gt;"",config!$B$37,TODAY())&gt;$DP23,"late","due")),IF($AT23&lt;=$DP23,"pass","late")))</f>
        <v/>
      </c>
      <c r="DV23" s="30" t="str">
        <f aca="false">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ustomFormat="false" ht="15" hidden="false" customHeight="false" outlineLevel="0" collapsed="false">
      <c r="D24" s="10"/>
      <c r="G24" s="12"/>
      <c r="H24" s="11"/>
      <c r="M24" s="10"/>
      <c r="Y24" s="10"/>
      <c r="Z24" s="10"/>
      <c r="AB24" s="11"/>
      <c r="AC24" s="11"/>
      <c r="AD24" s="11"/>
      <c r="AF24" s="11"/>
      <c r="AG24" s="11"/>
      <c r="AT24" s="11"/>
      <c r="AU24" s="11"/>
      <c r="AV24" s="10"/>
      <c r="AW24" s="10"/>
      <c r="AY24" s="11"/>
      <c r="BA24" s="11"/>
      <c r="BB24" s="11"/>
      <c r="BC24" s="11"/>
      <c r="BE24" s="30" t="str">
        <f aca="false">IF($A24="","",IFERROR(IF(INDEX(brands!$K$2:$K$41,MATCH($C24,brands!$A$2:$A$41,0))="","",INDEX(brands!$K$2:$K$41,MATCH($C24,brands!$A$2:$A$41,0))),""))</f>
        <v/>
      </c>
      <c r="BF24" s="30" t="str">
        <f aca="false">IF($A24="","",IFERROR(IF(INDEX(brands!$M$2:$M$41,MATCH($C24,brands!$A$2:$A$41,0))="","",INDEX(brands!$M$2:$M$41,MATCH($C24,brands!$A$2:$A$41,0))),""))</f>
        <v/>
      </c>
      <c r="BG24" s="31" t="str">
        <f aca="false">IF($A24="","",IF(IFERROR(IF(INDEX(drops!$I$2:$I$21,MATCH($B24,drops!$A$2:$A$21,0))="","",INDEX(drops!$I$2:$I$21,MATCH($B24,drops!$A$2:$A$21,0))),"")="OK",IFERROR(IF(INDEX(drops!$B$2:$B$21,MATCH($B24,drops!$A$2:$A$21,0))="","",INDEX(drops!$B$2:$B$21,MATCH($B24,drops!$A$2:$A$21,0))),""),""))</f>
        <v/>
      </c>
      <c r="BH24" s="30" t="str">
        <f aca="false">IF($A24="","",IFERROR(IF(INDEX(drops!$C$2:$C$21,MATCH($B24,drops!$A$2:$A$21,0))="","",INDEX(drops!$C$2:$C$21,MATCH($B24,drops!$A$2:$A$21,0))),""))</f>
        <v/>
      </c>
      <c r="BI24" s="32" t="str">
        <f aca="false">IF($A24="","",IF($F24="","",IF($D24="founding",IF($E24="Y",config!$B$25*MIN($F24,config!$B$26)+config!$B$24*MAX(0,$F24-config!$B$26),config!$B$20+config!$B$24*MAX(0,$F24-config!$B$21)),IF($D24="standard",config!$B$22+config!$B$24*MAX(0,$F24-config!$B$23),""))))</f>
        <v/>
      </c>
      <c r="BJ24" s="32" t="str">
        <f aca="false">IF($A24="","",IF($G24&lt;&gt;"",$G24,$BI24))</f>
        <v/>
      </c>
      <c r="BK24" s="30" t="str">
        <f aca="false">IF($A24="","",IF($D24="founding","100% within "&amp;config!$B$27&amp;" business days of the invoice, before shipping",IF($D24="standard","50% on signing; 50% at placement confirmation (T+1)","")))</f>
        <v/>
      </c>
      <c r="BL24" s="31" t="str">
        <f aca="false">IF($A24="","",IFERROR(IF(INDEX(drops!$K$2:$K$21,MATCH($B24,drops!$A$2:$A$21,0))="","",INDEX(drops!$K$2:$K$21,MATCH($B24,drops!$A$2:$A$21,0))),""))</f>
        <v/>
      </c>
      <c r="BM24" s="31" t="str">
        <f aca="false">IF($A24="","",IFERROR(IF(INDEX(drops!$L$2:$L$21,MATCH($B24,drops!$A$2:$A$21,0))="","",INDEX(drops!$L$2:$L$21,MATCH($B24,drops!$A$2:$A$21,0))),""))</f>
        <v/>
      </c>
      <c r="BN24" s="30" t="str">
        <f aca="false">IF($A24="","",COUNTIF(approvals!$A$2:$A$251,$A24))</f>
        <v/>
      </c>
      <c r="BO24" s="30" t="str">
        <f aca="false">IF($A24="","",COUNTIFS(approvals!$A$2:$A$251,$A24,approvals!$P$2:$P$251,"Y"))</f>
        <v/>
      </c>
      <c r="BP24" s="30" t="str">
        <f aca="false">IF($A24="","",COUNTIFS(approvals!$A$2:$A$251,$A24,approvals!$Q$2:$Q$251,"Y"))</f>
        <v/>
      </c>
      <c r="BQ24" s="30" t="str">
        <f aca="false">IF($A24="","",COUNTIFS(approvals!$A$2:$A$251,$A24,approvals!$P$2:$P$251,"pending"))</f>
        <v/>
      </c>
      <c r="BR24" s="30" t="str">
        <f aca="false">IF($A24="","",SUMIFS(approvals!$S$2:$S$251,approvals!$A$2:$A$251,$A24,approvals!$P$2:$P$251,"Y"))</f>
        <v/>
      </c>
      <c r="BS24" s="30" t="str">
        <f aca="false">IF($A24="","",ROUNDUP($BR24*config!$B$18,0))</f>
        <v/>
      </c>
      <c r="BT24" s="30" t="str">
        <f aca="false">IF($A24="","",$BR24+$BS24)</f>
        <v/>
      </c>
      <c r="BU24" s="32" t="str">
        <f aca="false">IF($A24="","",SUMIFS(invoices!$I$2:$I$151,invoices!$B$2:$B$151,$A24,invoices!$R$2:$R$151,"Y",invoices!$H$2:$H$151,"&gt;0"))</f>
        <v/>
      </c>
      <c r="BV24" s="32" t="str">
        <f aca="false">IF($A24="","",IF($BJ24="","",IF($D24="founding",$BJ24,ROUND($BJ24*config!$B$28,2))))</f>
        <v/>
      </c>
      <c r="BW24" s="30" t="str">
        <f aca="false">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30" t="str">
        <f aca="false">IF($A24="","",SUMIFS(inventory!$G$2:$G$801,inventory!$C$2:$C$801,$A24,inventory!$E$2:$E$801,"received"))</f>
        <v/>
      </c>
      <c r="BY24" s="30" t="str">
        <f aca="false">IF($A24="","",SUMIFS(inventory!$G$2:$G$801,inventory!$C$2:$C$801,$A24,inventory!$E$2:$E$801,"rejected"))</f>
        <v/>
      </c>
      <c r="BZ24" s="30" t="str">
        <f aca="false">IF($A24="","",SUMIFS(inventory!$M$2:$M$801,inventory!$C$2:$C$801,$A24))</f>
        <v/>
      </c>
      <c r="CA24" s="30" t="str">
        <f aca="false">IF($A24="","",SUMIFS(inventory!$O$2:$O$801,inventory!$C$2:$C$801,$A24))</f>
        <v/>
      </c>
      <c r="CB24" s="30" t="str">
        <f aca="false">IF($A24="","",SUMIFS(approvals!$U$2:$U$251,approvals!$A$2:$A$251,$A24))</f>
        <v/>
      </c>
      <c r="CC24" s="30" t="str">
        <f aca="false">IF($A24="","",SUMIFS(approvals!$AA$2:$AA$251,approvals!$A$2:$A$251,$A24))</f>
        <v/>
      </c>
      <c r="CD24" s="30" t="str">
        <f aca="false">IF($A24="","",SUMIFS(approvals!$AA$2:$AA$251,approvals!$A$2:$A$251,$A24,approvals!$AB$2:$AB$251,"Y"))</f>
        <v/>
      </c>
      <c r="CE24" s="34" t="str">
        <f aca="false">IF($A24="","",IF(N($CB24)=0,"",$CD24/$CB24))</f>
        <v/>
      </c>
      <c r="CF24" s="30" t="str">
        <f aca="false">IF($A24="","",SUMIFS(approvals!$AD$2:$AD$251,approvals!$A$2:$A$251,$A24))</f>
        <v/>
      </c>
      <c r="CG24" s="30" t="str">
        <f aca="false">IF($A24="","",IF(COUNTIFS(approvals!$A$2:$A$251,$A24,approvals!$Q$2:$Q$251,"Y",approvals!$AG$2:$AG$251,"")&gt;0,"",SUMIFS(approvals!$AG$2:$AG$251,approvals!$A$2:$A$251,$A24,approvals!$Q$2:$Q$251,"Y")))</f>
        <v/>
      </c>
      <c r="CH24" s="30" t="str">
        <f aca="false">IF($A24="","",SUMIFS(approvals!$AL$2:$AL$251,approvals!$A$2:$A$251,$A24,approvals!$Q$2:$Q$251,"Y"))</f>
        <v/>
      </c>
      <c r="CI24" s="30" t="str">
        <f aca="false">IF($A24="","",IF(N($BP24)=0,"",SUMPRODUCT(MIN(approvals!$BB$2:$BB$251+(approvals!$A$2:$A$251&lt;&gt;$A24)*1000000))))</f>
        <v/>
      </c>
      <c r="CJ24" s="30" t="str">
        <f aca="false">IF($A24="","",COUNTIFS(approvals!$A$2:$A$251,$A24,approvals!$Q$2:$Q$251,"Y",approvals!$AL$2:$AL$251,"&lt;"&amp;config!$B$30))</f>
        <v/>
      </c>
      <c r="CK24" s="30" t="str">
        <f aca="false">IF($A24="","",SUMIFS(approvals!$AM$2:$AM$251,approvals!$A$2:$A$251,$A24,approvals!$Q$2:$Q$251,"Y"))</f>
        <v/>
      </c>
      <c r="CL24" s="30" t="str">
        <f aca="false">IF($A24="","",SUMIFS(approvals!$AQ$2:$AQ$251,approvals!$A$2:$A$251,$A24,approvals!$Q$2:$Q$251,"Y"))</f>
        <v/>
      </c>
      <c r="CM24" s="30" t="str">
        <f aca="false">IF($A24="","",SUMIFS(approvals!$AR$2:$AR$251,approvals!$A$2:$A$251,$A24,approvals!$Q$2:$Q$251,"Y"))</f>
        <v/>
      </c>
      <c r="CN24" s="30" t="str">
        <f aca="false">IF($A24="","",SUMIFS(approvals!$AS$2:$AS$251,approvals!$A$2:$A$251,$A24,approvals!$Q$2:$Q$251,"Y"))</f>
        <v/>
      </c>
      <c r="CO24" s="30" t="str">
        <f aca="false">IF($A24="","",SUMIFS(approvals!$AT$2:$AT$251,approvals!$A$2:$A$251,$A24,approvals!$Q$2:$Q$251,"Y"))</f>
        <v/>
      </c>
      <c r="CP24" s="33" t="str">
        <f aca="false">IF($A24="","",IF(N($CO24)=0,"",ROUND(SUMIFS(approvals!$AU$2:$AU$251,approvals!$A$2:$A$251,$A24,approvals!$Q$2:$Q$251,"Y")/$CO24,1)))</f>
        <v/>
      </c>
      <c r="CQ24" s="30" t="str">
        <f aca="false">IF($A24="","",SUMIFS(approvals!$AV$2:$AV$251,approvals!$A$2:$A$251,$A24,approvals!$Q$2:$Q$251,"Y"))</f>
        <v/>
      </c>
      <c r="CR24" s="30" t="str">
        <f aca="false">IF($A24="","",SUMIFS(approvals!$AW$2:$AW$251,approvals!$A$2:$A$251,$A24,approvals!$Q$2:$Q$251,"Y"))</f>
        <v/>
      </c>
      <c r="CS24" s="30" t="str">
        <f aca="false">IF($A24="","",SUMIFS(approvals!$AX$2:$AX$251,approvals!$A$2:$A$251,$A24,approvals!$Q$2:$Q$251,"Y"))</f>
        <v/>
      </c>
      <c r="CT24" s="30" t="str">
        <f aca="false">IF($A24="","",SUMIFS(approvals!$AY$2:$AY$251,approvals!$A$2:$A$251,$A24,approvals!$Q$2:$Q$251,"Y"))</f>
        <v/>
      </c>
      <c r="CU24" s="30" t="str">
        <f aca="true">IF($A24="","",IF(OR($BG24="",$BC24&lt;&gt;""),"",IFERROR(COUNT(INDIRECT("'"&amp;$A24&amp;"'!$A$2:$A$501")),0)-IFERROR(COUNTIFS(INDIRECT("'"&amp;$A24&amp;"'!$A$2:$A$501"),"&gt;="&amp;$BG24,INDIRECT("'"&amp;$A24&amp;"'!$A$2:$A$501"),"&lt;"&amp;(IFERROR(IF(INDEX(drops!$R$2:$R$21,MATCH($B24,drops!$A$2:$A$21,0))="","",INDEX(drops!$R$2:$R$21,MATCH($B24,drops!$A$2:$A$21,0))),"")+1)),0)))</f>
        <v/>
      </c>
      <c r="CV24" s="30" t="str">
        <f aca="true">IF($A24="","",IF(OR($BG24="",$BC24&lt;&gt;""),"",IFERROR(COUNTIFS(INDIRECT("'"&amp;$A24&amp;"'!$A$2:$A$501"),"&gt;="&amp;$BG24,INDIRECT("'"&amp;$A24&amp;"'!$A$2:$A$501"),"&lt;"&amp;(IFERROR(IF(INDEX(drops!$R$2:$R$21,MATCH($B24,drops!$A$2:$A$21,0))="","",INDEX(drops!$R$2:$R$21,MATCH($B24,drops!$A$2:$A$21,0))),"")+1)),0)-N($CH24)-N($CW24)))</f>
        <v/>
      </c>
      <c r="CW24" s="30" t="str">
        <f aca="false">IF($A24="","",IF($BG24="","",SUMIFS(approvals!$AL$2:$AL$251,approvals!$A$2:$A$251,$A24,approvals!$Q$2:$Q$251,"&lt;&gt;Y")))</f>
        <v/>
      </c>
      <c r="CX24" s="30" t="str">
        <f aca="false">IF($A24="","",SUMIFS(approvals!$AN$2:$AN$251,approvals!$A$2:$A$251,$A24,approvals!$Q$2:$Q$251,"Y"))</f>
        <v/>
      </c>
      <c r="CY24" s="30" t="str">
        <f aca="false">IF($A24="","",SUMIFS(approvals!$AO$2:$AO$251,approvals!$A$2:$A$251,$A24,approvals!$Q$2:$Q$251,"Y"))</f>
        <v/>
      </c>
      <c r="CZ24" s="30" t="str">
        <f aca="false">IF($A24="","",IF($DA24="","",SUMIFS(redemptions!$C$2:$C$121,redemptions!$A$2:$A$121,$A24,redemptions!$B$2:$B$121,$DA24)))</f>
        <v/>
      </c>
      <c r="DA24" s="31" t="str">
        <f aca="false">IF($A24="","",IFERROR(1/(1/SUMPRODUCT(MAX((redemptions!$A$2:$A$121=$A24)*redemptions!$B$2:$B$121))),""))</f>
        <v/>
      </c>
      <c r="DB24" s="30" t="str">
        <f aca="false">IF($A24="","",IF(COUNTIFS(redemptions!$A$2:$A$121,$A24,redemptions!$H$2:$H$121,"Y")=0,"",SUMIFS(redemptions!$C$2:$C$121,redemptions!$A$2:$A$121,$A24,redemptions!$B$2:$B$121,SUMPRODUCT(MIN((redemptions!$A$2:$A$121=$A24)*(redemptions!$H$2:$H$121="Y")*redemptions!$B$2:$B$121+((redemptions!$A$2:$A$121&lt;&gt;$A24)+(redemptions!$H$2:$H$121&lt;&gt;"Y")&gt;0)*1000000)))))</f>
        <v/>
      </c>
      <c r="DC24" s="32" t="str">
        <f aca="false">IF($A24="","",SUMIFS(invoices!$E$2:$E$151,invoices!$B$2:$B$151,$A24))</f>
        <v/>
      </c>
      <c r="DD24" s="32" t="str">
        <f aca="false">IF($A24="","",IF(COUNTIFS(invoices!$B$2:$B$151,$A24,invoices!$C$2:$C$151,"standard_deposit",invoices!$H$2:$H$151,"&gt;0")=0,"",SUMIFS(invoices!$I$2:$I$151,invoices!$B$2:$B$151,$A24,invoices!$C$2:$C$151,"standard_deposit")))</f>
        <v/>
      </c>
      <c r="DE24" s="31" t="str">
        <f aca="false">IF($A24="","",IFERROR(1/(1/SUMPRODUCT(MAX((invoices!$B$2:$B$151=$A24)*(invoices!$C$2:$C$151="standard_deposit")*invoices!$H$2:$H$151))),""))</f>
        <v/>
      </c>
      <c r="DF24" s="31" t="str">
        <f aca="false">IF($A24="","",IFERROR(1/(1/SUMPRODUCT(MAX((invoices!$B$2:$B$151=$A24)*((invoices!$C$2:$C$151="founding_full")+(invoices!$C$2:$C$151="standard_balance"))*invoices!$H$2:$H$151))),""))</f>
        <v/>
      </c>
      <c r="DG24" s="32" t="str">
        <f aca="false">IF($A24="","",SUMIFS(invoices!$L$2:$L$151,invoices!$B$2:$B$151,$A24))</f>
        <v/>
      </c>
      <c r="DH24" s="32" t="str">
        <f aca="false">IF($A24="","",SUMIFS(costs!$E$2:$E$301,costs!$C$2:$C$301,$A24))</f>
        <v/>
      </c>
      <c r="DI24" s="32" t="str">
        <f aca="false">IF($A24="","",ROUND(IF(SUMIFS(campaigns!$BO$2:$BO$51,campaigns!$B$2:$B$51,$B24)=0,0,$BO24/SUMIFS(campaigns!$BO$2:$BO$51,campaigns!$B$2:$B$51,$B24))*(SUMIFS(costs!$E$2:$E$301,costs!$B$2:$B$301,$B24)-SUMPRODUCT((costs!$B$2:$B$301=$B24)*(LEN(costs!$C$2:$C$301)&gt;0)*costs!$E$2:$E$301)),2))</f>
        <v/>
      </c>
      <c r="DJ24" s="33" t="str">
        <f aca="false">IF($A24="","",SUMIFS(hours!$E$2:$E$1501,hours!$C$2:$C$1501,$A24))</f>
        <v/>
      </c>
      <c r="DK24" s="33" t="str">
        <f aca="false">IF($A24="","",ROUND(IF(SUMIFS(campaigns!$BO$2:$BO$51,campaigns!$B$2:$B$51,$B24)=0,0,$BO24/SUMIFS(campaigns!$BO$2:$BO$51,campaigns!$B$2:$B$51,$B24))*(SUMIFS(hours!$E$2:$E$1501,hours!$B$2:$B$1501,$B24)-SUMPRODUCT((hours!$B$2:$B$1501=$B24)*(LEN(hours!$C$2:$C$1501)&gt;0)*hours!$E$2:$E$1501)),2))</f>
        <v/>
      </c>
      <c r="DL24" s="32" t="str">
        <f aca="false">IF($A24="","",$DC24-$DG24-$DH24-$DI24)</f>
        <v/>
      </c>
      <c r="DM24" s="32" t="str">
        <f aca="false">IF($A24="","",IF(N($DJ24)+N($DK24)=0,"",ROUND($DL24/($DJ24+$DK24),2)))</f>
        <v/>
      </c>
      <c r="DN24" s="34" t="str">
        <f aca="false">IF($A24="","",IF(N($BP24)=0,"",COUNTIFS(approvals!$A$2:$A$251,$A24,approvals!$Q$2:$Q$251,"Y",approvals!$AK$2:$AK$251,"Y")/$BP24))</f>
        <v/>
      </c>
      <c r="DO24" s="33" t="str">
        <f aca="false">IF($A24="","",IF(COUNTIFS(approvals!$A$2:$A$251,$A24,approvals!$AC$2:$AC$251,"&gt;=0")=0,"",ROUND(SUMIFS(approvals!$AC$2:$AC$251,approvals!$A$2:$A$251,$A24)/COUNTIFS(approvals!$A$2:$A$251,$A24,approvals!$AC$2:$AC$251,"&gt;=0"),1)))</f>
        <v/>
      </c>
      <c r="DP24" s="31" t="str">
        <f aca="false">IF($A24="","",IFERROR(IF(INDEX(drops!$T$2:$T$21,MATCH($B24,drops!$A$2:$A$21,0))="","",INDEX(drops!$T$2:$T$21,MATCH($B24,drops!$A$2:$A$21,0))),""))</f>
        <v/>
      </c>
      <c r="DQ24" s="31" t="str">
        <f aca="false">IF($A24="","",IFERROR(IF(INDEX(drops!$U$2:$U$21,MATCH($B24,drops!$A$2:$A$21,0))="","",INDEX(drops!$U$2:$U$21,MATCH($B24,drops!$A$2:$A$21,0))),""))</f>
        <v/>
      </c>
      <c r="DR24" s="31" t="str">
        <f aca="false">IF($A24="","",IFERROR(IF(INDEX(drops!$W$2:$W$21,MATCH($B24,drops!$A$2:$A$21,0))="","",INDEX(drops!$W$2:$W$21,MATCH($B24,drops!$A$2:$A$21,0))),""))</f>
        <v/>
      </c>
      <c r="DS24" s="30" t="str">
        <f aca="false">IF($A24="","",IF($CE24="","",IF($CE24&gt;=config!$B$31,"pass","miss")))</f>
        <v/>
      </c>
      <c r="DT24" s="30" t="str">
        <f aca="false">IF($A24="","",IF($CI24="","",IF($CI24&gt;=config!$B$30,"pass","miss")))</f>
        <v/>
      </c>
      <c r="DU24" s="30" t="str">
        <f aca="true">IF($A24="","",IF($AT24="",IF($DP24="","",IF(IF(config!$B$37&lt;&gt;"",config!$B$37,TODAY())&gt;$DP24,"late","due")),IF($AT24&lt;=$DP24,"pass","late")))</f>
        <v/>
      </c>
      <c r="DV24" s="30" t="str">
        <f aca="false">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ustomFormat="false" ht="15" hidden="false" customHeight="false" outlineLevel="0" collapsed="false">
      <c r="D25" s="10"/>
      <c r="G25" s="12"/>
      <c r="H25" s="11"/>
      <c r="M25" s="10"/>
      <c r="Y25" s="10"/>
      <c r="Z25" s="10"/>
      <c r="AB25" s="11"/>
      <c r="AC25" s="11"/>
      <c r="AD25" s="11"/>
      <c r="AF25" s="11"/>
      <c r="AG25" s="11"/>
      <c r="AT25" s="11"/>
      <c r="AU25" s="11"/>
      <c r="AV25" s="10"/>
      <c r="AW25" s="10"/>
      <c r="AY25" s="11"/>
      <c r="BA25" s="11"/>
      <c r="BB25" s="11"/>
      <c r="BC25" s="11"/>
      <c r="BE25" s="30" t="str">
        <f aca="false">IF($A25="","",IFERROR(IF(INDEX(brands!$K$2:$K$41,MATCH($C25,brands!$A$2:$A$41,0))="","",INDEX(brands!$K$2:$K$41,MATCH($C25,brands!$A$2:$A$41,0))),""))</f>
        <v/>
      </c>
      <c r="BF25" s="30" t="str">
        <f aca="false">IF($A25="","",IFERROR(IF(INDEX(brands!$M$2:$M$41,MATCH($C25,brands!$A$2:$A$41,0))="","",INDEX(brands!$M$2:$M$41,MATCH($C25,brands!$A$2:$A$41,0))),""))</f>
        <v/>
      </c>
      <c r="BG25" s="31" t="str">
        <f aca="false">IF($A25="","",IF(IFERROR(IF(INDEX(drops!$I$2:$I$21,MATCH($B25,drops!$A$2:$A$21,0))="","",INDEX(drops!$I$2:$I$21,MATCH($B25,drops!$A$2:$A$21,0))),"")="OK",IFERROR(IF(INDEX(drops!$B$2:$B$21,MATCH($B25,drops!$A$2:$A$21,0))="","",INDEX(drops!$B$2:$B$21,MATCH($B25,drops!$A$2:$A$21,0))),""),""))</f>
        <v/>
      </c>
      <c r="BH25" s="30" t="str">
        <f aca="false">IF($A25="","",IFERROR(IF(INDEX(drops!$C$2:$C$21,MATCH($B25,drops!$A$2:$A$21,0))="","",INDEX(drops!$C$2:$C$21,MATCH($B25,drops!$A$2:$A$21,0))),""))</f>
        <v/>
      </c>
      <c r="BI25" s="32" t="str">
        <f aca="false">IF($A25="","",IF($F25="","",IF($D25="founding",IF($E25="Y",config!$B$25*MIN($F25,config!$B$26)+config!$B$24*MAX(0,$F25-config!$B$26),config!$B$20+config!$B$24*MAX(0,$F25-config!$B$21)),IF($D25="standard",config!$B$22+config!$B$24*MAX(0,$F25-config!$B$23),""))))</f>
        <v/>
      </c>
      <c r="BJ25" s="32" t="str">
        <f aca="false">IF($A25="","",IF($G25&lt;&gt;"",$G25,$BI25))</f>
        <v/>
      </c>
      <c r="BK25" s="30" t="str">
        <f aca="false">IF($A25="","",IF($D25="founding","100% within "&amp;config!$B$27&amp;" business days of the invoice, before shipping",IF($D25="standard","50% on signing; 50% at placement confirmation (T+1)","")))</f>
        <v/>
      </c>
      <c r="BL25" s="31" t="str">
        <f aca="false">IF($A25="","",IFERROR(IF(INDEX(drops!$K$2:$K$21,MATCH($B25,drops!$A$2:$A$21,0))="","",INDEX(drops!$K$2:$K$21,MATCH($B25,drops!$A$2:$A$21,0))),""))</f>
        <v/>
      </c>
      <c r="BM25" s="31" t="str">
        <f aca="false">IF($A25="","",IFERROR(IF(INDEX(drops!$L$2:$L$21,MATCH($B25,drops!$A$2:$A$21,0))="","",INDEX(drops!$L$2:$L$21,MATCH($B25,drops!$A$2:$A$21,0))),""))</f>
        <v/>
      </c>
      <c r="BN25" s="30" t="str">
        <f aca="false">IF($A25="","",COUNTIF(approvals!$A$2:$A$251,$A25))</f>
        <v/>
      </c>
      <c r="BO25" s="30" t="str">
        <f aca="false">IF($A25="","",COUNTIFS(approvals!$A$2:$A$251,$A25,approvals!$P$2:$P$251,"Y"))</f>
        <v/>
      </c>
      <c r="BP25" s="30" t="str">
        <f aca="false">IF($A25="","",COUNTIFS(approvals!$A$2:$A$251,$A25,approvals!$Q$2:$Q$251,"Y"))</f>
        <v/>
      </c>
      <c r="BQ25" s="30" t="str">
        <f aca="false">IF($A25="","",COUNTIFS(approvals!$A$2:$A$251,$A25,approvals!$P$2:$P$251,"pending"))</f>
        <v/>
      </c>
      <c r="BR25" s="30" t="str">
        <f aca="false">IF($A25="","",SUMIFS(approvals!$S$2:$S$251,approvals!$A$2:$A$251,$A25,approvals!$P$2:$P$251,"Y"))</f>
        <v/>
      </c>
      <c r="BS25" s="30" t="str">
        <f aca="false">IF($A25="","",ROUNDUP($BR25*config!$B$18,0))</f>
        <v/>
      </c>
      <c r="BT25" s="30" t="str">
        <f aca="false">IF($A25="","",$BR25+$BS25)</f>
        <v/>
      </c>
      <c r="BU25" s="32" t="str">
        <f aca="false">IF($A25="","",SUMIFS(invoices!$I$2:$I$151,invoices!$B$2:$B$151,$A25,invoices!$R$2:$R$151,"Y",invoices!$H$2:$H$151,"&gt;0"))</f>
        <v/>
      </c>
      <c r="BV25" s="32" t="str">
        <f aca="false">IF($A25="","",IF($BJ25="","",IF($D25="founding",$BJ25,ROUND($BJ25*config!$B$28,2))))</f>
        <v/>
      </c>
      <c r="BW25" s="30" t="str">
        <f aca="false">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30" t="str">
        <f aca="false">IF($A25="","",SUMIFS(inventory!$G$2:$G$801,inventory!$C$2:$C$801,$A25,inventory!$E$2:$E$801,"received"))</f>
        <v/>
      </c>
      <c r="BY25" s="30" t="str">
        <f aca="false">IF($A25="","",SUMIFS(inventory!$G$2:$G$801,inventory!$C$2:$C$801,$A25,inventory!$E$2:$E$801,"rejected"))</f>
        <v/>
      </c>
      <c r="BZ25" s="30" t="str">
        <f aca="false">IF($A25="","",SUMIFS(inventory!$M$2:$M$801,inventory!$C$2:$C$801,$A25))</f>
        <v/>
      </c>
      <c r="CA25" s="30" t="str">
        <f aca="false">IF($A25="","",SUMIFS(inventory!$O$2:$O$801,inventory!$C$2:$C$801,$A25))</f>
        <v/>
      </c>
      <c r="CB25" s="30" t="str">
        <f aca="false">IF($A25="","",SUMIFS(approvals!$U$2:$U$251,approvals!$A$2:$A$251,$A25))</f>
        <v/>
      </c>
      <c r="CC25" s="30" t="str">
        <f aca="false">IF($A25="","",SUMIFS(approvals!$AA$2:$AA$251,approvals!$A$2:$A$251,$A25))</f>
        <v/>
      </c>
      <c r="CD25" s="30" t="str">
        <f aca="false">IF($A25="","",SUMIFS(approvals!$AA$2:$AA$251,approvals!$A$2:$A$251,$A25,approvals!$AB$2:$AB$251,"Y"))</f>
        <v/>
      </c>
      <c r="CE25" s="34" t="str">
        <f aca="false">IF($A25="","",IF(N($CB25)=0,"",$CD25/$CB25))</f>
        <v/>
      </c>
      <c r="CF25" s="30" t="str">
        <f aca="false">IF($A25="","",SUMIFS(approvals!$AD$2:$AD$251,approvals!$A$2:$A$251,$A25))</f>
        <v/>
      </c>
      <c r="CG25" s="30" t="str">
        <f aca="false">IF($A25="","",IF(COUNTIFS(approvals!$A$2:$A$251,$A25,approvals!$Q$2:$Q$251,"Y",approvals!$AG$2:$AG$251,"")&gt;0,"",SUMIFS(approvals!$AG$2:$AG$251,approvals!$A$2:$A$251,$A25,approvals!$Q$2:$Q$251,"Y")))</f>
        <v/>
      </c>
      <c r="CH25" s="30" t="str">
        <f aca="false">IF($A25="","",SUMIFS(approvals!$AL$2:$AL$251,approvals!$A$2:$A$251,$A25,approvals!$Q$2:$Q$251,"Y"))</f>
        <v/>
      </c>
      <c r="CI25" s="30" t="str">
        <f aca="false">IF($A25="","",IF(N($BP25)=0,"",SUMPRODUCT(MIN(approvals!$BB$2:$BB$251+(approvals!$A$2:$A$251&lt;&gt;$A25)*1000000))))</f>
        <v/>
      </c>
      <c r="CJ25" s="30" t="str">
        <f aca="false">IF($A25="","",COUNTIFS(approvals!$A$2:$A$251,$A25,approvals!$Q$2:$Q$251,"Y",approvals!$AL$2:$AL$251,"&lt;"&amp;config!$B$30))</f>
        <v/>
      </c>
      <c r="CK25" s="30" t="str">
        <f aca="false">IF($A25="","",SUMIFS(approvals!$AM$2:$AM$251,approvals!$A$2:$A$251,$A25,approvals!$Q$2:$Q$251,"Y"))</f>
        <v/>
      </c>
      <c r="CL25" s="30" t="str">
        <f aca="false">IF($A25="","",SUMIFS(approvals!$AQ$2:$AQ$251,approvals!$A$2:$A$251,$A25,approvals!$Q$2:$Q$251,"Y"))</f>
        <v/>
      </c>
      <c r="CM25" s="30" t="str">
        <f aca="false">IF($A25="","",SUMIFS(approvals!$AR$2:$AR$251,approvals!$A$2:$A$251,$A25,approvals!$Q$2:$Q$251,"Y"))</f>
        <v/>
      </c>
      <c r="CN25" s="30" t="str">
        <f aca="false">IF($A25="","",SUMIFS(approvals!$AS$2:$AS$251,approvals!$A$2:$A$251,$A25,approvals!$Q$2:$Q$251,"Y"))</f>
        <v/>
      </c>
      <c r="CO25" s="30" t="str">
        <f aca="false">IF($A25="","",SUMIFS(approvals!$AT$2:$AT$251,approvals!$A$2:$A$251,$A25,approvals!$Q$2:$Q$251,"Y"))</f>
        <v/>
      </c>
      <c r="CP25" s="33" t="str">
        <f aca="false">IF($A25="","",IF(N($CO25)=0,"",ROUND(SUMIFS(approvals!$AU$2:$AU$251,approvals!$A$2:$A$251,$A25,approvals!$Q$2:$Q$251,"Y")/$CO25,1)))</f>
        <v/>
      </c>
      <c r="CQ25" s="30" t="str">
        <f aca="false">IF($A25="","",SUMIFS(approvals!$AV$2:$AV$251,approvals!$A$2:$A$251,$A25,approvals!$Q$2:$Q$251,"Y"))</f>
        <v/>
      </c>
      <c r="CR25" s="30" t="str">
        <f aca="false">IF($A25="","",SUMIFS(approvals!$AW$2:$AW$251,approvals!$A$2:$A$251,$A25,approvals!$Q$2:$Q$251,"Y"))</f>
        <v/>
      </c>
      <c r="CS25" s="30" t="str">
        <f aca="false">IF($A25="","",SUMIFS(approvals!$AX$2:$AX$251,approvals!$A$2:$A$251,$A25,approvals!$Q$2:$Q$251,"Y"))</f>
        <v/>
      </c>
      <c r="CT25" s="30" t="str">
        <f aca="false">IF($A25="","",SUMIFS(approvals!$AY$2:$AY$251,approvals!$A$2:$A$251,$A25,approvals!$Q$2:$Q$251,"Y"))</f>
        <v/>
      </c>
      <c r="CU25" s="30" t="str">
        <f aca="true">IF($A25="","",IF(OR($BG25="",$BC25&lt;&gt;""),"",IFERROR(COUNT(INDIRECT("'"&amp;$A25&amp;"'!$A$2:$A$501")),0)-IFERROR(COUNTIFS(INDIRECT("'"&amp;$A25&amp;"'!$A$2:$A$501"),"&gt;="&amp;$BG25,INDIRECT("'"&amp;$A25&amp;"'!$A$2:$A$501"),"&lt;"&amp;(IFERROR(IF(INDEX(drops!$R$2:$R$21,MATCH($B25,drops!$A$2:$A$21,0))="","",INDEX(drops!$R$2:$R$21,MATCH($B25,drops!$A$2:$A$21,0))),"")+1)),0)))</f>
        <v/>
      </c>
      <c r="CV25" s="30" t="str">
        <f aca="true">IF($A25="","",IF(OR($BG25="",$BC25&lt;&gt;""),"",IFERROR(COUNTIFS(INDIRECT("'"&amp;$A25&amp;"'!$A$2:$A$501"),"&gt;="&amp;$BG25,INDIRECT("'"&amp;$A25&amp;"'!$A$2:$A$501"),"&lt;"&amp;(IFERROR(IF(INDEX(drops!$R$2:$R$21,MATCH($B25,drops!$A$2:$A$21,0))="","",INDEX(drops!$R$2:$R$21,MATCH($B25,drops!$A$2:$A$21,0))),"")+1)),0)-N($CH25)-N($CW25)))</f>
        <v/>
      </c>
      <c r="CW25" s="30" t="str">
        <f aca="false">IF($A25="","",IF($BG25="","",SUMIFS(approvals!$AL$2:$AL$251,approvals!$A$2:$A$251,$A25,approvals!$Q$2:$Q$251,"&lt;&gt;Y")))</f>
        <v/>
      </c>
      <c r="CX25" s="30" t="str">
        <f aca="false">IF($A25="","",SUMIFS(approvals!$AN$2:$AN$251,approvals!$A$2:$A$251,$A25,approvals!$Q$2:$Q$251,"Y"))</f>
        <v/>
      </c>
      <c r="CY25" s="30" t="str">
        <f aca="false">IF($A25="","",SUMIFS(approvals!$AO$2:$AO$251,approvals!$A$2:$A$251,$A25,approvals!$Q$2:$Q$251,"Y"))</f>
        <v/>
      </c>
      <c r="CZ25" s="30" t="str">
        <f aca="false">IF($A25="","",IF($DA25="","",SUMIFS(redemptions!$C$2:$C$121,redemptions!$A$2:$A$121,$A25,redemptions!$B$2:$B$121,$DA25)))</f>
        <v/>
      </c>
      <c r="DA25" s="31" t="str">
        <f aca="false">IF($A25="","",IFERROR(1/(1/SUMPRODUCT(MAX((redemptions!$A$2:$A$121=$A25)*redemptions!$B$2:$B$121))),""))</f>
        <v/>
      </c>
      <c r="DB25" s="30" t="str">
        <f aca="false">IF($A25="","",IF(COUNTIFS(redemptions!$A$2:$A$121,$A25,redemptions!$H$2:$H$121,"Y")=0,"",SUMIFS(redemptions!$C$2:$C$121,redemptions!$A$2:$A$121,$A25,redemptions!$B$2:$B$121,SUMPRODUCT(MIN((redemptions!$A$2:$A$121=$A25)*(redemptions!$H$2:$H$121="Y")*redemptions!$B$2:$B$121+((redemptions!$A$2:$A$121&lt;&gt;$A25)+(redemptions!$H$2:$H$121&lt;&gt;"Y")&gt;0)*1000000)))))</f>
        <v/>
      </c>
      <c r="DC25" s="32" t="str">
        <f aca="false">IF($A25="","",SUMIFS(invoices!$E$2:$E$151,invoices!$B$2:$B$151,$A25))</f>
        <v/>
      </c>
      <c r="DD25" s="32" t="str">
        <f aca="false">IF($A25="","",IF(COUNTIFS(invoices!$B$2:$B$151,$A25,invoices!$C$2:$C$151,"standard_deposit",invoices!$H$2:$H$151,"&gt;0")=0,"",SUMIFS(invoices!$I$2:$I$151,invoices!$B$2:$B$151,$A25,invoices!$C$2:$C$151,"standard_deposit")))</f>
        <v/>
      </c>
      <c r="DE25" s="31" t="str">
        <f aca="false">IF($A25="","",IFERROR(1/(1/SUMPRODUCT(MAX((invoices!$B$2:$B$151=$A25)*(invoices!$C$2:$C$151="standard_deposit")*invoices!$H$2:$H$151))),""))</f>
        <v/>
      </c>
      <c r="DF25" s="31" t="str">
        <f aca="false">IF($A25="","",IFERROR(1/(1/SUMPRODUCT(MAX((invoices!$B$2:$B$151=$A25)*((invoices!$C$2:$C$151="founding_full")+(invoices!$C$2:$C$151="standard_balance"))*invoices!$H$2:$H$151))),""))</f>
        <v/>
      </c>
      <c r="DG25" s="32" t="str">
        <f aca="false">IF($A25="","",SUMIFS(invoices!$L$2:$L$151,invoices!$B$2:$B$151,$A25))</f>
        <v/>
      </c>
      <c r="DH25" s="32" t="str">
        <f aca="false">IF($A25="","",SUMIFS(costs!$E$2:$E$301,costs!$C$2:$C$301,$A25))</f>
        <v/>
      </c>
      <c r="DI25" s="32" t="str">
        <f aca="false">IF($A25="","",ROUND(IF(SUMIFS(campaigns!$BO$2:$BO$51,campaigns!$B$2:$B$51,$B25)=0,0,$BO25/SUMIFS(campaigns!$BO$2:$BO$51,campaigns!$B$2:$B$51,$B25))*(SUMIFS(costs!$E$2:$E$301,costs!$B$2:$B$301,$B25)-SUMPRODUCT((costs!$B$2:$B$301=$B25)*(LEN(costs!$C$2:$C$301)&gt;0)*costs!$E$2:$E$301)),2))</f>
        <v/>
      </c>
      <c r="DJ25" s="33" t="str">
        <f aca="false">IF($A25="","",SUMIFS(hours!$E$2:$E$1501,hours!$C$2:$C$1501,$A25))</f>
        <v/>
      </c>
      <c r="DK25" s="33" t="str">
        <f aca="false">IF($A25="","",ROUND(IF(SUMIFS(campaigns!$BO$2:$BO$51,campaigns!$B$2:$B$51,$B25)=0,0,$BO25/SUMIFS(campaigns!$BO$2:$BO$51,campaigns!$B$2:$B$51,$B25))*(SUMIFS(hours!$E$2:$E$1501,hours!$B$2:$B$1501,$B25)-SUMPRODUCT((hours!$B$2:$B$1501=$B25)*(LEN(hours!$C$2:$C$1501)&gt;0)*hours!$E$2:$E$1501)),2))</f>
        <v/>
      </c>
      <c r="DL25" s="32" t="str">
        <f aca="false">IF($A25="","",$DC25-$DG25-$DH25-$DI25)</f>
        <v/>
      </c>
      <c r="DM25" s="32" t="str">
        <f aca="false">IF($A25="","",IF(N($DJ25)+N($DK25)=0,"",ROUND($DL25/($DJ25+$DK25),2)))</f>
        <v/>
      </c>
      <c r="DN25" s="34" t="str">
        <f aca="false">IF($A25="","",IF(N($BP25)=0,"",COUNTIFS(approvals!$A$2:$A$251,$A25,approvals!$Q$2:$Q$251,"Y",approvals!$AK$2:$AK$251,"Y")/$BP25))</f>
        <v/>
      </c>
      <c r="DO25" s="33" t="str">
        <f aca="false">IF($A25="","",IF(COUNTIFS(approvals!$A$2:$A$251,$A25,approvals!$AC$2:$AC$251,"&gt;=0")=0,"",ROUND(SUMIFS(approvals!$AC$2:$AC$251,approvals!$A$2:$A$251,$A25)/COUNTIFS(approvals!$A$2:$A$251,$A25,approvals!$AC$2:$AC$251,"&gt;=0"),1)))</f>
        <v/>
      </c>
      <c r="DP25" s="31" t="str">
        <f aca="false">IF($A25="","",IFERROR(IF(INDEX(drops!$T$2:$T$21,MATCH($B25,drops!$A$2:$A$21,0))="","",INDEX(drops!$T$2:$T$21,MATCH($B25,drops!$A$2:$A$21,0))),""))</f>
        <v/>
      </c>
      <c r="DQ25" s="31" t="str">
        <f aca="false">IF($A25="","",IFERROR(IF(INDEX(drops!$U$2:$U$21,MATCH($B25,drops!$A$2:$A$21,0))="","",INDEX(drops!$U$2:$U$21,MATCH($B25,drops!$A$2:$A$21,0))),""))</f>
        <v/>
      </c>
      <c r="DR25" s="31" t="str">
        <f aca="false">IF($A25="","",IFERROR(IF(INDEX(drops!$W$2:$W$21,MATCH($B25,drops!$A$2:$A$21,0))="","",INDEX(drops!$W$2:$W$21,MATCH($B25,drops!$A$2:$A$21,0))),""))</f>
        <v/>
      </c>
      <c r="DS25" s="30" t="str">
        <f aca="false">IF($A25="","",IF($CE25="","",IF($CE25&gt;=config!$B$31,"pass","miss")))</f>
        <v/>
      </c>
      <c r="DT25" s="30" t="str">
        <f aca="false">IF($A25="","",IF($CI25="","",IF($CI25&gt;=config!$B$30,"pass","miss")))</f>
        <v/>
      </c>
      <c r="DU25" s="30" t="str">
        <f aca="true">IF($A25="","",IF($AT25="",IF($DP25="","",IF(IF(config!$B$37&lt;&gt;"",config!$B$37,TODAY())&gt;$DP25,"late","due")),IF($AT25&lt;=$DP25,"pass","late")))</f>
        <v/>
      </c>
      <c r="DV25" s="30" t="str">
        <f aca="false">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ustomFormat="false" ht="15" hidden="false" customHeight="false" outlineLevel="0" collapsed="false">
      <c r="D26" s="10"/>
      <c r="G26" s="12"/>
      <c r="H26" s="11"/>
      <c r="M26" s="10"/>
      <c r="Y26" s="10"/>
      <c r="Z26" s="10"/>
      <c r="AB26" s="11"/>
      <c r="AC26" s="11"/>
      <c r="AD26" s="11"/>
      <c r="AF26" s="11"/>
      <c r="AG26" s="11"/>
      <c r="AT26" s="11"/>
      <c r="AU26" s="11"/>
      <c r="AV26" s="10"/>
      <c r="AW26" s="10"/>
      <c r="AY26" s="11"/>
      <c r="BA26" s="11"/>
      <c r="BB26" s="11"/>
      <c r="BC26" s="11"/>
      <c r="BE26" s="30" t="str">
        <f aca="false">IF($A26="","",IFERROR(IF(INDEX(brands!$K$2:$K$41,MATCH($C26,brands!$A$2:$A$41,0))="","",INDEX(brands!$K$2:$K$41,MATCH($C26,brands!$A$2:$A$41,0))),""))</f>
        <v/>
      </c>
      <c r="BF26" s="30" t="str">
        <f aca="false">IF($A26="","",IFERROR(IF(INDEX(brands!$M$2:$M$41,MATCH($C26,brands!$A$2:$A$41,0))="","",INDEX(brands!$M$2:$M$41,MATCH($C26,brands!$A$2:$A$41,0))),""))</f>
        <v/>
      </c>
      <c r="BG26" s="31" t="str">
        <f aca="false">IF($A26="","",IF(IFERROR(IF(INDEX(drops!$I$2:$I$21,MATCH($B26,drops!$A$2:$A$21,0))="","",INDEX(drops!$I$2:$I$21,MATCH($B26,drops!$A$2:$A$21,0))),"")="OK",IFERROR(IF(INDEX(drops!$B$2:$B$21,MATCH($B26,drops!$A$2:$A$21,0))="","",INDEX(drops!$B$2:$B$21,MATCH($B26,drops!$A$2:$A$21,0))),""),""))</f>
        <v/>
      </c>
      <c r="BH26" s="30" t="str">
        <f aca="false">IF($A26="","",IFERROR(IF(INDEX(drops!$C$2:$C$21,MATCH($B26,drops!$A$2:$A$21,0))="","",INDEX(drops!$C$2:$C$21,MATCH($B26,drops!$A$2:$A$21,0))),""))</f>
        <v/>
      </c>
      <c r="BI26" s="32" t="str">
        <f aca="false">IF($A26="","",IF($F26="","",IF($D26="founding",IF($E26="Y",config!$B$25*MIN($F26,config!$B$26)+config!$B$24*MAX(0,$F26-config!$B$26),config!$B$20+config!$B$24*MAX(0,$F26-config!$B$21)),IF($D26="standard",config!$B$22+config!$B$24*MAX(0,$F26-config!$B$23),""))))</f>
        <v/>
      </c>
      <c r="BJ26" s="32" t="str">
        <f aca="false">IF($A26="","",IF($G26&lt;&gt;"",$G26,$BI26))</f>
        <v/>
      </c>
      <c r="BK26" s="30" t="str">
        <f aca="false">IF($A26="","",IF($D26="founding","100% within "&amp;config!$B$27&amp;" business days of the invoice, before shipping",IF($D26="standard","50% on signing; 50% at placement confirmation (T+1)","")))</f>
        <v/>
      </c>
      <c r="BL26" s="31" t="str">
        <f aca="false">IF($A26="","",IFERROR(IF(INDEX(drops!$K$2:$K$21,MATCH($B26,drops!$A$2:$A$21,0))="","",INDEX(drops!$K$2:$K$21,MATCH($B26,drops!$A$2:$A$21,0))),""))</f>
        <v/>
      </c>
      <c r="BM26" s="31" t="str">
        <f aca="false">IF($A26="","",IFERROR(IF(INDEX(drops!$L$2:$L$21,MATCH($B26,drops!$A$2:$A$21,0))="","",INDEX(drops!$L$2:$L$21,MATCH($B26,drops!$A$2:$A$21,0))),""))</f>
        <v/>
      </c>
      <c r="BN26" s="30" t="str">
        <f aca="false">IF($A26="","",COUNTIF(approvals!$A$2:$A$251,$A26))</f>
        <v/>
      </c>
      <c r="BO26" s="30" t="str">
        <f aca="false">IF($A26="","",COUNTIFS(approvals!$A$2:$A$251,$A26,approvals!$P$2:$P$251,"Y"))</f>
        <v/>
      </c>
      <c r="BP26" s="30" t="str">
        <f aca="false">IF($A26="","",COUNTIFS(approvals!$A$2:$A$251,$A26,approvals!$Q$2:$Q$251,"Y"))</f>
        <v/>
      </c>
      <c r="BQ26" s="30" t="str">
        <f aca="false">IF($A26="","",COUNTIFS(approvals!$A$2:$A$251,$A26,approvals!$P$2:$P$251,"pending"))</f>
        <v/>
      </c>
      <c r="BR26" s="30" t="str">
        <f aca="false">IF($A26="","",SUMIFS(approvals!$S$2:$S$251,approvals!$A$2:$A$251,$A26,approvals!$P$2:$P$251,"Y"))</f>
        <v/>
      </c>
      <c r="BS26" s="30" t="str">
        <f aca="false">IF($A26="","",ROUNDUP($BR26*config!$B$18,0))</f>
        <v/>
      </c>
      <c r="BT26" s="30" t="str">
        <f aca="false">IF($A26="","",$BR26+$BS26)</f>
        <v/>
      </c>
      <c r="BU26" s="32" t="str">
        <f aca="false">IF($A26="","",SUMIFS(invoices!$I$2:$I$151,invoices!$B$2:$B$151,$A26,invoices!$R$2:$R$151,"Y",invoices!$H$2:$H$151,"&gt;0"))</f>
        <v/>
      </c>
      <c r="BV26" s="32" t="str">
        <f aca="false">IF($A26="","",IF($BJ26="","",IF($D26="founding",$BJ26,ROUND($BJ26*config!$B$28,2))))</f>
        <v/>
      </c>
      <c r="BW26" s="30" t="str">
        <f aca="false">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30" t="str">
        <f aca="false">IF($A26="","",SUMIFS(inventory!$G$2:$G$801,inventory!$C$2:$C$801,$A26,inventory!$E$2:$E$801,"received"))</f>
        <v/>
      </c>
      <c r="BY26" s="30" t="str">
        <f aca="false">IF($A26="","",SUMIFS(inventory!$G$2:$G$801,inventory!$C$2:$C$801,$A26,inventory!$E$2:$E$801,"rejected"))</f>
        <v/>
      </c>
      <c r="BZ26" s="30" t="str">
        <f aca="false">IF($A26="","",SUMIFS(inventory!$M$2:$M$801,inventory!$C$2:$C$801,$A26))</f>
        <v/>
      </c>
      <c r="CA26" s="30" t="str">
        <f aca="false">IF($A26="","",SUMIFS(inventory!$O$2:$O$801,inventory!$C$2:$C$801,$A26))</f>
        <v/>
      </c>
      <c r="CB26" s="30" t="str">
        <f aca="false">IF($A26="","",SUMIFS(approvals!$U$2:$U$251,approvals!$A$2:$A$251,$A26))</f>
        <v/>
      </c>
      <c r="CC26" s="30" t="str">
        <f aca="false">IF($A26="","",SUMIFS(approvals!$AA$2:$AA$251,approvals!$A$2:$A$251,$A26))</f>
        <v/>
      </c>
      <c r="CD26" s="30" t="str">
        <f aca="false">IF($A26="","",SUMIFS(approvals!$AA$2:$AA$251,approvals!$A$2:$A$251,$A26,approvals!$AB$2:$AB$251,"Y"))</f>
        <v/>
      </c>
      <c r="CE26" s="34" t="str">
        <f aca="false">IF($A26="","",IF(N($CB26)=0,"",$CD26/$CB26))</f>
        <v/>
      </c>
      <c r="CF26" s="30" t="str">
        <f aca="false">IF($A26="","",SUMIFS(approvals!$AD$2:$AD$251,approvals!$A$2:$A$251,$A26))</f>
        <v/>
      </c>
      <c r="CG26" s="30" t="str">
        <f aca="false">IF($A26="","",IF(COUNTIFS(approvals!$A$2:$A$251,$A26,approvals!$Q$2:$Q$251,"Y",approvals!$AG$2:$AG$251,"")&gt;0,"",SUMIFS(approvals!$AG$2:$AG$251,approvals!$A$2:$A$251,$A26,approvals!$Q$2:$Q$251,"Y")))</f>
        <v/>
      </c>
      <c r="CH26" s="30" t="str">
        <f aca="false">IF($A26="","",SUMIFS(approvals!$AL$2:$AL$251,approvals!$A$2:$A$251,$A26,approvals!$Q$2:$Q$251,"Y"))</f>
        <v/>
      </c>
      <c r="CI26" s="30" t="str">
        <f aca="false">IF($A26="","",IF(N($BP26)=0,"",SUMPRODUCT(MIN(approvals!$BB$2:$BB$251+(approvals!$A$2:$A$251&lt;&gt;$A26)*1000000))))</f>
        <v/>
      </c>
      <c r="CJ26" s="30" t="str">
        <f aca="false">IF($A26="","",COUNTIFS(approvals!$A$2:$A$251,$A26,approvals!$Q$2:$Q$251,"Y",approvals!$AL$2:$AL$251,"&lt;"&amp;config!$B$30))</f>
        <v/>
      </c>
      <c r="CK26" s="30" t="str">
        <f aca="false">IF($A26="","",SUMIFS(approvals!$AM$2:$AM$251,approvals!$A$2:$A$251,$A26,approvals!$Q$2:$Q$251,"Y"))</f>
        <v/>
      </c>
      <c r="CL26" s="30" t="str">
        <f aca="false">IF($A26="","",SUMIFS(approvals!$AQ$2:$AQ$251,approvals!$A$2:$A$251,$A26,approvals!$Q$2:$Q$251,"Y"))</f>
        <v/>
      </c>
      <c r="CM26" s="30" t="str">
        <f aca="false">IF($A26="","",SUMIFS(approvals!$AR$2:$AR$251,approvals!$A$2:$A$251,$A26,approvals!$Q$2:$Q$251,"Y"))</f>
        <v/>
      </c>
      <c r="CN26" s="30" t="str">
        <f aca="false">IF($A26="","",SUMIFS(approvals!$AS$2:$AS$251,approvals!$A$2:$A$251,$A26,approvals!$Q$2:$Q$251,"Y"))</f>
        <v/>
      </c>
      <c r="CO26" s="30" t="str">
        <f aca="false">IF($A26="","",SUMIFS(approvals!$AT$2:$AT$251,approvals!$A$2:$A$251,$A26,approvals!$Q$2:$Q$251,"Y"))</f>
        <v/>
      </c>
      <c r="CP26" s="33" t="str">
        <f aca="false">IF($A26="","",IF(N($CO26)=0,"",ROUND(SUMIFS(approvals!$AU$2:$AU$251,approvals!$A$2:$A$251,$A26,approvals!$Q$2:$Q$251,"Y")/$CO26,1)))</f>
        <v/>
      </c>
      <c r="CQ26" s="30" t="str">
        <f aca="false">IF($A26="","",SUMIFS(approvals!$AV$2:$AV$251,approvals!$A$2:$A$251,$A26,approvals!$Q$2:$Q$251,"Y"))</f>
        <v/>
      </c>
      <c r="CR26" s="30" t="str">
        <f aca="false">IF($A26="","",SUMIFS(approvals!$AW$2:$AW$251,approvals!$A$2:$A$251,$A26,approvals!$Q$2:$Q$251,"Y"))</f>
        <v/>
      </c>
      <c r="CS26" s="30" t="str">
        <f aca="false">IF($A26="","",SUMIFS(approvals!$AX$2:$AX$251,approvals!$A$2:$A$251,$A26,approvals!$Q$2:$Q$251,"Y"))</f>
        <v/>
      </c>
      <c r="CT26" s="30" t="str">
        <f aca="false">IF($A26="","",SUMIFS(approvals!$AY$2:$AY$251,approvals!$A$2:$A$251,$A26,approvals!$Q$2:$Q$251,"Y"))</f>
        <v/>
      </c>
      <c r="CU26" s="30" t="str">
        <f aca="true">IF($A26="","",IF(OR($BG26="",$BC26&lt;&gt;""),"",IFERROR(COUNT(INDIRECT("'"&amp;$A26&amp;"'!$A$2:$A$501")),0)-IFERROR(COUNTIFS(INDIRECT("'"&amp;$A26&amp;"'!$A$2:$A$501"),"&gt;="&amp;$BG26,INDIRECT("'"&amp;$A26&amp;"'!$A$2:$A$501"),"&lt;"&amp;(IFERROR(IF(INDEX(drops!$R$2:$R$21,MATCH($B26,drops!$A$2:$A$21,0))="","",INDEX(drops!$R$2:$R$21,MATCH($B26,drops!$A$2:$A$21,0))),"")+1)),0)))</f>
        <v/>
      </c>
      <c r="CV26" s="30" t="str">
        <f aca="true">IF($A26="","",IF(OR($BG26="",$BC26&lt;&gt;""),"",IFERROR(COUNTIFS(INDIRECT("'"&amp;$A26&amp;"'!$A$2:$A$501"),"&gt;="&amp;$BG26,INDIRECT("'"&amp;$A26&amp;"'!$A$2:$A$501"),"&lt;"&amp;(IFERROR(IF(INDEX(drops!$R$2:$R$21,MATCH($B26,drops!$A$2:$A$21,0))="","",INDEX(drops!$R$2:$R$21,MATCH($B26,drops!$A$2:$A$21,0))),"")+1)),0)-N($CH26)-N($CW26)))</f>
        <v/>
      </c>
      <c r="CW26" s="30" t="str">
        <f aca="false">IF($A26="","",IF($BG26="","",SUMIFS(approvals!$AL$2:$AL$251,approvals!$A$2:$A$251,$A26,approvals!$Q$2:$Q$251,"&lt;&gt;Y")))</f>
        <v/>
      </c>
      <c r="CX26" s="30" t="str">
        <f aca="false">IF($A26="","",SUMIFS(approvals!$AN$2:$AN$251,approvals!$A$2:$A$251,$A26,approvals!$Q$2:$Q$251,"Y"))</f>
        <v/>
      </c>
      <c r="CY26" s="30" t="str">
        <f aca="false">IF($A26="","",SUMIFS(approvals!$AO$2:$AO$251,approvals!$A$2:$A$251,$A26,approvals!$Q$2:$Q$251,"Y"))</f>
        <v/>
      </c>
      <c r="CZ26" s="30" t="str">
        <f aca="false">IF($A26="","",IF($DA26="","",SUMIFS(redemptions!$C$2:$C$121,redemptions!$A$2:$A$121,$A26,redemptions!$B$2:$B$121,$DA26)))</f>
        <v/>
      </c>
      <c r="DA26" s="31" t="str">
        <f aca="false">IF($A26="","",IFERROR(1/(1/SUMPRODUCT(MAX((redemptions!$A$2:$A$121=$A26)*redemptions!$B$2:$B$121))),""))</f>
        <v/>
      </c>
      <c r="DB26" s="30" t="str">
        <f aca="false">IF($A26="","",IF(COUNTIFS(redemptions!$A$2:$A$121,$A26,redemptions!$H$2:$H$121,"Y")=0,"",SUMIFS(redemptions!$C$2:$C$121,redemptions!$A$2:$A$121,$A26,redemptions!$B$2:$B$121,SUMPRODUCT(MIN((redemptions!$A$2:$A$121=$A26)*(redemptions!$H$2:$H$121="Y")*redemptions!$B$2:$B$121+((redemptions!$A$2:$A$121&lt;&gt;$A26)+(redemptions!$H$2:$H$121&lt;&gt;"Y")&gt;0)*1000000)))))</f>
        <v/>
      </c>
      <c r="DC26" s="32" t="str">
        <f aca="false">IF($A26="","",SUMIFS(invoices!$E$2:$E$151,invoices!$B$2:$B$151,$A26))</f>
        <v/>
      </c>
      <c r="DD26" s="32" t="str">
        <f aca="false">IF($A26="","",IF(COUNTIFS(invoices!$B$2:$B$151,$A26,invoices!$C$2:$C$151,"standard_deposit",invoices!$H$2:$H$151,"&gt;0")=0,"",SUMIFS(invoices!$I$2:$I$151,invoices!$B$2:$B$151,$A26,invoices!$C$2:$C$151,"standard_deposit")))</f>
        <v/>
      </c>
      <c r="DE26" s="31" t="str">
        <f aca="false">IF($A26="","",IFERROR(1/(1/SUMPRODUCT(MAX((invoices!$B$2:$B$151=$A26)*(invoices!$C$2:$C$151="standard_deposit")*invoices!$H$2:$H$151))),""))</f>
        <v/>
      </c>
      <c r="DF26" s="31" t="str">
        <f aca="false">IF($A26="","",IFERROR(1/(1/SUMPRODUCT(MAX((invoices!$B$2:$B$151=$A26)*((invoices!$C$2:$C$151="founding_full")+(invoices!$C$2:$C$151="standard_balance"))*invoices!$H$2:$H$151))),""))</f>
        <v/>
      </c>
      <c r="DG26" s="32" t="str">
        <f aca="false">IF($A26="","",SUMIFS(invoices!$L$2:$L$151,invoices!$B$2:$B$151,$A26))</f>
        <v/>
      </c>
      <c r="DH26" s="32" t="str">
        <f aca="false">IF($A26="","",SUMIFS(costs!$E$2:$E$301,costs!$C$2:$C$301,$A26))</f>
        <v/>
      </c>
      <c r="DI26" s="32" t="str">
        <f aca="false">IF($A26="","",ROUND(IF(SUMIFS(campaigns!$BO$2:$BO$51,campaigns!$B$2:$B$51,$B26)=0,0,$BO26/SUMIFS(campaigns!$BO$2:$BO$51,campaigns!$B$2:$B$51,$B26))*(SUMIFS(costs!$E$2:$E$301,costs!$B$2:$B$301,$B26)-SUMPRODUCT((costs!$B$2:$B$301=$B26)*(LEN(costs!$C$2:$C$301)&gt;0)*costs!$E$2:$E$301)),2))</f>
        <v/>
      </c>
      <c r="DJ26" s="33" t="str">
        <f aca="false">IF($A26="","",SUMIFS(hours!$E$2:$E$1501,hours!$C$2:$C$1501,$A26))</f>
        <v/>
      </c>
      <c r="DK26" s="33" t="str">
        <f aca="false">IF($A26="","",ROUND(IF(SUMIFS(campaigns!$BO$2:$BO$51,campaigns!$B$2:$B$51,$B26)=0,0,$BO26/SUMIFS(campaigns!$BO$2:$BO$51,campaigns!$B$2:$B$51,$B26))*(SUMIFS(hours!$E$2:$E$1501,hours!$B$2:$B$1501,$B26)-SUMPRODUCT((hours!$B$2:$B$1501=$B26)*(LEN(hours!$C$2:$C$1501)&gt;0)*hours!$E$2:$E$1501)),2))</f>
        <v/>
      </c>
      <c r="DL26" s="32" t="str">
        <f aca="false">IF($A26="","",$DC26-$DG26-$DH26-$DI26)</f>
        <v/>
      </c>
      <c r="DM26" s="32" t="str">
        <f aca="false">IF($A26="","",IF(N($DJ26)+N($DK26)=0,"",ROUND($DL26/($DJ26+$DK26),2)))</f>
        <v/>
      </c>
      <c r="DN26" s="34" t="str">
        <f aca="false">IF($A26="","",IF(N($BP26)=0,"",COUNTIFS(approvals!$A$2:$A$251,$A26,approvals!$Q$2:$Q$251,"Y",approvals!$AK$2:$AK$251,"Y")/$BP26))</f>
        <v/>
      </c>
      <c r="DO26" s="33" t="str">
        <f aca="false">IF($A26="","",IF(COUNTIFS(approvals!$A$2:$A$251,$A26,approvals!$AC$2:$AC$251,"&gt;=0")=0,"",ROUND(SUMIFS(approvals!$AC$2:$AC$251,approvals!$A$2:$A$251,$A26)/COUNTIFS(approvals!$A$2:$A$251,$A26,approvals!$AC$2:$AC$251,"&gt;=0"),1)))</f>
        <v/>
      </c>
      <c r="DP26" s="31" t="str">
        <f aca="false">IF($A26="","",IFERROR(IF(INDEX(drops!$T$2:$T$21,MATCH($B26,drops!$A$2:$A$21,0))="","",INDEX(drops!$T$2:$T$21,MATCH($B26,drops!$A$2:$A$21,0))),""))</f>
        <v/>
      </c>
      <c r="DQ26" s="31" t="str">
        <f aca="false">IF($A26="","",IFERROR(IF(INDEX(drops!$U$2:$U$21,MATCH($B26,drops!$A$2:$A$21,0))="","",INDEX(drops!$U$2:$U$21,MATCH($B26,drops!$A$2:$A$21,0))),""))</f>
        <v/>
      </c>
      <c r="DR26" s="31" t="str">
        <f aca="false">IF($A26="","",IFERROR(IF(INDEX(drops!$W$2:$W$21,MATCH($B26,drops!$A$2:$A$21,0))="","",INDEX(drops!$W$2:$W$21,MATCH($B26,drops!$A$2:$A$21,0))),""))</f>
        <v/>
      </c>
      <c r="DS26" s="30" t="str">
        <f aca="false">IF($A26="","",IF($CE26="","",IF($CE26&gt;=config!$B$31,"pass","miss")))</f>
        <v/>
      </c>
      <c r="DT26" s="30" t="str">
        <f aca="false">IF($A26="","",IF($CI26="","",IF($CI26&gt;=config!$B$30,"pass","miss")))</f>
        <v/>
      </c>
      <c r="DU26" s="30" t="str">
        <f aca="true">IF($A26="","",IF($AT26="",IF($DP26="","",IF(IF(config!$B$37&lt;&gt;"",config!$B$37,TODAY())&gt;$DP26,"late","due")),IF($AT26&lt;=$DP26,"pass","late")))</f>
        <v/>
      </c>
      <c r="DV26" s="30" t="str">
        <f aca="false">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ustomFormat="false" ht="15" hidden="false" customHeight="false" outlineLevel="0" collapsed="false">
      <c r="D27" s="10"/>
      <c r="G27" s="12"/>
      <c r="H27" s="11"/>
      <c r="M27" s="10"/>
      <c r="Y27" s="10"/>
      <c r="Z27" s="10"/>
      <c r="AB27" s="11"/>
      <c r="AC27" s="11"/>
      <c r="AD27" s="11"/>
      <c r="AF27" s="11"/>
      <c r="AG27" s="11"/>
      <c r="AT27" s="11"/>
      <c r="AU27" s="11"/>
      <c r="AV27" s="10"/>
      <c r="AW27" s="10"/>
      <c r="AY27" s="11"/>
      <c r="BA27" s="11"/>
      <c r="BB27" s="11"/>
      <c r="BC27" s="11"/>
      <c r="BE27" s="30" t="str">
        <f aca="false">IF($A27="","",IFERROR(IF(INDEX(brands!$K$2:$K$41,MATCH($C27,brands!$A$2:$A$41,0))="","",INDEX(brands!$K$2:$K$41,MATCH($C27,brands!$A$2:$A$41,0))),""))</f>
        <v/>
      </c>
      <c r="BF27" s="30" t="str">
        <f aca="false">IF($A27="","",IFERROR(IF(INDEX(brands!$M$2:$M$41,MATCH($C27,brands!$A$2:$A$41,0))="","",INDEX(brands!$M$2:$M$41,MATCH($C27,brands!$A$2:$A$41,0))),""))</f>
        <v/>
      </c>
      <c r="BG27" s="31" t="str">
        <f aca="false">IF($A27="","",IF(IFERROR(IF(INDEX(drops!$I$2:$I$21,MATCH($B27,drops!$A$2:$A$21,0))="","",INDEX(drops!$I$2:$I$21,MATCH($B27,drops!$A$2:$A$21,0))),"")="OK",IFERROR(IF(INDEX(drops!$B$2:$B$21,MATCH($B27,drops!$A$2:$A$21,0))="","",INDEX(drops!$B$2:$B$21,MATCH($B27,drops!$A$2:$A$21,0))),""),""))</f>
        <v/>
      </c>
      <c r="BH27" s="30" t="str">
        <f aca="false">IF($A27="","",IFERROR(IF(INDEX(drops!$C$2:$C$21,MATCH($B27,drops!$A$2:$A$21,0))="","",INDEX(drops!$C$2:$C$21,MATCH($B27,drops!$A$2:$A$21,0))),""))</f>
        <v/>
      </c>
      <c r="BI27" s="32" t="str">
        <f aca="false">IF($A27="","",IF($F27="","",IF($D27="founding",IF($E27="Y",config!$B$25*MIN($F27,config!$B$26)+config!$B$24*MAX(0,$F27-config!$B$26),config!$B$20+config!$B$24*MAX(0,$F27-config!$B$21)),IF($D27="standard",config!$B$22+config!$B$24*MAX(0,$F27-config!$B$23),""))))</f>
        <v/>
      </c>
      <c r="BJ27" s="32" t="str">
        <f aca="false">IF($A27="","",IF($G27&lt;&gt;"",$G27,$BI27))</f>
        <v/>
      </c>
      <c r="BK27" s="30" t="str">
        <f aca="false">IF($A27="","",IF($D27="founding","100% within "&amp;config!$B$27&amp;" business days of the invoice, before shipping",IF($D27="standard","50% on signing; 50% at placement confirmation (T+1)","")))</f>
        <v/>
      </c>
      <c r="BL27" s="31" t="str">
        <f aca="false">IF($A27="","",IFERROR(IF(INDEX(drops!$K$2:$K$21,MATCH($B27,drops!$A$2:$A$21,0))="","",INDEX(drops!$K$2:$K$21,MATCH($B27,drops!$A$2:$A$21,0))),""))</f>
        <v/>
      </c>
      <c r="BM27" s="31" t="str">
        <f aca="false">IF($A27="","",IFERROR(IF(INDEX(drops!$L$2:$L$21,MATCH($B27,drops!$A$2:$A$21,0))="","",INDEX(drops!$L$2:$L$21,MATCH($B27,drops!$A$2:$A$21,0))),""))</f>
        <v/>
      </c>
      <c r="BN27" s="30" t="str">
        <f aca="false">IF($A27="","",COUNTIF(approvals!$A$2:$A$251,$A27))</f>
        <v/>
      </c>
      <c r="BO27" s="30" t="str">
        <f aca="false">IF($A27="","",COUNTIFS(approvals!$A$2:$A$251,$A27,approvals!$P$2:$P$251,"Y"))</f>
        <v/>
      </c>
      <c r="BP27" s="30" t="str">
        <f aca="false">IF($A27="","",COUNTIFS(approvals!$A$2:$A$251,$A27,approvals!$Q$2:$Q$251,"Y"))</f>
        <v/>
      </c>
      <c r="BQ27" s="30" t="str">
        <f aca="false">IF($A27="","",COUNTIFS(approvals!$A$2:$A$251,$A27,approvals!$P$2:$P$251,"pending"))</f>
        <v/>
      </c>
      <c r="BR27" s="30" t="str">
        <f aca="false">IF($A27="","",SUMIFS(approvals!$S$2:$S$251,approvals!$A$2:$A$251,$A27,approvals!$P$2:$P$251,"Y"))</f>
        <v/>
      </c>
      <c r="BS27" s="30" t="str">
        <f aca="false">IF($A27="","",ROUNDUP($BR27*config!$B$18,0))</f>
        <v/>
      </c>
      <c r="BT27" s="30" t="str">
        <f aca="false">IF($A27="","",$BR27+$BS27)</f>
        <v/>
      </c>
      <c r="BU27" s="32" t="str">
        <f aca="false">IF($A27="","",SUMIFS(invoices!$I$2:$I$151,invoices!$B$2:$B$151,$A27,invoices!$R$2:$R$151,"Y",invoices!$H$2:$H$151,"&gt;0"))</f>
        <v/>
      </c>
      <c r="BV27" s="32" t="str">
        <f aca="false">IF($A27="","",IF($BJ27="","",IF($D27="founding",$BJ27,ROUND($BJ27*config!$B$28,2))))</f>
        <v/>
      </c>
      <c r="BW27" s="30" t="str">
        <f aca="false">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30" t="str">
        <f aca="false">IF($A27="","",SUMIFS(inventory!$G$2:$G$801,inventory!$C$2:$C$801,$A27,inventory!$E$2:$E$801,"received"))</f>
        <v/>
      </c>
      <c r="BY27" s="30" t="str">
        <f aca="false">IF($A27="","",SUMIFS(inventory!$G$2:$G$801,inventory!$C$2:$C$801,$A27,inventory!$E$2:$E$801,"rejected"))</f>
        <v/>
      </c>
      <c r="BZ27" s="30" t="str">
        <f aca="false">IF($A27="","",SUMIFS(inventory!$M$2:$M$801,inventory!$C$2:$C$801,$A27))</f>
        <v/>
      </c>
      <c r="CA27" s="30" t="str">
        <f aca="false">IF($A27="","",SUMIFS(inventory!$O$2:$O$801,inventory!$C$2:$C$801,$A27))</f>
        <v/>
      </c>
      <c r="CB27" s="30" t="str">
        <f aca="false">IF($A27="","",SUMIFS(approvals!$U$2:$U$251,approvals!$A$2:$A$251,$A27))</f>
        <v/>
      </c>
      <c r="CC27" s="30" t="str">
        <f aca="false">IF($A27="","",SUMIFS(approvals!$AA$2:$AA$251,approvals!$A$2:$A$251,$A27))</f>
        <v/>
      </c>
      <c r="CD27" s="30" t="str">
        <f aca="false">IF($A27="","",SUMIFS(approvals!$AA$2:$AA$251,approvals!$A$2:$A$251,$A27,approvals!$AB$2:$AB$251,"Y"))</f>
        <v/>
      </c>
      <c r="CE27" s="34" t="str">
        <f aca="false">IF($A27="","",IF(N($CB27)=0,"",$CD27/$CB27))</f>
        <v/>
      </c>
      <c r="CF27" s="30" t="str">
        <f aca="false">IF($A27="","",SUMIFS(approvals!$AD$2:$AD$251,approvals!$A$2:$A$251,$A27))</f>
        <v/>
      </c>
      <c r="CG27" s="30" t="str">
        <f aca="false">IF($A27="","",IF(COUNTIFS(approvals!$A$2:$A$251,$A27,approvals!$Q$2:$Q$251,"Y",approvals!$AG$2:$AG$251,"")&gt;0,"",SUMIFS(approvals!$AG$2:$AG$251,approvals!$A$2:$A$251,$A27,approvals!$Q$2:$Q$251,"Y")))</f>
        <v/>
      </c>
      <c r="CH27" s="30" t="str">
        <f aca="false">IF($A27="","",SUMIFS(approvals!$AL$2:$AL$251,approvals!$A$2:$A$251,$A27,approvals!$Q$2:$Q$251,"Y"))</f>
        <v/>
      </c>
      <c r="CI27" s="30" t="str">
        <f aca="false">IF($A27="","",IF(N($BP27)=0,"",SUMPRODUCT(MIN(approvals!$BB$2:$BB$251+(approvals!$A$2:$A$251&lt;&gt;$A27)*1000000))))</f>
        <v/>
      </c>
      <c r="CJ27" s="30" t="str">
        <f aca="false">IF($A27="","",COUNTIFS(approvals!$A$2:$A$251,$A27,approvals!$Q$2:$Q$251,"Y",approvals!$AL$2:$AL$251,"&lt;"&amp;config!$B$30))</f>
        <v/>
      </c>
      <c r="CK27" s="30" t="str">
        <f aca="false">IF($A27="","",SUMIFS(approvals!$AM$2:$AM$251,approvals!$A$2:$A$251,$A27,approvals!$Q$2:$Q$251,"Y"))</f>
        <v/>
      </c>
      <c r="CL27" s="30" t="str">
        <f aca="false">IF($A27="","",SUMIFS(approvals!$AQ$2:$AQ$251,approvals!$A$2:$A$251,$A27,approvals!$Q$2:$Q$251,"Y"))</f>
        <v/>
      </c>
      <c r="CM27" s="30" t="str">
        <f aca="false">IF($A27="","",SUMIFS(approvals!$AR$2:$AR$251,approvals!$A$2:$A$251,$A27,approvals!$Q$2:$Q$251,"Y"))</f>
        <v/>
      </c>
      <c r="CN27" s="30" t="str">
        <f aca="false">IF($A27="","",SUMIFS(approvals!$AS$2:$AS$251,approvals!$A$2:$A$251,$A27,approvals!$Q$2:$Q$251,"Y"))</f>
        <v/>
      </c>
      <c r="CO27" s="30" t="str">
        <f aca="false">IF($A27="","",SUMIFS(approvals!$AT$2:$AT$251,approvals!$A$2:$A$251,$A27,approvals!$Q$2:$Q$251,"Y"))</f>
        <v/>
      </c>
      <c r="CP27" s="33" t="str">
        <f aca="false">IF($A27="","",IF(N($CO27)=0,"",ROUND(SUMIFS(approvals!$AU$2:$AU$251,approvals!$A$2:$A$251,$A27,approvals!$Q$2:$Q$251,"Y")/$CO27,1)))</f>
        <v/>
      </c>
      <c r="CQ27" s="30" t="str">
        <f aca="false">IF($A27="","",SUMIFS(approvals!$AV$2:$AV$251,approvals!$A$2:$A$251,$A27,approvals!$Q$2:$Q$251,"Y"))</f>
        <v/>
      </c>
      <c r="CR27" s="30" t="str">
        <f aca="false">IF($A27="","",SUMIFS(approvals!$AW$2:$AW$251,approvals!$A$2:$A$251,$A27,approvals!$Q$2:$Q$251,"Y"))</f>
        <v/>
      </c>
      <c r="CS27" s="30" t="str">
        <f aca="false">IF($A27="","",SUMIFS(approvals!$AX$2:$AX$251,approvals!$A$2:$A$251,$A27,approvals!$Q$2:$Q$251,"Y"))</f>
        <v/>
      </c>
      <c r="CT27" s="30" t="str">
        <f aca="false">IF($A27="","",SUMIFS(approvals!$AY$2:$AY$251,approvals!$A$2:$A$251,$A27,approvals!$Q$2:$Q$251,"Y"))</f>
        <v/>
      </c>
      <c r="CU27" s="30" t="str">
        <f aca="true">IF($A27="","",IF(OR($BG27="",$BC27&lt;&gt;""),"",IFERROR(COUNT(INDIRECT("'"&amp;$A27&amp;"'!$A$2:$A$501")),0)-IFERROR(COUNTIFS(INDIRECT("'"&amp;$A27&amp;"'!$A$2:$A$501"),"&gt;="&amp;$BG27,INDIRECT("'"&amp;$A27&amp;"'!$A$2:$A$501"),"&lt;"&amp;(IFERROR(IF(INDEX(drops!$R$2:$R$21,MATCH($B27,drops!$A$2:$A$21,0))="","",INDEX(drops!$R$2:$R$21,MATCH($B27,drops!$A$2:$A$21,0))),"")+1)),0)))</f>
        <v/>
      </c>
      <c r="CV27" s="30" t="str">
        <f aca="true">IF($A27="","",IF(OR($BG27="",$BC27&lt;&gt;""),"",IFERROR(COUNTIFS(INDIRECT("'"&amp;$A27&amp;"'!$A$2:$A$501"),"&gt;="&amp;$BG27,INDIRECT("'"&amp;$A27&amp;"'!$A$2:$A$501"),"&lt;"&amp;(IFERROR(IF(INDEX(drops!$R$2:$R$21,MATCH($B27,drops!$A$2:$A$21,0))="","",INDEX(drops!$R$2:$R$21,MATCH($B27,drops!$A$2:$A$21,0))),"")+1)),0)-N($CH27)-N($CW27)))</f>
        <v/>
      </c>
      <c r="CW27" s="30" t="str">
        <f aca="false">IF($A27="","",IF($BG27="","",SUMIFS(approvals!$AL$2:$AL$251,approvals!$A$2:$A$251,$A27,approvals!$Q$2:$Q$251,"&lt;&gt;Y")))</f>
        <v/>
      </c>
      <c r="CX27" s="30" t="str">
        <f aca="false">IF($A27="","",SUMIFS(approvals!$AN$2:$AN$251,approvals!$A$2:$A$251,$A27,approvals!$Q$2:$Q$251,"Y"))</f>
        <v/>
      </c>
      <c r="CY27" s="30" t="str">
        <f aca="false">IF($A27="","",SUMIFS(approvals!$AO$2:$AO$251,approvals!$A$2:$A$251,$A27,approvals!$Q$2:$Q$251,"Y"))</f>
        <v/>
      </c>
      <c r="CZ27" s="30" t="str">
        <f aca="false">IF($A27="","",IF($DA27="","",SUMIFS(redemptions!$C$2:$C$121,redemptions!$A$2:$A$121,$A27,redemptions!$B$2:$B$121,$DA27)))</f>
        <v/>
      </c>
      <c r="DA27" s="31" t="str">
        <f aca="false">IF($A27="","",IFERROR(1/(1/SUMPRODUCT(MAX((redemptions!$A$2:$A$121=$A27)*redemptions!$B$2:$B$121))),""))</f>
        <v/>
      </c>
      <c r="DB27" s="30" t="str">
        <f aca="false">IF($A27="","",IF(COUNTIFS(redemptions!$A$2:$A$121,$A27,redemptions!$H$2:$H$121,"Y")=0,"",SUMIFS(redemptions!$C$2:$C$121,redemptions!$A$2:$A$121,$A27,redemptions!$B$2:$B$121,SUMPRODUCT(MIN((redemptions!$A$2:$A$121=$A27)*(redemptions!$H$2:$H$121="Y")*redemptions!$B$2:$B$121+((redemptions!$A$2:$A$121&lt;&gt;$A27)+(redemptions!$H$2:$H$121&lt;&gt;"Y")&gt;0)*1000000)))))</f>
        <v/>
      </c>
      <c r="DC27" s="32" t="str">
        <f aca="false">IF($A27="","",SUMIFS(invoices!$E$2:$E$151,invoices!$B$2:$B$151,$A27))</f>
        <v/>
      </c>
      <c r="DD27" s="32" t="str">
        <f aca="false">IF($A27="","",IF(COUNTIFS(invoices!$B$2:$B$151,$A27,invoices!$C$2:$C$151,"standard_deposit",invoices!$H$2:$H$151,"&gt;0")=0,"",SUMIFS(invoices!$I$2:$I$151,invoices!$B$2:$B$151,$A27,invoices!$C$2:$C$151,"standard_deposit")))</f>
        <v/>
      </c>
      <c r="DE27" s="31" t="str">
        <f aca="false">IF($A27="","",IFERROR(1/(1/SUMPRODUCT(MAX((invoices!$B$2:$B$151=$A27)*(invoices!$C$2:$C$151="standard_deposit")*invoices!$H$2:$H$151))),""))</f>
        <v/>
      </c>
      <c r="DF27" s="31" t="str">
        <f aca="false">IF($A27="","",IFERROR(1/(1/SUMPRODUCT(MAX((invoices!$B$2:$B$151=$A27)*((invoices!$C$2:$C$151="founding_full")+(invoices!$C$2:$C$151="standard_balance"))*invoices!$H$2:$H$151))),""))</f>
        <v/>
      </c>
      <c r="DG27" s="32" t="str">
        <f aca="false">IF($A27="","",SUMIFS(invoices!$L$2:$L$151,invoices!$B$2:$B$151,$A27))</f>
        <v/>
      </c>
      <c r="DH27" s="32" t="str">
        <f aca="false">IF($A27="","",SUMIFS(costs!$E$2:$E$301,costs!$C$2:$C$301,$A27))</f>
        <v/>
      </c>
      <c r="DI27" s="32" t="str">
        <f aca="false">IF($A27="","",ROUND(IF(SUMIFS(campaigns!$BO$2:$BO$51,campaigns!$B$2:$B$51,$B27)=0,0,$BO27/SUMIFS(campaigns!$BO$2:$BO$51,campaigns!$B$2:$B$51,$B27))*(SUMIFS(costs!$E$2:$E$301,costs!$B$2:$B$301,$B27)-SUMPRODUCT((costs!$B$2:$B$301=$B27)*(LEN(costs!$C$2:$C$301)&gt;0)*costs!$E$2:$E$301)),2))</f>
        <v/>
      </c>
      <c r="DJ27" s="33" t="str">
        <f aca="false">IF($A27="","",SUMIFS(hours!$E$2:$E$1501,hours!$C$2:$C$1501,$A27))</f>
        <v/>
      </c>
      <c r="DK27" s="33" t="str">
        <f aca="false">IF($A27="","",ROUND(IF(SUMIFS(campaigns!$BO$2:$BO$51,campaigns!$B$2:$B$51,$B27)=0,0,$BO27/SUMIFS(campaigns!$BO$2:$BO$51,campaigns!$B$2:$B$51,$B27))*(SUMIFS(hours!$E$2:$E$1501,hours!$B$2:$B$1501,$B27)-SUMPRODUCT((hours!$B$2:$B$1501=$B27)*(LEN(hours!$C$2:$C$1501)&gt;0)*hours!$E$2:$E$1501)),2))</f>
        <v/>
      </c>
      <c r="DL27" s="32" t="str">
        <f aca="false">IF($A27="","",$DC27-$DG27-$DH27-$DI27)</f>
        <v/>
      </c>
      <c r="DM27" s="32" t="str">
        <f aca="false">IF($A27="","",IF(N($DJ27)+N($DK27)=0,"",ROUND($DL27/($DJ27+$DK27),2)))</f>
        <v/>
      </c>
      <c r="DN27" s="34" t="str">
        <f aca="false">IF($A27="","",IF(N($BP27)=0,"",COUNTIFS(approvals!$A$2:$A$251,$A27,approvals!$Q$2:$Q$251,"Y",approvals!$AK$2:$AK$251,"Y")/$BP27))</f>
        <v/>
      </c>
      <c r="DO27" s="33" t="str">
        <f aca="false">IF($A27="","",IF(COUNTIFS(approvals!$A$2:$A$251,$A27,approvals!$AC$2:$AC$251,"&gt;=0")=0,"",ROUND(SUMIFS(approvals!$AC$2:$AC$251,approvals!$A$2:$A$251,$A27)/COUNTIFS(approvals!$A$2:$A$251,$A27,approvals!$AC$2:$AC$251,"&gt;=0"),1)))</f>
        <v/>
      </c>
      <c r="DP27" s="31" t="str">
        <f aca="false">IF($A27="","",IFERROR(IF(INDEX(drops!$T$2:$T$21,MATCH($B27,drops!$A$2:$A$21,0))="","",INDEX(drops!$T$2:$T$21,MATCH($B27,drops!$A$2:$A$21,0))),""))</f>
        <v/>
      </c>
      <c r="DQ27" s="31" t="str">
        <f aca="false">IF($A27="","",IFERROR(IF(INDEX(drops!$U$2:$U$21,MATCH($B27,drops!$A$2:$A$21,0))="","",INDEX(drops!$U$2:$U$21,MATCH($B27,drops!$A$2:$A$21,0))),""))</f>
        <v/>
      </c>
      <c r="DR27" s="31" t="str">
        <f aca="false">IF($A27="","",IFERROR(IF(INDEX(drops!$W$2:$W$21,MATCH($B27,drops!$A$2:$A$21,0))="","",INDEX(drops!$W$2:$W$21,MATCH($B27,drops!$A$2:$A$21,0))),""))</f>
        <v/>
      </c>
      <c r="DS27" s="30" t="str">
        <f aca="false">IF($A27="","",IF($CE27="","",IF($CE27&gt;=config!$B$31,"pass","miss")))</f>
        <v/>
      </c>
      <c r="DT27" s="30" t="str">
        <f aca="false">IF($A27="","",IF($CI27="","",IF($CI27&gt;=config!$B$30,"pass","miss")))</f>
        <v/>
      </c>
      <c r="DU27" s="30" t="str">
        <f aca="true">IF($A27="","",IF($AT27="",IF($DP27="","",IF(IF(config!$B$37&lt;&gt;"",config!$B$37,TODAY())&gt;$DP27,"late","due")),IF($AT27&lt;=$DP27,"pass","late")))</f>
        <v/>
      </c>
      <c r="DV27" s="30" t="str">
        <f aca="false">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ustomFormat="false" ht="15" hidden="false" customHeight="false" outlineLevel="0" collapsed="false">
      <c r="D28" s="10"/>
      <c r="G28" s="12"/>
      <c r="H28" s="11"/>
      <c r="M28" s="10"/>
      <c r="Y28" s="10"/>
      <c r="Z28" s="10"/>
      <c r="AB28" s="11"/>
      <c r="AC28" s="11"/>
      <c r="AD28" s="11"/>
      <c r="AF28" s="11"/>
      <c r="AG28" s="11"/>
      <c r="AT28" s="11"/>
      <c r="AU28" s="11"/>
      <c r="AV28" s="10"/>
      <c r="AW28" s="10"/>
      <c r="AY28" s="11"/>
      <c r="BA28" s="11"/>
      <c r="BB28" s="11"/>
      <c r="BC28" s="11"/>
      <c r="BE28" s="30" t="str">
        <f aca="false">IF($A28="","",IFERROR(IF(INDEX(brands!$K$2:$K$41,MATCH($C28,brands!$A$2:$A$41,0))="","",INDEX(brands!$K$2:$K$41,MATCH($C28,brands!$A$2:$A$41,0))),""))</f>
        <v/>
      </c>
      <c r="BF28" s="30" t="str">
        <f aca="false">IF($A28="","",IFERROR(IF(INDEX(brands!$M$2:$M$41,MATCH($C28,brands!$A$2:$A$41,0))="","",INDEX(brands!$M$2:$M$41,MATCH($C28,brands!$A$2:$A$41,0))),""))</f>
        <v/>
      </c>
      <c r="BG28" s="31" t="str">
        <f aca="false">IF($A28="","",IF(IFERROR(IF(INDEX(drops!$I$2:$I$21,MATCH($B28,drops!$A$2:$A$21,0))="","",INDEX(drops!$I$2:$I$21,MATCH($B28,drops!$A$2:$A$21,0))),"")="OK",IFERROR(IF(INDEX(drops!$B$2:$B$21,MATCH($B28,drops!$A$2:$A$21,0))="","",INDEX(drops!$B$2:$B$21,MATCH($B28,drops!$A$2:$A$21,0))),""),""))</f>
        <v/>
      </c>
      <c r="BH28" s="30" t="str">
        <f aca="false">IF($A28="","",IFERROR(IF(INDEX(drops!$C$2:$C$21,MATCH($B28,drops!$A$2:$A$21,0))="","",INDEX(drops!$C$2:$C$21,MATCH($B28,drops!$A$2:$A$21,0))),""))</f>
        <v/>
      </c>
      <c r="BI28" s="32" t="str">
        <f aca="false">IF($A28="","",IF($F28="","",IF($D28="founding",IF($E28="Y",config!$B$25*MIN($F28,config!$B$26)+config!$B$24*MAX(0,$F28-config!$B$26),config!$B$20+config!$B$24*MAX(0,$F28-config!$B$21)),IF($D28="standard",config!$B$22+config!$B$24*MAX(0,$F28-config!$B$23),""))))</f>
        <v/>
      </c>
      <c r="BJ28" s="32" t="str">
        <f aca="false">IF($A28="","",IF($G28&lt;&gt;"",$G28,$BI28))</f>
        <v/>
      </c>
      <c r="BK28" s="30" t="str">
        <f aca="false">IF($A28="","",IF($D28="founding","100% within "&amp;config!$B$27&amp;" business days of the invoice, before shipping",IF($D28="standard","50% on signing; 50% at placement confirmation (T+1)","")))</f>
        <v/>
      </c>
      <c r="BL28" s="31" t="str">
        <f aca="false">IF($A28="","",IFERROR(IF(INDEX(drops!$K$2:$K$21,MATCH($B28,drops!$A$2:$A$21,0))="","",INDEX(drops!$K$2:$K$21,MATCH($B28,drops!$A$2:$A$21,0))),""))</f>
        <v/>
      </c>
      <c r="BM28" s="31" t="str">
        <f aca="false">IF($A28="","",IFERROR(IF(INDEX(drops!$L$2:$L$21,MATCH($B28,drops!$A$2:$A$21,0))="","",INDEX(drops!$L$2:$L$21,MATCH($B28,drops!$A$2:$A$21,0))),""))</f>
        <v/>
      </c>
      <c r="BN28" s="30" t="str">
        <f aca="false">IF($A28="","",COUNTIF(approvals!$A$2:$A$251,$A28))</f>
        <v/>
      </c>
      <c r="BO28" s="30" t="str">
        <f aca="false">IF($A28="","",COUNTIFS(approvals!$A$2:$A$251,$A28,approvals!$P$2:$P$251,"Y"))</f>
        <v/>
      </c>
      <c r="BP28" s="30" t="str">
        <f aca="false">IF($A28="","",COUNTIFS(approvals!$A$2:$A$251,$A28,approvals!$Q$2:$Q$251,"Y"))</f>
        <v/>
      </c>
      <c r="BQ28" s="30" t="str">
        <f aca="false">IF($A28="","",COUNTIFS(approvals!$A$2:$A$251,$A28,approvals!$P$2:$P$251,"pending"))</f>
        <v/>
      </c>
      <c r="BR28" s="30" t="str">
        <f aca="false">IF($A28="","",SUMIFS(approvals!$S$2:$S$251,approvals!$A$2:$A$251,$A28,approvals!$P$2:$P$251,"Y"))</f>
        <v/>
      </c>
      <c r="BS28" s="30" t="str">
        <f aca="false">IF($A28="","",ROUNDUP($BR28*config!$B$18,0))</f>
        <v/>
      </c>
      <c r="BT28" s="30" t="str">
        <f aca="false">IF($A28="","",$BR28+$BS28)</f>
        <v/>
      </c>
      <c r="BU28" s="32" t="str">
        <f aca="false">IF($A28="","",SUMIFS(invoices!$I$2:$I$151,invoices!$B$2:$B$151,$A28,invoices!$R$2:$R$151,"Y",invoices!$H$2:$H$151,"&gt;0"))</f>
        <v/>
      </c>
      <c r="BV28" s="32" t="str">
        <f aca="false">IF($A28="","",IF($BJ28="","",IF($D28="founding",$BJ28,ROUND($BJ28*config!$B$28,2))))</f>
        <v/>
      </c>
      <c r="BW28" s="30" t="str">
        <f aca="false">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30" t="str">
        <f aca="false">IF($A28="","",SUMIFS(inventory!$G$2:$G$801,inventory!$C$2:$C$801,$A28,inventory!$E$2:$E$801,"received"))</f>
        <v/>
      </c>
      <c r="BY28" s="30" t="str">
        <f aca="false">IF($A28="","",SUMIFS(inventory!$G$2:$G$801,inventory!$C$2:$C$801,$A28,inventory!$E$2:$E$801,"rejected"))</f>
        <v/>
      </c>
      <c r="BZ28" s="30" t="str">
        <f aca="false">IF($A28="","",SUMIFS(inventory!$M$2:$M$801,inventory!$C$2:$C$801,$A28))</f>
        <v/>
      </c>
      <c r="CA28" s="30" t="str">
        <f aca="false">IF($A28="","",SUMIFS(inventory!$O$2:$O$801,inventory!$C$2:$C$801,$A28))</f>
        <v/>
      </c>
      <c r="CB28" s="30" t="str">
        <f aca="false">IF($A28="","",SUMIFS(approvals!$U$2:$U$251,approvals!$A$2:$A$251,$A28))</f>
        <v/>
      </c>
      <c r="CC28" s="30" t="str">
        <f aca="false">IF($A28="","",SUMIFS(approvals!$AA$2:$AA$251,approvals!$A$2:$A$251,$A28))</f>
        <v/>
      </c>
      <c r="CD28" s="30" t="str">
        <f aca="false">IF($A28="","",SUMIFS(approvals!$AA$2:$AA$251,approvals!$A$2:$A$251,$A28,approvals!$AB$2:$AB$251,"Y"))</f>
        <v/>
      </c>
      <c r="CE28" s="34" t="str">
        <f aca="false">IF($A28="","",IF(N($CB28)=0,"",$CD28/$CB28))</f>
        <v/>
      </c>
      <c r="CF28" s="30" t="str">
        <f aca="false">IF($A28="","",SUMIFS(approvals!$AD$2:$AD$251,approvals!$A$2:$A$251,$A28))</f>
        <v/>
      </c>
      <c r="CG28" s="30" t="str">
        <f aca="false">IF($A28="","",IF(COUNTIFS(approvals!$A$2:$A$251,$A28,approvals!$Q$2:$Q$251,"Y",approvals!$AG$2:$AG$251,"")&gt;0,"",SUMIFS(approvals!$AG$2:$AG$251,approvals!$A$2:$A$251,$A28,approvals!$Q$2:$Q$251,"Y")))</f>
        <v/>
      </c>
      <c r="CH28" s="30" t="str">
        <f aca="false">IF($A28="","",SUMIFS(approvals!$AL$2:$AL$251,approvals!$A$2:$A$251,$A28,approvals!$Q$2:$Q$251,"Y"))</f>
        <v/>
      </c>
      <c r="CI28" s="30" t="str">
        <f aca="false">IF($A28="","",IF(N($BP28)=0,"",SUMPRODUCT(MIN(approvals!$BB$2:$BB$251+(approvals!$A$2:$A$251&lt;&gt;$A28)*1000000))))</f>
        <v/>
      </c>
      <c r="CJ28" s="30" t="str">
        <f aca="false">IF($A28="","",COUNTIFS(approvals!$A$2:$A$251,$A28,approvals!$Q$2:$Q$251,"Y",approvals!$AL$2:$AL$251,"&lt;"&amp;config!$B$30))</f>
        <v/>
      </c>
      <c r="CK28" s="30" t="str">
        <f aca="false">IF($A28="","",SUMIFS(approvals!$AM$2:$AM$251,approvals!$A$2:$A$251,$A28,approvals!$Q$2:$Q$251,"Y"))</f>
        <v/>
      </c>
      <c r="CL28" s="30" t="str">
        <f aca="false">IF($A28="","",SUMIFS(approvals!$AQ$2:$AQ$251,approvals!$A$2:$A$251,$A28,approvals!$Q$2:$Q$251,"Y"))</f>
        <v/>
      </c>
      <c r="CM28" s="30" t="str">
        <f aca="false">IF($A28="","",SUMIFS(approvals!$AR$2:$AR$251,approvals!$A$2:$A$251,$A28,approvals!$Q$2:$Q$251,"Y"))</f>
        <v/>
      </c>
      <c r="CN28" s="30" t="str">
        <f aca="false">IF($A28="","",SUMIFS(approvals!$AS$2:$AS$251,approvals!$A$2:$A$251,$A28,approvals!$Q$2:$Q$251,"Y"))</f>
        <v/>
      </c>
      <c r="CO28" s="30" t="str">
        <f aca="false">IF($A28="","",SUMIFS(approvals!$AT$2:$AT$251,approvals!$A$2:$A$251,$A28,approvals!$Q$2:$Q$251,"Y"))</f>
        <v/>
      </c>
      <c r="CP28" s="33" t="str">
        <f aca="false">IF($A28="","",IF(N($CO28)=0,"",ROUND(SUMIFS(approvals!$AU$2:$AU$251,approvals!$A$2:$A$251,$A28,approvals!$Q$2:$Q$251,"Y")/$CO28,1)))</f>
        <v/>
      </c>
      <c r="CQ28" s="30" t="str">
        <f aca="false">IF($A28="","",SUMIFS(approvals!$AV$2:$AV$251,approvals!$A$2:$A$251,$A28,approvals!$Q$2:$Q$251,"Y"))</f>
        <v/>
      </c>
      <c r="CR28" s="30" t="str">
        <f aca="false">IF($A28="","",SUMIFS(approvals!$AW$2:$AW$251,approvals!$A$2:$A$251,$A28,approvals!$Q$2:$Q$251,"Y"))</f>
        <v/>
      </c>
      <c r="CS28" s="30" t="str">
        <f aca="false">IF($A28="","",SUMIFS(approvals!$AX$2:$AX$251,approvals!$A$2:$A$251,$A28,approvals!$Q$2:$Q$251,"Y"))</f>
        <v/>
      </c>
      <c r="CT28" s="30" t="str">
        <f aca="false">IF($A28="","",SUMIFS(approvals!$AY$2:$AY$251,approvals!$A$2:$A$251,$A28,approvals!$Q$2:$Q$251,"Y"))</f>
        <v/>
      </c>
      <c r="CU28" s="30" t="str">
        <f aca="true">IF($A28="","",IF(OR($BG28="",$BC28&lt;&gt;""),"",IFERROR(COUNT(INDIRECT("'"&amp;$A28&amp;"'!$A$2:$A$501")),0)-IFERROR(COUNTIFS(INDIRECT("'"&amp;$A28&amp;"'!$A$2:$A$501"),"&gt;="&amp;$BG28,INDIRECT("'"&amp;$A28&amp;"'!$A$2:$A$501"),"&lt;"&amp;(IFERROR(IF(INDEX(drops!$R$2:$R$21,MATCH($B28,drops!$A$2:$A$21,0))="","",INDEX(drops!$R$2:$R$21,MATCH($B28,drops!$A$2:$A$21,0))),"")+1)),0)))</f>
        <v/>
      </c>
      <c r="CV28" s="30" t="str">
        <f aca="true">IF($A28="","",IF(OR($BG28="",$BC28&lt;&gt;""),"",IFERROR(COUNTIFS(INDIRECT("'"&amp;$A28&amp;"'!$A$2:$A$501"),"&gt;="&amp;$BG28,INDIRECT("'"&amp;$A28&amp;"'!$A$2:$A$501"),"&lt;"&amp;(IFERROR(IF(INDEX(drops!$R$2:$R$21,MATCH($B28,drops!$A$2:$A$21,0))="","",INDEX(drops!$R$2:$R$21,MATCH($B28,drops!$A$2:$A$21,0))),"")+1)),0)-N($CH28)-N($CW28)))</f>
        <v/>
      </c>
      <c r="CW28" s="30" t="str">
        <f aca="false">IF($A28="","",IF($BG28="","",SUMIFS(approvals!$AL$2:$AL$251,approvals!$A$2:$A$251,$A28,approvals!$Q$2:$Q$251,"&lt;&gt;Y")))</f>
        <v/>
      </c>
      <c r="CX28" s="30" t="str">
        <f aca="false">IF($A28="","",SUMIFS(approvals!$AN$2:$AN$251,approvals!$A$2:$A$251,$A28,approvals!$Q$2:$Q$251,"Y"))</f>
        <v/>
      </c>
      <c r="CY28" s="30" t="str">
        <f aca="false">IF($A28="","",SUMIFS(approvals!$AO$2:$AO$251,approvals!$A$2:$A$251,$A28,approvals!$Q$2:$Q$251,"Y"))</f>
        <v/>
      </c>
      <c r="CZ28" s="30" t="str">
        <f aca="false">IF($A28="","",IF($DA28="","",SUMIFS(redemptions!$C$2:$C$121,redemptions!$A$2:$A$121,$A28,redemptions!$B$2:$B$121,$DA28)))</f>
        <v/>
      </c>
      <c r="DA28" s="31" t="str">
        <f aca="false">IF($A28="","",IFERROR(1/(1/SUMPRODUCT(MAX((redemptions!$A$2:$A$121=$A28)*redemptions!$B$2:$B$121))),""))</f>
        <v/>
      </c>
      <c r="DB28" s="30" t="str">
        <f aca="false">IF($A28="","",IF(COUNTIFS(redemptions!$A$2:$A$121,$A28,redemptions!$H$2:$H$121,"Y")=0,"",SUMIFS(redemptions!$C$2:$C$121,redemptions!$A$2:$A$121,$A28,redemptions!$B$2:$B$121,SUMPRODUCT(MIN((redemptions!$A$2:$A$121=$A28)*(redemptions!$H$2:$H$121="Y")*redemptions!$B$2:$B$121+((redemptions!$A$2:$A$121&lt;&gt;$A28)+(redemptions!$H$2:$H$121&lt;&gt;"Y")&gt;0)*1000000)))))</f>
        <v/>
      </c>
      <c r="DC28" s="32" t="str">
        <f aca="false">IF($A28="","",SUMIFS(invoices!$E$2:$E$151,invoices!$B$2:$B$151,$A28))</f>
        <v/>
      </c>
      <c r="DD28" s="32" t="str">
        <f aca="false">IF($A28="","",IF(COUNTIFS(invoices!$B$2:$B$151,$A28,invoices!$C$2:$C$151,"standard_deposit",invoices!$H$2:$H$151,"&gt;0")=0,"",SUMIFS(invoices!$I$2:$I$151,invoices!$B$2:$B$151,$A28,invoices!$C$2:$C$151,"standard_deposit")))</f>
        <v/>
      </c>
      <c r="DE28" s="31" t="str">
        <f aca="false">IF($A28="","",IFERROR(1/(1/SUMPRODUCT(MAX((invoices!$B$2:$B$151=$A28)*(invoices!$C$2:$C$151="standard_deposit")*invoices!$H$2:$H$151))),""))</f>
        <v/>
      </c>
      <c r="DF28" s="31" t="str">
        <f aca="false">IF($A28="","",IFERROR(1/(1/SUMPRODUCT(MAX((invoices!$B$2:$B$151=$A28)*((invoices!$C$2:$C$151="founding_full")+(invoices!$C$2:$C$151="standard_balance"))*invoices!$H$2:$H$151))),""))</f>
        <v/>
      </c>
      <c r="DG28" s="32" t="str">
        <f aca="false">IF($A28="","",SUMIFS(invoices!$L$2:$L$151,invoices!$B$2:$B$151,$A28))</f>
        <v/>
      </c>
      <c r="DH28" s="32" t="str">
        <f aca="false">IF($A28="","",SUMIFS(costs!$E$2:$E$301,costs!$C$2:$C$301,$A28))</f>
        <v/>
      </c>
      <c r="DI28" s="32" t="str">
        <f aca="false">IF($A28="","",ROUND(IF(SUMIFS(campaigns!$BO$2:$BO$51,campaigns!$B$2:$B$51,$B28)=0,0,$BO28/SUMIFS(campaigns!$BO$2:$BO$51,campaigns!$B$2:$B$51,$B28))*(SUMIFS(costs!$E$2:$E$301,costs!$B$2:$B$301,$B28)-SUMPRODUCT((costs!$B$2:$B$301=$B28)*(LEN(costs!$C$2:$C$301)&gt;0)*costs!$E$2:$E$301)),2))</f>
        <v/>
      </c>
      <c r="DJ28" s="33" t="str">
        <f aca="false">IF($A28="","",SUMIFS(hours!$E$2:$E$1501,hours!$C$2:$C$1501,$A28))</f>
        <v/>
      </c>
      <c r="DK28" s="33" t="str">
        <f aca="false">IF($A28="","",ROUND(IF(SUMIFS(campaigns!$BO$2:$BO$51,campaigns!$B$2:$B$51,$B28)=0,0,$BO28/SUMIFS(campaigns!$BO$2:$BO$51,campaigns!$B$2:$B$51,$B28))*(SUMIFS(hours!$E$2:$E$1501,hours!$B$2:$B$1501,$B28)-SUMPRODUCT((hours!$B$2:$B$1501=$B28)*(LEN(hours!$C$2:$C$1501)&gt;0)*hours!$E$2:$E$1501)),2))</f>
        <v/>
      </c>
      <c r="DL28" s="32" t="str">
        <f aca="false">IF($A28="","",$DC28-$DG28-$DH28-$DI28)</f>
        <v/>
      </c>
      <c r="DM28" s="32" t="str">
        <f aca="false">IF($A28="","",IF(N($DJ28)+N($DK28)=0,"",ROUND($DL28/($DJ28+$DK28),2)))</f>
        <v/>
      </c>
      <c r="DN28" s="34" t="str">
        <f aca="false">IF($A28="","",IF(N($BP28)=0,"",COUNTIFS(approvals!$A$2:$A$251,$A28,approvals!$Q$2:$Q$251,"Y",approvals!$AK$2:$AK$251,"Y")/$BP28))</f>
        <v/>
      </c>
      <c r="DO28" s="33" t="str">
        <f aca="false">IF($A28="","",IF(COUNTIFS(approvals!$A$2:$A$251,$A28,approvals!$AC$2:$AC$251,"&gt;=0")=0,"",ROUND(SUMIFS(approvals!$AC$2:$AC$251,approvals!$A$2:$A$251,$A28)/COUNTIFS(approvals!$A$2:$A$251,$A28,approvals!$AC$2:$AC$251,"&gt;=0"),1)))</f>
        <v/>
      </c>
      <c r="DP28" s="31" t="str">
        <f aca="false">IF($A28="","",IFERROR(IF(INDEX(drops!$T$2:$T$21,MATCH($B28,drops!$A$2:$A$21,0))="","",INDEX(drops!$T$2:$T$21,MATCH($B28,drops!$A$2:$A$21,0))),""))</f>
        <v/>
      </c>
      <c r="DQ28" s="31" t="str">
        <f aca="false">IF($A28="","",IFERROR(IF(INDEX(drops!$U$2:$U$21,MATCH($B28,drops!$A$2:$A$21,0))="","",INDEX(drops!$U$2:$U$21,MATCH($B28,drops!$A$2:$A$21,0))),""))</f>
        <v/>
      </c>
      <c r="DR28" s="31" t="str">
        <f aca="false">IF($A28="","",IFERROR(IF(INDEX(drops!$W$2:$W$21,MATCH($B28,drops!$A$2:$A$21,0))="","",INDEX(drops!$W$2:$W$21,MATCH($B28,drops!$A$2:$A$21,0))),""))</f>
        <v/>
      </c>
      <c r="DS28" s="30" t="str">
        <f aca="false">IF($A28="","",IF($CE28="","",IF($CE28&gt;=config!$B$31,"pass","miss")))</f>
        <v/>
      </c>
      <c r="DT28" s="30" t="str">
        <f aca="false">IF($A28="","",IF($CI28="","",IF($CI28&gt;=config!$B$30,"pass","miss")))</f>
        <v/>
      </c>
      <c r="DU28" s="30" t="str">
        <f aca="true">IF($A28="","",IF($AT28="",IF($DP28="","",IF(IF(config!$B$37&lt;&gt;"",config!$B$37,TODAY())&gt;$DP28,"late","due")),IF($AT28&lt;=$DP28,"pass","late")))</f>
        <v/>
      </c>
      <c r="DV28" s="30" t="str">
        <f aca="false">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ustomFormat="false" ht="15" hidden="false" customHeight="false" outlineLevel="0" collapsed="false">
      <c r="D29" s="10"/>
      <c r="G29" s="12"/>
      <c r="H29" s="11"/>
      <c r="M29" s="10"/>
      <c r="Y29" s="10"/>
      <c r="Z29" s="10"/>
      <c r="AB29" s="11"/>
      <c r="AC29" s="11"/>
      <c r="AD29" s="11"/>
      <c r="AF29" s="11"/>
      <c r="AG29" s="11"/>
      <c r="AT29" s="11"/>
      <c r="AU29" s="11"/>
      <c r="AV29" s="10"/>
      <c r="AW29" s="10"/>
      <c r="AY29" s="11"/>
      <c r="BA29" s="11"/>
      <c r="BB29" s="11"/>
      <c r="BC29" s="11"/>
      <c r="BE29" s="30" t="str">
        <f aca="false">IF($A29="","",IFERROR(IF(INDEX(brands!$K$2:$K$41,MATCH($C29,brands!$A$2:$A$41,0))="","",INDEX(brands!$K$2:$K$41,MATCH($C29,brands!$A$2:$A$41,0))),""))</f>
        <v/>
      </c>
      <c r="BF29" s="30" t="str">
        <f aca="false">IF($A29="","",IFERROR(IF(INDEX(brands!$M$2:$M$41,MATCH($C29,brands!$A$2:$A$41,0))="","",INDEX(brands!$M$2:$M$41,MATCH($C29,brands!$A$2:$A$41,0))),""))</f>
        <v/>
      </c>
      <c r="BG29" s="31" t="str">
        <f aca="false">IF($A29="","",IF(IFERROR(IF(INDEX(drops!$I$2:$I$21,MATCH($B29,drops!$A$2:$A$21,0))="","",INDEX(drops!$I$2:$I$21,MATCH($B29,drops!$A$2:$A$21,0))),"")="OK",IFERROR(IF(INDEX(drops!$B$2:$B$21,MATCH($B29,drops!$A$2:$A$21,0))="","",INDEX(drops!$B$2:$B$21,MATCH($B29,drops!$A$2:$A$21,0))),""),""))</f>
        <v/>
      </c>
      <c r="BH29" s="30" t="str">
        <f aca="false">IF($A29="","",IFERROR(IF(INDEX(drops!$C$2:$C$21,MATCH($B29,drops!$A$2:$A$21,0))="","",INDEX(drops!$C$2:$C$21,MATCH($B29,drops!$A$2:$A$21,0))),""))</f>
        <v/>
      </c>
      <c r="BI29" s="32" t="str">
        <f aca="false">IF($A29="","",IF($F29="","",IF($D29="founding",IF($E29="Y",config!$B$25*MIN($F29,config!$B$26)+config!$B$24*MAX(0,$F29-config!$B$26),config!$B$20+config!$B$24*MAX(0,$F29-config!$B$21)),IF($D29="standard",config!$B$22+config!$B$24*MAX(0,$F29-config!$B$23),""))))</f>
        <v/>
      </c>
      <c r="BJ29" s="32" t="str">
        <f aca="false">IF($A29="","",IF($G29&lt;&gt;"",$G29,$BI29))</f>
        <v/>
      </c>
      <c r="BK29" s="30" t="str">
        <f aca="false">IF($A29="","",IF($D29="founding","100% within "&amp;config!$B$27&amp;" business days of the invoice, before shipping",IF($D29="standard","50% on signing; 50% at placement confirmation (T+1)","")))</f>
        <v/>
      </c>
      <c r="BL29" s="31" t="str">
        <f aca="false">IF($A29="","",IFERROR(IF(INDEX(drops!$K$2:$K$21,MATCH($B29,drops!$A$2:$A$21,0))="","",INDEX(drops!$K$2:$K$21,MATCH($B29,drops!$A$2:$A$21,0))),""))</f>
        <v/>
      </c>
      <c r="BM29" s="31" t="str">
        <f aca="false">IF($A29="","",IFERROR(IF(INDEX(drops!$L$2:$L$21,MATCH($B29,drops!$A$2:$A$21,0))="","",INDEX(drops!$L$2:$L$21,MATCH($B29,drops!$A$2:$A$21,0))),""))</f>
        <v/>
      </c>
      <c r="BN29" s="30" t="str">
        <f aca="false">IF($A29="","",COUNTIF(approvals!$A$2:$A$251,$A29))</f>
        <v/>
      </c>
      <c r="BO29" s="30" t="str">
        <f aca="false">IF($A29="","",COUNTIFS(approvals!$A$2:$A$251,$A29,approvals!$P$2:$P$251,"Y"))</f>
        <v/>
      </c>
      <c r="BP29" s="30" t="str">
        <f aca="false">IF($A29="","",COUNTIFS(approvals!$A$2:$A$251,$A29,approvals!$Q$2:$Q$251,"Y"))</f>
        <v/>
      </c>
      <c r="BQ29" s="30" t="str">
        <f aca="false">IF($A29="","",COUNTIFS(approvals!$A$2:$A$251,$A29,approvals!$P$2:$P$251,"pending"))</f>
        <v/>
      </c>
      <c r="BR29" s="30" t="str">
        <f aca="false">IF($A29="","",SUMIFS(approvals!$S$2:$S$251,approvals!$A$2:$A$251,$A29,approvals!$P$2:$P$251,"Y"))</f>
        <v/>
      </c>
      <c r="BS29" s="30" t="str">
        <f aca="false">IF($A29="","",ROUNDUP($BR29*config!$B$18,0))</f>
        <v/>
      </c>
      <c r="BT29" s="30" t="str">
        <f aca="false">IF($A29="","",$BR29+$BS29)</f>
        <v/>
      </c>
      <c r="BU29" s="32" t="str">
        <f aca="false">IF($A29="","",SUMIFS(invoices!$I$2:$I$151,invoices!$B$2:$B$151,$A29,invoices!$R$2:$R$151,"Y",invoices!$H$2:$H$151,"&gt;0"))</f>
        <v/>
      </c>
      <c r="BV29" s="32" t="str">
        <f aca="false">IF($A29="","",IF($BJ29="","",IF($D29="founding",$BJ29,ROUND($BJ29*config!$B$28,2))))</f>
        <v/>
      </c>
      <c r="BW29" s="30" t="str">
        <f aca="false">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30" t="str">
        <f aca="false">IF($A29="","",SUMIFS(inventory!$G$2:$G$801,inventory!$C$2:$C$801,$A29,inventory!$E$2:$E$801,"received"))</f>
        <v/>
      </c>
      <c r="BY29" s="30" t="str">
        <f aca="false">IF($A29="","",SUMIFS(inventory!$G$2:$G$801,inventory!$C$2:$C$801,$A29,inventory!$E$2:$E$801,"rejected"))</f>
        <v/>
      </c>
      <c r="BZ29" s="30" t="str">
        <f aca="false">IF($A29="","",SUMIFS(inventory!$M$2:$M$801,inventory!$C$2:$C$801,$A29))</f>
        <v/>
      </c>
      <c r="CA29" s="30" t="str">
        <f aca="false">IF($A29="","",SUMIFS(inventory!$O$2:$O$801,inventory!$C$2:$C$801,$A29))</f>
        <v/>
      </c>
      <c r="CB29" s="30" t="str">
        <f aca="false">IF($A29="","",SUMIFS(approvals!$U$2:$U$251,approvals!$A$2:$A$251,$A29))</f>
        <v/>
      </c>
      <c r="CC29" s="30" t="str">
        <f aca="false">IF($A29="","",SUMIFS(approvals!$AA$2:$AA$251,approvals!$A$2:$A$251,$A29))</f>
        <v/>
      </c>
      <c r="CD29" s="30" t="str">
        <f aca="false">IF($A29="","",SUMIFS(approvals!$AA$2:$AA$251,approvals!$A$2:$A$251,$A29,approvals!$AB$2:$AB$251,"Y"))</f>
        <v/>
      </c>
      <c r="CE29" s="34" t="str">
        <f aca="false">IF($A29="","",IF(N($CB29)=0,"",$CD29/$CB29))</f>
        <v/>
      </c>
      <c r="CF29" s="30" t="str">
        <f aca="false">IF($A29="","",SUMIFS(approvals!$AD$2:$AD$251,approvals!$A$2:$A$251,$A29))</f>
        <v/>
      </c>
      <c r="CG29" s="30" t="str">
        <f aca="false">IF($A29="","",IF(COUNTIFS(approvals!$A$2:$A$251,$A29,approvals!$Q$2:$Q$251,"Y",approvals!$AG$2:$AG$251,"")&gt;0,"",SUMIFS(approvals!$AG$2:$AG$251,approvals!$A$2:$A$251,$A29,approvals!$Q$2:$Q$251,"Y")))</f>
        <v/>
      </c>
      <c r="CH29" s="30" t="str">
        <f aca="false">IF($A29="","",SUMIFS(approvals!$AL$2:$AL$251,approvals!$A$2:$A$251,$A29,approvals!$Q$2:$Q$251,"Y"))</f>
        <v/>
      </c>
      <c r="CI29" s="30" t="str">
        <f aca="false">IF($A29="","",IF(N($BP29)=0,"",SUMPRODUCT(MIN(approvals!$BB$2:$BB$251+(approvals!$A$2:$A$251&lt;&gt;$A29)*1000000))))</f>
        <v/>
      </c>
      <c r="CJ29" s="30" t="str">
        <f aca="false">IF($A29="","",COUNTIFS(approvals!$A$2:$A$251,$A29,approvals!$Q$2:$Q$251,"Y",approvals!$AL$2:$AL$251,"&lt;"&amp;config!$B$30))</f>
        <v/>
      </c>
      <c r="CK29" s="30" t="str">
        <f aca="false">IF($A29="","",SUMIFS(approvals!$AM$2:$AM$251,approvals!$A$2:$A$251,$A29,approvals!$Q$2:$Q$251,"Y"))</f>
        <v/>
      </c>
      <c r="CL29" s="30" t="str">
        <f aca="false">IF($A29="","",SUMIFS(approvals!$AQ$2:$AQ$251,approvals!$A$2:$A$251,$A29,approvals!$Q$2:$Q$251,"Y"))</f>
        <v/>
      </c>
      <c r="CM29" s="30" t="str">
        <f aca="false">IF($A29="","",SUMIFS(approvals!$AR$2:$AR$251,approvals!$A$2:$A$251,$A29,approvals!$Q$2:$Q$251,"Y"))</f>
        <v/>
      </c>
      <c r="CN29" s="30" t="str">
        <f aca="false">IF($A29="","",SUMIFS(approvals!$AS$2:$AS$251,approvals!$A$2:$A$251,$A29,approvals!$Q$2:$Q$251,"Y"))</f>
        <v/>
      </c>
      <c r="CO29" s="30" t="str">
        <f aca="false">IF($A29="","",SUMIFS(approvals!$AT$2:$AT$251,approvals!$A$2:$A$251,$A29,approvals!$Q$2:$Q$251,"Y"))</f>
        <v/>
      </c>
      <c r="CP29" s="33" t="str">
        <f aca="false">IF($A29="","",IF(N($CO29)=0,"",ROUND(SUMIFS(approvals!$AU$2:$AU$251,approvals!$A$2:$A$251,$A29,approvals!$Q$2:$Q$251,"Y")/$CO29,1)))</f>
        <v/>
      </c>
      <c r="CQ29" s="30" t="str">
        <f aca="false">IF($A29="","",SUMIFS(approvals!$AV$2:$AV$251,approvals!$A$2:$A$251,$A29,approvals!$Q$2:$Q$251,"Y"))</f>
        <v/>
      </c>
      <c r="CR29" s="30" t="str">
        <f aca="false">IF($A29="","",SUMIFS(approvals!$AW$2:$AW$251,approvals!$A$2:$A$251,$A29,approvals!$Q$2:$Q$251,"Y"))</f>
        <v/>
      </c>
      <c r="CS29" s="30" t="str">
        <f aca="false">IF($A29="","",SUMIFS(approvals!$AX$2:$AX$251,approvals!$A$2:$A$251,$A29,approvals!$Q$2:$Q$251,"Y"))</f>
        <v/>
      </c>
      <c r="CT29" s="30" t="str">
        <f aca="false">IF($A29="","",SUMIFS(approvals!$AY$2:$AY$251,approvals!$A$2:$A$251,$A29,approvals!$Q$2:$Q$251,"Y"))</f>
        <v/>
      </c>
      <c r="CU29" s="30" t="str">
        <f aca="true">IF($A29="","",IF(OR($BG29="",$BC29&lt;&gt;""),"",IFERROR(COUNT(INDIRECT("'"&amp;$A29&amp;"'!$A$2:$A$501")),0)-IFERROR(COUNTIFS(INDIRECT("'"&amp;$A29&amp;"'!$A$2:$A$501"),"&gt;="&amp;$BG29,INDIRECT("'"&amp;$A29&amp;"'!$A$2:$A$501"),"&lt;"&amp;(IFERROR(IF(INDEX(drops!$R$2:$R$21,MATCH($B29,drops!$A$2:$A$21,0))="","",INDEX(drops!$R$2:$R$21,MATCH($B29,drops!$A$2:$A$21,0))),"")+1)),0)))</f>
        <v/>
      </c>
      <c r="CV29" s="30" t="str">
        <f aca="true">IF($A29="","",IF(OR($BG29="",$BC29&lt;&gt;""),"",IFERROR(COUNTIFS(INDIRECT("'"&amp;$A29&amp;"'!$A$2:$A$501"),"&gt;="&amp;$BG29,INDIRECT("'"&amp;$A29&amp;"'!$A$2:$A$501"),"&lt;"&amp;(IFERROR(IF(INDEX(drops!$R$2:$R$21,MATCH($B29,drops!$A$2:$A$21,0))="","",INDEX(drops!$R$2:$R$21,MATCH($B29,drops!$A$2:$A$21,0))),"")+1)),0)-N($CH29)-N($CW29)))</f>
        <v/>
      </c>
      <c r="CW29" s="30" t="str">
        <f aca="false">IF($A29="","",IF($BG29="","",SUMIFS(approvals!$AL$2:$AL$251,approvals!$A$2:$A$251,$A29,approvals!$Q$2:$Q$251,"&lt;&gt;Y")))</f>
        <v/>
      </c>
      <c r="CX29" s="30" t="str">
        <f aca="false">IF($A29="","",SUMIFS(approvals!$AN$2:$AN$251,approvals!$A$2:$A$251,$A29,approvals!$Q$2:$Q$251,"Y"))</f>
        <v/>
      </c>
      <c r="CY29" s="30" t="str">
        <f aca="false">IF($A29="","",SUMIFS(approvals!$AO$2:$AO$251,approvals!$A$2:$A$251,$A29,approvals!$Q$2:$Q$251,"Y"))</f>
        <v/>
      </c>
      <c r="CZ29" s="30" t="str">
        <f aca="false">IF($A29="","",IF($DA29="","",SUMIFS(redemptions!$C$2:$C$121,redemptions!$A$2:$A$121,$A29,redemptions!$B$2:$B$121,$DA29)))</f>
        <v/>
      </c>
      <c r="DA29" s="31" t="str">
        <f aca="false">IF($A29="","",IFERROR(1/(1/SUMPRODUCT(MAX((redemptions!$A$2:$A$121=$A29)*redemptions!$B$2:$B$121))),""))</f>
        <v/>
      </c>
      <c r="DB29" s="30" t="str">
        <f aca="false">IF($A29="","",IF(COUNTIFS(redemptions!$A$2:$A$121,$A29,redemptions!$H$2:$H$121,"Y")=0,"",SUMIFS(redemptions!$C$2:$C$121,redemptions!$A$2:$A$121,$A29,redemptions!$B$2:$B$121,SUMPRODUCT(MIN((redemptions!$A$2:$A$121=$A29)*(redemptions!$H$2:$H$121="Y")*redemptions!$B$2:$B$121+((redemptions!$A$2:$A$121&lt;&gt;$A29)+(redemptions!$H$2:$H$121&lt;&gt;"Y")&gt;0)*1000000)))))</f>
        <v/>
      </c>
      <c r="DC29" s="32" t="str">
        <f aca="false">IF($A29="","",SUMIFS(invoices!$E$2:$E$151,invoices!$B$2:$B$151,$A29))</f>
        <v/>
      </c>
      <c r="DD29" s="32" t="str">
        <f aca="false">IF($A29="","",IF(COUNTIFS(invoices!$B$2:$B$151,$A29,invoices!$C$2:$C$151,"standard_deposit",invoices!$H$2:$H$151,"&gt;0")=0,"",SUMIFS(invoices!$I$2:$I$151,invoices!$B$2:$B$151,$A29,invoices!$C$2:$C$151,"standard_deposit")))</f>
        <v/>
      </c>
      <c r="DE29" s="31" t="str">
        <f aca="false">IF($A29="","",IFERROR(1/(1/SUMPRODUCT(MAX((invoices!$B$2:$B$151=$A29)*(invoices!$C$2:$C$151="standard_deposit")*invoices!$H$2:$H$151))),""))</f>
        <v/>
      </c>
      <c r="DF29" s="31" t="str">
        <f aca="false">IF($A29="","",IFERROR(1/(1/SUMPRODUCT(MAX((invoices!$B$2:$B$151=$A29)*((invoices!$C$2:$C$151="founding_full")+(invoices!$C$2:$C$151="standard_balance"))*invoices!$H$2:$H$151))),""))</f>
        <v/>
      </c>
      <c r="DG29" s="32" t="str">
        <f aca="false">IF($A29="","",SUMIFS(invoices!$L$2:$L$151,invoices!$B$2:$B$151,$A29))</f>
        <v/>
      </c>
      <c r="DH29" s="32" t="str">
        <f aca="false">IF($A29="","",SUMIFS(costs!$E$2:$E$301,costs!$C$2:$C$301,$A29))</f>
        <v/>
      </c>
      <c r="DI29" s="32" t="str">
        <f aca="false">IF($A29="","",ROUND(IF(SUMIFS(campaigns!$BO$2:$BO$51,campaigns!$B$2:$B$51,$B29)=0,0,$BO29/SUMIFS(campaigns!$BO$2:$BO$51,campaigns!$B$2:$B$51,$B29))*(SUMIFS(costs!$E$2:$E$301,costs!$B$2:$B$301,$B29)-SUMPRODUCT((costs!$B$2:$B$301=$B29)*(LEN(costs!$C$2:$C$301)&gt;0)*costs!$E$2:$E$301)),2))</f>
        <v/>
      </c>
      <c r="DJ29" s="33" t="str">
        <f aca="false">IF($A29="","",SUMIFS(hours!$E$2:$E$1501,hours!$C$2:$C$1501,$A29))</f>
        <v/>
      </c>
      <c r="DK29" s="33" t="str">
        <f aca="false">IF($A29="","",ROUND(IF(SUMIFS(campaigns!$BO$2:$BO$51,campaigns!$B$2:$B$51,$B29)=0,0,$BO29/SUMIFS(campaigns!$BO$2:$BO$51,campaigns!$B$2:$B$51,$B29))*(SUMIFS(hours!$E$2:$E$1501,hours!$B$2:$B$1501,$B29)-SUMPRODUCT((hours!$B$2:$B$1501=$B29)*(LEN(hours!$C$2:$C$1501)&gt;0)*hours!$E$2:$E$1501)),2))</f>
        <v/>
      </c>
      <c r="DL29" s="32" t="str">
        <f aca="false">IF($A29="","",$DC29-$DG29-$DH29-$DI29)</f>
        <v/>
      </c>
      <c r="DM29" s="32" t="str">
        <f aca="false">IF($A29="","",IF(N($DJ29)+N($DK29)=0,"",ROUND($DL29/($DJ29+$DK29),2)))</f>
        <v/>
      </c>
      <c r="DN29" s="34" t="str">
        <f aca="false">IF($A29="","",IF(N($BP29)=0,"",COUNTIFS(approvals!$A$2:$A$251,$A29,approvals!$Q$2:$Q$251,"Y",approvals!$AK$2:$AK$251,"Y")/$BP29))</f>
        <v/>
      </c>
      <c r="DO29" s="33" t="str">
        <f aca="false">IF($A29="","",IF(COUNTIFS(approvals!$A$2:$A$251,$A29,approvals!$AC$2:$AC$251,"&gt;=0")=0,"",ROUND(SUMIFS(approvals!$AC$2:$AC$251,approvals!$A$2:$A$251,$A29)/COUNTIFS(approvals!$A$2:$A$251,$A29,approvals!$AC$2:$AC$251,"&gt;=0"),1)))</f>
        <v/>
      </c>
      <c r="DP29" s="31" t="str">
        <f aca="false">IF($A29="","",IFERROR(IF(INDEX(drops!$T$2:$T$21,MATCH($B29,drops!$A$2:$A$21,0))="","",INDEX(drops!$T$2:$T$21,MATCH($B29,drops!$A$2:$A$21,0))),""))</f>
        <v/>
      </c>
      <c r="DQ29" s="31" t="str">
        <f aca="false">IF($A29="","",IFERROR(IF(INDEX(drops!$U$2:$U$21,MATCH($B29,drops!$A$2:$A$21,0))="","",INDEX(drops!$U$2:$U$21,MATCH($B29,drops!$A$2:$A$21,0))),""))</f>
        <v/>
      </c>
      <c r="DR29" s="31" t="str">
        <f aca="false">IF($A29="","",IFERROR(IF(INDEX(drops!$W$2:$W$21,MATCH($B29,drops!$A$2:$A$21,0))="","",INDEX(drops!$W$2:$W$21,MATCH($B29,drops!$A$2:$A$21,0))),""))</f>
        <v/>
      </c>
      <c r="DS29" s="30" t="str">
        <f aca="false">IF($A29="","",IF($CE29="","",IF($CE29&gt;=config!$B$31,"pass","miss")))</f>
        <v/>
      </c>
      <c r="DT29" s="30" t="str">
        <f aca="false">IF($A29="","",IF($CI29="","",IF($CI29&gt;=config!$B$30,"pass","miss")))</f>
        <v/>
      </c>
      <c r="DU29" s="30" t="str">
        <f aca="true">IF($A29="","",IF($AT29="",IF($DP29="","",IF(IF(config!$B$37&lt;&gt;"",config!$B$37,TODAY())&gt;$DP29,"late","due")),IF($AT29&lt;=$DP29,"pass","late")))</f>
        <v/>
      </c>
      <c r="DV29" s="30" t="str">
        <f aca="false">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ustomFormat="false" ht="15" hidden="false" customHeight="false" outlineLevel="0" collapsed="false">
      <c r="D30" s="10"/>
      <c r="G30" s="12"/>
      <c r="H30" s="11"/>
      <c r="M30" s="10"/>
      <c r="Y30" s="10"/>
      <c r="Z30" s="10"/>
      <c r="AB30" s="11"/>
      <c r="AC30" s="11"/>
      <c r="AD30" s="11"/>
      <c r="AF30" s="11"/>
      <c r="AG30" s="11"/>
      <c r="AT30" s="11"/>
      <c r="AU30" s="11"/>
      <c r="AV30" s="10"/>
      <c r="AW30" s="10"/>
      <c r="AY30" s="11"/>
      <c r="BA30" s="11"/>
      <c r="BB30" s="11"/>
      <c r="BC30" s="11"/>
      <c r="BE30" s="30" t="str">
        <f aca="false">IF($A30="","",IFERROR(IF(INDEX(brands!$K$2:$K$41,MATCH($C30,brands!$A$2:$A$41,0))="","",INDEX(brands!$K$2:$K$41,MATCH($C30,brands!$A$2:$A$41,0))),""))</f>
        <v/>
      </c>
      <c r="BF30" s="30" t="str">
        <f aca="false">IF($A30="","",IFERROR(IF(INDEX(brands!$M$2:$M$41,MATCH($C30,brands!$A$2:$A$41,0))="","",INDEX(brands!$M$2:$M$41,MATCH($C30,brands!$A$2:$A$41,0))),""))</f>
        <v/>
      </c>
      <c r="BG30" s="31" t="str">
        <f aca="false">IF($A30="","",IF(IFERROR(IF(INDEX(drops!$I$2:$I$21,MATCH($B30,drops!$A$2:$A$21,0))="","",INDEX(drops!$I$2:$I$21,MATCH($B30,drops!$A$2:$A$21,0))),"")="OK",IFERROR(IF(INDEX(drops!$B$2:$B$21,MATCH($B30,drops!$A$2:$A$21,0))="","",INDEX(drops!$B$2:$B$21,MATCH($B30,drops!$A$2:$A$21,0))),""),""))</f>
        <v/>
      </c>
      <c r="BH30" s="30" t="str">
        <f aca="false">IF($A30="","",IFERROR(IF(INDEX(drops!$C$2:$C$21,MATCH($B30,drops!$A$2:$A$21,0))="","",INDEX(drops!$C$2:$C$21,MATCH($B30,drops!$A$2:$A$21,0))),""))</f>
        <v/>
      </c>
      <c r="BI30" s="32" t="str">
        <f aca="false">IF($A30="","",IF($F30="","",IF($D30="founding",IF($E30="Y",config!$B$25*MIN($F30,config!$B$26)+config!$B$24*MAX(0,$F30-config!$B$26),config!$B$20+config!$B$24*MAX(0,$F30-config!$B$21)),IF($D30="standard",config!$B$22+config!$B$24*MAX(0,$F30-config!$B$23),""))))</f>
        <v/>
      </c>
      <c r="BJ30" s="32" t="str">
        <f aca="false">IF($A30="","",IF($G30&lt;&gt;"",$G30,$BI30))</f>
        <v/>
      </c>
      <c r="BK30" s="30" t="str">
        <f aca="false">IF($A30="","",IF($D30="founding","100% within "&amp;config!$B$27&amp;" business days of the invoice, before shipping",IF($D30="standard","50% on signing; 50% at placement confirmation (T+1)","")))</f>
        <v/>
      </c>
      <c r="BL30" s="31" t="str">
        <f aca="false">IF($A30="","",IFERROR(IF(INDEX(drops!$K$2:$K$21,MATCH($B30,drops!$A$2:$A$21,0))="","",INDEX(drops!$K$2:$K$21,MATCH($B30,drops!$A$2:$A$21,0))),""))</f>
        <v/>
      </c>
      <c r="BM30" s="31" t="str">
        <f aca="false">IF($A30="","",IFERROR(IF(INDEX(drops!$L$2:$L$21,MATCH($B30,drops!$A$2:$A$21,0))="","",INDEX(drops!$L$2:$L$21,MATCH($B30,drops!$A$2:$A$21,0))),""))</f>
        <v/>
      </c>
      <c r="BN30" s="30" t="str">
        <f aca="false">IF($A30="","",COUNTIF(approvals!$A$2:$A$251,$A30))</f>
        <v/>
      </c>
      <c r="BO30" s="30" t="str">
        <f aca="false">IF($A30="","",COUNTIFS(approvals!$A$2:$A$251,$A30,approvals!$P$2:$P$251,"Y"))</f>
        <v/>
      </c>
      <c r="BP30" s="30" t="str">
        <f aca="false">IF($A30="","",COUNTIFS(approvals!$A$2:$A$251,$A30,approvals!$Q$2:$Q$251,"Y"))</f>
        <v/>
      </c>
      <c r="BQ30" s="30" t="str">
        <f aca="false">IF($A30="","",COUNTIFS(approvals!$A$2:$A$251,$A30,approvals!$P$2:$P$251,"pending"))</f>
        <v/>
      </c>
      <c r="BR30" s="30" t="str">
        <f aca="false">IF($A30="","",SUMIFS(approvals!$S$2:$S$251,approvals!$A$2:$A$251,$A30,approvals!$P$2:$P$251,"Y"))</f>
        <v/>
      </c>
      <c r="BS30" s="30" t="str">
        <f aca="false">IF($A30="","",ROUNDUP($BR30*config!$B$18,0))</f>
        <v/>
      </c>
      <c r="BT30" s="30" t="str">
        <f aca="false">IF($A30="","",$BR30+$BS30)</f>
        <v/>
      </c>
      <c r="BU30" s="32" t="str">
        <f aca="false">IF($A30="","",SUMIFS(invoices!$I$2:$I$151,invoices!$B$2:$B$151,$A30,invoices!$R$2:$R$151,"Y",invoices!$H$2:$H$151,"&gt;0"))</f>
        <v/>
      </c>
      <c r="BV30" s="32" t="str">
        <f aca="false">IF($A30="","",IF($BJ30="","",IF($D30="founding",$BJ30,ROUND($BJ30*config!$B$28,2))))</f>
        <v/>
      </c>
      <c r="BW30" s="30" t="str">
        <f aca="false">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30" t="str">
        <f aca="false">IF($A30="","",SUMIFS(inventory!$G$2:$G$801,inventory!$C$2:$C$801,$A30,inventory!$E$2:$E$801,"received"))</f>
        <v/>
      </c>
      <c r="BY30" s="30" t="str">
        <f aca="false">IF($A30="","",SUMIFS(inventory!$G$2:$G$801,inventory!$C$2:$C$801,$A30,inventory!$E$2:$E$801,"rejected"))</f>
        <v/>
      </c>
      <c r="BZ30" s="30" t="str">
        <f aca="false">IF($A30="","",SUMIFS(inventory!$M$2:$M$801,inventory!$C$2:$C$801,$A30))</f>
        <v/>
      </c>
      <c r="CA30" s="30" t="str">
        <f aca="false">IF($A30="","",SUMIFS(inventory!$O$2:$O$801,inventory!$C$2:$C$801,$A30))</f>
        <v/>
      </c>
      <c r="CB30" s="30" t="str">
        <f aca="false">IF($A30="","",SUMIFS(approvals!$U$2:$U$251,approvals!$A$2:$A$251,$A30))</f>
        <v/>
      </c>
      <c r="CC30" s="30" t="str">
        <f aca="false">IF($A30="","",SUMIFS(approvals!$AA$2:$AA$251,approvals!$A$2:$A$251,$A30))</f>
        <v/>
      </c>
      <c r="CD30" s="30" t="str">
        <f aca="false">IF($A30="","",SUMIFS(approvals!$AA$2:$AA$251,approvals!$A$2:$A$251,$A30,approvals!$AB$2:$AB$251,"Y"))</f>
        <v/>
      </c>
      <c r="CE30" s="34" t="str">
        <f aca="false">IF($A30="","",IF(N($CB30)=0,"",$CD30/$CB30))</f>
        <v/>
      </c>
      <c r="CF30" s="30" t="str">
        <f aca="false">IF($A30="","",SUMIFS(approvals!$AD$2:$AD$251,approvals!$A$2:$A$251,$A30))</f>
        <v/>
      </c>
      <c r="CG30" s="30" t="str">
        <f aca="false">IF($A30="","",IF(COUNTIFS(approvals!$A$2:$A$251,$A30,approvals!$Q$2:$Q$251,"Y",approvals!$AG$2:$AG$251,"")&gt;0,"",SUMIFS(approvals!$AG$2:$AG$251,approvals!$A$2:$A$251,$A30,approvals!$Q$2:$Q$251,"Y")))</f>
        <v/>
      </c>
      <c r="CH30" s="30" t="str">
        <f aca="false">IF($A30="","",SUMIFS(approvals!$AL$2:$AL$251,approvals!$A$2:$A$251,$A30,approvals!$Q$2:$Q$251,"Y"))</f>
        <v/>
      </c>
      <c r="CI30" s="30" t="str">
        <f aca="false">IF($A30="","",IF(N($BP30)=0,"",SUMPRODUCT(MIN(approvals!$BB$2:$BB$251+(approvals!$A$2:$A$251&lt;&gt;$A30)*1000000))))</f>
        <v/>
      </c>
      <c r="CJ30" s="30" t="str">
        <f aca="false">IF($A30="","",COUNTIFS(approvals!$A$2:$A$251,$A30,approvals!$Q$2:$Q$251,"Y",approvals!$AL$2:$AL$251,"&lt;"&amp;config!$B$30))</f>
        <v/>
      </c>
      <c r="CK30" s="30" t="str">
        <f aca="false">IF($A30="","",SUMIFS(approvals!$AM$2:$AM$251,approvals!$A$2:$A$251,$A30,approvals!$Q$2:$Q$251,"Y"))</f>
        <v/>
      </c>
      <c r="CL30" s="30" t="str">
        <f aca="false">IF($A30="","",SUMIFS(approvals!$AQ$2:$AQ$251,approvals!$A$2:$A$251,$A30,approvals!$Q$2:$Q$251,"Y"))</f>
        <v/>
      </c>
      <c r="CM30" s="30" t="str">
        <f aca="false">IF($A30="","",SUMIFS(approvals!$AR$2:$AR$251,approvals!$A$2:$A$251,$A30,approvals!$Q$2:$Q$251,"Y"))</f>
        <v/>
      </c>
      <c r="CN30" s="30" t="str">
        <f aca="false">IF($A30="","",SUMIFS(approvals!$AS$2:$AS$251,approvals!$A$2:$A$251,$A30,approvals!$Q$2:$Q$251,"Y"))</f>
        <v/>
      </c>
      <c r="CO30" s="30" t="str">
        <f aca="false">IF($A30="","",SUMIFS(approvals!$AT$2:$AT$251,approvals!$A$2:$A$251,$A30,approvals!$Q$2:$Q$251,"Y"))</f>
        <v/>
      </c>
      <c r="CP30" s="33" t="str">
        <f aca="false">IF($A30="","",IF(N($CO30)=0,"",ROUND(SUMIFS(approvals!$AU$2:$AU$251,approvals!$A$2:$A$251,$A30,approvals!$Q$2:$Q$251,"Y")/$CO30,1)))</f>
        <v/>
      </c>
      <c r="CQ30" s="30" t="str">
        <f aca="false">IF($A30="","",SUMIFS(approvals!$AV$2:$AV$251,approvals!$A$2:$A$251,$A30,approvals!$Q$2:$Q$251,"Y"))</f>
        <v/>
      </c>
      <c r="CR30" s="30" t="str">
        <f aca="false">IF($A30="","",SUMIFS(approvals!$AW$2:$AW$251,approvals!$A$2:$A$251,$A30,approvals!$Q$2:$Q$251,"Y"))</f>
        <v/>
      </c>
      <c r="CS30" s="30" t="str">
        <f aca="false">IF($A30="","",SUMIFS(approvals!$AX$2:$AX$251,approvals!$A$2:$A$251,$A30,approvals!$Q$2:$Q$251,"Y"))</f>
        <v/>
      </c>
      <c r="CT30" s="30" t="str">
        <f aca="false">IF($A30="","",SUMIFS(approvals!$AY$2:$AY$251,approvals!$A$2:$A$251,$A30,approvals!$Q$2:$Q$251,"Y"))</f>
        <v/>
      </c>
      <c r="CU30" s="30" t="str">
        <f aca="true">IF($A30="","",IF(OR($BG30="",$BC30&lt;&gt;""),"",IFERROR(COUNT(INDIRECT("'"&amp;$A30&amp;"'!$A$2:$A$501")),0)-IFERROR(COUNTIFS(INDIRECT("'"&amp;$A30&amp;"'!$A$2:$A$501"),"&gt;="&amp;$BG30,INDIRECT("'"&amp;$A30&amp;"'!$A$2:$A$501"),"&lt;"&amp;(IFERROR(IF(INDEX(drops!$R$2:$R$21,MATCH($B30,drops!$A$2:$A$21,0))="","",INDEX(drops!$R$2:$R$21,MATCH($B30,drops!$A$2:$A$21,0))),"")+1)),0)))</f>
        <v/>
      </c>
      <c r="CV30" s="30" t="str">
        <f aca="true">IF($A30="","",IF(OR($BG30="",$BC30&lt;&gt;""),"",IFERROR(COUNTIFS(INDIRECT("'"&amp;$A30&amp;"'!$A$2:$A$501"),"&gt;="&amp;$BG30,INDIRECT("'"&amp;$A30&amp;"'!$A$2:$A$501"),"&lt;"&amp;(IFERROR(IF(INDEX(drops!$R$2:$R$21,MATCH($B30,drops!$A$2:$A$21,0))="","",INDEX(drops!$R$2:$R$21,MATCH($B30,drops!$A$2:$A$21,0))),"")+1)),0)-N($CH30)-N($CW30)))</f>
        <v/>
      </c>
      <c r="CW30" s="30" t="str">
        <f aca="false">IF($A30="","",IF($BG30="","",SUMIFS(approvals!$AL$2:$AL$251,approvals!$A$2:$A$251,$A30,approvals!$Q$2:$Q$251,"&lt;&gt;Y")))</f>
        <v/>
      </c>
      <c r="CX30" s="30" t="str">
        <f aca="false">IF($A30="","",SUMIFS(approvals!$AN$2:$AN$251,approvals!$A$2:$A$251,$A30,approvals!$Q$2:$Q$251,"Y"))</f>
        <v/>
      </c>
      <c r="CY30" s="30" t="str">
        <f aca="false">IF($A30="","",SUMIFS(approvals!$AO$2:$AO$251,approvals!$A$2:$A$251,$A30,approvals!$Q$2:$Q$251,"Y"))</f>
        <v/>
      </c>
      <c r="CZ30" s="30" t="str">
        <f aca="false">IF($A30="","",IF($DA30="","",SUMIFS(redemptions!$C$2:$C$121,redemptions!$A$2:$A$121,$A30,redemptions!$B$2:$B$121,$DA30)))</f>
        <v/>
      </c>
      <c r="DA30" s="31" t="str">
        <f aca="false">IF($A30="","",IFERROR(1/(1/SUMPRODUCT(MAX((redemptions!$A$2:$A$121=$A30)*redemptions!$B$2:$B$121))),""))</f>
        <v/>
      </c>
      <c r="DB30" s="30" t="str">
        <f aca="false">IF($A30="","",IF(COUNTIFS(redemptions!$A$2:$A$121,$A30,redemptions!$H$2:$H$121,"Y")=0,"",SUMIFS(redemptions!$C$2:$C$121,redemptions!$A$2:$A$121,$A30,redemptions!$B$2:$B$121,SUMPRODUCT(MIN((redemptions!$A$2:$A$121=$A30)*(redemptions!$H$2:$H$121="Y")*redemptions!$B$2:$B$121+((redemptions!$A$2:$A$121&lt;&gt;$A30)+(redemptions!$H$2:$H$121&lt;&gt;"Y")&gt;0)*1000000)))))</f>
        <v/>
      </c>
      <c r="DC30" s="32" t="str">
        <f aca="false">IF($A30="","",SUMIFS(invoices!$E$2:$E$151,invoices!$B$2:$B$151,$A30))</f>
        <v/>
      </c>
      <c r="DD30" s="32" t="str">
        <f aca="false">IF($A30="","",IF(COUNTIFS(invoices!$B$2:$B$151,$A30,invoices!$C$2:$C$151,"standard_deposit",invoices!$H$2:$H$151,"&gt;0")=0,"",SUMIFS(invoices!$I$2:$I$151,invoices!$B$2:$B$151,$A30,invoices!$C$2:$C$151,"standard_deposit")))</f>
        <v/>
      </c>
      <c r="DE30" s="31" t="str">
        <f aca="false">IF($A30="","",IFERROR(1/(1/SUMPRODUCT(MAX((invoices!$B$2:$B$151=$A30)*(invoices!$C$2:$C$151="standard_deposit")*invoices!$H$2:$H$151))),""))</f>
        <v/>
      </c>
      <c r="DF30" s="31" t="str">
        <f aca="false">IF($A30="","",IFERROR(1/(1/SUMPRODUCT(MAX((invoices!$B$2:$B$151=$A30)*((invoices!$C$2:$C$151="founding_full")+(invoices!$C$2:$C$151="standard_balance"))*invoices!$H$2:$H$151))),""))</f>
        <v/>
      </c>
      <c r="DG30" s="32" t="str">
        <f aca="false">IF($A30="","",SUMIFS(invoices!$L$2:$L$151,invoices!$B$2:$B$151,$A30))</f>
        <v/>
      </c>
      <c r="DH30" s="32" t="str">
        <f aca="false">IF($A30="","",SUMIFS(costs!$E$2:$E$301,costs!$C$2:$C$301,$A30))</f>
        <v/>
      </c>
      <c r="DI30" s="32" t="str">
        <f aca="false">IF($A30="","",ROUND(IF(SUMIFS(campaigns!$BO$2:$BO$51,campaigns!$B$2:$B$51,$B30)=0,0,$BO30/SUMIFS(campaigns!$BO$2:$BO$51,campaigns!$B$2:$B$51,$B30))*(SUMIFS(costs!$E$2:$E$301,costs!$B$2:$B$301,$B30)-SUMPRODUCT((costs!$B$2:$B$301=$B30)*(LEN(costs!$C$2:$C$301)&gt;0)*costs!$E$2:$E$301)),2))</f>
        <v/>
      </c>
      <c r="DJ30" s="33" t="str">
        <f aca="false">IF($A30="","",SUMIFS(hours!$E$2:$E$1501,hours!$C$2:$C$1501,$A30))</f>
        <v/>
      </c>
      <c r="DK30" s="33" t="str">
        <f aca="false">IF($A30="","",ROUND(IF(SUMIFS(campaigns!$BO$2:$BO$51,campaigns!$B$2:$B$51,$B30)=0,0,$BO30/SUMIFS(campaigns!$BO$2:$BO$51,campaigns!$B$2:$B$51,$B30))*(SUMIFS(hours!$E$2:$E$1501,hours!$B$2:$B$1501,$B30)-SUMPRODUCT((hours!$B$2:$B$1501=$B30)*(LEN(hours!$C$2:$C$1501)&gt;0)*hours!$E$2:$E$1501)),2))</f>
        <v/>
      </c>
      <c r="DL30" s="32" t="str">
        <f aca="false">IF($A30="","",$DC30-$DG30-$DH30-$DI30)</f>
        <v/>
      </c>
      <c r="DM30" s="32" t="str">
        <f aca="false">IF($A30="","",IF(N($DJ30)+N($DK30)=0,"",ROUND($DL30/($DJ30+$DK30),2)))</f>
        <v/>
      </c>
      <c r="DN30" s="34" t="str">
        <f aca="false">IF($A30="","",IF(N($BP30)=0,"",COUNTIFS(approvals!$A$2:$A$251,$A30,approvals!$Q$2:$Q$251,"Y",approvals!$AK$2:$AK$251,"Y")/$BP30))</f>
        <v/>
      </c>
      <c r="DO30" s="33" t="str">
        <f aca="false">IF($A30="","",IF(COUNTIFS(approvals!$A$2:$A$251,$A30,approvals!$AC$2:$AC$251,"&gt;=0")=0,"",ROUND(SUMIFS(approvals!$AC$2:$AC$251,approvals!$A$2:$A$251,$A30)/COUNTIFS(approvals!$A$2:$A$251,$A30,approvals!$AC$2:$AC$251,"&gt;=0"),1)))</f>
        <v/>
      </c>
      <c r="DP30" s="31" t="str">
        <f aca="false">IF($A30="","",IFERROR(IF(INDEX(drops!$T$2:$T$21,MATCH($B30,drops!$A$2:$A$21,0))="","",INDEX(drops!$T$2:$T$21,MATCH($B30,drops!$A$2:$A$21,0))),""))</f>
        <v/>
      </c>
      <c r="DQ30" s="31" t="str">
        <f aca="false">IF($A30="","",IFERROR(IF(INDEX(drops!$U$2:$U$21,MATCH($B30,drops!$A$2:$A$21,0))="","",INDEX(drops!$U$2:$U$21,MATCH($B30,drops!$A$2:$A$21,0))),""))</f>
        <v/>
      </c>
      <c r="DR30" s="31" t="str">
        <f aca="false">IF($A30="","",IFERROR(IF(INDEX(drops!$W$2:$W$21,MATCH($B30,drops!$A$2:$A$21,0))="","",INDEX(drops!$W$2:$W$21,MATCH($B30,drops!$A$2:$A$21,0))),""))</f>
        <v/>
      </c>
      <c r="DS30" s="30" t="str">
        <f aca="false">IF($A30="","",IF($CE30="","",IF($CE30&gt;=config!$B$31,"pass","miss")))</f>
        <v/>
      </c>
      <c r="DT30" s="30" t="str">
        <f aca="false">IF($A30="","",IF($CI30="","",IF($CI30&gt;=config!$B$30,"pass","miss")))</f>
        <v/>
      </c>
      <c r="DU30" s="30" t="str">
        <f aca="true">IF($A30="","",IF($AT30="",IF($DP30="","",IF(IF(config!$B$37&lt;&gt;"",config!$B$37,TODAY())&gt;$DP30,"late","due")),IF($AT30&lt;=$DP30,"pass","late")))</f>
        <v/>
      </c>
      <c r="DV30" s="30" t="str">
        <f aca="false">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ustomFormat="false" ht="15" hidden="false" customHeight="false" outlineLevel="0" collapsed="false">
      <c r="D31" s="10"/>
      <c r="G31" s="12"/>
      <c r="H31" s="11"/>
      <c r="M31" s="10"/>
      <c r="Y31" s="10"/>
      <c r="Z31" s="10"/>
      <c r="AB31" s="11"/>
      <c r="AC31" s="11"/>
      <c r="AD31" s="11"/>
      <c r="AF31" s="11"/>
      <c r="AG31" s="11"/>
      <c r="AT31" s="11"/>
      <c r="AU31" s="11"/>
      <c r="AV31" s="10"/>
      <c r="AW31" s="10"/>
      <c r="AY31" s="11"/>
      <c r="BA31" s="11"/>
      <c r="BB31" s="11"/>
      <c r="BC31" s="11"/>
      <c r="BE31" s="30" t="str">
        <f aca="false">IF($A31="","",IFERROR(IF(INDEX(brands!$K$2:$K$41,MATCH($C31,brands!$A$2:$A$41,0))="","",INDEX(brands!$K$2:$K$41,MATCH($C31,brands!$A$2:$A$41,0))),""))</f>
        <v/>
      </c>
      <c r="BF31" s="30" t="str">
        <f aca="false">IF($A31="","",IFERROR(IF(INDEX(brands!$M$2:$M$41,MATCH($C31,brands!$A$2:$A$41,0))="","",INDEX(brands!$M$2:$M$41,MATCH($C31,brands!$A$2:$A$41,0))),""))</f>
        <v/>
      </c>
      <c r="BG31" s="31" t="str">
        <f aca="false">IF($A31="","",IF(IFERROR(IF(INDEX(drops!$I$2:$I$21,MATCH($B31,drops!$A$2:$A$21,0))="","",INDEX(drops!$I$2:$I$21,MATCH($B31,drops!$A$2:$A$21,0))),"")="OK",IFERROR(IF(INDEX(drops!$B$2:$B$21,MATCH($B31,drops!$A$2:$A$21,0))="","",INDEX(drops!$B$2:$B$21,MATCH($B31,drops!$A$2:$A$21,0))),""),""))</f>
        <v/>
      </c>
      <c r="BH31" s="30" t="str">
        <f aca="false">IF($A31="","",IFERROR(IF(INDEX(drops!$C$2:$C$21,MATCH($B31,drops!$A$2:$A$21,0))="","",INDEX(drops!$C$2:$C$21,MATCH($B31,drops!$A$2:$A$21,0))),""))</f>
        <v/>
      </c>
      <c r="BI31" s="32" t="str">
        <f aca="false">IF($A31="","",IF($F31="","",IF($D31="founding",IF($E31="Y",config!$B$25*MIN($F31,config!$B$26)+config!$B$24*MAX(0,$F31-config!$B$26),config!$B$20+config!$B$24*MAX(0,$F31-config!$B$21)),IF($D31="standard",config!$B$22+config!$B$24*MAX(0,$F31-config!$B$23),""))))</f>
        <v/>
      </c>
      <c r="BJ31" s="32" t="str">
        <f aca="false">IF($A31="","",IF($G31&lt;&gt;"",$G31,$BI31))</f>
        <v/>
      </c>
      <c r="BK31" s="30" t="str">
        <f aca="false">IF($A31="","",IF($D31="founding","100% within "&amp;config!$B$27&amp;" business days of the invoice, before shipping",IF($D31="standard","50% on signing; 50% at placement confirmation (T+1)","")))</f>
        <v/>
      </c>
      <c r="BL31" s="31" t="str">
        <f aca="false">IF($A31="","",IFERROR(IF(INDEX(drops!$K$2:$K$21,MATCH($B31,drops!$A$2:$A$21,0))="","",INDEX(drops!$K$2:$K$21,MATCH($B31,drops!$A$2:$A$21,0))),""))</f>
        <v/>
      </c>
      <c r="BM31" s="31" t="str">
        <f aca="false">IF($A31="","",IFERROR(IF(INDEX(drops!$L$2:$L$21,MATCH($B31,drops!$A$2:$A$21,0))="","",INDEX(drops!$L$2:$L$21,MATCH($B31,drops!$A$2:$A$21,0))),""))</f>
        <v/>
      </c>
      <c r="BN31" s="30" t="str">
        <f aca="false">IF($A31="","",COUNTIF(approvals!$A$2:$A$251,$A31))</f>
        <v/>
      </c>
      <c r="BO31" s="30" t="str">
        <f aca="false">IF($A31="","",COUNTIFS(approvals!$A$2:$A$251,$A31,approvals!$P$2:$P$251,"Y"))</f>
        <v/>
      </c>
      <c r="BP31" s="30" t="str">
        <f aca="false">IF($A31="","",COUNTIFS(approvals!$A$2:$A$251,$A31,approvals!$Q$2:$Q$251,"Y"))</f>
        <v/>
      </c>
      <c r="BQ31" s="30" t="str">
        <f aca="false">IF($A31="","",COUNTIFS(approvals!$A$2:$A$251,$A31,approvals!$P$2:$P$251,"pending"))</f>
        <v/>
      </c>
      <c r="BR31" s="30" t="str">
        <f aca="false">IF($A31="","",SUMIFS(approvals!$S$2:$S$251,approvals!$A$2:$A$251,$A31,approvals!$P$2:$P$251,"Y"))</f>
        <v/>
      </c>
      <c r="BS31" s="30" t="str">
        <f aca="false">IF($A31="","",ROUNDUP($BR31*config!$B$18,0))</f>
        <v/>
      </c>
      <c r="BT31" s="30" t="str">
        <f aca="false">IF($A31="","",$BR31+$BS31)</f>
        <v/>
      </c>
      <c r="BU31" s="32" t="str">
        <f aca="false">IF($A31="","",SUMIFS(invoices!$I$2:$I$151,invoices!$B$2:$B$151,$A31,invoices!$R$2:$R$151,"Y",invoices!$H$2:$H$151,"&gt;0"))</f>
        <v/>
      </c>
      <c r="BV31" s="32" t="str">
        <f aca="false">IF($A31="","",IF($BJ31="","",IF($D31="founding",$BJ31,ROUND($BJ31*config!$B$28,2))))</f>
        <v/>
      </c>
      <c r="BW31" s="30" t="str">
        <f aca="false">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30" t="str">
        <f aca="false">IF($A31="","",SUMIFS(inventory!$G$2:$G$801,inventory!$C$2:$C$801,$A31,inventory!$E$2:$E$801,"received"))</f>
        <v/>
      </c>
      <c r="BY31" s="30" t="str">
        <f aca="false">IF($A31="","",SUMIFS(inventory!$G$2:$G$801,inventory!$C$2:$C$801,$A31,inventory!$E$2:$E$801,"rejected"))</f>
        <v/>
      </c>
      <c r="BZ31" s="30" t="str">
        <f aca="false">IF($A31="","",SUMIFS(inventory!$M$2:$M$801,inventory!$C$2:$C$801,$A31))</f>
        <v/>
      </c>
      <c r="CA31" s="30" t="str">
        <f aca="false">IF($A31="","",SUMIFS(inventory!$O$2:$O$801,inventory!$C$2:$C$801,$A31))</f>
        <v/>
      </c>
      <c r="CB31" s="30" t="str">
        <f aca="false">IF($A31="","",SUMIFS(approvals!$U$2:$U$251,approvals!$A$2:$A$251,$A31))</f>
        <v/>
      </c>
      <c r="CC31" s="30" t="str">
        <f aca="false">IF($A31="","",SUMIFS(approvals!$AA$2:$AA$251,approvals!$A$2:$A$251,$A31))</f>
        <v/>
      </c>
      <c r="CD31" s="30" t="str">
        <f aca="false">IF($A31="","",SUMIFS(approvals!$AA$2:$AA$251,approvals!$A$2:$A$251,$A31,approvals!$AB$2:$AB$251,"Y"))</f>
        <v/>
      </c>
      <c r="CE31" s="34" t="str">
        <f aca="false">IF($A31="","",IF(N($CB31)=0,"",$CD31/$CB31))</f>
        <v/>
      </c>
      <c r="CF31" s="30" t="str">
        <f aca="false">IF($A31="","",SUMIFS(approvals!$AD$2:$AD$251,approvals!$A$2:$A$251,$A31))</f>
        <v/>
      </c>
      <c r="CG31" s="30" t="str">
        <f aca="false">IF($A31="","",IF(COUNTIFS(approvals!$A$2:$A$251,$A31,approvals!$Q$2:$Q$251,"Y",approvals!$AG$2:$AG$251,"")&gt;0,"",SUMIFS(approvals!$AG$2:$AG$251,approvals!$A$2:$A$251,$A31,approvals!$Q$2:$Q$251,"Y")))</f>
        <v/>
      </c>
      <c r="CH31" s="30" t="str">
        <f aca="false">IF($A31="","",SUMIFS(approvals!$AL$2:$AL$251,approvals!$A$2:$A$251,$A31,approvals!$Q$2:$Q$251,"Y"))</f>
        <v/>
      </c>
      <c r="CI31" s="30" t="str">
        <f aca="false">IF($A31="","",IF(N($BP31)=0,"",SUMPRODUCT(MIN(approvals!$BB$2:$BB$251+(approvals!$A$2:$A$251&lt;&gt;$A31)*1000000))))</f>
        <v/>
      </c>
      <c r="CJ31" s="30" t="str">
        <f aca="false">IF($A31="","",COUNTIFS(approvals!$A$2:$A$251,$A31,approvals!$Q$2:$Q$251,"Y",approvals!$AL$2:$AL$251,"&lt;"&amp;config!$B$30))</f>
        <v/>
      </c>
      <c r="CK31" s="30" t="str">
        <f aca="false">IF($A31="","",SUMIFS(approvals!$AM$2:$AM$251,approvals!$A$2:$A$251,$A31,approvals!$Q$2:$Q$251,"Y"))</f>
        <v/>
      </c>
      <c r="CL31" s="30" t="str">
        <f aca="false">IF($A31="","",SUMIFS(approvals!$AQ$2:$AQ$251,approvals!$A$2:$A$251,$A31,approvals!$Q$2:$Q$251,"Y"))</f>
        <v/>
      </c>
      <c r="CM31" s="30" t="str">
        <f aca="false">IF($A31="","",SUMIFS(approvals!$AR$2:$AR$251,approvals!$A$2:$A$251,$A31,approvals!$Q$2:$Q$251,"Y"))</f>
        <v/>
      </c>
      <c r="CN31" s="30" t="str">
        <f aca="false">IF($A31="","",SUMIFS(approvals!$AS$2:$AS$251,approvals!$A$2:$A$251,$A31,approvals!$Q$2:$Q$251,"Y"))</f>
        <v/>
      </c>
      <c r="CO31" s="30" t="str">
        <f aca="false">IF($A31="","",SUMIFS(approvals!$AT$2:$AT$251,approvals!$A$2:$A$251,$A31,approvals!$Q$2:$Q$251,"Y"))</f>
        <v/>
      </c>
      <c r="CP31" s="33" t="str">
        <f aca="false">IF($A31="","",IF(N($CO31)=0,"",ROUND(SUMIFS(approvals!$AU$2:$AU$251,approvals!$A$2:$A$251,$A31,approvals!$Q$2:$Q$251,"Y")/$CO31,1)))</f>
        <v/>
      </c>
      <c r="CQ31" s="30" t="str">
        <f aca="false">IF($A31="","",SUMIFS(approvals!$AV$2:$AV$251,approvals!$A$2:$A$251,$A31,approvals!$Q$2:$Q$251,"Y"))</f>
        <v/>
      </c>
      <c r="CR31" s="30" t="str">
        <f aca="false">IF($A31="","",SUMIFS(approvals!$AW$2:$AW$251,approvals!$A$2:$A$251,$A31,approvals!$Q$2:$Q$251,"Y"))</f>
        <v/>
      </c>
      <c r="CS31" s="30" t="str">
        <f aca="false">IF($A31="","",SUMIFS(approvals!$AX$2:$AX$251,approvals!$A$2:$A$251,$A31,approvals!$Q$2:$Q$251,"Y"))</f>
        <v/>
      </c>
      <c r="CT31" s="30" t="str">
        <f aca="false">IF($A31="","",SUMIFS(approvals!$AY$2:$AY$251,approvals!$A$2:$A$251,$A31,approvals!$Q$2:$Q$251,"Y"))</f>
        <v/>
      </c>
      <c r="CU31" s="30" t="str">
        <f aca="true">IF($A31="","",IF(OR($BG31="",$BC31&lt;&gt;""),"",IFERROR(COUNT(INDIRECT("'"&amp;$A31&amp;"'!$A$2:$A$501")),0)-IFERROR(COUNTIFS(INDIRECT("'"&amp;$A31&amp;"'!$A$2:$A$501"),"&gt;="&amp;$BG31,INDIRECT("'"&amp;$A31&amp;"'!$A$2:$A$501"),"&lt;"&amp;(IFERROR(IF(INDEX(drops!$R$2:$R$21,MATCH($B31,drops!$A$2:$A$21,0))="","",INDEX(drops!$R$2:$R$21,MATCH($B31,drops!$A$2:$A$21,0))),"")+1)),0)))</f>
        <v/>
      </c>
      <c r="CV31" s="30" t="str">
        <f aca="true">IF($A31="","",IF(OR($BG31="",$BC31&lt;&gt;""),"",IFERROR(COUNTIFS(INDIRECT("'"&amp;$A31&amp;"'!$A$2:$A$501"),"&gt;="&amp;$BG31,INDIRECT("'"&amp;$A31&amp;"'!$A$2:$A$501"),"&lt;"&amp;(IFERROR(IF(INDEX(drops!$R$2:$R$21,MATCH($B31,drops!$A$2:$A$21,0))="","",INDEX(drops!$R$2:$R$21,MATCH($B31,drops!$A$2:$A$21,0))),"")+1)),0)-N($CH31)-N($CW31)))</f>
        <v/>
      </c>
      <c r="CW31" s="30" t="str">
        <f aca="false">IF($A31="","",IF($BG31="","",SUMIFS(approvals!$AL$2:$AL$251,approvals!$A$2:$A$251,$A31,approvals!$Q$2:$Q$251,"&lt;&gt;Y")))</f>
        <v/>
      </c>
      <c r="CX31" s="30" t="str">
        <f aca="false">IF($A31="","",SUMIFS(approvals!$AN$2:$AN$251,approvals!$A$2:$A$251,$A31,approvals!$Q$2:$Q$251,"Y"))</f>
        <v/>
      </c>
      <c r="CY31" s="30" t="str">
        <f aca="false">IF($A31="","",SUMIFS(approvals!$AO$2:$AO$251,approvals!$A$2:$A$251,$A31,approvals!$Q$2:$Q$251,"Y"))</f>
        <v/>
      </c>
      <c r="CZ31" s="30" t="str">
        <f aca="false">IF($A31="","",IF($DA31="","",SUMIFS(redemptions!$C$2:$C$121,redemptions!$A$2:$A$121,$A31,redemptions!$B$2:$B$121,$DA31)))</f>
        <v/>
      </c>
      <c r="DA31" s="31" t="str">
        <f aca="false">IF($A31="","",IFERROR(1/(1/SUMPRODUCT(MAX((redemptions!$A$2:$A$121=$A31)*redemptions!$B$2:$B$121))),""))</f>
        <v/>
      </c>
      <c r="DB31" s="30" t="str">
        <f aca="false">IF($A31="","",IF(COUNTIFS(redemptions!$A$2:$A$121,$A31,redemptions!$H$2:$H$121,"Y")=0,"",SUMIFS(redemptions!$C$2:$C$121,redemptions!$A$2:$A$121,$A31,redemptions!$B$2:$B$121,SUMPRODUCT(MIN((redemptions!$A$2:$A$121=$A31)*(redemptions!$H$2:$H$121="Y")*redemptions!$B$2:$B$121+((redemptions!$A$2:$A$121&lt;&gt;$A31)+(redemptions!$H$2:$H$121&lt;&gt;"Y")&gt;0)*1000000)))))</f>
        <v/>
      </c>
      <c r="DC31" s="32" t="str">
        <f aca="false">IF($A31="","",SUMIFS(invoices!$E$2:$E$151,invoices!$B$2:$B$151,$A31))</f>
        <v/>
      </c>
      <c r="DD31" s="32" t="str">
        <f aca="false">IF($A31="","",IF(COUNTIFS(invoices!$B$2:$B$151,$A31,invoices!$C$2:$C$151,"standard_deposit",invoices!$H$2:$H$151,"&gt;0")=0,"",SUMIFS(invoices!$I$2:$I$151,invoices!$B$2:$B$151,$A31,invoices!$C$2:$C$151,"standard_deposit")))</f>
        <v/>
      </c>
      <c r="DE31" s="31" t="str">
        <f aca="false">IF($A31="","",IFERROR(1/(1/SUMPRODUCT(MAX((invoices!$B$2:$B$151=$A31)*(invoices!$C$2:$C$151="standard_deposit")*invoices!$H$2:$H$151))),""))</f>
        <v/>
      </c>
      <c r="DF31" s="31" t="str">
        <f aca="false">IF($A31="","",IFERROR(1/(1/SUMPRODUCT(MAX((invoices!$B$2:$B$151=$A31)*((invoices!$C$2:$C$151="founding_full")+(invoices!$C$2:$C$151="standard_balance"))*invoices!$H$2:$H$151))),""))</f>
        <v/>
      </c>
      <c r="DG31" s="32" t="str">
        <f aca="false">IF($A31="","",SUMIFS(invoices!$L$2:$L$151,invoices!$B$2:$B$151,$A31))</f>
        <v/>
      </c>
      <c r="DH31" s="32" t="str">
        <f aca="false">IF($A31="","",SUMIFS(costs!$E$2:$E$301,costs!$C$2:$C$301,$A31))</f>
        <v/>
      </c>
      <c r="DI31" s="32" t="str">
        <f aca="false">IF($A31="","",ROUND(IF(SUMIFS(campaigns!$BO$2:$BO$51,campaigns!$B$2:$B$51,$B31)=0,0,$BO31/SUMIFS(campaigns!$BO$2:$BO$51,campaigns!$B$2:$B$51,$B31))*(SUMIFS(costs!$E$2:$E$301,costs!$B$2:$B$301,$B31)-SUMPRODUCT((costs!$B$2:$B$301=$B31)*(LEN(costs!$C$2:$C$301)&gt;0)*costs!$E$2:$E$301)),2))</f>
        <v/>
      </c>
      <c r="DJ31" s="33" t="str">
        <f aca="false">IF($A31="","",SUMIFS(hours!$E$2:$E$1501,hours!$C$2:$C$1501,$A31))</f>
        <v/>
      </c>
      <c r="DK31" s="33" t="str">
        <f aca="false">IF($A31="","",ROUND(IF(SUMIFS(campaigns!$BO$2:$BO$51,campaigns!$B$2:$B$51,$B31)=0,0,$BO31/SUMIFS(campaigns!$BO$2:$BO$51,campaigns!$B$2:$B$51,$B31))*(SUMIFS(hours!$E$2:$E$1501,hours!$B$2:$B$1501,$B31)-SUMPRODUCT((hours!$B$2:$B$1501=$B31)*(LEN(hours!$C$2:$C$1501)&gt;0)*hours!$E$2:$E$1501)),2))</f>
        <v/>
      </c>
      <c r="DL31" s="32" t="str">
        <f aca="false">IF($A31="","",$DC31-$DG31-$DH31-$DI31)</f>
        <v/>
      </c>
      <c r="DM31" s="32" t="str">
        <f aca="false">IF($A31="","",IF(N($DJ31)+N($DK31)=0,"",ROUND($DL31/($DJ31+$DK31),2)))</f>
        <v/>
      </c>
      <c r="DN31" s="34" t="str">
        <f aca="false">IF($A31="","",IF(N($BP31)=0,"",COUNTIFS(approvals!$A$2:$A$251,$A31,approvals!$Q$2:$Q$251,"Y",approvals!$AK$2:$AK$251,"Y")/$BP31))</f>
        <v/>
      </c>
      <c r="DO31" s="33" t="str">
        <f aca="false">IF($A31="","",IF(COUNTIFS(approvals!$A$2:$A$251,$A31,approvals!$AC$2:$AC$251,"&gt;=0")=0,"",ROUND(SUMIFS(approvals!$AC$2:$AC$251,approvals!$A$2:$A$251,$A31)/COUNTIFS(approvals!$A$2:$A$251,$A31,approvals!$AC$2:$AC$251,"&gt;=0"),1)))</f>
        <v/>
      </c>
      <c r="DP31" s="31" t="str">
        <f aca="false">IF($A31="","",IFERROR(IF(INDEX(drops!$T$2:$T$21,MATCH($B31,drops!$A$2:$A$21,0))="","",INDEX(drops!$T$2:$T$21,MATCH($B31,drops!$A$2:$A$21,0))),""))</f>
        <v/>
      </c>
      <c r="DQ31" s="31" t="str">
        <f aca="false">IF($A31="","",IFERROR(IF(INDEX(drops!$U$2:$U$21,MATCH($B31,drops!$A$2:$A$21,0))="","",INDEX(drops!$U$2:$U$21,MATCH($B31,drops!$A$2:$A$21,0))),""))</f>
        <v/>
      </c>
      <c r="DR31" s="31" t="str">
        <f aca="false">IF($A31="","",IFERROR(IF(INDEX(drops!$W$2:$W$21,MATCH($B31,drops!$A$2:$A$21,0))="","",INDEX(drops!$W$2:$W$21,MATCH($B31,drops!$A$2:$A$21,0))),""))</f>
        <v/>
      </c>
      <c r="DS31" s="30" t="str">
        <f aca="false">IF($A31="","",IF($CE31="","",IF($CE31&gt;=config!$B$31,"pass","miss")))</f>
        <v/>
      </c>
      <c r="DT31" s="30" t="str">
        <f aca="false">IF($A31="","",IF($CI31="","",IF($CI31&gt;=config!$B$30,"pass","miss")))</f>
        <v/>
      </c>
      <c r="DU31" s="30" t="str">
        <f aca="true">IF($A31="","",IF($AT31="",IF($DP31="","",IF(IF(config!$B$37&lt;&gt;"",config!$B$37,TODAY())&gt;$DP31,"late","due")),IF($AT31&lt;=$DP31,"pass","late")))</f>
        <v/>
      </c>
      <c r="DV31" s="30" t="str">
        <f aca="false">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ustomFormat="false" ht="15" hidden="false" customHeight="false" outlineLevel="0" collapsed="false">
      <c r="D32" s="10"/>
      <c r="G32" s="12"/>
      <c r="H32" s="11"/>
      <c r="M32" s="10"/>
      <c r="Y32" s="10"/>
      <c r="Z32" s="10"/>
      <c r="AB32" s="11"/>
      <c r="AC32" s="11"/>
      <c r="AD32" s="11"/>
      <c r="AF32" s="11"/>
      <c r="AG32" s="11"/>
      <c r="AT32" s="11"/>
      <c r="AU32" s="11"/>
      <c r="AV32" s="10"/>
      <c r="AW32" s="10"/>
      <c r="AY32" s="11"/>
      <c r="BA32" s="11"/>
      <c r="BB32" s="11"/>
      <c r="BC32" s="11"/>
      <c r="BE32" s="30" t="str">
        <f aca="false">IF($A32="","",IFERROR(IF(INDEX(brands!$K$2:$K$41,MATCH($C32,brands!$A$2:$A$41,0))="","",INDEX(brands!$K$2:$K$41,MATCH($C32,brands!$A$2:$A$41,0))),""))</f>
        <v/>
      </c>
      <c r="BF32" s="30" t="str">
        <f aca="false">IF($A32="","",IFERROR(IF(INDEX(brands!$M$2:$M$41,MATCH($C32,brands!$A$2:$A$41,0))="","",INDEX(brands!$M$2:$M$41,MATCH($C32,brands!$A$2:$A$41,0))),""))</f>
        <v/>
      </c>
      <c r="BG32" s="31" t="str">
        <f aca="false">IF($A32="","",IF(IFERROR(IF(INDEX(drops!$I$2:$I$21,MATCH($B32,drops!$A$2:$A$21,0))="","",INDEX(drops!$I$2:$I$21,MATCH($B32,drops!$A$2:$A$21,0))),"")="OK",IFERROR(IF(INDEX(drops!$B$2:$B$21,MATCH($B32,drops!$A$2:$A$21,0))="","",INDEX(drops!$B$2:$B$21,MATCH($B32,drops!$A$2:$A$21,0))),""),""))</f>
        <v/>
      </c>
      <c r="BH32" s="30" t="str">
        <f aca="false">IF($A32="","",IFERROR(IF(INDEX(drops!$C$2:$C$21,MATCH($B32,drops!$A$2:$A$21,0))="","",INDEX(drops!$C$2:$C$21,MATCH($B32,drops!$A$2:$A$21,0))),""))</f>
        <v/>
      </c>
      <c r="BI32" s="32" t="str">
        <f aca="false">IF($A32="","",IF($F32="","",IF($D32="founding",IF($E32="Y",config!$B$25*MIN($F32,config!$B$26)+config!$B$24*MAX(0,$F32-config!$B$26),config!$B$20+config!$B$24*MAX(0,$F32-config!$B$21)),IF($D32="standard",config!$B$22+config!$B$24*MAX(0,$F32-config!$B$23),""))))</f>
        <v/>
      </c>
      <c r="BJ32" s="32" t="str">
        <f aca="false">IF($A32="","",IF($G32&lt;&gt;"",$G32,$BI32))</f>
        <v/>
      </c>
      <c r="BK32" s="30" t="str">
        <f aca="false">IF($A32="","",IF($D32="founding","100% within "&amp;config!$B$27&amp;" business days of the invoice, before shipping",IF($D32="standard","50% on signing; 50% at placement confirmation (T+1)","")))</f>
        <v/>
      </c>
      <c r="BL32" s="31" t="str">
        <f aca="false">IF($A32="","",IFERROR(IF(INDEX(drops!$K$2:$K$21,MATCH($B32,drops!$A$2:$A$21,0))="","",INDEX(drops!$K$2:$K$21,MATCH($B32,drops!$A$2:$A$21,0))),""))</f>
        <v/>
      </c>
      <c r="BM32" s="31" t="str">
        <f aca="false">IF($A32="","",IFERROR(IF(INDEX(drops!$L$2:$L$21,MATCH($B32,drops!$A$2:$A$21,0))="","",INDEX(drops!$L$2:$L$21,MATCH($B32,drops!$A$2:$A$21,0))),""))</f>
        <v/>
      </c>
      <c r="BN32" s="30" t="str">
        <f aca="false">IF($A32="","",COUNTIF(approvals!$A$2:$A$251,$A32))</f>
        <v/>
      </c>
      <c r="BO32" s="30" t="str">
        <f aca="false">IF($A32="","",COUNTIFS(approvals!$A$2:$A$251,$A32,approvals!$P$2:$P$251,"Y"))</f>
        <v/>
      </c>
      <c r="BP32" s="30" t="str">
        <f aca="false">IF($A32="","",COUNTIFS(approvals!$A$2:$A$251,$A32,approvals!$Q$2:$Q$251,"Y"))</f>
        <v/>
      </c>
      <c r="BQ32" s="30" t="str">
        <f aca="false">IF($A32="","",COUNTIFS(approvals!$A$2:$A$251,$A32,approvals!$P$2:$P$251,"pending"))</f>
        <v/>
      </c>
      <c r="BR32" s="30" t="str">
        <f aca="false">IF($A32="","",SUMIFS(approvals!$S$2:$S$251,approvals!$A$2:$A$251,$A32,approvals!$P$2:$P$251,"Y"))</f>
        <v/>
      </c>
      <c r="BS32" s="30" t="str">
        <f aca="false">IF($A32="","",ROUNDUP($BR32*config!$B$18,0))</f>
        <v/>
      </c>
      <c r="BT32" s="30" t="str">
        <f aca="false">IF($A32="","",$BR32+$BS32)</f>
        <v/>
      </c>
      <c r="BU32" s="32" t="str">
        <f aca="false">IF($A32="","",SUMIFS(invoices!$I$2:$I$151,invoices!$B$2:$B$151,$A32,invoices!$R$2:$R$151,"Y",invoices!$H$2:$H$151,"&gt;0"))</f>
        <v/>
      </c>
      <c r="BV32" s="32" t="str">
        <f aca="false">IF($A32="","",IF($BJ32="","",IF($D32="founding",$BJ32,ROUND($BJ32*config!$B$28,2))))</f>
        <v/>
      </c>
      <c r="BW32" s="30" t="str">
        <f aca="false">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30" t="str">
        <f aca="false">IF($A32="","",SUMIFS(inventory!$G$2:$G$801,inventory!$C$2:$C$801,$A32,inventory!$E$2:$E$801,"received"))</f>
        <v/>
      </c>
      <c r="BY32" s="30" t="str">
        <f aca="false">IF($A32="","",SUMIFS(inventory!$G$2:$G$801,inventory!$C$2:$C$801,$A32,inventory!$E$2:$E$801,"rejected"))</f>
        <v/>
      </c>
      <c r="BZ32" s="30" t="str">
        <f aca="false">IF($A32="","",SUMIFS(inventory!$M$2:$M$801,inventory!$C$2:$C$801,$A32))</f>
        <v/>
      </c>
      <c r="CA32" s="30" t="str">
        <f aca="false">IF($A32="","",SUMIFS(inventory!$O$2:$O$801,inventory!$C$2:$C$801,$A32))</f>
        <v/>
      </c>
      <c r="CB32" s="30" t="str">
        <f aca="false">IF($A32="","",SUMIFS(approvals!$U$2:$U$251,approvals!$A$2:$A$251,$A32))</f>
        <v/>
      </c>
      <c r="CC32" s="30" t="str">
        <f aca="false">IF($A32="","",SUMIFS(approvals!$AA$2:$AA$251,approvals!$A$2:$A$251,$A32))</f>
        <v/>
      </c>
      <c r="CD32" s="30" t="str">
        <f aca="false">IF($A32="","",SUMIFS(approvals!$AA$2:$AA$251,approvals!$A$2:$A$251,$A32,approvals!$AB$2:$AB$251,"Y"))</f>
        <v/>
      </c>
      <c r="CE32" s="34" t="str">
        <f aca="false">IF($A32="","",IF(N($CB32)=0,"",$CD32/$CB32))</f>
        <v/>
      </c>
      <c r="CF32" s="30" t="str">
        <f aca="false">IF($A32="","",SUMIFS(approvals!$AD$2:$AD$251,approvals!$A$2:$A$251,$A32))</f>
        <v/>
      </c>
      <c r="CG32" s="30" t="str">
        <f aca="false">IF($A32="","",IF(COUNTIFS(approvals!$A$2:$A$251,$A32,approvals!$Q$2:$Q$251,"Y",approvals!$AG$2:$AG$251,"")&gt;0,"",SUMIFS(approvals!$AG$2:$AG$251,approvals!$A$2:$A$251,$A32,approvals!$Q$2:$Q$251,"Y")))</f>
        <v/>
      </c>
      <c r="CH32" s="30" t="str">
        <f aca="false">IF($A32="","",SUMIFS(approvals!$AL$2:$AL$251,approvals!$A$2:$A$251,$A32,approvals!$Q$2:$Q$251,"Y"))</f>
        <v/>
      </c>
      <c r="CI32" s="30" t="str">
        <f aca="false">IF($A32="","",IF(N($BP32)=0,"",SUMPRODUCT(MIN(approvals!$BB$2:$BB$251+(approvals!$A$2:$A$251&lt;&gt;$A32)*1000000))))</f>
        <v/>
      </c>
      <c r="CJ32" s="30" t="str">
        <f aca="false">IF($A32="","",COUNTIFS(approvals!$A$2:$A$251,$A32,approvals!$Q$2:$Q$251,"Y",approvals!$AL$2:$AL$251,"&lt;"&amp;config!$B$30))</f>
        <v/>
      </c>
      <c r="CK32" s="30" t="str">
        <f aca="false">IF($A32="","",SUMIFS(approvals!$AM$2:$AM$251,approvals!$A$2:$A$251,$A32,approvals!$Q$2:$Q$251,"Y"))</f>
        <v/>
      </c>
      <c r="CL32" s="30" t="str">
        <f aca="false">IF($A32="","",SUMIFS(approvals!$AQ$2:$AQ$251,approvals!$A$2:$A$251,$A32,approvals!$Q$2:$Q$251,"Y"))</f>
        <v/>
      </c>
      <c r="CM32" s="30" t="str">
        <f aca="false">IF($A32="","",SUMIFS(approvals!$AR$2:$AR$251,approvals!$A$2:$A$251,$A32,approvals!$Q$2:$Q$251,"Y"))</f>
        <v/>
      </c>
      <c r="CN32" s="30" t="str">
        <f aca="false">IF($A32="","",SUMIFS(approvals!$AS$2:$AS$251,approvals!$A$2:$A$251,$A32,approvals!$Q$2:$Q$251,"Y"))</f>
        <v/>
      </c>
      <c r="CO32" s="30" t="str">
        <f aca="false">IF($A32="","",SUMIFS(approvals!$AT$2:$AT$251,approvals!$A$2:$A$251,$A32,approvals!$Q$2:$Q$251,"Y"))</f>
        <v/>
      </c>
      <c r="CP32" s="33" t="str">
        <f aca="false">IF($A32="","",IF(N($CO32)=0,"",ROUND(SUMIFS(approvals!$AU$2:$AU$251,approvals!$A$2:$A$251,$A32,approvals!$Q$2:$Q$251,"Y")/$CO32,1)))</f>
        <v/>
      </c>
      <c r="CQ32" s="30" t="str">
        <f aca="false">IF($A32="","",SUMIFS(approvals!$AV$2:$AV$251,approvals!$A$2:$A$251,$A32,approvals!$Q$2:$Q$251,"Y"))</f>
        <v/>
      </c>
      <c r="CR32" s="30" t="str">
        <f aca="false">IF($A32="","",SUMIFS(approvals!$AW$2:$AW$251,approvals!$A$2:$A$251,$A32,approvals!$Q$2:$Q$251,"Y"))</f>
        <v/>
      </c>
      <c r="CS32" s="30" t="str">
        <f aca="false">IF($A32="","",SUMIFS(approvals!$AX$2:$AX$251,approvals!$A$2:$A$251,$A32,approvals!$Q$2:$Q$251,"Y"))</f>
        <v/>
      </c>
      <c r="CT32" s="30" t="str">
        <f aca="false">IF($A32="","",SUMIFS(approvals!$AY$2:$AY$251,approvals!$A$2:$A$251,$A32,approvals!$Q$2:$Q$251,"Y"))</f>
        <v/>
      </c>
      <c r="CU32" s="30" t="str">
        <f aca="true">IF($A32="","",IF(OR($BG32="",$BC32&lt;&gt;""),"",IFERROR(COUNT(INDIRECT("'"&amp;$A32&amp;"'!$A$2:$A$501")),0)-IFERROR(COUNTIFS(INDIRECT("'"&amp;$A32&amp;"'!$A$2:$A$501"),"&gt;="&amp;$BG32,INDIRECT("'"&amp;$A32&amp;"'!$A$2:$A$501"),"&lt;"&amp;(IFERROR(IF(INDEX(drops!$R$2:$R$21,MATCH($B32,drops!$A$2:$A$21,0))="","",INDEX(drops!$R$2:$R$21,MATCH($B32,drops!$A$2:$A$21,0))),"")+1)),0)))</f>
        <v/>
      </c>
      <c r="CV32" s="30" t="str">
        <f aca="true">IF($A32="","",IF(OR($BG32="",$BC32&lt;&gt;""),"",IFERROR(COUNTIFS(INDIRECT("'"&amp;$A32&amp;"'!$A$2:$A$501"),"&gt;="&amp;$BG32,INDIRECT("'"&amp;$A32&amp;"'!$A$2:$A$501"),"&lt;"&amp;(IFERROR(IF(INDEX(drops!$R$2:$R$21,MATCH($B32,drops!$A$2:$A$21,0))="","",INDEX(drops!$R$2:$R$21,MATCH($B32,drops!$A$2:$A$21,0))),"")+1)),0)-N($CH32)-N($CW32)))</f>
        <v/>
      </c>
      <c r="CW32" s="30" t="str">
        <f aca="false">IF($A32="","",IF($BG32="","",SUMIFS(approvals!$AL$2:$AL$251,approvals!$A$2:$A$251,$A32,approvals!$Q$2:$Q$251,"&lt;&gt;Y")))</f>
        <v/>
      </c>
      <c r="CX32" s="30" t="str">
        <f aca="false">IF($A32="","",SUMIFS(approvals!$AN$2:$AN$251,approvals!$A$2:$A$251,$A32,approvals!$Q$2:$Q$251,"Y"))</f>
        <v/>
      </c>
      <c r="CY32" s="30" t="str">
        <f aca="false">IF($A32="","",SUMIFS(approvals!$AO$2:$AO$251,approvals!$A$2:$A$251,$A32,approvals!$Q$2:$Q$251,"Y"))</f>
        <v/>
      </c>
      <c r="CZ32" s="30" t="str">
        <f aca="false">IF($A32="","",IF($DA32="","",SUMIFS(redemptions!$C$2:$C$121,redemptions!$A$2:$A$121,$A32,redemptions!$B$2:$B$121,$DA32)))</f>
        <v/>
      </c>
      <c r="DA32" s="31" t="str">
        <f aca="false">IF($A32="","",IFERROR(1/(1/SUMPRODUCT(MAX((redemptions!$A$2:$A$121=$A32)*redemptions!$B$2:$B$121))),""))</f>
        <v/>
      </c>
      <c r="DB32" s="30" t="str">
        <f aca="false">IF($A32="","",IF(COUNTIFS(redemptions!$A$2:$A$121,$A32,redemptions!$H$2:$H$121,"Y")=0,"",SUMIFS(redemptions!$C$2:$C$121,redemptions!$A$2:$A$121,$A32,redemptions!$B$2:$B$121,SUMPRODUCT(MIN((redemptions!$A$2:$A$121=$A32)*(redemptions!$H$2:$H$121="Y")*redemptions!$B$2:$B$121+((redemptions!$A$2:$A$121&lt;&gt;$A32)+(redemptions!$H$2:$H$121&lt;&gt;"Y")&gt;0)*1000000)))))</f>
        <v/>
      </c>
      <c r="DC32" s="32" t="str">
        <f aca="false">IF($A32="","",SUMIFS(invoices!$E$2:$E$151,invoices!$B$2:$B$151,$A32))</f>
        <v/>
      </c>
      <c r="DD32" s="32" t="str">
        <f aca="false">IF($A32="","",IF(COUNTIFS(invoices!$B$2:$B$151,$A32,invoices!$C$2:$C$151,"standard_deposit",invoices!$H$2:$H$151,"&gt;0")=0,"",SUMIFS(invoices!$I$2:$I$151,invoices!$B$2:$B$151,$A32,invoices!$C$2:$C$151,"standard_deposit")))</f>
        <v/>
      </c>
      <c r="DE32" s="31" t="str">
        <f aca="false">IF($A32="","",IFERROR(1/(1/SUMPRODUCT(MAX((invoices!$B$2:$B$151=$A32)*(invoices!$C$2:$C$151="standard_deposit")*invoices!$H$2:$H$151))),""))</f>
        <v/>
      </c>
      <c r="DF32" s="31" t="str">
        <f aca="false">IF($A32="","",IFERROR(1/(1/SUMPRODUCT(MAX((invoices!$B$2:$B$151=$A32)*((invoices!$C$2:$C$151="founding_full")+(invoices!$C$2:$C$151="standard_balance"))*invoices!$H$2:$H$151))),""))</f>
        <v/>
      </c>
      <c r="DG32" s="32" t="str">
        <f aca="false">IF($A32="","",SUMIFS(invoices!$L$2:$L$151,invoices!$B$2:$B$151,$A32))</f>
        <v/>
      </c>
      <c r="DH32" s="32" t="str">
        <f aca="false">IF($A32="","",SUMIFS(costs!$E$2:$E$301,costs!$C$2:$C$301,$A32))</f>
        <v/>
      </c>
      <c r="DI32" s="32" t="str">
        <f aca="false">IF($A32="","",ROUND(IF(SUMIFS(campaigns!$BO$2:$BO$51,campaigns!$B$2:$B$51,$B32)=0,0,$BO32/SUMIFS(campaigns!$BO$2:$BO$51,campaigns!$B$2:$B$51,$B32))*(SUMIFS(costs!$E$2:$E$301,costs!$B$2:$B$301,$B32)-SUMPRODUCT((costs!$B$2:$B$301=$B32)*(LEN(costs!$C$2:$C$301)&gt;0)*costs!$E$2:$E$301)),2))</f>
        <v/>
      </c>
      <c r="DJ32" s="33" t="str">
        <f aca="false">IF($A32="","",SUMIFS(hours!$E$2:$E$1501,hours!$C$2:$C$1501,$A32))</f>
        <v/>
      </c>
      <c r="DK32" s="33" t="str">
        <f aca="false">IF($A32="","",ROUND(IF(SUMIFS(campaigns!$BO$2:$BO$51,campaigns!$B$2:$B$51,$B32)=0,0,$BO32/SUMIFS(campaigns!$BO$2:$BO$51,campaigns!$B$2:$B$51,$B32))*(SUMIFS(hours!$E$2:$E$1501,hours!$B$2:$B$1501,$B32)-SUMPRODUCT((hours!$B$2:$B$1501=$B32)*(LEN(hours!$C$2:$C$1501)&gt;0)*hours!$E$2:$E$1501)),2))</f>
        <v/>
      </c>
      <c r="DL32" s="32" t="str">
        <f aca="false">IF($A32="","",$DC32-$DG32-$DH32-$DI32)</f>
        <v/>
      </c>
      <c r="DM32" s="32" t="str">
        <f aca="false">IF($A32="","",IF(N($DJ32)+N($DK32)=0,"",ROUND($DL32/($DJ32+$DK32),2)))</f>
        <v/>
      </c>
      <c r="DN32" s="34" t="str">
        <f aca="false">IF($A32="","",IF(N($BP32)=0,"",COUNTIFS(approvals!$A$2:$A$251,$A32,approvals!$Q$2:$Q$251,"Y",approvals!$AK$2:$AK$251,"Y")/$BP32))</f>
        <v/>
      </c>
      <c r="DO32" s="33" t="str">
        <f aca="false">IF($A32="","",IF(COUNTIFS(approvals!$A$2:$A$251,$A32,approvals!$AC$2:$AC$251,"&gt;=0")=0,"",ROUND(SUMIFS(approvals!$AC$2:$AC$251,approvals!$A$2:$A$251,$A32)/COUNTIFS(approvals!$A$2:$A$251,$A32,approvals!$AC$2:$AC$251,"&gt;=0"),1)))</f>
        <v/>
      </c>
      <c r="DP32" s="31" t="str">
        <f aca="false">IF($A32="","",IFERROR(IF(INDEX(drops!$T$2:$T$21,MATCH($B32,drops!$A$2:$A$21,0))="","",INDEX(drops!$T$2:$T$21,MATCH($B32,drops!$A$2:$A$21,0))),""))</f>
        <v/>
      </c>
      <c r="DQ32" s="31" t="str">
        <f aca="false">IF($A32="","",IFERROR(IF(INDEX(drops!$U$2:$U$21,MATCH($B32,drops!$A$2:$A$21,0))="","",INDEX(drops!$U$2:$U$21,MATCH($B32,drops!$A$2:$A$21,0))),""))</f>
        <v/>
      </c>
      <c r="DR32" s="31" t="str">
        <f aca="false">IF($A32="","",IFERROR(IF(INDEX(drops!$W$2:$W$21,MATCH($B32,drops!$A$2:$A$21,0))="","",INDEX(drops!$W$2:$W$21,MATCH($B32,drops!$A$2:$A$21,0))),""))</f>
        <v/>
      </c>
      <c r="DS32" s="30" t="str">
        <f aca="false">IF($A32="","",IF($CE32="","",IF($CE32&gt;=config!$B$31,"pass","miss")))</f>
        <v/>
      </c>
      <c r="DT32" s="30" t="str">
        <f aca="false">IF($A32="","",IF($CI32="","",IF($CI32&gt;=config!$B$30,"pass","miss")))</f>
        <v/>
      </c>
      <c r="DU32" s="30" t="str">
        <f aca="true">IF($A32="","",IF($AT32="",IF($DP32="","",IF(IF(config!$B$37&lt;&gt;"",config!$B$37,TODAY())&gt;$DP32,"late","due")),IF($AT32&lt;=$DP32,"pass","late")))</f>
        <v/>
      </c>
      <c r="DV32" s="30" t="str">
        <f aca="false">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ustomFormat="false" ht="15" hidden="false" customHeight="false" outlineLevel="0" collapsed="false">
      <c r="D33" s="10"/>
      <c r="G33" s="12"/>
      <c r="H33" s="11"/>
      <c r="M33" s="10"/>
      <c r="Y33" s="10"/>
      <c r="Z33" s="10"/>
      <c r="AB33" s="11"/>
      <c r="AC33" s="11"/>
      <c r="AD33" s="11"/>
      <c r="AF33" s="11"/>
      <c r="AG33" s="11"/>
      <c r="AT33" s="11"/>
      <c r="AU33" s="11"/>
      <c r="AV33" s="10"/>
      <c r="AW33" s="10"/>
      <c r="AY33" s="11"/>
      <c r="BA33" s="11"/>
      <c r="BB33" s="11"/>
      <c r="BC33" s="11"/>
      <c r="BE33" s="30" t="str">
        <f aca="false">IF($A33="","",IFERROR(IF(INDEX(brands!$K$2:$K$41,MATCH($C33,brands!$A$2:$A$41,0))="","",INDEX(brands!$K$2:$K$41,MATCH($C33,brands!$A$2:$A$41,0))),""))</f>
        <v/>
      </c>
      <c r="BF33" s="30" t="str">
        <f aca="false">IF($A33="","",IFERROR(IF(INDEX(brands!$M$2:$M$41,MATCH($C33,brands!$A$2:$A$41,0))="","",INDEX(brands!$M$2:$M$41,MATCH($C33,brands!$A$2:$A$41,0))),""))</f>
        <v/>
      </c>
      <c r="BG33" s="31" t="str">
        <f aca="false">IF($A33="","",IF(IFERROR(IF(INDEX(drops!$I$2:$I$21,MATCH($B33,drops!$A$2:$A$21,0))="","",INDEX(drops!$I$2:$I$21,MATCH($B33,drops!$A$2:$A$21,0))),"")="OK",IFERROR(IF(INDEX(drops!$B$2:$B$21,MATCH($B33,drops!$A$2:$A$21,0))="","",INDEX(drops!$B$2:$B$21,MATCH($B33,drops!$A$2:$A$21,0))),""),""))</f>
        <v/>
      </c>
      <c r="BH33" s="30" t="str">
        <f aca="false">IF($A33="","",IFERROR(IF(INDEX(drops!$C$2:$C$21,MATCH($B33,drops!$A$2:$A$21,0))="","",INDEX(drops!$C$2:$C$21,MATCH($B33,drops!$A$2:$A$21,0))),""))</f>
        <v/>
      </c>
      <c r="BI33" s="32" t="str">
        <f aca="false">IF($A33="","",IF($F33="","",IF($D33="founding",IF($E33="Y",config!$B$25*MIN($F33,config!$B$26)+config!$B$24*MAX(0,$F33-config!$B$26),config!$B$20+config!$B$24*MAX(0,$F33-config!$B$21)),IF($D33="standard",config!$B$22+config!$B$24*MAX(0,$F33-config!$B$23),""))))</f>
        <v/>
      </c>
      <c r="BJ33" s="32" t="str">
        <f aca="false">IF($A33="","",IF($G33&lt;&gt;"",$G33,$BI33))</f>
        <v/>
      </c>
      <c r="BK33" s="30" t="str">
        <f aca="false">IF($A33="","",IF($D33="founding","100% within "&amp;config!$B$27&amp;" business days of the invoice, before shipping",IF($D33="standard","50% on signing; 50% at placement confirmation (T+1)","")))</f>
        <v/>
      </c>
      <c r="BL33" s="31" t="str">
        <f aca="false">IF($A33="","",IFERROR(IF(INDEX(drops!$K$2:$K$21,MATCH($B33,drops!$A$2:$A$21,0))="","",INDEX(drops!$K$2:$K$21,MATCH($B33,drops!$A$2:$A$21,0))),""))</f>
        <v/>
      </c>
      <c r="BM33" s="31" t="str">
        <f aca="false">IF($A33="","",IFERROR(IF(INDEX(drops!$L$2:$L$21,MATCH($B33,drops!$A$2:$A$21,0))="","",INDEX(drops!$L$2:$L$21,MATCH($B33,drops!$A$2:$A$21,0))),""))</f>
        <v/>
      </c>
      <c r="BN33" s="30" t="str">
        <f aca="false">IF($A33="","",COUNTIF(approvals!$A$2:$A$251,$A33))</f>
        <v/>
      </c>
      <c r="BO33" s="30" t="str">
        <f aca="false">IF($A33="","",COUNTIFS(approvals!$A$2:$A$251,$A33,approvals!$P$2:$P$251,"Y"))</f>
        <v/>
      </c>
      <c r="BP33" s="30" t="str">
        <f aca="false">IF($A33="","",COUNTIFS(approvals!$A$2:$A$251,$A33,approvals!$Q$2:$Q$251,"Y"))</f>
        <v/>
      </c>
      <c r="BQ33" s="30" t="str">
        <f aca="false">IF($A33="","",COUNTIFS(approvals!$A$2:$A$251,$A33,approvals!$P$2:$P$251,"pending"))</f>
        <v/>
      </c>
      <c r="BR33" s="30" t="str">
        <f aca="false">IF($A33="","",SUMIFS(approvals!$S$2:$S$251,approvals!$A$2:$A$251,$A33,approvals!$P$2:$P$251,"Y"))</f>
        <v/>
      </c>
      <c r="BS33" s="30" t="str">
        <f aca="false">IF($A33="","",ROUNDUP($BR33*config!$B$18,0))</f>
        <v/>
      </c>
      <c r="BT33" s="30" t="str">
        <f aca="false">IF($A33="","",$BR33+$BS33)</f>
        <v/>
      </c>
      <c r="BU33" s="32" t="str">
        <f aca="false">IF($A33="","",SUMIFS(invoices!$I$2:$I$151,invoices!$B$2:$B$151,$A33,invoices!$R$2:$R$151,"Y",invoices!$H$2:$H$151,"&gt;0"))</f>
        <v/>
      </c>
      <c r="BV33" s="32" t="str">
        <f aca="false">IF($A33="","",IF($BJ33="","",IF($D33="founding",$BJ33,ROUND($BJ33*config!$B$28,2))))</f>
        <v/>
      </c>
      <c r="BW33" s="30" t="str">
        <f aca="false">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30" t="str">
        <f aca="false">IF($A33="","",SUMIFS(inventory!$G$2:$G$801,inventory!$C$2:$C$801,$A33,inventory!$E$2:$E$801,"received"))</f>
        <v/>
      </c>
      <c r="BY33" s="30" t="str">
        <f aca="false">IF($A33="","",SUMIFS(inventory!$G$2:$G$801,inventory!$C$2:$C$801,$A33,inventory!$E$2:$E$801,"rejected"))</f>
        <v/>
      </c>
      <c r="BZ33" s="30" t="str">
        <f aca="false">IF($A33="","",SUMIFS(inventory!$M$2:$M$801,inventory!$C$2:$C$801,$A33))</f>
        <v/>
      </c>
      <c r="CA33" s="30" t="str">
        <f aca="false">IF($A33="","",SUMIFS(inventory!$O$2:$O$801,inventory!$C$2:$C$801,$A33))</f>
        <v/>
      </c>
      <c r="CB33" s="30" t="str">
        <f aca="false">IF($A33="","",SUMIFS(approvals!$U$2:$U$251,approvals!$A$2:$A$251,$A33))</f>
        <v/>
      </c>
      <c r="CC33" s="30" t="str">
        <f aca="false">IF($A33="","",SUMIFS(approvals!$AA$2:$AA$251,approvals!$A$2:$A$251,$A33))</f>
        <v/>
      </c>
      <c r="CD33" s="30" t="str">
        <f aca="false">IF($A33="","",SUMIFS(approvals!$AA$2:$AA$251,approvals!$A$2:$A$251,$A33,approvals!$AB$2:$AB$251,"Y"))</f>
        <v/>
      </c>
      <c r="CE33" s="34" t="str">
        <f aca="false">IF($A33="","",IF(N($CB33)=0,"",$CD33/$CB33))</f>
        <v/>
      </c>
      <c r="CF33" s="30" t="str">
        <f aca="false">IF($A33="","",SUMIFS(approvals!$AD$2:$AD$251,approvals!$A$2:$A$251,$A33))</f>
        <v/>
      </c>
      <c r="CG33" s="30" t="str">
        <f aca="false">IF($A33="","",IF(COUNTIFS(approvals!$A$2:$A$251,$A33,approvals!$Q$2:$Q$251,"Y",approvals!$AG$2:$AG$251,"")&gt;0,"",SUMIFS(approvals!$AG$2:$AG$251,approvals!$A$2:$A$251,$A33,approvals!$Q$2:$Q$251,"Y")))</f>
        <v/>
      </c>
      <c r="CH33" s="30" t="str">
        <f aca="false">IF($A33="","",SUMIFS(approvals!$AL$2:$AL$251,approvals!$A$2:$A$251,$A33,approvals!$Q$2:$Q$251,"Y"))</f>
        <v/>
      </c>
      <c r="CI33" s="30" t="str">
        <f aca="false">IF($A33="","",IF(N($BP33)=0,"",SUMPRODUCT(MIN(approvals!$BB$2:$BB$251+(approvals!$A$2:$A$251&lt;&gt;$A33)*1000000))))</f>
        <v/>
      </c>
      <c r="CJ33" s="30" t="str">
        <f aca="false">IF($A33="","",COUNTIFS(approvals!$A$2:$A$251,$A33,approvals!$Q$2:$Q$251,"Y",approvals!$AL$2:$AL$251,"&lt;"&amp;config!$B$30))</f>
        <v/>
      </c>
      <c r="CK33" s="30" t="str">
        <f aca="false">IF($A33="","",SUMIFS(approvals!$AM$2:$AM$251,approvals!$A$2:$A$251,$A33,approvals!$Q$2:$Q$251,"Y"))</f>
        <v/>
      </c>
      <c r="CL33" s="30" t="str">
        <f aca="false">IF($A33="","",SUMIFS(approvals!$AQ$2:$AQ$251,approvals!$A$2:$A$251,$A33,approvals!$Q$2:$Q$251,"Y"))</f>
        <v/>
      </c>
      <c r="CM33" s="30" t="str">
        <f aca="false">IF($A33="","",SUMIFS(approvals!$AR$2:$AR$251,approvals!$A$2:$A$251,$A33,approvals!$Q$2:$Q$251,"Y"))</f>
        <v/>
      </c>
      <c r="CN33" s="30" t="str">
        <f aca="false">IF($A33="","",SUMIFS(approvals!$AS$2:$AS$251,approvals!$A$2:$A$251,$A33,approvals!$Q$2:$Q$251,"Y"))</f>
        <v/>
      </c>
      <c r="CO33" s="30" t="str">
        <f aca="false">IF($A33="","",SUMIFS(approvals!$AT$2:$AT$251,approvals!$A$2:$A$251,$A33,approvals!$Q$2:$Q$251,"Y"))</f>
        <v/>
      </c>
      <c r="CP33" s="33" t="str">
        <f aca="false">IF($A33="","",IF(N($CO33)=0,"",ROUND(SUMIFS(approvals!$AU$2:$AU$251,approvals!$A$2:$A$251,$A33,approvals!$Q$2:$Q$251,"Y")/$CO33,1)))</f>
        <v/>
      </c>
      <c r="CQ33" s="30" t="str">
        <f aca="false">IF($A33="","",SUMIFS(approvals!$AV$2:$AV$251,approvals!$A$2:$A$251,$A33,approvals!$Q$2:$Q$251,"Y"))</f>
        <v/>
      </c>
      <c r="CR33" s="30" t="str">
        <f aca="false">IF($A33="","",SUMIFS(approvals!$AW$2:$AW$251,approvals!$A$2:$A$251,$A33,approvals!$Q$2:$Q$251,"Y"))</f>
        <v/>
      </c>
      <c r="CS33" s="30" t="str">
        <f aca="false">IF($A33="","",SUMIFS(approvals!$AX$2:$AX$251,approvals!$A$2:$A$251,$A33,approvals!$Q$2:$Q$251,"Y"))</f>
        <v/>
      </c>
      <c r="CT33" s="30" t="str">
        <f aca="false">IF($A33="","",SUMIFS(approvals!$AY$2:$AY$251,approvals!$A$2:$A$251,$A33,approvals!$Q$2:$Q$251,"Y"))</f>
        <v/>
      </c>
      <c r="CU33" s="30" t="str">
        <f aca="true">IF($A33="","",IF(OR($BG33="",$BC33&lt;&gt;""),"",IFERROR(COUNT(INDIRECT("'"&amp;$A33&amp;"'!$A$2:$A$501")),0)-IFERROR(COUNTIFS(INDIRECT("'"&amp;$A33&amp;"'!$A$2:$A$501"),"&gt;="&amp;$BG33,INDIRECT("'"&amp;$A33&amp;"'!$A$2:$A$501"),"&lt;"&amp;(IFERROR(IF(INDEX(drops!$R$2:$R$21,MATCH($B33,drops!$A$2:$A$21,0))="","",INDEX(drops!$R$2:$R$21,MATCH($B33,drops!$A$2:$A$21,0))),"")+1)),0)))</f>
        <v/>
      </c>
      <c r="CV33" s="30" t="str">
        <f aca="true">IF($A33="","",IF(OR($BG33="",$BC33&lt;&gt;""),"",IFERROR(COUNTIFS(INDIRECT("'"&amp;$A33&amp;"'!$A$2:$A$501"),"&gt;="&amp;$BG33,INDIRECT("'"&amp;$A33&amp;"'!$A$2:$A$501"),"&lt;"&amp;(IFERROR(IF(INDEX(drops!$R$2:$R$21,MATCH($B33,drops!$A$2:$A$21,0))="","",INDEX(drops!$R$2:$R$21,MATCH($B33,drops!$A$2:$A$21,0))),"")+1)),0)-N($CH33)-N($CW33)))</f>
        <v/>
      </c>
      <c r="CW33" s="30" t="str">
        <f aca="false">IF($A33="","",IF($BG33="","",SUMIFS(approvals!$AL$2:$AL$251,approvals!$A$2:$A$251,$A33,approvals!$Q$2:$Q$251,"&lt;&gt;Y")))</f>
        <v/>
      </c>
      <c r="CX33" s="30" t="str">
        <f aca="false">IF($A33="","",SUMIFS(approvals!$AN$2:$AN$251,approvals!$A$2:$A$251,$A33,approvals!$Q$2:$Q$251,"Y"))</f>
        <v/>
      </c>
      <c r="CY33" s="30" t="str">
        <f aca="false">IF($A33="","",SUMIFS(approvals!$AO$2:$AO$251,approvals!$A$2:$A$251,$A33,approvals!$Q$2:$Q$251,"Y"))</f>
        <v/>
      </c>
      <c r="CZ33" s="30" t="str">
        <f aca="false">IF($A33="","",IF($DA33="","",SUMIFS(redemptions!$C$2:$C$121,redemptions!$A$2:$A$121,$A33,redemptions!$B$2:$B$121,$DA33)))</f>
        <v/>
      </c>
      <c r="DA33" s="31" t="str">
        <f aca="false">IF($A33="","",IFERROR(1/(1/SUMPRODUCT(MAX((redemptions!$A$2:$A$121=$A33)*redemptions!$B$2:$B$121))),""))</f>
        <v/>
      </c>
      <c r="DB33" s="30" t="str">
        <f aca="false">IF($A33="","",IF(COUNTIFS(redemptions!$A$2:$A$121,$A33,redemptions!$H$2:$H$121,"Y")=0,"",SUMIFS(redemptions!$C$2:$C$121,redemptions!$A$2:$A$121,$A33,redemptions!$B$2:$B$121,SUMPRODUCT(MIN((redemptions!$A$2:$A$121=$A33)*(redemptions!$H$2:$H$121="Y")*redemptions!$B$2:$B$121+((redemptions!$A$2:$A$121&lt;&gt;$A33)+(redemptions!$H$2:$H$121&lt;&gt;"Y")&gt;0)*1000000)))))</f>
        <v/>
      </c>
      <c r="DC33" s="32" t="str">
        <f aca="false">IF($A33="","",SUMIFS(invoices!$E$2:$E$151,invoices!$B$2:$B$151,$A33))</f>
        <v/>
      </c>
      <c r="DD33" s="32" t="str">
        <f aca="false">IF($A33="","",IF(COUNTIFS(invoices!$B$2:$B$151,$A33,invoices!$C$2:$C$151,"standard_deposit",invoices!$H$2:$H$151,"&gt;0")=0,"",SUMIFS(invoices!$I$2:$I$151,invoices!$B$2:$B$151,$A33,invoices!$C$2:$C$151,"standard_deposit")))</f>
        <v/>
      </c>
      <c r="DE33" s="31" t="str">
        <f aca="false">IF($A33="","",IFERROR(1/(1/SUMPRODUCT(MAX((invoices!$B$2:$B$151=$A33)*(invoices!$C$2:$C$151="standard_deposit")*invoices!$H$2:$H$151))),""))</f>
        <v/>
      </c>
      <c r="DF33" s="31" t="str">
        <f aca="false">IF($A33="","",IFERROR(1/(1/SUMPRODUCT(MAX((invoices!$B$2:$B$151=$A33)*((invoices!$C$2:$C$151="founding_full")+(invoices!$C$2:$C$151="standard_balance"))*invoices!$H$2:$H$151))),""))</f>
        <v/>
      </c>
      <c r="DG33" s="32" t="str">
        <f aca="false">IF($A33="","",SUMIFS(invoices!$L$2:$L$151,invoices!$B$2:$B$151,$A33))</f>
        <v/>
      </c>
      <c r="DH33" s="32" t="str">
        <f aca="false">IF($A33="","",SUMIFS(costs!$E$2:$E$301,costs!$C$2:$C$301,$A33))</f>
        <v/>
      </c>
      <c r="DI33" s="32" t="str">
        <f aca="false">IF($A33="","",ROUND(IF(SUMIFS(campaigns!$BO$2:$BO$51,campaigns!$B$2:$B$51,$B33)=0,0,$BO33/SUMIFS(campaigns!$BO$2:$BO$51,campaigns!$B$2:$B$51,$B33))*(SUMIFS(costs!$E$2:$E$301,costs!$B$2:$B$301,$B33)-SUMPRODUCT((costs!$B$2:$B$301=$B33)*(LEN(costs!$C$2:$C$301)&gt;0)*costs!$E$2:$E$301)),2))</f>
        <v/>
      </c>
      <c r="DJ33" s="33" t="str">
        <f aca="false">IF($A33="","",SUMIFS(hours!$E$2:$E$1501,hours!$C$2:$C$1501,$A33))</f>
        <v/>
      </c>
      <c r="DK33" s="33" t="str">
        <f aca="false">IF($A33="","",ROUND(IF(SUMIFS(campaigns!$BO$2:$BO$51,campaigns!$B$2:$B$51,$B33)=0,0,$BO33/SUMIFS(campaigns!$BO$2:$BO$51,campaigns!$B$2:$B$51,$B33))*(SUMIFS(hours!$E$2:$E$1501,hours!$B$2:$B$1501,$B33)-SUMPRODUCT((hours!$B$2:$B$1501=$B33)*(LEN(hours!$C$2:$C$1501)&gt;0)*hours!$E$2:$E$1501)),2))</f>
        <v/>
      </c>
      <c r="DL33" s="32" t="str">
        <f aca="false">IF($A33="","",$DC33-$DG33-$DH33-$DI33)</f>
        <v/>
      </c>
      <c r="DM33" s="32" t="str">
        <f aca="false">IF($A33="","",IF(N($DJ33)+N($DK33)=0,"",ROUND($DL33/($DJ33+$DK33),2)))</f>
        <v/>
      </c>
      <c r="DN33" s="34" t="str">
        <f aca="false">IF($A33="","",IF(N($BP33)=0,"",COUNTIFS(approvals!$A$2:$A$251,$A33,approvals!$Q$2:$Q$251,"Y",approvals!$AK$2:$AK$251,"Y")/$BP33))</f>
        <v/>
      </c>
      <c r="DO33" s="33" t="str">
        <f aca="false">IF($A33="","",IF(COUNTIFS(approvals!$A$2:$A$251,$A33,approvals!$AC$2:$AC$251,"&gt;=0")=0,"",ROUND(SUMIFS(approvals!$AC$2:$AC$251,approvals!$A$2:$A$251,$A33)/COUNTIFS(approvals!$A$2:$A$251,$A33,approvals!$AC$2:$AC$251,"&gt;=0"),1)))</f>
        <v/>
      </c>
      <c r="DP33" s="31" t="str">
        <f aca="false">IF($A33="","",IFERROR(IF(INDEX(drops!$T$2:$T$21,MATCH($B33,drops!$A$2:$A$21,0))="","",INDEX(drops!$T$2:$T$21,MATCH($B33,drops!$A$2:$A$21,0))),""))</f>
        <v/>
      </c>
      <c r="DQ33" s="31" t="str">
        <f aca="false">IF($A33="","",IFERROR(IF(INDEX(drops!$U$2:$U$21,MATCH($B33,drops!$A$2:$A$21,0))="","",INDEX(drops!$U$2:$U$21,MATCH($B33,drops!$A$2:$A$21,0))),""))</f>
        <v/>
      </c>
      <c r="DR33" s="31" t="str">
        <f aca="false">IF($A33="","",IFERROR(IF(INDEX(drops!$W$2:$W$21,MATCH($B33,drops!$A$2:$A$21,0))="","",INDEX(drops!$W$2:$W$21,MATCH($B33,drops!$A$2:$A$21,0))),""))</f>
        <v/>
      </c>
      <c r="DS33" s="30" t="str">
        <f aca="false">IF($A33="","",IF($CE33="","",IF($CE33&gt;=config!$B$31,"pass","miss")))</f>
        <v/>
      </c>
      <c r="DT33" s="30" t="str">
        <f aca="false">IF($A33="","",IF($CI33="","",IF($CI33&gt;=config!$B$30,"pass","miss")))</f>
        <v/>
      </c>
      <c r="DU33" s="30" t="str">
        <f aca="true">IF($A33="","",IF($AT33="",IF($DP33="","",IF(IF(config!$B$37&lt;&gt;"",config!$B$37,TODAY())&gt;$DP33,"late","due")),IF($AT33&lt;=$DP33,"pass","late")))</f>
        <v/>
      </c>
      <c r="DV33" s="30" t="str">
        <f aca="false">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ustomFormat="false" ht="15" hidden="false" customHeight="false" outlineLevel="0" collapsed="false">
      <c r="D34" s="10"/>
      <c r="G34" s="12"/>
      <c r="H34" s="11"/>
      <c r="M34" s="10"/>
      <c r="Y34" s="10"/>
      <c r="Z34" s="10"/>
      <c r="AB34" s="11"/>
      <c r="AC34" s="11"/>
      <c r="AD34" s="11"/>
      <c r="AF34" s="11"/>
      <c r="AG34" s="11"/>
      <c r="AT34" s="11"/>
      <c r="AU34" s="11"/>
      <c r="AV34" s="10"/>
      <c r="AW34" s="10"/>
      <c r="AY34" s="11"/>
      <c r="BA34" s="11"/>
      <c r="BB34" s="11"/>
      <c r="BC34" s="11"/>
      <c r="BE34" s="30" t="str">
        <f aca="false">IF($A34="","",IFERROR(IF(INDEX(brands!$K$2:$K$41,MATCH($C34,brands!$A$2:$A$41,0))="","",INDEX(brands!$K$2:$K$41,MATCH($C34,brands!$A$2:$A$41,0))),""))</f>
        <v/>
      </c>
      <c r="BF34" s="30" t="str">
        <f aca="false">IF($A34="","",IFERROR(IF(INDEX(brands!$M$2:$M$41,MATCH($C34,brands!$A$2:$A$41,0))="","",INDEX(brands!$M$2:$M$41,MATCH($C34,brands!$A$2:$A$41,0))),""))</f>
        <v/>
      </c>
      <c r="BG34" s="31" t="str">
        <f aca="false">IF($A34="","",IF(IFERROR(IF(INDEX(drops!$I$2:$I$21,MATCH($B34,drops!$A$2:$A$21,0))="","",INDEX(drops!$I$2:$I$21,MATCH($B34,drops!$A$2:$A$21,0))),"")="OK",IFERROR(IF(INDEX(drops!$B$2:$B$21,MATCH($B34,drops!$A$2:$A$21,0))="","",INDEX(drops!$B$2:$B$21,MATCH($B34,drops!$A$2:$A$21,0))),""),""))</f>
        <v/>
      </c>
      <c r="BH34" s="30" t="str">
        <f aca="false">IF($A34="","",IFERROR(IF(INDEX(drops!$C$2:$C$21,MATCH($B34,drops!$A$2:$A$21,0))="","",INDEX(drops!$C$2:$C$21,MATCH($B34,drops!$A$2:$A$21,0))),""))</f>
        <v/>
      </c>
      <c r="BI34" s="32" t="str">
        <f aca="false">IF($A34="","",IF($F34="","",IF($D34="founding",IF($E34="Y",config!$B$25*MIN($F34,config!$B$26)+config!$B$24*MAX(0,$F34-config!$B$26),config!$B$20+config!$B$24*MAX(0,$F34-config!$B$21)),IF($D34="standard",config!$B$22+config!$B$24*MAX(0,$F34-config!$B$23),""))))</f>
        <v/>
      </c>
      <c r="BJ34" s="32" t="str">
        <f aca="false">IF($A34="","",IF($G34&lt;&gt;"",$G34,$BI34))</f>
        <v/>
      </c>
      <c r="BK34" s="30" t="str">
        <f aca="false">IF($A34="","",IF($D34="founding","100% within "&amp;config!$B$27&amp;" business days of the invoice, before shipping",IF($D34="standard","50% on signing; 50% at placement confirmation (T+1)","")))</f>
        <v/>
      </c>
      <c r="BL34" s="31" t="str">
        <f aca="false">IF($A34="","",IFERROR(IF(INDEX(drops!$K$2:$K$21,MATCH($B34,drops!$A$2:$A$21,0))="","",INDEX(drops!$K$2:$K$21,MATCH($B34,drops!$A$2:$A$21,0))),""))</f>
        <v/>
      </c>
      <c r="BM34" s="31" t="str">
        <f aca="false">IF($A34="","",IFERROR(IF(INDEX(drops!$L$2:$L$21,MATCH($B34,drops!$A$2:$A$21,0))="","",INDEX(drops!$L$2:$L$21,MATCH($B34,drops!$A$2:$A$21,0))),""))</f>
        <v/>
      </c>
      <c r="BN34" s="30" t="str">
        <f aca="false">IF($A34="","",COUNTIF(approvals!$A$2:$A$251,$A34))</f>
        <v/>
      </c>
      <c r="BO34" s="30" t="str">
        <f aca="false">IF($A34="","",COUNTIFS(approvals!$A$2:$A$251,$A34,approvals!$P$2:$P$251,"Y"))</f>
        <v/>
      </c>
      <c r="BP34" s="30" t="str">
        <f aca="false">IF($A34="","",COUNTIFS(approvals!$A$2:$A$251,$A34,approvals!$Q$2:$Q$251,"Y"))</f>
        <v/>
      </c>
      <c r="BQ34" s="30" t="str">
        <f aca="false">IF($A34="","",COUNTIFS(approvals!$A$2:$A$251,$A34,approvals!$P$2:$P$251,"pending"))</f>
        <v/>
      </c>
      <c r="BR34" s="30" t="str">
        <f aca="false">IF($A34="","",SUMIFS(approvals!$S$2:$S$251,approvals!$A$2:$A$251,$A34,approvals!$P$2:$P$251,"Y"))</f>
        <v/>
      </c>
      <c r="BS34" s="30" t="str">
        <f aca="false">IF($A34="","",ROUNDUP($BR34*config!$B$18,0))</f>
        <v/>
      </c>
      <c r="BT34" s="30" t="str">
        <f aca="false">IF($A34="","",$BR34+$BS34)</f>
        <v/>
      </c>
      <c r="BU34" s="32" t="str">
        <f aca="false">IF($A34="","",SUMIFS(invoices!$I$2:$I$151,invoices!$B$2:$B$151,$A34,invoices!$R$2:$R$151,"Y",invoices!$H$2:$H$151,"&gt;0"))</f>
        <v/>
      </c>
      <c r="BV34" s="32" t="str">
        <f aca="false">IF($A34="","",IF($BJ34="","",IF($D34="founding",$BJ34,ROUND($BJ34*config!$B$28,2))))</f>
        <v/>
      </c>
      <c r="BW34" s="30" t="str">
        <f aca="false">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30" t="str">
        <f aca="false">IF($A34="","",SUMIFS(inventory!$G$2:$G$801,inventory!$C$2:$C$801,$A34,inventory!$E$2:$E$801,"received"))</f>
        <v/>
      </c>
      <c r="BY34" s="30" t="str">
        <f aca="false">IF($A34="","",SUMIFS(inventory!$G$2:$G$801,inventory!$C$2:$C$801,$A34,inventory!$E$2:$E$801,"rejected"))</f>
        <v/>
      </c>
      <c r="BZ34" s="30" t="str">
        <f aca="false">IF($A34="","",SUMIFS(inventory!$M$2:$M$801,inventory!$C$2:$C$801,$A34))</f>
        <v/>
      </c>
      <c r="CA34" s="30" t="str">
        <f aca="false">IF($A34="","",SUMIFS(inventory!$O$2:$O$801,inventory!$C$2:$C$801,$A34))</f>
        <v/>
      </c>
      <c r="CB34" s="30" t="str">
        <f aca="false">IF($A34="","",SUMIFS(approvals!$U$2:$U$251,approvals!$A$2:$A$251,$A34))</f>
        <v/>
      </c>
      <c r="CC34" s="30" t="str">
        <f aca="false">IF($A34="","",SUMIFS(approvals!$AA$2:$AA$251,approvals!$A$2:$A$251,$A34))</f>
        <v/>
      </c>
      <c r="CD34" s="30" t="str">
        <f aca="false">IF($A34="","",SUMIFS(approvals!$AA$2:$AA$251,approvals!$A$2:$A$251,$A34,approvals!$AB$2:$AB$251,"Y"))</f>
        <v/>
      </c>
      <c r="CE34" s="34" t="str">
        <f aca="false">IF($A34="","",IF(N($CB34)=0,"",$CD34/$CB34))</f>
        <v/>
      </c>
      <c r="CF34" s="30" t="str">
        <f aca="false">IF($A34="","",SUMIFS(approvals!$AD$2:$AD$251,approvals!$A$2:$A$251,$A34))</f>
        <v/>
      </c>
      <c r="CG34" s="30" t="str">
        <f aca="false">IF($A34="","",IF(COUNTIFS(approvals!$A$2:$A$251,$A34,approvals!$Q$2:$Q$251,"Y",approvals!$AG$2:$AG$251,"")&gt;0,"",SUMIFS(approvals!$AG$2:$AG$251,approvals!$A$2:$A$251,$A34,approvals!$Q$2:$Q$251,"Y")))</f>
        <v/>
      </c>
      <c r="CH34" s="30" t="str">
        <f aca="false">IF($A34="","",SUMIFS(approvals!$AL$2:$AL$251,approvals!$A$2:$A$251,$A34,approvals!$Q$2:$Q$251,"Y"))</f>
        <v/>
      </c>
      <c r="CI34" s="30" t="str">
        <f aca="false">IF($A34="","",IF(N($BP34)=0,"",SUMPRODUCT(MIN(approvals!$BB$2:$BB$251+(approvals!$A$2:$A$251&lt;&gt;$A34)*1000000))))</f>
        <v/>
      </c>
      <c r="CJ34" s="30" t="str">
        <f aca="false">IF($A34="","",COUNTIFS(approvals!$A$2:$A$251,$A34,approvals!$Q$2:$Q$251,"Y",approvals!$AL$2:$AL$251,"&lt;"&amp;config!$B$30))</f>
        <v/>
      </c>
      <c r="CK34" s="30" t="str">
        <f aca="false">IF($A34="","",SUMIFS(approvals!$AM$2:$AM$251,approvals!$A$2:$A$251,$A34,approvals!$Q$2:$Q$251,"Y"))</f>
        <v/>
      </c>
      <c r="CL34" s="30" t="str">
        <f aca="false">IF($A34="","",SUMIFS(approvals!$AQ$2:$AQ$251,approvals!$A$2:$A$251,$A34,approvals!$Q$2:$Q$251,"Y"))</f>
        <v/>
      </c>
      <c r="CM34" s="30" t="str">
        <f aca="false">IF($A34="","",SUMIFS(approvals!$AR$2:$AR$251,approvals!$A$2:$A$251,$A34,approvals!$Q$2:$Q$251,"Y"))</f>
        <v/>
      </c>
      <c r="CN34" s="30" t="str">
        <f aca="false">IF($A34="","",SUMIFS(approvals!$AS$2:$AS$251,approvals!$A$2:$A$251,$A34,approvals!$Q$2:$Q$251,"Y"))</f>
        <v/>
      </c>
      <c r="CO34" s="30" t="str">
        <f aca="false">IF($A34="","",SUMIFS(approvals!$AT$2:$AT$251,approvals!$A$2:$A$251,$A34,approvals!$Q$2:$Q$251,"Y"))</f>
        <v/>
      </c>
      <c r="CP34" s="33" t="str">
        <f aca="false">IF($A34="","",IF(N($CO34)=0,"",ROUND(SUMIFS(approvals!$AU$2:$AU$251,approvals!$A$2:$A$251,$A34,approvals!$Q$2:$Q$251,"Y")/$CO34,1)))</f>
        <v/>
      </c>
      <c r="CQ34" s="30" t="str">
        <f aca="false">IF($A34="","",SUMIFS(approvals!$AV$2:$AV$251,approvals!$A$2:$A$251,$A34,approvals!$Q$2:$Q$251,"Y"))</f>
        <v/>
      </c>
      <c r="CR34" s="30" t="str">
        <f aca="false">IF($A34="","",SUMIFS(approvals!$AW$2:$AW$251,approvals!$A$2:$A$251,$A34,approvals!$Q$2:$Q$251,"Y"))</f>
        <v/>
      </c>
      <c r="CS34" s="30" t="str">
        <f aca="false">IF($A34="","",SUMIFS(approvals!$AX$2:$AX$251,approvals!$A$2:$A$251,$A34,approvals!$Q$2:$Q$251,"Y"))</f>
        <v/>
      </c>
      <c r="CT34" s="30" t="str">
        <f aca="false">IF($A34="","",SUMIFS(approvals!$AY$2:$AY$251,approvals!$A$2:$A$251,$A34,approvals!$Q$2:$Q$251,"Y"))</f>
        <v/>
      </c>
      <c r="CU34" s="30" t="str">
        <f aca="true">IF($A34="","",IF(OR($BG34="",$BC34&lt;&gt;""),"",IFERROR(COUNT(INDIRECT("'"&amp;$A34&amp;"'!$A$2:$A$501")),0)-IFERROR(COUNTIFS(INDIRECT("'"&amp;$A34&amp;"'!$A$2:$A$501"),"&gt;="&amp;$BG34,INDIRECT("'"&amp;$A34&amp;"'!$A$2:$A$501"),"&lt;"&amp;(IFERROR(IF(INDEX(drops!$R$2:$R$21,MATCH($B34,drops!$A$2:$A$21,0))="","",INDEX(drops!$R$2:$R$21,MATCH($B34,drops!$A$2:$A$21,0))),"")+1)),0)))</f>
        <v/>
      </c>
      <c r="CV34" s="30" t="str">
        <f aca="true">IF($A34="","",IF(OR($BG34="",$BC34&lt;&gt;""),"",IFERROR(COUNTIFS(INDIRECT("'"&amp;$A34&amp;"'!$A$2:$A$501"),"&gt;="&amp;$BG34,INDIRECT("'"&amp;$A34&amp;"'!$A$2:$A$501"),"&lt;"&amp;(IFERROR(IF(INDEX(drops!$R$2:$R$21,MATCH($B34,drops!$A$2:$A$21,0))="","",INDEX(drops!$R$2:$R$21,MATCH($B34,drops!$A$2:$A$21,0))),"")+1)),0)-N($CH34)-N($CW34)))</f>
        <v/>
      </c>
      <c r="CW34" s="30" t="str">
        <f aca="false">IF($A34="","",IF($BG34="","",SUMIFS(approvals!$AL$2:$AL$251,approvals!$A$2:$A$251,$A34,approvals!$Q$2:$Q$251,"&lt;&gt;Y")))</f>
        <v/>
      </c>
      <c r="CX34" s="30" t="str">
        <f aca="false">IF($A34="","",SUMIFS(approvals!$AN$2:$AN$251,approvals!$A$2:$A$251,$A34,approvals!$Q$2:$Q$251,"Y"))</f>
        <v/>
      </c>
      <c r="CY34" s="30" t="str">
        <f aca="false">IF($A34="","",SUMIFS(approvals!$AO$2:$AO$251,approvals!$A$2:$A$251,$A34,approvals!$Q$2:$Q$251,"Y"))</f>
        <v/>
      </c>
      <c r="CZ34" s="30" t="str">
        <f aca="false">IF($A34="","",IF($DA34="","",SUMIFS(redemptions!$C$2:$C$121,redemptions!$A$2:$A$121,$A34,redemptions!$B$2:$B$121,$DA34)))</f>
        <v/>
      </c>
      <c r="DA34" s="31" t="str">
        <f aca="false">IF($A34="","",IFERROR(1/(1/SUMPRODUCT(MAX((redemptions!$A$2:$A$121=$A34)*redemptions!$B$2:$B$121))),""))</f>
        <v/>
      </c>
      <c r="DB34" s="30" t="str">
        <f aca="false">IF($A34="","",IF(COUNTIFS(redemptions!$A$2:$A$121,$A34,redemptions!$H$2:$H$121,"Y")=0,"",SUMIFS(redemptions!$C$2:$C$121,redemptions!$A$2:$A$121,$A34,redemptions!$B$2:$B$121,SUMPRODUCT(MIN((redemptions!$A$2:$A$121=$A34)*(redemptions!$H$2:$H$121="Y")*redemptions!$B$2:$B$121+((redemptions!$A$2:$A$121&lt;&gt;$A34)+(redemptions!$H$2:$H$121&lt;&gt;"Y")&gt;0)*1000000)))))</f>
        <v/>
      </c>
      <c r="DC34" s="32" t="str">
        <f aca="false">IF($A34="","",SUMIFS(invoices!$E$2:$E$151,invoices!$B$2:$B$151,$A34))</f>
        <v/>
      </c>
      <c r="DD34" s="32" t="str">
        <f aca="false">IF($A34="","",IF(COUNTIFS(invoices!$B$2:$B$151,$A34,invoices!$C$2:$C$151,"standard_deposit",invoices!$H$2:$H$151,"&gt;0")=0,"",SUMIFS(invoices!$I$2:$I$151,invoices!$B$2:$B$151,$A34,invoices!$C$2:$C$151,"standard_deposit")))</f>
        <v/>
      </c>
      <c r="DE34" s="31" t="str">
        <f aca="false">IF($A34="","",IFERROR(1/(1/SUMPRODUCT(MAX((invoices!$B$2:$B$151=$A34)*(invoices!$C$2:$C$151="standard_deposit")*invoices!$H$2:$H$151))),""))</f>
        <v/>
      </c>
      <c r="DF34" s="31" t="str">
        <f aca="false">IF($A34="","",IFERROR(1/(1/SUMPRODUCT(MAX((invoices!$B$2:$B$151=$A34)*((invoices!$C$2:$C$151="founding_full")+(invoices!$C$2:$C$151="standard_balance"))*invoices!$H$2:$H$151))),""))</f>
        <v/>
      </c>
      <c r="DG34" s="32" t="str">
        <f aca="false">IF($A34="","",SUMIFS(invoices!$L$2:$L$151,invoices!$B$2:$B$151,$A34))</f>
        <v/>
      </c>
      <c r="DH34" s="32" t="str">
        <f aca="false">IF($A34="","",SUMIFS(costs!$E$2:$E$301,costs!$C$2:$C$301,$A34))</f>
        <v/>
      </c>
      <c r="DI34" s="32" t="str">
        <f aca="false">IF($A34="","",ROUND(IF(SUMIFS(campaigns!$BO$2:$BO$51,campaigns!$B$2:$B$51,$B34)=0,0,$BO34/SUMIFS(campaigns!$BO$2:$BO$51,campaigns!$B$2:$B$51,$B34))*(SUMIFS(costs!$E$2:$E$301,costs!$B$2:$B$301,$B34)-SUMPRODUCT((costs!$B$2:$B$301=$B34)*(LEN(costs!$C$2:$C$301)&gt;0)*costs!$E$2:$E$301)),2))</f>
        <v/>
      </c>
      <c r="DJ34" s="33" t="str">
        <f aca="false">IF($A34="","",SUMIFS(hours!$E$2:$E$1501,hours!$C$2:$C$1501,$A34))</f>
        <v/>
      </c>
      <c r="DK34" s="33" t="str">
        <f aca="false">IF($A34="","",ROUND(IF(SUMIFS(campaigns!$BO$2:$BO$51,campaigns!$B$2:$B$51,$B34)=0,0,$BO34/SUMIFS(campaigns!$BO$2:$BO$51,campaigns!$B$2:$B$51,$B34))*(SUMIFS(hours!$E$2:$E$1501,hours!$B$2:$B$1501,$B34)-SUMPRODUCT((hours!$B$2:$B$1501=$B34)*(LEN(hours!$C$2:$C$1501)&gt;0)*hours!$E$2:$E$1501)),2))</f>
        <v/>
      </c>
      <c r="DL34" s="32" t="str">
        <f aca="false">IF($A34="","",$DC34-$DG34-$DH34-$DI34)</f>
        <v/>
      </c>
      <c r="DM34" s="32" t="str">
        <f aca="false">IF($A34="","",IF(N($DJ34)+N($DK34)=0,"",ROUND($DL34/($DJ34+$DK34),2)))</f>
        <v/>
      </c>
      <c r="DN34" s="34" t="str">
        <f aca="false">IF($A34="","",IF(N($BP34)=0,"",COUNTIFS(approvals!$A$2:$A$251,$A34,approvals!$Q$2:$Q$251,"Y",approvals!$AK$2:$AK$251,"Y")/$BP34))</f>
        <v/>
      </c>
      <c r="DO34" s="33" t="str">
        <f aca="false">IF($A34="","",IF(COUNTIFS(approvals!$A$2:$A$251,$A34,approvals!$AC$2:$AC$251,"&gt;=0")=0,"",ROUND(SUMIFS(approvals!$AC$2:$AC$251,approvals!$A$2:$A$251,$A34)/COUNTIFS(approvals!$A$2:$A$251,$A34,approvals!$AC$2:$AC$251,"&gt;=0"),1)))</f>
        <v/>
      </c>
      <c r="DP34" s="31" t="str">
        <f aca="false">IF($A34="","",IFERROR(IF(INDEX(drops!$T$2:$T$21,MATCH($B34,drops!$A$2:$A$21,0))="","",INDEX(drops!$T$2:$T$21,MATCH($B34,drops!$A$2:$A$21,0))),""))</f>
        <v/>
      </c>
      <c r="DQ34" s="31" t="str">
        <f aca="false">IF($A34="","",IFERROR(IF(INDEX(drops!$U$2:$U$21,MATCH($B34,drops!$A$2:$A$21,0))="","",INDEX(drops!$U$2:$U$21,MATCH($B34,drops!$A$2:$A$21,0))),""))</f>
        <v/>
      </c>
      <c r="DR34" s="31" t="str">
        <f aca="false">IF($A34="","",IFERROR(IF(INDEX(drops!$W$2:$W$21,MATCH($B34,drops!$A$2:$A$21,0))="","",INDEX(drops!$W$2:$W$21,MATCH($B34,drops!$A$2:$A$21,0))),""))</f>
        <v/>
      </c>
      <c r="DS34" s="30" t="str">
        <f aca="false">IF($A34="","",IF($CE34="","",IF($CE34&gt;=config!$B$31,"pass","miss")))</f>
        <v/>
      </c>
      <c r="DT34" s="30" t="str">
        <f aca="false">IF($A34="","",IF($CI34="","",IF($CI34&gt;=config!$B$30,"pass","miss")))</f>
        <v/>
      </c>
      <c r="DU34" s="30" t="str">
        <f aca="true">IF($A34="","",IF($AT34="",IF($DP34="","",IF(IF(config!$B$37&lt;&gt;"",config!$B$37,TODAY())&gt;$DP34,"late","due")),IF($AT34&lt;=$DP34,"pass","late")))</f>
        <v/>
      </c>
      <c r="DV34" s="30" t="str">
        <f aca="false">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ustomFormat="false" ht="15" hidden="false" customHeight="false" outlineLevel="0" collapsed="false">
      <c r="D35" s="10"/>
      <c r="G35" s="12"/>
      <c r="H35" s="11"/>
      <c r="M35" s="10"/>
      <c r="Y35" s="10"/>
      <c r="Z35" s="10"/>
      <c r="AB35" s="11"/>
      <c r="AC35" s="11"/>
      <c r="AD35" s="11"/>
      <c r="AF35" s="11"/>
      <c r="AG35" s="11"/>
      <c r="AT35" s="11"/>
      <c r="AU35" s="11"/>
      <c r="AV35" s="10"/>
      <c r="AW35" s="10"/>
      <c r="AY35" s="11"/>
      <c r="BA35" s="11"/>
      <c r="BB35" s="11"/>
      <c r="BC35" s="11"/>
      <c r="BE35" s="30" t="str">
        <f aca="false">IF($A35="","",IFERROR(IF(INDEX(brands!$K$2:$K$41,MATCH($C35,brands!$A$2:$A$41,0))="","",INDEX(brands!$K$2:$K$41,MATCH($C35,brands!$A$2:$A$41,0))),""))</f>
        <v/>
      </c>
      <c r="BF35" s="30" t="str">
        <f aca="false">IF($A35="","",IFERROR(IF(INDEX(brands!$M$2:$M$41,MATCH($C35,brands!$A$2:$A$41,0))="","",INDEX(brands!$M$2:$M$41,MATCH($C35,brands!$A$2:$A$41,0))),""))</f>
        <v/>
      </c>
      <c r="BG35" s="31" t="str">
        <f aca="false">IF($A35="","",IF(IFERROR(IF(INDEX(drops!$I$2:$I$21,MATCH($B35,drops!$A$2:$A$21,0))="","",INDEX(drops!$I$2:$I$21,MATCH($B35,drops!$A$2:$A$21,0))),"")="OK",IFERROR(IF(INDEX(drops!$B$2:$B$21,MATCH($B35,drops!$A$2:$A$21,0))="","",INDEX(drops!$B$2:$B$21,MATCH($B35,drops!$A$2:$A$21,0))),""),""))</f>
        <v/>
      </c>
      <c r="BH35" s="30" t="str">
        <f aca="false">IF($A35="","",IFERROR(IF(INDEX(drops!$C$2:$C$21,MATCH($B35,drops!$A$2:$A$21,0))="","",INDEX(drops!$C$2:$C$21,MATCH($B35,drops!$A$2:$A$21,0))),""))</f>
        <v/>
      </c>
      <c r="BI35" s="32" t="str">
        <f aca="false">IF($A35="","",IF($F35="","",IF($D35="founding",IF($E35="Y",config!$B$25*MIN($F35,config!$B$26)+config!$B$24*MAX(0,$F35-config!$B$26),config!$B$20+config!$B$24*MAX(0,$F35-config!$B$21)),IF($D35="standard",config!$B$22+config!$B$24*MAX(0,$F35-config!$B$23),""))))</f>
        <v/>
      </c>
      <c r="BJ35" s="32" t="str">
        <f aca="false">IF($A35="","",IF($G35&lt;&gt;"",$G35,$BI35))</f>
        <v/>
      </c>
      <c r="BK35" s="30" t="str">
        <f aca="false">IF($A35="","",IF($D35="founding","100% within "&amp;config!$B$27&amp;" business days of the invoice, before shipping",IF($D35="standard","50% on signing; 50% at placement confirmation (T+1)","")))</f>
        <v/>
      </c>
      <c r="BL35" s="31" t="str">
        <f aca="false">IF($A35="","",IFERROR(IF(INDEX(drops!$K$2:$K$21,MATCH($B35,drops!$A$2:$A$21,0))="","",INDEX(drops!$K$2:$K$21,MATCH($B35,drops!$A$2:$A$21,0))),""))</f>
        <v/>
      </c>
      <c r="BM35" s="31" t="str">
        <f aca="false">IF($A35="","",IFERROR(IF(INDEX(drops!$L$2:$L$21,MATCH($B35,drops!$A$2:$A$21,0))="","",INDEX(drops!$L$2:$L$21,MATCH($B35,drops!$A$2:$A$21,0))),""))</f>
        <v/>
      </c>
      <c r="BN35" s="30" t="str">
        <f aca="false">IF($A35="","",COUNTIF(approvals!$A$2:$A$251,$A35))</f>
        <v/>
      </c>
      <c r="BO35" s="30" t="str">
        <f aca="false">IF($A35="","",COUNTIFS(approvals!$A$2:$A$251,$A35,approvals!$P$2:$P$251,"Y"))</f>
        <v/>
      </c>
      <c r="BP35" s="30" t="str">
        <f aca="false">IF($A35="","",COUNTIFS(approvals!$A$2:$A$251,$A35,approvals!$Q$2:$Q$251,"Y"))</f>
        <v/>
      </c>
      <c r="BQ35" s="30" t="str">
        <f aca="false">IF($A35="","",COUNTIFS(approvals!$A$2:$A$251,$A35,approvals!$P$2:$P$251,"pending"))</f>
        <v/>
      </c>
      <c r="BR35" s="30" t="str">
        <f aca="false">IF($A35="","",SUMIFS(approvals!$S$2:$S$251,approvals!$A$2:$A$251,$A35,approvals!$P$2:$P$251,"Y"))</f>
        <v/>
      </c>
      <c r="BS35" s="30" t="str">
        <f aca="false">IF($A35="","",ROUNDUP($BR35*config!$B$18,0))</f>
        <v/>
      </c>
      <c r="BT35" s="30" t="str">
        <f aca="false">IF($A35="","",$BR35+$BS35)</f>
        <v/>
      </c>
      <c r="BU35" s="32" t="str">
        <f aca="false">IF($A35="","",SUMIFS(invoices!$I$2:$I$151,invoices!$B$2:$B$151,$A35,invoices!$R$2:$R$151,"Y",invoices!$H$2:$H$151,"&gt;0"))</f>
        <v/>
      </c>
      <c r="BV35" s="32" t="str">
        <f aca="false">IF($A35="","",IF($BJ35="","",IF($D35="founding",$BJ35,ROUND($BJ35*config!$B$28,2))))</f>
        <v/>
      </c>
      <c r="BW35" s="30" t="str">
        <f aca="false">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30" t="str">
        <f aca="false">IF($A35="","",SUMIFS(inventory!$G$2:$G$801,inventory!$C$2:$C$801,$A35,inventory!$E$2:$E$801,"received"))</f>
        <v/>
      </c>
      <c r="BY35" s="30" t="str">
        <f aca="false">IF($A35="","",SUMIFS(inventory!$G$2:$G$801,inventory!$C$2:$C$801,$A35,inventory!$E$2:$E$801,"rejected"))</f>
        <v/>
      </c>
      <c r="BZ35" s="30" t="str">
        <f aca="false">IF($A35="","",SUMIFS(inventory!$M$2:$M$801,inventory!$C$2:$C$801,$A35))</f>
        <v/>
      </c>
      <c r="CA35" s="30" t="str">
        <f aca="false">IF($A35="","",SUMIFS(inventory!$O$2:$O$801,inventory!$C$2:$C$801,$A35))</f>
        <v/>
      </c>
      <c r="CB35" s="30" t="str">
        <f aca="false">IF($A35="","",SUMIFS(approvals!$U$2:$U$251,approvals!$A$2:$A$251,$A35))</f>
        <v/>
      </c>
      <c r="CC35" s="30" t="str">
        <f aca="false">IF($A35="","",SUMIFS(approvals!$AA$2:$AA$251,approvals!$A$2:$A$251,$A35))</f>
        <v/>
      </c>
      <c r="CD35" s="30" t="str">
        <f aca="false">IF($A35="","",SUMIFS(approvals!$AA$2:$AA$251,approvals!$A$2:$A$251,$A35,approvals!$AB$2:$AB$251,"Y"))</f>
        <v/>
      </c>
      <c r="CE35" s="34" t="str">
        <f aca="false">IF($A35="","",IF(N($CB35)=0,"",$CD35/$CB35))</f>
        <v/>
      </c>
      <c r="CF35" s="30" t="str">
        <f aca="false">IF($A35="","",SUMIFS(approvals!$AD$2:$AD$251,approvals!$A$2:$A$251,$A35))</f>
        <v/>
      </c>
      <c r="CG35" s="30" t="str">
        <f aca="false">IF($A35="","",IF(COUNTIFS(approvals!$A$2:$A$251,$A35,approvals!$Q$2:$Q$251,"Y",approvals!$AG$2:$AG$251,"")&gt;0,"",SUMIFS(approvals!$AG$2:$AG$251,approvals!$A$2:$A$251,$A35,approvals!$Q$2:$Q$251,"Y")))</f>
        <v/>
      </c>
      <c r="CH35" s="30" t="str">
        <f aca="false">IF($A35="","",SUMIFS(approvals!$AL$2:$AL$251,approvals!$A$2:$A$251,$A35,approvals!$Q$2:$Q$251,"Y"))</f>
        <v/>
      </c>
      <c r="CI35" s="30" t="str">
        <f aca="false">IF($A35="","",IF(N($BP35)=0,"",SUMPRODUCT(MIN(approvals!$BB$2:$BB$251+(approvals!$A$2:$A$251&lt;&gt;$A35)*1000000))))</f>
        <v/>
      </c>
      <c r="CJ35" s="30" t="str">
        <f aca="false">IF($A35="","",COUNTIFS(approvals!$A$2:$A$251,$A35,approvals!$Q$2:$Q$251,"Y",approvals!$AL$2:$AL$251,"&lt;"&amp;config!$B$30))</f>
        <v/>
      </c>
      <c r="CK35" s="30" t="str">
        <f aca="false">IF($A35="","",SUMIFS(approvals!$AM$2:$AM$251,approvals!$A$2:$A$251,$A35,approvals!$Q$2:$Q$251,"Y"))</f>
        <v/>
      </c>
      <c r="CL35" s="30" t="str">
        <f aca="false">IF($A35="","",SUMIFS(approvals!$AQ$2:$AQ$251,approvals!$A$2:$A$251,$A35,approvals!$Q$2:$Q$251,"Y"))</f>
        <v/>
      </c>
      <c r="CM35" s="30" t="str">
        <f aca="false">IF($A35="","",SUMIFS(approvals!$AR$2:$AR$251,approvals!$A$2:$A$251,$A35,approvals!$Q$2:$Q$251,"Y"))</f>
        <v/>
      </c>
      <c r="CN35" s="30" t="str">
        <f aca="false">IF($A35="","",SUMIFS(approvals!$AS$2:$AS$251,approvals!$A$2:$A$251,$A35,approvals!$Q$2:$Q$251,"Y"))</f>
        <v/>
      </c>
      <c r="CO35" s="30" t="str">
        <f aca="false">IF($A35="","",SUMIFS(approvals!$AT$2:$AT$251,approvals!$A$2:$A$251,$A35,approvals!$Q$2:$Q$251,"Y"))</f>
        <v/>
      </c>
      <c r="CP35" s="33" t="str">
        <f aca="false">IF($A35="","",IF(N($CO35)=0,"",ROUND(SUMIFS(approvals!$AU$2:$AU$251,approvals!$A$2:$A$251,$A35,approvals!$Q$2:$Q$251,"Y")/$CO35,1)))</f>
        <v/>
      </c>
      <c r="CQ35" s="30" t="str">
        <f aca="false">IF($A35="","",SUMIFS(approvals!$AV$2:$AV$251,approvals!$A$2:$A$251,$A35,approvals!$Q$2:$Q$251,"Y"))</f>
        <v/>
      </c>
      <c r="CR35" s="30" t="str">
        <f aca="false">IF($A35="","",SUMIFS(approvals!$AW$2:$AW$251,approvals!$A$2:$A$251,$A35,approvals!$Q$2:$Q$251,"Y"))</f>
        <v/>
      </c>
      <c r="CS35" s="30" t="str">
        <f aca="false">IF($A35="","",SUMIFS(approvals!$AX$2:$AX$251,approvals!$A$2:$A$251,$A35,approvals!$Q$2:$Q$251,"Y"))</f>
        <v/>
      </c>
      <c r="CT35" s="30" t="str">
        <f aca="false">IF($A35="","",SUMIFS(approvals!$AY$2:$AY$251,approvals!$A$2:$A$251,$A35,approvals!$Q$2:$Q$251,"Y"))</f>
        <v/>
      </c>
      <c r="CU35" s="30" t="str">
        <f aca="true">IF($A35="","",IF(OR($BG35="",$BC35&lt;&gt;""),"",IFERROR(COUNT(INDIRECT("'"&amp;$A35&amp;"'!$A$2:$A$501")),0)-IFERROR(COUNTIFS(INDIRECT("'"&amp;$A35&amp;"'!$A$2:$A$501"),"&gt;="&amp;$BG35,INDIRECT("'"&amp;$A35&amp;"'!$A$2:$A$501"),"&lt;"&amp;(IFERROR(IF(INDEX(drops!$R$2:$R$21,MATCH($B35,drops!$A$2:$A$21,0))="","",INDEX(drops!$R$2:$R$21,MATCH($B35,drops!$A$2:$A$21,0))),"")+1)),0)))</f>
        <v/>
      </c>
      <c r="CV35" s="30" t="str">
        <f aca="true">IF($A35="","",IF(OR($BG35="",$BC35&lt;&gt;""),"",IFERROR(COUNTIFS(INDIRECT("'"&amp;$A35&amp;"'!$A$2:$A$501"),"&gt;="&amp;$BG35,INDIRECT("'"&amp;$A35&amp;"'!$A$2:$A$501"),"&lt;"&amp;(IFERROR(IF(INDEX(drops!$R$2:$R$21,MATCH($B35,drops!$A$2:$A$21,0))="","",INDEX(drops!$R$2:$R$21,MATCH($B35,drops!$A$2:$A$21,0))),"")+1)),0)-N($CH35)-N($CW35)))</f>
        <v/>
      </c>
      <c r="CW35" s="30" t="str">
        <f aca="false">IF($A35="","",IF($BG35="","",SUMIFS(approvals!$AL$2:$AL$251,approvals!$A$2:$A$251,$A35,approvals!$Q$2:$Q$251,"&lt;&gt;Y")))</f>
        <v/>
      </c>
      <c r="CX35" s="30" t="str">
        <f aca="false">IF($A35="","",SUMIFS(approvals!$AN$2:$AN$251,approvals!$A$2:$A$251,$A35,approvals!$Q$2:$Q$251,"Y"))</f>
        <v/>
      </c>
      <c r="CY35" s="30" t="str">
        <f aca="false">IF($A35="","",SUMIFS(approvals!$AO$2:$AO$251,approvals!$A$2:$A$251,$A35,approvals!$Q$2:$Q$251,"Y"))</f>
        <v/>
      </c>
      <c r="CZ35" s="30" t="str">
        <f aca="false">IF($A35="","",IF($DA35="","",SUMIFS(redemptions!$C$2:$C$121,redemptions!$A$2:$A$121,$A35,redemptions!$B$2:$B$121,$DA35)))</f>
        <v/>
      </c>
      <c r="DA35" s="31" t="str">
        <f aca="false">IF($A35="","",IFERROR(1/(1/SUMPRODUCT(MAX((redemptions!$A$2:$A$121=$A35)*redemptions!$B$2:$B$121))),""))</f>
        <v/>
      </c>
      <c r="DB35" s="30" t="str">
        <f aca="false">IF($A35="","",IF(COUNTIFS(redemptions!$A$2:$A$121,$A35,redemptions!$H$2:$H$121,"Y")=0,"",SUMIFS(redemptions!$C$2:$C$121,redemptions!$A$2:$A$121,$A35,redemptions!$B$2:$B$121,SUMPRODUCT(MIN((redemptions!$A$2:$A$121=$A35)*(redemptions!$H$2:$H$121="Y")*redemptions!$B$2:$B$121+((redemptions!$A$2:$A$121&lt;&gt;$A35)+(redemptions!$H$2:$H$121&lt;&gt;"Y")&gt;0)*1000000)))))</f>
        <v/>
      </c>
      <c r="DC35" s="32" t="str">
        <f aca="false">IF($A35="","",SUMIFS(invoices!$E$2:$E$151,invoices!$B$2:$B$151,$A35))</f>
        <v/>
      </c>
      <c r="DD35" s="32" t="str">
        <f aca="false">IF($A35="","",IF(COUNTIFS(invoices!$B$2:$B$151,$A35,invoices!$C$2:$C$151,"standard_deposit",invoices!$H$2:$H$151,"&gt;0")=0,"",SUMIFS(invoices!$I$2:$I$151,invoices!$B$2:$B$151,$A35,invoices!$C$2:$C$151,"standard_deposit")))</f>
        <v/>
      </c>
      <c r="DE35" s="31" t="str">
        <f aca="false">IF($A35="","",IFERROR(1/(1/SUMPRODUCT(MAX((invoices!$B$2:$B$151=$A35)*(invoices!$C$2:$C$151="standard_deposit")*invoices!$H$2:$H$151))),""))</f>
        <v/>
      </c>
      <c r="DF35" s="31" t="str">
        <f aca="false">IF($A35="","",IFERROR(1/(1/SUMPRODUCT(MAX((invoices!$B$2:$B$151=$A35)*((invoices!$C$2:$C$151="founding_full")+(invoices!$C$2:$C$151="standard_balance"))*invoices!$H$2:$H$151))),""))</f>
        <v/>
      </c>
      <c r="DG35" s="32" t="str">
        <f aca="false">IF($A35="","",SUMIFS(invoices!$L$2:$L$151,invoices!$B$2:$B$151,$A35))</f>
        <v/>
      </c>
      <c r="DH35" s="32" t="str">
        <f aca="false">IF($A35="","",SUMIFS(costs!$E$2:$E$301,costs!$C$2:$C$301,$A35))</f>
        <v/>
      </c>
      <c r="DI35" s="32" t="str">
        <f aca="false">IF($A35="","",ROUND(IF(SUMIFS(campaigns!$BO$2:$BO$51,campaigns!$B$2:$B$51,$B35)=0,0,$BO35/SUMIFS(campaigns!$BO$2:$BO$51,campaigns!$B$2:$B$51,$B35))*(SUMIFS(costs!$E$2:$E$301,costs!$B$2:$B$301,$B35)-SUMPRODUCT((costs!$B$2:$B$301=$B35)*(LEN(costs!$C$2:$C$301)&gt;0)*costs!$E$2:$E$301)),2))</f>
        <v/>
      </c>
      <c r="DJ35" s="33" t="str">
        <f aca="false">IF($A35="","",SUMIFS(hours!$E$2:$E$1501,hours!$C$2:$C$1501,$A35))</f>
        <v/>
      </c>
      <c r="DK35" s="33" t="str">
        <f aca="false">IF($A35="","",ROUND(IF(SUMIFS(campaigns!$BO$2:$BO$51,campaigns!$B$2:$B$51,$B35)=0,0,$BO35/SUMIFS(campaigns!$BO$2:$BO$51,campaigns!$B$2:$B$51,$B35))*(SUMIFS(hours!$E$2:$E$1501,hours!$B$2:$B$1501,$B35)-SUMPRODUCT((hours!$B$2:$B$1501=$B35)*(LEN(hours!$C$2:$C$1501)&gt;0)*hours!$E$2:$E$1501)),2))</f>
        <v/>
      </c>
      <c r="DL35" s="32" t="str">
        <f aca="false">IF($A35="","",$DC35-$DG35-$DH35-$DI35)</f>
        <v/>
      </c>
      <c r="DM35" s="32" t="str">
        <f aca="false">IF($A35="","",IF(N($DJ35)+N($DK35)=0,"",ROUND($DL35/($DJ35+$DK35),2)))</f>
        <v/>
      </c>
      <c r="DN35" s="34" t="str">
        <f aca="false">IF($A35="","",IF(N($BP35)=0,"",COUNTIFS(approvals!$A$2:$A$251,$A35,approvals!$Q$2:$Q$251,"Y",approvals!$AK$2:$AK$251,"Y")/$BP35))</f>
        <v/>
      </c>
      <c r="DO35" s="33" t="str">
        <f aca="false">IF($A35="","",IF(COUNTIFS(approvals!$A$2:$A$251,$A35,approvals!$AC$2:$AC$251,"&gt;=0")=0,"",ROUND(SUMIFS(approvals!$AC$2:$AC$251,approvals!$A$2:$A$251,$A35)/COUNTIFS(approvals!$A$2:$A$251,$A35,approvals!$AC$2:$AC$251,"&gt;=0"),1)))</f>
        <v/>
      </c>
      <c r="DP35" s="31" t="str">
        <f aca="false">IF($A35="","",IFERROR(IF(INDEX(drops!$T$2:$T$21,MATCH($B35,drops!$A$2:$A$21,0))="","",INDEX(drops!$T$2:$T$21,MATCH($B35,drops!$A$2:$A$21,0))),""))</f>
        <v/>
      </c>
      <c r="DQ35" s="31" t="str">
        <f aca="false">IF($A35="","",IFERROR(IF(INDEX(drops!$U$2:$U$21,MATCH($B35,drops!$A$2:$A$21,0))="","",INDEX(drops!$U$2:$U$21,MATCH($B35,drops!$A$2:$A$21,0))),""))</f>
        <v/>
      </c>
      <c r="DR35" s="31" t="str">
        <f aca="false">IF($A35="","",IFERROR(IF(INDEX(drops!$W$2:$W$21,MATCH($B35,drops!$A$2:$A$21,0))="","",INDEX(drops!$W$2:$W$21,MATCH($B35,drops!$A$2:$A$21,0))),""))</f>
        <v/>
      </c>
      <c r="DS35" s="30" t="str">
        <f aca="false">IF($A35="","",IF($CE35="","",IF($CE35&gt;=config!$B$31,"pass","miss")))</f>
        <v/>
      </c>
      <c r="DT35" s="30" t="str">
        <f aca="false">IF($A35="","",IF($CI35="","",IF($CI35&gt;=config!$B$30,"pass","miss")))</f>
        <v/>
      </c>
      <c r="DU35" s="30" t="str">
        <f aca="true">IF($A35="","",IF($AT35="",IF($DP35="","",IF(IF(config!$B$37&lt;&gt;"",config!$B$37,TODAY())&gt;$DP35,"late","due")),IF($AT35&lt;=$DP35,"pass","late")))</f>
        <v/>
      </c>
      <c r="DV35" s="30" t="str">
        <f aca="false">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ustomFormat="false" ht="15" hidden="false" customHeight="false" outlineLevel="0" collapsed="false">
      <c r="D36" s="10"/>
      <c r="G36" s="12"/>
      <c r="H36" s="11"/>
      <c r="M36" s="10"/>
      <c r="Y36" s="10"/>
      <c r="Z36" s="10"/>
      <c r="AB36" s="11"/>
      <c r="AC36" s="11"/>
      <c r="AD36" s="11"/>
      <c r="AF36" s="11"/>
      <c r="AG36" s="11"/>
      <c r="AT36" s="11"/>
      <c r="AU36" s="11"/>
      <c r="AV36" s="10"/>
      <c r="AW36" s="10"/>
      <c r="AY36" s="11"/>
      <c r="BA36" s="11"/>
      <c r="BB36" s="11"/>
      <c r="BC36" s="11"/>
      <c r="BE36" s="30" t="str">
        <f aca="false">IF($A36="","",IFERROR(IF(INDEX(brands!$K$2:$K$41,MATCH($C36,brands!$A$2:$A$41,0))="","",INDEX(brands!$K$2:$K$41,MATCH($C36,brands!$A$2:$A$41,0))),""))</f>
        <v/>
      </c>
      <c r="BF36" s="30" t="str">
        <f aca="false">IF($A36="","",IFERROR(IF(INDEX(brands!$M$2:$M$41,MATCH($C36,brands!$A$2:$A$41,0))="","",INDEX(brands!$M$2:$M$41,MATCH($C36,brands!$A$2:$A$41,0))),""))</f>
        <v/>
      </c>
      <c r="BG36" s="31" t="str">
        <f aca="false">IF($A36="","",IF(IFERROR(IF(INDEX(drops!$I$2:$I$21,MATCH($B36,drops!$A$2:$A$21,0))="","",INDEX(drops!$I$2:$I$21,MATCH($B36,drops!$A$2:$A$21,0))),"")="OK",IFERROR(IF(INDEX(drops!$B$2:$B$21,MATCH($B36,drops!$A$2:$A$21,0))="","",INDEX(drops!$B$2:$B$21,MATCH($B36,drops!$A$2:$A$21,0))),""),""))</f>
        <v/>
      </c>
      <c r="BH36" s="30" t="str">
        <f aca="false">IF($A36="","",IFERROR(IF(INDEX(drops!$C$2:$C$21,MATCH($B36,drops!$A$2:$A$21,0))="","",INDEX(drops!$C$2:$C$21,MATCH($B36,drops!$A$2:$A$21,0))),""))</f>
        <v/>
      </c>
      <c r="BI36" s="32" t="str">
        <f aca="false">IF($A36="","",IF($F36="","",IF($D36="founding",IF($E36="Y",config!$B$25*MIN($F36,config!$B$26)+config!$B$24*MAX(0,$F36-config!$B$26),config!$B$20+config!$B$24*MAX(0,$F36-config!$B$21)),IF($D36="standard",config!$B$22+config!$B$24*MAX(0,$F36-config!$B$23),""))))</f>
        <v/>
      </c>
      <c r="BJ36" s="32" t="str">
        <f aca="false">IF($A36="","",IF($G36&lt;&gt;"",$G36,$BI36))</f>
        <v/>
      </c>
      <c r="BK36" s="30" t="str">
        <f aca="false">IF($A36="","",IF($D36="founding","100% within "&amp;config!$B$27&amp;" business days of the invoice, before shipping",IF($D36="standard","50% on signing; 50% at placement confirmation (T+1)","")))</f>
        <v/>
      </c>
      <c r="BL36" s="31" t="str">
        <f aca="false">IF($A36="","",IFERROR(IF(INDEX(drops!$K$2:$K$21,MATCH($B36,drops!$A$2:$A$21,0))="","",INDEX(drops!$K$2:$K$21,MATCH($B36,drops!$A$2:$A$21,0))),""))</f>
        <v/>
      </c>
      <c r="BM36" s="31" t="str">
        <f aca="false">IF($A36="","",IFERROR(IF(INDEX(drops!$L$2:$L$21,MATCH($B36,drops!$A$2:$A$21,0))="","",INDEX(drops!$L$2:$L$21,MATCH($B36,drops!$A$2:$A$21,0))),""))</f>
        <v/>
      </c>
      <c r="BN36" s="30" t="str">
        <f aca="false">IF($A36="","",COUNTIF(approvals!$A$2:$A$251,$A36))</f>
        <v/>
      </c>
      <c r="BO36" s="30" t="str">
        <f aca="false">IF($A36="","",COUNTIFS(approvals!$A$2:$A$251,$A36,approvals!$P$2:$P$251,"Y"))</f>
        <v/>
      </c>
      <c r="BP36" s="30" t="str">
        <f aca="false">IF($A36="","",COUNTIFS(approvals!$A$2:$A$251,$A36,approvals!$Q$2:$Q$251,"Y"))</f>
        <v/>
      </c>
      <c r="BQ36" s="30" t="str">
        <f aca="false">IF($A36="","",COUNTIFS(approvals!$A$2:$A$251,$A36,approvals!$P$2:$P$251,"pending"))</f>
        <v/>
      </c>
      <c r="BR36" s="30" t="str">
        <f aca="false">IF($A36="","",SUMIFS(approvals!$S$2:$S$251,approvals!$A$2:$A$251,$A36,approvals!$P$2:$P$251,"Y"))</f>
        <v/>
      </c>
      <c r="BS36" s="30" t="str">
        <f aca="false">IF($A36="","",ROUNDUP($BR36*config!$B$18,0))</f>
        <v/>
      </c>
      <c r="BT36" s="30" t="str">
        <f aca="false">IF($A36="","",$BR36+$BS36)</f>
        <v/>
      </c>
      <c r="BU36" s="32" t="str">
        <f aca="false">IF($A36="","",SUMIFS(invoices!$I$2:$I$151,invoices!$B$2:$B$151,$A36,invoices!$R$2:$R$151,"Y",invoices!$H$2:$H$151,"&gt;0"))</f>
        <v/>
      </c>
      <c r="BV36" s="32" t="str">
        <f aca="false">IF($A36="","",IF($BJ36="","",IF($D36="founding",$BJ36,ROUND($BJ36*config!$B$28,2))))</f>
        <v/>
      </c>
      <c r="BW36" s="30" t="str">
        <f aca="false">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30" t="str">
        <f aca="false">IF($A36="","",SUMIFS(inventory!$G$2:$G$801,inventory!$C$2:$C$801,$A36,inventory!$E$2:$E$801,"received"))</f>
        <v/>
      </c>
      <c r="BY36" s="30" t="str">
        <f aca="false">IF($A36="","",SUMIFS(inventory!$G$2:$G$801,inventory!$C$2:$C$801,$A36,inventory!$E$2:$E$801,"rejected"))</f>
        <v/>
      </c>
      <c r="BZ36" s="30" t="str">
        <f aca="false">IF($A36="","",SUMIFS(inventory!$M$2:$M$801,inventory!$C$2:$C$801,$A36))</f>
        <v/>
      </c>
      <c r="CA36" s="30" t="str">
        <f aca="false">IF($A36="","",SUMIFS(inventory!$O$2:$O$801,inventory!$C$2:$C$801,$A36))</f>
        <v/>
      </c>
      <c r="CB36" s="30" t="str">
        <f aca="false">IF($A36="","",SUMIFS(approvals!$U$2:$U$251,approvals!$A$2:$A$251,$A36))</f>
        <v/>
      </c>
      <c r="CC36" s="30" t="str">
        <f aca="false">IF($A36="","",SUMIFS(approvals!$AA$2:$AA$251,approvals!$A$2:$A$251,$A36))</f>
        <v/>
      </c>
      <c r="CD36" s="30" t="str">
        <f aca="false">IF($A36="","",SUMIFS(approvals!$AA$2:$AA$251,approvals!$A$2:$A$251,$A36,approvals!$AB$2:$AB$251,"Y"))</f>
        <v/>
      </c>
      <c r="CE36" s="34" t="str">
        <f aca="false">IF($A36="","",IF(N($CB36)=0,"",$CD36/$CB36))</f>
        <v/>
      </c>
      <c r="CF36" s="30" t="str">
        <f aca="false">IF($A36="","",SUMIFS(approvals!$AD$2:$AD$251,approvals!$A$2:$A$251,$A36))</f>
        <v/>
      </c>
      <c r="CG36" s="30" t="str">
        <f aca="false">IF($A36="","",IF(COUNTIFS(approvals!$A$2:$A$251,$A36,approvals!$Q$2:$Q$251,"Y",approvals!$AG$2:$AG$251,"")&gt;0,"",SUMIFS(approvals!$AG$2:$AG$251,approvals!$A$2:$A$251,$A36,approvals!$Q$2:$Q$251,"Y")))</f>
        <v/>
      </c>
      <c r="CH36" s="30" t="str">
        <f aca="false">IF($A36="","",SUMIFS(approvals!$AL$2:$AL$251,approvals!$A$2:$A$251,$A36,approvals!$Q$2:$Q$251,"Y"))</f>
        <v/>
      </c>
      <c r="CI36" s="30" t="str">
        <f aca="false">IF($A36="","",IF(N($BP36)=0,"",SUMPRODUCT(MIN(approvals!$BB$2:$BB$251+(approvals!$A$2:$A$251&lt;&gt;$A36)*1000000))))</f>
        <v/>
      </c>
      <c r="CJ36" s="30" t="str">
        <f aca="false">IF($A36="","",COUNTIFS(approvals!$A$2:$A$251,$A36,approvals!$Q$2:$Q$251,"Y",approvals!$AL$2:$AL$251,"&lt;"&amp;config!$B$30))</f>
        <v/>
      </c>
      <c r="CK36" s="30" t="str">
        <f aca="false">IF($A36="","",SUMIFS(approvals!$AM$2:$AM$251,approvals!$A$2:$A$251,$A36,approvals!$Q$2:$Q$251,"Y"))</f>
        <v/>
      </c>
      <c r="CL36" s="30" t="str">
        <f aca="false">IF($A36="","",SUMIFS(approvals!$AQ$2:$AQ$251,approvals!$A$2:$A$251,$A36,approvals!$Q$2:$Q$251,"Y"))</f>
        <v/>
      </c>
      <c r="CM36" s="30" t="str">
        <f aca="false">IF($A36="","",SUMIFS(approvals!$AR$2:$AR$251,approvals!$A$2:$A$251,$A36,approvals!$Q$2:$Q$251,"Y"))</f>
        <v/>
      </c>
      <c r="CN36" s="30" t="str">
        <f aca="false">IF($A36="","",SUMIFS(approvals!$AS$2:$AS$251,approvals!$A$2:$A$251,$A36,approvals!$Q$2:$Q$251,"Y"))</f>
        <v/>
      </c>
      <c r="CO36" s="30" t="str">
        <f aca="false">IF($A36="","",SUMIFS(approvals!$AT$2:$AT$251,approvals!$A$2:$A$251,$A36,approvals!$Q$2:$Q$251,"Y"))</f>
        <v/>
      </c>
      <c r="CP36" s="33" t="str">
        <f aca="false">IF($A36="","",IF(N($CO36)=0,"",ROUND(SUMIFS(approvals!$AU$2:$AU$251,approvals!$A$2:$A$251,$A36,approvals!$Q$2:$Q$251,"Y")/$CO36,1)))</f>
        <v/>
      </c>
      <c r="CQ36" s="30" t="str">
        <f aca="false">IF($A36="","",SUMIFS(approvals!$AV$2:$AV$251,approvals!$A$2:$A$251,$A36,approvals!$Q$2:$Q$251,"Y"))</f>
        <v/>
      </c>
      <c r="CR36" s="30" t="str">
        <f aca="false">IF($A36="","",SUMIFS(approvals!$AW$2:$AW$251,approvals!$A$2:$A$251,$A36,approvals!$Q$2:$Q$251,"Y"))</f>
        <v/>
      </c>
      <c r="CS36" s="30" t="str">
        <f aca="false">IF($A36="","",SUMIFS(approvals!$AX$2:$AX$251,approvals!$A$2:$A$251,$A36,approvals!$Q$2:$Q$251,"Y"))</f>
        <v/>
      </c>
      <c r="CT36" s="30" t="str">
        <f aca="false">IF($A36="","",SUMIFS(approvals!$AY$2:$AY$251,approvals!$A$2:$A$251,$A36,approvals!$Q$2:$Q$251,"Y"))</f>
        <v/>
      </c>
      <c r="CU36" s="30" t="str">
        <f aca="true">IF($A36="","",IF(OR($BG36="",$BC36&lt;&gt;""),"",IFERROR(COUNT(INDIRECT("'"&amp;$A36&amp;"'!$A$2:$A$501")),0)-IFERROR(COUNTIFS(INDIRECT("'"&amp;$A36&amp;"'!$A$2:$A$501"),"&gt;="&amp;$BG36,INDIRECT("'"&amp;$A36&amp;"'!$A$2:$A$501"),"&lt;"&amp;(IFERROR(IF(INDEX(drops!$R$2:$R$21,MATCH($B36,drops!$A$2:$A$21,0))="","",INDEX(drops!$R$2:$R$21,MATCH($B36,drops!$A$2:$A$21,0))),"")+1)),0)))</f>
        <v/>
      </c>
      <c r="CV36" s="30" t="str">
        <f aca="true">IF($A36="","",IF(OR($BG36="",$BC36&lt;&gt;""),"",IFERROR(COUNTIFS(INDIRECT("'"&amp;$A36&amp;"'!$A$2:$A$501"),"&gt;="&amp;$BG36,INDIRECT("'"&amp;$A36&amp;"'!$A$2:$A$501"),"&lt;"&amp;(IFERROR(IF(INDEX(drops!$R$2:$R$21,MATCH($B36,drops!$A$2:$A$21,0))="","",INDEX(drops!$R$2:$R$21,MATCH($B36,drops!$A$2:$A$21,0))),"")+1)),0)-N($CH36)-N($CW36)))</f>
        <v/>
      </c>
      <c r="CW36" s="30" t="str">
        <f aca="false">IF($A36="","",IF($BG36="","",SUMIFS(approvals!$AL$2:$AL$251,approvals!$A$2:$A$251,$A36,approvals!$Q$2:$Q$251,"&lt;&gt;Y")))</f>
        <v/>
      </c>
      <c r="CX36" s="30" t="str">
        <f aca="false">IF($A36="","",SUMIFS(approvals!$AN$2:$AN$251,approvals!$A$2:$A$251,$A36,approvals!$Q$2:$Q$251,"Y"))</f>
        <v/>
      </c>
      <c r="CY36" s="30" t="str">
        <f aca="false">IF($A36="","",SUMIFS(approvals!$AO$2:$AO$251,approvals!$A$2:$A$251,$A36,approvals!$Q$2:$Q$251,"Y"))</f>
        <v/>
      </c>
      <c r="CZ36" s="30" t="str">
        <f aca="false">IF($A36="","",IF($DA36="","",SUMIFS(redemptions!$C$2:$C$121,redemptions!$A$2:$A$121,$A36,redemptions!$B$2:$B$121,$DA36)))</f>
        <v/>
      </c>
      <c r="DA36" s="31" t="str">
        <f aca="false">IF($A36="","",IFERROR(1/(1/SUMPRODUCT(MAX((redemptions!$A$2:$A$121=$A36)*redemptions!$B$2:$B$121))),""))</f>
        <v/>
      </c>
      <c r="DB36" s="30" t="str">
        <f aca="false">IF($A36="","",IF(COUNTIFS(redemptions!$A$2:$A$121,$A36,redemptions!$H$2:$H$121,"Y")=0,"",SUMIFS(redemptions!$C$2:$C$121,redemptions!$A$2:$A$121,$A36,redemptions!$B$2:$B$121,SUMPRODUCT(MIN((redemptions!$A$2:$A$121=$A36)*(redemptions!$H$2:$H$121="Y")*redemptions!$B$2:$B$121+((redemptions!$A$2:$A$121&lt;&gt;$A36)+(redemptions!$H$2:$H$121&lt;&gt;"Y")&gt;0)*1000000)))))</f>
        <v/>
      </c>
      <c r="DC36" s="32" t="str">
        <f aca="false">IF($A36="","",SUMIFS(invoices!$E$2:$E$151,invoices!$B$2:$B$151,$A36))</f>
        <v/>
      </c>
      <c r="DD36" s="32" t="str">
        <f aca="false">IF($A36="","",IF(COUNTIFS(invoices!$B$2:$B$151,$A36,invoices!$C$2:$C$151,"standard_deposit",invoices!$H$2:$H$151,"&gt;0")=0,"",SUMIFS(invoices!$I$2:$I$151,invoices!$B$2:$B$151,$A36,invoices!$C$2:$C$151,"standard_deposit")))</f>
        <v/>
      </c>
      <c r="DE36" s="31" t="str">
        <f aca="false">IF($A36="","",IFERROR(1/(1/SUMPRODUCT(MAX((invoices!$B$2:$B$151=$A36)*(invoices!$C$2:$C$151="standard_deposit")*invoices!$H$2:$H$151))),""))</f>
        <v/>
      </c>
      <c r="DF36" s="31" t="str">
        <f aca="false">IF($A36="","",IFERROR(1/(1/SUMPRODUCT(MAX((invoices!$B$2:$B$151=$A36)*((invoices!$C$2:$C$151="founding_full")+(invoices!$C$2:$C$151="standard_balance"))*invoices!$H$2:$H$151))),""))</f>
        <v/>
      </c>
      <c r="DG36" s="32" t="str">
        <f aca="false">IF($A36="","",SUMIFS(invoices!$L$2:$L$151,invoices!$B$2:$B$151,$A36))</f>
        <v/>
      </c>
      <c r="DH36" s="32" t="str">
        <f aca="false">IF($A36="","",SUMIFS(costs!$E$2:$E$301,costs!$C$2:$C$301,$A36))</f>
        <v/>
      </c>
      <c r="DI36" s="32" t="str">
        <f aca="false">IF($A36="","",ROUND(IF(SUMIFS(campaigns!$BO$2:$BO$51,campaigns!$B$2:$B$51,$B36)=0,0,$BO36/SUMIFS(campaigns!$BO$2:$BO$51,campaigns!$B$2:$B$51,$B36))*(SUMIFS(costs!$E$2:$E$301,costs!$B$2:$B$301,$B36)-SUMPRODUCT((costs!$B$2:$B$301=$B36)*(LEN(costs!$C$2:$C$301)&gt;0)*costs!$E$2:$E$301)),2))</f>
        <v/>
      </c>
      <c r="DJ36" s="33" t="str">
        <f aca="false">IF($A36="","",SUMIFS(hours!$E$2:$E$1501,hours!$C$2:$C$1501,$A36))</f>
        <v/>
      </c>
      <c r="DK36" s="33" t="str">
        <f aca="false">IF($A36="","",ROUND(IF(SUMIFS(campaigns!$BO$2:$BO$51,campaigns!$B$2:$B$51,$B36)=0,0,$BO36/SUMIFS(campaigns!$BO$2:$BO$51,campaigns!$B$2:$B$51,$B36))*(SUMIFS(hours!$E$2:$E$1501,hours!$B$2:$B$1501,$B36)-SUMPRODUCT((hours!$B$2:$B$1501=$B36)*(LEN(hours!$C$2:$C$1501)&gt;0)*hours!$E$2:$E$1501)),2))</f>
        <v/>
      </c>
      <c r="DL36" s="32" t="str">
        <f aca="false">IF($A36="","",$DC36-$DG36-$DH36-$DI36)</f>
        <v/>
      </c>
      <c r="DM36" s="32" t="str">
        <f aca="false">IF($A36="","",IF(N($DJ36)+N($DK36)=0,"",ROUND($DL36/($DJ36+$DK36),2)))</f>
        <v/>
      </c>
      <c r="DN36" s="34" t="str">
        <f aca="false">IF($A36="","",IF(N($BP36)=0,"",COUNTIFS(approvals!$A$2:$A$251,$A36,approvals!$Q$2:$Q$251,"Y",approvals!$AK$2:$AK$251,"Y")/$BP36))</f>
        <v/>
      </c>
      <c r="DO36" s="33" t="str">
        <f aca="false">IF($A36="","",IF(COUNTIFS(approvals!$A$2:$A$251,$A36,approvals!$AC$2:$AC$251,"&gt;=0")=0,"",ROUND(SUMIFS(approvals!$AC$2:$AC$251,approvals!$A$2:$A$251,$A36)/COUNTIFS(approvals!$A$2:$A$251,$A36,approvals!$AC$2:$AC$251,"&gt;=0"),1)))</f>
        <v/>
      </c>
      <c r="DP36" s="31" t="str">
        <f aca="false">IF($A36="","",IFERROR(IF(INDEX(drops!$T$2:$T$21,MATCH($B36,drops!$A$2:$A$21,0))="","",INDEX(drops!$T$2:$T$21,MATCH($B36,drops!$A$2:$A$21,0))),""))</f>
        <v/>
      </c>
      <c r="DQ36" s="31" t="str">
        <f aca="false">IF($A36="","",IFERROR(IF(INDEX(drops!$U$2:$U$21,MATCH($B36,drops!$A$2:$A$21,0))="","",INDEX(drops!$U$2:$U$21,MATCH($B36,drops!$A$2:$A$21,0))),""))</f>
        <v/>
      </c>
      <c r="DR36" s="31" t="str">
        <f aca="false">IF($A36="","",IFERROR(IF(INDEX(drops!$W$2:$W$21,MATCH($B36,drops!$A$2:$A$21,0))="","",INDEX(drops!$W$2:$W$21,MATCH($B36,drops!$A$2:$A$21,0))),""))</f>
        <v/>
      </c>
      <c r="DS36" s="30" t="str">
        <f aca="false">IF($A36="","",IF($CE36="","",IF($CE36&gt;=config!$B$31,"pass","miss")))</f>
        <v/>
      </c>
      <c r="DT36" s="30" t="str">
        <f aca="false">IF($A36="","",IF($CI36="","",IF($CI36&gt;=config!$B$30,"pass","miss")))</f>
        <v/>
      </c>
      <c r="DU36" s="30" t="str">
        <f aca="true">IF($A36="","",IF($AT36="",IF($DP36="","",IF(IF(config!$B$37&lt;&gt;"",config!$B$37,TODAY())&gt;$DP36,"late","due")),IF($AT36&lt;=$DP36,"pass","late")))</f>
        <v/>
      </c>
      <c r="DV36" s="30" t="str">
        <f aca="false">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ustomFormat="false" ht="15" hidden="false" customHeight="false" outlineLevel="0" collapsed="false">
      <c r="D37" s="10"/>
      <c r="G37" s="12"/>
      <c r="H37" s="11"/>
      <c r="M37" s="10"/>
      <c r="Y37" s="10"/>
      <c r="Z37" s="10"/>
      <c r="AB37" s="11"/>
      <c r="AC37" s="11"/>
      <c r="AD37" s="11"/>
      <c r="AF37" s="11"/>
      <c r="AG37" s="11"/>
      <c r="AT37" s="11"/>
      <c r="AU37" s="11"/>
      <c r="AV37" s="10"/>
      <c r="AW37" s="10"/>
      <c r="AY37" s="11"/>
      <c r="BA37" s="11"/>
      <c r="BB37" s="11"/>
      <c r="BC37" s="11"/>
      <c r="BE37" s="30" t="str">
        <f aca="false">IF($A37="","",IFERROR(IF(INDEX(brands!$K$2:$K$41,MATCH($C37,brands!$A$2:$A$41,0))="","",INDEX(brands!$K$2:$K$41,MATCH($C37,brands!$A$2:$A$41,0))),""))</f>
        <v/>
      </c>
      <c r="BF37" s="30" t="str">
        <f aca="false">IF($A37="","",IFERROR(IF(INDEX(brands!$M$2:$M$41,MATCH($C37,brands!$A$2:$A$41,0))="","",INDEX(brands!$M$2:$M$41,MATCH($C37,brands!$A$2:$A$41,0))),""))</f>
        <v/>
      </c>
      <c r="BG37" s="31" t="str">
        <f aca="false">IF($A37="","",IF(IFERROR(IF(INDEX(drops!$I$2:$I$21,MATCH($B37,drops!$A$2:$A$21,0))="","",INDEX(drops!$I$2:$I$21,MATCH($B37,drops!$A$2:$A$21,0))),"")="OK",IFERROR(IF(INDEX(drops!$B$2:$B$21,MATCH($B37,drops!$A$2:$A$21,0))="","",INDEX(drops!$B$2:$B$21,MATCH($B37,drops!$A$2:$A$21,0))),""),""))</f>
        <v/>
      </c>
      <c r="BH37" s="30" t="str">
        <f aca="false">IF($A37="","",IFERROR(IF(INDEX(drops!$C$2:$C$21,MATCH($B37,drops!$A$2:$A$21,0))="","",INDEX(drops!$C$2:$C$21,MATCH($B37,drops!$A$2:$A$21,0))),""))</f>
        <v/>
      </c>
      <c r="BI37" s="32" t="str">
        <f aca="false">IF($A37="","",IF($F37="","",IF($D37="founding",IF($E37="Y",config!$B$25*MIN($F37,config!$B$26)+config!$B$24*MAX(0,$F37-config!$B$26),config!$B$20+config!$B$24*MAX(0,$F37-config!$B$21)),IF($D37="standard",config!$B$22+config!$B$24*MAX(0,$F37-config!$B$23),""))))</f>
        <v/>
      </c>
      <c r="BJ37" s="32" t="str">
        <f aca="false">IF($A37="","",IF($G37&lt;&gt;"",$G37,$BI37))</f>
        <v/>
      </c>
      <c r="BK37" s="30" t="str">
        <f aca="false">IF($A37="","",IF($D37="founding","100% within "&amp;config!$B$27&amp;" business days of the invoice, before shipping",IF($D37="standard","50% on signing; 50% at placement confirmation (T+1)","")))</f>
        <v/>
      </c>
      <c r="BL37" s="31" t="str">
        <f aca="false">IF($A37="","",IFERROR(IF(INDEX(drops!$K$2:$K$21,MATCH($B37,drops!$A$2:$A$21,0))="","",INDEX(drops!$K$2:$K$21,MATCH($B37,drops!$A$2:$A$21,0))),""))</f>
        <v/>
      </c>
      <c r="BM37" s="31" t="str">
        <f aca="false">IF($A37="","",IFERROR(IF(INDEX(drops!$L$2:$L$21,MATCH($B37,drops!$A$2:$A$21,0))="","",INDEX(drops!$L$2:$L$21,MATCH($B37,drops!$A$2:$A$21,0))),""))</f>
        <v/>
      </c>
      <c r="BN37" s="30" t="str">
        <f aca="false">IF($A37="","",COUNTIF(approvals!$A$2:$A$251,$A37))</f>
        <v/>
      </c>
      <c r="BO37" s="30" t="str">
        <f aca="false">IF($A37="","",COUNTIFS(approvals!$A$2:$A$251,$A37,approvals!$P$2:$P$251,"Y"))</f>
        <v/>
      </c>
      <c r="BP37" s="30" t="str">
        <f aca="false">IF($A37="","",COUNTIFS(approvals!$A$2:$A$251,$A37,approvals!$Q$2:$Q$251,"Y"))</f>
        <v/>
      </c>
      <c r="BQ37" s="30" t="str">
        <f aca="false">IF($A37="","",COUNTIFS(approvals!$A$2:$A$251,$A37,approvals!$P$2:$P$251,"pending"))</f>
        <v/>
      </c>
      <c r="BR37" s="30" t="str">
        <f aca="false">IF($A37="","",SUMIFS(approvals!$S$2:$S$251,approvals!$A$2:$A$251,$A37,approvals!$P$2:$P$251,"Y"))</f>
        <v/>
      </c>
      <c r="BS37" s="30" t="str">
        <f aca="false">IF($A37="","",ROUNDUP($BR37*config!$B$18,0))</f>
        <v/>
      </c>
      <c r="BT37" s="30" t="str">
        <f aca="false">IF($A37="","",$BR37+$BS37)</f>
        <v/>
      </c>
      <c r="BU37" s="32" t="str">
        <f aca="false">IF($A37="","",SUMIFS(invoices!$I$2:$I$151,invoices!$B$2:$B$151,$A37,invoices!$R$2:$R$151,"Y",invoices!$H$2:$H$151,"&gt;0"))</f>
        <v/>
      </c>
      <c r="BV37" s="32" t="str">
        <f aca="false">IF($A37="","",IF($BJ37="","",IF($D37="founding",$BJ37,ROUND($BJ37*config!$B$28,2))))</f>
        <v/>
      </c>
      <c r="BW37" s="30" t="str">
        <f aca="false">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30" t="str">
        <f aca="false">IF($A37="","",SUMIFS(inventory!$G$2:$G$801,inventory!$C$2:$C$801,$A37,inventory!$E$2:$E$801,"received"))</f>
        <v/>
      </c>
      <c r="BY37" s="30" t="str">
        <f aca="false">IF($A37="","",SUMIFS(inventory!$G$2:$G$801,inventory!$C$2:$C$801,$A37,inventory!$E$2:$E$801,"rejected"))</f>
        <v/>
      </c>
      <c r="BZ37" s="30" t="str">
        <f aca="false">IF($A37="","",SUMIFS(inventory!$M$2:$M$801,inventory!$C$2:$C$801,$A37))</f>
        <v/>
      </c>
      <c r="CA37" s="30" t="str">
        <f aca="false">IF($A37="","",SUMIFS(inventory!$O$2:$O$801,inventory!$C$2:$C$801,$A37))</f>
        <v/>
      </c>
      <c r="CB37" s="30" t="str">
        <f aca="false">IF($A37="","",SUMIFS(approvals!$U$2:$U$251,approvals!$A$2:$A$251,$A37))</f>
        <v/>
      </c>
      <c r="CC37" s="30" t="str">
        <f aca="false">IF($A37="","",SUMIFS(approvals!$AA$2:$AA$251,approvals!$A$2:$A$251,$A37))</f>
        <v/>
      </c>
      <c r="CD37" s="30" t="str">
        <f aca="false">IF($A37="","",SUMIFS(approvals!$AA$2:$AA$251,approvals!$A$2:$A$251,$A37,approvals!$AB$2:$AB$251,"Y"))</f>
        <v/>
      </c>
      <c r="CE37" s="34" t="str">
        <f aca="false">IF($A37="","",IF(N($CB37)=0,"",$CD37/$CB37))</f>
        <v/>
      </c>
      <c r="CF37" s="30" t="str">
        <f aca="false">IF($A37="","",SUMIFS(approvals!$AD$2:$AD$251,approvals!$A$2:$A$251,$A37))</f>
        <v/>
      </c>
      <c r="CG37" s="30" t="str">
        <f aca="false">IF($A37="","",IF(COUNTIFS(approvals!$A$2:$A$251,$A37,approvals!$Q$2:$Q$251,"Y",approvals!$AG$2:$AG$251,"")&gt;0,"",SUMIFS(approvals!$AG$2:$AG$251,approvals!$A$2:$A$251,$A37,approvals!$Q$2:$Q$251,"Y")))</f>
        <v/>
      </c>
      <c r="CH37" s="30" t="str">
        <f aca="false">IF($A37="","",SUMIFS(approvals!$AL$2:$AL$251,approvals!$A$2:$A$251,$A37,approvals!$Q$2:$Q$251,"Y"))</f>
        <v/>
      </c>
      <c r="CI37" s="30" t="str">
        <f aca="false">IF($A37="","",IF(N($BP37)=0,"",SUMPRODUCT(MIN(approvals!$BB$2:$BB$251+(approvals!$A$2:$A$251&lt;&gt;$A37)*1000000))))</f>
        <v/>
      </c>
      <c r="CJ37" s="30" t="str">
        <f aca="false">IF($A37="","",COUNTIFS(approvals!$A$2:$A$251,$A37,approvals!$Q$2:$Q$251,"Y",approvals!$AL$2:$AL$251,"&lt;"&amp;config!$B$30))</f>
        <v/>
      </c>
      <c r="CK37" s="30" t="str">
        <f aca="false">IF($A37="","",SUMIFS(approvals!$AM$2:$AM$251,approvals!$A$2:$A$251,$A37,approvals!$Q$2:$Q$251,"Y"))</f>
        <v/>
      </c>
      <c r="CL37" s="30" t="str">
        <f aca="false">IF($A37="","",SUMIFS(approvals!$AQ$2:$AQ$251,approvals!$A$2:$A$251,$A37,approvals!$Q$2:$Q$251,"Y"))</f>
        <v/>
      </c>
      <c r="CM37" s="30" t="str">
        <f aca="false">IF($A37="","",SUMIFS(approvals!$AR$2:$AR$251,approvals!$A$2:$A$251,$A37,approvals!$Q$2:$Q$251,"Y"))</f>
        <v/>
      </c>
      <c r="CN37" s="30" t="str">
        <f aca="false">IF($A37="","",SUMIFS(approvals!$AS$2:$AS$251,approvals!$A$2:$A$251,$A37,approvals!$Q$2:$Q$251,"Y"))</f>
        <v/>
      </c>
      <c r="CO37" s="30" t="str">
        <f aca="false">IF($A37="","",SUMIFS(approvals!$AT$2:$AT$251,approvals!$A$2:$A$251,$A37,approvals!$Q$2:$Q$251,"Y"))</f>
        <v/>
      </c>
      <c r="CP37" s="33" t="str">
        <f aca="false">IF($A37="","",IF(N($CO37)=0,"",ROUND(SUMIFS(approvals!$AU$2:$AU$251,approvals!$A$2:$A$251,$A37,approvals!$Q$2:$Q$251,"Y")/$CO37,1)))</f>
        <v/>
      </c>
      <c r="CQ37" s="30" t="str">
        <f aca="false">IF($A37="","",SUMIFS(approvals!$AV$2:$AV$251,approvals!$A$2:$A$251,$A37,approvals!$Q$2:$Q$251,"Y"))</f>
        <v/>
      </c>
      <c r="CR37" s="30" t="str">
        <f aca="false">IF($A37="","",SUMIFS(approvals!$AW$2:$AW$251,approvals!$A$2:$A$251,$A37,approvals!$Q$2:$Q$251,"Y"))</f>
        <v/>
      </c>
      <c r="CS37" s="30" t="str">
        <f aca="false">IF($A37="","",SUMIFS(approvals!$AX$2:$AX$251,approvals!$A$2:$A$251,$A37,approvals!$Q$2:$Q$251,"Y"))</f>
        <v/>
      </c>
      <c r="CT37" s="30" t="str">
        <f aca="false">IF($A37="","",SUMIFS(approvals!$AY$2:$AY$251,approvals!$A$2:$A$251,$A37,approvals!$Q$2:$Q$251,"Y"))</f>
        <v/>
      </c>
      <c r="CU37" s="30" t="str">
        <f aca="true">IF($A37="","",IF(OR($BG37="",$BC37&lt;&gt;""),"",IFERROR(COUNT(INDIRECT("'"&amp;$A37&amp;"'!$A$2:$A$501")),0)-IFERROR(COUNTIFS(INDIRECT("'"&amp;$A37&amp;"'!$A$2:$A$501"),"&gt;="&amp;$BG37,INDIRECT("'"&amp;$A37&amp;"'!$A$2:$A$501"),"&lt;"&amp;(IFERROR(IF(INDEX(drops!$R$2:$R$21,MATCH($B37,drops!$A$2:$A$21,0))="","",INDEX(drops!$R$2:$R$21,MATCH($B37,drops!$A$2:$A$21,0))),"")+1)),0)))</f>
        <v/>
      </c>
      <c r="CV37" s="30" t="str">
        <f aca="true">IF($A37="","",IF(OR($BG37="",$BC37&lt;&gt;""),"",IFERROR(COUNTIFS(INDIRECT("'"&amp;$A37&amp;"'!$A$2:$A$501"),"&gt;="&amp;$BG37,INDIRECT("'"&amp;$A37&amp;"'!$A$2:$A$501"),"&lt;"&amp;(IFERROR(IF(INDEX(drops!$R$2:$R$21,MATCH($B37,drops!$A$2:$A$21,0))="","",INDEX(drops!$R$2:$R$21,MATCH($B37,drops!$A$2:$A$21,0))),"")+1)),0)-N($CH37)-N($CW37)))</f>
        <v/>
      </c>
      <c r="CW37" s="30" t="str">
        <f aca="false">IF($A37="","",IF($BG37="","",SUMIFS(approvals!$AL$2:$AL$251,approvals!$A$2:$A$251,$A37,approvals!$Q$2:$Q$251,"&lt;&gt;Y")))</f>
        <v/>
      </c>
      <c r="CX37" s="30" t="str">
        <f aca="false">IF($A37="","",SUMIFS(approvals!$AN$2:$AN$251,approvals!$A$2:$A$251,$A37,approvals!$Q$2:$Q$251,"Y"))</f>
        <v/>
      </c>
      <c r="CY37" s="30" t="str">
        <f aca="false">IF($A37="","",SUMIFS(approvals!$AO$2:$AO$251,approvals!$A$2:$A$251,$A37,approvals!$Q$2:$Q$251,"Y"))</f>
        <v/>
      </c>
      <c r="CZ37" s="30" t="str">
        <f aca="false">IF($A37="","",IF($DA37="","",SUMIFS(redemptions!$C$2:$C$121,redemptions!$A$2:$A$121,$A37,redemptions!$B$2:$B$121,$DA37)))</f>
        <v/>
      </c>
      <c r="DA37" s="31" t="str">
        <f aca="false">IF($A37="","",IFERROR(1/(1/SUMPRODUCT(MAX((redemptions!$A$2:$A$121=$A37)*redemptions!$B$2:$B$121))),""))</f>
        <v/>
      </c>
      <c r="DB37" s="30" t="str">
        <f aca="false">IF($A37="","",IF(COUNTIFS(redemptions!$A$2:$A$121,$A37,redemptions!$H$2:$H$121,"Y")=0,"",SUMIFS(redemptions!$C$2:$C$121,redemptions!$A$2:$A$121,$A37,redemptions!$B$2:$B$121,SUMPRODUCT(MIN((redemptions!$A$2:$A$121=$A37)*(redemptions!$H$2:$H$121="Y")*redemptions!$B$2:$B$121+((redemptions!$A$2:$A$121&lt;&gt;$A37)+(redemptions!$H$2:$H$121&lt;&gt;"Y")&gt;0)*1000000)))))</f>
        <v/>
      </c>
      <c r="DC37" s="32" t="str">
        <f aca="false">IF($A37="","",SUMIFS(invoices!$E$2:$E$151,invoices!$B$2:$B$151,$A37))</f>
        <v/>
      </c>
      <c r="DD37" s="32" t="str">
        <f aca="false">IF($A37="","",IF(COUNTIFS(invoices!$B$2:$B$151,$A37,invoices!$C$2:$C$151,"standard_deposit",invoices!$H$2:$H$151,"&gt;0")=0,"",SUMIFS(invoices!$I$2:$I$151,invoices!$B$2:$B$151,$A37,invoices!$C$2:$C$151,"standard_deposit")))</f>
        <v/>
      </c>
      <c r="DE37" s="31" t="str">
        <f aca="false">IF($A37="","",IFERROR(1/(1/SUMPRODUCT(MAX((invoices!$B$2:$B$151=$A37)*(invoices!$C$2:$C$151="standard_deposit")*invoices!$H$2:$H$151))),""))</f>
        <v/>
      </c>
      <c r="DF37" s="31" t="str">
        <f aca="false">IF($A37="","",IFERROR(1/(1/SUMPRODUCT(MAX((invoices!$B$2:$B$151=$A37)*((invoices!$C$2:$C$151="founding_full")+(invoices!$C$2:$C$151="standard_balance"))*invoices!$H$2:$H$151))),""))</f>
        <v/>
      </c>
      <c r="DG37" s="32" t="str">
        <f aca="false">IF($A37="","",SUMIFS(invoices!$L$2:$L$151,invoices!$B$2:$B$151,$A37))</f>
        <v/>
      </c>
      <c r="DH37" s="32" t="str">
        <f aca="false">IF($A37="","",SUMIFS(costs!$E$2:$E$301,costs!$C$2:$C$301,$A37))</f>
        <v/>
      </c>
      <c r="DI37" s="32" t="str">
        <f aca="false">IF($A37="","",ROUND(IF(SUMIFS(campaigns!$BO$2:$BO$51,campaigns!$B$2:$B$51,$B37)=0,0,$BO37/SUMIFS(campaigns!$BO$2:$BO$51,campaigns!$B$2:$B$51,$B37))*(SUMIFS(costs!$E$2:$E$301,costs!$B$2:$B$301,$B37)-SUMPRODUCT((costs!$B$2:$B$301=$B37)*(LEN(costs!$C$2:$C$301)&gt;0)*costs!$E$2:$E$301)),2))</f>
        <v/>
      </c>
      <c r="DJ37" s="33" t="str">
        <f aca="false">IF($A37="","",SUMIFS(hours!$E$2:$E$1501,hours!$C$2:$C$1501,$A37))</f>
        <v/>
      </c>
      <c r="DK37" s="33" t="str">
        <f aca="false">IF($A37="","",ROUND(IF(SUMIFS(campaigns!$BO$2:$BO$51,campaigns!$B$2:$B$51,$B37)=0,0,$BO37/SUMIFS(campaigns!$BO$2:$BO$51,campaigns!$B$2:$B$51,$B37))*(SUMIFS(hours!$E$2:$E$1501,hours!$B$2:$B$1501,$B37)-SUMPRODUCT((hours!$B$2:$B$1501=$B37)*(LEN(hours!$C$2:$C$1501)&gt;0)*hours!$E$2:$E$1501)),2))</f>
        <v/>
      </c>
      <c r="DL37" s="32" t="str">
        <f aca="false">IF($A37="","",$DC37-$DG37-$DH37-$DI37)</f>
        <v/>
      </c>
      <c r="DM37" s="32" t="str">
        <f aca="false">IF($A37="","",IF(N($DJ37)+N($DK37)=0,"",ROUND($DL37/($DJ37+$DK37),2)))</f>
        <v/>
      </c>
      <c r="DN37" s="34" t="str">
        <f aca="false">IF($A37="","",IF(N($BP37)=0,"",COUNTIFS(approvals!$A$2:$A$251,$A37,approvals!$Q$2:$Q$251,"Y",approvals!$AK$2:$AK$251,"Y")/$BP37))</f>
        <v/>
      </c>
      <c r="DO37" s="33" t="str">
        <f aca="false">IF($A37="","",IF(COUNTIFS(approvals!$A$2:$A$251,$A37,approvals!$AC$2:$AC$251,"&gt;=0")=0,"",ROUND(SUMIFS(approvals!$AC$2:$AC$251,approvals!$A$2:$A$251,$A37)/COUNTIFS(approvals!$A$2:$A$251,$A37,approvals!$AC$2:$AC$251,"&gt;=0"),1)))</f>
        <v/>
      </c>
      <c r="DP37" s="31" t="str">
        <f aca="false">IF($A37="","",IFERROR(IF(INDEX(drops!$T$2:$T$21,MATCH($B37,drops!$A$2:$A$21,0))="","",INDEX(drops!$T$2:$T$21,MATCH($B37,drops!$A$2:$A$21,0))),""))</f>
        <v/>
      </c>
      <c r="DQ37" s="31" t="str">
        <f aca="false">IF($A37="","",IFERROR(IF(INDEX(drops!$U$2:$U$21,MATCH($B37,drops!$A$2:$A$21,0))="","",INDEX(drops!$U$2:$U$21,MATCH($B37,drops!$A$2:$A$21,0))),""))</f>
        <v/>
      </c>
      <c r="DR37" s="31" t="str">
        <f aca="false">IF($A37="","",IFERROR(IF(INDEX(drops!$W$2:$W$21,MATCH($B37,drops!$A$2:$A$21,0))="","",INDEX(drops!$W$2:$W$21,MATCH($B37,drops!$A$2:$A$21,0))),""))</f>
        <v/>
      </c>
      <c r="DS37" s="30" t="str">
        <f aca="false">IF($A37="","",IF($CE37="","",IF($CE37&gt;=config!$B$31,"pass","miss")))</f>
        <v/>
      </c>
      <c r="DT37" s="30" t="str">
        <f aca="false">IF($A37="","",IF($CI37="","",IF($CI37&gt;=config!$B$30,"pass","miss")))</f>
        <v/>
      </c>
      <c r="DU37" s="30" t="str">
        <f aca="true">IF($A37="","",IF($AT37="",IF($DP37="","",IF(IF(config!$B$37&lt;&gt;"",config!$B$37,TODAY())&gt;$DP37,"late","due")),IF($AT37&lt;=$DP37,"pass","late")))</f>
        <v/>
      </c>
      <c r="DV37" s="30" t="str">
        <f aca="false">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ustomFormat="false" ht="15" hidden="false" customHeight="false" outlineLevel="0" collapsed="false">
      <c r="D38" s="10"/>
      <c r="G38" s="12"/>
      <c r="H38" s="11"/>
      <c r="M38" s="10"/>
      <c r="Y38" s="10"/>
      <c r="Z38" s="10"/>
      <c r="AB38" s="11"/>
      <c r="AC38" s="11"/>
      <c r="AD38" s="11"/>
      <c r="AF38" s="11"/>
      <c r="AG38" s="11"/>
      <c r="AT38" s="11"/>
      <c r="AU38" s="11"/>
      <c r="AV38" s="10"/>
      <c r="AW38" s="10"/>
      <c r="AY38" s="11"/>
      <c r="BA38" s="11"/>
      <c r="BB38" s="11"/>
      <c r="BC38" s="11"/>
      <c r="BE38" s="30" t="str">
        <f aca="false">IF($A38="","",IFERROR(IF(INDEX(brands!$K$2:$K$41,MATCH($C38,brands!$A$2:$A$41,0))="","",INDEX(brands!$K$2:$K$41,MATCH($C38,brands!$A$2:$A$41,0))),""))</f>
        <v/>
      </c>
      <c r="BF38" s="30" t="str">
        <f aca="false">IF($A38="","",IFERROR(IF(INDEX(brands!$M$2:$M$41,MATCH($C38,brands!$A$2:$A$41,0))="","",INDEX(brands!$M$2:$M$41,MATCH($C38,brands!$A$2:$A$41,0))),""))</f>
        <v/>
      </c>
      <c r="BG38" s="31" t="str">
        <f aca="false">IF($A38="","",IF(IFERROR(IF(INDEX(drops!$I$2:$I$21,MATCH($B38,drops!$A$2:$A$21,0))="","",INDEX(drops!$I$2:$I$21,MATCH($B38,drops!$A$2:$A$21,0))),"")="OK",IFERROR(IF(INDEX(drops!$B$2:$B$21,MATCH($B38,drops!$A$2:$A$21,0))="","",INDEX(drops!$B$2:$B$21,MATCH($B38,drops!$A$2:$A$21,0))),""),""))</f>
        <v/>
      </c>
      <c r="BH38" s="30" t="str">
        <f aca="false">IF($A38="","",IFERROR(IF(INDEX(drops!$C$2:$C$21,MATCH($B38,drops!$A$2:$A$21,0))="","",INDEX(drops!$C$2:$C$21,MATCH($B38,drops!$A$2:$A$21,0))),""))</f>
        <v/>
      </c>
      <c r="BI38" s="32" t="str">
        <f aca="false">IF($A38="","",IF($F38="","",IF($D38="founding",IF($E38="Y",config!$B$25*MIN($F38,config!$B$26)+config!$B$24*MAX(0,$F38-config!$B$26),config!$B$20+config!$B$24*MAX(0,$F38-config!$B$21)),IF($D38="standard",config!$B$22+config!$B$24*MAX(0,$F38-config!$B$23),""))))</f>
        <v/>
      </c>
      <c r="BJ38" s="32" t="str">
        <f aca="false">IF($A38="","",IF($G38&lt;&gt;"",$G38,$BI38))</f>
        <v/>
      </c>
      <c r="BK38" s="30" t="str">
        <f aca="false">IF($A38="","",IF($D38="founding","100% within "&amp;config!$B$27&amp;" business days of the invoice, before shipping",IF($D38="standard","50% on signing; 50% at placement confirmation (T+1)","")))</f>
        <v/>
      </c>
      <c r="BL38" s="31" t="str">
        <f aca="false">IF($A38="","",IFERROR(IF(INDEX(drops!$K$2:$K$21,MATCH($B38,drops!$A$2:$A$21,0))="","",INDEX(drops!$K$2:$K$21,MATCH($B38,drops!$A$2:$A$21,0))),""))</f>
        <v/>
      </c>
      <c r="BM38" s="31" t="str">
        <f aca="false">IF($A38="","",IFERROR(IF(INDEX(drops!$L$2:$L$21,MATCH($B38,drops!$A$2:$A$21,0))="","",INDEX(drops!$L$2:$L$21,MATCH($B38,drops!$A$2:$A$21,0))),""))</f>
        <v/>
      </c>
      <c r="BN38" s="30" t="str">
        <f aca="false">IF($A38="","",COUNTIF(approvals!$A$2:$A$251,$A38))</f>
        <v/>
      </c>
      <c r="BO38" s="30" t="str">
        <f aca="false">IF($A38="","",COUNTIFS(approvals!$A$2:$A$251,$A38,approvals!$P$2:$P$251,"Y"))</f>
        <v/>
      </c>
      <c r="BP38" s="30" t="str">
        <f aca="false">IF($A38="","",COUNTIFS(approvals!$A$2:$A$251,$A38,approvals!$Q$2:$Q$251,"Y"))</f>
        <v/>
      </c>
      <c r="BQ38" s="30" t="str">
        <f aca="false">IF($A38="","",COUNTIFS(approvals!$A$2:$A$251,$A38,approvals!$P$2:$P$251,"pending"))</f>
        <v/>
      </c>
      <c r="BR38" s="30" t="str">
        <f aca="false">IF($A38="","",SUMIFS(approvals!$S$2:$S$251,approvals!$A$2:$A$251,$A38,approvals!$P$2:$P$251,"Y"))</f>
        <v/>
      </c>
      <c r="BS38" s="30" t="str">
        <f aca="false">IF($A38="","",ROUNDUP($BR38*config!$B$18,0))</f>
        <v/>
      </c>
      <c r="BT38" s="30" t="str">
        <f aca="false">IF($A38="","",$BR38+$BS38)</f>
        <v/>
      </c>
      <c r="BU38" s="32" t="str">
        <f aca="false">IF($A38="","",SUMIFS(invoices!$I$2:$I$151,invoices!$B$2:$B$151,$A38,invoices!$R$2:$R$151,"Y",invoices!$H$2:$H$151,"&gt;0"))</f>
        <v/>
      </c>
      <c r="BV38" s="32" t="str">
        <f aca="false">IF($A38="","",IF($BJ38="","",IF($D38="founding",$BJ38,ROUND($BJ38*config!$B$28,2))))</f>
        <v/>
      </c>
      <c r="BW38" s="30" t="str">
        <f aca="false">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30" t="str">
        <f aca="false">IF($A38="","",SUMIFS(inventory!$G$2:$G$801,inventory!$C$2:$C$801,$A38,inventory!$E$2:$E$801,"received"))</f>
        <v/>
      </c>
      <c r="BY38" s="30" t="str">
        <f aca="false">IF($A38="","",SUMIFS(inventory!$G$2:$G$801,inventory!$C$2:$C$801,$A38,inventory!$E$2:$E$801,"rejected"))</f>
        <v/>
      </c>
      <c r="BZ38" s="30" t="str">
        <f aca="false">IF($A38="","",SUMIFS(inventory!$M$2:$M$801,inventory!$C$2:$C$801,$A38))</f>
        <v/>
      </c>
      <c r="CA38" s="30" t="str">
        <f aca="false">IF($A38="","",SUMIFS(inventory!$O$2:$O$801,inventory!$C$2:$C$801,$A38))</f>
        <v/>
      </c>
      <c r="CB38" s="30" t="str">
        <f aca="false">IF($A38="","",SUMIFS(approvals!$U$2:$U$251,approvals!$A$2:$A$251,$A38))</f>
        <v/>
      </c>
      <c r="CC38" s="30" t="str">
        <f aca="false">IF($A38="","",SUMIFS(approvals!$AA$2:$AA$251,approvals!$A$2:$A$251,$A38))</f>
        <v/>
      </c>
      <c r="CD38" s="30" t="str">
        <f aca="false">IF($A38="","",SUMIFS(approvals!$AA$2:$AA$251,approvals!$A$2:$A$251,$A38,approvals!$AB$2:$AB$251,"Y"))</f>
        <v/>
      </c>
      <c r="CE38" s="34" t="str">
        <f aca="false">IF($A38="","",IF(N($CB38)=0,"",$CD38/$CB38))</f>
        <v/>
      </c>
      <c r="CF38" s="30" t="str">
        <f aca="false">IF($A38="","",SUMIFS(approvals!$AD$2:$AD$251,approvals!$A$2:$A$251,$A38))</f>
        <v/>
      </c>
      <c r="CG38" s="30" t="str">
        <f aca="false">IF($A38="","",IF(COUNTIFS(approvals!$A$2:$A$251,$A38,approvals!$Q$2:$Q$251,"Y",approvals!$AG$2:$AG$251,"")&gt;0,"",SUMIFS(approvals!$AG$2:$AG$251,approvals!$A$2:$A$251,$A38,approvals!$Q$2:$Q$251,"Y")))</f>
        <v/>
      </c>
      <c r="CH38" s="30" t="str">
        <f aca="false">IF($A38="","",SUMIFS(approvals!$AL$2:$AL$251,approvals!$A$2:$A$251,$A38,approvals!$Q$2:$Q$251,"Y"))</f>
        <v/>
      </c>
      <c r="CI38" s="30" t="str">
        <f aca="false">IF($A38="","",IF(N($BP38)=0,"",SUMPRODUCT(MIN(approvals!$BB$2:$BB$251+(approvals!$A$2:$A$251&lt;&gt;$A38)*1000000))))</f>
        <v/>
      </c>
      <c r="CJ38" s="30" t="str">
        <f aca="false">IF($A38="","",COUNTIFS(approvals!$A$2:$A$251,$A38,approvals!$Q$2:$Q$251,"Y",approvals!$AL$2:$AL$251,"&lt;"&amp;config!$B$30))</f>
        <v/>
      </c>
      <c r="CK38" s="30" t="str">
        <f aca="false">IF($A38="","",SUMIFS(approvals!$AM$2:$AM$251,approvals!$A$2:$A$251,$A38,approvals!$Q$2:$Q$251,"Y"))</f>
        <v/>
      </c>
      <c r="CL38" s="30" t="str">
        <f aca="false">IF($A38="","",SUMIFS(approvals!$AQ$2:$AQ$251,approvals!$A$2:$A$251,$A38,approvals!$Q$2:$Q$251,"Y"))</f>
        <v/>
      </c>
      <c r="CM38" s="30" t="str">
        <f aca="false">IF($A38="","",SUMIFS(approvals!$AR$2:$AR$251,approvals!$A$2:$A$251,$A38,approvals!$Q$2:$Q$251,"Y"))</f>
        <v/>
      </c>
      <c r="CN38" s="30" t="str">
        <f aca="false">IF($A38="","",SUMIFS(approvals!$AS$2:$AS$251,approvals!$A$2:$A$251,$A38,approvals!$Q$2:$Q$251,"Y"))</f>
        <v/>
      </c>
      <c r="CO38" s="30" t="str">
        <f aca="false">IF($A38="","",SUMIFS(approvals!$AT$2:$AT$251,approvals!$A$2:$A$251,$A38,approvals!$Q$2:$Q$251,"Y"))</f>
        <v/>
      </c>
      <c r="CP38" s="33" t="str">
        <f aca="false">IF($A38="","",IF(N($CO38)=0,"",ROUND(SUMIFS(approvals!$AU$2:$AU$251,approvals!$A$2:$A$251,$A38,approvals!$Q$2:$Q$251,"Y")/$CO38,1)))</f>
        <v/>
      </c>
      <c r="CQ38" s="30" t="str">
        <f aca="false">IF($A38="","",SUMIFS(approvals!$AV$2:$AV$251,approvals!$A$2:$A$251,$A38,approvals!$Q$2:$Q$251,"Y"))</f>
        <v/>
      </c>
      <c r="CR38" s="30" t="str">
        <f aca="false">IF($A38="","",SUMIFS(approvals!$AW$2:$AW$251,approvals!$A$2:$A$251,$A38,approvals!$Q$2:$Q$251,"Y"))</f>
        <v/>
      </c>
      <c r="CS38" s="30" t="str">
        <f aca="false">IF($A38="","",SUMIFS(approvals!$AX$2:$AX$251,approvals!$A$2:$A$251,$A38,approvals!$Q$2:$Q$251,"Y"))</f>
        <v/>
      </c>
      <c r="CT38" s="30" t="str">
        <f aca="false">IF($A38="","",SUMIFS(approvals!$AY$2:$AY$251,approvals!$A$2:$A$251,$A38,approvals!$Q$2:$Q$251,"Y"))</f>
        <v/>
      </c>
      <c r="CU38" s="30" t="str">
        <f aca="true">IF($A38="","",IF(OR($BG38="",$BC38&lt;&gt;""),"",IFERROR(COUNT(INDIRECT("'"&amp;$A38&amp;"'!$A$2:$A$501")),0)-IFERROR(COUNTIFS(INDIRECT("'"&amp;$A38&amp;"'!$A$2:$A$501"),"&gt;="&amp;$BG38,INDIRECT("'"&amp;$A38&amp;"'!$A$2:$A$501"),"&lt;"&amp;(IFERROR(IF(INDEX(drops!$R$2:$R$21,MATCH($B38,drops!$A$2:$A$21,0))="","",INDEX(drops!$R$2:$R$21,MATCH($B38,drops!$A$2:$A$21,0))),"")+1)),0)))</f>
        <v/>
      </c>
      <c r="CV38" s="30" t="str">
        <f aca="true">IF($A38="","",IF(OR($BG38="",$BC38&lt;&gt;""),"",IFERROR(COUNTIFS(INDIRECT("'"&amp;$A38&amp;"'!$A$2:$A$501"),"&gt;="&amp;$BG38,INDIRECT("'"&amp;$A38&amp;"'!$A$2:$A$501"),"&lt;"&amp;(IFERROR(IF(INDEX(drops!$R$2:$R$21,MATCH($B38,drops!$A$2:$A$21,0))="","",INDEX(drops!$R$2:$R$21,MATCH($B38,drops!$A$2:$A$21,0))),"")+1)),0)-N($CH38)-N($CW38)))</f>
        <v/>
      </c>
      <c r="CW38" s="30" t="str">
        <f aca="false">IF($A38="","",IF($BG38="","",SUMIFS(approvals!$AL$2:$AL$251,approvals!$A$2:$A$251,$A38,approvals!$Q$2:$Q$251,"&lt;&gt;Y")))</f>
        <v/>
      </c>
      <c r="CX38" s="30" t="str">
        <f aca="false">IF($A38="","",SUMIFS(approvals!$AN$2:$AN$251,approvals!$A$2:$A$251,$A38,approvals!$Q$2:$Q$251,"Y"))</f>
        <v/>
      </c>
      <c r="CY38" s="30" t="str">
        <f aca="false">IF($A38="","",SUMIFS(approvals!$AO$2:$AO$251,approvals!$A$2:$A$251,$A38,approvals!$Q$2:$Q$251,"Y"))</f>
        <v/>
      </c>
      <c r="CZ38" s="30" t="str">
        <f aca="false">IF($A38="","",IF($DA38="","",SUMIFS(redemptions!$C$2:$C$121,redemptions!$A$2:$A$121,$A38,redemptions!$B$2:$B$121,$DA38)))</f>
        <v/>
      </c>
      <c r="DA38" s="31" t="str">
        <f aca="false">IF($A38="","",IFERROR(1/(1/SUMPRODUCT(MAX((redemptions!$A$2:$A$121=$A38)*redemptions!$B$2:$B$121))),""))</f>
        <v/>
      </c>
      <c r="DB38" s="30" t="str">
        <f aca="false">IF($A38="","",IF(COUNTIFS(redemptions!$A$2:$A$121,$A38,redemptions!$H$2:$H$121,"Y")=0,"",SUMIFS(redemptions!$C$2:$C$121,redemptions!$A$2:$A$121,$A38,redemptions!$B$2:$B$121,SUMPRODUCT(MIN((redemptions!$A$2:$A$121=$A38)*(redemptions!$H$2:$H$121="Y")*redemptions!$B$2:$B$121+((redemptions!$A$2:$A$121&lt;&gt;$A38)+(redemptions!$H$2:$H$121&lt;&gt;"Y")&gt;0)*1000000)))))</f>
        <v/>
      </c>
      <c r="DC38" s="32" t="str">
        <f aca="false">IF($A38="","",SUMIFS(invoices!$E$2:$E$151,invoices!$B$2:$B$151,$A38))</f>
        <v/>
      </c>
      <c r="DD38" s="32" t="str">
        <f aca="false">IF($A38="","",IF(COUNTIFS(invoices!$B$2:$B$151,$A38,invoices!$C$2:$C$151,"standard_deposit",invoices!$H$2:$H$151,"&gt;0")=0,"",SUMIFS(invoices!$I$2:$I$151,invoices!$B$2:$B$151,$A38,invoices!$C$2:$C$151,"standard_deposit")))</f>
        <v/>
      </c>
      <c r="DE38" s="31" t="str">
        <f aca="false">IF($A38="","",IFERROR(1/(1/SUMPRODUCT(MAX((invoices!$B$2:$B$151=$A38)*(invoices!$C$2:$C$151="standard_deposit")*invoices!$H$2:$H$151))),""))</f>
        <v/>
      </c>
      <c r="DF38" s="31" t="str">
        <f aca="false">IF($A38="","",IFERROR(1/(1/SUMPRODUCT(MAX((invoices!$B$2:$B$151=$A38)*((invoices!$C$2:$C$151="founding_full")+(invoices!$C$2:$C$151="standard_balance"))*invoices!$H$2:$H$151))),""))</f>
        <v/>
      </c>
      <c r="DG38" s="32" t="str">
        <f aca="false">IF($A38="","",SUMIFS(invoices!$L$2:$L$151,invoices!$B$2:$B$151,$A38))</f>
        <v/>
      </c>
      <c r="DH38" s="32" t="str">
        <f aca="false">IF($A38="","",SUMIFS(costs!$E$2:$E$301,costs!$C$2:$C$301,$A38))</f>
        <v/>
      </c>
      <c r="DI38" s="32" t="str">
        <f aca="false">IF($A38="","",ROUND(IF(SUMIFS(campaigns!$BO$2:$BO$51,campaigns!$B$2:$B$51,$B38)=0,0,$BO38/SUMIFS(campaigns!$BO$2:$BO$51,campaigns!$B$2:$B$51,$B38))*(SUMIFS(costs!$E$2:$E$301,costs!$B$2:$B$301,$B38)-SUMPRODUCT((costs!$B$2:$B$301=$B38)*(LEN(costs!$C$2:$C$301)&gt;0)*costs!$E$2:$E$301)),2))</f>
        <v/>
      </c>
      <c r="DJ38" s="33" t="str">
        <f aca="false">IF($A38="","",SUMIFS(hours!$E$2:$E$1501,hours!$C$2:$C$1501,$A38))</f>
        <v/>
      </c>
      <c r="DK38" s="33" t="str">
        <f aca="false">IF($A38="","",ROUND(IF(SUMIFS(campaigns!$BO$2:$BO$51,campaigns!$B$2:$B$51,$B38)=0,0,$BO38/SUMIFS(campaigns!$BO$2:$BO$51,campaigns!$B$2:$B$51,$B38))*(SUMIFS(hours!$E$2:$E$1501,hours!$B$2:$B$1501,$B38)-SUMPRODUCT((hours!$B$2:$B$1501=$B38)*(LEN(hours!$C$2:$C$1501)&gt;0)*hours!$E$2:$E$1501)),2))</f>
        <v/>
      </c>
      <c r="DL38" s="32" t="str">
        <f aca="false">IF($A38="","",$DC38-$DG38-$DH38-$DI38)</f>
        <v/>
      </c>
      <c r="DM38" s="32" t="str">
        <f aca="false">IF($A38="","",IF(N($DJ38)+N($DK38)=0,"",ROUND($DL38/($DJ38+$DK38),2)))</f>
        <v/>
      </c>
      <c r="DN38" s="34" t="str">
        <f aca="false">IF($A38="","",IF(N($BP38)=0,"",COUNTIFS(approvals!$A$2:$A$251,$A38,approvals!$Q$2:$Q$251,"Y",approvals!$AK$2:$AK$251,"Y")/$BP38))</f>
        <v/>
      </c>
      <c r="DO38" s="33" t="str">
        <f aca="false">IF($A38="","",IF(COUNTIFS(approvals!$A$2:$A$251,$A38,approvals!$AC$2:$AC$251,"&gt;=0")=0,"",ROUND(SUMIFS(approvals!$AC$2:$AC$251,approvals!$A$2:$A$251,$A38)/COUNTIFS(approvals!$A$2:$A$251,$A38,approvals!$AC$2:$AC$251,"&gt;=0"),1)))</f>
        <v/>
      </c>
      <c r="DP38" s="31" t="str">
        <f aca="false">IF($A38="","",IFERROR(IF(INDEX(drops!$T$2:$T$21,MATCH($B38,drops!$A$2:$A$21,0))="","",INDEX(drops!$T$2:$T$21,MATCH($B38,drops!$A$2:$A$21,0))),""))</f>
        <v/>
      </c>
      <c r="DQ38" s="31" t="str">
        <f aca="false">IF($A38="","",IFERROR(IF(INDEX(drops!$U$2:$U$21,MATCH($B38,drops!$A$2:$A$21,0))="","",INDEX(drops!$U$2:$U$21,MATCH($B38,drops!$A$2:$A$21,0))),""))</f>
        <v/>
      </c>
      <c r="DR38" s="31" t="str">
        <f aca="false">IF($A38="","",IFERROR(IF(INDEX(drops!$W$2:$W$21,MATCH($B38,drops!$A$2:$A$21,0))="","",INDEX(drops!$W$2:$W$21,MATCH($B38,drops!$A$2:$A$21,0))),""))</f>
        <v/>
      </c>
      <c r="DS38" s="30" t="str">
        <f aca="false">IF($A38="","",IF($CE38="","",IF($CE38&gt;=config!$B$31,"pass","miss")))</f>
        <v/>
      </c>
      <c r="DT38" s="30" t="str">
        <f aca="false">IF($A38="","",IF($CI38="","",IF($CI38&gt;=config!$B$30,"pass","miss")))</f>
        <v/>
      </c>
      <c r="DU38" s="30" t="str">
        <f aca="true">IF($A38="","",IF($AT38="",IF($DP38="","",IF(IF(config!$B$37&lt;&gt;"",config!$B$37,TODAY())&gt;$DP38,"late","due")),IF($AT38&lt;=$DP38,"pass","late")))</f>
        <v/>
      </c>
      <c r="DV38" s="30" t="str">
        <f aca="false">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ustomFormat="false" ht="15" hidden="false" customHeight="false" outlineLevel="0" collapsed="false">
      <c r="D39" s="10"/>
      <c r="G39" s="12"/>
      <c r="H39" s="11"/>
      <c r="M39" s="10"/>
      <c r="Y39" s="10"/>
      <c r="Z39" s="10"/>
      <c r="AB39" s="11"/>
      <c r="AC39" s="11"/>
      <c r="AD39" s="11"/>
      <c r="AF39" s="11"/>
      <c r="AG39" s="11"/>
      <c r="AT39" s="11"/>
      <c r="AU39" s="11"/>
      <c r="AV39" s="10"/>
      <c r="AW39" s="10"/>
      <c r="AY39" s="11"/>
      <c r="BA39" s="11"/>
      <c r="BB39" s="11"/>
      <c r="BC39" s="11"/>
      <c r="BE39" s="30" t="str">
        <f aca="false">IF($A39="","",IFERROR(IF(INDEX(brands!$K$2:$K$41,MATCH($C39,brands!$A$2:$A$41,0))="","",INDEX(brands!$K$2:$K$41,MATCH($C39,brands!$A$2:$A$41,0))),""))</f>
        <v/>
      </c>
      <c r="BF39" s="30" t="str">
        <f aca="false">IF($A39="","",IFERROR(IF(INDEX(brands!$M$2:$M$41,MATCH($C39,brands!$A$2:$A$41,0))="","",INDEX(brands!$M$2:$M$41,MATCH($C39,brands!$A$2:$A$41,0))),""))</f>
        <v/>
      </c>
      <c r="BG39" s="31" t="str">
        <f aca="false">IF($A39="","",IF(IFERROR(IF(INDEX(drops!$I$2:$I$21,MATCH($B39,drops!$A$2:$A$21,0))="","",INDEX(drops!$I$2:$I$21,MATCH($B39,drops!$A$2:$A$21,0))),"")="OK",IFERROR(IF(INDEX(drops!$B$2:$B$21,MATCH($B39,drops!$A$2:$A$21,0))="","",INDEX(drops!$B$2:$B$21,MATCH($B39,drops!$A$2:$A$21,0))),""),""))</f>
        <v/>
      </c>
      <c r="BH39" s="30" t="str">
        <f aca="false">IF($A39="","",IFERROR(IF(INDEX(drops!$C$2:$C$21,MATCH($B39,drops!$A$2:$A$21,0))="","",INDEX(drops!$C$2:$C$21,MATCH($B39,drops!$A$2:$A$21,0))),""))</f>
        <v/>
      </c>
      <c r="BI39" s="32" t="str">
        <f aca="false">IF($A39="","",IF($F39="","",IF($D39="founding",IF($E39="Y",config!$B$25*MIN($F39,config!$B$26)+config!$B$24*MAX(0,$F39-config!$B$26),config!$B$20+config!$B$24*MAX(0,$F39-config!$B$21)),IF($D39="standard",config!$B$22+config!$B$24*MAX(0,$F39-config!$B$23),""))))</f>
        <v/>
      </c>
      <c r="BJ39" s="32" t="str">
        <f aca="false">IF($A39="","",IF($G39&lt;&gt;"",$G39,$BI39))</f>
        <v/>
      </c>
      <c r="BK39" s="30" t="str">
        <f aca="false">IF($A39="","",IF($D39="founding","100% within "&amp;config!$B$27&amp;" business days of the invoice, before shipping",IF($D39="standard","50% on signing; 50% at placement confirmation (T+1)","")))</f>
        <v/>
      </c>
      <c r="BL39" s="31" t="str">
        <f aca="false">IF($A39="","",IFERROR(IF(INDEX(drops!$K$2:$K$21,MATCH($B39,drops!$A$2:$A$21,0))="","",INDEX(drops!$K$2:$K$21,MATCH($B39,drops!$A$2:$A$21,0))),""))</f>
        <v/>
      </c>
      <c r="BM39" s="31" t="str">
        <f aca="false">IF($A39="","",IFERROR(IF(INDEX(drops!$L$2:$L$21,MATCH($B39,drops!$A$2:$A$21,0))="","",INDEX(drops!$L$2:$L$21,MATCH($B39,drops!$A$2:$A$21,0))),""))</f>
        <v/>
      </c>
      <c r="BN39" s="30" t="str">
        <f aca="false">IF($A39="","",COUNTIF(approvals!$A$2:$A$251,$A39))</f>
        <v/>
      </c>
      <c r="BO39" s="30" t="str">
        <f aca="false">IF($A39="","",COUNTIFS(approvals!$A$2:$A$251,$A39,approvals!$P$2:$P$251,"Y"))</f>
        <v/>
      </c>
      <c r="BP39" s="30" t="str">
        <f aca="false">IF($A39="","",COUNTIFS(approvals!$A$2:$A$251,$A39,approvals!$Q$2:$Q$251,"Y"))</f>
        <v/>
      </c>
      <c r="BQ39" s="30" t="str">
        <f aca="false">IF($A39="","",COUNTIFS(approvals!$A$2:$A$251,$A39,approvals!$P$2:$P$251,"pending"))</f>
        <v/>
      </c>
      <c r="BR39" s="30" t="str">
        <f aca="false">IF($A39="","",SUMIFS(approvals!$S$2:$S$251,approvals!$A$2:$A$251,$A39,approvals!$P$2:$P$251,"Y"))</f>
        <v/>
      </c>
      <c r="BS39" s="30" t="str">
        <f aca="false">IF($A39="","",ROUNDUP($BR39*config!$B$18,0))</f>
        <v/>
      </c>
      <c r="BT39" s="30" t="str">
        <f aca="false">IF($A39="","",$BR39+$BS39)</f>
        <v/>
      </c>
      <c r="BU39" s="32" t="str">
        <f aca="false">IF($A39="","",SUMIFS(invoices!$I$2:$I$151,invoices!$B$2:$B$151,$A39,invoices!$R$2:$R$151,"Y",invoices!$H$2:$H$151,"&gt;0"))</f>
        <v/>
      </c>
      <c r="BV39" s="32" t="str">
        <f aca="false">IF($A39="","",IF($BJ39="","",IF($D39="founding",$BJ39,ROUND($BJ39*config!$B$28,2))))</f>
        <v/>
      </c>
      <c r="BW39" s="30" t="str">
        <f aca="false">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30" t="str">
        <f aca="false">IF($A39="","",SUMIFS(inventory!$G$2:$G$801,inventory!$C$2:$C$801,$A39,inventory!$E$2:$E$801,"received"))</f>
        <v/>
      </c>
      <c r="BY39" s="30" t="str">
        <f aca="false">IF($A39="","",SUMIFS(inventory!$G$2:$G$801,inventory!$C$2:$C$801,$A39,inventory!$E$2:$E$801,"rejected"))</f>
        <v/>
      </c>
      <c r="BZ39" s="30" t="str">
        <f aca="false">IF($A39="","",SUMIFS(inventory!$M$2:$M$801,inventory!$C$2:$C$801,$A39))</f>
        <v/>
      </c>
      <c r="CA39" s="30" t="str">
        <f aca="false">IF($A39="","",SUMIFS(inventory!$O$2:$O$801,inventory!$C$2:$C$801,$A39))</f>
        <v/>
      </c>
      <c r="CB39" s="30" t="str">
        <f aca="false">IF($A39="","",SUMIFS(approvals!$U$2:$U$251,approvals!$A$2:$A$251,$A39))</f>
        <v/>
      </c>
      <c r="CC39" s="30" t="str">
        <f aca="false">IF($A39="","",SUMIFS(approvals!$AA$2:$AA$251,approvals!$A$2:$A$251,$A39))</f>
        <v/>
      </c>
      <c r="CD39" s="30" t="str">
        <f aca="false">IF($A39="","",SUMIFS(approvals!$AA$2:$AA$251,approvals!$A$2:$A$251,$A39,approvals!$AB$2:$AB$251,"Y"))</f>
        <v/>
      </c>
      <c r="CE39" s="34" t="str">
        <f aca="false">IF($A39="","",IF(N($CB39)=0,"",$CD39/$CB39))</f>
        <v/>
      </c>
      <c r="CF39" s="30" t="str">
        <f aca="false">IF($A39="","",SUMIFS(approvals!$AD$2:$AD$251,approvals!$A$2:$A$251,$A39))</f>
        <v/>
      </c>
      <c r="CG39" s="30" t="str">
        <f aca="false">IF($A39="","",IF(COUNTIFS(approvals!$A$2:$A$251,$A39,approvals!$Q$2:$Q$251,"Y",approvals!$AG$2:$AG$251,"")&gt;0,"",SUMIFS(approvals!$AG$2:$AG$251,approvals!$A$2:$A$251,$A39,approvals!$Q$2:$Q$251,"Y")))</f>
        <v/>
      </c>
      <c r="CH39" s="30" t="str">
        <f aca="false">IF($A39="","",SUMIFS(approvals!$AL$2:$AL$251,approvals!$A$2:$A$251,$A39,approvals!$Q$2:$Q$251,"Y"))</f>
        <v/>
      </c>
      <c r="CI39" s="30" t="str">
        <f aca="false">IF($A39="","",IF(N($BP39)=0,"",SUMPRODUCT(MIN(approvals!$BB$2:$BB$251+(approvals!$A$2:$A$251&lt;&gt;$A39)*1000000))))</f>
        <v/>
      </c>
      <c r="CJ39" s="30" t="str">
        <f aca="false">IF($A39="","",COUNTIFS(approvals!$A$2:$A$251,$A39,approvals!$Q$2:$Q$251,"Y",approvals!$AL$2:$AL$251,"&lt;"&amp;config!$B$30))</f>
        <v/>
      </c>
      <c r="CK39" s="30" t="str">
        <f aca="false">IF($A39="","",SUMIFS(approvals!$AM$2:$AM$251,approvals!$A$2:$A$251,$A39,approvals!$Q$2:$Q$251,"Y"))</f>
        <v/>
      </c>
      <c r="CL39" s="30" t="str">
        <f aca="false">IF($A39="","",SUMIFS(approvals!$AQ$2:$AQ$251,approvals!$A$2:$A$251,$A39,approvals!$Q$2:$Q$251,"Y"))</f>
        <v/>
      </c>
      <c r="CM39" s="30" t="str">
        <f aca="false">IF($A39="","",SUMIFS(approvals!$AR$2:$AR$251,approvals!$A$2:$A$251,$A39,approvals!$Q$2:$Q$251,"Y"))</f>
        <v/>
      </c>
      <c r="CN39" s="30" t="str">
        <f aca="false">IF($A39="","",SUMIFS(approvals!$AS$2:$AS$251,approvals!$A$2:$A$251,$A39,approvals!$Q$2:$Q$251,"Y"))</f>
        <v/>
      </c>
      <c r="CO39" s="30" t="str">
        <f aca="false">IF($A39="","",SUMIFS(approvals!$AT$2:$AT$251,approvals!$A$2:$A$251,$A39,approvals!$Q$2:$Q$251,"Y"))</f>
        <v/>
      </c>
      <c r="CP39" s="33" t="str">
        <f aca="false">IF($A39="","",IF(N($CO39)=0,"",ROUND(SUMIFS(approvals!$AU$2:$AU$251,approvals!$A$2:$A$251,$A39,approvals!$Q$2:$Q$251,"Y")/$CO39,1)))</f>
        <v/>
      </c>
      <c r="CQ39" s="30" t="str">
        <f aca="false">IF($A39="","",SUMIFS(approvals!$AV$2:$AV$251,approvals!$A$2:$A$251,$A39,approvals!$Q$2:$Q$251,"Y"))</f>
        <v/>
      </c>
      <c r="CR39" s="30" t="str">
        <f aca="false">IF($A39="","",SUMIFS(approvals!$AW$2:$AW$251,approvals!$A$2:$A$251,$A39,approvals!$Q$2:$Q$251,"Y"))</f>
        <v/>
      </c>
      <c r="CS39" s="30" t="str">
        <f aca="false">IF($A39="","",SUMIFS(approvals!$AX$2:$AX$251,approvals!$A$2:$A$251,$A39,approvals!$Q$2:$Q$251,"Y"))</f>
        <v/>
      </c>
      <c r="CT39" s="30" t="str">
        <f aca="false">IF($A39="","",SUMIFS(approvals!$AY$2:$AY$251,approvals!$A$2:$A$251,$A39,approvals!$Q$2:$Q$251,"Y"))</f>
        <v/>
      </c>
      <c r="CU39" s="30" t="str">
        <f aca="true">IF($A39="","",IF(OR($BG39="",$BC39&lt;&gt;""),"",IFERROR(COUNT(INDIRECT("'"&amp;$A39&amp;"'!$A$2:$A$501")),0)-IFERROR(COUNTIFS(INDIRECT("'"&amp;$A39&amp;"'!$A$2:$A$501"),"&gt;="&amp;$BG39,INDIRECT("'"&amp;$A39&amp;"'!$A$2:$A$501"),"&lt;"&amp;(IFERROR(IF(INDEX(drops!$R$2:$R$21,MATCH($B39,drops!$A$2:$A$21,0))="","",INDEX(drops!$R$2:$R$21,MATCH($B39,drops!$A$2:$A$21,0))),"")+1)),0)))</f>
        <v/>
      </c>
      <c r="CV39" s="30" t="str">
        <f aca="true">IF($A39="","",IF(OR($BG39="",$BC39&lt;&gt;""),"",IFERROR(COUNTIFS(INDIRECT("'"&amp;$A39&amp;"'!$A$2:$A$501"),"&gt;="&amp;$BG39,INDIRECT("'"&amp;$A39&amp;"'!$A$2:$A$501"),"&lt;"&amp;(IFERROR(IF(INDEX(drops!$R$2:$R$21,MATCH($B39,drops!$A$2:$A$21,0))="","",INDEX(drops!$R$2:$R$21,MATCH($B39,drops!$A$2:$A$21,0))),"")+1)),0)-N($CH39)-N($CW39)))</f>
        <v/>
      </c>
      <c r="CW39" s="30" t="str">
        <f aca="false">IF($A39="","",IF($BG39="","",SUMIFS(approvals!$AL$2:$AL$251,approvals!$A$2:$A$251,$A39,approvals!$Q$2:$Q$251,"&lt;&gt;Y")))</f>
        <v/>
      </c>
      <c r="CX39" s="30" t="str">
        <f aca="false">IF($A39="","",SUMIFS(approvals!$AN$2:$AN$251,approvals!$A$2:$A$251,$A39,approvals!$Q$2:$Q$251,"Y"))</f>
        <v/>
      </c>
      <c r="CY39" s="30" t="str">
        <f aca="false">IF($A39="","",SUMIFS(approvals!$AO$2:$AO$251,approvals!$A$2:$A$251,$A39,approvals!$Q$2:$Q$251,"Y"))</f>
        <v/>
      </c>
      <c r="CZ39" s="30" t="str">
        <f aca="false">IF($A39="","",IF($DA39="","",SUMIFS(redemptions!$C$2:$C$121,redemptions!$A$2:$A$121,$A39,redemptions!$B$2:$B$121,$DA39)))</f>
        <v/>
      </c>
      <c r="DA39" s="31" t="str">
        <f aca="false">IF($A39="","",IFERROR(1/(1/SUMPRODUCT(MAX((redemptions!$A$2:$A$121=$A39)*redemptions!$B$2:$B$121))),""))</f>
        <v/>
      </c>
      <c r="DB39" s="30" t="str">
        <f aca="false">IF($A39="","",IF(COUNTIFS(redemptions!$A$2:$A$121,$A39,redemptions!$H$2:$H$121,"Y")=0,"",SUMIFS(redemptions!$C$2:$C$121,redemptions!$A$2:$A$121,$A39,redemptions!$B$2:$B$121,SUMPRODUCT(MIN((redemptions!$A$2:$A$121=$A39)*(redemptions!$H$2:$H$121="Y")*redemptions!$B$2:$B$121+((redemptions!$A$2:$A$121&lt;&gt;$A39)+(redemptions!$H$2:$H$121&lt;&gt;"Y")&gt;0)*1000000)))))</f>
        <v/>
      </c>
      <c r="DC39" s="32" t="str">
        <f aca="false">IF($A39="","",SUMIFS(invoices!$E$2:$E$151,invoices!$B$2:$B$151,$A39))</f>
        <v/>
      </c>
      <c r="DD39" s="32" t="str">
        <f aca="false">IF($A39="","",IF(COUNTIFS(invoices!$B$2:$B$151,$A39,invoices!$C$2:$C$151,"standard_deposit",invoices!$H$2:$H$151,"&gt;0")=0,"",SUMIFS(invoices!$I$2:$I$151,invoices!$B$2:$B$151,$A39,invoices!$C$2:$C$151,"standard_deposit")))</f>
        <v/>
      </c>
      <c r="DE39" s="31" t="str">
        <f aca="false">IF($A39="","",IFERROR(1/(1/SUMPRODUCT(MAX((invoices!$B$2:$B$151=$A39)*(invoices!$C$2:$C$151="standard_deposit")*invoices!$H$2:$H$151))),""))</f>
        <v/>
      </c>
      <c r="DF39" s="31" t="str">
        <f aca="false">IF($A39="","",IFERROR(1/(1/SUMPRODUCT(MAX((invoices!$B$2:$B$151=$A39)*((invoices!$C$2:$C$151="founding_full")+(invoices!$C$2:$C$151="standard_balance"))*invoices!$H$2:$H$151))),""))</f>
        <v/>
      </c>
      <c r="DG39" s="32" t="str">
        <f aca="false">IF($A39="","",SUMIFS(invoices!$L$2:$L$151,invoices!$B$2:$B$151,$A39))</f>
        <v/>
      </c>
      <c r="DH39" s="32" t="str">
        <f aca="false">IF($A39="","",SUMIFS(costs!$E$2:$E$301,costs!$C$2:$C$301,$A39))</f>
        <v/>
      </c>
      <c r="DI39" s="32" t="str">
        <f aca="false">IF($A39="","",ROUND(IF(SUMIFS(campaigns!$BO$2:$BO$51,campaigns!$B$2:$B$51,$B39)=0,0,$BO39/SUMIFS(campaigns!$BO$2:$BO$51,campaigns!$B$2:$B$51,$B39))*(SUMIFS(costs!$E$2:$E$301,costs!$B$2:$B$301,$B39)-SUMPRODUCT((costs!$B$2:$B$301=$B39)*(LEN(costs!$C$2:$C$301)&gt;0)*costs!$E$2:$E$301)),2))</f>
        <v/>
      </c>
      <c r="DJ39" s="33" t="str">
        <f aca="false">IF($A39="","",SUMIFS(hours!$E$2:$E$1501,hours!$C$2:$C$1501,$A39))</f>
        <v/>
      </c>
      <c r="DK39" s="33" t="str">
        <f aca="false">IF($A39="","",ROUND(IF(SUMIFS(campaigns!$BO$2:$BO$51,campaigns!$B$2:$B$51,$B39)=0,0,$BO39/SUMIFS(campaigns!$BO$2:$BO$51,campaigns!$B$2:$B$51,$B39))*(SUMIFS(hours!$E$2:$E$1501,hours!$B$2:$B$1501,$B39)-SUMPRODUCT((hours!$B$2:$B$1501=$B39)*(LEN(hours!$C$2:$C$1501)&gt;0)*hours!$E$2:$E$1501)),2))</f>
        <v/>
      </c>
      <c r="DL39" s="32" t="str">
        <f aca="false">IF($A39="","",$DC39-$DG39-$DH39-$DI39)</f>
        <v/>
      </c>
      <c r="DM39" s="32" t="str">
        <f aca="false">IF($A39="","",IF(N($DJ39)+N($DK39)=0,"",ROUND($DL39/($DJ39+$DK39),2)))</f>
        <v/>
      </c>
      <c r="DN39" s="34" t="str">
        <f aca="false">IF($A39="","",IF(N($BP39)=0,"",COUNTIFS(approvals!$A$2:$A$251,$A39,approvals!$Q$2:$Q$251,"Y",approvals!$AK$2:$AK$251,"Y")/$BP39))</f>
        <v/>
      </c>
      <c r="DO39" s="33" t="str">
        <f aca="false">IF($A39="","",IF(COUNTIFS(approvals!$A$2:$A$251,$A39,approvals!$AC$2:$AC$251,"&gt;=0")=0,"",ROUND(SUMIFS(approvals!$AC$2:$AC$251,approvals!$A$2:$A$251,$A39)/COUNTIFS(approvals!$A$2:$A$251,$A39,approvals!$AC$2:$AC$251,"&gt;=0"),1)))</f>
        <v/>
      </c>
      <c r="DP39" s="31" t="str">
        <f aca="false">IF($A39="","",IFERROR(IF(INDEX(drops!$T$2:$T$21,MATCH($B39,drops!$A$2:$A$21,0))="","",INDEX(drops!$T$2:$T$21,MATCH($B39,drops!$A$2:$A$21,0))),""))</f>
        <v/>
      </c>
      <c r="DQ39" s="31" t="str">
        <f aca="false">IF($A39="","",IFERROR(IF(INDEX(drops!$U$2:$U$21,MATCH($B39,drops!$A$2:$A$21,0))="","",INDEX(drops!$U$2:$U$21,MATCH($B39,drops!$A$2:$A$21,0))),""))</f>
        <v/>
      </c>
      <c r="DR39" s="31" t="str">
        <f aca="false">IF($A39="","",IFERROR(IF(INDEX(drops!$W$2:$W$21,MATCH($B39,drops!$A$2:$A$21,0))="","",INDEX(drops!$W$2:$W$21,MATCH($B39,drops!$A$2:$A$21,0))),""))</f>
        <v/>
      </c>
      <c r="DS39" s="30" t="str">
        <f aca="false">IF($A39="","",IF($CE39="","",IF($CE39&gt;=config!$B$31,"pass","miss")))</f>
        <v/>
      </c>
      <c r="DT39" s="30" t="str">
        <f aca="false">IF($A39="","",IF($CI39="","",IF($CI39&gt;=config!$B$30,"pass","miss")))</f>
        <v/>
      </c>
      <c r="DU39" s="30" t="str">
        <f aca="true">IF($A39="","",IF($AT39="",IF($DP39="","",IF(IF(config!$B$37&lt;&gt;"",config!$B$37,TODAY())&gt;$DP39,"late","due")),IF($AT39&lt;=$DP39,"pass","late")))</f>
        <v/>
      </c>
      <c r="DV39" s="30" t="str">
        <f aca="false">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ustomFormat="false" ht="15" hidden="false" customHeight="false" outlineLevel="0" collapsed="false">
      <c r="D40" s="10"/>
      <c r="G40" s="12"/>
      <c r="H40" s="11"/>
      <c r="M40" s="10"/>
      <c r="Y40" s="10"/>
      <c r="Z40" s="10"/>
      <c r="AB40" s="11"/>
      <c r="AC40" s="11"/>
      <c r="AD40" s="11"/>
      <c r="AF40" s="11"/>
      <c r="AG40" s="11"/>
      <c r="AT40" s="11"/>
      <c r="AU40" s="11"/>
      <c r="AV40" s="10"/>
      <c r="AW40" s="10"/>
      <c r="AY40" s="11"/>
      <c r="BA40" s="11"/>
      <c r="BB40" s="11"/>
      <c r="BC40" s="11"/>
      <c r="BE40" s="30" t="str">
        <f aca="false">IF($A40="","",IFERROR(IF(INDEX(brands!$K$2:$K$41,MATCH($C40,brands!$A$2:$A$41,0))="","",INDEX(brands!$K$2:$K$41,MATCH($C40,brands!$A$2:$A$41,0))),""))</f>
        <v/>
      </c>
      <c r="BF40" s="30" t="str">
        <f aca="false">IF($A40="","",IFERROR(IF(INDEX(brands!$M$2:$M$41,MATCH($C40,brands!$A$2:$A$41,0))="","",INDEX(brands!$M$2:$M$41,MATCH($C40,brands!$A$2:$A$41,0))),""))</f>
        <v/>
      </c>
      <c r="BG40" s="31" t="str">
        <f aca="false">IF($A40="","",IF(IFERROR(IF(INDEX(drops!$I$2:$I$21,MATCH($B40,drops!$A$2:$A$21,0))="","",INDEX(drops!$I$2:$I$21,MATCH($B40,drops!$A$2:$A$21,0))),"")="OK",IFERROR(IF(INDEX(drops!$B$2:$B$21,MATCH($B40,drops!$A$2:$A$21,0))="","",INDEX(drops!$B$2:$B$21,MATCH($B40,drops!$A$2:$A$21,0))),""),""))</f>
        <v/>
      </c>
      <c r="BH40" s="30" t="str">
        <f aca="false">IF($A40="","",IFERROR(IF(INDEX(drops!$C$2:$C$21,MATCH($B40,drops!$A$2:$A$21,0))="","",INDEX(drops!$C$2:$C$21,MATCH($B40,drops!$A$2:$A$21,0))),""))</f>
        <v/>
      </c>
      <c r="BI40" s="32" t="str">
        <f aca="false">IF($A40="","",IF($F40="","",IF($D40="founding",IF($E40="Y",config!$B$25*MIN($F40,config!$B$26)+config!$B$24*MAX(0,$F40-config!$B$26),config!$B$20+config!$B$24*MAX(0,$F40-config!$B$21)),IF($D40="standard",config!$B$22+config!$B$24*MAX(0,$F40-config!$B$23),""))))</f>
        <v/>
      </c>
      <c r="BJ40" s="32" t="str">
        <f aca="false">IF($A40="","",IF($G40&lt;&gt;"",$G40,$BI40))</f>
        <v/>
      </c>
      <c r="BK40" s="30" t="str">
        <f aca="false">IF($A40="","",IF($D40="founding","100% within "&amp;config!$B$27&amp;" business days of the invoice, before shipping",IF($D40="standard","50% on signing; 50% at placement confirmation (T+1)","")))</f>
        <v/>
      </c>
      <c r="BL40" s="31" t="str">
        <f aca="false">IF($A40="","",IFERROR(IF(INDEX(drops!$K$2:$K$21,MATCH($B40,drops!$A$2:$A$21,0))="","",INDEX(drops!$K$2:$K$21,MATCH($B40,drops!$A$2:$A$21,0))),""))</f>
        <v/>
      </c>
      <c r="BM40" s="31" t="str">
        <f aca="false">IF($A40="","",IFERROR(IF(INDEX(drops!$L$2:$L$21,MATCH($B40,drops!$A$2:$A$21,0))="","",INDEX(drops!$L$2:$L$21,MATCH($B40,drops!$A$2:$A$21,0))),""))</f>
        <v/>
      </c>
      <c r="BN40" s="30" t="str">
        <f aca="false">IF($A40="","",COUNTIF(approvals!$A$2:$A$251,$A40))</f>
        <v/>
      </c>
      <c r="BO40" s="30" t="str">
        <f aca="false">IF($A40="","",COUNTIFS(approvals!$A$2:$A$251,$A40,approvals!$P$2:$P$251,"Y"))</f>
        <v/>
      </c>
      <c r="BP40" s="30" t="str">
        <f aca="false">IF($A40="","",COUNTIFS(approvals!$A$2:$A$251,$A40,approvals!$Q$2:$Q$251,"Y"))</f>
        <v/>
      </c>
      <c r="BQ40" s="30" t="str">
        <f aca="false">IF($A40="","",COUNTIFS(approvals!$A$2:$A$251,$A40,approvals!$P$2:$P$251,"pending"))</f>
        <v/>
      </c>
      <c r="BR40" s="30" t="str">
        <f aca="false">IF($A40="","",SUMIFS(approvals!$S$2:$S$251,approvals!$A$2:$A$251,$A40,approvals!$P$2:$P$251,"Y"))</f>
        <v/>
      </c>
      <c r="BS40" s="30" t="str">
        <f aca="false">IF($A40="","",ROUNDUP($BR40*config!$B$18,0))</f>
        <v/>
      </c>
      <c r="BT40" s="30" t="str">
        <f aca="false">IF($A40="","",$BR40+$BS40)</f>
        <v/>
      </c>
      <c r="BU40" s="32" t="str">
        <f aca="false">IF($A40="","",SUMIFS(invoices!$I$2:$I$151,invoices!$B$2:$B$151,$A40,invoices!$R$2:$R$151,"Y",invoices!$H$2:$H$151,"&gt;0"))</f>
        <v/>
      </c>
      <c r="BV40" s="32" t="str">
        <f aca="false">IF($A40="","",IF($BJ40="","",IF($D40="founding",$BJ40,ROUND($BJ40*config!$B$28,2))))</f>
        <v/>
      </c>
      <c r="BW40" s="30" t="str">
        <f aca="false">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30" t="str">
        <f aca="false">IF($A40="","",SUMIFS(inventory!$G$2:$G$801,inventory!$C$2:$C$801,$A40,inventory!$E$2:$E$801,"received"))</f>
        <v/>
      </c>
      <c r="BY40" s="30" t="str">
        <f aca="false">IF($A40="","",SUMIFS(inventory!$G$2:$G$801,inventory!$C$2:$C$801,$A40,inventory!$E$2:$E$801,"rejected"))</f>
        <v/>
      </c>
      <c r="BZ40" s="30" t="str">
        <f aca="false">IF($A40="","",SUMIFS(inventory!$M$2:$M$801,inventory!$C$2:$C$801,$A40))</f>
        <v/>
      </c>
      <c r="CA40" s="30" t="str">
        <f aca="false">IF($A40="","",SUMIFS(inventory!$O$2:$O$801,inventory!$C$2:$C$801,$A40))</f>
        <v/>
      </c>
      <c r="CB40" s="30" t="str">
        <f aca="false">IF($A40="","",SUMIFS(approvals!$U$2:$U$251,approvals!$A$2:$A$251,$A40))</f>
        <v/>
      </c>
      <c r="CC40" s="30" t="str">
        <f aca="false">IF($A40="","",SUMIFS(approvals!$AA$2:$AA$251,approvals!$A$2:$A$251,$A40))</f>
        <v/>
      </c>
      <c r="CD40" s="30" t="str">
        <f aca="false">IF($A40="","",SUMIFS(approvals!$AA$2:$AA$251,approvals!$A$2:$A$251,$A40,approvals!$AB$2:$AB$251,"Y"))</f>
        <v/>
      </c>
      <c r="CE40" s="34" t="str">
        <f aca="false">IF($A40="","",IF(N($CB40)=0,"",$CD40/$CB40))</f>
        <v/>
      </c>
      <c r="CF40" s="30" t="str">
        <f aca="false">IF($A40="","",SUMIFS(approvals!$AD$2:$AD$251,approvals!$A$2:$A$251,$A40))</f>
        <v/>
      </c>
      <c r="CG40" s="30" t="str">
        <f aca="false">IF($A40="","",IF(COUNTIFS(approvals!$A$2:$A$251,$A40,approvals!$Q$2:$Q$251,"Y",approvals!$AG$2:$AG$251,"")&gt;0,"",SUMIFS(approvals!$AG$2:$AG$251,approvals!$A$2:$A$251,$A40,approvals!$Q$2:$Q$251,"Y")))</f>
        <v/>
      </c>
      <c r="CH40" s="30" t="str">
        <f aca="false">IF($A40="","",SUMIFS(approvals!$AL$2:$AL$251,approvals!$A$2:$A$251,$A40,approvals!$Q$2:$Q$251,"Y"))</f>
        <v/>
      </c>
      <c r="CI40" s="30" t="str">
        <f aca="false">IF($A40="","",IF(N($BP40)=0,"",SUMPRODUCT(MIN(approvals!$BB$2:$BB$251+(approvals!$A$2:$A$251&lt;&gt;$A40)*1000000))))</f>
        <v/>
      </c>
      <c r="CJ40" s="30" t="str">
        <f aca="false">IF($A40="","",COUNTIFS(approvals!$A$2:$A$251,$A40,approvals!$Q$2:$Q$251,"Y",approvals!$AL$2:$AL$251,"&lt;"&amp;config!$B$30))</f>
        <v/>
      </c>
      <c r="CK40" s="30" t="str">
        <f aca="false">IF($A40="","",SUMIFS(approvals!$AM$2:$AM$251,approvals!$A$2:$A$251,$A40,approvals!$Q$2:$Q$251,"Y"))</f>
        <v/>
      </c>
      <c r="CL40" s="30" t="str">
        <f aca="false">IF($A40="","",SUMIFS(approvals!$AQ$2:$AQ$251,approvals!$A$2:$A$251,$A40,approvals!$Q$2:$Q$251,"Y"))</f>
        <v/>
      </c>
      <c r="CM40" s="30" t="str">
        <f aca="false">IF($A40="","",SUMIFS(approvals!$AR$2:$AR$251,approvals!$A$2:$A$251,$A40,approvals!$Q$2:$Q$251,"Y"))</f>
        <v/>
      </c>
      <c r="CN40" s="30" t="str">
        <f aca="false">IF($A40="","",SUMIFS(approvals!$AS$2:$AS$251,approvals!$A$2:$A$251,$A40,approvals!$Q$2:$Q$251,"Y"))</f>
        <v/>
      </c>
      <c r="CO40" s="30" t="str">
        <f aca="false">IF($A40="","",SUMIFS(approvals!$AT$2:$AT$251,approvals!$A$2:$A$251,$A40,approvals!$Q$2:$Q$251,"Y"))</f>
        <v/>
      </c>
      <c r="CP40" s="33" t="str">
        <f aca="false">IF($A40="","",IF(N($CO40)=0,"",ROUND(SUMIFS(approvals!$AU$2:$AU$251,approvals!$A$2:$A$251,$A40,approvals!$Q$2:$Q$251,"Y")/$CO40,1)))</f>
        <v/>
      </c>
      <c r="CQ40" s="30" t="str">
        <f aca="false">IF($A40="","",SUMIFS(approvals!$AV$2:$AV$251,approvals!$A$2:$A$251,$A40,approvals!$Q$2:$Q$251,"Y"))</f>
        <v/>
      </c>
      <c r="CR40" s="30" t="str">
        <f aca="false">IF($A40="","",SUMIFS(approvals!$AW$2:$AW$251,approvals!$A$2:$A$251,$A40,approvals!$Q$2:$Q$251,"Y"))</f>
        <v/>
      </c>
      <c r="CS40" s="30" t="str">
        <f aca="false">IF($A40="","",SUMIFS(approvals!$AX$2:$AX$251,approvals!$A$2:$A$251,$A40,approvals!$Q$2:$Q$251,"Y"))</f>
        <v/>
      </c>
      <c r="CT40" s="30" t="str">
        <f aca="false">IF($A40="","",SUMIFS(approvals!$AY$2:$AY$251,approvals!$A$2:$A$251,$A40,approvals!$Q$2:$Q$251,"Y"))</f>
        <v/>
      </c>
      <c r="CU40" s="30" t="str">
        <f aca="true">IF($A40="","",IF(OR($BG40="",$BC40&lt;&gt;""),"",IFERROR(COUNT(INDIRECT("'"&amp;$A40&amp;"'!$A$2:$A$501")),0)-IFERROR(COUNTIFS(INDIRECT("'"&amp;$A40&amp;"'!$A$2:$A$501"),"&gt;="&amp;$BG40,INDIRECT("'"&amp;$A40&amp;"'!$A$2:$A$501"),"&lt;"&amp;(IFERROR(IF(INDEX(drops!$R$2:$R$21,MATCH($B40,drops!$A$2:$A$21,0))="","",INDEX(drops!$R$2:$R$21,MATCH($B40,drops!$A$2:$A$21,0))),"")+1)),0)))</f>
        <v/>
      </c>
      <c r="CV40" s="30" t="str">
        <f aca="true">IF($A40="","",IF(OR($BG40="",$BC40&lt;&gt;""),"",IFERROR(COUNTIFS(INDIRECT("'"&amp;$A40&amp;"'!$A$2:$A$501"),"&gt;="&amp;$BG40,INDIRECT("'"&amp;$A40&amp;"'!$A$2:$A$501"),"&lt;"&amp;(IFERROR(IF(INDEX(drops!$R$2:$R$21,MATCH($B40,drops!$A$2:$A$21,0))="","",INDEX(drops!$R$2:$R$21,MATCH($B40,drops!$A$2:$A$21,0))),"")+1)),0)-N($CH40)-N($CW40)))</f>
        <v/>
      </c>
      <c r="CW40" s="30" t="str">
        <f aca="false">IF($A40="","",IF($BG40="","",SUMIFS(approvals!$AL$2:$AL$251,approvals!$A$2:$A$251,$A40,approvals!$Q$2:$Q$251,"&lt;&gt;Y")))</f>
        <v/>
      </c>
      <c r="CX40" s="30" t="str">
        <f aca="false">IF($A40="","",SUMIFS(approvals!$AN$2:$AN$251,approvals!$A$2:$A$251,$A40,approvals!$Q$2:$Q$251,"Y"))</f>
        <v/>
      </c>
      <c r="CY40" s="30" t="str">
        <f aca="false">IF($A40="","",SUMIFS(approvals!$AO$2:$AO$251,approvals!$A$2:$A$251,$A40,approvals!$Q$2:$Q$251,"Y"))</f>
        <v/>
      </c>
      <c r="CZ40" s="30" t="str">
        <f aca="false">IF($A40="","",IF($DA40="","",SUMIFS(redemptions!$C$2:$C$121,redemptions!$A$2:$A$121,$A40,redemptions!$B$2:$B$121,$DA40)))</f>
        <v/>
      </c>
      <c r="DA40" s="31" t="str">
        <f aca="false">IF($A40="","",IFERROR(1/(1/SUMPRODUCT(MAX((redemptions!$A$2:$A$121=$A40)*redemptions!$B$2:$B$121))),""))</f>
        <v/>
      </c>
      <c r="DB40" s="30" t="str">
        <f aca="false">IF($A40="","",IF(COUNTIFS(redemptions!$A$2:$A$121,$A40,redemptions!$H$2:$H$121,"Y")=0,"",SUMIFS(redemptions!$C$2:$C$121,redemptions!$A$2:$A$121,$A40,redemptions!$B$2:$B$121,SUMPRODUCT(MIN((redemptions!$A$2:$A$121=$A40)*(redemptions!$H$2:$H$121="Y")*redemptions!$B$2:$B$121+((redemptions!$A$2:$A$121&lt;&gt;$A40)+(redemptions!$H$2:$H$121&lt;&gt;"Y")&gt;0)*1000000)))))</f>
        <v/>
      </c>
      <c r="DC40" s="32" t="str">
        <f aca="false">IF($A40="","",SUMIFS(invoices!$E$2:$E$151,invoices!$B$2:$B$151,$A40))</f>
        <v/>
      </c>
      <c r="DD40" s="32" t="str">
        <f aca="false">IF($A40="","",IF(COUNTIFS(invoices!$B$2:$B$151,$A40,invoices!$C$2:$C$151,"standard_deposit",invoices!$H$2:$H$151,"&gt;0")=0,"",SUMIFS(invoices!$I$2:$I$151,invoices!$B$2:$B$151,$A40,invoices!$C$2:$C$151,"standard_deposit")))</f>
        <v/>
      </c>
      <c r="DE40" s="31" t="str">
        <f aca="false">IF($A40="","",IFERROR(1/(1/SUMPRODUCT(MAX((invoices!$B$2:$B$151=$A40)*(invoices!$C$2:$C$151="standard_deposit")*invoices!$H$2:$H$151))),""))</f>
        <v/>
      </c>
      <c r="DF40" s="31" t="str">
        <f aca="false">IF($A40="","",IFERROR(1/(1/SUMPRODUCT(MAX((invoices!$B$2:$B$151=$A40)*((invoices!$C$2:$C$151="founding_full")+(invoices!$C$2:$C$151="standard_balance"))*invoices!$H$2:$H$151))),""))</f>
        <v/>
      </c>
      <c r="DG40" s="32" t="str">
        <f aca="false">IF($A40="","",SUMIFS(invoices!$L$2:$L$151,invoices!$B$2:$B$151,$A40))</f>
        <v/>
      </c>
      <c r="DH40" s="32" t="str">
        <f aca="false">IF($A40="","",SUMIFS(costs!$E$2:$E$301,costs!$C$2:$C$301,$A40))</f>
        <v/>
      </c>
      <c r="DI40" s="32" t="str">
        <f aca="false">IF($A40="","",ROUND(IF(SUMIFS(campaigns!$BO$2:$BO$51,campaigns!$B$2:$B$51,$B40)=0,0,$BO40/SUMIFS(campaigns!$BO$2:$BO$51,campaigns!$B$2:$B$51,$B40))*(SUMIFS(costs!$E$2:$E$301,costs!$B$2:$B$301,$B40)-SUMPRODUCT((costs!$B$2:$B$301=$B40)*(LEN(costs!$C$2:$C$301)&gt;0)*costs!$E$2:$E$301)),2))</f>
        <v/>
      </c>
      <c r="DJ40" s="33" t="str">
        <f aca="false">IF($A40="","",SUMIFS(hours!$E$2:$E$1501,hours!$C$2:$C$1501,$A40))</f>
        <v/>
      </c>
      <c r="DK40" s="33" t="str">
        <f aca="false">IF($A40="","",ROUND(IF(SUMIFS(campaigns!$BO$2:$BO$51,campaigns!$B$2:$B$51,$B40)=0,0,$BO40/SUMIFS(campaigns!$BO$2:$BO$51,campaigns!$B$2:$B$51,$B40))*(SUMIFS(hours!$E$2:$E$1501,hours!$B$2:$B$1501,$B40)-SUMPRODUCT((hours!$B$2:$B$1501=$B40)*(LEN(hours!$C$2:$C$1501)&gt;0)*hours!$E$2:$E$1501)),2))</f>
        <v/>
      </c>
      <c r="DL40" s="32" t="str">
        <f aca="false">IF($A40="","",$DC40-$DG40-$DH40-$DI40)</f>
        <v/>
      </c>
      <c r="DM40" s="32" t="str">
        <f aca="false">IF($A40="","",IF(N($DJ40)+N($DK40)=0,"",ROUND($DL40/($DJ40+$DK40),2)))</f>
        <v/>
      </c>
      <c r="DN40" s="34" t="str">
        <f aca="false">IF($A40="","",IF(N($BP40)=0,"",COUNTIFS(approvals!$A$2:$A$251,$A40,approvals!$Q$2:$Q$251,"Y",approvals!$AK$2:$AK$251,"Y")/$BP40))</f>
        <v/>
      </c>
      <c r="DO40" s="33" t="str">
        <f aca="false">IF($A40="","",IF(COUNTIFS(approvals!$A$2:$A$251,$A40,approvals!$AC$2:$AC$251,"&gt;=0")=0,"",ROUND(SUMIFS(approvals!$AC$2:$AC$251,approvals!$A$2:$A$251,$A40)/COUNTIFS(approvals!$A$2:$A$251,$A40,approvals!$AC$2:$AC$251,"&gt;=0"),1)))</f>
        <v/>
      </c>
      <c r="DP40" s="31" t="str">
        <f aca="false">IF($A40="","",IFERROR(IF(INDEX(drops!$T$2:$T$21,MATCH($B40,drops!$A$2:$A$21,0))="","",INDEX(drops!$T$2:$T$21,MATCH($B40,drops!$A$2:$A$21,0))),""))</f>
        <v/>
      </c>
      <c r="DQ40" s="31" t="str">
        <f aca="false">IF($A40="","",IFERROR(IF(INDEX(drops!$U$2:$U$21,MATCH($B40,drops!$A$2:$A$21,0))="","",INDEX(drops!$U$2:$U$21,MATCH($B40,drops!$A$2:$A$21,0))),""))</f>
        <v/>
      </c>
      <c r="DR40" s="31" t="str">
        <f aca="false">IF($A40="","",IFERROR(IF(INDEX(drops!$W$2:$W$21,MATCH($B40,drops!$A$2:$A$21,0))="","",INDEX(drops!$W$2:$W$21,MATCH($B40,drops!$A$2:$A$21,0))),""))</f>
        <v/>
      </c>
      <c r="DS40" s="30" t="str">
        <f aca="false">IF($A40="","",IF($CE40="","",IF($CE40&gt;=config!$B$31,"pass","miss")))</f>
        <v/>
      </c>
      <c r="DT40" s="30" t="str">
        <f aca="false">IF($A40="","",IF($CI40="","",IF($CI40&gt;=config!$B$30,"pass","miss")))</f>
        <v/>
      </c>
      <c r="DU40" s="30" t="str">
        <f aca="true">IF($A40="","",IF($AT40="",IF($DP40="","",IF(IF(config!$B$37&lt;&gt;"",config!$B$37,TODAY())&gt;$DP40,"late","due")),IF($AT40&lt;=$DP40,"pass","late")))</f>
        <v/>
      </c>
      <c r="DV40" s="30" t="str">
        <f aca="false">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ustomFormat="false" ht="15" hidden="false" customHeight="false" outlineLevel="0" collapsed="false">
      <c r="D41" s="10"/>
      <c r="G41" s="12"/>
      <c r="H41" s="11"/>
      <c r="M41" s="10"/>
      <c r="Y41" s="10"/>
      <c r="Z41" s="10"/>
      <c r="AB41" s="11"/>
      <c r="AC41" s="11"/>
      <c r="AD41" s="11"/>
      <c r="AF41" s="11"/>
      <c r="AG41" s="11"/>
      <c r="AT41" s="11"/>
      <c r="AU41" s="11"/>
      <c r="AV41" s="10"/>
      <c r="AW41" s="10"/>
      <c r="AY41" s="11"/>
      <c r="BA41" s="11"/>
      <c r="BB41" s="11"/>
      <c r="BC41" s="11"/>
      <c r="BE41" s="30" t="str">
        <f aca="false">IF($A41="","",IFERROR(IF(INDEX(brands!$K$2:$K$41,MATCH($C41,brands!$A$2:$A$41,0))="","",INDEX(brands!$K$2:$K$41,MATCH($C41,brands!$A$2:$A$41,0))),""))</f>
        <v/>
      </c>
      <c r="BF41" s="30" t="str">
        <f aca="false">IF($A41="","",IFERROR(IF(INDEX(brands!$M$2:$M$41,MATCH($C41,brands!$A$2:$A$41,0))="","",INDEX(brands!$M$2:$M$41,MATCH($C41,brands!$A$2:$A$41,0))),""))</f>
        <v/>
      </c>
      <c r="BG41" s="31" t="str">
        <f aca="false">IF($A41="","",IF(IFERROR(IF(INDEX(drops!$I$2:$I$21,MATCH($B41,drops!$A$2:$A$21,0))="","",INDEX(drops!$I$2:$I$21,MATCH($B41,drops!$A$2:$A$21,0))),"")="OK",IFERROR(IF(INDEX(drops!$B$2:$B$21,MATCH($B41,drops!$A$2:$A$21,0))="","",INDEX(drops!$B$2:$B$21,MATCH($B41,drops!$A$2:$A$21,0))),""),""))</f>
        <v/>
      </c>
      <c r="BH41" s="30" t="str">
        <f aca="false">IF($A41="","",IFERROR(IF(INDEX(drops!$C$2:$C$21,MATCH($B41,drops!$A$2:$A$21,0))="","",INDEX(drops!$C$2:$C$21,MATCH($B41,drops!$A$2:$A$21,0))),""))</f>
        <v/>
      </c>
      <c r="BI41" s="32" t="str">
        <f aca="false">IF($A41="","",IF($F41="","",IF($D41="founding",IF($E41="Y",config!$B$25*MIN($F41,config!$B$26)+config!$B$24*MAX(0,$F41-config!$B$26),config!$B$20+config!$B$24*MAX(0,$F41-config!$B$21)),IF($D41="standard",config!$B$22+config!$B$24*MAX(0,$F41-config!$B$23),""))))</f>
        <v/>
      </c>
      <c r="BJ41" s="32" t="str">
        <f aca="false">IF($A41="","",IF($G41&lt;&gt;"",$G41,$BI41))</f>
        <v/>
      </c>
      <c r="BK41" s="30" t="str">
        <f aca="false">IF($A41="","",IF($D41="founding","100% within "&amp;config!$B$27&amp;" business days of the invoice, before shipping",IF($D41="standard","50% on signing; 50% at placement confirmation (T+1)","")))</f>
        <v/>
      </c>
      <c r="BL41" s="31" t="str">
        <f aca="false">IF($A41="","",IFERROR(IF(INDEX(drops!$K$2:$K$21,MATCH($B41,drops!$A$2:$A$21,0))="","",INDEX(drops!$K$2:$K$21,MATCH($B41,drops!$A$2:$A$21,0))),""))</f>
        <v/>
      </c>
      <c r="BM41" s="31" t="str">
        <f aca="false">IF($A41="","",IFERROR(IF(INDEX(drops!$L$2:$L$21,MATCH($B41,drops!$A$2:$A$21,0))="","",INDEX(drops!$L$2:$L$21,MATCH($B41,drops!$A$2:$A$21,0))),""))</f>
        <v/>
      </c>
      <c r="BN41" s="30" t="str">
        <f aca="false">IF($A41="","",COUNTIF(approvals!$A$2:$A$251,$A41))</f>
        <v/>
      </c>
      <c r="BO41" s="30" t="str">
        <f aca="false">IF($A41="","",COUNTIFS(approvals!$A$2:$A$251,$A41,approvals!$P$2:$P$251,"Y"))</f>
        <v/>
      </c>
      <c r="BP41" s="30" t="str">
        <f aca="false">IF($A41="","",COUNTIFS(approvals!$A$2:$A$251,$A41,approvals!$Q$2:$Q$251,"Y"))</f>
        <v/>
      </c>
      <c r="BQ41" s="30" t="str">
        <f aca="false">IF($A41="","",COUNTIFS(approvals!$A$2:$A$251,$A41,approvals!$P$2:$P$251,"pending"))</f>
        <v/>
      </c>
      <c r="BR41" s="30" t="str">
        <f aca="false">IF($A41="","",SUMIFS(approvals!$S$2:$S$251,approvals!$A$2:$A$251,$A41,approvals!$P$2:$P$251,"Y"))</f>
        <v/>
      </c>
      <c r="BS41" s="30" t="str">
        <f aca="false">IF($A41="","",ROUNDUP($BR41*config!$B$18,0))</f>
        <v/>
      </c>
      <c r="BT41" s="30" t="str">
        <f aca="false">IF($A41="","",$BR41+$BS41)</f>
        <v/>
      </c>
      <c r="BU41" s="32" t="str">
        <f aca="false">IF($A41="","",SUMIFS(invoices!$I$2:$I$151,invoices!$B$2:$B$151,$A41,invoices!$R$2:$R$151,"Y",invoices!$H$2:$H$151,"&gt;0"))</f>
        <v/>
      </c>
      <c r="BV41" s="32" t="str">
        <f aca="false">IF($A41="","",IF($BJ41="","",IF($D41="founding",$BJ41,ROUND($BJ41*config!$B$28,2))))</f>
        <v/>
      </c>
      <c r="BW41" s="30" t="str">
        <f aca="false">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30" t="str">
        <f aca="false">IF($A41="","",SUMIFS(inventory!$G$2:$G$801,inventory!$C$2:$C$801,$A41,inventory!$E$2:$E$801,"received"))</f>
        <v/>
      </c>
      <c r="BY41" s="30" t="str">
        <f aca="false">IF($A41="","",SUMIFS(inventory!$G$2:$G$801,inventory!$C$2:$C$801,$A41,inventory!$E$2:$E$801,"rejected"))</f>
        <v/>
      </c>
      <c r="BZ41" s="30" t="str">
        <f aca="false">IF($A41="","",SUMIFS(inventory!$M$2:$M$801,inventory!$C$2:$C$801,$A41))</f>
        <v/>
      </c>
      <c r="CA41" s="30" t="str">
        <f aca="false">IF($A41="","",SUMIFS(inventory!$O$2:$O$801,inventory!$C$2:$C$801,$A41))</f>
        <v/>
      </c>
      <c r="CB41" s="30" t="str">
        <f aca="false">IF($A41="","",SUMIFS(approvals!$U$2:$U$251,approvals!$A$2:$A$251,$A41))</f>
        <v/>
      </c>
      <c r="CC41" s="30" t="str">
        <f aca="false">IF($A41="","",SUMIFS(approvals!$AA$2:$AA$251,approvals!$A$2:$A$251,$A41))</f>
        <v/>
      </c>
      <c r="CD41" s="30" t="str">
        <f aca="false">IF($A41="","",SUMIFS(approvals!$AA$2:$AA$251,approvals!$A$2:$A$251,$A41,approvals!$AB$2:$AB$251,"Y"))</f>
        <v/>
      </c>
      <c r="CE41" s="34" t="str">
        <f aca="false">IF($A41="","",IF(N($CB41)=0,"",$CD41/$CB41))</f>
        <v/>
      </c>
      <c r="CF41" s="30" t="str">
        <f aca="false">IF($A41="","",SUMIFS(approvals!$AD$2:$AD$251,approvals!$A$2:$A$251,$A41))</f>
        <v/>
      </c>
      <c r="CG41" s="30" t="str">
        <f aca="false">IF($A41="","",IF(COUNTIFS(approvals!$A$2:$A$251,$A41,approvals!$Q$2:$Q$251,"Y",approvals!$AG$2:$AG$251,"")&gt;0,"",SUMIFS(approvals!$AG$2:$AG$251,approvals!$A$2:$A$251,$A41,approvals!$Q$2:$Q$251,"Y")))</f>
        <v/>
      </c>
      <c r="CH41" s="30" t="str">
        <f aca="false">IF($A41="","",SUMIFS(approvals!$AL$2:$AL$251,approvals!$A$2:$A$251,$A41,approvals!$Q$2:$Q$251,"Y"))</f>
        <v/>
      </c>
      <c r="CI41" s="30" t="str">
        <f aca="false">IF($A41="","",IF(N($BP41)=0,"",SUMPRODUCT(MIN(approvals!$BB$2:$BB$251+(approvals!$A$2:$A$251&lt;&gt;$A41)*1000000))))</f>
        <v/>
      </c>
      <c r="CJ41" s="30" t="str">
        <f aca="false">IF($A41="","",COUNTIFS(approvals!$A$2:$A$251,$A41,approvals!$Q$2:$Q$251,"Y",approvals!$AL$2:$AL$251,"&lt;"&amp;config!$B$30))</f>
        <v/>
      </c>
      <c r="CK41" s="30" t="str">
        <f aca="false">IF($A41="","",SUMIFS(approvals!$AM$2:$AM$251,approvals!$A$2:$A$251,$A41,approvals!$Q$2:$Q$251,"Y"))</f>
        <v/>
      </c>
      <c r="CL41" s="30" t="str">
        <f aca="false">IF($A41="","",SUMIFS(approvals!$AQ$2:$AQ$251,approvals!$A$2:$A$251,$A41,approvals!$Q$2:$Q$251,"Y"))</f>
        <v/>
      </c>
      <c r="CM41" s="30" t="str">
        <f aca="false">IF($A41="","",SUMIFS(approvals!$AR$2:$AR$251,approvals!$A$2:$A$251,$A41,approvals!$Q$2:$Q$251,"Y"))</f>
        <v/>
      </c>
      <c r="CN41" s="30" t="str">
        <f aca="false">IF($A41="","",SUMIFS(approvals!$AS$2:$AS$251,approvals!$A$2:$A$251,$A41,approvals!$Q$2:$Q$251,"Y"))</f>
        <v/>
      </c>
      <c r="CO41" s="30" t="str">
        <f aca="false">IF($A41="","",SUMIFS(approvals!$AT$2:$AT$251,approvals!$A$2:$A$251,$A41,approvals!$Q$2:$Q$251,"Y"))</f>
        <v/>
      </c>
      <c r="CP41" s="33" t="str">
        <f aca="false">IF($A41="","",IF(N($CO41)=0,"",ROUND(SUMIFS(approvals!$AU$2:$AU$251,approvals!$A$2:$A$251,$A41,approvals!$Q$2:$Q$251,"Y")/$CO41,1)))</f>
        <v/>
      </c>
      <c r="CQ41" s="30" t="str">
        <f aca="false">IF($A41="","",SUMIFS(approvals!$AV$2:$AV$251,approvals!$A$2:$A$251,$A41,approvals!$Q$2:$Q$251,"Y"))</f>
        <v/>
      </c>
      <c r="CR41" s="30" t="str">
        <f aca="false">IF($A41="","",SUMIFS(approvals!$AW$2:$AW$251,approvals!$A$2:$A$251,$A41,approvals!$Q$2:$Q$251,"Y"))</f>
        <v/>
      </c>
      <c r="CS41" s="30" t="str">
        <f aca="false">IF($A41="","",SUMIFS(approvals!$AX$2:$AX$251,approvals!$A$2:$A$251,$A41,approvals!$Q$2:$Q$251,"Y"))</f>
        <v/>
      </c>
      <c r="CT41" s="30" t="str">
        <f aca="false">IF($A41="","",SUMIFS(approvals!$AY$2:$AY$251,approvals!$A$2:$A$251,$A41,approvals!$Q$2:$Q$251,"Y"))</f>
        <v/>
      </c>
      <c r="CU41" s="30" t="str">
        <f aca="true">IF($A41="","",IF(OR($BG41="",$BC41&lt;&gt;""),"",IFERROR(COUNT(INDIRECT("'"&amp;$A41&amp;"'!$A$2:$A$501")),0)-IFERROR(COUNTIFS(INDIRECT("'"&amp;$A41&amp;"'!$A$2:$A$501"),"&gt;="&amp;$BG41,INDIRECT("'"&amp;$A41&amp;"'!$A$2:$A$501"),"&lt;"&amp;(IFERROR(IF(INDEX(drops!$R$2:$R$21,MATCH($B41,drops!$A$2:$A$21,0))="","",INDEX(drops!$R$2:$R$21,MATCH($B41,drops!$A$2:$A$21,0))),"")+1)),0)))</f>
        <v/>
      </c>
      <c r="CV41" s="30" t="str">
        <f aca="true">IF($A41="","",IF(OR($BG41="",$BC41&lt;&gt;""),"",IFERROR(COUNTIFS(INDIRECT("'"&amp;$A41&amp;"'!$A$2:$A$501"),"&gt;="&amp;$BG41,INDIRECT("'"&amp;$A41&amp;"'!$A$2:$A$501"),"&lt;"&amp;(IFERROR(IF(INDEX(drops!$R$2:$R$21,MATCH($B41,drops!$A$2:$A$21,0))="","",INDEX(drops!$R$2:$R$21,MATCH($B41,drops!$A$2:$A$21,0))),"")+1)),0)-N($CH41)-N($CW41)))</f>
        <v/>
      </c>
      <c r="CW41" s="30" t="str">
        <f aca="false">IF($A41="","",IF($BG41="","",SUMIFS(approvals!$AL$2:$AL$251,approvals!$A$2:$A$251,$A41,approvals!$Q$2:$Q$251,"&lt;&gt;Y")))</f>
        <v/>
      </c>
      <c r="CX41" s="30" t="str">
        <f aca="false">IF($A41="","",SUMIFS(approvals!$AN$2:$AN$251,approvals!$A$2:$A$251,$A41,approvals!$Q$2:$Q$251,"Y"))</f>
        <v/>
      </c>
      <c r="CY41" s="30" t="str">
        <f aca="false">IF($A41="","",SUMIFS(approvals!$AO$2:$AO$251,approvals!$A$2:$A$251,$A41,approvals!$Q$2:$Q$251,"Y"))</f>
        <v/>
      </c>
      <c r="CZ41" s="30" t="str">
        <f aca="false">IF($A41="","",IF($DA41="","",SUMIFS(redemptions!$C$2:$C$121,redemptions!$A$2:$A$121,$A41,redemptions!$B$2:$B$121,$DA41)))</f>
        <v/>
      </c>
      <c r="DA41" s="31" t="str">
        <f aca="false">IF($A41="","",IFERROR(1/(1/SUMPRODUCT(MAX((redemptions!$A$2:$A$121=$A41)*redemptions!$B$2:$B$121))),""))</f>
        <v/>
      </c>
      <c r="DB41" s="30" t="str">
        <f aca="false">IF($A41="","",IF(COUNTIFS(redemptions!$A$2:$A$121,$A41,redemptions!$H$2:$H$121,"Y")=0,"",SUMIFS(redemptions!$C$2:$C$121,redemptions!$A$2:$A$121,$A41,redemptions!$B$2:$B$121,SUMPRODUCT(MIN((redemptions!$A$2:$A$121=$A41)*(redemptions!$H$2:$H$121="Y")*redemptions!$B$2:$B$121+((redemptions!$A$2:$A$121&lt;&gt;$A41)+(redemptions!$H$2:$H$121&lt;&gt;"Y")&gt;0)*1000000)))))</f>
        <v/>
      </c>
      <c r="DC41" s="32" t="str">
        <f aca="false">IF($A41="","",SUMIFS(invoices!$E$2:$E$151,invoices!$B$2:$B$151,$A41))</f>
        <v/>
      </c>
      <c r="DD41" s="32" t="str">
        <f aca="false">IF($A41="","",IF(COUNTIFS(invoices!$B$2:$B$151,$A41,invoices!$C$2:$C$151,"standard_deposit",invoices!$H$2:$H$151,"&gt;0")=0,"",SUMIFS(invoices!$I$2:$I$151,invoices!$B$2:$B$151,$A41,invoices!$C$2:$C$151,"standard_deposit")))</f>
        <v/>
      </c>
      <c r="DE41" s="31" t="str">
        <f aca="false">IF($A41="","",IFERROR(1/(1/SUMPRODUCT(MAX((invoices!$B$2:$B$151=$A41)*(invoices!$C$2:$C$151="standard_deposit")*invoices!$H$2:$H$151))),""))</f>
        <v/>
      </c>
      <c r="DF41" s="31" t="str">
        <f aca="false">IF($A41="","",IFERROR(1/(1/SUMPRODUCT(MAX((invoices!$B$2:$B$151=$A41)*((invoices!$C$2:$C$151="founding_full")+(invoices!$C$2:$C$151="standard_balance"))*invoices!$H$2:$H$151))),""))</f>
        <v/>
      </c>
      <c r="DG41" s="32" t="str">
        <f aca="false">IF($A41="","",SUMIFS(invoices!$L$2:$L$151,invoices!$B$2:$B$151,$A41))</f>
        <v/>
      </c>
      <c r="DH41" s="32" t="str">
        <f aca="false">IF($A41="","",SUMIFS(costs!$E$2:$E$301,costs!$C$2:$C$301,$A41))</f>
        <v/>
      </c>
      <c r="DI41" s="32" t="str">
        <f aca="false">IF($A41="","",ROUND(IF(SUMIFS(campaigns!$BO$2:$BO$51,campaigns!$B$2:$B$51,$B41)=0,0,$BO41/SUMIFS(campaigns!$BO$2:$BO$51,campaigns!$B$2:$B$51,$B41))*(SUMIFS(costs!$E$2:$E$301,costs!$B$2:$B$301,$B41)-SUMPRODUCT((costs!$B$2:$B$301=$B41)*(LEN(costs!$C$2:$C$301)&gt;0)*costs!$E$2:$E$301)),2))</f>
        <v/>
      </c>
      <c r="DJ41" s="33" t="str">
        <f aca="false">IF($A41="","",SUMIFS(hours!$E$2:$E$1501,hours!$C$2:$C$1501,$A41))</f>
        <v/>
      </c>
      <c r="DK41" s="33" t="str">
        <f aca="false">IF($A41="","",ROUND(IF(SUMIFS(campaigns!$BO$2:$BO$51,campaigns!$B$2:$B$51,$B41)=0,0,$BO41/SUMIFS(campaigns!$BO$2:$BO$51,campaigns!$B$2:$B$51,$B41))*(SUMIFS(hours!$E$2:$E$1501,hours!$B$2:$B$1501,$B41)-SUMPRODUCT((hours!$B$2:$B$1501=$B41)*(LEN(hours!$C$2:$C$1501)&gt;0)*hours!$E$2:$E$1501)),2))</f>
        <v/>
      </c>
      <c r="DL41" s="32" t="str">
        <f aca="false">IF($A41="","",$DC41-$DG41-$DH41-$DI41)</f>
        <v/>
      </c>
      <c r="DM41" s="32" t="str">
        <f aca="false">IF($A41="","",IF(N($DJ41)+N($DK41)=0,"",ROUND($DL41/($DJ41+$DK41),2)))</f>
        <v/>
      </c>
      <c r="DN41" s="34" t="str">
        <f aca="false">IF($A41="","",IF(N($BP41)=0,"",COUNTIFS(approvals!$A$2:$A$251,$A41,approvals!$Q$2:$Q$251,"Y",approvals!$AK$2:$AK$251,"Y")/$BP41))</f>
        <v/>
      </c>
      <c r="DO41" s="33" t="str">
        <f aca="false">IF($A41="","",IF(COUNTIFS(approvals!$A$2:$A$251,$A41,approvals!$AC$2:$AC$251,"&gt;=0")=0,"",ROUND(SUMIFS(approvals!$AC$2:$AC$251,approvals!$A$2:$A$251,$A41)/COUNTIFS(approvals!$A$2:$A$251,$A41,approvals!$AC$2:$AC$251,"&gt;=0"),1)))</f>
        <v/>
      </c>
      <c r="DP41" s="31" t="str">
        <f aca="false">IF($A41="","",IFERROR(IF(INDEX(drops!$T$2:$T$21,MATCH($B41,drops!$A$2:$A$21,0))="","",INDEX(drops!$T$2:$T$21,MATCH($B41,drops!$A$2:$A$21,0))),""))</f>
        <v/>
      </c>
      <c r="DQ41" s="31" t="str">
        <f aca="false">IF($A41="","",IFERROR(IF(INDEX(drops!$U$2:$U$21,MATCH($B41,drops!$A$2:$A$21,0))="","",INDEX(drops!$U$2:$U$21,MATCH($B41,drops!$A$2:$A$21,0))),""))</f>
        <v/>
      </c>
      <c r="DR41" s="31" t="str">
        <f aca="false">IF($A41="","",IFERROR(IF(INDEX(drops!$W$2:$W$21,MATCH($B41,drops!$A$2:$A$21,0))="","",INDEX(drops!$W$2:$W$21,MATCH($B41,drops!$A$2:$A$21,0))),""))</f>
        <v/>
      </c>
      <c r="DS41" s="30" t="str">
        <f aca="false">IF($A41="","",IF($CE41="","",IF($CE41&gt;=config!$B$31,"pass","miss")))</f>
        <v/>
      </c>
      <c r="DT41" s="30" t="str">
        <f aca="false">IF($A41="","",IF($CI41="","",IF($CI41&gt;=config!$B$30,"pass","miss")))</f>
        <v/>
      </c>
      <c r="DU41" s="30" t="str">
        <f aca="true">IF($A41="","",IF($AT41="",IF($DP41="","",IF(IF(config!$B$37&lt;&gt;"",config!$B$37,TODAY())&gt;$DP41,"late","due")),IF($AT41&lt;=$DP41,"pass","late")))</f>
        <v/>
      </c>
      <c r="DV41" s="30" t="str">
        <f aca="false">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ustomFormat="false" ht="15" hidden="false" customHeight="false" outlineLevel="0" collapsed="false">
      <c r="D42" s="10"/>
      <c r="G42" s="12"/>
      <c r="H42" s="11"/>
      <c r="M42" s="10"/>
      <c r="Y42" s="10"/>
      <c r="Z42" s="10"/>
      <c r="AB42" s="11"/>
      <c r="AC42" s="11"/>
      <c r="AD42" s="11"/>
      <c r="AF42" s="11"/>
      <c r="AG42" s="11"/>
      <c r="AT42" s="11"/>
      <c r="AU42" s="11"/>
      <c r="AV42" s="10"/>
      <c r="AW42" s="10"/>
      <c r="AY42" s="11"/>
      <c r="BA42" s="11"/>
      <c r="BB42" s="11"/>
      <c r="BC42" s="11"/>
      <c r="BE42" s="30" t="str">
        <f aca="false">IF($A42="","",IFERROR(IF(INDEX(brands!$K$2:$K$41,MATCH($C42,brands!$A$2:$A$41,0))="","",INDEX(brands!$K$2:$K$41,MATCH($C42,brands!$A$2:$A$41,0))),""))</f>
        <v/>
      </c>
      <c r="BF42" s="30" t="str">
        <f aca="false">IF($A42="","",IFERROR(IF(INDEX(brands!$M$2:$M$41,MATCH($C42,brands!$A$2:$A$41,0))="","",INDEX(brands!$M$2:$M$41,MATCH($C42,brands!$A$2:$A$41,0))),""))</f>
        <v/>
      </c>
      <c r="BG42" s="31" t="str">
        <f aca="false">IF($A42="","",IF(IFERROR(IF(INDEX(drops!$I$2:$I$21,MATCH($B42,drops!$A$2:$A$21,0))="","",INDEX(drops!$I$2:$I$21,MATCH($B42,drops!$A$2:$A$21,0))),"")="OK",IFERROR(IF(INDEX(drops!$B$2:$B$21,MATCH($B42,drops!$A$2:$A$21,0))="","",INDEX(drops!$B$2:$B$21,MATCH($B42,drops!$A$2:$A$21,0))),""),""))</f>
        <v/>
      </c>
      <c r="BH42" s="30" t="str">
        <f aca="false">IF($A42="","",IFERROR(IF(INDEX(drops!$C$2:$C$21,MATCH($B42,drops!$A$2:$A$21,0))="","",INDEX(drops!$C$2:$C$21,MATCH($B42,drops!$A$2:$A$21,0))),""))</f>
        <v/>
      </c>
      <c r="BI42" s="32" t="str">
        <f aca="false">IF($A42="","",IF($F42="","",IF($D42="founding",IF($E42="Y",config!$B$25*MIN($F42,config!$B$26)+config!$B$24*MAX(0,$F42-config!$B$26),config!$B$20+config!$B$24*MAX(0,$F42-config!$B$21)),IF($D42="standard",config!$B$22+config!$B$24*MAX(0,$F42-config!$B$23),""))))</f>
        <v/>
      </c>
      <c r="BJ42" s="32" t="str">
        <f aca="false">IF($A42="","",IF($G42&lt;&gt;"",$G42,$BI42))</f>
        <v/>
      </c>
      <c r="BK42" s="30" t="str">
        <f aca="false">IF($A42="","",IF($D42="founding","100% within "&amp;config!$B$27&amp;" business days of the invoice, before shipping",IF($D42="standard","50% on signing; 50% at placement confirmation (T+1)","")))</f>
        <v/>
      </c>
      <c r="BL42" s="31" t="str">
        <f aca="false">IF($A42="","",IFERROR(IF(INDEX(drops!$K$2:$K$21,MATCH($B42,drops!$A$2:$A$21,0))="","",INDEX(drops!$K$2:$K$21,MATCH($B42,drops!$A$2:$A$21,0))),""))</f>
        <v/>
      </c>
      <c r="BM42" s="31" t="str">
        <f aca="false">IF($A42="","",IFERROR(IF(INDEX(drops!$L$2:$L$21,MATCH($B42,drops!$A$2:$A$21,0))="","",INDEX(drops!$L$2:$L$21,MATCH($B42,drops!$A$2:$A$21,0))),""))</f>
        <v/>
      </c>
      <c r="BN42" s="30" t="str">
        <f aca="false">IF($A42="","",COUNTIF(approvals!$A$2:$A$251,$A42))</f>
        <v/>
      </c>
      <c r="BO42" s="30" t="str">
        <f aca="false">IF($A42="","",COUNTIFS(approvals!$A$2:$A$251,$A42,approvals!$P$2:$P$251,"Y"))</f>
        <v/>
      </c>
      <c r="BP42" s="30" t="str">
        <f aca="false">IF($A42="","",COUNTIFS(approvals!$A$2:$A$251,$A42,approvals!$Q$2:$Q$251,"Y"))</f>
        <v/>
      </c>
      <c r="BQ42" s="30" t="str">
        <f aca="false">IF($A42="","",COUNTIFS(approvals!$A$2:$A$251,$A42,approvals!$P$2:$P$251,"pending"))</f>
        <v/>
      </c>
      <c r="BR42" s="30" t="str">
        <f aca="false">IF($A42="","",SUMIFS(approvals!$S$2:$S$251,approvals!$A$2:$A$251,$A42,approvals!$P$2:$P$251,"Y"))</f>
        <v/>
      </c>
      <c r="BS42" s="30" t="str">
        <f aca="false">IF($A42="","",ROUNDUP($BR42*config!$B$18,0))</f>
        <v/>
      </c>
      <c r="BT42" s="30" t="str">
        <f aca="false">IF($A42="","",$BR42+$BS42)</f>
        <v/>
      </c>
      <c r="BU42" s="32" t="str">
        <f aca="false">IF($A42="","",SUMIFS(invoices!$I$2:$I$151,invoices!$B$2:$B$151,$A42,invoices!$R$2:$R$151,"Y",invoices!$H$2:$H$151,"&gt;0"))</f>
        <v/>
      </c>
      <c r="BV42" s="32" t="str">
        <f aca="false">IF($A42="","",IF($BJ42="","",IF($D42="founding",$BJ42,ROUND($BJ42*config!$B$28,2))))</f>
        <v/>
      </c>
      <c r="BW42" s="30" t="str">
        <f aca="false">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30" t="str">
        <f aca="false">IF($A42="","",SUMIFS(inventory!$G$2:$G$801,inventory!$C$2:$C$801,$A42,inventory!$E$2:$E$801,"received"))</f>
        <v/>
      </c>
      <c r="BY42" s="30" t="str">
        <f aca="false">IF($A42="","",SUMIFS(inventory!$G$2:$G$801,inventory!$C$2:$C$801,$A42,inventory!$E$2:$E$801,"rejected"))</f>
        <v/>
      </c>
      <c r="BZ42" s="30" t="str">
        <f aca="false">IF($A42="","",SUMIFS(inventory!$M$2:$M$801,inventory!$C$2:$C$801,$A42))</f>
        <v/>
      </c>
      <c r="CA42" s="30" t="str">
        <f aca="false">IF($A42="","",SUMIFS(inventory!$O$2:$O$801,inventory!$C$2:$C$801,$A42))</f>
        <v/>
      </c>
      <c r="CB42" s="30" t="str">
        <f aca="false">IF($A42="","",SUMIFS(approvals!$U$2:$U$251,approvals!$A$2:$A$251,$A42))</f>
        <v/>
      </c>
      <c r="CC42" s="30" t="str">
        <f aca="false">IF($A42="","",SUMIFS(approvals!$AA$2:$AA$251,approvals!$A$2:$A$251,$A42))</f>
        <v/>
      </c>
      <c r="CD42" s="30" t="str">
        <f aca="false">IF($A42="","",SUMIFS(approvals!$AA$2:$AA$251,approvals!$A$2:$A$251,$A42,approvals!$AB$2:$AB$251,"Y"))</f>
        <v/>
      </c>
      <c r="CE42" s="34" t="str">
        <f aca="false">IF($A42="","",IF(N($CB42)=0,"",$CD42/$CB42))</f>
        <v/>
      </c>
      <c r="CF42" s="30" t="str">
        <f aca="false">IF($A42="","",SUMIFS(approvals!$AD$2:$AD$251,approvals!$A$2:$A$251,$A42))</f>
        <v/>
      </c>
      <c r="CG42" s="30" t="str">
        <f aca="false">IF($A42="","",IF(COUNTIFS(approvals!$A$2:$A$251,$A42,approvals!$Q$2:$Q$251,"Y",approvals!$AG$2:$AG$251,"")&gt;0,"",SUMIFS(approvals!$AG$2:$AG$251,approvals!$A$2:$A$251,$A42,approvals!$Q$2:$Q$251,"Y")))</f>
        <v/>
      </c>
      <c r="CH42" s="30" t="str">
        <f aca="false">IF($A42="","",SUMIFS(approvals!$AL$2:$AL$251,approvals!$A$2:$A$251,$A42,approvals!$Q$2:$Q$251,"Y"))</f>
        <v/>
      </c>
      <c r="CI42" s="30" t="str">
        <f aca="false">IF($A42="","",IF(N($BP42)=0,"",SUMPRODUCT(MIN(approvals!$BB$2:$BB$251+(approvals!$A$2:$A$251&lt;&gt;$A42)*1000000))))</f>
        <v/>
      </c>
      <c r="CJ42" s="30" t="str">
        <f aca="false">IF($A42="","",COUNTIFS(approvals!$A$2:$A$251,$A42,approvals!$Q$2:$Q$251,"Y",approvals!$AL$2:$AL$251,"&lt;"&amp;config!$B$30))</f>
        <v/>
      </c>
      <c r="CK42" s="30" t="str">
        <f aca="false">IF($A42="","",SUMIFS(approvals!$AM$2:$AM$251,approvals!$A$2:$A$251,$A42,approvals!$Q$2:$Q$251,"Y"))</f>
        <v/>
      </c>
      <c r="CL42" s="30" t="str">
        <f aca="false">IF($A42="","",SUMIFS(approvals!$AQ$2:$AQ$251,approvals!$A$2:$A$251,$A42,approvals!$Q$2:$Q$251,"Y"))</f>
        <v/>
      </c>
      <c r="CM42" s="30" t="str">
        <f aca="false">IF($A42="","",SUMIFS(approvals!$AR$2:$AR$251,approvals!$A$2:$A$251,$A42,approvals!$Q$2:$Q$251,"Y"))</f>
        <v/>
      </c>
      <c r="CN42" s="30" t="str">
        <f aca="false">IF($A42="","",SUMIFS(approvals!$AS$2:$AS$251,approvals!$A$2:$A$251,$A42,approvals!$Q$2:$Q$251,"Y"))</f>
        <v/>
      </c>
      <c r="CO42" s="30" t="str">
        <f aca="false">IF($A42="","",SUMIFS(approvals!$AT$2:$AT$251,approvals!$A$2:$A$251,$A42,approvals!$Q$2:$Q$251,"Y"))</f>
        <v/>
      </c>
      <c r="CP42" s="33" t="str">
        <f aca="false">IF($A42="","",IF(N($CO42)=0,"",ROUND(SUMIFS(approvals!$AU$2:$AU$251,approvals!$A$2:$A$251,$A42,approvals!$Q$2:$Q$251,"Y")/$CO42,1)))</f>
        <v/>
      </c>
      <c r="CQ42" s="30" t="str">
        <f aca="false">IF($A42="","",SUMIFS(approvals!$AV$2:$AV$251,approvals!$A$2:$A$251,$A42,approvals!$Q$2:$Q$251,"Y"))</f>
        <v/>
      </c>
      <c r="CR42" s="30" t="str">
        <f aca="false">IF($A42="","",SUMIFS(approvals!$AW$2:$AW$251,approvals!$A$2:$A$251,$A42,approvals!$Q$2:$Q$251,"Y"))</f>
        <v/>
      </c>
      <c r="CS42" s="30" t="str">
        <f aca="false">IF($A42="","",SUMIFS(approvals!$AX$2:$AX$251,approvals!$A$2:$A$251,$A42,approvals!$Q$2:$Q$251,"Y"))</f>
        <v/>
      </c>
      <c r="CT42" s="30" t="str">
        <f aca="false">IF($A42="","",SUMIFS(approvals!$AY$2:$AY$251,approvals!$A$2:$A$251,$A42,approvals!$Q$2:$Q$251,"Y"))</f>
        <v/>
      </c>
      <c r="CU42" s="30" t="str">
        <f aca="true">IF($A42="","",IF(OR($BG42="",$BC42&lt;&gt;""),"",IFERROR(COUNT(INDIRECT("'"&amp;$A42&amp;"'!$A$2:$A$501")),0)-IFERROR(COUNTIFS(INDIRECT("'"&amp;$A42&amp;"'!$A$2:$A$501"),"&gt;="&amp;$BG42,INDIRECT("'"&amp;$A42&amp;"'!$A$2:$A$501"),"&lt;"&amp;(IFERROR(IF(INDEX(drops!$R$2:$R$21,MATCH($B42,drops!$A$2:$A$21,0))="","",INDEX(drops!$R$2:$R$21,MATCH($B42,drops!$A$2:$A$21,0))),"")+1)),0)))</f>
        <v/>
      </c>
      <c r="CV42" s="30" t="str">
        <f aca="true">IF($A42="","",IF(OR($BG42="",$BC42&lt;&gt;""),"",IFERROR(COUNTIFS(INDIRECT("'"&amp;$A42&amp;"'!$A$2:$A$501"),"&gt;="&amp;$BG42,INDIRECT("'"&amp;$A42&amp;"'!$A$2:$A$501"),"&lt;"&amp;(IFERROR(IF(INDEX(drops!$R$2:$R$21,MATCH($B42,drops!$A$2:$A$21,0))="","",INDEX(drops!$R$2:$R$21,MATCH($B42,drops!$A$2:$A$21,0))),"")+1)),0)-N($CH42)-N($CW42)))</f>
        <v/>
      </c>
      <c r="CW42" s="30" t="str">
        <f aca="false">IF($A42="","",IF($BG42="","",SUMIFS(approvals!$AL$2:$AL$251,approvals!$A$2:$A$251,$A42,approvals!$Q$2:$Q$251,"&lt;&gt;Y")))</f>
        <v/>
      </c>
      <c r="CX42" s="30" t="str">
        <f aca="false">IF($A42="","",SUMIFS(approvals!$AN$2:$AN$251,approvals!$A$2:$A$251,$A42,approvals!$Q$2:$Q$251,"Y"))</f>
        <v/>
      </c>
      <c r="CY42" s="30" t="str">
        <f aca="false">IF($A42="","",SUMIFS(approvals!$AO$2:$AO$251,approvals!$A$2:$A$251,$A42,approvals!$Q$2:$Q$251,"Y"))</f>
        <v/>
      </c>
      <c r="CZ42" s="30" t="str">
        <f aca="false">IF($A42="","",IF($DA42="","",SUMIFS(redemptions!$C$2:$C$121,redemptions!$A$2:$A$121,$A42,redemptions!$B$2:$B$121,$DA42)))</f>
        <v/>
      </c>
      <c r="DA42" s="31" t="str">
        <f aca="false">IF($A42="","",IFERROR(1/(1/SUMPRODUCT(MAX((redemptions!$A$2:$A$121=$A42)*redemptions!$B$2:$B$121))),""))</f>
        <v/>
      </c>
      <c r="DB42" s="30" t="str">
        <f aca="false">IF($A42="","",IF(COUNTIFS(redemptions!$A$2:$A$121,$A42,redemptions!$H$2:$H$121,"Y")=0,"",SUMIFS(redemptions!$C$2:$C$121,redemptions!$A$2:$A$121,$A42,redemptions!$B$2:$B$121,SUMPRODUCT(MIN((redemptions!$A$2:$A$121=$A42)*(redemptions!$H$2:$H$121="Y")*redemptions!$B$2:$B$121+((redemptions!$A$2:$A$121&lt;&gt;$A42)+(redemptions!$H$2:$H$121&lt;&gt;"Y")&gt;0)*1000000)))))</f>
        <v/>
      </c>
      <c r="DC42" s="32" t="str">
        <f aca="false">IF($A42="","",SUMIFS(invoices!$E$2:$E$151,invoices!$B$2:$B$151,$A42))</f>
        <v/>
      </c>
      <c r="DD42" s="32" t="str">
        <f aca="false">IF($A42="","",IF(COUNTIFS(invoices!$B$2:$B$151,$A42,invoices!$C$2:$C$151,"standard_deposit",invoices!$H$2:$H$151,"&gt;0")=0,"",SUMIFS(invoices!$I$2:$I$151,invoices!$B$2:$B$151,$A42,invoices!$C$2:$C$151,"standard_deposit")))</f>
        <v/>
      </c>
      <c r="DE42" s="31" t="str">
        <f aca="false">IF($A42="","",IFERROR(1/(1/SUMPRODUCT(MAX((invoices!$B$2:$B$151=$A42)*(invoices!$C$2:$C$151="standard_deposit")*invoices!$H$2:$H$151))),""))</f>
        <v/>
      </c>
      <c r="DF42" s="31" t="str">
        <f aca="false">IF($A42="","",IFERROR(1/(1/SUMPRODUCT(MAX((invoices!$B$2:$B$151=$A42)*((invoices!$C$2:$C$151="founding_full")+(invoices!$C$2:$C$151="standard_balance"))*invoices!$H$2:$H$151))),""))</f>
        <v/>
      </c>
      <c r="DG42" s="32" t="str">
        <f aca="false">IF($A42="","",SUMIFS(invoices!$L$2:$L$151,invoices!$B$2:$B$151,$A42))</f>
        <v/>
      </c>
      <c r="DH42" s="32" t="str">
        <f aca="false">IF($A42="","",SUMIFS(costs!$E$2:$E$301,costs!$C$2:$C$301,$A42))</f>
        <v/>
      </c>
      <c r="DI42" s="32" t="str">
        <f aca="false">IF($A42="","",ROUND(IF(SUMIFS(campaigns!$BO$2:$BO$51,campaigns!$B$2:$B$51,$B42)=0,0,$BO42/SUMIFS(campaigns!$BO$2:$BO$51,campaigns!$B$2:$B$51,$B42))*(SUMIFS(costs!$E$2:$E$301,costs!$B$2:$B$301,$B42)-SUMPRODUCT((costs!$B$2:$B$301=$B42)*(LEN(costs!$C$2:$C$301)&gt;0)*costs!$E$2:$E$301)),2))</f>
        <v/>
      </c>
      <c r="DJ42" s="33" t="str">
        <f aca="false">IF($A42="","",SUMIFS(hours!$E$2:$E$1501,hours!$C$2:$C$1501,$A42))</f>
        <v/>
      </c>
      <c r="DK42" s="33" t="str">
        <f aca="false">IF($A42="","",ROUND(IF(SUMIFS(campaigns!$BO$2:$BO$51,campaigns!$B$2:$B$51,$B42)=0,0,$BO42/SUMIFS(campaigns!$BO$2:$BO$51,campaigns!$B$2:$B$51,$B42))*(SUMIFS(hours!$E$2:$E$1501,hours!$B$2:$B$1501,$B42)-SUMPRODUCT((hours!$B$2:$B$1501=$B42)*(LEN(hours!$C$2:$C$1501)&gt;0)*hours!$E$2:$E$1501)),2))</f>
        <v/>
      </c>
      <c r="DL42" s="32" t="str">
        <f aca="false">IF($A42="","",$DC42-$DG42-$DH42-$DI42)</f>
        <v/>
      </c>
      <c r="DM42" s="32" t="str">
        <f aca="false">IF($A42="","",IF(N($DJ42)+N($DK42)=0,"",ROUND($DL42/($DJ42+$DK42),2)))</f>
        <v/>
      </c>
      <c r="DN42" s="34" t="str">
        <f aca="false">IF($A42="","",IF(N($BP42)=0,"",COUNTIFS(approvals!$A$2:$A$251,$A42,approvals!$Q$2:$Q$251,"Y",approvals!$AK$2:$AK$251,"Y")/$BP42))</f>
        <v/>
      </c>
      <c r="DO42" s="33" t="str">
        <f aca="false">IF($A42="","",IF(COUNTIFS(approvals!$A$2:$A$251,$A42,approvals!$AC$2:$AC$251,"&gt;=0")=0,"",ROUND(SUMIFS(approvals!$AC$2:$AC$251,approvals!$A$2:$A$251,$A42)/COUNTIFS(approvals!$A$2:$A$251,$A42,approvals!$AC$2:$AC$251,"&gt;=0"),1)))</f>
        <v/>
      </c>
      <c r="DP42" s="31" t="str">
        <f aca="false">IF($A42="","",IFERROR(IF(INDEX(drops!$T$2:$T$21,MATCH($B42,drops!$A$2:$A$21,0))="","",INDEX(drops!$T$2:$T$21,MATCH($B42,drops!$A$2:$A$21,0))),""))</f>
        <v/>
      </c>
      <c r="DQ42" s="31" t="str">
        <f aca="false">IF($A42="","",IFERROR(IF(INDEX(drops!$U$2:$U$21,MATCH($B42,drops!$A$2:$A$21,0))="","",INDEX(drops!$U$2:$U$21,MATCH($B42,drops!$A$2:$A$21,0))),""))</f>
        <v/>
      </c>
      <c r="DR42" s="31" t="str">
        <f aca="false">IF($A42="","",IFERROR(IF(INDEX(drops!$W$2:$W$21,MATCH($B42,drops!$A$2:$A$21,0))="","",INDEX(drops!$W$2:$W$21,MATCH($B42,drops!$A$2:$A$21,0))),""))</f>
        <v/>
      </c>
      <c r="DS42" s="30" t="str">
        <f aca="false">IF($A42="","",IF($CE42="","",IF($CE42&gt;=config!$B$31,"pass","miss")))</f>
        <v/>
      </c>
      <c r="DT42" s="30" t="str">
        <f aca="false">IF($A42="","",IF($CI42="","",IF($CI42&gt;=config!$B$30,"pass","miss")))</f>
        <v/>
      </c>
      <c r="DU42" s="30" t="str">
        <f aca="true">IF($A42="","",IF($AT42="",IF($DP42="","",IF(IF(config!$B$37&lt;&gt;"",config!$B$37,TODAY())&gt;$DP42,"late","due")),IF($AT42&lt;=$DP42,"pass","late")))</f>
        <v/>
      </c>
      <c r="DV42" s="30" t="str">
        <f aca="false">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ustomFormat="false" ht="15" hidden="false" customHeight="false" outlineLevel="0" collapsed="false">
      <c r="D43" s="10"/>
      <c r="G43" s="12"/>
      <c r="H43" s="11"/>
      <c r="M43" s="10"/>
      <c r="Y43" s="10"/>
      <c r="Z43" s="10"/>
      <c r="AB43" s="11"/>
      <c r="AC43" s="11"/>
      <c r="AD43" s="11"/>
      <c r="AF43" s="11"/>
      <c r="AG43" s="11"/>
      <c r="AT43" s="11"/>
      <c r="AU43" s="11"/>
      <c r="AV43" s="10"/>
      <c r="AW43" s="10"/>
      <c r="AY43" s="11"/>
      <c r="BA43" s="11"/>
      <c r="BB43" s="11"/>
      <c r="BC43" s="11"/>
      <c r="BE43" s="30" t="str">
        <f aca="false">IF($A43="","",IFERROR(IF(INDEX(brands!$K$2:$K$41,MATCH($C43,brands!$A$2:$A$41,0))="","",INDEX(brands!$K$2:$K$41,MATCH($C43,brands!$A$2:$A$41,0))),""))</f>
        <v/>
      </c>
      <c r="BF43" s="30" t="str">
        <f aca="false">IF($A43="","",IFERROR(IF(INDEX(brands!$M$2:$M$41,MATCH($C43,brands!$A$2:$A$41,0))="","",INDEX(brands!$M$2:$M$41,MATCH($C43,brands!$A$2:$A$41,0))),""))</f>
        <v/>
      </c>
      <c r="BG43" s="31" t="str">
        <f aca="false">IF($A43="","",IF(IFERROR(IF(INDEX(drops!$I$2:$I$21,MATCH($B43,drops!$A$2:$A$21,0))="","",INDEX(drops!$I$2:$I$21,MATCH($B43,drops!$A$2:$A$21,0))),"")="OK",IFERROR(IF(INDEX(drops!$B$2:$B$21,MATCH($B43,drops!$A$2:$A$21,0))="","",INDEX(drops!$B$2:$B$21,MATCH($B43,drops!$A$2:$A$21,0))),""),""))</f>
        <v/>
      </c>
      <c r="BH43" s="30" t="str">
        <f aca="false">IF($A43="","",IFERROR(IF(INDEX(drops!$C$2:$C$21,MATCH($B43,drops!$A$2:$A$21,0))="","",INDEX(drops!$C$2:$C$21,MATCH($B43,drops!$A$2:$A$21,0))),""))</f>
        <v/>
      </c>
      <c r="BI43" s="32" t="str">
        <f aca="false">IF($A43="","",IF($F43="","",IF($D43="founding",IF($E43="Y",config!$B$25*MIN($F43,config!$B$26)+config!$B$24*MAX(0,$F43-config!$B$26),config!$B$20+config!$B$24*MAX(0,$F43-config!$B$21)),IF($D43="standard",config!$B$22+config!$B$24*MAX(0,$F43-config!$B$23),""))))</f>
        <v/>
      </c>
      <c r="BJ43" s="32" t="str">
        <f aca="false">IF($A43="","",IF($G43&lt;&gt;"",$G43,$BI43))</f>
        <v/>
      </c>
      <c r="BK43" s="30" t="str">
        <f aca="false">IF($A43="","",IF($D43="founding","100% within "&amp;config!$B$27&amp;" business days of the invoice, before shipping",IF($D43="standard","50% on signing; 50% at placement confirmation (T+1)","")))</f>
        <v/>
      </c>
      <c r="BL43" s="31" t="str">
        <f aca="false">IF($A43="","",IFERROR(IF(INDEX(drops!$K$2:$K$21,MATCH($B43,drops!$A$2:$A$21,0))="","",INDEX(drops!$K$2:$K$21,MATCH($B43,drops!$A$2:$A$21,0))),""))</f>
        <v/>
      </c>
      <c r="BM43" s="31" t="str">
        <f aca="false">IF($A43="","",IFERROR(IF(INDEX(drops!$L$2:$L$21,MATCH($B43,drops!$A$2:$A$21,0))="","",INDEX(drops!$L$2:$L$21,MATCH($B43,drops!$A$2:$A$21,0))),""))</f>
        <v/>
      </c>
      <c r="BN43" s="30" t="str">
        <f aca="false">IF($A43="","",COUNTIF(approvals!$A$2:$A$251,$A43))</f>
        <v/>
      </c>
      <c r="BO43" s="30" t="str">
        <f aca="false">IF($A43="","",COUNTIFS(approvals!$A$2:$A$251,$A43,approvals!$P$2:$P$251,"Y"))</f>
        <v/>
      </c>
      <c r="BP43" s="30" t="str">
        <f aca="false">IF($A43="","",COUNTIFS(approvals!$A$2:$A$251,$A43,approvals!$Q$2:$Q$251,"Y"))</f>
        <v/>
      </c>
      <c r="BQ43" s="30" t="str">
        <f aca="false">IF($A43="","",COUNTIFS(approvals!$A$2:$A$251,$A43,approvals!$P$2:$P$251,"pending"))</f>
        <v/>
      </c>
      <c r="BR43" s="30" t="str">
        <f aca="false">IF($A43="","",SUMIFS(approvals!$S$2:$S$251,approvals!$A$2:$A$251,$A43,approvals!$P$2:$P$251,"Y"))</f>
        <v/>
      </c>
      <c r="BS43" s="30" t="str">
        <f aca="false">IF($A43="","",ROUNDUP($BR43*config!$B$18,0))</f>
        <v/>
      </c>
      <c r="BT43" s="30" t="str">
        <f aca="false">IF($A43="","",$BR43+$BS43)</f>
        <v/>
      </c>
      <c r="BU43" s="32" t="str">
        <f aca="false">IF($A43="","",SUMIFS(invoices!$I$2:$I$151,invoices!$B$2:$B$151,$A43,invoices!$R$2:$R$151,"Y",invoices!$H$2:$H$151,"&gt;0"))</f>
        <v/>
      </c>
      <c r="BV43" s="32" t="str">
        <f aca="false">IF($A43="","",IF($BJ43="","",IF($D43="founding",$BJ43,ROUND($BJ43*config!$B$28,2))))</f>
        <v/>
      </c>
      <c r="BW43" s="30" t="str">
        <f aca="false">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30" t="str">
        <f aca="false">IF($A43="","",SUMIFS(inventory!$G$2:$G$801,inventory!$C$2:$C$801,$A43,inventory!$E$2:$E$801,"received"))</f>
        <v/>
      </c>
      <c r="BY43" s="30" t="str">
        <f aca="false">IF($A43="","",SUMIFS(inventory!$G$2:$G$801,inventory!$C$2:$C$801,$A43,inventory!$E$2:$E$801,"rejected"))</f>
        <v/>
      </c>
      <c r="BZ43" s="30" t="str">
        <f aca="false">IF($A43="","",SUMIFS(inventory!$M$2:$M$801,inventory!$C$2:$C$801,$A43))</f>
        <v/>
      </c>
      <c r="CA43" s="30" t="str">
        <f aca="false">IF($A43="","",SUMIFS(inventory!$O$2:$O$801,inventory!$C$2:$C$801,$A43))</f>
        <v/>
      </c>
      <c r="CB43" s="30" t="str">
        <f aca="false">IF($A43="","",SUMIFS(approvals!$U$2:$U$251,approvals!$A$2:$A$251,$A43))</f>
        <v/>
      </c>
      <c r="CC43" s="30" t="str">
        <f aca="false">IF($A43="","",SUMIFS(approvals!$AA$2:$AA$251,approvals!$A$2:$A$251,$A43))</f>
        <v/>
      </c>
      <c r="CD43" s="30" t="str">
        <f aca="false">IF($A43="","",SUMIFS(approvals!$AA$2:$AA$251,approvals!$A$2:$A$251,$A43,approvals!$AB$2:$AB$251,"Y"))</f>
        <v/>
      </c>
      <c r="CE43" s="34" t="str">
        <f aca="false">IF($A43="","",IF(N($CB43)=0,"",$CD43/$CB43))</f>
        <v/>
      </c>
      <c r="CF43" s="30" t="str">
        <f aca="false">IF($A43="","",SUMIFS(approvals!$AD$2:$AD$251,approvals!$A$2:$A$251,$A43))</f>
        <v/>
      </c>
      <c r="CG43" s="30" t="str">
        <f aca="false">IF($A43="","",IF(COUNTIFS(approvals!$A$2:$A$251,$A43,approvals!$Q$2:$Q$251,"Y",approvals!$AG$2:$AG$251,"")&gt;0,"",SUMIFS(approvals!$AG$2:$AG$251,approvals!$A$2:$A$251,$A43,approvals!$Q$2:$Q$251,"Y")))</f>
        <v/>
      </c>
      <c r="CH43" s="30" t="str">
        <f aca="false">IF($A43="","",SUMIFS(approvals!$AL$2:$AL$251,approvals!$A$2:$A$251,$A43,approvals!$Q$2:$Q$251,"Y"))</f>
        <v/>
      </c>
      <c r="CI43" s="30" t="str">
        <f aca="false">IF($A43="","",IF(N($BP43)=0,"",SUMPRODUCT(MIN(approvals!$BB$2:$BB$251+(approvals!$A$2:$A$251&lt;&gt;$A43)*1000000))))</f>
        <v/>
      </c>
      <c r="CJ43" s="30" t="str">
        <f aca="false">IF($A43="","",COUNTIFS(approvals!$A$2:$A$251,$A43,approvals!$Q$2:$Q$251,"Y",approvals!$AL$2:$AL$251,"&lt;"&amp;config!$B$30))</f>
        <v/>
      </c>
      <c r="CK43" s="30" t="str">
        <f aca="false">IF($A43="","",SUMIFS(approvals!$AM$2:$AM$251,approvals!$A$2:$A$251,$A43,approvals!$Q$2:$Q$251,"Y"))</f>
        <v/>
      </c>
      <c r="CL43" s="30" t="str">
        <f aca="false">IF($A43="","",SUMIFS(approvals!$AQ$2:$AQ$251,approvals!$A$2:$A$251,$A43,approvals!$Q$2:$Q$251,"Y"))</f>
        <v/>
      </c>
      <c r="CM43" s="30" t="str">
        <f aca="false">IF($A43="","",SUMIFS(approvals!$AR$2:$AR$251,approvals!$A$2:$A$251,$A43,approvals!$Q$2:$Q$251,"Y"))</f>
        <v/>
      </c>
      <c r="CN43" s="30" t="str">
        <f aca="false">IF($A43="","",SUMIFS(approvals!$AS$2:$AS$251,approvals!$A$2:$A$251,$A43,approvals!$Q$2:$Q$251,"Y"))</f>
        <v/>
      </c>
      <c r="CO43" s="30" t="str">
        <f aca="false">IF($A43="","",SUMIFS(approvals!$AT$2:$AT$251,approvals!$A$2:$A$251,$A43,approvals!$Q$2:$Q$251,"Y"))</f>
        <v/>
      </c>
      <c r="CP43" s="33" t="str">
        <f aca="false">IF($A43="","",IF(N($CO43)=0,"",ROUND(SUMIFS(approvals!$AU$2:$AU$251,approvals!$A$2:$A$251,$A43,approvals!$Q$2:$Q$251,"Y")/$CO43,1)))</f>
        <v/>
      </c>
      <c r="CQ43" s="30" t="str">
        <f aca="false">IF($A43="","",SUMIFS(approvals!$AV$2:$AV$251,approvals!$A$2:$A$251,$A43,approvals!$Q$2:$Q$251,"Y"))</f>
        <v/>
      </c>
      <c r="CR43" s="30" t="str">
        <f aca="false">IF($A43="","",SUMIFS(approvals!$AW$2:$AW$251,approvals!$A$2:$A$251,$A43,approvals!$Q$2:$Q$251,"Y"))</f>
        <v/>
      </c>
      <c r="CS43" s="30" t="str">
        <f aca="false">IF($A43="","",SUMIFS(approvals!$AX$2:$AX$251,approvals!$A$2:$A$251,$A43,approvals!$Q$2:$Q$251,"Y"))</f>
        <v/>
      </c>
      <c r="CT43" s="30" t="str">
        <f aca="false">IF($A43="","",SUMIFS(approvals!$AY$2:$AY$251,approvals!$A$2:$A$251,$A43,approvals!$Q$2:$Q$251,"Y"))</f>
        <v/>
      </c>
      <c r="CU43" s="30" t="str">
        <f aca="true">IF($A43="","",IF(OR($BG43="",$BC43&lt;&gt;""),"",IFERROR(COUNT(INDIRECT("'"&amp;$A43&amp;"'!$A$2:$A$501")),0)-IFERROR(COUNTIFS(INDIRECT("'"&amp;$A43&amp;"'!$A$2:$A$501"),"&gt;="&amp;$BG43,INDIRECT("'"&amp;$A43&amp;"'!$A$2:$A$501"),"&lt;"&amp;(IFERROR(IF(INDEX(drops!$R$2:$R$21,MATCH($B43,drops!$A$2:$A$21,0))="","",INDEX(drops!$R$2:$R$21,MATCH($B43,drops!$A$2:$A$21,0))),"")+1)),0)))</f>
        <v/>
      </c>
      <c r="CV43" s="30" t="str">
        <f aca="true">IF($A43="","",IF(OR($BG43="",$BC43&lt;&gt;""),"",IFERROR(COUNTIFS(INDIRECT("'"&amp;$A43&amp;"'!$A$2:$A$501"),"&gt;="&amp;$BG43,INDIRECT("'"&amp;$A43&amp;"'!$A$2:$A$501"),"&lt;"&amp;(IFERROR(IF(INDEX(drops!$R$2:$R$21,MATCH($B43,drops!$A$2:$A$21,0))="","",INDEX(drops!$R$2:$R$21,MATCH($B43,drops!$A$2:$A$21,0))),"")+1)),0)-N($CH43)-N($CW43)))</f>
        <v/>
      </c>
      <c r="CW43" s="30" t="str">
        <f aca="false">IF($A43="","",IF($BG43="","",SUMIFS(approvals!$AL$2:$AL$251,approvals!$A$2:$A$251,$A43,approvals!$Q$2:$Q$251,"&lt;&gt;Y")))</f>
        <v/>
      </c>
      <c r="CX43" s="30" t="str">
        <f aca="false">IF($A43="","",SUMIFS(approvals!$AN$2:$AN$251,approvals!$A$2:$A$251,$A43,approvals!$Q$2:$Q$251,"Y"))</f>
        <v/>
      </c>
      <c r="CY43" s="30" t="str">
        <f aca="false">IF($A43="","",SUMIFS(approvals!$AO$2:$AO$251,approvals!$A$2:$A$251,$A43,approvals!$Q$2:$Q$251,"Y"))</f>
        <v/>
      </c>
      <c r="CZ43" s="30" t="str">
        <f aca="false">IF($A43="","",IF($DA43="","",SUMIFS(redemptions!$C$2:$C$121,redemptions!$A$2:$A$121,$A43,redemptions!$B$2:$B$121,$DA43)))</f>
        <v/>
      </c>
      <c r="DA43" s="31" t="str">
        <f aca="false">IF($A43="","",IFERROR(1/(1/SUMPRODUCT(MAX((redemptions!$A$2:$A$121=$A43)*redemptions!$B$2:$B$121))),""))</f>
        <v/>
      </c>
      <c r="DB43" s="30" t="str">
        <f aca="false">IF($A43="","",IF(COUNTIFS(redemptions!$A$2:$A$121,$A43,redemptions!$H$2:$H$121,"Y")=0,"",SUMIFS(redemptions!$C$2:$C$121,redemptions!$A$2:$A$121,$A43,redemptions!$B$2:$B$121,SUMPRODUCT(MIN((redemptions!$A$2:$A$121=$A43)*(redemptions!$H$2:$H$121="Y")*redemptions!$B$2:$B$121+((redemptions!$A$2:$A$121&lt;&gt;$A43)+(redemptions!$H$2:$H$121&lt;&gt;"Y")&gt;0)*1000000)))))</f>
        <v/>
      </c>
      <c r="DC43" s="32" t="str">
        <f aca="false">IF($A43="","",SUMIFS(invoices!$E$2:$E$151,invoices!$B$2:$B$151,$A43))</f>
        <v/>
      </c>
      <c r="DD43" s="32" t="str">
        <f aca="false">IF($A43="","",IF(COUNTIFS(invoices!$B$2:$B$151,$A43,invoices!$C$2:$C$151,"standard_deposit",invoices!$H$2:$H$151,"&gt;0")=0,"",SUMIFS(invoices!$I$2:$I$151,invoices!$B$2:$B$151,$A43,invoices!$C$2:$C$151,"standard_deposit")))</f>
        <v/>
      </c>
      <c r="DE43" s="31" t="str">
        <f aca="false">IF($A43="","",IFERROR(1/(1/SUMPRODUCT(MAX((invoices!$B$2:$B$151=$A43)*(invoices!$C$2:$C$151="standard_deposit")*invoices!$H$2:$H$151))),""))</f>
        <v/>
      </c>
      <c r="DF43" s="31" t="str">
        <f aca="false">IF($A43="","",IFERROR(1/(1/SUMPRODUCT(MAX((invoices!$B$2:$B$151=$A43)*((invoices!$C$2:$C$151="founding_full")+(invoices!$C$2:$C$151="standard_balance"))*invoices!$H$2:$H$151))),""))</f>
        <v/>
      </c>
      <c r="DG43" s="32" t="str">
        <f aca="false">IF($A43="","",SUMIFS(invoices!$L$2:$L$151,invoices!$B$2:$B$151,$A43))</f>
        <v/>
      </c>
      <c r="DH43" s="32" t="str">
        <f aca="false">IF($A43="","",SUMIFS(costs!$E$2:$E$301,costs!$C$2:$C$301,$A43))</f>
        <v/>
      </c>
      <c r="DI43" s="32" t="str">
        <f aca="false">IF($A43="","",ROUND(IF(SUMIFS(campaigns!$BO$2:$BO$51,campaigns!$B$2:$B$51,$B43)=0,0,$BO43/SUMIFS(campaigns!$BO$2:$BO$51,campaigns!$B$2:$B$51,$B43))*(SUMIFS(costs!$E$2:$E$301,costs!$B$2:$B$301,$B43)-SUMPRODUCT((costs!$B$2:$B$301=$B43)*(LEN(costs!$C$2:$C$301)&gt;0)*costs!$E$2:$E$301)),2))</f>
        <v/>
      </c>
      <c r="DJ43" s="33" t="str">
        <f aca="false">IF($A43="","",SUMIFS(hours!$E$2:$E$1501,hours!$C$2:$C$1501,$A43))</f>
        <v/>
      </c>
      <c r="DK43" s="33" t="str">
        <f aca="false">IF($A43="","",ROUND(IF(SUMIFS(campaigns!$BO$2:$BO$51,campaigns!$B$2:$B$51,$B43)=0,0,$BO43/SUMIFS(campaigns!$BO$2:$BO$51,campaigns!$B$2:$B$51,$B43))*(SUMIFS(hours!$E$2:$E$1501,hours!$B$2:$B$1501,$B43)-SUMPRODUCT((hours!$B$2:$B$1501=$B43)*(LEN(hours!$C$2:$C$1501)&gt;0)*hours!$E$2:$E$1501)),2))</f>
        <v/>
      </c>
      <c r="DL43" s="32" t="str">
        <f aca="false">IF($A43="","",$DC43-$DG43-$DH43-$DI43)</f>
        <v/>
      </c>
      <c r="DM43" s="32" t="str">
        <f aca="false">IF($A43="","",IF(N($DJ43)+N($DK43)=0,"",ROUND($DL43/($DJ43+$DK43),2)))</f>
        <v/>
      </c>
      <c r="DN43" s="34" t="str">
        <f aca="false">IF($A43="","",IF(N($BP43)=0,"",COUNTIFS(approvals!$A$2:$A$251,$A43,approvals!$Q$2:$Q$251,"Y",approvals!$AK$2:$AK$251,"Y")/$BP43))</f>
        <v/>
      </c>
      <c r="DO43" s="33" t="str">
        <f aca="false">IF($A43="","",IF(COUNTIFS(approvals!$A$2:$A$251,$A43,approvals!$AC$2:$AC$251,"&gt;=0")=0,"",ROUND(SUMIFS(approvals!$AC$2:$AC$251,approvals!$A$2:$A$251,$A43)/COUNTIFS(approvals!$A$2:$A$251,$A43,approvals!$AC$2:$AC$251,"&gt;=0"),1)))</f>
        <v/>
      </c>
      <c r="DP43" s="31" t="str">
        <f aca="false">IF($A43="","",IFERROR(IF(INDEX(drops!$T$2:$T$21,MATCH($B43,drops!$A$2:$A$21,0))="","",INDEX(drops!$T$2:$T$21,MATCH($B43,drops!$A$2:$A$21,0))),""))</f>
        <v/>
      </c>
      <c r="DQ43" s="31" t="str">
        <f aca="false">IF($A43="","",IFERROR(IF(INDEX(drops!$U$2:$U$21,MATCH($B43,drops!$A$2:$A$21,0))="","",INDEX(drops!$U$2:$U$21,MATCH($B43,drops!$A$2:$A$21,0))),""))</f>
        <v/>
      </c>
      <c r="DR43" s="31" t="str">
        <f aca="false">IF($A43="","",IFERROR(IF(INDEX(drops!$W$2:$W$21,MATCH($B43,drops!$A$2:$A$21,0))="","",INDEX(drops!$W$2:$W$21,MATCH($B43,drops!$A$2:$A$21,0))),""))</f>
        <v/>
      </c>
      <c r="DS43" s="30" t="str">
        <f aca="false">IF($A43="","",IF($CE43="","",IF($CE43&gt;=config!$B$31,"pass","miss")))</f>
        <v/>
      </c>
      <c r="DT43" s="30" t="str">
        <f aca="false">IF($A43="","",IF($CI43="","",IF($CI43&gt;=config!$B$30,"pass","miss")))</f>
        <v/>
      </c>
      <c r="DU43" s="30" t="str">
        <f aca="true">IF($A43="","",IF($AT43="",IF($DP43="","",IF(IF(config!$B$37&lt;&gt;"",config!$B$37,TODAY())&gt;$DP43,"late","due")),IF($AT43&lt;=$DP43,"pass","late")))</f>
        <v/>
      </c>
      <c r="DV43" s="30" t="str">
        <f aca="false">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ustomFormat="false" ht="15" hidden="false" customHeight="false" outlineLevel="0" collapsed="false">
      <c r="D44" s="10"/>
      <c r="G44" s="12"/>
      <c r="H44" s="11"/>
      <c r="M44" s="10"/>
      <c r="Y44" s="10"/>
      <c r="Z44" s="10"/>
      <c r="AB44" s="11"/>
      <c r="AC44" s="11"/>
      <c r="AD44" s="11"/>
      <c r="AF44" s="11"/>
      <c r="AG44" s="11"/>
      <c r="AT44" s="11"/>
      <c r="AU44" s="11"/>
      <c r="AV44" s="10"/>
      <c r="AW44" s="10"/>
      <c r="AY44" s="11"/>
      <c r="BA44" s="11"/>
      <c r="BB44" s="11"/>
      <c r="BC44" s="11"/>
      <c r="BE44" s="30" t="str">
        <f aca="false">IF($A44="","",IFERROR(IF(INDEX(brands!$K$2:$K$41,MATCH($C44,brands!$A$2:$A$41,0))="","",INDEX(brands!$K$2:$K$41,MATCH($C44,brands!$A$2:$A$41,0))),""))</f>
        <v/>
      </c>
      <c r="BF44" s="30" t="str">
        <f aca="false">IF($A44="","",IFERROR(IF(INDEX(brands!$M$2:$M$41,MATCH($C44,brands!$A$2:$A$41,0))="","",INDEX(brands!$M$2:$M$41,MATCH($C44,brands!$A$2:$A$41,0))),""))</f>
        <v/>
      </c>
      <c r="BG44" s="31" t="str">
        <f aca="false">IF($A44="","",IF(IFERROR(IF(INDEX(drops!$I$2:$I$21,MATCH($B44,drops!$A$2:$A$21,0))="","",INDEX(drops!$I$2:$I$21,MATCH($B44,drops!$A$2:$A$21,0))),"")="OK",IFERROR(IF(INDEX(drops!$B$2:$B$21,MATCH($B44,drops!$A$2:$A$21,0))="","",INDEX(drops!$B$2:$B$21,MATCH($B44,drops!$A$2:$A$21,0))),""),""))</f>
        <v/>
      </c>
      <c r="BH44" s="30" t="str">
        <f aca="false">IF($A44="","",IFERROR(IF(INDEX(drops!$C$2:$C$21,MATCH($B44,drops!$A$2:$A$21,0))="","",INDEX(drops!$C$2:$C$21,MATCH($B44,drops!$A$2:$A$21,0))),""))</f>
        <v/>
      </c>
      <c r="BI44" s="32" t="str">
        <f aca="false">IF($A44="","",IF($F44="","",IF($D44="founding",IF($E44="Y",config!$B$25*MIN($F44,config!$B$26)+config!$B$24*MAX(0,$F44-config!$B$26),config!$B$20+config!$B$24*MAX(0,$F44-config!$B$21)),IF($D44="standard",config!$B$22+config!$B$24*MAX(0,$F44-config!$B$23),""))))</f>
        <v/>
      </c>
      <c r="BJ44" s="32" t="str">
        <f aca="false">IF($A44="","",IF($G44&lt;&gt;"",$G44,$BI44))</f>
        <v/>
      </c>
      <c r="BK44" s="30" t="str">
        <f aca="false">IF($A44="","",IF($D44="founding","100% within "&amp;config!$B$27&amp;" business days of the invoice, before shipping",IF($D44="standard","50% on signing; 50% at placement confirmation (T+1)","")))</f>
        <v/>
      </c>
      <c r="BL44" s="31" t="str">
        <f aca="false">IF($A44="","",IFERROR(IF(INDEX(drops!$K$2:$K$21,MATCH($B44,drops!$A$2:$A$21,0))="","",INDEX(drops!$K$2:$K$21,MATCH($B44,drops!$A$2:$A$21,0))),""))</f>
        <v/>
      </c>
      <c r="BM44" s="31" t="str">
        <f aca="false">IF($A44="","",IFERROR(IF(INDEX(drops!$L$2:$L$21,MATCH($B44,drops!$A$2:$A$21,0))="","",INDEX(drops!$L$2:$L$21,MATCH($B44,drops!$A$2:$A$21,0))),""))</f>
        <v/>
      </c>
      <c r="BN44" s="30" t="str">
        <f aca="false">IF($A44="","",COUNTIF(approvals!$A$2:$A$251,$A44))</f>
        <v/>
      </c>
      <c r="BO44" s="30" t="str">
        <f aca="false">IF($A44="","",COUNTIFS(approvals!$A$2:$A$251,$A44,approvals!$P$2:$P$251,"Y"))</f>
        <v/>
      </c>
      <c r="BP44" s="30" t="str">
        <f aca="false">IF($A44="","",COUNTIFS(approvals!$A$2:$A$251,$A44,approvals!$Q$2:$Q$251,"Y"))</f>
        <v/>
      </c>
      <c r="BQ44" s="30" t="str">
        <f aca="false">IF($A44="","",COUNTIFS(approvals!$A$2:$A$251,$A44,approvals!$P$2:$P$251,"pending"))</f>
        <v/>
      </c>
      <c r="BR44" s="30" t="str">
        <f aca="false">IF($A44="","",SUMIFS(approvals!$S$2:$S$251,approvals!$A$2:$A$251,$A44,approvals!$P$2:$P$251,"Y"))</f>
        <v/>
      </c>
      <c r="BS44" s="30" t="str">
        <f aca="false">IF($A44="","",ROUNDUP($BR44*config!$B$18,0))</f>
        <v/>
      </c>
      <c r="BT44" s="30" t="str">
        <f aca="false">IF($A44="","",$BR44+$BS44)</f>
        <v/>
      </c>
      <c r="BU44" s="32" t="str">
        <f aca="false">IF($A44="","",SUMIFS(invoices!$I$2:$I$151,invoices!$B$2:$B$151,$A44,invoices!$R$2:$R$151,"Y",invoices!$H$2:$H$151,"&gt;0"))</f>
        <v/>
      </c>
      <c r="BV44" s="32" t="str">
        <f aca="false">IF($A44="","",IF($BJ44="","",IF($D44="founding",$BJ44,ROUND($BJ44*config!$B$28,2))))</f>
        <v/>
      </c>
      <c r="BW44" s="30" t="str">
        <f aca="false">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30" t="str">
        <f aca="false">IF($A44="","",SUMIFS(inventory!$G$2:$G$801,inventory!$C$2:$C$801,$A44,inventory!$E$2:$E$801,"received"))</f>
        <v/>
      </c>
      <c r="BY44" s="30" t="str">
        <f aca="false">IF($A44="","",SUMIFS(inventory!$G$2:$G$801,inventory!$C$2:$C$801,$A44,inventory!$E$2:$E$801,"rejected"))</f>
        <v/>
      </c>
      <c r="BZ44" s="30" t="str">
        <f aca="false">IF($A44="","",SUMIFS(inventory!$M$2:$M$801,inventory!$C$2:$C$801,$A44))</f>
        <v/>
      </c>
      <c r="CA44" s="30" t="str">
        <f aca="false">IF($A44="","",SUMIFS(inventory!$O$2:$O$801,inventory!$C$2:$C$801,$A44))</f>
        <v/>
      </c>
      <c r="CB44" s="30" t="str">
        <f aca="false">IF($A44="","",SUMIFS(approvals!$U$2:$U$251,approvals!$A$2:$A$251,$A44))</f>
        <v/>
      </c>
      <c r="CC44" s="30" t="str">
        <f aca="false">IF($A44="","",SUMIFS(approvals!$AA$2:$AA$251,approvals!$A$2:$A$251,$A44))</f>
        <v/>
      </c>
      <c r="CD44" s="30" t="str">
        <f aca="false">IF($A44="","",SUMIFS(approvals!$AA$2:$AA$251,approvals!$A$2:$A$251,$A44,approvals!$AB$2:$AB$251,"Y"))</f>
        <v/>
      </c>
      <c r="CE44" s="34" t="str">
        <f aca="false">IF($A44="","",IF(N($CB44)=0,"",$CD44/$CB44))</f>
        <v/>
      </c>
      <c r="CF44" s="30" t="str">
        <f aca="false">IF($A44="","",SUMIFS(approvals!$AD$2:$AD$251,approvals!$A$2:$A$251,$A44))</f>
        <v/>
      </c>
      <c r="CG44" s="30" t="str">
        <f aca="false">IF($A44="","",IF(COUNTIFS(approvals!$A$2:$A$251,$A44,approvals!$Q$2:$Q$251,"Y",approvals!$AG$2:$AG$251,"")&gt;0,"",SUMIFS(approvals!$AG$2:$AG$251,approvals!$A$2:$A$251,$A44,approvals!$Q$2:$Q$251,"Y")))</f>
        <v/>
      </c>
      <c r="CH44" s="30" t="str">
        <f aca="false">IF($A44="","",SUMIFS(approvals!$AL$2:$AL$251,approvals!$A$2:$A$251,$A44,approvals!$Q$2:$Q$251,"Y"))</f>
        <v/>
      </c>
      <c r="CI44" s="30" t="str">
        <f aca="false">IF($A44="","",IF(N($BP44)=0,"",SUMPRODUCT(MIN(approvals!$BB$2:$BB$251+(approvals!$A$2:$A$251&lt;&gt;$A44)*1000000))))</f>
        <v/>
      </c>
      <c r="CJ44" s="30" t="str">
        <f aca="false">IF($A44="","",COUNTIFS(approvals!$A$2:$A$251,$A44,approvals!$Q$2:$Q$251,"Y",approvals!$AL$2:$AL$251,"&lt;"&amp;config!$B$30))</f>
        <v/>
      </c>
      <c r="CK44" s="30" t="str">
        <f aca="false">IF($A44="","",SUMIFS(approvals!$AM$2:$AM$251,approvals!$A$2:$A$251,$A44,approvals!$Q$2:$Q$251,"Y"))</f>
        <v/>
      </c>
      <c r="CL44" s="30" t="str">
        <f aca="false">IF($A44="","",SUMIFS(approvals!$AQ$2:$AQ$251,approvals!$A$2:$A$251,$A44,approvals!$Q$2:$Q$251,"Y"))</f>
        <v/>
      </c>
      <c r="CM44" s="30" t="str">
        <f aca="false">IF($A44="","",SUMIFS(approvals!$AR$2:$AR$251,approvals!$A$2:$A$251,$A44,approvals!$Q$2:$Q$251,"Y"))</f>
        <v/>
      </c>
      <c r="CN44" s="30" t="str">
        <f aca="false">IF($A44="","",SUMIFS(approvals!$AS$2:$AS$251,approvals!$A$2:$A$251,$A44,approvals!$Q$2:$Q$251,"Y"))</f>
        <v/>
      </c>
      <c r="CO44" s="30" t="str">
        <f aca="false">IF($A44="","",SUMIFS(approvals!$AT$2:$AT$251,approvals!$A$2:$A$251,$A44,approvals!$Q$2:$Q$251,"Y"))</f>
        <v/>
      </c>
      <c r="CP44" s="33" t="str">
        <f aca="false">IF($A44="","",IF(N($CO44)=0,"",ROUND(SUMIFS(approvals!$AU$2:$AU$251,approvals!$A$2:$A$251,$A44,approvals!$Q$2:$Q$251,"Y")/$CO44,1)))</f>
        <v/>
      </c>
      <c r="CQ44" s="30" t="str">
        <f aca="false">IF($A44="","",SUMIFS(approvals!$AV$2:$AV$251,approvals!$A$2:$A$251,$A44,approvals!$Q$2:$Q$251,"Y"))</f>
        <v/>
      </c>
      <c r="CR44" s="30" t="str">
        <f aca="false">IF($A44="","",SUMIFS(approvals!$AW$2:$AW$251,approvals!$A$2:$A$251,$A44,approvals!$Q$2:$Q$251,"Y"))</f>
        <v/>
      </c>
      <c r="CS44" s="30" t="str">
        <f aca="false">IF($A44="","",SUMIFS(approvals!$AX$2:$AX$251,approvals!$A$2:$A$251,$A44,approvals!$Q$2:$Q$251,"Y"))</f>
        <v/>
      </c>
      <c r="CT44" s="30" t="str">
        <f aca="false">IF($A44="","",SUMIFS(approvals!$AY$2:$AY$251,approvals!$A$2:$A$251,$A44,approvals!$Q$2:$Q$251,"Y"))</f>
        <v/>
      </c>
      <c r="CU44" s="30" t="str">
        <f aca="true">IF($A44="","",IF(OR($BG44="",$BC44&lt;&gt;""),"",IFERROR(COUNT(INDIRECT("'"&amp;$A44&amp;"'!$A$2:$A$501")),0)-IFERROR(COUNTIFS(INDIRECT("'"&amp;$A44&amp;"'!$A$2:$A$501"),"&gt;="&amp;$BG44,INDIRECT("'"&amp;$A44&amp;"'!$A$2:$A$501"),"&lt;"&amp;(IFERROR(IF(INDEX(drops!$R$2:$R$21,MATCH($B44,drops!$A$2:$A$21,0))="","",INDEX(drops!$R$2:$R$21,MATCH($B44,drops!$A$2:$A$21,0))),"")+1)),0)))</f>
        <v/>
      </c>
      <c r="CV44" s="30" t="str">
        <f aca="true">IF($A44="","",IF(OR($BG44="",$BC44&lt;&gt;""),"",IFERROR(COUNTIFS(INDIRECT("'"&amp;$A44&amp;"'!$A$2:$A$501"),"&gt;="&amp;$BG44,INDIRECT("'"&amp;$A44&amp;"'!$A$2:$A$501"),"&lt;"&amp;(IFERROR(IF(INDEX(drops!$R$2:$R$21,MATCH($B44,drops!$A$2:$A$21,0))="","",INDEX(drops!$R$2:$R$21,MATCH($B44,drops!$A$2:$A$21,0))),"")+1)),0)-N($CH44)-N($CW44)))</f>
        <v/>
      </c>
      <c r="CW44" s="30" t="str">
        <f aca="false">IF($A44="","",IF($BG44="","",SUMIFS(approvals!$AL$2:$AL$251,approvals!$A$2:$A$251,$A44,approvals!$Q$2:$Q$251,"&lt;&gt;Y")))</f>
        <v/>
      </c>
      <c r="CX44" s="30" t="str">
        <f aca="false">IF($A44="","",SUMIFS(approvals!$AN$2:$AN$251,approvals!$A$2:$A$251,$A44,approvals!$Q$2:$Q$251,"Y"))</f>
        <v/>
      </c>
      <c r="CY44" s="30" t="str">
        <f aca="false">IF($A44="","",SUMIFS(approvals!$AO$2:$AO$251,approvals!$A$2:$A$251,$A44,approvals!$Q$2:$Q$251,"Y"))</f>
        <v/>
      </c>
      <c r="CZ44" s="30" t="str">
        <f aca="false">IF($A44="","",IF($DA44="","",SUMIFS(redemptions!$C$2:$C$121,redemptions!$A$2:$A$121,$A44,redemptions!$B$2:$B$121,$DA44)))</f>
        <v/>
      </c>
      <c r="DA44" s="31" t="str">
        <f aca="false">IF($A44="","",IFERROR(1/(1/SUMPRODUCT(MAX((redemptions!$A$2:$A$121=$A44)*redemptions!$B$2:$B$121))),""))</f>
        <v/>
      </c>
      <c r="DB44" s="30" t="str">
        <f aca="false">IF($A44="","",IF(COUNTIFS(redemptions!$A$2:$A$121,$A44,redemptions!$H$2:$H$121,"Y")=0,"",SUMIFS(redemptions!$C$2:$C$121,redemptions!$A$2:$A$121,$A44,redemptions!$B$2:$B$121,SUMPRODUCT(MIN((redemptions!$A$2:$A$121=$A44)*(redemptions!$H$2:$H$121="Y")*redemptions!$B$2:$B$121+((redemptions!$A$2:$A$121&lt;&gt;$A44)+(redemptions!$H$2:$H$121&lt;&gt;"Y")&gt;0)*1000000)))))</f>
        <v/>
      </c>
      <c r="DC44" s="32" t="str">
        <f aca="false">IF($A44="","",SUMIFS(invoices!$E$2:$E$151,invoices!$B$2:$B$151,$A44))</f>
        <v/>
      </c>
      <c r="DD44" s="32" t="str">
        <f aca="false">IF($A44="","",IF(COUNTIFS(invoices!$B$2:$B$151,$A44,invoices!$C$2:$C$151,"standard_deposit",invoices!$H$2:$H$151,"&gt;0")=0,"",SUMIFS(invoices!$I$2:$I$151,invoices!$B$2:$B$151,$A44,invoices!$C$2:$C$151,"standard_deposit")))</f>
        <v/>
      </c>
      <c r="DE44" s="31" t="str">
        <f aca="false">IF($A44="","",IFERROR(1/(1/SUMPRODUCT(MAX((invoices!$B$2:$B$151=$A44)*(invoices!$C$2:$C$151="standard_deposit")*invoices!$H$2:$H$151))),""))</f>
        <v/>
      </c>
      <c r="DF44" s="31" t="str">
        <f aca="false">IF($A44="","",IFERROR(1/(1/SUMPRODUCT(MAX((invoices!$B$2:$B$151=$A44)*((invoices!$C$2:$C$151="founding_full")+(invoices!$C$2:$C$151="standard_balance"))*invoices!$H$2:$H$151))),""))</f>
        <v/>
      </c>
      <c r="DG44" s="32" t="str">
        <f aca="false">IF($A44="","",SUMIFS(invoices!$L$2:$L$151,invoices!$B$2:$B$151,$A44))</f>
        <v/>
      </c>
      <c r="DH44" s="32" t="str">
        <f aca="false">IF($A44="","",SUMIFS(costs!$E$2:$E$301,costs!$C$2:$C$301,$A44))</f>
        <v/>
      </c>
      <c r="DI44" s="32" t="str">
        <f aca="false">IF($A44="","",ROUND(IF(SUMIFS(campaigns!$BO$2:$BO$51,campaigns!$B$2:$B$51,$B44)=0,0,$BO44/SUMIFS(campaigns!$BO$2:$BO$51,campaigns!$B$2:$B$51,$B44))*(SUMIFS(costs!$E$2:$E$301,costs!$B$2:$B$301,$B44)-SUMPRODUCT((costs!$B$2:$B$301=$B44)*(LEN(costs!$C$2:$C$301)&gt;0)*costs!$E$2:$E$301)),2))</f>
        <v/>
      </c>
      <c r="DJ44" s="33" t="str">
        <f aca="false">IF($A44="","",SUMIFS(hours!$E$2:$E$1501,hours!$C$2:$C$1501,$A44))</f>
        <v/>
      </c>
      <c r="DK44" s="33" t="str">
        <f aca="false">IF($A44="","",ROUND(IF(SUMIFS(campaigns!$BO$2:$BO$51,campaigns!$B$2:$B$51,$B44)=0,0,$BO44/SUMIFS(campaigns!$BO$2:$BO$51,campaigns!$B$2:$B$51,$B44))*(SUMIFS(hours!$E$2:$E$1501,hours!$B$2:$B$1501,$B44)-SUMPRODUCT((hours!$B$2:$B$1501=$B44)*(LEN(hours!$C$2:$C$1501)&gt;0)*hours!$E$2:$E$1501)),2))</f>
        <v/>
      </c>
      <c r="DL44" s="32" t="str">
        <f aca="false">IF($A44="","",$DC44-$DG44-$DH44-$DI44)</f>
        <v/>
      </c>
      <c r="DM44" s="32" t="str">
        <f aca="false">IF($A44="","",IF(N($DJ44)+N($DK44)=0,"",ROUND($DL44/($DJ44+$DK44),2)))</f>
        <v/>
      </c>
      <c r="DN44" s="34" t="str">
        <f aca="false">IF($A44="","",IF(N($BP44)=0,"",COUNTIFS(approvals!$A$2:$A$251,$A44,approvals!$Q$2:$Q$251,"Y",approvals!$AK$2:$AK$251,"Y")/$BP44))</f>
        <v/>
      </c>
      <c r="DO44" s="33" t="str">
        <f aca="false">IF($A44="","",IF(COUNTIFS(approvals!$A$2:$A$251,$A44,approvals!$AC$2:$AC$251,"&gt;=0")=0,"",ROUND(SUMIFS(approvals!$AC$2:$AC$251,approvals!$A$2:$A$251,$A44)/COUNTIFS(approvals!$A$2:$A$251,$A44,approvals!$AC$2:$AC$251,"&gt;=0"),1)))</f>
        <v/>
      </c>
      <c r="DP44" s="31" t="str">
        <f aca="false">IF($A44="","",IFERROR(IF(INDEX(drops!$T$2:$T$21,MATCH($B44,drops!$A$2:$A$21,0))="","",INDEX(drops!$T$2:$T$21,MATCH($B44,drops!$A$2:$A$21,0))),""))</f>
        <v/>
      </c>
      <c r="DQ44" s="31" t="str">
        <f aca="false">IF($A44="","",IFERROR(IF(INDEX(drops!$U$2:$U$21,MATCH($B44,drops!$A$2:$A$21,0))="","",INDEX(drops!$U$2:$U$21,MATCH($B44,drops!$A$2:$A$21,0))),""))</f>
        <v/>
      </c>
      <c r="DR44" s="31" t="str">
        <f aca="false">IF($A44="","",IFERROR(IF(INDEX(drops!$W$2:$W$21,MATCH($B44,drops!$A$2:$A$21,0))="","",INDEX(drops!$W$2:$W$21,MATCH($B44,drops!$A$2:$A$21,0))),""))</f>
        <v/>
      </c>
      <c r="DS44" s="30" t="str">
        <f aca="false">IF($A44="","",IF($CE44="","",IF($CE44&gt;=config!$B$31,"pass","miss")))</f>
        <v/>
      </c>
      <c r="DT44" s="30" t="str">
        <f aca="false">IF($A44="","",IF($CI44="","",IF($CI44&gt;=config!$B$30,"pass","miss")))</f>
        <v/>
      </c>
      <c r="DU44" s="30" t="str">
        <f aca="true">IF($A44="","",IF($AT44="",IF($DP44="","",IF(IF(config!$B$37&lt;&gt;"",config!$B$37,TODAY())&gt;$DP44,"late","due")),IF($AT44&lt;=$DP44,"pass","late")))</f>
        <v/>
      </c>
      <c r="DV44" s="30" t="str">
        <f aca="false">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ustomFormat="false" ht="15" hidden="false" customHeight="false" outlineLevel="0" collapsed="false">
      <c r="D45" s="10"/>
      <c r="G45" s="12"/>
      <c r="H45" s="11"/>
      <c r="M45" s="10"/>
      <c r="Y45" s="10"/>
      <c r="Z45" s="10"/>
      <c r="AB45" s="11"/>
      <c r="AC45" s="11"/>
      <c r="AD45" s="11"/>
      <c r="AF45" s="11"/>
      <c r="AG45" s="11"/>
      <c r="AT45" s="11"/>
      <c r="AU45" s="11"/>
      <c r="AV45" s="10"/>
      <c r="AW45" s="10"/>
      <c r="AY45" s="11"/>
      <c r="BA45" s="11"/>
      <c r="BB45" s="11"/>
      <c r="BC45" s="11"/>
      <c r="BE45" s="30" t="str">
        <f aca="false">IF($A45="","",IFERROR(IF(INDEX(brands!$K$2:$K$41,MATCH($C45,brands!$A$2:$A$41,0))="","",INDEX(brands!$K$2:$K$41,MATCH($C45,brands!$A$2:$A$41,0))),""))</f>
        <v/>
      </c>
      <c r="BF45" s="30" t="str">
        <f aca="false">IF($A45="","",IFERROR(IF(INDEX(brands!$M$2:$M$41,MATCH($C45,brands!$A$2:$A$41,0))="","",INDEX(brands!$M$2:$M$41,MATCH($C45,brands!$A$2:$A$41,0))),""))</f>
        <v/>
      </c>
      <c r="BG45" s="31" t="str">
        <f aca="false">IF($A45="","",IF(IFERROR(IF(INDEX(drops!$I$2:$I$21,MATCH($B45,drops!$A$2:$A$21,0))="","",INDEX(drops!$I$2:$I$21,MATCH($B45,drops!$A$2:$A$21,0))),"")="OK",IFERROR(IF(INDEX(drops!$B$2:$B$21,MATCH($B45,drops!$A$2:$A$21,0))="","",INDEX(drops!$B$2:$B$21,MATCH($B45,drops!$A$2:$A$21,0))),""),""))</f>
        <v/>
      </c>
      <c r="BH45" s="30" t="str">
        <f aca="false">IF($A45="","",IFERROR(IF(INDEX(drops!$C$2:$C$21,MATCH($B45,drops!$A$2:$A$21,0))="","",INDEX(drops!$C$2:$C$21,MATCH($B45,drops!$A$2:$A$21,0))),""))</f>
        <v/>
      </c>
      <c r="BI45" s="32" t="str">
        <f aca="false">IF($A45="","",IF($F45="","",IF($D45="founding",IF($E45="Y",config!$B$25*MIN($F45,config!$B$26)+config!$B$24*MAX(0,$F45-config!$B$26),config!$B$20+config!$B$24*MAX(0,$F45-config!$B$21)),IF($D45="standard",config!$B$22+config!$B$24*MAX(0,$F45-config!$B$23),""))))</f>
        <v/>
      </c>
      <c r="BJ45" s="32" t="str">
        <f aca="false">IF($A45="","",IF($G45&lt;&gt;"",$G45,$BI45))</f>
        <v/>
      </c>
      <c r="BK45" s="30" t="str">
        <f aca="false">IF($A45="","",IF($D45="founding","100% within "&amp;config!$B$27&amp;" business days of the invoice, before shipping",IF($D45="standard","50% on signing; 50% at placement confirmation (T+1)","")))</f>
        <v/>
      </c>
      <c r="BL45" s="31" t="str">
        <f aca="false">IF($A45="","",IFERROR(IF(INDEX(drops!$K$2:$K$21,MATCH($B45,drops!$A$2:$A$21,0))="","",INDEX(drops!$K$2:$K$21,MATCH($B45,drops!$A$2:$A$21,0))),""))</f>
        <v/>
      </c>
      <c r="BM45" s="31" t="str">
        <f aca="false">IF($A45="","",IFERROR(IF(INDEX(drops!$L$2:$L$21,MATCH($B45,drops!$A$2:$A$21,0))="","",INDEX(drops!$L$2:$L$21,MATCH($B45,drops!$A$2:$A$21,0))),""))</f>
        <v/>
      </c>
      <c r="BN45" s="30" t="str">
        <f aca="false">IF($A45="","",COUNTIF(approvals!$A$2:$A$251,$A45))</f>
        <v/>
      </c>
      <c r="BO45" s="30" t="str">
        <f aca="false">IF($A45="","",COUNTIFS(approvals!$A$2:$A$251,$A45,approvals!$P$2:$P$251,"Y"))</f>
        <v/>
      </c>
      <c r="BP45" s="30" t="str">
        <f aca="false">IF($A45="","",COUNTIFS(approvals!$A$2:$A$251,$A45,approvals!$Q$2:$Q$251,"Y"))</f>
        <v/>
      </c>
      <c r="BQ45" s="30" t="str">
        <f aca="false">IF($A45="","",COUNTIFS(approvals!$A$2:$A$251,$A45,approvals!$P$2:$P$251,"pending"))</f>
        <v/>
      </c>
      <c r="BR45" s="30" t="str">
        <f aca="false">IF($A45="","",SUMIFS(approvals!$S$2:$S$251,approvals!$A$2:$A$251,$A45,approvals!$P$2:$P$251,"Y"))</f>
        <v/>
      </c>
      <c r="BS45" s="30" t="str">
        <f aca="false">IF($A45="","",ROUNDUP($BR45*config!$B$18,0))</f>
        <v/>
      </c>
      <c r="BT45" s="30" t="str">
        <f aca="false">IF($A45="","",$BR45+$BS45)</f>
        <v/>
      </c>
      <c r="BU45" s="32" t="str">
        <f aca="false">IF($A45="","",SUMIFS(invoices!$I$2:$I$151,invoices!$B$2:$B$151,$A45,invoices!$R$2:$R$151,"Y",invoices!$H$2:$H$151,"&gt;0"))</f>
        <v/>
      </c>
      <c r="BV45" s="32" t="str">
        <f aca="false">IF($A45="","",IF($BJ45="","",IF($D45="founding",$BJ45,ROUND($BJ45*config!$B$28,2))))</f>
        <v/>
      </c>
      <c r="BW45" s="30" t="str">
        <f aca="false">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30" t="str">
        <f aca="false">IF($A45="","",SUMIFS(inventory!$G$2:$G$801,inventory!$C$2:$C$801,$A45,inventory!$E$2:$E$801,"received"))</f>
        <v/>
      </c>
      <c r="BY45" s="30" t="str">
        <f aca="false">IF($A45="","",SUMIFS(inventory!$G$2:$G$801,inventory!$C$2:$C$801,$A45,inventory!$E$2:$E$801,"rejected"))</f>
        <v/>
      </c>
      <c r="BZ45" s="30" t="str">
        <f aca="false">IF($A45="","",SUMIFS(inventory!$M$2:$M$801,inventory!$C$2:$C$801,$A45))</f>
        <v/>
      </c>
      <c r="CA45" s="30" t="str">
        <f aca="false">IF($A45="","",SUMIFS(inventory!$O$2:$O$801,inventory!$C$2:$C$801,$A45))</f>
        <v/>
      </c>
      <c r="CB45" s="30" t="str">
        <f aca="false">IF($A45="","",SUMIFS(approvals!$U$2:$U$251,approvals!$A$2:$A$251,$A45))</f>
        <v/>
      </c>
      <c r="CC45" s="30" t="str">
        <f aca="false">IF($A45="","",SUMIFS(approvals!$AA$2:$AA$251,approvals!$A$2:$A$251,$A45))</f>
        <v/>
      </c>
      <c r="CD45" s="30" t="str">
        <f aca="false">IF($A45="","",SUMIFS(approvals!$AA$2:$AA$251,approvals!$A$2:$A$251,$A45,approvals!$AB$2:$AB$251,"Y"))</f>
        <v/>
      </c>
      <c r="CE45" s="34" t="str">
        <f aca="false">IF($A45="","",IF(N($CB45)=0,"",$CD45/$CB45))</f>
        <v/>
      </c>
      <c r="CF45" s="30" t="str">
        <f aca="false">IF($A45="","",SUMIFS(approvals!$AD$2:$AD$251,approvals!$A$2:$A$251,$A45))</f>
        <v/>
      </c>
      <c r="CG45" s="30" t="str">
        <f aca="false">IF($A45="","",IF(COUNTIFS(approvals!$A$2:$A$251,$A45,approvals!$Q$2:$Q$251,"Y",approvals!$AG$2:$AG$251,"")&gt;0,"",SUMIFS(approvals!$AG$2:$AG$251,approvals!$A$2:$A$251,$A45,approvals!$Q$2:$Q$251,"Y")))</f>
        <v/>
      </c>
      <c r="CH45" s="30" t="str">
        <f aca="false">IF($A45="","",SUMIFS(approvals!$AL$2:$AL$251,approvals!$A$2:$A$251,$A45,approvals!$Q$2:$Q$251,"Y"))</f>
        <v/>
      </c>
      <c r="CI45" s="30" t="str">
        <f aca="false">IF($A45="","",IF(N($BP45)=0,"",SUMPRODUCT(MIN(approvals!$BB$2:$BB$251+(approvals!$A$2:$A$251&lt;&gt;$A45)*1000000))))</f>
        <v/>
      </c>
      <c r="CJ45" s="30" t="str">
        <f aca="false">IF($A45="","",COUNTIFS(approvals!$A$2:$A$251,$A45,approvals!$Q$2:$Q$251,"Y",approvals!$AL$2:$AL$251,"&lt;"&amp;config!$B$30))</f>
        <v/>
      </c>
      <c r="CK45" s="30" t="str">
        <f aca="false">IF($A45="","",SUMIFS(approvals!$AM$2:$AM$251,approvals!$A$2:$A$251,$A45,approvals!$Q$2:$Q$251,"Y"))</f>
        <v/>
      </c>
      <c r="CL45" s="30" t="str">
        <f aca="false">IF($A45="","",SUMIFS(approvals!$AQ$2:$AQ$251,approvals!$A$2:$A$251,$A45,approvals!$Q$2:$Q$251,"Y"))</f>
        <v/>
      </c>
      <c r="CM45" s="30" t="str">
        <f aca="false">IF($A45="","",SUMIFS(approvals!$AR$2:$AR$251,approvals!$A$2:$A$251,$A45,approvals!$Q$2:$Q$251,"Y"))</f>
        <v/>
      </c>
      <c r="CN45" s="30" t="str">
        <f aca="false">IF($A45="","",SUMIFS(approvals!$AS$2:$AS$251,approvals!$A$2:$A$251,$A45,approvals!$Q$2:$Q$251,"Y"))</f>
        <v/>
      </c>
      <c r="CO45" s="30" t="str">
        <f aca="false">IF($A45="","",SUMIFS(approvals!$AT$2:$AT$251,approvals!$A$2:$A$251,$A45,approvals!$Q$2:$Q$251,"Y"))</f>
        <v/>
      </c>
      <c r="CP45" s="33" t="str">
        <f aca="false">IF($A45="","",IF(N($CO45)=0,"",ROUND(SUMIFS(approvals!$AU$2:$AU$251,approvals!$A$2:$A$251,$A45,approvals!$Q$2:$Q$251,"Y")/$CO45,1)))</f>
        <v/>
      </c>
      <c r="CQ45" s="30" t="str">
        <f aca="false">IF($A45="","",SUMIFS(approvals!$AV$2:$AV$251,approvals!$A$2:$A$251,$A45,approvals!$Q$2:$Q$251,"Y"))</f>
        <v/>
      </c>
      <c r="CR45" s="30" t="str">
        <f aca="false">IF($A45="","",SUMIFS(approvals!$AW$2:$AW$251,approvals!$A$2:$A$251,$A45,approvals!$Q$2:$Q$251,"Y"))</f>
        <v/>
      </c>
      <c r="CS45" s="30" t="str">
        <f aca="false">IF($A45="","",SUMIFS(approvals!$AX$2:$AX$251,approvals!$A$2:$A$251,$A45,approvals!$Q$2:$Q$251,"Y"))</f>
        <v/>
      </c>
      <c r="CT45" s="30" t="str">
        <f aca="false">IF($A45="","",SUMIFS(approvals!$AY$2:$AY$251,approvals!$A$2:$A$251,$A45,approvals!$Q$2:$Q$251,"Y"))</f>
        <v/>
      </c>
      <c r="CU45" s="30" t="str">
        <f aca="true">IF($A45="","",IF(OR($BG45="",$BC45&lt;&gt;""),"",IFERROR(COUNT(INDIRECT("'"&amp;$A45&amp;"'!$A$2:$A$501")),0)-IFERROR(COUNTIFS(INDIRECT("'"&amp;$A45&amp;"'!$A$2:$A$501"),"&gt;="&amp;$BG45,INDIRECT("'"&amp;$A45&amp;"'!$A$2:$A$501"),"&lt;"&amp;(IFERROR(IF(INDEX(drops!$R$2:$R$21,MATCH($B45,drops!$A$2:$A$21,0))="","",INDEX(drops!$R$2:$R$21,MATCH($B45,drops!$A$2:$A$21,0))),"")+1)),0)))</f>
        <v/>
      </c>
      <c r="CV45" s="30" t="str">
        <f aca="true">IF($A45="","",IF(OR($BG45="",$BC45&lt;&gt;""),"",IFERROR(COUNTIFS(INDIRECT("'"&amp;$A45&amp;"'!$A$2:$A$501"),"&gt;="&amp;$BG45,INDIRECT("'"&amp;$A45&amp;"'!$A$2:$A$501"),"&lt;"&amp;(IFERROR(IF(INDEX(drops!$R$2:$R$21,MATCH($B45,drops!$A$2:$A$21,0))="","",INDEX(drops!$R$2:$R$21,MATCH($B45,drops!$A$2:$A$21,0))),"")+1)),0)-N($CH45)-N($CW45)))</f>
        <v/>
      </c>
      <c r="CW45" s="30" t="str">
        <f aca="false">IF($A45="","",IF($BG45="","",SUMIFS(approvals!$AL$2:$AL$251,approvals!$A$2:$A$251,$A45,approvals!$Q$2:$Q$251,"&lt;&gt;Y")))</f>
        <v/>
      </c>
      <c r="CX45" s="30" t="str">
        <f aca="false">IF($A45="","",SUMIFS(approvals!$AN$2:$AN$251,approvals!$A$2:$A$251,$A45,approvals!$Q$2:$Q$251,"Y"))</f>
        <v/>
      </c>
      <c r="CY45" s="30" t="str">
        <f aca="false">IF($A45="","",SUMIFS(approvals!$AO$2:$AO$251,approvals!$A$2:$A$251,$A45,approvals!$Q$2:$Q$251,"Y"))</f>
        <v/>
      </c>
      <c r="CZ45" s="30" t="str">
        <f aca="false">IF($A45="","",IF($DA45="","",SUMIFS(redemptions!$C$2:$C$121,redemptions!$A$2:$A$121,$A45,redemptions!$B$2:$B$121,$DA45)))</f>
        <v/>
      </c>
      <c r="DA45" s="31" t="str">
        <f aca="false">IF($A45="","",IFERROR(1/(1/SUMPRODUCT(MAX((redemptions!$A$2:$A$121=$A45)*redemptions!$B$2:$B$121))),""))</f>
        <v/>
      </c>
      <c r="DB45" s="30" t="str">
        <f aca="false">IF($A45="","",IF(COUNTIFS(redemptions!$A$2:$A$121,$A45,redemptions!$H$2:$H$121,"Y")=0,"",SUMIFS(redemptions!$C$2:$C$121,redemptions!$A$2:$A$121,$A45,redemptions!$B$2:$B$121,SUMPRODUCT(MIN((redemptions!$A$2:$A$121=$A45)*(redemptions!$H$2:$H$121="Y")*redemptions!$B$2:$B$121+((redemptions!$A$2:$A$121&lt;&gt;$A45)+(redemptions!$H$2:$H$121&lt;&gt;"Y")&gt;0)*1000000)))))</f>
        <v/>
      </c>
      <c r="DC45" s="32" t="str">
        <f aca="false">IF($A45="","",SUMIFS(invoices!$E$2:$E$151,invoices!$B$2:$B$151,$A45))</f>
        <v/>
      </c>
      <c r="DD45" s="32" t="str">
        <f aca="false">IF($A45="","",IF(COUNTIFS(invoices!$B$2:$B$151,$A45,invoices!$C$2:$C$151,"standard_deposit",invoices!$H$2:$H$151,"&gt;0")=0,"",SUMIFS(invoices!$I$2:$I$151,invoices!$B$2:$B$151,$A45,invoices!$C$2:$C$151,"standard_deposit")))</f>
        <v/>
      </c>
      <c r="DE45" s="31" t="str">
        <f aca="false">IF($A45="","",IFERROR(1/(1/SUMPRODUCT(MAX((invoices!$B$2:$B$151=$A45)*(invoices!$C$2:$C$151="standard_deposit")*invoices!$H$2:$H$151))),""))</f>
        <v/>
      </c>
      <c r="DF45" s="31" t="str">
        <f aca="false">IF($A45="","",IFERROR(1/(1/SUMPRODUCT(MAX((invoices!$B$2:$B$151=$A45)*((invoices!$C$2:$C$151="founding_full")+(invoices!$C$2:$C$151="standard_balance"))*invoices!$H$2:$H$151))),""))</f>
        <v/>
      </c>
      <c r="DG45" s="32" t="str">
        <f aca="false">IF($A45="","",SUMIFS(invoices!$L$2:$L$151,invoices!$B$2:$B$151,$A45))</f>
        <v/>
      </c>
      <c r="DH45" s="32" t="str">
        <f aca="false">IF($A45="","",SUMIFS(costs!$E$2:$E$301,costs!$C$2:$C$301,$A45))</f>
        <v/>
      </c>
      <c r="DI45" s="32" t="str">
        <f aca="false">IF($A45="","",ROUND(IF(SUMIFS(campaigns!$BO$2:$BO$51,campaigns!$B$2:$B$51,$B45)=0,0,$BO45/SUMIFS(campaigns!$BO$2:$BO$51,campaigns!$B$2:$B$51,$B45))*(SUMIFS(costs!$E$2:$E$301,costs!$B$2:$B$301,$B45)-SUMPRODUCT((costs!$B$2:$B$301=$B45)*(LEN(costs!$C$2:$C$301)&gt;0)*costs!$E$2:$E$301)),2))</f>
        <v/>
      </c>
      <c r="DJ45" s="33" t="str">
        <f aca="false">IF($A45="","",SUMIFS(hours!$E$2:$E$1501,hours!$C$2:$C$1501,$A45))</f>
        <v/>
      </c>
      <c r="DK45" s="33" t="str">
        <f aca="false">IF($A45="","",ROUND(IF(SUMIFS(campaigns!$BO$2:$BO$51,campaigns!$B$2:$B$51,$B45)=0,0,$BO45/SUMIFS(campaigns!$BO$2:$BO$51,campaigns!$B$2:$B$51,$B45))*(SUMIFS(hours!$E$2:$E$1501,hours!$B$2:$B$1501,$B45)-SUMPRODUCT((hours!$B$2:$B$1501=$B45)*(LEN(hours!$C$2:$C$1501)&gt;0)*hours!$E$2:$E$1501)),2))</f>
        <v/>
      </c>
      <c r="DL45" s="32" t="str">
        <f aca="false">IF($A45="","",$DC45-$DG45-$DH45-$DI45)</f>
        <v/>
      </c>
      <c r="DM45" s="32" t="str">
        <f aca="false">IF($A45="","",IF(N($DJ45)+N($DK45)=0,"",ROUND($DL45/($DJ45+$DK45),2)))</f>
        <v/>
      </c>
      <c r="DN45" s="34" t="str">
        <f aca="false">IF($A45="","",IF(N($BP45)=0,"",COUNTIFS(approvals!$A$2:$A$251,$A45,approvals!$Q$2:$Q$251,"Y",approvals!$AK$2:$AK$251,"Y")/$BP45))</f>
        <v/>
      </c>
      <c r="DO45" s="33" t="str">
        <f aca="false">IF($A45="","",IF(COUNTIFS(approvals!$A$2:$A$251,$A45,approvals!$AC$2:$AC$251,"&gt;=0")=0,"",ROUND(SUMIFS(approvals!$AC$2:$AC$251,approvals!$A$2:$A$251,$A45)/COUNTIFS(approvals!$A$2:$A$251,$A45,approvals!$AC$2:$AC$251,"&gt;=0"),1)))</f>
        <v/>
      </c>
      <c r="DP45" s="31" t="str">
        <f aca="false">IF($A45="","",IFERROR(IF(INDEX(drops!$T$2:$T$21,MATCH($B45,drops!$A$2:$A$21,0))="","",INDEX(drops!$T$2:$T$21,MATCH($B45,drops!$A$2:$A$21,0))),""))</f>
        <v/>
      </c>
      <c r="DQ45" s="31" t="str">
        <f aca="false">IF($A45="","",IFERROR(IF(INDEX(drops!$U$2:$U$21,MATCH($B45,drops!$A$2:$A$21,0))="","",INDEX(drops!$U$2:$U$21,MATCH($B45,drops!$A$2:$A$21,0))),""))</f>
        <v/>
      </c>
      <c r="DR45" s="31" t="str">
        <f aca="false">IF($A45="","",IFERROR(IF(INDEX(drops!$W$2:$W$21,MATCH($B45,drops!$A$2:$A$21,0))="","",INDEX(drops!$W$2:$W$21,MATCH($B45,drops!$A$2:$A$21,0))),""))</f>
        <v/>
      </c>
      <c r="DS45" s="30" t="str">
        <f aca="false">IF($A45="","",IF($CE45="","",IF($CE45&gt;=config!$B$31,"pass","miss")))</f>
        <v/>
      </c>
      <c r="DT45" s="30" t="str">
        <f aca="false">IF($A45="","",IF($CI45="","",IF($CI45&gt;=config!$B$30,"pass","miss")))</f>
        <v/>
      </c>
      <c r="DU45" s="30" t="str">
        <f aca="true">IF($A45="","",IF($AT45="",IF($DP45="","",IF(IF(config!$B$37&lt;&gt;"",config!$B$37,TODAY())&gt;$DP45,"late","due")),IF($AT45&lt;=$DP45,"pass","late")))</f>
        <v/>
      </c>
      <c r="DV45" s="30" t="str">
        <f aca="false">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ustomFormat="false" ht="15" hidden="false" customHeight="false" outlineLevel="0" collapsed="false">
      <c r="D46" s="10"/>
      <c r="G46" s="12"/>
      <c r="H46" s="11"/>
      <c r="M46" s="10"/>
      <c r="Y46" s="10"/>
      <c r="Z46" s="10"/>
      <c r="AB46" s="11"/>
      <c r="AC46" s="11"/>
      <c r="AD46" s="11"/>
      <c r="AF46" s="11"/>
      <c r="AG46" s="11"/>
      <c r="AT46" s="11"/>
      <c r="AU46" s="11"/>
      <c r="AV46" s="10"/>
      <c r="AW46" s="10"/>
      <c r="AY46" s="11"/>
      <c r="BA46" s="11"/>
      <c r="BB46" s="11"/>
      <c r="BC46" s="11"/>
      <c r="BE46" s="30" t="str">
        <f aca="false">IF($A46="","",IFERROR(IF(INDEX(brands!$K$2:$K$41,MATCH($C46,brands!$A$2:$A$41,0))="","",INDEX(brands!$K$2:$K$41,MATCH($C46,brands!$A$2:$A$41,0))),""))</f>
        <v/>
      </c>
      <c r="BF46" s="30" t="str">
        <f aca="false">IF($A46="","",IFERROR(IF(INDEX(brands!$M$2:$M$41,MATCH($C46,brands!$A$2:$A$41,0))="","",INDEX(brands!$M$2:$M$41,MATCH($C46,brands!$A$2:$A$41,0))),""))</f>
        <v/>
      </c>
      <c r="BG46" s="31" t="str">
        <f aca="false">IF($A46="","",IF(IFERROR(IF(INDEX(drops!$I$2:$I$21,MATCH($B46,drops!$A$2:$A$21,0))="","",INDEX(drops!$I$2:$I$21,MATCH($B46,drops!$A$2:$A$21,0))),"")="OK",IFERROR(IF(INDEX(drops!$B$2:$B$21,MATCH($B46,drops!$A$2:$A$21,0))="","",INDEX(drops!$B$2:$B$21,MATCH($B46,drops!$A$2:$A$21,0))),""),""))</f>
        <v/>
      </c>
      <c r="BH46" s="30" t="str">
        <f aca="false">IF($A46="","",IFERROR(IF(INDEX(drops!$C$2:$C$21,MATCH($B46,drops!$A$2:$A$21,0))="","",INDEX(drops!$C$2:$C$21,MATCH($B46,drops!$A$2:$A$21,0))),""))</f>
        <v/>
      </c>
      <c r="BI46" s="32" t="str">
        <f aca="false">IF($A46="","",IF($F46="","",IF($D46="founding",IF($E46="Y",config!$B$25*MIN($F46,config!$B$26)+config!$B$24*MAX(0,$F46-config!$B$26),config!$B$20+config!$B$24*MAX(0,$F46-config!$B$21)),IF($D46="standard",config!$B$22+config!$B$24*MAX(0,$F46-config!$B$23),""))))</f>
        <v/>
      </c>
      <c r="BJ46" s="32" t="str">
        <f aca="false">IF($A46="","",IF($G46&lt;&gt;"",$G46,$BI46))</f>
        <v/>
      </c>
      <c r="BK46" s="30" t="str">
        <f aca="false">IF($A46="","",IF($D46="founding","100% within "&amp;config!$B$27&amp;" business days of the invoice, before shipping",IF($D46="standard","50% on signing; 50% at placement confirmation (T+1)","")))</f>
        <v/>
      </c>
      <c r="BL46" s="31" t="str">
        <f aca="false">IF($A46="","",IFERROR(IF(INDEX(drops!$K$2:$K$21,MATCH($B46,drops!$A$2:$A$21,0))="","",INDEX(drops!$K$2:$K$21,MATCH($B46,drops!$A$2:$A$21,0))),""))</f>
        <v/>
      </c>
      <c r="BM46" s="31" t="str">
        <f aca="false">IF($A46="","",IFERROR(IF(INDEX(drops!$L$2:$L$21,MATCH($B46,drops!$A$2:$A$21,0))="","",INDEX(drops!$L$2:$L$21,MATCH($B46,drops!$A$2:$A$21,0))),""))</f>
        <v/>
      </c>
      <c r="BN46" s="30" t="str">
        <f aca="false">IF($A46="","",COUNTIF(approvals!$A$2:$A$251,$A46))</f>
        <v/>
      </c>
      <c r="BO46" s="30" t="str">
        <f aca="false">IF($A46="","",COUNTIFS(approvals!$A$2:$A$251,$A46,approvals!$P$2:$P$251,"Y"))</f>
        <v/>
      </c>
      <c r="BP46" s="30" t="str">
        <f aca="false">IF($A46="","",COUNTIFS(approvals!$A$2:$A$251,$A46,approvals!$Q$2:$Q$251,"Y"))</f>
        <v/>
      </c>
      <c r="BQ46" s="30" t="str">
        <f aca="false">IF($A46="","",COUNTIFS(approvals!$A$2:$A$251,$A46,approvals!$P$2:$P$251,"pending"))</f>
        <v/>
      </c>
      <c r="BR46" s="30" t="str">
        <f aca="false">IF($A46="","",SUMIFS(approvals!$S$2:$S$251,approvals!$A$2:$A$251,$A46,approvals!$P$2:$P$251,"Y"))</f>
        <v/>
      </c>
      <c r="BS46" s="30" t="str">
        <f aca="false">IF($A46="","",ROUNDUP($BR46*config!$B$18,0))</f>
        <v/>
      </c>
      <c r="BT46" s="30" t="str">
        <f aca="false">IF($A46="","",$BR46+$BS46)</f>
        <v/>
      </c>
      <c r="BU46" s="32" t="str">
        <f aca="false">IF($A46="","",SUMIFS(invoices!$I$2:$I$151,invoices!$B$2:$B$151,$A46,invoices!$R$2:$R$151,"Y",invoices!$H$2:$H$151,"&gt;0"))</f>
        <v/>
      </c>
      <c r="BV46" s="32" t="str">
        <f aca="false">IF($A46="","",IF($BJ46="","",IF($D46="founding",$BJ46,ROUND($BJ46*config!$B$28,2))))</f>
        <v/>
      </c>
      <c r="BW46" s="30" t="str">
        <f aca="false">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30" t="str">
        <f aca="false">IF($A46="","",SUMIFS(inventory!$G$2:$G$801,inventory!$C$2:$C$801,$A46,inventory!$E$2:$E$801,"received"))</f>
        <v/>
      </c>
      <c r="BY46" s="30" t="str">
        <f aca="false">IF($A46="","",SUMIFS(inventory!$G$2:$G$801,inventory!$C$2:$C$801,$A46,inventory!$E$2:$E$801,"rejected"))</f>
        <v/>
      </c>
      <c r="BZ46" s="30" t="str">
        <f aca="false">IF($A46="","",SUMIFS(inventory!$M$2:$M$801,inventory!$C$2:$C$801,$A46))</f>
        <v/>
      </c>
      <c r="CA46" s="30" t="str">
        <f aca="false">IF($A46="","",SUMIFS(inventory!$O$2:$O$801,inventory!$C$2:$C$801,$A46))</f>
        <v/>
      </c>
      <c r="CB46" s="30" t="str">
        <f aca="false">IF($A46="","",SUMIFS(approvals!$U$2:$U$251,approvals!$A$2:$A$251,$A46))</f>
        <v/>
      </c>
      <c r="CC46" s="30" t="str">
        <f aca="false">IF($A46="","",SUMIFS(approvals!$AA$2:$AA$251,approvals!$A$2:$A$251,$A46))</f>
        <v/>
      </c>
      <c r="CD46" s="30" t="str">
        <f aca="false">IF($A46="","",SUMIFS(approvals!$AA$2:$AA$251,approvals!$A$2:$A$251,$A46,approvals!$AB$2:$AB$251,"Y"))</f>
        <v/>
      </c>
      <c r="CE46" s="34" t="str">
        <f aca="false">IF($A46="","",IF(N($CB46)=0,"",$CD46/$CB46))</f>
        <v/>
      </c>
      <c r="CF46" s="30" t="str">
        <f aca="false">IF($A46="","",SUMIFS(approvals!$AD$2:$AD$251,approvals!$A$2:$A$251,$A46))</f>
        <v/>
      </c>
      <c r="CG46" s="30" t="str">
        <f aca="false">IF($A46="","",IF(COUNTIFS(approvals!$A$2:$A$251,$A46,approvals!$Q$2:$Q$251,"Y",approvals!$AG$2:$AG$251,"")&gt;0,"",SUMIFS(approvals!$AG$2:$AG$251,approvals!$A$2:$A$251,$A46,approvals!$Q$2:$Q$251,"Y")))</f>
        <v/>
      </c>
      <c r="CH46" s="30" t="str">
        <f aca="false">IF($A46="","",SUMIFS(approvals!$AL$2:$AL$251,approvals!$A$2:$A$251,$A46,approvals!$Q$2:$Q$251,"Y"))</f>
        <v/>
      </c>
      <c r="CI46" s="30" t="str">
        <f aca="false">IF($A46="","",IF(N($BP46)=0,"",SUMPRODUCT(MIN(approvals!$BB$2:$BB$251+(approvals!$A$2:$A$251&lt;&gt;$A46)*1000000))))</f>
        <v/>
      </c>
      <c r="CJ46" s="30" t="str">
        <f aca="false">IF($A46="","",COUNTIFS(approvals!$A$2:$A$251,$A46,approvals!$Q$2:$Q$251,"Y",approvals!$AL$2:$AL$251,"&lt;"&amp;config!$B$30))</f>
        <v/>
      </c>
      <c r="CK46" s="30" t="str">
        <f aca="false">IF($A46="","",SUMIFS(approvals!$AM$2:$AM$251,approvals!$A$2:$A$251,$A46,approvals!$Q$2:$Q$251,"Y"))</f>
        <v/>
      </c>
      <c r="CL46" s="30" t="str">
        <f aca="false">IF($A46="","",SUMIFS(approvals!$AQ$2:$AQ$251,approvals!$A$2:$A$251,$A46,approvals!$Q$2:$Q$251,"Y"))</f>
        <v/>
      </c>
      <c r="CM46" s="30" t="str">
        <f aca="false">IF($A46="","",SUMIFS(approvals!$AR$2:$AR$251,approvals!$A$2:$A$251,$A46,approvals!$Q$2:$Q$251,"Y"))</f>
        <v/>
      </c>
      <c r="CN46" s="30" t="str">
        <f aca="false">IF($A46="","",SUMIFS(approvals!$AS$2:$AS$251,approvals!$A$2:$A$251,$A46,approvals!$Q$2:$Q$251,"Y"))</f>
        <v/>
      </c>
      <c r="CO46" s="30" t="str">
        <f aca="false">IF($A46="","",SUMIFS(approvals!$AT$2:$AT$251,approvals!$A$2:$A$251,$A46,approvals!$Q$2:$Q$251,"Y"))</f>
        <v/>
      </c>
      <c r="CP46" s="33" t="str">
        <f aca="false">IF($A46="","",IF(N($CO46)=0,"",ROUND(SUMIFS(approvals!$AU$2:$AU$251,approvals!$A$2:$A$251,$A46,approvals!$Q$2:$Q$251,"Y")/$CO46,1)))</f>
        <v/>
      </c>
      <c r="CQ46" s="30" t="str">
        <f aca="false">IF($A46="","",SUMIFS(approvals!$AV$2:$AV$251,approvals!$A$2:$A$251,$A46,approvals!$Q$2:$Q$251,"Y"))</f>
        <v/>
      </c>
      <c r="CR46" s="30" t="str">
        <f aca="false">IF($A46="","",SUMIFS(approvals!$AW$2:$AW$251,approvals!$A$2:$A$251,$A46,approvals!$Q$2:$Q$251,"Y"))</f>
        <v/>
      </c>
      <c r="CS46" s="30" t="str">
        <f aca="false">IF($A46="","",SUMIFS(approvals!$AX$2:$AX$251,approvals!$A$2:$A$251,$A46,approvals!$Q$2:$Q$251,"Y"))</f>
        <v/>
      </c>
      <c r="CT46" s="30" t="str">
        <f aca="false">IF($A46="","",SUMIFS(approvals!$AY$2:$AY$251,approvals!$A$2:$A$251,$A46,approvals!$Q$2:$Q$251,"Y"))</f>
        <v/>
      </c>
      <c r="CU46" s="30" t="str">
        <f aca="true">IF($A46="","",IF(OR($BG46="",$BC46&lt;&gt;""),"",IFERROR(COUNT(INDIRECT("'"&amp;$A46&amp;"'!$A$2:$A$501")),0)-IFERROR(COUNTIFS(INDIRECT("'"&amp;$A46&amp;"'!$A$2:$A$501"),"&gt;="&amp;$BG46,INDIRECT("'"&amp;$A46&amp;"'!$A$2:$A$501"),"&lt;"&amp;(IFERROR(IF(INDEX(drops!$R$2:$R$21,MATCH($B46,drops!$A$2:$A$21,0))="","",INDEX(drops!$R$2:$R$21,MATCH($B46,drops!$A$2:$A$21,0))),"")+1)),0)))</f>
        <v/>
      </c>
      <c r="CV46" s="30" t="str">
        <f aca="true">IF($A46="","",IF(OR($BG46="",$BC46&lt;&gt;""),"",IFERROR(COUNTIFS(INDIRECT("'"&amp;$A46&amp;"'!$A$2:$A$501"),"&gt;="&amp;$BG46,INDIRECT("'"&amp;$A46&amp;"'!$A$2:$A$501"),"&lt;"&amp;(IFERROR(IF(INDEX(drops!$R$2:$R$21,MATCH($B46,drops!$A$2:$A$21,0))="","",INDEX(drops!$R$2:$R$21,MATCH($B46,drops!$A$2:$A$21,0))),"")+1)),0)-N($CH46)-N($CW46)))</f>
        <v/>
      </c>
      <c r="CW46" s="30" t="str">
        <f aca="false">IF($A46="","",IF($BG46="","",SUMIFS(approvals!$AL$2:$AL$251,approvals!$A$2:$A$251,$A46,approvals!$Q$2:$Q$251,"&lt;&gt;Y")))</f>
        <v/>
      </c>
      <c r="CX46" s="30" t="str">
        <f aca="false">IF($A46="","",SUMIFS(approvals!$AN$2:$AN$251,approvals!$A$2:$A$251,$A46,approvals!$Q$2:$Q$251,"Y"))</f>
        <v/>
      </c>
      <c r="CY46" s="30" t="str">
        <f aca="false">IF($A46="","",SUMIFS(approvals!$AO$2:$AO$251,approvals!$A$2:$A$251,$A46,approvals!$Q$2:$Q$251,"Y"))</f>
        <v/>
      </c>
      <c r="CZ46" s="30" t="str">
        <f aca="false">IF($A46="","",IF($DA46="","",SUMIFS(redemptions!$C$2:$C$121,redemptions!$A$2:$A$121,$A46,redemptions!$B$2:$B$121,$DA46)))</f>
        <v/>
      </c>
      <c r="DA46" s="31" t="str">
        <f aca="false">IF($A46="","",IFERROR(1/(1/SUMPRODUCT(MAX((redemptions!$A$2:$A$121=$A46)*redemptions!$B$2:$B$121))),""))</f>
        <v/>
      </c>
      <c r="DB46" s="30" t="str">
        <f aca="false">IF($A46="","",IF(COUNTIFS(redemptions!$A$2:$A$121,$A46,redemptions!$H$2:$H$121,"Y")=0,"",SUMIFS(redemptions!$C$2:$C$121,redemptions!$A$2:$A$121,$A46,redemptions!$B$2:$B$121,SUMPRODUCT(MIN((redemptions!$A$2:$A$121=$A46)*(redemptions!$H$2:$H$121="Y")*redemptions!$B$2:$B$121+((redemptions!$A$2:$A$121&lt;&gt;$A46)+(redemptions!$H$2:$H$121&lt;&gt;"Y")&gt;0)*1000000)))))</f>
        <v/>
      </c>
      <c r="DC46" s="32" t="str">
        <f aca="false">IF($A46="","",SUMIFS(invoices!$E$2:$E$151,invoices!$B$2:$B$151,$A46))</f>
        <v/>
      </c>
      <c r="DD46" s="32" t="str">
        <f aca="false">IF($A46="","",IF(COUNTIFS(invoices!$B$2:$B$151,$A46,invoices!$C$2:$C$151,"standard_deposit",invoices!$H$2:$H$151,"&gt;0")=0,"",SUMIFS(invoices!$I$2:$I$151,invoices!$B$2:$B$151,$A46,invoices!$C$2:$C$151,"standard_deposit")))</f>
        <v/>
      </c>
      <c r="DE46" s="31" t="str">
        <f aca="false">IF($A46="","",IFERROR(1/(1/SUMPRODUCT(MAX((invoices!$B$2:$B$151=$A46)*(invoices!$C$2:$C$151="standard_deposit")*invoices!$H$2:$H$151))),""))</f>
        <v/>
      </c>
      <c r="DF46" s="31" t="str">
        <f aca="false">IF($A46="","",IFERROR(1/(1/SUMPRODUCT(MAX((invoices!$B$2:$B$151=$A46)*((invoices!$C$2:$C$151="founding_full")+(invoices!$C$2:$C$151="standard_balance"))*invoices!$H$2:$H$151))),""))</f>
        <v/>
      </c>
      <c r="DG46" s="32" t="str">
        <f aca="false">IF($A46="","",SUMIFS(invoices!$L$2:$L$151,invoices!$B$2:$B$151,$A46))</f>
        <v/>
      </c>
      <c r="DH46" s="32" t="str">
        <f aca="false">IF($A46="","",SUMIFS(costs!$E$2:$E$301,costs!$C$2:$C$301,$A46))</f>
        <v/>
      </c>
      <c r="DI46" s="32" t="str">
        <f aca="false">IF($A46="","",ROUND(IF(SUMIFS(campaigns!$BO$2:$BO$51,campaigns!$B$2:$B$51,$B46)=0,0,$BO46/SUMIFS(campaigns!$BO$2:$BO$51,campaigns!$B$2:$B$51,$B46))*(SUMIFS(costs!$E$2:$E$301,costs!$B$2:$B$301,$B46)-SUMPRODUCT((costs!$B$2:$B$301=$B46)*(LEN(costs!$C$2:$C$301)&gt;0)*costs!$E$2:$E$301)),2))</f>
        <v/>
      </c>
      <c r="DJ46" s="33" t="str">
        <f aca="false">IF($A46="","",SUMIFS(hours!$E$2:$E$1501,hours!$C$2:$C$1501,$A46))</f>
        <v/>
      </c>
      <c r="DK46" s="33" t="str">
        <f aca="false">IF($A46="","",ROUND(IF(SUMIFS(campaigns!$BO$2:$BO$51,campaigns!$B$2:$B$51,$B46)=0,0,$BO46/SUMIFS(campaigns!$BO$2:$BO$51,campaigns!$B$2:$B$51,$B46))*(SUMIFS(hours!$E$2:$E$1501,hours!$B$2:$B$1501,$B46)-SUMPRODUCT((hours!$B$2:$B$1501=$B46)*(LEN(hours!$C$2:$C$1501)&gt;0)*hours!$E$2:$E$1501)),2))</f>
        <v/>
      </c>
      <c r="DL46" s="32" t="str">
        <f aca="false">IF($A46="","",$DC46-$DG46-$DH46-$DI46)</f>
        <v/>
      </c>
      <c r="DM46" s="32" t="str">
        <f aca="false">IF($A46="","",IF(N($DJ46)+N($DK46)=0,"",ROUND($DL46/($DJ46+$DK46),2)))</f>
        <v/>
      </c>
      <c r="DN46" s="34" t="str">
        <f aca="false">IF($A46="","",IF(N($BP46)=0,"",COUNTIFS(approvals!$A$2:$A$251,$A46,approvals!$Q$2:$Q$251,"Y",approvals!$AK$2:$AK$251,"Y")/$BP46))</f>
        <v/>
      </c>
      <c r="DO46" s="33" t="str">
        <f aca="false">IF($A46="","",IF(COUNTIFS(approvals!$A$2:$A$251,$A46,approvals!$AC$2:$AC$251,"&gt;=0")=0,"",ROUND(SUMIFS(approvals!$AC$2:$AC$251,approvals!$A$2:$A$251,$A46)/COUNTIFS(approvals!$A$2:$A$251,$A46,approvals!$AC$2:$AC$251,"&gt;=0"),1)))</f>
        <v/>
      </c>
      <c r="DP46" s="31" t="str">
        <f aca="false">IF($A46="","",IFERROR(IF(INDEX(drops!$T$2:$T$21,MATCH($B46,drops!$A$2:$A$21,0))="","",INDEX(drops!$T$2:$T$21,MATCH($B46,drops!$A$2:$A$21,0))),""))</f>
        <v/>
      </c>
      <c r="DQ46" s="31" t="str">
        <f aca="false">IF($A46="","",IFERROR(IF(INDEX(drops!$U$2:$U$21,MATCH($B46,drops!$A$2:$A$21,0))="","",INDEX(drops!$U$2:$U$21,MATCH($B46,drops!$A$2:$A$21,0))),""))</f>
        <v/>
      </c>
      <c r="DR46" s="31" t="str">
        <f aca="false">IF($A46="","",IFERROR(IF(INDEX(drops!$W$2:$W$21,MATCH($B46,drops!$A$2:$A$21,0))="","",INDEX(drops!$W$2:$W$21,MATCH($B46,drops!$A$2:$A$21,0))),""))</f>
        <v/>
      </c>
      <c r="DS46" s="30" t="str">
        <f aca="false">IF($A46="","",IF($CE46="","",IF($CE46&gt;=config!$B$31,"pass","miss")))</f>
        <v/>
      </c>
      <c r="DT46" s="30" t="str">
        <f aca="false">IF($A46="","",IF($CI46="","",IF($CI46&gt;=config!$B$30,"pass","miss")))</f>
        <v/>
      </c>
      <c r="DU46" s="30" t="str">
        <f aca="true">IF($A46="","",IF($AT46="",IF($DP46="","",IF(IF(config!$B$37&lt;&gt;"",config!$B$37,TODAY())&gt;$DP46,"late","due")),IF($AT46&lt;=$DP46,"pass","late")))</f>
        <v/>
      </c>
      <c r="DV46" s="30" t="str">
        <f aca="false">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ustomFormat="false" ht="15" hidden="false" customHeight="false" outlineLevel="0" collapsed="false">
      <c r="D47" s="10"/>
      <c r="G47" s="12"/>
      <c r="H47" s="11"/>
      <c r="M47" s="10"/>
      <c r="Y47" s="10"/>
      <c r="Z47" s="10"/>
      <c r="AB47" s="11"/>
      <c r="AC47" s="11"/>
      <c r="AD47" s="11"/>
      <c r="AF47" s="11"/>
      <c r="AG47" s="11"/>
      <c r="AT47" s="11"/>
      <c r="AU47" s="11"/>
      <c r="AV47" s="10"/>
      <c r="AW47" s="10"/>
      <c r="AY47" s="11"/>
      <c r="BA47" s="11"/>
      <c r="BB47" s="11"/>
      <c r="BC47" s="11"/>
      <c r="BE47" s="30" t="str">
        <f aca="false">IF($A47="","",IFERROR(IF(INDEX(brands!$K$2:$K$41,MATCH($C47,brands!$A$2:$A$41,0))="","",INDEX(brands!$K$2:$K$41,MATCH($C47,brands!$A$2:$A$41,0))),""))</f>
        <v/>
      </c>
      <c r="BF47" s="30" t="str">
        <f aca="false">IF($A47="","",IFERROR(IF(INDEX(brands!$M$2:$M$41,MATCH($C47,brands!$A$2:$A$41,0))="","",INDEX(brands!$M$2:$M$41,MATCH($C47,brands!$A$2:$A$41,0))),""))</f>
        <v/>
      </c>
      <c r="BG47" s="31" t="str">
        <f aca="false">IF($A47="","",IF(IFERROR(IF(INDEX(drops!$I$2:$I$21,MATCH($B47,drops!$A$2:$A$21,0))="","",INDEX(drops!$I$2:$I$21,MATCH($B47,drops!$A$2:$A$21,0))),"")="OK",IFERROR(IF(INDEX(drops!$B$2:$B$21,MATCH($B47,drops!$A$2:$A$21,0))="","",INDEX(drops!$B$2:$B$21,MATCH($B47,drops!$A$2:$A$21,0))),""),""))</f>
        <v/>
      </c>
      <c r="BH47" s="30" t="str">
        <f aca="false">IF($A47="","",IFERROR(IF(INDEX(drops!$C$2:$C$21,MATCH($B47,drops!$A$2:$A$21,0))="","",INDEX(drops!$C$2:$C$21,MATCH($B47,drops!$A$2:$A$21,0))),""))</f>
        <v/>
      </c>
      <c r="BI47" s="32" t="str">
        <f aca="false">IF($A47="","",IF($F47="","",IF($D47="founding",IF($E47="Y",config!$B$25*MIN($F47,config!$B$26)+config!$B$24*MAX(0,$F47-config!$B$26),config!$B$20+config!$B$24*MAX(0,$F47-config!$B$21)),IF($D47="standard",config!$B$22+config!$B$24*MAX(0,$F47-config!$B$23),""))))</f>
        <v/>
      </c>
      <c r="BJ47" s="32" t="str">
        <f aca="false">IF($A47="","",IF($G47&lt;&gt;"",$G47,$BI47))</f>
        <v/>
      </c>
      <c r="BK47" s="30" t="str">
        <f aca="false">IF($A47="","",IF($D47="founding","100% within "&amp;config!$B$27&amp;" business days of the invoice, before shipping",IF($D47="standard","50% on signing; 50% at placement confirmation (T+1)","")))</f>
        <v/>
      </c>
      <c r="BL47" s="31" t="str">
        <f aca="false">IF($A47="","",IFERROR(IF(INDEX(drops!$K$2:$K$21,MATCH($B47,drops!$A$2:$A$21,0))="","",INDEX(drops!$K$2:$K$21,MATCH($B47,drops!$A$2:$A$21,0))),""))</f>
        <v/>
      </c>
      <c r="BM47" s="31" t="str">
        <f aca="false">IF($A47="","",IFERROR(IF(INDEX(drops!$L$2:$L$21,MATCH($B47,drops!$A$2:$A$21,0))="","",INDEX(drops!$L$2:$L$21,MATCH($B47,drops!$A$2:$A$21,0))),""))</f>
        <v/>
      </c>
      <c r="BN47" s="30" t="str">
        <f aca="false">IF($A47="","",COUNTIF(approvals!$A$2:$A$251,$A47))</f>
        <v/>
      </c>
      <c r="BO47" s="30" t="str">
        <f aca="false">IF($A47="","",COUNTIFS(approvals!$A$2:$A$251,$A47,approvals!$P$2:$P$251,"Y"))</f>
        <v/>
      </c>
      <c r="BP47" s="30" t="str">
        <f aca="false">IF($A47="","",COUNTIFS(approvals!$A$2:$A$251,$A47,approvals!$Q$2:$Q$251,"Y"))</f>
        <v/>
      </c>
      <c r="BQ47" s="30" t="str">
        <f aca="false">IF($A47="","",COUNTIFS(approvals!$A$2:$A$251,$A47,approvals!$P$2:$P$251,"pending"))</f>
        <v/>
      </c>
      <c r="BR47" s="30" t="str">
        <f aca="false">IF($A47="","",SUMIFS(approvals!$S$2:$S$251,approvals!$A$2:$A$251,$A47,approvals!$P$2:$P$251,"Y"))</f>
        <v/>
      </c>
      <c r="BS47" s="30" t="str">
        <f aca="false">IF($A47="","",ROUNDUP($BR47*config!$B$18,0))</f>
        <v/>
      </c>
      <c r="BT47" s="30" t="str">
        <f aca="false">IF($A47="","",$BR47+$BS47)</f>
        <v/>
      </c>
      <c r="BU47" s="32" t="str">
        <f aca="false">IF($A47="","",SUMIFS(invoices!$I$2:$I$151,invoices!$B$2:$B$151,$A47,invoices!$R$2:$R$151,"Y",invoices!$H$2:$H$151,"&gt;0"))</f>
        <v/>
      </c>
      <c r="BV47" s="32" t="str">
        <f aca="false">IF($A47="","",IF($BJ47="","",IF($D47="founding",$BJ47,ROUND($BJ47*config!$B$28,2))))</f>
        <v/>
      </c>
      <c r="BW47" s="30" t="str">
        <f aca="false">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30" t="str">
        <f aca="false">IF($A47="","",SUMIFS(inventory!$G$2:$G$801,inventory!$C$2:$C$801,$A47,inventory!$E$2:$E$801,"received"))</f>
        <v/>
      </c>
      <c r="BY47" s="30" t="str">
        <f aca="false">IF($A47="","",SUMIFS(inventory!$G$2:$G$801,inventory!$C$2:$C$801,$A47,inventory!$E$2:$E$801,"rejected"))</f>
        <v/>
      </c>
      <c r="BZ47" s="30" t="str">
        <f aca="false">IF($A47="","",SUMIFS(inventory!$M$2:$M$801,inventory!$C$2:$C$801,$A47))</f>
        <v/>
      </c>
      <c r="CA47" s="30" t="str">
        <f aca="false">IF($A47="","",SUMIFS(inventory!$O$2:$O$801,inventory!$C$2:$C$801,$A47))</f>
        <v/>
      </c>
      <c r="CB47" s="30" t="str">
        <f aca="false">IF($A47="","",SUMIFS(approvals!$U$2:$U$251,approvals!$A$2:$A$251,$A47))</f>
        <v/>
      </c>
      <c r="CC47" s="30" t="str">
        <f aca="false">IF($A47="","",SUMIFS(approvals!$AA$2:$AA$251,approvals!$A$2:$A$251,$A47))</f>
        <v/>
      </c>
      <c r="CD47" s="30" t="str">
        <f aca="false">IF($A47="","",SUMIFS(approvals!$AA$2:$AA$251,approvals!$A$2:$A$251,$A47,approvals!$AB$2:$AB$251,"Y"))</f>
        <v/>
      </c>
      <c r="CE47" s="34" t="str">
        <f aca="false">IF($A47="","",IF(N($CB47)=0,"",$CD47/$CB47))</f>
        <v/>
      </c>
      <c r="CF47" s="30" t="str">
        <f aca="false">IF($A47="","",SUMIFS(approvals!$AD$2:$AD$251,approvals!$A$2:$A$251,$A47))</f>
        <v/>
      </c>
      <c r="CG47" s="30" t="str">
        <f aca="false">IF($A47="","",IF(COUNTIFS(approvals!$A$2:$A$251,$A47,approvals!$Q$2:$Q$251,"Y",approvals!$AG$2:$AG$251,"")&gt;0,"",SUMIFS(approvals!$AG$2:$AG$251,approvals!$A$2:$A$251,$A47,approvals!$Q$2:$Q$251,"Y")))</f>
        <v/>
      </c>
      <c r="CH47" s="30" t="str">
        <f aca="false">IF($A47="","",SUMIFS(approvals!$AL$2:$AL$251,approvals!$A$2:$A$251,$A47,approvals!$Q$2:$Q$251,"Y"))</f>
        <v/>
      </c>
      <c r="CI47" s="30" t="str">
        <f aca="false">IF($A47="","",IF(N($BP47)=0,"",SUMPRODUCT(MIN(approvals!$BB$2:$BB$251+(approvals!$A$2:$A$251&lt;&gt;$A47)*1000000))))</f>
        <v/>
      </c>
      <c r="CJ47" s="30" t="str">
        <f aca="false">IF($A47="","",COUNTIFS(approvals!$A$2:$A$251,$A47,approvals!$Q$2:$Q$251,"Y",approvals!$AL$2:$AL$251,"&lt;"&amp;config!$B$30))</f>
        <v/>
      </c>
      <c r="CK47" s="30" t="str">
        <f aca="false">IF($A47="","",SUMIFS(approvals!$AM$2:$AM$251,approvals!$A$2:$A$251,$A47,approvals!$Q$2:$Q$251,"Y"))</f>
        <v/>
      </c>
      <c r="CL47" s="30" t="str">
        <f aca="false">IF($A47="","",SUMIFS(approvals!$AQ$2:$AQ$251,approvals!$A$2:$A$251,$A47,approvals!$Q$2:$Q$251,"Y"))</f>
        <v/>
      </c>
      <c r="CM47" s="30" t="str">
        <f aca="false">IF($A47="","",SUMIFS(approvals!$AR$2:$AR$251,approvals!$A$2:$A$251,$A47,approvals!$Q$2:$Q$251,"Y"))</f>
        <v/>
      </c>
      <c r="CN47" s="30" t="str">
        <f aca="false">IF($A47="","",SUMIFS(approvals!$AS$2:$AS$251,approvals!$A$2:$A$251,$A47,approvals!$Q$2:$Q$251,"Y"))</f>
        <v/>
      </c>
      <c r="CO47" s="30" t="str">
        <f aca="false">IF($A47="","",SUMIFS(approvals!$AT$2:$AT$251,approvals!$A$2:$A$251,$A47,approvals!$Q$2:$Q$251,"Y"))</f>
        <v/>
      </c>
      <c r="CP47" s="33" t="str">
        <f aca="false">IF($A47="","",IF(N($CO47)=0,"",ROUND(SUMIFS(approvals!$AU$2:$AU$251,approvals!$A$2:$A$251,$A47,approvals!$Q$2:$Q$251,"Y")/$CO47,1)))</f>
        <v/>
      </c>
      <c r="CQ47" s="30" t="str">
        <f aca="false">IF($A47="","",SUMIFS(approvals!$AV$2:$AV$251,approvals!$A$2:$A$251,$A47,approvals!$Q$2:$Q$251,"Y"))</f>
        <v/>
      </c>
      <c r="CR47" s="30" t="str">
        <f aca="false">IF($A47="","",SUMIFS(approvals!$AW$2:$AW$251,approvals!$A$2:$A$251,$A47,approvals!$Q$2:$Q$251,"Y"))</f>
        <v/>
      </c>
      <c r="CS47" s="30" t="str">
        <f aca="false">IF($A47="","",SUMIFS(approvals!$AX$2:$AX$251,approvals!$A$2:$A$251,$A47,approvals!$Q$2:$Q$251,"Y"))</f>
        <v/>
      </c>
      <c r="CT47" s="30" t="str">
        <f aca="false">IF($A47="","",SUMIFS(approvals!$AY$2:$AY$251,approvals!$A$2:$A$251,$A47,approvals!$Q$2:$Q$251,"Y"))</f>
        <v/>
      </c>
      <c r="CU47" s="30" t="str">
        <f aca="true">IF($A47="","",IF(OR($BG47="",$BC47&lt;&gt;""),"",IFERROR(COUNT(INDIRECT("'"&amp;$A47&amp;"'!$A$2:$A$501")),0)-IFERROR(COUNTIFS(INDIRECT("'"&amp;$A47&amp;"'!$A$2:$A$501"),"&gt;="&amp;$BG47,INDIRECT("'"&amp;$A47&amp;"'!$A$2:$A$501"),"&lt;"&amp;(IFERROR(IF(INDEX(drops!$R$2:$R$21,MATCH($B47,drops!$A$2:$A$21,0))="","",INDEX(drops!$R$2:$R$21,MATCH($B47,drops!$A$2:$A$21,0))),"")+1)),0)))</f>
        <v/>
      </c>
      <c r="CV47" s="30" t="str">
        <f aca="true">IF($A47="","",IF(OR($BG47="",$BC47&lt;&gt;""),"",IFERROR(COUNTIFS(INDIRECT("'"&amp;$A47&amp;"'!$A$2:$A$501"),"&gt;="&amp;$BG47,INDIRECT("'"&amp;$A47&amp;"'!$A$2:$A$501"),"&lt;"&amp;(IFERROR(IF(INDEX(drops!$R$2:$R$21,MATCH($B47,drops!$A$2:$A$21,0))="","",INDEX(drops!$R$2:$R$21,MATCH($B47,drops!$A$2:$A$21,0))),"")+1)),0)-N($CH47)-N($CW47)))</f>
        <v/>
      </c>
      <c r="CW47" s="30" t="str">
        <f aca="false">IF($A47="","",IF($BG47="","",SUMIFS(approvals!$AL$2:$AL$251,approvals!$A$2:$A$251,$A47,approvals!$Q$2:$Q$251,"&lt;&gt;Y")))</f>
        <v/>
      </c>
      <c r="CX47" s="30" t="str">
        <f aca="false">IF($A47="","",SUMIFS(approvals!$AN$2:$AN$251,approvals!$A$2:$A$251,$A47,approvals!$Q$2:$Q$251,"Y"))</f>
        <v/>
      </c>
      <c r="CY47" s="30" t="str">
        <f aca="false">IF($A47="","",SUMIFS(approvals!$AO$2:$AO$251,approvals!$A$2:$A$251,$A47,approvals!$Q$2:$Q$251,"Y"))</f>
        <v/>
      </c>
      <c r="CZ47" s="30" t="str">
        <f aca="false">IF($A47="","",IF($DA47="","",SUMIFS(redemptions!$C$2:$C$121,redemptions!$A$2:$A$121,$A47,redemptions!$B$2:$B$121,$DA47)))</f>
        <v/>
      </c>
      <c r="DA47" s="31" t="str">
        <f aca="false">IF($A47="","",IFERROR(1/(1/SUMPRODUCT(MAX((redemptions!$A$2:$A$121=$A47)*redemptions!$B$2:$B$121))),""))</f>
        <v/>
      </c>
      <c r="DB47" s="30" t="str">
        <f aca="false">IF($A47="","",IF(COUNTIFS(redemptions!$A$2:$A$121,$A47,redemptions!$H$2:$H$121,"Y")=0,"",SUMIFS(redemptions!$C$2:$C$121,redemptions!$A$2:$A$121,$A47,redemptions!$B$2:$B$121,SUMPRODUCT(MIN((redemptions!$A$2:$A$121=$A47)*(redemptions!$H$2:$H$121="Y")*redemptions!$B$2:$B$121+((redemptions!$A$2:$A$121&lt;&gt;$A47)+(redemptions!$H$2:$H$121&lt;&gt;"Y")&gt;0)*1000000)))))</f>
        <v/>
      </c>
      <c r="DC47" s="32" t="str">
        <f aca="false">IF($A47="","",SUMIFS(invoices!$E$2:$E$151,invoices!$B$2:$B$151,$A47))</f>
        <v/>
      </c>
      <c r="DD47" s="32" t="str">
        <f aca="false">IF($A47="","",IF(COUNTIFS(invoices!$B$2:$B$151,$A47,invoices!$C$2:$C$151,"standard_deposit",invoices!$H$2:$H$151,"&gt;0")=0,"",SUMIFS(invoices!$I$2:$I$151,invoices!$B$2:$B$151,$A47,invoices!$C$2:$C$151,"standard_deposit")))</f>
        <v/>
      </c>
      <c r="DE47" s="31" t="str">
        <f aca="false">IF($A47="","",IFERROR(1/(1/SUMPRODUCT(MAX((invoices!$B$2:$B$151=$A47)*(invoices!$C$2:$C$151="standard_deposit")*invoices!$H$2:$H$151))),""))</f>
        <v/>
      </c>
      <c r="DF47" s="31" t="str">
        <f aca="false">IF($A47="","",IFERROR(1/(1/SUMPRODUCT(MAX((invoices!$B$2:$B$151=$A47)*((invoices!$C$2:$C$151="founding_full")+(invoices!$C$2:$C$151="standard_balance"))*invoices!$H$2:$H$151))),""))</f>
        <v/>
      </c>
      <c r="DG47" s="32" t="str">
        <f aca="false">IF($A47="","",SUMIFS(invoices!$L$2:$L$151,invoices!$B$2:$B$151,$A47))</f>
        <v/>
      </c>
      <c r="DH47" s="32" t="str">
        <f aca="false">IF($A47="","",SUMIFS(costs!$E$2:$E$301,costs!$C$2:$C$301,$A47))</f>
        <v/>
      </c>
      <c r="DI47" s="32" t="str">
        <f aca="false">IF($A47="","",ROUND(IF(SUMIFS(campaigns!$BO$2:$BO$51,campaigns!$B$2:$B$51,$B47)=0,0,$BO47/SUMIFS(campaigns!$BO$2:$BO$51,campaigns!$B$2:$B$51,$B47))*(SUMIFS(costs!$E$2:$E$301,costs!$B$2:$B$301,$B47)-SUMPRODUCT((costs!$B$2:$B$301=$B47)*(LEN(costs!$C$2:$C$301)&gt;0)*costs!$E$2:$E$301)),2))</f>
        <v/>
      </c>
      <c r="DJ47" s="33" t="str">
        <f aca="false">IF($A47="","",SUMIFS(hours!$E$2:$E$1501,hours!$C$2:$C$1501,$A47))</f>
        <v/>
      </c>
      <c r="DK47" s="33" t="str">
        <f aca="false">IF($A47="","",ROUND(IF(SUMIFS(campaigns!$BO$2:$BO$51,campaigns!$B$2:$B$51,$B47)=0,0,$BO47/SUMIFS(campaigns!$BO$2:$BO$51,campaigns!$B$2:$B$51,$B47))*(SUMIFS(hours!$E$2:$E$1501,hours!$B$2:$B$1501,$B47)-SUMPRODUCT((hours!$B$2:$B$1501=$B47)*(LEN(hours!$C$2:$C$1501)&gt;0)*hours!$E$2:$E$1501)),2))</f>
        <v/>
      </c>
      <c r="DL47" s="32" t="str">
        <f aca="false">IF($A47="","",$DC47-$DG47-$DH47-$DI47)</f>
        <v/>
      </c>
      <c r="DM47" s="32" t="str">
        <f aca="false">IF($A47="","",IF(N($DJ47)+N($DK47)=0,"",ROUND($DL47/($DJ47+$DK47),2)))</f>
        <v/>
      </c>
      <c r="DN47" s="34" t="str">
        <f aca="false">IF($A47="","",IF(N($BP47)=0,"",COUNTIFS(approvals!$A$2:$A$251,$A47,approvals!$Q$2:$Q$251,"Y",approvals!$AK$2:$AK$251,"Y")/$BP47))</f>
        <v/>
      </c>
      <c r="DO47" s="33" t="str">
        <f aca="false">IF($A47="","",IF(COUNTIFS(approvals!$A$2:$A$251,$A47,approvals!$AC$2:$AC$251,"&gt;=0")=0,"",ROUND(SUMIFS(approvals!$AC$2:$AC$251,approvals!$A$2:$A$251,$A47)/COUNTIFS(approvals!$A$2:$A$251,$A47,approvals!$AC$2:$AC$251,"&gt;=0"),1)))</f>
        <v/>
      </c>
      <c r="DP47" s="31" t="str">
        <f aca="false">IF($A47="","",IFERROR(IF(INDEX(drops!$T$2:$T$21,MATCH($B47,drops!$A$2:$A$21,0))="","",INDEX(drops!$T$2:$T$21,MATCH($B47,drops!$A$2:$A$21,0))),""))</f>
        <v/>
      </c>
      <c r="DQ47" s="31" t="str">
        <f aca="false">IF($A47="","",IFERROR(IF(INDEX(drops!$U$2:$U$21,MATCH($B47,drops!$A$2:$A$21,0))="","",INDEX(drops!$U$2:$U$21,MATCH($B47,drops!$A$2:$A$21,0))),""))</f>
        <v/>
      </c>
      <c r="DR47" s="31" t="str">
        <f aca="false">IF($A47="","",IFERROR(IF(INDEX(drops!$W$2:$W$21,MATCH($B47,drops!$A$2:$A$21,0))="","",INDEX(drops!$W$2:$W$21,MATCH($B47,drops!$A$2:$A$21,0))),""))</f>
        <v/>
      </c>
      <c r="DS47" s="30" t="str">
        <f aca="false">IF($A47="","",IF($CE47="","",IF($CE47&gt;=config!$B$31,"pass","miss")))</f>
        <v/>
      </c>
      <c r="DT47" s="30" t="str">
        <f aca="false">IF($A47="","",IF($CI47="","",IF($CI47&gt;=config!$B$30,"pass","miss")))</f>
        <v/>
      </c>
      <c r="DU47" s="30" t="str">
        <f aca="true">IF($A47="","",IF($AT47="",IF($DP47="","",IF(IF(config!$B$37&lt;&gt;"",config!$B$37,TODAY())&gt;$DP47,"late","due")),IF($AT47&lt;=$DP47,"pass","late")))</f>
        <v/>
      </c>
      <c r="DV47" s="30" t="str">
        <f aca="false">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ustomFormat="false" ht="15" hidden="false" customHeight="false" outlineLevel="0" collapsed="false">
      <c r="D48" s="10"/>
      <c r="G48" s="12"/>
      <c r="H48" s="11"/>
      <c r="M48" s="10"/>
      <c r="Y48" s="10"/>
      <c r="Z48" s="10"/>
      <c r="AB48" s="11"/>
      <c r="AC48" s="11"/>
      <c r="AD48" s="11"/>
      <c r="AF48" s="11"/>
      <c r="AG48" s="11"/>
      <c r="AT48" s="11"/>
      <c r="AU48" s="11"/>
      <c r="AV48" s="10"/>
      <c r="AW48" s="10"/>
      <c r="AY48" s="11"/>
      <c r="BA48" s="11"/>
      <c r="BB48" s="11"/>
      <c r="BC48" s="11"/>
      <c r="BE48" s="30" t="str">
        <f aca="false">IF($A48="","",IFERROR(IF(INDEX(brands!$K$2:$K$41,MATCH($C48,brands!$A$2:$A$41,0))="","",INDEX(brands!$K$2:$K$41,MATCH($C48,brands!$A$2:$A$41,0))),""))</f>
        <v/>
      </c>
      <c r="BF48" s="30" t="str">
        <f aca="false">IF($A48="","",IFERROR(IF(INDEX(brands!$M$2:$M$41,MATCH($C48,brands!$A$2:$A$41,0))="","",INDEX(brands!$M$2:$M$41,MATCH($C48,brands!$A$2:$A$41,0))),""))</f>
        <v/>
      </c>
      <c r="BG48" s="31" t="str">
        <f aca="false">IF($A48="","",IF(IFERROR(IF(INDEX(drops!$I$2:$I$21,MATCH($B48,drops!$A$2:$A$21,0))="","",INDEX(drops!$I$2:$I$21,MATCH($B48,drops!$A$2:$A$21,0))),"")="OK",IFERROR(IF(INDEX(drops!$B$2:$B$21,MATCH($B48,drops!$A$2:$A$21,0))="","",INDEX(drops!$B$2:$B$21,MATCH($B48,drops!$A$2:$A$21,0))),""),""))</f>
        <v/>
      </c>
      <c r="BH48" s="30" t="str">
        <f aca="false">IF($A48="","",IFERROR(IF(INDEX(drops!$C$2:$C$21,MATCH($B48,drops!$A$2:$A$21,0))="","",INDEX(drops!$C$2:$C$21,MATCH($B48,drops!$A$2:$A$21,0))),""))</f>
        <v/>
      </c>
      <c r="BI48" s="32" t="str">
        <f aca="false">IF($A48="","",IF($F48="","",IF($D48="founding",IF($E48="Y",config!$B$25*MIN($F48,config!$B$26)+config!$B$24*MAX(0,$F48-config!$B$26),config!$B$20+config!$B$24*MAX(0,$F48-config!$B$21)),IF($D48="standard",config!$B$22+config!$B$24*MAX(0,$F48-config!$B$23),""))))</f>
        <v/>
      </c>
      <c r="BJ48" s="32" t="str">
        <f aca="false">IF($A48="","",IF($G48&lt;&gt;"",$G48,$BI48))</f>
        <v/>
      </c>
      <c r="BK48" s="30" t="str">
        <f aca="false">IF($A48="","",IF($D48="founding","100% within "&amp;config!$B$27&amp;" business days of the invoice, before shipping",IF($D48="standard","50% on signing; 50% at placement confirmation (T+1)","")))</f>
        <v/>
      </c>
      <c r="BL48" s="31" t="str">
        <f aca="false">IF($A48="","",IFERROR(IF(INDEX(drops!$K$2:$K$21,MATCH($B48,drops!$A$2:$A$21,0))="","",INDEX(drops!$K$2:$K$21,MATCH($B48,drops!$A$2:$A$21,0))),""))</f>
        <v/>
      </c>
      <c r="BM48" s="31" t="str">
        <f aca="false">IF($A48="","",IFERROR(IF(INDEX(drops!$L$2:$L$21,MATCH($B48,drops!$A$2:$A$21,0))="","",INDEX(drops!$L$2:$L$21,MATCH($B48,drops!$A$2:$A$21,0))),""))</f>
        <v/>
      </c>
      <c r="BN48" s="30" t="str">
        <f aca="false">IF($A48="","",COUNTIF(approvals!$A$2:$A$251,$A48))</f>
        <v/>
      </c>
      <c r="BO48" s="30" t="str">
        <f aca="false">IF($A48="","",COUNTIFS(approvals!$A$2:$A$251,$A48,approvals!$P$2:$P$251,"Y"))</f>
        <v/>
      </c>
      <c r="BP48" s="30" t="str">
        <f aca="false">IF($A48="","",COUNTIFS(approvals!$A$2:$A$251,$A48,approvals!$Q$2:$Q$251,"Y"))</f>
        <v/>
      </c>
      <c r="BQ48" s="30" t="str">
        <f aca="false">IF($A48="","",COUNTIFS(approvals!$A$2:$A$251,$A48,approvals!$P$2:$P$251,"pending"))</f>
        <v/>
      </c>
      <c r="BR48" s="30" t="str">
        <f aca="false">IF($A48="","",SUMIFS(approvals!$S$2:$S$251,approvals!$A$2:$A$251,$A48,approvals!$P$2:$P$251,"Y"))</f>
        <v/>
      </c>
      <c r="BS48" s="30" t="str">
        <f aca="false">IF($A48="","",ROUNDUP($BR48*config!$B$18,0))</f>
        <v/>
      </c>
      <c r="BT48" s="30" t="str">
        <f aca="false">IF($A48="","",$BR48+$BS48)</f>
        <v/>
      </c>
      <c r="BU48" s="32" t="str">
        <f aca="false">IF($A48="","",SUMIFS(invoices!$I$2:$I$151,invoices!$B$2:$B$151,$A48,invoices!$R$2:$R$151,"Y",invoices!$H$2:$H$151,"&gt;0"))</f>
        <v/>
      </c>
      <c r="BV48" s="32" t="str">
        <f aca="false">IF($A48="","",IF($BJ48="","",IF($D48="founding",$BJ48,ROUND($BJ48*config!$B$28,2))))</f>
        <v/>
      </c>
      <c r="BW48" s="30" t="str">
        <f aca="false">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30" t="str">
        <f aca="false">IF($A48="","",SUMIFS(inventory!$G$2:$G$801,inventory!$C$2:$C$801,$A48,inventory!$E$2:$E$801,"received"))</f>
        <v/>
      </c>
      <c r="BY48" s="30" t="str">
        <f aca="false">IF($A48="","",SUMIFS(inventory!$G$2:$G$801,inventory!$C$2:$C$801,$A48,inventory!$E$2:$E$801,"rejected"))</f>
        <v/>
      </c>
      <c r="BZ48" s="30" t="str">
        <f aca="false">IF($A48="","",SUMIFS(inventory!$M$2:$M$801,inventory!$C$2:$C$801,$A48))</f>
        <v/>
      </c>
      <c r="CA48" s="30" t="str">
        <f aca="false">IF($A48="","",SUMIFS(inventory!$O$2:$O$801,inventory!$C$2:$C$801,$A48))</f>
        <v/>
      </c>
      <c r="CB48" s="30" t="str">
        <f aca="false">IF($A48="","",SUMIFS(approvals!$U$2:$U$251,approvals!$A$2:$A$251,$A48))</f>
        <v/>
      </c>
      <c r="CC48" s="30" t="str">
        <f aca="false">IF($A48="","",SUMIFS(approvals!$AA$2:$AA$251,approvals!$A$2:$A$251,$A48))</f>
        <v/>
      </c>
      <c r="CD48" s="30" t="str">
        <f aca="false">IF($A48="","",SUMIFS(approvals!$AA$2:$AA$251,approvals!$A$2:$A$251,$A48,approvals!$AB$2:$AB$251,"Y"))</f>
        <v/>
      </c>
      <c r="CE48" s="34" t="str">
        <f aca="false">IF($A48="","",IF(N($CB48)=0,"",$CD48/$CB48))</f>
        <v/>
      </c>
      <c r="CF48" s="30" t="str">
        <f aca="false">IF($A48="","",SUMIFS(approvals!$AD$2:$AD$251,approvals!$A$2:$A$251,$A48))</f>
        <v/>
      </c>
      <c r="CG48" s="30" t="str">
        <f aca="false">IF($A48="","",IF(COUNTIFS(approvals!$A$2:$A$251,$A48,approvals!$Q$2:$Q$251,"Y",approvals!$AG$2:$AG$251,"")&gt;0,"",SUMIFS(approvals!$AG$2:$AG$251,approvals!$A$2:$A$251,$A48,approvals!$Q$2:$Q$251,"Y")))</f>
        <v/>
      </c>
      <c r="CH48" s="30" t="str">
        <f aca="false">IF($A48="","",SUMIFS(approvals!$AL$2:$AL$251,approvals!$A$2:$A$251,$A48,approvals!$Q$2:$Q$251,"Y"))</f>
        <v/>
      </c>
      <c r="CI48" s="30" t="str">
        <f aca="false">IF($A48="","",IF(N($BP48)=0,"",SUMPRODUCT(MIN(approvals!$BB$2:$BB$251+(approvals!$A$2:$A$251&lt;&gt;$A48)*1000000))))</f>
        <v/>
      </c>
      <c r="CJ48" s="30" t="str">
        <f aca="false">IF($A48="","",COUNTIFS(approvals!$A$2:$A$251,$A48,approvals!$Q$2:$Q$251,"Y",approvals!$AL$2:$AL$251,"&lt;"&amp;config!$B$30))</f>
        <v/>
      </c>
      <c r="CK48" s="30" t="str">
        <f aca="false">IF($A48="","",SUMIFS(approvals!$AM$2:$AM$251,approvals!$A$2:$A$251,$A48,approvals!$Q$2:$Q$251,"Y"))</f>
        <v/>
      </c>
      <c r="CL48" s="30" t="str">
        <f aca="false">IF($A48="","",SUMIFS(approvals!$AQ$2:$AQ$251,approvals!$A$2:$A$251,$A48,approvals!$Q$2:$Q$251,"Y"))</f>
        <v/>
      </c>
      <c r="CM48" s="30" t="str">
        <f aca="false">IF($A48="","",SUMIFS(approvals!$AR$2:$AR$251,approvals!$A$2:$A$251,$A48,approvals!$Q$2:$Q$251,"Y"))</f>
        <v/>
      </c>
      <c r="CN48" s="30" t="str">
        <f aca="false">IF($A48="","",SUMIFS(approvals!$AS$2:$AS$251,approvals!$A$2:$A$251,$A48,approvals!$Q$2:$Q$251,"Y"))</f>
        <v/>
      </c>
      <c r="CO48" s="30" t="str">
        <f aca="false">IF($A48="","",SUMIFS(approvals!$AT$2:$AT$251,approvals!$A$2:$A$251,$A48,approvals!$Q$2:$Q$251,"Y"))</f>
        <v/>
      </c>
      <c r="CP48" s="33" t="str">
        <f aca="false">IF($A48="","",IF(N($CO48)=0,"",ROUND(SUMIFS(approvals!$AU$2:$AU$251,approvals!$A$2:$A$251,$A48,approvals!$Q$2:$Q$251,"Y")/$CO48,1)))</f>
        <v/>
      </c>
      <c r="CQ48" s="30" t="str">
        <f aca="false">IF($A48="","",SUMIFS(approvals!$AV$2:$AV$251,approvals!$A$2:$A$251,$A48,approvals!$Q$2:$Q$251,"Y"))</f>
        <v/>
      </c>
      <c r="CR48" s="30" t="str">
        <f aca="false">IF($A48="","",SUMIFS(approvals!$AW$2:$AW$251,approvals!$A$2:$A$251,$A48,approvals!$Q$2:$Q$251,"Y"))</f>
        <v/>
      </c>
      <c r="CS48" s="30" t="str">
        <f aca="false">IF($A48="","",SUMIFS(approvals!$AX$2:$AX$251,approvals!$A$2:$A$251,$A48,approvals!$Q$2:$Q$251,"Y"))</f>
        <v/>
      </c>
      <c r="CT48" s="30" t="str">
        <f aca="false">IF($A48="","",SUMIFS(approvals!$AY$2:$AY$251,approvals!$A$2:$A$251,$A48,approvals!$Q$2:$Q$251,"Y"))</f>
        <v/>
      </c>
      <c r="CU48" s="30" t="str">
        <f aca="true">IF($A48="","",IF(OR($BG48="",$BC48&lt;&gt;""),"",IFERROR(COUNT(INDIRECT("'"&amp;$A48&amp;"'!$A$2:$A$501")),0)-IFERROR(COUNTIFS(INDIRECT("'"&amp;$A48&amp;"'!$A$2:$A$501"),"&gt;="&amp;$BG48,INDIRECT("'"&amp;$A48&amp;"'!$A$2:$A$501"),"&lt;"&amp;(IFERROR(IF(INDEX(drops!$R$2:$R$21,MATCH($B48,drops!$A$2:$A$21,0))="","",INDEX(drops!$R$2:$R$21,MATCH($B48,drops!$A$2:$A$21,0))),"")+1)),0)))</f>
        <v/>
      </c>
      <c r="CV48" s="30" t="str">
        <f aca="true">IF($A48="","",IF(OR($BG48="",$BC48&lt;&gt;""),"",IFERROR(COUNTIFS(INDIRECT("'"&amp;$A48&amp;"'!$A$2:$A$501"),"&gt;="&amp;$BG48,INDIRECT("'"&amp;$A48&amp;"'!$A$2:$A$501"),"&lt;"&amp;(IFERROR(IF(INDEX(drops!$R$2:$R$21,MATCH($B48,drops!$A$2:$A$21,0))="","",INDEX(drops!$R$2:$R$21,MATCH($B48,drops!$A$2:$A$21,0))),"")+1)),0)-N($CH48)-N($CW48)))</f>
        <v/>
      </c>
      <c r="CW48" s="30" t="str">
        <f aca="false">IF($A48="","",IF($BG48="","",SUMIFS(approvals!$AL$2:$AL$251,approvals!$A$2:$A$251,$A48,approvals!$Q$2:$Q$251,"&lt;&gt;Y")))</f>
        <v/>
      </c>
      <c r="CX48" s="30" t="str">
        <f aca="false">IF($A48="","",SUMIFS(approvals!$AN$2:$AN$251,approvals!$A$2:$A$251,$A48,approvals!$Q$2:$Q$251,"Y"))</f>
        <v/>
      </c>
      <c r="CY48" s="30" t="str">
        <f aca="false">IF($A48="","",SUMIFS(approvals!$AO$2:$AO$251,approvals!$A$2:$A$251,$A48,approvals!$Q$2:$Q$251,"Y"))</f>
        <v/>
      </c>
      <c r="CZ48" s="30" t="str">
        <f aca="false">IF($A48="","",IF($DA48="","",SUMIFS(redemptions!$C$2:$C$121,redemptions!$A$2:$A$121,$A48,redemptions!$B$2:$B$121,$DA48)))</f>
        <v/>
      </c>
      <c r="DA48" s="31" t="str">
        <f aca="false">IF($A48="","",IFERROR(1/(1/SUMPRODUCT(MAX((redemptions!$A$2:$A$121=$A48)*redemptions!$B$2:$B$121))),""))</f>
        <v/>
      </c>
      <c r="DB48" s="30" t="str">
        <f aca="false">IF($A48="","",IF(COUNTIFS(redemptions!$A$2:$A$121,$A48,redemptions!$H$2:$H$121,"Y")=0,"",SUMIFS(redemptions!$C$2:$C$121,redemptions!$A$2:$A$121,$A48,redemptions!$B$2:$B$121,SUMPRODUCT(MIN((redemptions!$A$2:$A$121=$A48)*(redemptions!$H$2:$H$121="Y")*redemptions!$B$2:$B$121+((redemptions!$A$2:$A$121&lt;&gt;$A48)+(redemptions!$H$2:$H$121&lt;&gt;"Y")&gt;0)*1000000)))))</f>
        <v/>
      </c>
      <c r="DC48" s="32" t="str">
        <f aca="false">IF($A48="","",SUMIFS(invoices!$E$2:$E$151,invoices!$B$2:$B$151,$A48))</f>
        <v/>
      </c>
      <c r="DD48" s="32" t="str">
        <f aca="false">IF($A48="","",IF(COUNTIFS(invoices!$B$2:$B$151,$A48,invoices!$C$2:$C$151,"standard_deposit",invoices!$H$2:$H$151,"&gt;0")=0,"",SUMIFS(invoices!$I$2:$I$151,invoices!$B$2:$B$151,$A48,invoices!$C$2:$C$151,"standard_deposit")))</f>
        <v/>
      </c>
      <c r="DE48" s="31" t="str">
        <f aca="false">IF($A48="","",IFERROR(1/(1/SUMPRODUCT(MAX((invoices!$B$2:$B$151=$A48)*(invoices!$C$2:$C$151="standard_deposit")*invoices!$H$2:$H$151))),""))</f>
        <v/>
      </c>
      <c r="DF48" s="31" t="str">
        <f aca="false">IF($A48="","",IFERROR(1/(1/SUMPRODUCT(MAX((invoices!$B$2:$B$151=$A48)*((invoices!$C$2:$C$151="founding_full")+(invoices!$C$2:$C$151="standard_balance"))*invoices!$H$2:$H$151))),""))</f>
        <v/>
      </c>
      <c r="DG48" s="32" t="str">
        <f aca="false">IF($A48="","",SUMIFS(invoices!$L$2:$L$151,invoices!$B$2:$B$151,$A48))</f>
        <v/>
      </c>
      <c r="DH48" s="32" t="str">
        <f aca="false">IF($A48="","",SUMIFS(costs!$E$2:$E$301,costs!$C$2:$C$301,$A48))</f>
        <v/>
      </c>
      <c r="DI48" s="32" t="str">
        <f aca="false">IF($A48="","",ROUND(IF(SUMIFS(campaigns!$BO$2:$BO$51,campaigns!$B$2:$B$51,$B48)=0,0,$BO48/SUMIFS(campaigns!$BO$2:$BO$51,campaigns!$B$2:$B$51,$B48))*(SUMIFS(costs!$E$2:$E$301,costs!$B$2:$B$301,$B48)-SUMPRODUCT((costs!$B$2:$B$301=$B48)*(LEN(costs!$C$2:$C$301)&gt;0)*costs!$E$2:$E$301)),2))</f>
        <v/>
      </c>
      <c r="DJ48" s="33" t="str">
        <f aca="false">IF($A48="","",SUMIFS(hours!$E$2:$E$1501,hours!$C$2:$C$1501,$A48))</f>
        <v/>
      </c>
      <c r="DK48" s="33" t="str">
        <f aca="false">IF($A48="","",ROUND(IF(SUMIFS(campaigns!$BO$2:$BO$51,campaigns!$B$2:$B$51,$B48)=0,0,$BO48/SUMIFS(campaigns!$BO$2:$BO$51,campaigns!$B$2:$B$51,$B48))*(SUMIFS(hours!$E$2:$E$1501,hours!$B$2:$B$1501,$B48)-SUMPRODUCT((hours!$B$2:$B$1501=$B48)*(LEN(hours!$C$2:$C$1501)&gt;0)*hours!$E$2:$E$1501)),2))</f>
        <v/>
      </c>
      <c r="DL48" s="32" t="str">
        <f aca="false">IF($A48="","",$DC48-$DG48-$DH48-$DI48)</f>
        <v/>
      </c>
      <c r="DM48" s="32" t="str">
        <f aca="false">IF($A48="","",IF(N($DJ48)+N($DK48)=0,"",ROUND($DL48/($DJ48+$DK48),2)))</f>
        <v/>
      </c>
      <c r="DN48" s="34" t="str">
        <f aca="false">IF($A48="","",IF(N($BP48)=0,"",COUNTIFS(approvals!$A$2:$A$251,$A48,approvals!$Q$2:$Q$251,"Y",approvals!$AK$2:$AK$251,"Y")/$BP48))</f>
        <v/>
      </c>
      <c r="DO48" s="33" t="str">
        <f aca="false">IF($A48="","",IF(COUNTIFS(approvals!$A$2:$A$251,$A48,approvals!$AC$2:$AC$251,"&gt;=0")=0,"",ROUND(SUMIFS(approvals!$AC$2:$AC$251,approvals!$A$2:$A$251,$A48)/COUNTIFS(approvals!$A$2:$A$251,$A48,approvals!$AC$2:$AC$251,"&gt;=0"),1)))</f>
        <v/>
      </c>
      <c r="DP48" s="31" t="str">
        <f aca="false">IF($A48="","",IFERROR(IF(INDEX(drops!$T$2:$T$21,MATCH($B48,drops!$A$2:$A$21,0))="","",INDEX(drops!$T$2:$T$21,MATCH($B48,drops!$A$2:$A$21,0))),""))</f>
        <v/>
      </c>
      <c r="DQ48" s="31" t="str">
        <f aca="false">IF($A48="","",IFERROR(IF(INDEX(drops!$U$2:$U$21,MATCH($B48,drops!$A$2:$A$21,0))="","",INDEX(drops!$U$2:$U$21,MATCH($B48,drops!$A$2:$A$21,0))),""))</f>
        <v/>
      </c>
      <c r="DR48" s="31" t="str">
        <f aca="false">IF($A48="","",IFERROR(IF(INDEX(drops!$W$2:$W$21,MATCH($B48,drops!$A$2:$A$21,0))="","",INDEX(drops!$W$2:$W$21,MATCH($B48,drops!$A$2:$A$21,0))),""))</f>
        <v/>
      </c>
      <c r="DS48" s="30" t="str">
        <f aca="false">IF($A48="","",IF($CE48="","",IF($CE48&gt;=config!$B$31,"pass","miss")))</f>
        <v/>
      </c>
      <c r="DT48" s="30" t="str">
        <f aca="false">IF($A48="","",IF($CI48="","",IF($CI48&gt;=config!$B$30,"pass","miss")))</f>
        <v/>
      </c>
      <c r="DU48" s="30" t="str">
        <f aca="true">IF($A48="","",IF($AT48="",IF($DP48="","",IF(IF(config!$B$37&lt;&gt;"",config!$B$37,TODAY())&gt;$DP48,"late","due")),IF($AT48&lt;=$DP48,"pass","late")))</f>
        <v/>
      </c>
      <c r="DV48" s="30" t="str">
        <f aca="false">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ustomFormat="false" ht="15" hidden="false" customHeight="false" outlineLevel="0" collapsed="false">
      <c r="D49" s="10"/>
      <c r="G49" s="12"/>
      <c r="H49" s="11"/>
      <c r="M49" s="10"/>
      <c r="Y49" s="10"/>
      <c r="Z49" s="10"/>
      <c r="AB49" s="11"/>
      <c r="AC49" s="11"/>
      <c r="AD49" s="11"/>
      <c r="AF49" s="11"/>
      <c r="AG49" s="11"/>
      <c r="AT49" s="11"/>
      <c r="AU49" s="11"/>
      <c r="AV49" s="10"/>
      <c r="AW49" s="10"/>
      <c r="AY49" s="11"/>
      <c r="BA49" s="11"/>
      <c r="BB49" s="11"/>
      <c r="BC49" s="11"/>
      <c r="BE49" s="30" t="str">
        <f aca="false">IF($A49="","",IFERROR(IF(INDEX(brands!$K$2:$K$41,MATCH($C49,brands!$A$2:$A$41,0))="","",INDEX(brands!$K$2:$K$41,MATCH($C49,brands!$A$2:$A$41,0))),""))</f>
        <v/>
      </c>
      <c r="BF49" s="30" t="str">
        <f aca="false">IF($A49="","",IFERROR(IF(INDEX(brands!$M$2:$M$41,MATCH($C49,brands!$A$2:$A$41,0))="","",INDEX(brands!$M$2:$M$41,MATCH($C49,brands!$A$2:$A$41,0))),""))</f>
        <v/>
      </c>
      <c r="BG49" s="31" t="str">
        <f aca="false">IF($A49="","",IF(IFERROR(IF(INDEX(drops!$I$2:$I$21,MATCH($B49,drops!$A$2:$A$21,0))="","",INDEX(drops!$I$2:$I$21,MATCH($B49,drops!$A$2:$A$21,0))),"")="OK",IFERROR(IF(INDEX(drops!$B$2:$B$21,MATCH($B49,drops!$A$2:$A$21,0))="","",INDEX(drops!$B$2:$B$21,MATCH($B49,drops!$A$2:$A$21,0))),""),""))</f>
        <v/>
      </c>
      <c r="BH49" s="30" t="str">
        <f aca="false">IF($A49="","",IFERROR(IF(INDEX(drops!$C$2:$C$21,MATCH($B49,drops!$A$2:$A$21,0))="","",INDEX(drops!$C$2:$C$21,MATCH($B49,drops!$A$2:$A$21,0))),""))</f>
        <v/>
      </c>
      <c r="BI49" s="32" t="str">
        <f aca="false">IF($A49="","",IF($F49="","",IF($D49="founding",IF($E49="Y",config!$B$25*MIN($F49,config!$B$26)+config!$B$24*MAX(0,$F49-config!$B$26),config!$B$20+config!$B$24*MAX(0,$F49-config!$B$21)),IF($D49="standard",config!$B$22+config!$B$24*MAX(0,$F49-config!$B$23),""))))</f>
        <v/>
      </c>
      <c r="BJ49" s="32" t="str">
        <f aca="false">IF($A49="","",IF($G49&lt;&gt;"",$G49,$BI49))</f>
        <v/>
      </c>
      <c r="BK49" s="30" t="str">
        <f aca="false">IF($A49="","",IF($D49="founding","100% within "&amp;config!$B$27&amp;" business days of the invoice, before shipping",IF($D49="standard","50% on signing; 50% at placement confirmation (T+1)","")))</f>
        <v/>
      </c>
      <c r="BL49" s="31" t="str">
        <f aca="false">IF($A49="","",IFERROR(IF(INDEX(drops!$K$2:$K$21,MATCH($B49,drops!$A$2:$A$21,0))="","",INDEX(drops!$K$2:$K$21,MATCH($B49,drops!$A$2:$A$21,0))),""))</f>
        <v/>
      </c>
      <c r="BM49" s="31" t="str">
        <f aca="false">IF($A49="","",IFERROR(IF(INDEX(drops!$L$2:$L$21,MATCH($B49,drops!$A$2:$A$21,0))="","",INDEX(drops!$L$2:$L$21,MATCH($B49,drops!$A$2:$A$21,0))),""))</f>
        <v/>
      </c>
      <c r="BN49" s="30" t="str">
        <f aca="false">IF($A49="","",COUNTIF(approvals!$A$2:$A$251,$A49))</f>
        <v/>
      </c>
      <c r="BO49" s="30" t="str">
        <f aca="false">IF($A49="","",COUNTIFS(approvals!$A$2:$A$251,$A49,approvals!$P$2:$P$251,"Y"))</f>
        <v/>
      </c>
      <c r="BP49" s="30" t="str">
        <f aca="false">IF($A49="","",COUNTIFS(approvals!$A$2:$A$251,$A49,approvals!$Q$2:$Q$251,"Y"))</f>
        <v/>
      </c>
      <c r="BQ49" s="30" t="str">
        <f aca="false">IF($A49="","",COUNTIFS(approvals!$A$2:$A$251,$A49,approvals!$P$2:$P$251,"pending"))</f>
        <v/>
      </c>
      <c r="BR49" s="30" t="str">
        <f aca="false">IF($A49="","",SUMIFS(approvals!$S$2:$S$251,approvals!$A$2:$A$251,$A49,approvals!$P$2:$P$251,"Y"))</f>
        <v/>
      </c>
      <c r="BS49" s="30" t="str">
        <f aca="false">IF($A49="","",ROUNDUP($BR49*config!$B$18,0))</f>
        <v/>
      </c>
      <c r="BT49" s="30" t="str">
        <f aca="false">IF($A49="","",$BR49+$BS49)</f>
        <v/>
      </c>
      <c r="BU49" s="32" t="str">
        <f aca="false">IF($A49="","",SUMIFS(invoices!$I$2:$I$151,invoices!$B$2:$B$151,$A49,invoices!$R$2:$R$151,"Y",invoices!$H$2:$H$151,"&gt;0"))</f>
        <v/>
      </c>
      <c r="BV49" s="32" t="str">
        <f aca="false">IF($A49="","",IF($BJ49="","",IF($D49="founding",$BJ49,ROUND($BJ49*config!$B$28,2))))</f>
        <v/>
      </c>
      <c r="BW49" s="30" t="str">
        <f aca="false">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30" t="str">
        <f aca="false">IF($A49="","",SUMIFS(inventory!$G$2:$G$801,inventory!$C$2:$C$801,$A49,inventory!$E$2:$E$801,"received"))</f>
        <v/>
      </c>
      <c r="BY49" s="30" t="str">
        <f aca="false">IF($A49="","",SUMIFS(inventory!$G$2:$G$801,inventory!$C$2:$C$801,$A49,inventory!$E$2:$E$801,"rejected"))</f>
        <v/>
      </c>
      <c r="BZ49" s="30" t="str">
        <f aca="false">IF($A49="","",SUMIFS(inventory!$M$2:$M$801,inventory!$C$2:$C$801,$A49))</f>
        <v/>
      </c>
      <c r="CA49" s="30" t="str">
        <f aca="false">IF($A49="","",SUMIFS(inventory!$O$2:$O$801,inventory!$C$2:$C$801,$A49))</f>
        <v/>
      </c>
      <c r="CB49" s="30" t="str">
        <f aca="false">IF($A49="","",SUMIFS(approvals!$U$2:$U$251,approvals!$A$2:$A$251,$A49))</f>
        <v/>
      </c>
      <c r="CC49" s="30" t="str">
        <f aca="false">IF($A49="","",SUMIFS(approvals!$AA$2:$AA$251,approvals!$A$2:$A$251,$A49))</f>
        <v/>
      </c>
      <c r="CD49" s="30" t="str">
        <f aca="false">IF($A49="","",SUMIFS(approvals!$AA$2:$AA$251,approvals!$A$2:$A$251,$A49,approvals!$AB$2:$AB$251,"Y"))</f>
        <v/>
      </c>
      <c r="CE49" s="34" t="str">
        <f aca="false">IF($A49="","",IF(N($CB49)=0,"",$CD49/$CB49))</f>
        <v/>
      </c>
      <c r="CF49" s="30" t="str">
        <f aca="false">IF($A49="","",SUMIFS(approvals!$AD$2:$AD$251,approvals!$A$2:$A$251,$A49))</f>
        <v/>
      </c>
      <c r="CG49" s="30" t="str">
        <f aca="false">IF($A49="","",IF(COUNTIFS(approvals!$A$2:$A$251,$A49,approvals!$Q$2:$Q$251,"Y",approvals!$AG$2:$AG$251,"")&gt;0,"",SUMIFS(approvals!$AG$2:$AG$251,approvals!$A$2:$A$251,$A49,approvals!$Q$2:$Q$251,"Y")))</f>
        <v/>
      </c>
      <c r="CH49" s="30" t="str">
        <f aca="false">IF($A49="","",SUMIFS(approvals!$AL$2:$AL$251,approvals!$A$2:$A$251,$A49,approvals!$Q$2:$Q$251,"Y"))</f>
        <v/>
      </c>
      <c r="CI49" s="30" t="str">
        <f aca="false">IF($A49="","",IF(N($BP49)=0,"",SUMPRODUCT(MIN(approvals!$BB$2:$BB$251+(approvals!$A$2:$A$251&lt;&gt;$A49)*1000000))))</f>
        <v/>
      </c>
      <c r="CJ49" s="30" t="str">
        <f aca="false">IF($A49="","",COUNTIFS(approvals!$A$2:$A$251,$A49,approvals!$Q$2:$Q$251,"Y",approvals!$AL$2:$AL$251,"&lt;"&amp;config!$B$30))</f>
        <v/>
      </c>
      <c r="CK49" s="30" t="str">
        <f aca="false">IF($A49="","",SUMIFS(approvals!$AM$2:$AM$251,approvals!$A$2:$A$251,$A49,approvals!$Q$2:$Q$251,"Y"))</f>
        <v/>
      </c>
      <c r="CL49" s="30" t="str">
        <f aca="false">IF($A49="","",SUMIFS(approvals!$AQ$2:$AQ$251,approvals!$A$2:$A$251,$A49,approvals!$Q$2:$Q$251,"Y"))</f>
        <v/>
      </c>
      <c r="CM49" s="30" t="str">
        <f aca="false">IF($A49="","",SUMIFS(approvals!$AR$2:$AR$251,approvals!$A$2:$A$251,$A49,approvals!$Q$2:$Q$251,"Y"))</f>
        <v/>
      </c>
      <c r="CN49" s="30" t="str">
        <f aca="false">IF($A49="","",SUMIFS(approvals!$AS$2:$AS$251,approvals!$A$2:$A$251,$A49,approvals!$Q$2:$Q$251,"Y"))</f>
        <v/>
      </c>
      <c r="CO49" s="30" t="str">
        <f aca="false">IF($A49="","",SUMIFS(approvals!$AT$2:$AT$251,approvals!$A$2:$A$251,$A49,approvals!$Q$2:$Q$251,"Y"))</f>
        <v/>
      </c>
      <c r="CP49" s="33" t="str">
        <f aca="false">IF($A49="","",IF(N($CO49)=0,"",ROUND(SUMIFS(approvals!$AU$2:$AU$251,approvals!$A$2:$A$251,$A49,approvals!$Q$2:$Q$251,"Y")/$CO49,1)))</f>
        <v/>
      </c>
      <c r="CQ49" s="30" t="str">
        <f aca="false">IF($A49="","",SUMIFS(approvals!$AV$2:$AV$251,approvals!$A$2:$A$251,$A49,approvals!$Q$2:$Q$251,"Y"))</f>
        <v/>
      </c>
      <c r="CR49" s="30" t="str">
        <f aca="false">IF($A49="","",SUMIFS(approvals!$AW$2:$AW$251,approvals!$A$2:$A$251,$A49,approvals!$Q$2:$Q$251,"Y"))</f>
        <v/>
      </c>
      <c r="CS49" s="30" t="str">
        <f aca="false">IF($A49="","",SUMIFS(approvals!$AX$2:$AX$251,approvals!$A$2:$A$251,$A49,approvals!$Q$2:$Q$251,"Y"))</f>
        <v/>
      </c>
      <c r="CT49" s="30" t="str">
        <f aca="false">IF($A49="","",SUMIFS(approvals!$AY$2:$AY$251,approvals!$A$2:$A$251,$A49,approvals!$Q$2:$Q$251,"Y"))</f>
        <v/>
      </c>
      <c r="CU49" s="30" t="str">
        <f aca="true">IF($A49="","",IF(OR($BG49="",$BC49&lt;&gt;""),"",IFERROR(COUNT(INDIRECT("'"&amp;$A49&amp;"'!$A$2:$A$501")),0)-IFERROR(COUNTIFS(INDIRECT("'"&amp;$A49&amp;"'!$A$2:$A$501"),"&gt;="&amp;$BG49,INDIRECT("'"&amp;$A49&amp;"'!$A$2:$A$501"),"&lt;"&amp;(IFERROR(IF(INDEX(drops!$R$2:$R$21,MATCH($B49,drops!$A$2:$A$21,0))="","",INDEX(drops!$R$2:$R$21,MATCH($B49,drops!$A$2:$A$21,0))),"")+1)),0)))</f>
        <v/>
      </c>
      <c r="CV49" s="30" t="str">
        <f aca="true">IF($A49="","",IF(OR($BG49="",$BC49&lt;&gt;""),"",IFERROR(COUNTIFS(INDIRECT("'"&amp;$A49&amp;"'!$A$2:$A$501"),"&gt;="&amp;$BG49,INDIRECT("'"&amp;$A49&amp;"'!$A$2:$A$501"),"&lt;"&amp;(IFERROR(IF(INDEX(drops!$R$2:$R$21,MATCH($B49,drops!$A$2:$A$21,0))="","",INDEX(drops!$R$2:$R$21,MATCH($B49,drops!$A$2:$A$21,0))),"")+1)),0)-N($CH49)-N($CW49)))</f>
        <v/>
      </c>
      <c r="CW49" s="30" t="str">
        <f aca="false">IF($A49="","",IF($BG49="","",SUMIFS(approvals!$AL$2:$AL$251,approvals!$A$2:$A$251,$A49,approvals!$Q$2:$Q$251,"&lt;&gt;Y")))</f>
        <v/>
      </c>
      <c r="CX49" s="30" t="str">
        <f aca="false">IF($A49="","",SUMIFS(approvals!$AN$2:$AN$251,approvals!$A$2:$A$251,$A49,approvals!$Q$2:$Q$251,"Y"))</f>
        <v/>
      </c>
      <c r="CY49" s="30" t="str">
        <f aca="false">IF($A49="","",SUMIFS(approvals!$AO$2:$AO$251,approvals!$A$2:$A$251,$A49,approvals!$Q$2:$Q$251,"Y"))</f>
        <v/>
      </c>
      <c r="CZ49" s="30" t="str">
        <f aca="false">IF($A49="","",IF($DA49="","",SUMIFS(redemptions!$C$2:$C$121,redemptions!$A$2:$A$121,$A49,redemptions!$B$2:$B$121,$DA49)))</f>
        <v/>
      </c>
      <c r="DA49" s="31" t="str">
        <f aca="false">IF($A49="","",IFERROR(1/(1/SUMPRODUCT(MAX((redemptions!$A$2:$A$121=$A49)*redemptions!$B$2:$B$121))),""))</f>
        <v/>
      </c>
      <c r="DB49" s="30" t="str">
        <f aca="false">IF($A49="","",IF(COUNTIFS(redemptions!$A$2:$A$121,$A49,redemptions!$H$2:$H$121,"Y")=0,"",SUMIFS(redemptions!$C$2:$C$121,redemptions!$A$2:$A$121,$A49,redemptions!$B$2:$B$121,SUMPRODUCT(MIN((redemptions!$A$2:$A$121=$A49)*(redemptions!$H$2:$H$121="Y")*redemptions!$B$2:$B$121+((redemptions!$A$2:$A$121&lt;&gt;$A49)+(redemptions!$H$2:$H$121&lt;&gt;"Y")&gt;0)*1000000)))))</f>
        <v/>
      </c>
      <c r="DC49" s="32" t="str">
        <f aca="false">IF($A49="","",SUMIFS(invoices!$E$2:$E$151,invoices!$B$2:$B$151,$A49))</f>
        <v/>
      </c>
      <c r="DD49" s="32" t="str">
        <f aca="false">IF($A49="","",IF(COUNTIFS(invoices!$B$2:$B$151,$A49,invoices!$C$2:$C$151,"standard_deposit",invoices!$H$2:$H$151,"&gt;0")=0,"",SUMIFS(invoices!$I$2:$I$151,invoices!$B$2:$B$151,$A49,invoices!$C$2:$C$151,"standard_deposit")))</f>
        <v/>
      </c>
      <c r="DE49" s="31" t="str">
        <f aca="false">IF($A49="","",IFERROR(1/(1/SUMPRODUCT(MAX((invoices!$B$2:$B$151=$A49)*(invoices!$C$2:$C$151="standard_deposit")*invoices!$H$2:$H$151))),""))</f>
        <v/>
      </c>
      <c r="DF49" s="31" t="str">
        <f aca="false">IF($A49="","",IFERROR(1/(1/SUMPRODUCT(MAX((invoices!$B$2:$B$151=$A49)*((invoices!$C$2:$C$151="founding_full")+(invoices!$C$2:$C$151="standard_balance"))*invoices!$H$2:$H$151))),""))</f>
        <v/>
      </c>
      <c r="DG49" s="32" t="str">
        <f aca="false">IF($A49="","",SUMIFS(invoices!$L$2:$L$151,invoices!$B$2:$B$151,$A49))</f>
        <v/>
      </c>
      <c r="DH49" s="32" t="str">
        <f aca="false">IF($A49="","",SUMIFS(costs!$E$2:$E$301,costs!$C$2:$C$301,$A49))</f>
        <v/>
      </c>
      <c r="DI49" s="32" t="str">
        <f aca="false">IF($A49="","",ROUND(IF(SUMIFS(campaigns!$BO$2:$BO$51,campaigns!$B$2:$B$51,$B49)=0,0,$BO49/SUMIFS(campaigns!$BO$2:$BO$51,campaigns!$B$2:$B$51,$B49))*(SUMIFS(costs!$E$2:$E$301,costs!$B$2:$B$301,$B49)-SUMPRODUCT((costs!$B$2:$B$301=$B49)*(LEN(costs!$C$2:$C$301)&gt;0)*costs!$E$2:$E$301)),2))</f>
        <v/>
      </c>
      <c r="DJ49" s="33" t="str">
        <f aca="false">IF($A49="","",SUMIFS(hours!$E$2:$E$1501,hours!$C$2:$C$1501,$A49))</f>
        <v/>
      </c>
      <c r="DK49" s="33" t="str">
        <f aca="false">IF($A49="","",ROUND(IF(SUMIFS(campaigns!$BO$2:$BO$51,campaigns!$B$2:$B$51,$B49)=0,0,$BO49/SUMIFS(campaigns!$BO$2:$BO$51,campaigns!$B$2:$B$51,$B49))*(SUMIFS(hours!$E$2:$E$1501,hours!$B$2:$B$1501,$B49)-SUMPRODUCT((hours!$B$2:$B$1501=$B49)*(LEN(hours!$C$2:$C$1501)&gt;0)*hours!$E$2:$E$1501)),2))</f>
        <v/>
      </c>
      <c r="DL49" s="32" t="str">
        <f aca="false">IF($A49="","",$DC49-$DG49-$DH49-$DI49)</f>
        <v/>
      </c>
      <c r="DM49" s="32" t="str">
        <f aca="false">IF($A49="","",IF(N($DJ49)+N($DK49)=0,"",ROUND($DL49/($DJ49+$DK49),2)))</f>
        <v/>
      </c>
      <c r="DN49" s="34" t="str">
        <f aca="false">IF($A49="","",IF(N($BP49)=0,"",COUNTIFS(approvals!$A$2:$A$251,$A49,approvals!$Q$2:$Q$251,"Y",approvals!$AK$2:$AK$251,"Y")/$BP49))</f>
        <v/>
      </c>
      <c r="DO49" s="33" t="str">
        <f aca="false">IF($A49="","",IF(COUNTIFS(approvals!$A$2:$A$251,$A49,approvals!$AC$2:$AC$251,"&gt;=0")=0,"",ROUND(SUMIFS(approvals!$AC$2:$AC$251,approvals!$A$2:$A$251,$A49)/COUNTIFS(approvals!$A$2:$A$251,$A49,approvals!$AC$2:$AC$251,"&gt;=0"),1)))</f>
        <v/>
      </c>
      <c r="DP49" s="31" t="str">
        <f aca="false">IF($A49="","",IFERROR(IF(INDEX(drops!$T$2:$T$21,MATCH($B49,drops!$A$2:$A$21,0))="","",INDEX(drops!$T$2:$T$21,MATCH($B49,drops!$A$2:$A$21,0))),""))</f>
        <v/>
      </c>
      <c r="DQ49" s="31" t="str">
        <f aca="false">IF($A49="","",IFERROR(IF(INDEX(drops!$U$2:$U$21,MATCH($B49,drops!$A$2:$A$21,0))="","",INDEX(drops!$U$2:$U$21,MATCH($B49,drops!$A$2:$A$21,0))),""))</f>
        <v/>
      </c>
      <c r="DR49" s="31" t="str">
        <f aca="false">IF($A49="","",IFERROR(IF(INDEX(drops!$W$2:$W$21,MATCH($B49,drops!$A$2:$A$21,0))="","",INDEX(drops!$W$2:$W$21,MATCH($B49,drops!$A$2:$A$21,0))),""))</f>
        <v/>
      </c>
      <c r="DS49" s="30" t="str">
        <f aca="false">IF($A49="","",IF($CE49="","",IF($CE49&gt;=config!$B$31,"pass","miss")))</f>
        <v/>
      </c>
      <c r="DT49" s="30" t="str">
        <f aca="false">IF($A49="","",IF($CI49="","",IF($CI49&gt;=config!$B$30,"pass","miss")))</f>
        <v/>
      </c>
      <c r="DU49" s="30" t="str">
        <f aca="true">IF($A49="","",IF($AT49="",IF($DP49="","",IF(IF(config!$B$37&lt;&gt;"",config!$B$37,TODAY())&gt;$DP49,"late","due")),IF($AT49&lt;=$DP49,"pass","late")))</f>
        <v/>
      </c>
      <c r="DV49" s="30" t="str">
        <f aca="false">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ustomFormat="false" ht="15" hidden="false" customHeight="false" outlineLevel="0" collapsed="false">
      <c r="D50" s="10"/>
      <c r="G50" s="12"/>
      <c r="H50" s="11"/>
      <c r="M50" s="10"/>
      <c r="Y50" s="10"/>
      <c r="Z50" s="10"/>
      <c r="AB50" s="11"/>
      <c r="AC50" s="11"/>
      <c r="AD50" s="11"/>
      <c r="AF50" s="11"/>
      <c r="AG50" s="11"/>
      <c r="AT50" s="11"/>
      <c r="AU50" s="11"/>
      <c r="AV50" s="10"/>
      <c r="AW50" s="10"/>
      <c r="AY50" s="11"/>
      <c r="BA50" s="11"/>
      <c r="BB50" s="11"/>
      <c r="BC50" s="11"/>
      <c r="BE50" s="30" t="str">
        <f aca="false">IF($A50="","",IFERROR(IF(INDEX(brands!$K$2:$K$41,MATCH($C50,brands!$A$2:$A$41,0))="","",INDEX(brands!$K$2:$K$41,MATCH($C50,brands!$A$2:$A$41,0))),""))</f>
        <v/>
      </c>
      <c r="BF50" s="30" t="str">
        <f aca="false">IF($A50="","",IFERROR(IF(INDEX(brands!$M$2:$M$41,MATCH($C50,brands!$A$2:$A$41,0))="","",INDEX(brands!$M$2:$M$41,MATCH($C50,brands!$A$2:$A$41,0))),""))</f>
        <v/>
      </c>
      <c r="BG50" s="31" t="str">
        <f aca="false">IF($A50="","",IF(IFERROR(IF(INDEX(drops!$I$2:$I$21,MATCH($B50,drops!$A$2:$A$21,0))="","",INDEX(drops!$I$2:$I$21,MATCH($B50,drops!$A$2:$A$21,0))),"")="OK",IFERROR(IF(INDEX(drops!$B$2:$B$21,MATCH($B50,drops!$A$2:$A$21,0))="","",INDEX(drops!$B$2:$B$21,MATCH($B50,drops!$A$2:$A$21,0))),""),""))</f>
        <v/>
      </c>
      <c r="BH50" s="30" t="str">
        <f aca="false">IF($A50="","",IFERROR(IF(INDEX(drops!$C$2:$C$21,MATCH($B50,drops!$A$2:$A$21,0))="","",INDEX(drops!$C$2:$C$21,MATCH($B50,drops!$A$2:$A$21,0))),""))</f>
        <v/>
      </c>
      <c r="BI50" s="32" t="str">
        <f aca="false">IF($A50="","",IF($F50="","",IF($D50="founding",IF($E50="Y",config!$B$25*MIN($F50,config!$B$26)+config!$B$24*MAX(0,$F50-config!$B$26),config!$B$20+config!$B$24*MAX(0,$F50-config!$B$21)),IF($D50="standard",config!$B$22+config!$B$24*MAX(0,$F50-config!$B$23),""))))</f>
        <v/>
      </c>
      <c r="BJ50" s="32" t="str">
        <f aca="false">IF($A50="","",IF($G50&lt;&gt;"",$G50,$BI50))</f>
        <v/>
      </c>
      <c r="BK50" s="30" t="str">
        <f aca="false">IF($A50="","",IF($D50="founding","100% within "&amp;config!$B$27&amp;" business days of the invoice, before shipping",IF($D50="standard","50% on signing; 50% at placement confirmation (T+1)","")))</f>
        <v/>
      </c>
      <c r="BL50" s="31" t="str">
        <f aca="false">IF($A50="","",IFERROR(IF(INDEX(drops!$K$2:$K$21,MATCH($B50,drops!$A$2:$A$21,0))="","",INDEX(drops!$K$2:$K$21,MATCH($B50,drops!$A$2:$A$21,0))),""))</f>
        <v/>
      </c>
      <c r="BM50" s="31" t="str">
        <f aca="false">IF($A50="","",IFERROR(IF(INDEX(drops!$L$2:$L$21,MATCH($B50,drops!$A$2:$A$21,0))="","",INDEX(drops!$L$2:$L$21,MATCH($B50,drops!$A$2:$A$21,0))),""))</f>
        <v/>
      </c>
      <c r="BN50" s="30" t="str">
        <f aca="false">IF($A50="","",COUNTIF(approvals!$A$2:$A$251,$A50))</f>
        <v/>
      </c>
      <c r="BO50" s="30" t="str">
        <f aca="false">IF($A50="","",COUNTIFS(approvals!$A$2:$A$251,$A50,approvals!$P$2:$P$251,"Y"))</f>
        <v/>
      </c>
      <c r="BP50" s="30" t="str">
        <f aca="false">IF($A50="","",COUNTIFS(approvals!$A$2:$A$251,$A50,approvals!$Q$2:$Q$251,"Y"))</f>
        <v/>
      </c>
      <c r="BQ50" s="30" t="str">
        <f aca="false">IF($A50="","",COUNTIFS(approvals!$A$2:$A$251,$A50,approvals!$P$2:$P$251,"pending"))</f>
        <v/>
      </c>
      <c r="BR50" s="30" t="str">
        <f aca="false">IF($A50="","",SUMIFS(approvals!$S$2:$S$251,approvals!$A$2:$A$251,$A50,approvals!$P$2:$P$251,"Y"))</f>
        <v/>
      </c>
      <c r="BS50" s="30" t="str">
        <f aca="false">IF($A50="","",ROUNDUP($BR50*config!$B$18,0))</f>
        <v/>
      </c>
      <c r="BT50" s="30" t="str">
        <f aca="false">IF($A50="","",$BR50+$BS50)</f>
        <v/>
      </c>
      <c r="BU50" s="32" t="str">
        <f aca="false">IF($A50="","",SUMIFS(invoices!$I$2:$I$151,invoices!$B$2:$B$151,$A50,invoices!$R$2:$R$151,"Y",invoices!$H$2:$H$151,"&gt;0"))</f>
        <v/>
      </c>
      <c r="BV50" s="32" t="str">
        <f aca="false">IF($A50="","",IF($BJ50="","",IF($D50="founding",$BJ50,ROUND($BJ50*config!$B$28,2))))</f>
        <v/>
      </c>
      <c r="BW50" s="30" t="str">
        <f aca="false">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30" t="str">
        <f aca="false">IF($A50="","",SUMIFS(inventory!$G$2:$G$801,inventory!$C$2:$C$801,$A50,inventory!$E$2:$E$801,"received"))</f>
        <v/>
      </c>
      <c r="BY50" s="30" t="str">
        <f aca="false">IF($A50="","",SUMIFS(inventory!$G$2:$G$801,inventory!$C$2:$C$801,$A50,inventory!$E$2:$E$801,"rejected"))</f>
        <v/>
      </c>
      <c r="BZ50" s="30" t="str">
        <f aca="false">IF($A50="","",SUMIFS(inventory!$M$2:$M$801,inventory!$C$2:$C$801,$A50))</f>
        <v/>
      </c>
      <c r="CA50" s="30" t="str">
        <f aca="false">IF($A50="","",SUMIFS(inventory!$O$2:$O$801,inventory!$C$2:$C$801,$A50))</f>
        <v/>
      </c>
      <c r="CB50" s="30" t="str">
        <f aca="false">IF($A50="","",SUMIFS(approvals!$U$2:$U$251,approvals!$A$2:$A$251,$A50))</f>
        <v/>
      </c>
      <c r="CC50" s="30" t="str">
        <f aca="false">IF($A50="","",SUMIFS(approvals!$AA$2:$AA$251,approvals!$A$2:$A$251,$A50))</f>
        <v/>
      </c>
      <c r="CD50" s="30" t="str">
        <f aca="false">IF($A50="","",SUMIFS(approvals!$AA$2:$AA$251,approvals!$A$2:$A$251,$A50,approvals!$AB$2:$AB$251,"Y"))</f>
        <v/>
      </c>
      <c r="CE50" s="34" t="str">
        <f aca="false">IF($A50="","",IF(N($CB50)=0,"",$CD50/$CB50))</f>
        <v/>
      </c>
      <c r="CF50" s="30" t="str">
        <f aca="false">IF($A50="","",SUMIFS(approvals!$AD$2:$AD$251,approvals!$A$2:$A$251,$A50))</f>
        <v/>
      </c>
      <c r="CG50" s="30" t="str">
        <f aca="false">IF($A50="","",IF(COUNTIFS(approvals!$A$2:$A$251,$A50,approvals!$Q$2:$Q$251,"Y",approvals!$AG$2:$AG$251,"")&gt;0,"",SUMIFS(approvals!$AG$2:$AG$251,approvals!$A$2:$A$251,$A50,approvals!$Q$2:$Q$251,"Y")))</f>
        <v/>
      </c>
      <c r="CH50" s="30" t="str">
        <f aca="false">IF($A50="","",SUMIFS(approvals!$AL$2:$AL$251,approvals!$A$2:$A$251,$A50,approvals!$Q$2:$Q$251,"Y"))</f>
        <v/>
      </c>
      <c r="CI50" s="30" t="str">
        <f aca="false">IF($A50="","",IF(N($BP50)=0,"",SUMPRODUCT(MIN(approvals!$BB$2:$BB$251+(approvals!$A$2:$A$251&lt;&gt;$A50)*1000000))))</f>
        <v/>
      </c>
      <c r="CJ50" s="30" t="str">
        <f aca="false">IF($A50="","",COUNTIFS(approvals!$A$2:$A$251,$A50,approvals!$Q$2:$Q$251,"Y",approvals!$AL$2:$AL$251,"&lt;"&amp;config!$B$30))</f>
        <v/>
      </c>
      <c r="CK50" s="30" t="str">
        <f aca="false">IF($A50="","",SUMIFS(approvals!$AM$2:$AM$251,approvals!$A$2:$A$251,$A50,approvals!$Q$2:$Q$251,"Y"))</f>
        <v/>
      </c>
      <c r="CL50" s="30" t="str">
        <f aca="false">IF($A50="","",SUMIFS(approvals!$AQ$2:$AQ$251,approvals!$A$2:$A$251,$A50,approvals!$Q$2:$Q$251,"Y"))</f>
        <v/>
      </c>
      <c r="CM50" s="30" t="str">
        <f aca="false">IF($A50="","",SUMIFS(approvals!$AR$2:$AR$251,approvals!$A$2:$A$251,$A50,approvals!$Q$2:$Q$251,"Y"))</f>
        <v/>
      </c>
      <c r="CN50" s="30" t="str">
        <f aca="false">IF($A50="","",SUMIFS(approvals!$AS$2:$AS$251,approvals!$A$2:$A$251,$A50,approvals!$Q$2:$Q$251,"Y"))</f>
        <v/>
      </c>
      <c r="CO50" s="30" t="str">
        <f aca="false">IF($A50="","",SUMIFS(approvals!$AT$2:$AT$251,approvals!$A$2:$A$251,$A50,approvals!$Q$2:$Q$251,"Y"))</f>
        <v/>
      </c>
      <c r="CP50" s="33" t="str">
        <f aca="false">IF($A50="","",IF(N($CO50)=0,"",ROUND(SUMIFS(approvals!$AU$2:$AU$251,approvals!$A$2:$A$251,$A50,approvals!$Q$2:$Q$251,"Y")/$CO50,1)))</f>
        <v/>
      </c>
      <c r="CQ50" s="30" t="str">
        <f aca="false">IF($A50="","",SUMIFS(approvals!$AV$2:$AV$251,approvals!$A$2:$A$251,$A50,approvals!$Q$2:$Q$251,"Y"))</f>
        <v/>
      </c>
      <c r="CR50" s="30" t="str">
        <f aca="false">IF($A50="","",SUMIFS(approvals!$AW$2:$AW$251,approvals!$A$2:$A$251,$A50,approvals!$Q$2:$Q$251,"Y"))</f>
        <v/>
      </c>
      <c r="CS50" s="30" t="str">
        <f aca="false">IF($A50="","",SUMIFS(approvals!$AX$2:$AX$251,approvals!$A$2:$A$251,$A50,approvals!$Q$2:$Q$251,"Y"))</f>
        <v/>
      </c>
      <c r="CT50" s="30" t="str">
        <f aca="false">IF($A50="","",SUMIFS(approvals!$AY$2:$AY$251,approvals!$A$2:$A$251,$A50,approvals!$Q$2:$Q$251,"Y"))</f>
        <v/>
      </c>
      <c r="CU50" s="30" t="str">
        <f aca="true">IF($A50="","",IF(OR($BG50="",$BC50&lt;&gt;""),"",IFERROR(COUNT(INDIRECT("'"&amp;$A50&amp;"'!$A$2:$A$501")),0)-IFERROR(COUNTIFS(INDIRECT("'"&amp;$A50&amp;"'!$A$2:$A$501"),"&gt;="&amp;$BG50,INDIRECT("'"&amp;$A50&amp;"'!$A$2:$A$501"),"&lt;"&amp;(IFERROR(IF(INDEX(drops!$R$2:$R$21,MATCH($B50,drops!$A$2:$A$21,0))="","",INDEX(drops!$R$2:$R$21,MATCH($B50,drops!$A$2:$A$21,0))),"")+1)),0)))</f>
        <v/>
      </c>
      <c r="CV50" s="30" t="str">
        <f aca="true">IF($A50="","",IF(OR($BG50="",$BC50&lt;&gt;""),"",IFERROR(COUNTIFS(INDIRECT("'"&amp;$A50&amp;"'!$A$2:$A$501"),"&gt;="&amp;$BG50,INDIRECT("'"&amp;$A50&amp;"'!$A$2:$A$501"),"&lt;"&amp;(IFERROR(IF(INDEX(drops!$R$2:$R$21,MATCH($B50,drops!$A$2:$A$21,0))="","",INDEX(drops!$R$2:$R$21,MATCH($B50,drops!$A$2:$A$21,0))),"")+1)),0)-N($CH50)-N($CW50)))</f>
        <v/>
      </c>
      <c r="CW50" s="30" t="str">
        <f aca="false">IF($A50="","",IF($BG50="","",SUMIFS(approvals!$AL$2:$AL$251,approvals!$A$2:$A$251,$A50,approvals!$Q$2:$Q$251,"&lt;&gt;Y")))</f>
        <v/>
      </c>
      <c r="CX50" s="30" t="str">
        <f aca="false">IF($A50="","",SUMIFS(approvals!$AN$2:$AN$251,approvals!$A$2:$A$251,$A50,approvals!$Q$2:$Q$251,"Y"))</f>
        <v/>
      </c>
      <c r="CY50" s="30" t="str">
        <f aca="false">IF($A50="","",SUMIFS(approvals!$AO$2:$AO$251,approvals!$A$2:$A$251,$A50,approvals!$Q$2:$Q$251,"Y"))</f>
        <v/>
      </c>
      <c r="CZ50" s="30" t="str">
        <f aca="false">IF($A50="","",IF($DA50="","",SUMIFS(redemptions!$C$2:$C$121,redemptions!$A$2:$A$121,$A50,redemptions!$B$2:$B$121,$DA50)))</f>
        <v/>
      </c>
      <c r="DA50" s="31" t="str">
        <f aca="false">IF($A50="","",IFERROR(1/(1/SUMPRODUCT(MAX((redemptions!$A$2:$A$121=$A50)*redemptions!$B$2:$B$121))),""))</f>
        <v/>
      </c>
      <c r="DB50" s="30" t="str">
        <f aca="false">IF($A50="","",IF(COUNTIFS(redemptions!$A$2:$A$121,$A50,redemptions!$H$2:$H$121,"Y")=0,"",SUMIFS(redemptions!$C$2:$C$121,redemptions!$A$2:$A$121,$A50,redemptions!$B$2:$B$121,SUMPRODUCT(MIN((redemptions!$A$2:$A$121=$A50)*(redemptions!$H$2:$H$121="Y")*redemptions!$B$2:$B$121+((redemptions!$A$2:$A$121&lt;&gt;$A50)+(redemptions!$H$2:$H$121&lt;&gt;"Y")&gt;0)*1000000)))))</f>
        <v/>
      </c>
      <c r="DC50" s="32" t="str">
        <f aca="false">IF($A50="","",SUMIFS(invoices!$E$2:$E$151,invoices!$B$2:$B$151,$A50))</f>
        <v/>
      </c>
      <c r="DD50" s="32" t="str">
        <f aca="false">IF($A50="","",IF(COUNTIFS(invoices!$B$2:$B$151,$A50,invoices!$C$2:$C$151,"standard_deposit",invoices!$H$2:$H$151,"&gt;0")=0,"",SUMIFS(invoices!$I$2:$I$151,invoices!$B$2:$B$151,$A50,invoices!$C$2:$C$151,"standard_deposit")))</f>
        <v/>
      </c>
      <c r="DE50" s="31" t="str">
        <f aca="false">IF($A50="","",IFERROR(1/(1/SUMPRODUCT(MAX((invoices!$B$2:$B$151=$A50)*(invoices!$C$2:$C$151="standard_deposit")*invoices!$H$2:$H$151))),""))</f>
        <v/>
      </c>
      <c r="DF50" s="31" t="str">
        <f aca="false">IF($A50="","",IFERROR(1/(1/SUMPRODUCT(MAX((invoices!$B$2:$B$151=$A50)*((invoices!$C$2:$C$151="founding_full")+(invoices!$C$2:$C$151="standard_balance"))*invoices!$H$2:$H$151))),""))</f>
        <v/>
      </c>
      <c r="DG50" s="32" t="str">
        <f aca="false">IF($A50="","",SUMIFS(invoices!$L$2:$L$151,invoices!$B$2:$B$151,$A50))</f>
        <v/>
      </c>
      <c r="DH50" s="32" t="str">
        <f aca="false">IF($A50="","",SUMIFS(costs!$E$2:$E$301,costs!$C$2:$C$301,$A50))</f>
        <v/>
      </c>
      <c r="DI50" s="32" t="str">
        <f aca="false">IF($A50="","",ROUND(IF(SUMIFS(campaigns!$BO$2:$BO$51,campaigns!$B$2:$B$51,$B50)=0,0,$BO50/SUMIFS(campaigns!$BO$2:$BO$51,campaigns!$B$2:$B$51,$B50))*(SUMIFS(costs!$E$2:$E$301,costs!$B$2:$B$301,$B50)-SUMPRODUCT((costs!$B$2:$B$301=$B50)*(LEN(costs!$C$2:$C$301)&gt;0)*costs!$E$2:$E$301)),2))</f>
        <v/>
      </c>
      <c r="DJ50" s="33" t="str">
        <f aca="false">IF($A50="","",SUMIFS(hours!$E$2:$E$1501,hours!$C$2:$C$1501,$A50))</f>
        <v/>
      </c>
      <c r="DK50" s="33" t="str">
        <f aca="false">IF($A50="","",ROUND(IF(SUMIFS(campaigns!$BO$2:$BO$51,campaigns!$B$2:$B$51,$B50)=0,0,$BO50/SUMIFS(campaigns!$BO$2:$BO$51,campaigns!$B$2:$B$51,$B50))*(SUMIFS(hours!$E$2:$E$1501,hours!$B$2:$B$1501,$B50)-SUMPRODUCT((hours!$B$2:$B$1501=$B50)*(LEN(hours!$C$2:$C$1501)&gt;0)*hours!$E$2:$E$1501)),2))</f>
        <v/>
      </c>
      <c r="DL50" s="32" t="str">
        <f aca="false">IF($A50="","",$DC50-$DG50-$DH50-$DI50)</f>
        <v/>
      </c>
      <c r="DM50" s="32" t="str">
        <f aca="false">IF($A50="","",IF(N($DJ50)+N($DK50)=0,"",ROUND($DL50/($DJ50+$DK50),2)))</f>
        <v/>
      </c>
      <c r="DN50" s="34" t="str">
        <f aca="false">IF($A50="","",IF(N($BP50)=0,"",COUNTIFS(approvals!$A$2:$A$251,$A50,approvals!$Q$2:$Q$251,"Y",approvals!$AK$2:$AK$251,"Y")/$BP50))</f>
        <v/>
      </c>
      <c r="DO50" s="33" t="str">
        <f aca="false">IF($A50="","",IF(COUNTIFS(approvals!$A$2:$A$251,$A50,approvals!$AC$2:$AC$251,"&gt;=0")=0,"",ROUND(SUMIFS(approvals!$AC$2:$AC$251,approvals!$A$2:$A$251,$A50)/COUNTIFS(approvals!$A$2:$A$251,$A50,approvals!$AC$2:$AC$251,"&gt;=0"),1)))</f>
        <v/>
      </c>
      <c r="DP50" s="31" t="str">
        <f aca="false">IF($A50="","",IFERROR(IF(INDEX(drops!$T$2:$T$21,MATCH($B50,drops!$A$2:$A$21,0))="","",INDEX(drops!$T$2:$T$21,MATCH($B50,drops!$A$2:$A$21,0))),""))</f>
        <v/>
      </c>
      <c r="DQ50" s="31" t="str">
        <f aca="false">IF($A50="","",IFERROR(IF(INDEX(drops!$U$2:$U$21,MATCH($B50,drops!$A$2:$A$21,0))="","",INDEX(drops!$U$2:$U$21,MATCH($B50,drops!$A$2:$A$21,0))),""))</f>
        <v/>
      </c>
      <c r="DR50" s="31" t="str">
        <f aca="false">IF($A50="","",IFERROR(IF(INDEX(drops!$W$2:$W$21,MATCH($B50,drops!$A$2:$A$21,0))="","",INDEX(drops!$W$2:$W$21,MATCH($B50,drops!$A$2:$A$21,0))),""))</f>
        <v/>
      </c>
      <c r="DS50" s="30" t="str">
        <f aca="false">IF($A50="","",IF($CE50="","",IF($CE50&gt;=config!$B$31,"pass","miss")))</f>
        <v/>
      </c>
      <c r="DT50" s="30" t="str">
        <f aca="false">IF($A50="","",IF($CI50="","",IF($CI50&gt;=config!$B$30,"pass","miss")))</f>
        <v/>
      </c>
      <c r="DU50" s="30" t="str">
        <f aca="true">IF($A50="","",IF($AT50="",IF($DP50="","",IF(IF(config!$B$37&lt;&gt;"",config!$B$37,TODAY())&gt;$DP50,"late","due")),IF($AT50&lt;=$DP50,"pass","late")))</f>
        <v/>
      </c>
      <c r="DV50" s="30" t="str">
        <f aca="false">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ustomFormat="false" ht="15" hidden="false" customHeight="false" outlineLevel="0" collapsed="false">
      <c r="D51" s="10"/>
      <c r="G51" s="12"/>
      <c r="H51" s="11"/>
      <c r="M51" s="10"/>
      <c r="Y51" s="10"/>
      <c r="Z51" s="10"/>
      <c r="AB51" s="11"/>
      <c r="AC51" s="11"/>
      <c r="AD51" s="11"/>
      <c r="AF51" s="11"/>
      <c r="AG51" s="11"/>
      <c r="AT51" s="11"/>
      <c r="AU51" s="11"/>
      <c r="AV51" s="10"/>
      <c r="AW51" s="10"/>
      <c r="AY51" s="11"/>
      <c r="BA51" s="11"/>
      <c r="BB51" s="11"/>
      <c r="BC51" s="11"/>
      <c r="BE51" s="30" t="str">
        <f aca="false">IF($A51="","",IFERROR(IF(INDEX(brands!$K$2:$K$41,MATCH($C51,brands!$A$2:$A$41,0))="","",INDEX(brands!$K$2:$K$41,MATCH($C51,brands!$A$2:$A$41,0))),""))</f>
        <v/>
      </c>
      <c r="BF51" s="30" t="str">
        <f aca="false">IF($A51="","",IFERROR(IF(INDEX(brands!$M$2:$M$41,MATCH($C51,brands!$A$2:$A$41,0))="","",INDEX(brands!$M$2:$M$41,MATCH($C51,brands!$A$2:$A$41,0))),""))</f>
        <v/>
      </c>
      <c r="BG51" s="31" t="str">
        <f aca="false">IF($A51="","",IF(IFERROR(IF(INDEX(drops!$I$2:$I$21,MATCH($B51,drops!$A$2:$A$21,0))="","",INDEX(drops!$I$2:$I$21,MATCH($B51,drops!$A$2:$A$21,0))),"")="OK",IFERROR(IF(INDEX(drops!$B$2:$B$21,MATCH($B51,drops!$A$2:$A$21,0))="","",INDEX(drops!$B$2:$B$21,MATCH($B51,drops!$A$2:$A$21,0))),""),""))</f>
        <v/>
      </c>
      <c r="BH51" s="30" t="str">
        <f aca="false">IF($A51="","",IFERROR(IF(INDEX(drops!$C$2:$C$21,MATCH($B51,drops!$A$2:$A$21,0))="","",INDEX(drops!$C$2:$C$21,MATCH($B51,drops!$A$2:$A$21,0))),""))</f>
        <v/>
      </c>
      <c r="BI51" s="32" t="str">
        <f aca="false">IF($A51="","",IF($F51="","",IF($D51="founding",IF($E51="Y",config!$B$25*MIN($F51,config!$B$26)+config!$B$24*MAX(0,$F51-config!$B$26),config!$B$20+config!$B$24*MAX(0,$F51-config!$B$21)),IF($D51="standard",config!$B$22+config!$B$24*MAX(0,$F51-config!$B$23),""))))</f>
        <v/>
      </c>
      <c r="BJ51" s="32" t="str">
        <f aca="false">IF($A51="","",IF($G51&lt;&gt;"",$G51,$BI51))</f>
        <v/>
      </c>
      <c r="BK51" s="30" t="str">
        <f aca="false">IF($A51="","",IF($D51="founding","100% within "&amp;config!$B$27&amp;" business days of the invoice, before shipping",IF($D51="standard","50% on signing; 50% at placement confirmation (T+1)","")))</f>
        <v/>
      </c>
      <c r="BL51" s="31" t="str">
        <f aca="false">IF($A51="","",IFERROR(IF(INDEX(drops!$K$2:$K$21,MATCH($B51,drops!$A$2:$A$21,0))="","",INDEX(drops!$K$2:$K$21,MATCH($B51,drops!$A$2:$A$21,0))),""))</f>
        <v/>
      </c>
      <c r="BM51" s="31" t="str">
        <f aca="false">IF($A51="","",IFERROR(IF(INDEX(drops!$L$2:$L$21,MATCH($B51,drops!$A$2:$A$21,0))="","",INDEX(drops!$L$2:$L$21,MATCH($B51,drops!$A$2:$A$21,0))),""))</f>
        <v/>
      </c>
      <c r="BN51" s="30" t="str">
        <f aca="false">IF($A51="","",COUNTIF(approvals!$A$2:$A$251,$A51))</f>
        <v/>
      </c>
      <c r="BO51" s="30" t="str">
        <f aca="false">IF($A51="","",COUNTIFS(approvals!$A$2:$A$251,$A51,approvals!$P$2:$P$251,"Y"))</f>
        <v/>
      </c>
      <c r="BP51" s="30" t="str">
        <f aca="false">IF($A51="","",COUNTIFS(approvals!$A$2:$A$251,$A51,approvals!$Q$2:$Q$251,"Y"))</f>
        <v/>
      </c>
      <c r="BQ51" s="30" t="str">
        <f aca="false">IF($A51="","",COUNTIFS(approvals!$A$2:$A$251,$A51,approvals!$P$2:$P$251,"pending"))</f>
        <v/>
      </c>
      <c r="BR51" s="30" t="str">
        <f aca="false">IF($A51="","",SUMIFS(approvals!$S$2:$S$251,approvals!$A$2:$A$251,$A51,approvals!$P$2:$P$251,"Y"))</f>
        <v/>
      </c>
      <c r="BS51" s="30" t="str">
        <f aca="false">IF($A51="","",ROUNDUP($BR51*config!$B$18,0))</f>
        <v/>
      </c>
      <c r="BT51" s="30" t="str">
        <f aca="false">IF($A51="","",$BR51+$BS51)</f>
        <v/>
      </c>
      <c r="BU51" s="32" t="str">
        <f aca="false">IF($A51="","",SUMIFS(invoices!$I$2:$I$151,invoices!$B$2:$B$151,$A51,invoices!$R$2:$R$151,"Y",invoices!$H$2:$H$151,"&gt;0"))</f>
        <v/>
      </c>
      <c r="BV51" s="32" t="str">
        <f aca="false">IF($A51="","",IF($BJ51="","",IF($D51="founding",$BJ51,ROUND($BJ51*config!$B$28,2))))</f>
        <v/>
      </c>
      <c r="BW51" s="30" t="str">
        <f aca="false">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30" t="str">
        <f aca="false">IF($A51="","",SUMIFS(inventory!$G$2:$G$801,inventory!$C$2:$C$801,$A51,inventory!$E$2:$E$801,"received"))</f>
        <v/>
      </c>
      <c r="BY51" s="30" t="str">
        <f aca="false">IF($A51="","",SUMIFS(inventory!$G$2:$G$801,inventory!$C$2:$C$801,$A51,inventory!$E$2:$E$801,"rejected"))</f>
        <v/>
      </c>
      <c r="BZ51" s="30" t="str">
        <f aca="false">IF($A51="","",SUMIFS(inventory!$M$2:$M$801,inventory!$C$2:$C$801,$A51))</f>
        <v/>
      </c>
      <c r="CA51" s="30" t="str">
        <f aca="false">IF($A51="","",SUMIFS(inventory!$O$2:$O$801,inventory!$C$2:$C$801,$A51))</f>
        <v/>
      </c>
      <c r="CB51" s="30" t="str">
        <f aca="false">IF($A51="","",SUMIFS(approvals!$U$2:$U$251,approvals!$A$2:$A$251,$A51))</f>
        <v/>
      </c>
      <c r="CC51" s="30" t="str">
        <f aca="false">IF($A51="","",SUMIFS(approvals!$AA$2:$AA$251,approvals!$A$2:$A$251,$A51))</f>
        <v/>
      </c>
      <c r="CD51" s="30" t="str">
        <f aca="false">IF($A51="","",SUMIFS(approvals!$AA$2:$AA$251,approvals!$A$2:$A$251,$A51,approvals!$AB$2:$AB$251,"Y"))</f>
        <v/>
      </c>
      <c r="CE51" s="34" t="str">
        <f aca="false">IF($A51="","",IF(N($CB51)=0,"",$CD51/$CB51))</f>
        <v/>
      </c>
      <c r="CF51" s="30" t="str">
        <f aca="false">IF($A51="","",SUMIFS(approvals!$AD$2:$AD$251,approvals!$A$2:$A$251,$A51))</f>
        <v/>
      </c>
      <c r="CG51" s="30" t="str">
        <f aca="false">IF($A51="","",IF(COUNTIFS(approvals!$A$2:$A$251,$A51,approvals!$Q$2:$Q$251,"Y",approvals!$AG$2:$AG$251,"")&gt;0,"",SUMIFS(approvals!$AG$2:$AG$251,approvals!$A$2:$A$251,$A51,approvals!$Q$2:$Q$251,"Y")))</f>
        <v/>
      </c>
      <c r="CH51" s="30" t="str">
        <f aca="false">IF($A51="","",SUMIFS(approvals!$AL$2:$AL$251,approvals!$A$2:$A$251,$A51,approvals!$Q$2:$Q$251,"Y"))</f>
        <v/>
      </c>
      <c r="CI51" s="30" t="str">
        <f aca="false">IF($A51="","",IF(N($BP51)=0,"",SUMPRODUCT(MIN(approvals!$BB$2:$BB$251+(approvals!$A$2:$A$251&lt;&gt;$A51)*1000000))))</f>
        <v/>
      </c>
      <c r="CJ51" s="30" t="str">
        <f aca="false">IF($A51="","",COUNTIFS(approvals!$A$2:$A$251,$A51,approvals!$Q$2:$Q$251,"Y",approvals!$AL$2:$AL$251,"&lt;"&amp;config!$B$30))</f>
        <v/>
      </c>
      <c r="CK51" s="30" t="str">
        <f aca="false">IF($A51="","",SUMIFS(approvals!$AM$2:$AM$251,approvals!$A$2:$A$251,$A51,approvals!$Q$2:$Q$251,"Y"))</f>
        <v/>
      </c>
      <c r="CL51" s="30" t="str">
        <f aca="false">IF($A51="","",SUMIFS(approvals!$AQ$2:$AQ$251,approvals!$A$2:$A$251,$A51,approvals!$Q$2:$Q$251,"Y"))</f>
        <v/>
      </c>
      <c r="CM51" s="30" t="str">
        <f aca="false">IF($A51="","",SUMIFS(approvals!$AR$2:$AR$251,approvals!$A$2:$A$251,$A51,approvals!$Q$2:$Q$251,"Y"))</f>
        <v/>
      </c>
      <c r="CN51" s="30" t="str">
        <f aca="false">IF($A51="","",SUMIFS(approvals!$AS$2:$AS$251,approvals!$A$2:$A$251,$A51,approvals!$Q$2:$Q$251,"Y"))</f>
        <v/>
      </c>
      <c r="CO51" s="30" t="str">
        <f aca="false">IF($A51="","",SUMIFS(approvals!$AT$2:$AT$251,approvals!$A$2:$A$251,$A51,approvals!$Q$2:$Q$251,"Y"))</f>
        <v/>
      </c>
      <c r="CP51" s="33" t="str">
        <f aca="false">IF($A51="","",IF(N($CO51)=0,"",ROUND(SUMIFS(approvals!$AU$2:$AU$251,approvals!$A$2:$A$251,$A51,approvals!$Q$2:$Q$251,"Y")/$CO51,1)))</f>
        <v/>
      </c>
      <c r="CQ51" s="30" t="str">
        <f aca="false">IF($A51="","",SUMIFS(approvals!$AV$2:$AV$251,approvals!$A$2:$A$251,$A51,approvals!$Q$2:$Q$251,"Y"))</f>
        <v/>
      </c>
      <c r="CR51" s="30" t="str">
        <f aca="false">IF($A51="","",SUMIFS(approvals!$AW$2:$AW$251,approvals!$A$2:$A$251,$A51,approvals!$Q$2:$Q$251,"Y"))</f>
        <v/>
      </c>
      <c r="CS51" s="30" t="str">
        <f aca="false">IF($A51="","",SUMIFS(approvals!$AX$2:$AX$251,approvals!$A$2:$A$251,$A51,approvals!$Q$2:$Q$251,"Y"))</f>
        <v/>
      </c>
      <c r="CT51" s="30" t="str">
        <f aca="false">IF($A51="","",SUMIFS(approvals!$AY$2:$AY$251,approvals!$A$2:$A$251,$A51,approvals!$Q$2:$Q$251,"Y"))</f>
        <v/>
      </c>
      <c r="CU51" s="30" t="str">
        <f aca="true">IF($A51="","",IF(OR($BG51="",$BC51&lt;&gt;""),"",IFERROR(COUNT(INDIRECT("'"&amp;$A51&amp;"'!$A$2:$A$501")),0)-IFERROR(COUNTIFS(INDIRECT("'"&amp;$A51&amp;"'!$A$2:$A$501"),"&gt;="&amp;$BG51,INDIRECT("'"&amp;$A51&amp;"'!$A$2:$A$501"),"&lt;"&amp;(IFERROR(IF(INDEX(drops!$R$2:$R$21,MATCH($B51,drops!$A$2:$A$21,0))="","",INDEX(drops!$R$2:$R$21,MATCH($B51,drops!$A$2:$A$21,0))),"")+1)),0)))</f>
        <v/>
      </c>
      <c r="CV51" s="30" t="str">
        <f aca="true">IF($A51="","",IF(OR($BG51="",$BC51&lt;&gt;""),"",IFERROR(COUNTIFS(INDIRECT("'"&amp;$A51&amp;"'!$A$2:$A$501"),"&gt;="&amp;$BG51,INDIRECT("'"&amp;$A51&amp;"'!$A$2:$A$501"),"&lt;"&amp;(IFERROR(IF(INDEX(drops!$R$2:$R$21,MATCH($B51,drops!$A$2:$A$21,0))="","",INDEX(drops!$R$2:$R$21,MATCH($B51,drops!$A$2:$A$21,0))),"")+1)),0)-N($CH51)-N($CW51)))</f>
        <v/>
      </c>
      <c r="CW51" s="30" t="str">
        <f aca="false">IF($A51="","",IF($BG51="","",SUMIFS(approvals!$AL$2:$AL$251,approvals!$A$2:$A$251,$A51,approvals!$Q$2:$Q$251,"&lt;&gt;Y")))</f>
        <v/>
      </c>
      <c r="CX51" s="30" t="str">
        <f aca="false">IF($A51="","",SUMIFS(approvals!$AN$2:$AN$251,approvals!$A$2:$A$251,$A51,approvals!$Q$2:$Q$251,"Y"))</f>
        <v/>
      </c>
      <c r="CY51" s="30" t="str">
        <f aca="false">IF($A51="","",SUMIFS(approvals!$AO$2:$AO$251,approvals!$A$2:$A$251,$A51,approvals!$Q$2:$Q$251,"Y"))</f>
        <v/>
      </c>
      <c r="CZ51" s="30" t="str">
        <f aca="false">IF($A51="","",IF($DA51="","",SUMIFS(redemptions!$C$2:$C$121,redemptions!$A$2:$A$121,$A51,redemptions!$B$2:$B$121,$DA51)))</f>
        <v/>
      </c>
      <c r="DA51" s="31" t="str">
        <f aca="false">IF($A51="","",IFERROR(1/(1/SUMPRODUCT(MAX((redemptions!$A$2:$A$121=$A51)*redemptions!$B$2:$B$121))),""))</f>
        <v/>
      </c>
      <c r="DB51" s="30" t="str">
        <f aca="false">IF($A51="","",IF(COUNTIFS(redemptions!$A$2:$A$121,$A51,redemptions!$H$2:$H$121,"Y")=0,"",SUMIFS(redemptions!$C$2:$C$121,redemptions!$A$2:$A$121,$A51,redemptions!$B$2:$B$121,SUMPRODUCT(MIN((redemptions!$A$2:$A$121=$A51)*(redemptions!$H$2:$H$121="Y")*redemptions!$B$2:$B$121+((redemptions!$A$2:$A$121&lt;&gt;$A51)+(redemptions!$H$2:$H$121&lt;&gt;"Y")&gt;0)*1000000)))))</f>
        <v/>
      </c>
      <c r="DC51" s="32" t="str">
        <f aca="false">IF($A51="","",SUMIFS(invoices!$E$2:$E$151,invoices!$B$2:$B$151,$A51))</f>
        <v/>
      </c>
      <c r="DD51" s="32" t="str">
        <f aca="false">IF($A51="","",IF(COUNTIFS(invoices!$B$2:$B$151,$A51,invoices!$C$2:$C$151,"standard_deposit",invoices!$H$2:$H$151,"&gt;0")=0,"",SUMIFS(invoices!$I$2:$I$151,invoices!$B$2:$B$151,$A51,invoices!$C$2:$C$151,"standard_deposit")))</f>
        <v/>
      </c>
      <c r="DE51" s="31" t="str">
        <f aca="false">IF($A51="","",IFERROR(1/(1/SUMPRODUCT(MAX((invoices!$B$2:$B$151=$A51)*(invoices!$C$2:$C$151="standard_deposit")*invoices!$H$2:$H$151))),""))</f>
        <v/>
      </c>
      <c r="DF51" s="31" t="str">
        <f aca="false">IF($A51="","",IFERROR(1/(1/SUMPRODUCT(MAX((invoices!$B$2:$B$151=$A51)*((invoices!$C$2:$C$151="founding_full")+(invoices!$C$2:$C$151="standard_balance"))*invoices!$H$2:$H$151))),""))</f>
        <v/>
      </c>
      <c r="DG51" s="32" t="str">
        <f aca="false">IF($A51="","",SUMIFS(invoices!$L$2:$L$151,invoices!$B$2:$B$151,$A51))</f>
        <v/>
      </c>
      <c r="DH51" s="32" t="str">
        <f aca="false">IF($A51="","",SUMIFS(costs!$E$2:$E$301,costs!$C$2:$C$301,$A51))</f>
        <v/>
      </c>
      <c r="DI51" s="32" t="str">
        <f aca="false">IF($A51="","",ROUND(IF(SUMIFS(campaigns!$BO$2:$BO$51,campaigns!$B$2:$B$51,$B51)=0,0,$BO51/SUMIFS(campaigns!$BO$2:$BO$51,campaigns!$B$2:$B$51,$B51))*(SUMIFS(costs!$E$2:$E$301,costs!$B$2:$B$301,$B51)-SUMPRODUCT((costs!$B$2:$B$301=$B51)*(LEN(costs!$C$2:$C$301)&gt;0)*costs!$E$2:$E$301)),2))</f>
        <v/>
      </c>
      <c r="DJ51" s="33" t="str">
        <f aca="false">IF($A51="","",SUMIFS(hours!$E$2:$E$1501,hours!$C$2:$C$1501,$A51))</f>
        <v/>
      </c>
      <c r="DK51" s="33" t="str">
        <f aca="false">IF($A51="","",ROUND(IF(SUMIFS(campaigns!$BO$2:$BO$51,campaigns!$B$2:$B$51,$B51)=0,0,$BO51/SUMIFS(campaigns!$BO$2:$BO$51,campaigns!$B$2:$B$51,$B51))*(SUMIFS(hours!$E$2:$E$1501,hours!$B$2:$B$1501,$B51)-SUMPRODUCT((hours!$B$2:$B$1501=$B51)*(LEN(hours!$C$2:$C$1501)&gt;0)*hours!$E$2:$E$1501)),2))</f>
        <v/>
      </c>
      <c r="DL51" s="32" t="str">
        <f aca="false">IF($A51="","",$DC51-$DG51-$DH51-$DI51)</f>
        <v/>
      </c>
      <c r="DM51" s="32" t="str">
        <f aca="false">IF($A51="","",IF(N($DJ51)+N($DK51)=0,"",ROUND($DL51/($DJ51+$DK51),2)))</f>
        <v/>
      </c>
      <c r="DN51" s="34" t="str">
        <f aca="false">IF($A51="","",IF(N($BP51)=0,"",COUNTIFS(approvals!$A$2:$A$251,$A51,approvals!$Q$2:$Q$251,"Y",approvals!$AK$2:$AK$251,"Y")/$BP51))</f>
        <v/>
      </c>
      <c r="DO51" s="33" t="str">
        <f aca="false">IF($A51="","",IF(COUNTIFS(approvals!$A$2:$A$251,$A51,approvals!$AC$2:$AC$251,"&gt;=0")=0,"",ROUND(SUMIFS(approvals!$AC$2:$AC$251,approvals!$A$2:$A$251,$A51)/COUNTIFS(approvals!$A$2:$A$251,$A51,approvals!$AC$2:$AC$251,"&gt;=0"),1)))</f>
        <v/>
      </c>
      <c r="DP51" s="31" t="str">
        <f aca="false">IF($A51="","",IFERROR(IF(INDEX(drops!$T$2:$T$21,MATCH($B51,drops!$A$2:$A$21,0))="","",INDEX(drops!$T$2:$T$21,MATCH($B51,drops!$A$2:$A$21,0))),""))</f>
        <v/>
      </c>
      <c r="DQ51" s="31" t="str">
        <f aca="false">IF($A51="","",IFERROR(IF(INDEX(drops!$U$2:$U$21,MATCH($B51,drops!$A$2:$A$21,0))="","",INDEX(drops!$U$2:$U$21,MATCH($B51,drops!$A$2:$A$21,0))),""))</f>
        <v/>
      </c>
      <c r="DR51" s="31" t="str">
        <f aca="false">IF($A51="","",IFERROR(IF(INDEX(drops!$W$2:$W$21,MATCH($B51,drops!$A$2:$A$21,0))="","",INDEX(drops!$W$2:$W$21,MATCH($B51,drops!$A$2:$A$21,0))),""))</f>
        <v/>
      </c>
      <c r="DS51" s="30" t="str">
        <f aca="false">IF($A51="","",IF($CE51="","",IF($CE51&gt;=config!$B$31,"pass","miss")))</f>
        <v/>
      </c>
      <c r="DT51" s="30" t="str">
        <f aca="false">IF($A51="","",IF($CI51="","",IF($CI51&gt;=config!$B$30,"pass","miss")))</f>
        <v/>
      </c>
      <c r="DU51" s="30" t="str">
        <f aca="true">IF($A51="","",IF($AT51="",IF($DP51="","",IF(IF(config!$B$37&lt;&gt;"",config!$B$37,TODAY())&gt;$DP51,"late","due")),IF($AT51&lt;=$DP51,"pass","late")))</f>
        <v/>
      </c>
      <c r="DV51" s="30" t="str">
        <f aca="false">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2" aboveAverage="0" equalAverage="0" bottom="0" percent="0" rank="0" text="" dxfId="1">
      <formula>LEN(DV2)&gt;0</formula>
    </cfRule>
  </conditionalFormatting>
  <dataValidations count="9">
    <dataValidation allowBlank="true" error="Pick a value from the list." errorStyle="stop" errorTitle="Not on the list" operator="between" showDropDown="false" showErrorMessage="true" showInputMessage="false" sqref="D2:D51" type="list">
      <formula1>"founding,standard"</formula1>
      <formula2>0</formula2>
    </dataValidation>
    <dataValidation allowBlank="true" error="Pick a value from the list." errorStyle="stop" errorTitle="Not on the list" operator="between" showDropDown="false" showErrorMessage="true" showInputMessage="false" sqref="E2:E51" type="list">
      <formula1>"Y,N"</formula1>
      <formula2>0</formula2>
    </dataValidation>
    <dataValidation allowBlank="true" error="Pick a value from the list." errorStyle="stop" errorTitle="Not on the list" operator="between" showDropDown="false" showErrorMessage="true" showInputMessage="false" sqref="M2:M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R2:R51" type="list">
      <formula1>"contains_statement,ingredient_list,single_ingredient"</formula1>
      <formula2>0</formula2>
    </dataValidation>
    <dataValidation allowBlank="true" error="Pick a value from the list." errorStyle="stop" errorTitle="Not on the list" operator="between" showDropDown="false" showErrorMessage="true" showInputMessage="false" sqref="Y2:Y51" type="list">
      <formula1>"return,release"</formula1>
      <formula2>0</formula2>
    </dataValidation>
    <dataValidation allowBlank="true" error="Pick a value from the list." errorStyle="stop" errorTitle="Not on the list" operator="between" showDropDown="false" showErrorMessage="true" showInputMessage="false" sqref="Z2:Z51" type="list">
      <formula1>"Y,N"</formula1>
      <formula2>0</formula2>
    </dataValidation>
    <dataValidation allowBlank="true" error="Pick a value from the list." errorStyle="stop" errorTitle="Not on the list" operator="between" showDropDown="false" showErrorMessage="true" showInputMessage="false" sqref="AR2:AR51" type="list">
      <formula1>"Y,N"</formula1>
      <formula2>0</formula2>
    </dataValidation>
    <dataValidation allowBlank="true" error="Pick a value from the list." errorStyle="stop" errorTitle="Not on the list" operator="between" showDropDown="false" showErrorMessage="true" showInputMessage="false" sqref="AV2:AV51" type="list">
      <formula1>"yes,maybe,no"</formula1>
      <formula2>0</formula2>
    </dataValidation>
    <dataValidation allowBlank="true" error="Pick a value from the list." errorStyle="stop" errorTitle="Not on the list" operator="between" showDropDown="false" showErrorMessage="true" showInputMessage="false" sqref="AW2:AW51" type="list">
      <formula1>"Y,N,pending"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J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20"/>
    <col collapsed="false" customWidth="true" hidden="false" outlineLevel="0" max="4" min="4" style="0" width="24"/>
    <col collapsed="false" customWidth="true" hidden="false" outlineLevel="0" max="5" min="5" style="0" width="22"/>
    <col collapsed="false" customWidth="true" hidden="false" outlineLevel="0" max="9" min="6" style="0" width="14"/>
    <col collapsed="false" customWidth="true" hidden="false" outlineLevel="0" max="10" min="10" style="0" width="24"/>
    <col collapsed="false" customWidth="true" hidden="false" outlineLevel="0" max="12" min="11" style="0" width="18"/>
    <col collapsed="false" customWidth="true" hidden="false" outlineLevel="0" max="13" min="13" style="0" width="14"/>
    <col collapsed="false" customWidth="true" hidden="false" outlineLevel="0" max="14" min="14" style="0" width="22"/>
    <col collapsed="false" customWidth="true" hidden="false" outlineLevel="0" max="17" min="15" style="0" width="14"/>
    <col collapsed="false" customWidth="true" hidden="false" outlineLevel="0" max="18" min="18" style="0" width="20"/>
    <col collapsed="false" customWidth="true" hidden="false" outlineLevel="0" max="19" min="19" style="0" width="14"/>
    <col collapsed="false" customWidth="true" hidden="false" outlineLevel="0" max="20" min="20" style="0" width="18"/>
    <col collapsed="false" customWidth="true" hidden="false" outlineLevel="0" max="21" min="21" style="0" width="22"/>
    <col collapsed="false" customWidth="true" hidden="false" outlineLevel="0" max="22" min="22" style="0" width="14"/>
    <col collapsed="false" customWidth="true" hidden="false" outlineLevel="0" max="23" min="23" style="0" width="18"/>
    <col collapsed="false" customWidth="true" hidden="false" outlineLevel="0" max="29" min="24" style="0" width="14"/>
    <col collapsed="false" customWidth="true" hidden="false" outlineLevel="0" max="30" min="30" style="0" width="22"/>
    <col collapsed="false" customWidth="true" hidden="false" outlineLevel="0" max="31" min="31" style="0" width="14"/>
    <col collapsed="false" customWidth="true" hidden="false" outlineLevel="0" max="32" min="32" style="0" width="8"/>
    <col collapsed="false" customWidth="true" hidden="false" outlineLevel="0" max="33" min="33" style="0" width="10"/>
    <col collapsed="false" customWidth="true" hidden="false" outlineLevel="0" max="35" min="34" style="0" width="8"/>
    <col collapsed="false" customWidth="true" hidden="false" outlineLevel="0" max="36" min="36" style="0" width="34"/>
  </cols>
  <sheetData>
    <row r="1" customFormat="false" ht="15" hidden="false" customHeight="false" outlineLevel="0" collapsed="false">
      <c r="A1" s="28" t="s">
        <v>359</v>
      </c>
      <c r="B1" s="28" t="s">
        <v>592</v>
      </c>
      <c r="C1" s="28" t="s">
        <v>593</v>
      </c>
      <c r="D1" s="28" t="s">
        <v>594</v>
      </c>
      <c r="E1" s="28" t="s">
        <v>595</v>
      </c>
      <c r="F1" s="28" t="s">
        <v>596</v>
      </c>
      <c r="G1" s="28" t="s">
        <v>597</v>
      </c>
      <c r="H1" s="28" t="s">
        <v>598</v>
      </c>
      <c r="I1" s="28" t="s">
        <v>79</v>
      </c>
      <c r="J1" s="28" t="s">
        <v>305</v>
      </c>
      <c r="K1" s="29" t="s">
        <v>411</v>
      </c>
      <c r="L1" s="29" t="s">
        <v>599</v>
      </c>
      <c r="M1" s="29" t="s">
        <v>412</v>
      </c>
      <c r="N1" s="29" t="s">
        <v>365</v>
      </c>
      <c r="O1" s="29" t="s">
        <v>600</v>
      </c>
      <c r="P1" s="29" t="s">
        <v>601</v>
      </c>
      <c r="Q1" s="29" t="s">
        <v>602</v>
      </c>
      <c r="R1" s="29" t="s">
        <v>603</v>
      </c>
      <c r="S1" s="29" t="s">
        <v>604</v>
      </c>
      <c r="T1" s="29" t="s">
        <v>605</v>
      </c>
      <c r="U1" s="29" t="s">
        <v>606</v>
      </c>
      <c r="V1" s="29" t="s">
        <v>607</v>
      </c>
      <c r="W1" s="29" t="s">
        <v>608</v>
      </c>
      <c r="X1" s="29" t="s">
        <v>609</v>
      </c>
      <c r="Y1" s="29" t="s">
        <v>610</v>
      </c>
      <c r="Z1" s="29" t="s">
        <v>611</v>
      </c>
      <c r="AA1" s="29" t="s">
        <v>612</v>
      </c>
      <c r="AB1" s="29" t="s">
        <v>613</v>
      </c>
      <c r="AC1" s="29" t="s">
        <v>614</v>
      </c>
      <c r="AD1" s="29" t="s">
        <v>615</v>
      </c>
      <c r="AE1" s="29" t="s">
        <v>616</v>
      </c>
      <c r="AF1" s="29" t="s">
        <v>617</v>
      </c>
      <c r="AG1" s="29" t="s">
        <v>618</v>
      </c>
      <c r="AH1" s="29" t="s">
        <v>323</v>
      </c>
      <c r="AI1" s="29" t="s">
        <v>619</v>
      </c>
      <c r="AJ1" s="29" t="s">
        <v>620</v>
      </c>
    </row>
    <row r="2" customFormat="false" ht="15" hidden="false" customHeight="false" outlineLevel="0" collapsed="false">
      <c r="A2" s="0" t="s">
        <v>473</v>
      </c>
      <c r="B2" s="35" t="s">
        <v>621</v>
      </c>
      <c r="C2" s="10" t="s">
        <v>622</v>
      </c>
      <c r="D2" s="10" t="s">
        <v>623</v>
      </c>
      <c r="E2" s="10" t="s">
        <v>624</v>
      </c>
      <c r="F2" s="10" t="s">
        <v>625</v>
      </c>
      <c r="G2" s="10" t="s">
        <v>486</v>
      </c>
      <c r="H2" s="11" t="n">
        <v>46568</v>
      </c>
      <c r="I2" s="10" t="s">
        <v>626</v>
      </c>
      <c r="K2" s="30" t="str">
        <f aca="false">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SAMPLE Brightside</v>
      </c>
      <c r="L2" s="30" t="str">
        <f aca="false">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https://example.com/brightside</v>
      </c>
      <c r="M2" s="30" t="str">
        <f aca="false">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chips-crisps</v>
      </c>
      <c r="N2" s="30" t="str">
        <f aca="false">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SAMPLE Sea Salt Lentil Crisps, 1 oz bags</v>
      </c>
      <c r="O2" s="30" t="str">
        <f aca="false">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SAMPLE Queens, NY</v>
      </c>
      <c r="P2" s="30" t="str">
        <f aca="false">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SAMPLE Founder of Brightside</v>
      </c>
      <c r="Q2" s="30" t="str">
        <f aca="false">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SAMPLE Co-founder</v>
      </c>
      <c r="R2" s="30" t="str">
        <f aca="false">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SAMPLE-001@example.com</v>
      </c>
      <c r="S2" s="30" t="str">
        <f aca="false">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SAMPLE (718) 555-0101</v>
      </c>
      <c r="T2" s="30" t="str">
        <f aca="false">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https://example.com/brightside/shop</v>
      </c>
      <c r="U2" s="30" t="str">
        <f aca="false">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SAMPLE Example Market, 1 Example Street</v>
      </c>
      <c r="V2" s="30" t="str">
        <f aca="false">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Y</v>
      </c>
      <c r="W2" s="30" t="str">
        <f aca="false">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SAMPLE Founder of Brightside, SAMPLE Co-founder</v>
      </c>
      <c r="X2" s="30" t="str">
        <f aca="false">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Y</v>
      </c>
      <c r="Y2" s="30" t="str">
        <f aca="false">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Y</v>
      </c>
      <c r="Z2" s="30" t="str">
        <f aca="false">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Y</v>
      </c>
      <c r="AA2" s="30" t="str">
        <f aca="false">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Y</v>
      </c>
      <c r="AB2" s="30" t="str">
        <f aca="false">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Y</v>
      </c>
      <c r="AC2" s="30" t="str">
        <f aca="false">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Y</v>
      </c>
      <c r="AD2" s="30" t="str">
        <f aca="false">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SAMPLE new placement at a store near the cluster</v>
      </c>
      <c r="AE2" s="30" t="str">
        <f aca="false">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Y</v>
      </c>
      <c r="AF2" s="30" t="n">
        <f aca="false">IF($B2="","",($X2="Y")+($Y2="Y")+($Z2="Y")+($AA2="Y")+($AB2="Y")+($AC2="Y")+(LEN($AD2)&gt;0))</f>
        <v>7</v>
      </c>
      <c r="AG2" s="30" t="str">
        <f aca="false">IF($B2="","",IF(AND($AF2=7,$AE2="Y"),"Y (as answered)","N: check "&amp;IF($X2&lt;&gt;"Y","1 ","")&amp;IF($Y2&lt;&gt;"Y","2 ","")&amp;IF($Z2&lt;&gt;"Y","3 ","")&amp;IF($AA2&lt;&gt;"Y","4 ","")&amp;IF($AB2&lt;&gt;"Y","5 ","")&amp;IF($AC2&lt;&gt;"Y","6 ","")&amp;IF(LEN($AD2)=0,"7 ","")&amp;IF($AE2&lt;&gt;"Y","excluded? ","")))</f>
        <v>Y (as answered)</v>
      </c>
      <c r="AH2" s="30" t="n">
        <f aca="false">IF($A2="","",COUNTIF(campaigns!$C$2:$C$51,$A2))</f>
        <v>2</v>
      </c>
      <c r="AI2" s="30" t="n">
        <f aca="false">IF(OR($A2="",SUMIFS(campaigns!$H$2:$H$51,campaigns!$C$2:$C$51,$A2,campaigns!$D$2:$D$51,"founding",campaigns!$E$2:$E$51,"&lt;&gt;Y")=0),"",COUNTIFS(campaigns!$D$2:$D$51,"founding",campaigns!$E$2:$E$51,"&lt;&gt;Y",campaigns!$H$2:$H$51,"&lt;="&amp;SUMIFS(campaigns!$H$2:$H$51,campaigns!$C$2:$C$51,$A2,campaigns!$D$2:$D$51,"founding",campaigns!$E$2:$E$51,"&lt;&gt;Y"),campaigns!$H$2:$H$51,"&gt;0"))</f>
        <v>1</v>
      </c>
      <c r="AJ2" s="30" t="str">
        <f aca="false">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ustomFormat="false" ht="15" hidden="false" customHeight="false" outlineLevel="0" collapsed="false">
      <c r="A3" s="0" t="s">
        <v>499</v>
      </c>
      <c r="B3" s="35" t="s">
        <v>627</v>
      </c>
      <c r="C3" s="10" t="s">
        <v>628</v>
      </c>
      <c r="D3" s="10" t="s">
        <v>623</v>
      </c>
      <c r="E3" s="10" t="s">
        <v>629</v>
      </c>
      <c r="F3" s="10" t="s">
        <v>625</v>
      </c>
      <c r="G3" s="10" t="s">
        <v>486</v>
      </c>
      <c r="H3" s="11" t="n">
        <v>46843</v>
      </c>
      <c r="I3" s="10" t="s">
        <v>626</v>
      </c>
      <c r="K3" s="30" t="str">
        <f aca="false">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SAMPLE Northbound</v>
      </c>
      <c r="L3" s="30" t="str">
        <f aca="false">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https://example.com/northbound</v>
      </c>
      <c r="M3" s="30" t="str">
        <f aca="false">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sparkling-soda</v>
      </c>
      <c r="N3" s="30" t="str">
        <f aca="false">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SAMPLE Grapefruit Sparkling Water, 12 oz cans</v>
      </c>
      <c r="O3" s="30" t="str">
        <f aca="false">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SAMPLE Brooklyn, NY</v>
      </c>
      <c r="P3" s="30" t="str">
        <f aca="false">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SAMPLE Founder of Northbound</v>
      </c>
      <c r="Q3" s="30" t="str">
        <f aca="false">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SAMPLE Co-founder</v>
      </c>
      <c r="R3" s="30" t="str">
        <f aca="false">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SAMPLE-002@example.com</v>
      </c>
      <c r="S3" s="30" t="str">
        <f aca="false">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SAMPLE (718) 555-0102</v>
      </c>
      <c r="T3" s="30" t="str">
        <f aca="false">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https://example.com/northbound/shop</v>
      </c>
      <c r="U3" s="30" t="str">
        <f aca="false">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SAMPLE Example Market, 1 Example Street</v>
      </c>
      <c r="V3" s="30" t="str">
        <f aca="false">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Y</v>
      </c>
      <c r="W3" s="30" t="str">
        <f aca="false">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SAMPLE Founder of Northbound, SAMPLE Co-founder</v>
      </c>
      <c r="X3" s="30" t="str">
        <f aca="false">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Y</v>
      </c>
      <c r="Y3" s="30" t="str">
        <f aca="false">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Y</v>
      </c>
      <c r="Z3" s="30" t="str">
        <f aca="false">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Y</v>
      </c>
      <c r="AA3" s="30" t="str">
        <f aca="false">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Y</v>
      </c>
      <c r="AB3" s="30" t="str">
        <f aca="false">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Y</v>
      </c>
      <c r="AC3" s="30" t="str">
        <f aca="false">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Y</v>
      </c>
      <c r="AD3" s="30" t="str">
        <f aca="false">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SAMPLE new placement at a store near the cluster</v>
      </c>
      <c r="AE3" s="30" t="str">
        <f aca="false">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Y</v>
      </c>
      <c r="AF3" s="30" t="n">
        <f aca="false">IF($B3="","",($X3="Y")+($Y3="Y")+($Z3="Y")+($AA3="Y")+($AB3="Y")+($AC3="Y")+(LEN($AD3)&gt;0))</f>
        <v>7</v>
      </c>
      <c r="AG3" s="30" t="str">
        <f aca="false">IF($B3="","",IF(AND($AF3=7,$AE3="Y"),"Y (as answered)","N: check "&amp;IF($X3&lt;&gt;"Y","1 ","")&amp;IF($Y3&lt;&gt;"Y","2 ","")&amp;IF($Z3&lt;&gt;"Y","3 ","")&amp;IF($AA3&lt;&gt;"Y","4 ","")&amp;IF($AB3&lt;&gt;"Y","5 ","")&amp;IF($AC3&lt;&gt;"Y","6 ","")&amp;IF(LEN($AD3)=0,"7 ","")&amp;IF($AE3&lt;&gt;"Y","excluded? ","")))</f>
        <v>Y (as answered)</v>
      </c>
      <c r="AH3" s="30" t="n">
        <f aca="false">IF($A3="","",COUNTIF(campaigns!$C$2:$C$51,$A3))</f>
        <v>1</v>
      </c>
      <c r="AI3" s="30" t="n">
        <f aca="false">IF(OR($A3="",SUMIFS(campaigns!$H$2:$H$51,campaigns!$C$2:$C$51,$A3,campaigns!$D$2:$D$51,"founding",campaigns!$E$2:$E$51,"&lt;&gt;Y")=0),"",COUNTIFS(campaigns!$D$2:$D$51,"founding",campaigns!$E$2:$E$51,"&lt;&gt;Y",campaigns!$H$2:$H$51,"&lt;="&amp;SUMIFS(campaigns!$H$2:$H$51,campaigns!$C$2:$C$51,$A3,campaigns!$D$2:$D$51,"founding",campaigns!$E$2:$E$51,"&lt;&gt;Y"),campaigns!$H$2:$H$51,"&gt;0"))</f>
        <v>2</v>
      </c>
      <c r="AJ3" s="30" t="str">
        <f aca="false">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ustomFormat="false" ht="15" hidden="false" customHeight="false" outlineLevel="0" collapsed="false">
      <c r="A4" s="0" t="s">
        <v>517</v>
      </c>
      <c r="B4" s="35" t="s">
        <v>630</v>
      </c>
      <c r="C4" s="10" t="s">
        <v>631</v>
      </c>
      <c r="D4" s="10" t="s">
        <v>623</v>
      </c>
      <c r="E4" s="10" t="s">
        <v>632</v>
      </c>
      <c r="F4" s="10" t="s">
        <v>625</v>
      </c>
      <c r="G4" s="10" t="s">
        <v>486</v>
      </c>
      <c r="H4" s="11" t="n">
        <v>46843</v>
      </c>
      <c r="I4" s="10" t="s">
        <v>626</v>
      </c>
      <c r="K4" s="30" t="str">
        <f aca="false">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SAMPLE Tallgrass</v>
      </c>
      <c r="L4" s="30" t="str">
        <f aca="false">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https://example.com/tallgrass</v>
      </c>
      <c r="M4" s="30" t="str">
        <f aca="false">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bars</v>
      </c>
      <c r="N4" s="30" t="str">
        <f aca="false">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SAMPLE Oat &amp; Date Bars, 1.4 oz</v>
      </c>
      <c r="O4" s="30" t="str">
        <f aca="false">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SAMPLE Jersey City, NJ</v>
      </c>
      <c r="P4" s="30" t="str">
        <f aca="false">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SAMPLE Founder of Tallgrass</v>
      </c>
      <c r="Q4" s="30" t="str">
        <f aca="false">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SAMPLE Co-founder</v>
      </c>
      <c r="R4" s="30" t="str">
        <f aca="false">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SAMPLE-003@example.com</v>
      </c>
      <c r="S4" s="30" t="str">
        <f aca="false">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SAMPLE (718) 555-0103</v>
      </c>
      <c r="T4" s="30" t="str">
        <f aca="false">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https://example.com/tallgrass/shop</v>
      </c>
      <c r="U4" s="30" t="str">
        <f aca="false">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SAMPLE Example Market, 1 Example Street</v>
      </c>
      <c r="V4" s="30" t="str">
        <f aca="false">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Y</v>
      </c>
      <c r="W4" s="30" t="str">
        <f aca="false">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SAMPLE Founder of Tallgrass, SAMPLE Co-founder</v>
      </c>
      <c r="X4" s="30" t="str">
        <f aca="false">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Y</v>
      </c>
      <c r="Y4" s="30" t="str">
        <f aca="false">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Y</v>
      </c>
      <c r="Z4" s="30" t="str">
        <f aca="false">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Y</v>
      </c>
      <c r="AA4" s="30" t="str">
        <f aca="false">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Y</v>
      </c>
      <c r="AB4" s="30" t="str">
        <f aca="false">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Y</v>
      </c>
      <c r="AC4" s="30" t="str">
        <f aca="false">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Y</v>
      </c>
      <c r="AD4" s="30" t="str">
        <f aca="false">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SAMPLE new placement at a store near the cluster</v>
      </c>
      <c r="AE4" s="30" t="str">
        <f aca="false">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Y</v>
      </c>
      <c r="AF4" s="30" t="n">
        <f aca="false">IF($B4="","",($X4="Y")+($Y4="Y")+($Z4="Y")+($AA4="Y")+($AB4="Y")+($AC4="Y")+(LEN($AD4)&gt;0))</f>
        <v>7</v>
      </c>
      <c r="AG4" s="30" t="str">
        <f aca="false">IF($B4="","",IF(AND($AF4=7,$AE4="Y"),"Y (as answered)","N: check "&amp;IF($X4&lt;&gt;"Y","1 ","")&amp;IF($Y4&lt;&gt;"Y","2 ","")&amp;IF($Z4&lt;&gt;"Y","3 ","")&amp;IF($AA4&lt;&gt;"Y","4 ","")&amp;IF($AB4&lt;&gt;"Y","5 ","")&amp;IF($AC4&lt;&gt;"Y","6 ","")&amp;IF(LEN($AD4)=0,"7 ","")&amp;IF($AE4&lt;&gt;"Y","excluded? ","")))</f>
        <v>Y (as answered)</v>
      </c>
      <c r="AH4" s="30" t="n">
        <f aca="false">IF($A4="","",COUNTIF(campaigns!$C$2:$C$51,$A4))</f>
        <v>2</v>
      </c>
      <c r="AI4" s="30" t="str">
        <f aca="false">IF(OR($A4="",SUMIFS(campaigns!$H$2:$H$51,campaigns!$C$2:$C$51,$A4,campaigns!$D$2:$D$51,"founding",campaigns!$E$2:$E$51,"&lt;&gt;Y")=0),"",COUNTIFS(campaigns!$D$2:$D$51,"founding",campaigns!$E$2:$E$51,"&lt;&gt;Y",campaigns!$H$2:$H$51,"&lt;="&amp;SUMIFS(campaigns!$H$2:$H$51,campaigns!$C$2:$C$51,$A4,campaigns!$D$2:$D$51,"founding",campaigns!$E$2:$E$51,"&lt;&gt;Y"),campaigns!$H$2:$H$51,"&gt;0"))</f>
        <v/>
      </c>
      <c r="AJ4" s="30" t="str">
        <f aca="false">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ustomFormat="false" ht="15" hidden="false" customHeight="false" outlineLevel="0" collapsed="false">
      <c r="A5" s="0" t="s">
        <v>533</v>
      </c>
      <c r="B5" s="35" t="s">
        <v>633</v>
      </c>
      <c r="C5" s="10" t="s">
        <v>634</v>
      </c>
      <c r="D5" s="10" t="s">
        <v>623</v>
      </c>
      <c r="E5" s="10" t="s">
        <v>635</v>
      </c>
      <c r="F5" s="10" t="s">
        <v>625</v>
      </c>
      <c r="G5" s="10" t="s">
        <v>486</v>
      </c>
      <c r="H5" s="11" t="n">
        <v>46843</v>
      </c>
      <c r="I5" s="10" t="s">
        <v>626</v>
      </c>
      <c r="K5" s="30" t="str">
        <f aca="false">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SAMPLE Orchard Row</v>
      </c>
      <c r="L5" s="30" t="str">
        <f aca="false">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https://example.com/orchardrow</v>
      </c>
      <c r="M5" s="30" t="str">
        <f aca="false">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fruit-snacks</v>
      </c>
      <c r="N5" s="30" t="str">
        <f aca="false">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SAMPLE Dried Mango Strips, 1 oz</v>
      </c>
      <c r="O5" s="30" t="str">
        <f aca="false">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SAMPLE Hudson Valley, NY</v>
      </c>
      <c r="P5" s="30" t="str">
        <f aca="false">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SAMPLE Founder of Orchard Row</v>
      </c>
      <c r="Q5" s="30" t="str">
        <f aca="false">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SAMPLE Co-founder</v>
      </c>
      <c r="R5" s="30" t="str">
        <f aca="false">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SAMPLE-004@example.com</v>
      </c>
      <c r="S5" s="30" t="str">
        <f aca="false">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SAMPLE (718) 555-0104</v>
      </c>
      <c r="T5" s="30" t="str">
        <f aca="false">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https://example.com/orchardrow/shop</v>
      </c>
      <c r="U5" s="30" t="str">
        <f aca="false">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SAMPLE Example Market, 1 Example Street</v>
      </c>
      <c r="V5" s="30" t="str">
        <f aca="false">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Y</v>
      </c>
      <c r="W5" s="30" t="str">
        <f aca="false">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SAMPLE Founder of Orchard Row, SAMPLE Co-founder</v>
      </c>
      <c r="X5" s="30" t="str">
        <f aca="false">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Y</v>
      </c>
      <c r="Y5" s="30" t="str">
        <f aca="false">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Y</v>
      </c>
      <c r="Z5" s="30" t="str">
        <f aca="false">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Y</v>
      </c>
      <c r="AA5" s="30" t="str">
        <f aca="false">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Y</v>
      </c>
      <c r="AB5" s="30" t="str">
        <f aca="false">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Y</v>
      </c>
      <c r="AC5" s="30" t="str">
        <f aca="false">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Y</v>
      </c>
      <c r="AD5" s="30" t="str">
        <f aca="false">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SAMPLE new placement at a store near the cluster</v>
      </c>
      <c r="AE5" s="30" t="str">
        <f aca="false">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Y</v>
      </c>
      <c r="AF5" s="30" t="n">
        <f aca="false">IF($B5="","",($X5="Y")+($Y5="Y")+($Z5="Y")+($AA5="Y")+($AB5="Y")+($AC5="Y")+(LEN($AD5)&gt;0))</f>
        <v>7</v>
      </c>
      <c r="AG5" s="30" t="str">
        <f aca="false">IF($B5="","",IF(AND($AF5=7,$AE5="Y"),"Y (as answered)","N: check "&amp;IF($X5&lt;&gt;"Y","1 ","")&amp;IF($Y5&lt;&gt;"Y","2 ","")&amp;IF($Z5&lt;&gt;"Y","3 ","")&amp;IF($AA5&lt;&gt;"Y","4 ","")&amp;IF($AB5&lt;&gt;"Y","5 ","")&amp;IF($AC5&lt;&gt;"Y","6 ","")&amp;IF(LEN($AD5)=0,"7 ","")&amp;IF($AE5&lt;&gt;"Y","excluded? ","")))</f>
        <v>Y (as answered)</v>
      </c>
      <c r="AH5" s="30" t="n">
        <f aca="false">IF($A5="","",COUNTIF(campaigns!$C$2:$C$51,$A5))</f>
        <v>1</v>
      </c>
      <c r="AI5" s="30" t="str">
        <f aca="false">IF(OR($A5="",SUMIFS(campaigns!$H$2:$H$51,campaigns!$C$2:$C$51,$A5,campaigns!$D$2:$D$51,"founding",campaigns!$E$2:$E$51,"&lt;&gt;Y")=0),"",COUNTIFS(campaigns!$D$2:$D$51,"founding",campaigns!$E$2:$E$51,"&lt;&gt;Y",campaigns!$H$2:$H$51,"&lt;="&amp;SUMIFS(campaigns!$H$2:$H$51,campaigns!$C$2:$C$51,$A5,campaigns!$D$2:$D$51,"founding",campaigns!$E$2:$E$51,"&lt;&gt;Y"),campaigns!$H$2:$H$51,"&gt;0"))</f>
        <v/>
      </c>
      <c r="AJ5" s="30" t="str">
        <f aca="false">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ustomFormat="false" ht="15" hidden="false" customHeight="false" outlineLevel="0" collapsed="false">
      <c r="A6" s="0" t="s">
        <v>550</v>
      </c>
      <c r="B6" s="35" t="s">
        <v>636</v>
      </c>
      <c r="C6" s="10" t="s">
        <v>637</v>
      </c>
      <c r="D6" s="10" t="s">
        <v>623</v>
      </c>
      <c r="E6" s="10" t="s">
        <v>638</v>
      </c>
      <c r="F6" s="10" t="s">
        <v>625</v>
      </c>
      <c r="G6" s="10" t="s">
        <v>486</v>
      </c>
      <c r="H6" s="11" t="n">
        <v>46843</v>
      </c>
      <c r="I6" s="10" t="s">
        <v>626</v>
      </c>
      <c r="K6" s="30" t="str">
        <f aca="false">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SAMPLE Kettle Ridge</v>
      </c>
      <c r="L6" s="30" t="str">
        <f aca="false">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https://example.com/kettleridge</v>
      </c>
      <c r="M6" s="30" t="str">
        <f aca="false">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chips-crisps</v>
      </c>
      <c r="N6" s="30" t="str">
        <f aca="false">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SAMPLE Kettle Chips, Sea Salt, 1 oz bags</v>
      </c>
      <c r="O6" s="30" t="str">
        <f aca="false">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SAMPLE Albany, NY</v>
      </c>
      <c r="P6" s="30" t="str">
        <f aca="false">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SAMPLE Founder of Kettle Ridge</v>
      </c>
      <c r="Q6" s="30" t="str">
        <f aca="false">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SAMPLE Co-founder</v>
      </c>
      <c r="R6" s="30" t="str">
        <f aca="false">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SAMPLE-005@example.com</v>
      </c>
      <c r="S6" s="30" t="str">
        <f aca="false">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SAMPLE (718) 555-0105</v>
      </c>
      <c r="T6" s="30" t="str">
        <f aca="false">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https://example.com/kettleridge/shop</v>
      </c>
      <c r="U6" s="30" t="str">
        <f aca="false">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SAMPLE Example Market, 1 Example Street</v>
      </c>
      <c r="V6" s="30" t="str">
        <f aca="false">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Y</v>
      </c>
      <c r="W6" s="30" t="str">
        <f aca="false">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SAMPLE Founder of Kettle Ridge, SAMPLE Co-founder</v>
      </c>
      <c r="X6" s="30" t="str">
        <f aca="false">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Y</v>
      </c>
      <c r="Y6" s="30" t="str">
        <f aca="false">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Y</v>
      </c>
      <c r="Z6" s="30" t="str">
        <f aca="false">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Y</v>
      </c>
      <c r="AA6" s="30" t="str">
        <f aca="false">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Y</v>
      </c>
      <c r="AB6" s="30" t="str">
        <f aca="false">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Y</v>
      </c>
      <c r="AC6" s="30" t="str">
        <f aca="false">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Y</v>
      </c>
      <c r="AD6" s="30" t="str">
        <f aca="false">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SAMPLE new placement at a store near the cluster</v>
      </c>
      <c r="AE6" s="30" t="str">
        <f aca="false">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Y</v>
      </c>
      <c r="AF6" s="30" t="n">
        <f aca="false">IF($B6="","",($X6="Y")+($Y6="Y")+($Z6="Y")+($AA6="Y")+($AB6="Y")+($AC6="Y")+(LEN($AD6)&gt;0))</f>
        <v>7</v>
      </c>
      <c r="AG6" s="30" t="str">
        <f aca="false">IF($B6="","",IF(AND($AF6=7,$AE6="Y"),"Y (as answered)","N: check "&amp;IF($X6&lt;&gt;"Y","1 ","")&amp;IF($Y6&lt;&gt;"Y","2 ","")&amp;IF($Z6&lt;&gt;"Y","3 ","")&amp;IF($AA6&lt;&gt;"Y","4 ","")&amp;IF($AB6&lt;&gt;"Y","5 ","")&amp;IF($AC6&lt;&gt;"Y","6 ","")&amp;IF(LEN($AD6)=0,"7 ","")&amp;IF($AE6&lt;&gt;"Y","excluded? ","")))</f>
        <v>Y (as answered)</v>
      </c>
      <c r="AH6" s="30" t="n">
        <f aca="false">IF($A6="","",COUNTIF(campaigns!$C$2:$C$51,$A6))</f>
        <v>1</v>
      </c>
      <c r="AI6" s="30" t="str">
        <f aca="false">IF(OR($A6="",SUMIFS(campaigns!$H$2:$H$51,campaigns!$C$2:$C$51,$A6,campaigns!$D$2:$D$51,"founding",campaigns!$E$2:$E$51,"&lt;&gt;Y")=0),"",COUNTIFS(campaigns!$D$2:$D$51,"founding",campaigns!$E$2:$E$51,"&lt;&gt;Y",campaigns!$H$2:$H$51,"&lt;="&amp;SUMIFS(campaigns!$H$2:$H$51,campaigns!$C$2:$C$51,$A6,campaigns!$D$2:$D$51,"founding",campaigns!$E$2:$E$51,"&lt;&gt;Y"),campaigns!$H$2:$H$51,"&gt;0"))</f>
        <v/>
      </c>
      <c r="AJ6" s="30" t="str">
        <f aca="false">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ustomFormat="false" ht="15" hidden="false" customHeight="false" outlineLevel="0" collapsed="false">
      <c r="A7" s="0" t="s">
        <v>564</v>
      </c>
      <c r="B7" s="35" t="s">
        <v>639</v>
      </c>
      <c r="C7" s="10" t="s">
        <v>640</v>
      </c>
      <c r="D7" s="10" t="s">
        <v>623</v>
      </c>
      <c r="E7" s="10" t="s">
        <v>641</v>
      </c>
      <c r="F7" s="10" t="s">
        <v>625</v>
      </c>
      <c r="G7" s="10" t="s">
        <v>486</v>
      </c>
      <c r="H7" s="11" t="n">
        <v>46843</v>
      </c>
      <c r="I7" s="10" t="s">
        <v>626</v>
      </c>
      <c r="K7" s="30" t="str">
        <f aca="false">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SAMPLE Saltmarsh</v>
      </c>
      <c r="L7" s="30" t="str">
        <f aca="false">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https://example.com/saltmarsh</v>
      </c>
      <c r="M7" s="30" t="str">
        <f aca="false">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chips-crisps</v>
      </c>
      <c r="N7" s="30" t="str">
        <f aca="false">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SAMPLE Salt and Vinegar Potato Chips, 1 oz bags</v>
      </c>
      <c r="O7" s="30" t="str">
        <f aca="false">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SAMPLE Montauk, NY</v>
      </c>
      <c r="P7" s="30" t="str">
        <f aca="false">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SAMPLE Founder of Saltmarsh</v>
      </c>
      <c r="Q7" s="30" t="str">
        <f aca="false">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SAMPLE Co-founder</v>
      </c>
      <c r="R7" s="30" t="str">
        <f aca="false">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SAMPLE-006@example.com</v>
      </c>
      <c r="S7" s="30" t="str">
        <f aca="false">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SAMPLE (718) 555-0106</v>
      </c>
      <c r="T7" s="30" t="str">
        <f aca="false">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https://example.com/saltmarsh/shop</v>
      </c>
      <c r="U7" s="30" t="str">
        <f aca="false">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SAMPLE Example Market, 1 Example Street</v>
      </c>
      <c r="V7" s="30" t="str">
        <f aca="false">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Y</v>
      </c>
      <c r="W7" s="30" t="str">
        <f aca="false">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SAMPLE Founder of Saltmarsh, SAMPLE Co-founder</v>
      </c>
      <c r="X7" s="30" t="str">
        <f aca="false">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Y</v>
      </c>
      <c r="Y7" s="30" t="str">
        <f aca="false">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Y</v>
      </c>
      <c r="Z7" s="30" t="str">
        <f aca="false">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Y</v>
      </c>
      <c r="AA7" s="30" t="str">
        <f aca="false">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Y</v>
      </c>
      <c r="AB7" s="30" t="str">
        <f aca="false">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Y</v>
      </c>
      <c r="AC7" s="30" t="str">
        <f aca="false">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Y</v>
      </c>
      <c r="AD7" s="30" t="str">
        <f aca="false">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SAMPLE new placement at a store near the cluster</v>
      </c>
      <c r="AE7" s="30" t="str">
        <f aca="false">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Y</v>
      </c>
      <c r="AF7" s="30" t="n">
        <f aca="false">IF($B7="","",($X7="Y")+($Y7="Y")+($Z7="Y")+($AA7="Y")+($AB7="Y")+($AC7="Y")+(LEN($AD7)&gt;0))</f>
        <v>7</v>
      </c>
      <c r="AG7" s="30" t="str">
        <f aca="false">IF($B7="","",IF(AND($AF7=7,$AE7="Y"),"Y (as answered)","N: check "&amp;IF($X7&lt;&gt;"Y","1 ","")&amp;IF($Y7&lt;&gt;"Y","2 ","")&amp;IF($Z7&lt;&gt;"Y","3 ","")&amp;IF($AA7&lt;&gt;"Y","4 ","")&amp;IF($AB7&lt;&gt;"Y","5 ","")&amp;IF($AC7&lt;&gt;"Y","6 ","")&amp;IF(LEN($AD7)=0,"7 ","")&amp;IF($AE7&lt;&gt;"Y","excluded? ","")))</f>
        <v>Y (as answered)</v>
      </c>
      <c r="AH7" s="30" t="n">
        <f aca="false">IF($A7="","",COUNTIF(campaigns!$C$2:$C$51,$A7))</f>
        <v>1</v>
      </c>
      <c r="AI7" s="30" t="str">
        <f aca="false">IF(OR($A7="",SUMIFS(campaigns!$H$2:$H$51,campaigns!$C$2:$C$51,$A7,campaigns!$D$2:$D$51,"founding",campaigns!$E$2:$E$51,"&lt;&gt;Y")=0),"",COUNTIFS(campaigns!$D$2:$D$51,"founding",campaigns!$E$2:$E$51,"&lt;&gt;Y",campaigns!$H$2:$H$51,"&lt;="&amp;SUMIFS(campaigns!$H$2:$H$51,campaigns!$C$2:$C$51,$A7,campaigns!$D$2:$D$51,"founding",campaigns!$E$2:$E$51,"&lt;&gt;Y"),campaigns!$H$2:$H$51,"&gt;0"))</f>
        <v/>
      </c>
      <c r="AJ7" s="30" t="str">
        <f aca="false">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ustomFormat="false" ht="15" hidden="false" customHeight="false" outlineLevel="0" collapsed="false">
      <c r="B8" s="35"/>
      <c r="F8" s="10"/>
      <c r="G8" s="10"/>
      <c r="H8" s="11"/>
      <c r="I8" s="10"/>
      <c r="K8" s="30" t="str">
        <f aca="false">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30" t="str">
        <f aca="false">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30" t="str">
        <f aca="false">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30" t="str">
        <f aca="false">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30" t="str">
        <f aca="false">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30" t="str">
        <f aca="false">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30" t="str">
        <f aca="false">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30" t="str">
        <f aca="false">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30" t="str">
        <f aca="false">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30" t="str">
        <f aca="false">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30" t="str">
        <f aca="false">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30" t="str">
        <f aca="false">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30" t="str">
        <f aca="false">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30" t="str">
        <f aca="false">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30" t="str">
        <f aca="false">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30" t="str">
        <f aca="false">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30" t="str">
        <f aca="false">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30" t="str">
        <f aca="false">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30" t="str">
        <f aca="false">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30" t="str">
        <f aca="false">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30" t="str">
        <f aca="false">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30" t="str">
        <f aca="false">IF($B8="","",($X8="Y")+($Y8="Y")+($Z8="Y")+($AA8="Y")+($AB8="Y")+($AC8="Y")+(LEN($AD8)&gt;0))</f>
        <v/>
      </c>
      <c r="AG8" s="30" t="str">
        <f aca="false">IF($B8="","",IF(AND($AF8=7,$AE8="Y"),"Y (as answered)","N: check "&amp;IF($X8&lt;&gt;"Y","1 ","")&amp;IF($Y8&lt;&gt;"Y","2 ","")&amp;IF($Z8&lt;&gt;"Y","3 ","")&amp;IF($AA8&lt;&gt;"Y","4 ","")&amp;IF($AB8&lt;&gt;"Y","5 ","")&amp;IF($AC8&lt;&gt;"Y","6 ","")&amp;IF(LEN($AD8)=0,"7 ","")&amp;IF($AE8&lt;&gt;"Y","excluded? ","")))</f>
        <v/>
      </c>
      <c r="AH8" s="30" t="str">
        <f aca="false">IF($A8="","",COUNTIF(campaigns!$C$2:$C$51,$A8))</f>
        <v/>
      </c>
      <c r="AI8" s="30" t="str">
        <f aca="false">IF(OR($A8="",SUMIFS(campaigns!$H$2:$H$51,campaigns!$C$2:$C$51,$A8,campaigns!$D$2:$D$51,"founding",campaigns!$E$2:$E$51,"&lt;&gt;Y")=0),"",COUNTIFS(campaigns!$D$2:$D$51,"founding",campaigns!$E$2:$E$51,"&lt;&gt;Y",campaigns!$H$2:$H$51,"&lt;="&amp;SUMIFS(campaigns!$H$2:$H$51,campaigns!$C$2:$C$51,$A8,campaigns!$D$2:$D$51,"founding",campaigns!$E$2:$E$51,"&lt;&gt;Y"),campaigns!$H$2:$H$51,"&gt;0"))</f>
        <v/>
      </c>
      <c r="AJ8" s="30" t="str">
        <f aca="false">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ustomFormat="false" ht="15" hidden="false" customHeight="false" outlineLevel="0" collapsed="false">
      <c r="B9" s="35"/>
      <c r="F9" s="10"/>
      <c r="G9" s="10"/>
      <c r="H9" s="11"/>
      <c r="I9" s="10"/>
      <c r="K9" s="30" t="str">
        <f aca="false">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30" t="str">
        <f aca="false">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30" t="str">
        <f aca="false">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30" t="str">
        <f aca="false">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30" t="str">
        <f aca="false">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30" t="str">
        <f aca="false">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30" t="str">
        <f aca="false">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30" t="str">
        <f aca="false">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30" t="str">
        <f aca="false">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30" t="str">
        <f aca="false">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30" t="str">
        <f aca="false">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30" t="str">
        <f aca="false">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30" t="str">
        <f aca="false">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30" t="str">
        <f aca="false">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30" t="str">
        <f aca="false">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30" t="str">
        <f aca="false">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30" t="str">
        <f aca="false">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30" t="str">
        <f aca="false">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30" t="str">
        <f aca="false">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30" t="str">
        <f aca="false">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30" t="str">
        <f aca="false">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30" t="str">
        <f aca="false">IF($B9="","",($X9="Y")+($Y9="Y")+($Z9="Y")+($AA9="Y")+($AB9="Y")+($AC9="Y")+(LEN($AD9)&gt;0))</f>
        <v/>
      </c>
      <c r="AG9" s="30" t="str">
        <f aca="false">IF($B9="","",IF(AND($AF9=7,$AE9="Y"),"Y (as answered)","N: check "&amp;IF($X9&lt;&gt;"Y","1 ","")&amp;IF($Y9&lt;&gt;"Y","2 ","")&amp;IF($Z9&lt;&gt;"Y","3 ","")&amp;IF($AA9&lt;&gt;"Y","4 ","")&amp;IF($AB9&lt;&gt;"Y","5 ","")&amp;IF($AC9&lt;&gt;"Y","6 ","")&amp;IF(LEN($AD9)=0,"7 ","")&amp;IF($AE9&lt;&gt;"Y","excluded? ","")))</f>
        <v/>
      </c>
      <c r="AH9" s="30" t="str">
        <f aca="false">IF($A9="","",COUNTIF(campaigns!$C$2:$C$51,$A9))</f>
        <v/>
      </c>
      <c r="AI9" s="30" t="str">
        <f aca="false">IF(OR($A9="",SUMIFS(campaigns!$H$2:$H$51,campaigns!$C$2:$C$51,$A9,campaigns!$D$2:$D$51,"founding",campaigns!$E$2:$E$51,"&lt;&gt;Y")=0),"",COUNTIFS(campaigns!$D$2:$D$51,"founding",campaigns!$E$2:$E$51,"&lt;&gt;Y",campaigns!$H$2:$H$51,"&lt;="&amp;SUMIFS(campaigns!$H$2:$H$51,campaigns!$C$2:$C$51,$A9,campaigns!$D$2:$D$51,"founding",campaigns!$E$2:$E$51,"&lt;&gt;Y"),campaigns!$H$2:$H$51,"&gt;0"))</f>
        <v/>
      </c>
      <c r="AJ9" s="30" t="str">
        <f aca="false">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ustomFormat="false" ht="15" hidden="false" customHeight="false" outlineLevel="0" collapsed="false">
      <c r="B10" s="35"/>
      <c r="F10" s="10"/>
      <c r="G10" s="10"/>
      <c r="H10" s="11"/>
      <c r="I10" s="10"/>
      <c r="K10" s="30" t="str">
        <f aca="false">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30" t="str">
        <f aca="false">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30" t="str">
        <f aca="false">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30" t="str">
        <f aca="false">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30" t="str">
        <f aca="false">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30" t="str">
        <f aca="false">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30" t="str">
        <f aca="false">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30" t="str">
        <f aca="false">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30" t="str">
        <f aca="false">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30" t="str">
        <f aca="false">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30" t="str">
        <f aca="false">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30" t="str">
        <f aca="false">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30" t="str">
        <f aca="false">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30" t="str">
        <f aca="false">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30" t="str">
        <f aca="false">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30" t="str">
        <f aca="false">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30" t="str">
        <f aca="false">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30" t="str">
        <f aca="false">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30" t="str">
        <f aca="false">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30" t="str">
        <f aca="false">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30" t="str">
        <f aca="false">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30" t="str">
        <f aca="false">IF($B10="","",($X10="Y")+($Y10="Y")+($Z10="Y")+($AA10="Y")+($AB10="Y")+($AC10="Y")+(LEN($AD10)&gt;0))</f>
        <v/>
      </c>
      <c r="AG10" s="30" t="str">
        <f aca="false">IF($B10="","",IF(AND($AF10=7,$AE10="Y"),"Y (as answered)","N: check "&amp;IF($X10&lt;&gt;"Y","1 ","")&amp;IF($Y10&lt;&gt;"Y","2 ","")&amp;IF($Z10&lt;&gt;"Y","3 ","")&amp;IF($AA10&lt;&gt;"Y","4 ","")&amp;IF($AB10&lt;&gt;"Y","5 ","")&amp;IF($AC10&lt;&gt;"Y","6 ","")&amp;IF(LEN($AD10)=0,"7 ","")&amp;IF($AE10&lt;&gt;"Y","excluded? ","")))</f>
        <v/>
      </c>
      <c r="AH10" s="30" t="str">
        <f aca="false">IF($A10="","",COUNTIF(campaigns!$C$2:$C$51,$A10))</f>
        <v/>
      </c>
      <c r="AI10" s="30" t="str">
        <f aca="false">IF(OR($A10="",SUMIFS(campaigns!$H$2:$H$51,campaigns!$C$2:$C$51,$A10,campaigns!$D$2:$D$51,"founding",campaigns!$E$2:$E$51,"&lt;&gt;Y")=0),"",COUNTIFS(campaigns!$D$2:$D$51,"founding",campaigns!$E$2:$E$51,"&lt;&gt;Y",campaigns!$H$2:$H$51,"&lt;="&amp;SUMIFS(campaigns!$H$2:$H$51,campaigns!$C$2:$C$51,$A10,campaigns!$D$2:$D$51,"founding",campaigns!$E$2:$E$51,"&lt;&gt;Y"),campaigns!$H$2:$H$51,"&gt;0"))</f>
        <v/>
      </c>
      <c r="AJ10" s="30" t="str">
        <f aca="false">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ustomFormat="false" ht="15" hidden="false" customHeight="false" outlineLevel="0" collapsed="false">
      <c r="B11" s="35"/>
      <c r="F11" s="10"/>
      <c r="G11" s="10"/>
      <c r="H11" s="11"/>
      <c r="I11" s="10"/>
      <c r="K11" s="30" t="str">
        <f aca="false">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30" t="str">
        <f aca="false">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30" t="str">
        <f aca="false">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30" t="str">
        <f aca="false">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30" t="str">
        <f aca="false">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30" t="str">
        <f aca="false">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30" t="str">
        <f aca="false">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30" t="str">
        <f aca="false">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30" t="str">
        <f aca="false">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30" t="str">
        <f aca="false">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30" t="str">
        <f aca="false">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30" t="str">
        <f aca="false">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30" t="str">
        <f aca="false">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30" t="str">
        <f aca="false">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30" t="str">
        <f aca="false">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30" t="str">
        <f aca="false">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30" t="str">
        <f aca="false">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30" t="str">
        <f aca="false">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30" t="str">
        <f aca="false">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30" t="str">
        <f aca="false">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30" t="str">
        <f aca="false">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30" t="str">
        <f aca="false">IF($B11="","",($X11="Y")+($Y11="Y")+($Z11="Y")+($AA11="Y")+($AB11="Y")+($AC11="Y")+(LEN($AD11)&gt;0))</f>
        <v/>
      </c>
      <c r="AG11" s="30" t="str">
        <f aca="false">IF($B11="","",IF(AND($AF11=7,$AE11="Y"),"Y (as answered)","N: check "&amp;IF($X11&lt;&gt;"Y","1 ","")&amp;IF($Y11&lt;&gt;"Y","2 ","")&amp;IF($Z11&lt;&gt;"Y","3 ","")&amp;IF($AA11&lt;&gt;"Y","4 ","")&amp;IF($AB11&lt;&gt;"Y","5 ","")&amp;IF($AC11&lt;&gt;"Y","6 ","")&amp;IF(LEN($AD11)=0,"7 ","")&amp;IF($AE11&lt;&gt;"Y","excluded? ","")))</f>
        <v/>
      </c>
      <c r="AH11" s="30" t="str">
        <f aca="false">IF($A11="","",COUNTIF(campaigns!$C$2:$C$51,$A11))</f>
        <v/>
      </c>
      <c r="AI11" s="30" t="str">
        <f aca="false">IF(OR($A11="",SUMIFS(campaigns!$H$2:$H$51,campaigns!$C$2:$C$51,$A11,campaigns!$D$2:$D$51,"founding",campaigns!$E$2:$E$51,"&lt;&gt;Y")=0),"",COUNTIFS(campaigns!$D$2:$D$51,"founding",campaigns!$E$2:$E$51,"&lt;&gt;Y",campaigns!$H$2:$H$51,"&lt;="&amp;SUMIFS(campaigns!$H$2:$H$51,campaigns!$C$2:$C$51,$A11,campaigns!$D$2:$D$51,"founding",campaigns!$E$2:$E$51,"&lt;&gt;Y"),campaigns!$H$2:$H$51,"&gt;0"))</f>
        <v/>
      </c>
      <c r="AJ11" s="30" t="str">
        <f aca="false">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ustomFormat="false" ht="15" hidden="false" customHeight="false" outlineLevel="0" collapsed="false">
      <c r="B12" s="35"/>
      <c r="F12" s="10"/>
      <c r="G12" s="10"/>
      <c r="H12" s="11"/>
      <c r="I12" s="10"/>
      <c r="K12" s="30" t="str">
        <f aca="false">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30" t="str">
        <f aca="false">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30" t="str">
        <f aca="false">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30" t="str">
        <f aca="false">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30" t="str">
        <f aca="false">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30" t="str">
        <f aca="false">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30" t="str">
        <f aca="false">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30" t="str">
        <f aca="false">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30" t="str">
        <f aca="false">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30" t="str">
        <f aca="false">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30" t="str">
        <f aca="false">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30" t="str">
        <f aca="false">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30" t="str">
        <f aca="false">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30" t="str">
        <f aca="false">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30" t="str">
        <f aca="false">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30" t="str">
        <f aca="false">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30" t="str">
        <f aca="false">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30" t="str">
        <f aca="false">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30" t="str">
        <f aca="false">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30" t="str">
        <f aca="false">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30" t="str">
        <f aca="false">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30" t="str">
        <f aca="false">IF($B12="","",($X12="Y")+($Y12="Y")+($Z12="Y")+($AA12="Y")+($AB12="Y")+($AC12="Y")+(LEN($AD12)&gt;0))</f>
        <v/>
      </c>
      <c r="AG12" s="30" t="str">
        <f aca="false">IF($B12="","",IF(AND($AF12=7,$AE12="Y"),"Y (as answered)","N: check "&amp;IF($X12&lt;&gt;"Y","1 ","")&amp;IF($Y12&lt;&gt;"Y","2 ","")&amp;IF($Z12&lt;&gt;"Y","3 ","")&amp;IF($AA12&lt;&gt;"Y","4 ","")&amp;IF($AB12&lt;&gt;"Y","5 ","")&amp;IF($AC12&lt;&gt;"Y","6 ","")&amp;IF(LEN($AD12)=0,"7 ","")&amp;IF($AE12&lt;&gt;"Y","excluded? ","")))</f>
        <v/>
      </c>
      <c r="AH12" s="30" t="str">
        <f aca="false">IF($A12="","",COUNTIF(campaigns!$C$2:$C$51,$A12))</f>
        <v/>
      </c>
      <c r="AI12" s="30" t="str">
        <f aca="false">IF(OR($A12="",SUMIFS(campaigns!$H$2:$H$51,campaigns!$C$2:$C$51,$A12,campaigns!$D$2:$D$51,"founding",campaigns!$E$2:$E$51,"&lt;&gt;Y")=0),"",COUNTIFS(campaigns!$D$2:$D$51,"founding",campaigns!$E$2:$E$51,"&lt;&gt;Y",campaigns!$H$2:$H$51,"&lt;="&amp;SUMIFS(campaigns!$H$2:$H$51,campaigns!$C$2:$C$51,$A12,campaigns!$D$2:$D$51,"founding",campaigns!$E$2:$E$51,"&lt;&gt;Y"),campaigns!$H$2:$H$51,"&gt;0"))</f>
        <v/>
      </c>
      <c r="AJ12" s="30" t="str">
        <f aca="false">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ustomFormat="false" ht="15" hidden="false" customHeight="false" outlineLevel="0" collapsed="false">
      <c r="B13" s="35"/>
      <c r="F13" s="10"/>
      <c r="G13" s="10"/>
      <c r="H13" s="11"/>
      <c r="I13" s="10"/>
      <c r="K13" s="30" t="str">
        <f aca="false">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30" t="str">
        <f aca="false">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30" t="str">
        <f aca="false">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30" t="str">
        <f aca="false">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30" t="str">
        <f aca="false">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30" t="str">
        <f aca="false">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30" t="str">
        <f aca="false">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30" t="str">
        <f aca="false">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30" t="str">
        <f aca="false">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30" t="str">
        <f aca="false">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30" t="str">
        <f aca="false">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30" t="str">
        <f aca="false">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30" t="str">
        <f aca="false">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30" t="str">
        <f aca="false">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30" t="str">
        <f aca="false">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30" t="str">
        <f aca="false">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30" t="str">
        <f aca="false">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30" t="str">
        <f aca="false">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30" t="str">
        <f aca="false">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30" t="str">
        <f aca="false">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30" t="str">
        <f aca="false">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30" t="str">
        <f aca="false">IF($B13="","",($X13="Y")+($Y13="Y")+($Z13="Y")+($AA13="Y")+($AB13="Y")+($AC13="Y")+(LEN($AD13)&gt;0))</f>
        <v/>
      </c>
      <c r="AG13" s="30" t="str">
        <f aca="false">IF($B13="","",IF(AND($AF13=7,$AE13="Y"),"Y (as answered)","N: check "&amp;IF($X13&lt;&gt;"Y","1 ","")&amp;IF($Y13&lt;&gt;"Y","2 ","")&amp;IF($Z13&lt;&gt;"Y","3 ","")&amp;IF($AA13&lt;&gt;"Y","4 ","")&amp;IF($AB13&lt;&gt;"Y","5 ","")&amp;IF($AC13&lt;&gt;"Y","6 ","")&amp;IF(LEN($AD13)=0,"7 ","")&amp;IF($AE13&lt;&gt;"Y","excluded? ","")))</f>
        <v/>
      </c>
      <c r="AH13" s="30" t="str">
        <f aca="false">IF($A13="","",COUNTIF(campaigns!$C$2:$C$51,$A13))</f>
        <v/>
      </c>
      <c r="AI13" s="30" t="str">
        <f aca="false">IF(OR($A13="",SUMIFS(campaigns!$H$2:$H$51,campaigns!$C$2:$C$51,$A13,campaigns!$D$2:$D$51,"founding",campaigns!$E$2:$E$51,"&lt;&gt;Y")=0),"",COUNTIFS(campaigns!$D$2:$D$51,"founding",campaigns!$E$2:$E$51,"&lt;&gt;Y",campaigns!$H$2:$H$51,"&lt;="&amp;SUMIFS(campaigns!$H$2:$H$51,campaigns!$C$2:$C$51,$A13,campaigns!$D$2:$D$51,"founding",campaigns!$E$2:$E$51,"&lt;&gt;Y"),campaigns!$H$2:$H$51,"&gt;0"))</f>
        <v/>
      </c>
      <c r="AJ13" s="30" t="str">
        <f aca="false">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ustomFormat="false" ht="15" hidden="false" customHeight="false" outlineLevel="0" collapsed="false">
      <c r="B14" s="35"/>
      <c r="F14" s="10"/>
      <c r="G14" s="10"/>
      <c r="H14" s="11"/>
      <c r="I14" s="10"/>
      <c r="K14" s="30" t="str">
        <f aca="false">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30" t="str">
        <f aca="false">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30" t="str">
        <f aca="false">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30" t="str">
        <f aca="false">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30" t="str">
        <f aca="false">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30" t="str">
        <f aca="false">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30" t="str">
        <f aca="false">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30" t="str">
        <f aca="false">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30" t="str">
        <f aca="false">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30" t="str">
        <f aca="false">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30" t="str">
        <f aca="false">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30" t="str">
        <f aca="false">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30" t="str">
        <f aca="false">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30" t="str">
        <f aca="false">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30" t="str">
        <f aca="false">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30" t="str">
        <f aca="false">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30" t="str">
        <f aca="false">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30" t="str">
        <f aca="false">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30" t="str">
        <f aca="false">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30" t="str">
        <f aca="false">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30" t="str">
        <f aca="false">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30" t="str">
        <f aca="false">IF($B14="","",($X14="Y")+($Y14="Y")+($Z14="Y")+($AA14="Y")+($AB14="Y")+($AC14="Y")+(LEN($AD14)&gt;0))</f>
        <v/>
      </c>
      <c r="AG14" s="30" t="str">
        <f aca="false">IF($B14="","",IF(AND($AF14=7,$AE14="Y"),"Y (as answered)","N: check "&amp;IF($X14&lt;&gt;"Y","1 ","")&amp;IF($Y14&lt;&gt;"Y","2 ","")&amp;IF($Z14&lt;&gt;"Y","3 ","")&amp;IF($AA14&lt;&gt;"Y","4 ","")&amp;IF($AB14&lt;&gt;"Y","5 ","")&amp;IF($AC14&lt;&gt;"Y","6 ","")&amp;IF(LEN($AD14)=0,"7 ","")&amp;IF($AE14&lt;&gt;"Y","excluded? ","")))</f>
        <v/>
      </c>
      <c r="AH14" s="30" t="str">
        <f aca="false">IF($A14="","",COUNTIF(campaigns!$C$2:$C$51,$A14))</f>
        <v/>
      </c>
      <c r="AI14" s="30" t="str">
        <f aca="false">IF(OR($A14="",SUMIFS(campaigns!$H$2:$H$51,campaigns!$C$2:$C$51,$A14,campaigns!$D$2:$D$51,"founding",campaigns!$E$2:$E$51,"&lt;&gt;Y")=0),"",COUNTIFS(campaigns!$D$2:$D$51,"founding",campaigns!$E$2:$E$51,"&lt;&gt;Y",campaigns!$H$2:$H$51,"&lt;="&amp;SUMIFS(campaigns!$H$2:$H$51,campaigns!$C$2:$C$51,$A14,campaigns!$D$2:$D$51,"founding",campaigns!$E$2:$E$51,"&lt;&gt;Y"),campaigns!$H$2:$H$51,"&gt;0"))</f>
        <v/>
      </c>
      <c r="AJ14" s="30" t="str">
        <f aca="false">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ustomFormat="false" ht="15" hidden="false" customHeight="false" outlineLevel="0" collapsed="false">
      <c r="B15" s="35"/>
      <c r="F15" s="10"/>
      <c r="G15" s="10"/>
      <c r="H15" s="11"/>
      <c r="I15" s="10"/>
      <c r="K15" s="30" t="str">
        <f aca="false">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30" t="str">
        <f aca="false">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30" t="str">
        <f aca="false">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30" t="str">
        <f aca="false">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30" t="str">
        <f aca="false">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30" t="str">
        <f aca="false">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30" t="str">
        <f aca="false">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30" t="str">
        <f aca="false">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30" t="str">
        <f aca="false">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30" t="str">
        <f aca="false">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30" t="str">
        <f aca="false">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30" t="str">
        <f aca="false">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30" t="str">
        <f aca="false">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30" t="str">
        <f aca="false">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30" t="str">
        <f aca="false">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30" t="str">
        <f aca="false">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30" t="str">
        <f aca="false">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30" t="str">
        <f aca="false">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30" t="str">
        <f aca="false">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30" t="str">
        <f aca="false">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30" t="str">
        <f aca="false">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30" t="str">
        <f aca="false">IF($B15="","",($X15="Y")+($Y15="Y")+($Z15="Y")+($AA15="Y")+($AB15="Y")+($AC15="Y")+(LEN($AD15)&gt;0))</f>
        <v/>
      </c>
      <c r="AG15" s="30" t="str">
        <f aca="false">IF($B15="","",IF(AND($AF15=7,$AE15="Y"),"Y (as answered)","N: check "&amp;IF($X15&lt;&gt;"Y","1 ","")&amp;IF($Y15&lt;&gt;"Y","2 ","")&amp;IF($Z15&lt;&gt;"Y","3 ","")&amp;IF($AA15&lt;&gt;"Y","4 ","")&amp;IF($AB15&lt;&gt;"Y","5 ","")&amp;IF($AC15&lt;&gt;"Y","6 ","")&amp;IF(LEN($AD15)=0,"7 ","")&amp;IF($AE15&lt;&gt;"Y","excluded? ","")))</f>
        <v/>
      </c>
      <c r="AH15" s="30" t="str">
        <f aca="false">IF($A15="","",COUNTIF(campaigns!$C$2:$C$51,$A15))</f>
        <v/>
      </c>
      <c r="AI15" s="30" t="str">
        <f aca="false">IF(OR($A15="",SUMIFS(campaigns!$H$2:$H$51,campaigns!$C$2:$C$51,$A15,campaigns!$D$2:$D$51,"founding",campaigns!$E$2:$E$51,"&lt;&gt;Y")=0),"",COUNTIFS(campaigns!$D$2:$D$51,"founding",campaigns!$E$2:$E$51,"&lt;&gt;Y",campaigns!$H$2:$H$51,"&lt;="&amp;SUMIFS(campaigns!$H$2:$H$51,campaigns!$C$2:$C$51,$A15,campaigns!$D$2:$D$51,"founding",campaigns!$E$2:$E$51,"&lt;&gt;Y"),campaigns!$H$2:$H$51,"&gt;0"))</f>
        <v/>
      </c>
      <c r="AJ15" s="30" t="str">
        <f aca="false">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ustomFormat="false" ht="15" hidden="false" customHeight="false" outlineLevel="0" collapsed="false">
      <c r="B16" s="35"/>
      <c r="F16" s="10"/>
      <c r="G16" s="10"/>
      <c r="H16" s="11"/>
      <c r="I16" s="10"/>
      <c r="K16" s="30" t="str">
        <f aca="false">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30" t="str">
        <f aca="false">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30" t="str">
        <f aca="false">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30" t="str">
        <f aca="false">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30" t="str">
        <f aca="false">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30" t="str">
        <f aca="false">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30" t="str">
        <f aca="false">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30" t="str">
        <f aca="false">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30" t="str">
        <f aca="false">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30" t="str">
        <f aca="false">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30" t="str">
        <f aca="false">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30" t="str">
        <f aca="false">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30" t="str">
        <f aca="false">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30" t="str">
        <f aca="false">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30" t="str">
        <f aca="false">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30" t="str">
        <f aca="false">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30" t="str">
        <f aca="false">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30" t="str">
        <f aca="false">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30" t="str">
        <f aca="false">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30" t="str">
        <f aca="false">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30" t="str">
        <f aca="false">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30" t="str">
        <f aca="false">IF($B16="","",($X16="Y")+($Y16="Y")+($Z16="Y")+($AA16="Y")+($AB16="Y")+($AC16="Y")+(LEN($AD16)&gt;0))</f>
        <v/>
      </c>
      <c r="AG16" s="30" t="str">
        <f aca="false">IF($B16="","",IF(AND($AF16=7,$AE16="Y"),"Y (as answered)","N: check "&amp;IF($X16&lt;&gt;"Y","1 ","")&amp;IF($Y16&lt;&gt;"Y","2 ","")&amp;IF($Z16&lt;&gt;"Y","3 ","")&amp;IF($AA16&lt;&gt;"Y","4 ","")&amp;IF($AB16&lt;&gt;"Y","5 ","")&amp;IF($AC16&lt;&gt;"Y","6 ","")&amp;IF(LEN($AD16)=0,"7 ","")&amp;IF($AE16&lt;&gt;"Y","excluded? ","")))</f>
        <v/>
      </c>
      <c r="AH16" s="30" t="str">
        <f aca="false">IF($A16="","",COUNTIF(campaigns!$C$2:$C$51,$A16))</f>
        <v/>
      </c>
      <c r="AI16" s="30" t="str">
        <f aca="false">IF(OR($A16="",SUMIFS(campaigns!$H$2:$H$51,campaigns!$C$2:$C$51,$A16,campaigns!$D$2:$D$51,"founding",campaigns!$E$2:$E$51,"&lt;&gt;Y")=0),"",COUNTIFS(campaigns!$D$2:$D$51,"founding",campaigns!$E$2:$E$51,"&lt;&gt;Y",campaigns!$H$2:$H$51,"&lt;="&amp;SUMIFS(campaigns!$H$2:$H$51,campaigns!$C$2:$C$51,$A16,campaigns!$D$2:$D$51,"founding",campaigns!$E$2:$E$51,"&lt;&gt;Y"),campaigns!$H$2:$H$51,"&gt;0"))</f>
        <v/>
      </c>
      <c r="AJ16" s="30" t="str">
        <f aca="false">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ustomFormat="false" ht="15" hidden="false" customHeight="false" outlineLevel="0" collapsed="false">
      <c r="B17" s="35"/>
      <c r="F17" s="10"/>
      <c r="G17" s="10"/>
      <c r="H17" s="11"/>
      <c r="I17" s="10"/>
      <c r="K17" s="30" t="str">
        <f aca="false">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30" t="str">
        <f aca="false">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30" t="str">
        <f aca="false">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30" t="str">
        <f aca="false">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30" t="str">
        <f aca="false">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30" t="str">
        <f aca="false">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30" t="str">
        <f aca="false">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30" t="str">
        <f aca="false">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30" t="str">
        <f aca="false">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30" t="str">
        <f aca="false">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30" t="str">
        <f aca="false">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30" t="str">
        <f aca="false">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30" t="str">
        <f aca="false">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30" t="str">
        <f aca="false">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30" t="str">
        <f aca="false">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30" t="str">
        <f aca="false">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30" t="str">
        <f aca="false">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30" t="str">
        <f aca="false">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30" t="str">
        <f aca="false">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30" t="str">
        <f aca="false">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30" t="str">
        <f aca="false">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30" t="str">
        <f aca="false">IF($B17="","",($X17="Y")+($Y17="Y")+($Z17="Y")+($AA17="Y")+($AB17="Y")+($AC17="Y")+(LEN($AD17)&gt;0))</f>
        <v/>
      </c>
      <c r="AG17" s="30" t="str">
        <f aca="false">IF($B17="","",IF(AND($AF17=7,$AE17="Y"),"Y (as answered)","N: check "&amp;IF($X17&lt;&gt;"Y","1 ","")&amp;IF($Y17&lt;&gt;"Y","2 ","")&amp;IF($Z17&lt;&gt;"Y","3 ","")&amp;IF($AA17&lt;&gt;"Y","4 ","")&amp;IF($AB17&lt;&gt;"Y","5 ","")&amp;IF($AC17&lt;&gt;"Y","6 ","")&amp;IF(LEN($AD17)=0,"7 ","")&amp;IF($AE17&lt;&gt;"Y","excluded? ","")))</f>
        <v/>
      </c>
      <c r="AH17" s="30" t="str">
        <f aca="false">IF($A17="","",COUNTIF(campaigns!$C$2:$C$51,$A17))</f>
        <v/>
      </c>
      <c r="AI17" s="30" t="str">
        <f aca="false">IF(OR($A17="",SUMIFS(campaigns!$H$2:$H$51,campaigns!$C$2:$C$51,$A17,campaigns!$D$2:$D$51,"founding",campaigns!$E$2:$E$51,"&lt;&gt;Y")=0),"",COUNTIFS(campaigns!$D$2:$D$51,"founding",campaigns!$E$2:$E$51,"&lt;&gt;Y",campaigns!$H$2:$H$51,"&lt;="&amp;SUMIFS(campaigns!$H$2:$H$51,campaigns!$C$2:$C$51,$A17,campaigns!$D$2:$D$51,"founding",campaigns!$E$2:$E$51,"&lt;&gt;Y"),campaigns!$H$2:$H$51,"&gt;0"))</f>
        <v/>
      </c>
      <c r="AJ17" s="30" t="str">
        <f aca="false">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ustomFormat="false" ht="15" hidden="false" customHeight="false" outlineLevel="0" collapsed="false">
      <c r="B18" s="35"/>
      <c r="F18" s="10"/>
      <c r="G18" s="10"/>
      <c r="H18" s="11"/>
      <c r="I18" s="10"/>
      <c r="K18" s="30" t="str">
        <f aca="false">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30" t="str">
        <f aca="false">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30" t="str">
        <f aca="false">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30" t="str">
        <f aca="false">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30" t="str">
        <f aca="false">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30" t="str">
        <f aca="false">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30" t="str">
        <f aca="false">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30" t="str">
        <f aca="false">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30" t="str">
        <f aca="false">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30" t="str">
        <f aca="false">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30" t="str">
        <f aca="false">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30" t="str">
        <f aca="false">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30" t="str">
        <f aca="false">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30" t="str">
        <f aca="false">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30" t="str">
        <f aca="false">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30" t="str">
        <f aca="false">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30" t="str">
        <f aca="false">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30" t="str">
        <f aca="false">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30" t="str">
        <f aca="false">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30" t="str">
        <f aca="false">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30" t="str">
        <f aca="false">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30" t="str">
        <f aca="false">IF($B18="","",($X18="Y")+($Y18="Y")+($Z18="Y")+($AA18="Y")+($AB18="Y")+($AC18="Y")+(LEN($AD18)&gt;0))</f>
        <v/>
      </c>
      <c r="AG18" s="30" t="str">
        <f aca="false">IF($B18="","",IF(AND($AF18=7,$AE18="Y"),"Y (as answered)","N: check "&amp;IF($X18&lt;&gt;"Y","1 ","")&amp;IF($Y18&lt;&gt;"Y","2 ","")&amp;IF($Z18&lt;&gt;"Y","3 ","")&amp;IF($AA18&lt;&gt;"Y","4 ","")&amp;IF($AB18&lt;&gt;"Y","5 ","")&amp;IF($AC18&lt;&gt;"Y","6 ","")&amp;IF(LEN($AD18)=0,"7 ","")&amp;IF($AE18&lt;&gt;"Y","excluded? ","")))</f>
        <v/>
      </c>
      <c r="AH18" s="30" t="str">
        <f aca="false">IF($A18="","",COUNTIF(campaigns!$C$2:$C$51,$A18))</f>
        <v/>
      </c>
      <c r="AI18" s="30" t="str">
        <f aca="false">IF(OR($A18="",SUMIFS(campaigns!$H$2:$H$51,campaigns!$C$2:$C$51,$A18,campaigns!$D$2:$D$51,"founding",campaigns!$E$2:$E$51,"&lt;&gt;Y")=0),"",COUNTIFS(campaigns!$D$2:$D$51,"founding",campaigns!$E$2:$E$51,"&lt;&gt;Y",campaigns!$H$2:$H$51,"&lt;="&amp;SUMIFS(campaigns!$H$2:$H$51,campaigns!$C$2:$C$51,$A18,campaigns!$D$2:$D$51,"founding",campaigns!$E$2:$E$51,"&lt;&gt;Y"),campaigns!$H$2:$H$51,"&gt;0"))</f>
        <v/>
      </c>
      <c r="AJ18" s="30" t="str">
        <f aca="false">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ustomFormat="false" ht="15" hidden="false" customHeight="false" outlineLevel="0" collapsed="false">
      <c r="B19" s="35"/>
      <c r="F19" s="10"/>
      <c r="G19" s="10"/>
      <c r="H19" s="11"/>
      <c r="I19" s="10"/>
      <c r="K19" s="30" t="str">
        <f aca="false">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30" t="str">
        <f aca="false">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30" t="str">
        <f aca="false">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30" t="str">
        <f aca="false">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30" t="str">
        <f aca="false">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30" t="str">
        <f aca="false">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30" t="str">
        <f aca="false">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30" t="str">
        <f aca="false">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30" t="str">
        <f aca="false">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30" t="str">
        <f aca="false">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30" t="str">
        <f aca="false">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30" t="str">
        <f aca="false">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30" t="str">
        <f aca="false">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30" t="str">
        <f aca="false">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30" t="str">
        <f aca="false">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30" t="str">
        <f aca="false">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30" t="str">
        <f aca="false">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30" t="str">
        <f aca="false">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30" t="str">
        <f aca="false">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30" t="str">
        <f aca="false">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30" t="str">
        <f aca="false">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30" t="str">
        <f aca="false">IF($B19="","",($X19="Y")+($Y19="Y")+($Z19="Y")+($AA19="Y")+($AB19="Y")+($AC19="Y")+(LEN($AD19)&gt;0))</f>
        <v/>
      </c>
      <c r="AG19" s="30" t="str">
        <f aca="false">IF($B19="","",IF(AND($AF19=7,$AE19="Y"),"Y (as answered)","N: check "&amp;IF($X19&lt;&gt;"Y","1 ","")&amp;IF($Y19&lt;&gt;"Y","2 ","")&amp;IF($Z19&lt;&gt;"Y","3 ","")&amp;IF($AA19&lt;&gt;"Y","4 ","")&amp;IF($AB19&lt;&gt;"Y","5 ","")&amp;IF($AC19&lt;&gt;"Y","6 ","")&amp;IF(LEN($AD19)=0,"7 ","")&amp;IF($AE19&lt;&gt;"Y","excluded? ","")))</f>
        <v/>
      </c>
      <c r="AH19" s="30" t="str">
        <f aca="false">IF($A19="","",COUNTIF(campaigns!$C$2:$C$51,$A19))</f>
        <v/>
      </c>
      <c r="AI19" s="30" t="str">
        <f aca="false">IF(OR($A19="",SUMIFS(campaigns!$H$2:$H$51,campaigns!$C$2:$C$51,$A19,campaigns!$D$2:$D$51,"founding",campaigns!$E$2:$E$51,"&lt;&gt;Y")=0),"",COUNTIFS(campaigns!$D$2:$D$51,"founding",campaigns!$E$2:$E$51,"&lt;&gt;Y",campaigns!$H$2:$H$51,"&lt;="&amp;SUMIFS(campaigns!$H$2:$H$51,campaigns!$C$2:$C$51,$A19,campaigns!$D$2:$D$51,"founding",campaigns!$E$2:$E$51,"&lt;&gt;Y"),campaigns!$H$2:$H$51,"&gt;0"))</f>
        <v/>
      </c>
      <c r="AJ19" s="30" t="str">
        <f aca="false">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ustomFormat="false" ht="15" hidden="false" customHeight="false" outlineLevel="0" collapsed="false">
      <c r="B20" s="35"/>
      <c r="F20" s="10"/>
      <c r="G20" s="10"/>
      <c r="H20" s="11"/>
      <c r="I20" s="10"/>
      <c r="K20" s="30" t="str">
        <f aca="false">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30" t="str">
        <f aca="false">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30" t="str">
        <f aca="false">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30" t="str">
        <f aca="false">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30" t="str">
        <f aca="false">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30" t="str">
        <f aca="false">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30" t="str">
        <f aca="false">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30" t="str">
        <f aca="false">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30" t="str">
        <f aca="false">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30" t="str">
        <f aca="false">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30" t="str">
        <f aca="false">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30" t="str">
        <f aca="false">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30" t="str">
        <f aca="false">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30" t="str">
        <f aca="false">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30" t="str">
        <f aca="false">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30" t="str">
        <f aca="false">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30" t="str">
        <f aca="false">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30" t="str">
        <f aca="false">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30" t="str">
        <f aca="false">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30" t="str">
        <f aca="false">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30" t="str">
        <f aca="false">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30" t="str">
        <f aca="false">IF($B20="","",($X20="Y")+($Y20="Y")+($Z20="Y")+($AA20="Y")+($AB20="Y")+($AC20="Y")+(LEN($AD20)&gt;0))</f>
        <v/>
      </c>
      <c r="AG20" s="30" t="str">
        <f aca="false">IF($B20="","",IF(AND($AF20=7,$AE20="Y"),"Y (as answered)","N: check "&amp;IF($X20&lt;&gt;"Y","1 ","")&amp;IF($Y20&lt;&gt;"Y","2 ","")&amp;IF($Z20&lt;&gt;"Y","3 ","")&amp;IF($AA20&lt;&gt;"Y","4 ","")&amp;IF($AB20&lt;&gt;"Y","5 ","")&amp;IF($AC20&lt;&gt;"Y","6 ","")&amp;IF(LEN($AD20)=0,"7 ","")&amp;IF($AE20&lt;&gt;"Y","excluded? ","")))</f>
        <v/>
      </c>
      <c r="AH20" s="30" t="str">
        <f aca="false">IF($A20="","",COUNTIF(campaigns!$C$2:$C$51,$A20))</f>
        <v/>
      </c>
      <c r="AI20" s="30" t="str">
        <f aca="false">IF(OR($A20="",SUMIFS(campaigns!$H$2:$H$51,campaigns!$C$2:$C$51,$A20,campaigns!$D$2:$D$51,"founding",campaigns!$E$2:$E$51,"&lt;&gt;Y")=0),"",COUNTIFS(campaigns!$D$2:$D$51,"founding",campaigns!$E$2:$E$51,"&lt;&gt;Y",campaigns!$H$2:$H$51,"&lt;="&amp;SUMIFS(campaigns!$H$2:$H$51,campaigns!$C$2:$C$51,$A20,campaigns!$D$2:$D$51,"founding",campaigns!$E$2:$E$51,"&lt;&gt;Y"),campaigns!$H$2:$H$51,"&gt;0"))</f>
        <v/>
      </c>
      <c r="AJ20" s="30" t="str">
        <f aca="false">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ustomFormat="false" ht="15" hidden="false" customHeight="false" outlineLevel="0" collapsed="false">
      <c r="B21" s="35"/>
      <c r="F21" s="10"/>
      <c r="G21" s="10"/>
      <c r="H21" s="11"/>
      <c r="I21" s="10"/>
      <c r="K21" s="30" t="str">
        <f aca="false">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30" t="str">
        <f aca="false">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30" t="str">
        <f aca="false">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30" t="str">
        <f aca="false">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30" t="str">
        <f aca="false">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30" t="str">
        <f aca="false">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30" t="str">
        <f aca="false">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30" t="str">
        <f aca="false">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30" t="str">
        <f aca="false">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30" t="str">
        <f aca="false">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30" t="str">
        <f aca="false">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30" t="str">
        <f aca="false">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30" t="str">
        <f aca="false">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30" t="str">
        <f aca="false">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30" t="str">
        <f aca="false">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30" t="str">
        <f aca="false">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30" t="str">
        <f aca="false">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30" t="str">
        <f aca="false">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30" t="str">
        <f aca="false">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30" t="str">
        <f aca="false">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30" t="str">
        <f aca="false">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30" t="str">
        <f aca="false">IF($B21="","",($X21="Y")+($Y21="Y")+($Z21="Y")+($AA21="Y")+($AB21="Y")+($AC21="Y")+(LEN($AD21)&gt;0))</f>
        <v/>
      </c>
      <c r="AG21" s="30" t="str">
        <f aca="false">IF($B21="","",IF(AND($AF21=7,$AE21="Y"),"Y (as answered)","N: check "&amp;IF($X21&lt;&gt;"Y","1 ","")&amp;IF($Y21&lt;&gt;"Y","2 ","")&amp;IF($Z21&lt;&gt;"Y","3 ","")&amp;IF($AA21&lt;&gt;"Y","4 ","")&amp;IF($AB21&lt;&gt;"Y","5 ","")&amp;IF($AC21&lt;&gt;"Y","6 ","")&amp;IF(LEN($AD21)=0,"7 ","")&amp;IF($AE21&lt;&gt;"Y","excluded? ","")))</f>
        <v/>
      </c>
      <c r="AH21" s="30" t="str">
        <f aca="false">IF($A21="","",COUNTIF(campaigns!$C$2:$C$51,$A21))</f>
        <v/>
      </c>
      <c r="AI21" s="30" t="str">
        <f aca="false">IF(OR($A21="",SUMIFS(campaigns!$H$2:$H$51,campaigns!$C$2:$C$51,$A21,campaigns!$D$2:$D$51,"founding",campaigns!$E$2:$E$51,"&lt;&gt;Y")=0),"",COUNTIFS(campaigns!$D$2:$D$51,"founding",campaigns!$E$2:$E$51,"&lt;&gt;Y",campaigns!$H$2:$H$51,"&lt;="&amp;SUMIFS(campaigns!$H$2:$H$51,campaigns!$C$2:$C$51,$A21,campaigns!$D$2:$D$51,"founding",campaigns!$E$2:$E$51,"&lt;&gt;Y"),campaigns!$H$2:$H$51,"&gt;0"))</f>
        <v/>
      </c>
      <c r="AJ21" s="30" t="str">
        <f aca="false">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ustomFormat="false" ht="15" hidden="false" customHeight="false" outlineLevel="0" collapsed="false">
      <c r="B22" s="35"/>
      <c r="F22" s="10"/>
      <c r="G22" s="10"/>
      <c r="H22" s="11"/>
      <c r="I22" s="10"/>
      <c r="K22" s="30" t="str">
        <f aca="false">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30" t="str">
        <f aca="false">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30" t="str">
        <f aca="false">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30" t="str">
        <f aca="false">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30" t="str">
        <f aca="false">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30" t="str">
        <f aca="false">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30" t="str">
        <f aca="false">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30" t="str">
        <f aca="false">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30" t="str">
        <f aca="false">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30" t="str">
        <f aca="false">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30" t="str">
        <f aca="false">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30" t="str">
        <f aca="false">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30" t="str">
        <f aca="false">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30" t="str">
        <f aca="false">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30" t="str">
        <f aca="false">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30" t="str">
        <f aca="false">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30" t="str">
        <f aca="false">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30" t="str">
        <f aca="false">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30" t="str">
        <f aca="false">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30" t="str">
        <f aca="false">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30" t="str">
        <f aca="false">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30" t="str">
        <f aca="false">IF($B22="","",($X22="Y")+($Y22="Y")+($Z22="Y")+($AA22="Y")+($AB22="Y")+($AC22="Y")+(LEN($AD22)&gt;0))</f>
        <v/>
      </c>
      <c r="AG22" s="30" t="str">
        <f aca="false">IF($B22="","",IF(AND($AF22=7,$AE22="Y"),"Y (as answered)","N: check "&amp;IF($X22&lt;&gt;"Y","1 ","")&amp;IF($Y22&lt;&gt;"Y","2 ","")&amp;IF($Z22&lt;&gt;"Y","3 ","")&amp;IF($AA22&lt;&gt;"Y","4 ","")&amp;IF($AB22&lt;&gt;"Y","5 ","")&amp;IF($AC22&lt;&gt;"Y","6 ","")&amp;IF(LEN($AD22)=0,"7 ","")&amp;IF($AE22&lt;&gt;"Y","excluded? ","")))</f>
        <v/>
      </c>
      <c r="AH22" s="30" t="str">
        <f aca="false">IF($A22="","",COUNTIF(campaigns!$C$2:$C$51,$A22))</f>
        <v/>
      </c>
      <c r="AI22" s="30" t="str">
        <f aca="false">IF(OR($A22="",SUMIFS(campaigns!$H$2:$H$51,campaigns!$C$2:$C$51,$A22,campaigns!$D$2:$D$51,"founding",campaigns!$E$2:$E$51,"&lt;&gt;Y")=0),"",COUNTIFS(campaigns!$D$2:$D$51,"founding",campaigns!$E$2:$E$51,"&lt;&gt;Y",campaigns!$H$2:$H$51,"&lt;="&amp;SUMIFS(campaigns!$H$2:$H$51,campaigns!$C$2:$C$51,$A22,campaigns!$D$2:$D$51,"founding",campaigns!$E$2:$E$51,"&lt;&gt;Y"),campaigns!$H$2:$H$51,"&gt;0"))</f>
        <v/>
      </c>
      <c r="AJ22" s="30" t="str">
        <f aca="false">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ustomFormat="false" ht="15" hidden="false" customHeight="false" outlineLevel="0" collapsed="false">
      <c r="B23" s="35"/>
      <c r="F23" s="10"/>
      <c r="G23" s="10"/>
      <c r="H23" s="11"/>
      <c r="I23" s="10"/>
      <c r="K23" s="30" t="str">
        <f aca="false">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30" t="str">
        <f aca="false">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30" t="str">
        <f aca="false">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30" t="str">
        <f aca="false">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30" t="str">
        <f aca="false">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30" t="str">
        <f aca="false">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30" t="str">
        <f aca="false">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30" t="str">
        <f aca="false">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30" t="str">
        <f aca="false">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30" t="str">
        <f aca="false">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30" t="str">
        <f aca="false">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30" t="str">
        <f aca="false">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30" t="str">
        <f aca="false">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30" t="str">
        <f aca="false">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30" t="str">
        <f aca="false">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30" t="str">
        <f aca="false">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30" t="str">
        <f aca="false">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30" t="str">
        <f aca="false">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30" t="str">
        <f aca="false">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30" t="str">
        <f aca="false">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30" t="str">
        <f aca="false">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30" t="str">
        <f aca="false">IF($B23="","",($X23="Y")+($Y23="Y")+($Z23="Y")+($AA23="Y")+($AB23="Y")+($AC23="Y")+(LEN($AD23)&gt;0))</f>
        <v/>
      </c>
      <c r="AG23" s="30" t="str">
        <f aca="false">IF($B23="","",IF(AND($AF23=7,$AE23="Y"),"Y (as answered)","N: check "&amp;IF($X23&lt;&gt;"Y","1 ","")&amp;IF($Y23&lt;&gt;"Y","2 ","")&amp;IF($Z23&lt;&gt;"Y","3 ","")&amp;IF($AA23&lt;&gt;"Y","4 ","")&amp;IF($AB23&lt;&gt;"Y","5 ","")&amp;IF($AC23&lt;&gt;"Y","6 ","")&amp;IF(LEN($AD23)=0,"7 ","")&amp;IF($AE23&lt;&gt;"Y","excluded? ","")))</f>
        <v/>
      </c>
      <c r="AH23" s="30" t="str">
        <f aca="false">IF($A23="","",COUNTIF(campaigns!$C$2:$C$51,$A23))</f>
        <v/>
      </c>
      <c r="AI23" s="30" t="str">
        <f aca="false">IF(OR($A23="",SUMIFS(campaigns!$H$2:$H$51,campaigns!$C$2:$C$51,$A23,campaigns!$D$2:$D$51,"founding",campaigns!$E$2:$E$51,"&lt;&gt;Y")=0),"",COUNTIFS(campaigns!$D$2:$D$51,"founding",campaigns!$E$2:$E$51,"&lt;&gt;Y",campaigns!$H$2:$H$51,"&lt;="&amp;SUMIFS(campaigns!$H$2:$H$51,campaigns!$C$2:$C$51,$A23,campaigns!$D$2:$D$51,"founding",campaigns!$E$2:$E$51,"&lt;&gt;Y"),campaigns!$H$2:$H$51,"&gt;0"))</f>
        <v/>
      </c>
      <c r="AJ23" s="30" t="str">
        <f aca="false">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ustomFormat="false" ht="15" hidden="false" customHeight="false" outlineLevel="0" collapsed="false">
      <c r="B24" s="35"/>
      <c r="F24" s="10"/>
      <c r="G24" s="10"/>
      <c r="H24" s="11"/>
      <c r="I24" s="10"/>
      <c r="K24" s="30" t="str">
        <f aca="false">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30" t="str">
        <f aca="false">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30" t="str">
        <f aca="false">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30" t="str">
        <f aca="false">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30" t="str">
        <f aca="false">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30" t="str">
        <f aca="false">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30" t="str">
        <f aca="false">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30" t="str">
        <f aca="false">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30" t="str">
        <f aca="false">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30" t="str">
        <f aca="false">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30" t="str">
        <f aca="false">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30" t="str">
        <f aca="false">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30" t="str">
        <f aca="false">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30" t="str">
        <f aca="false">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30" t="str">
        <f aca="false">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30" t="str">
        <f aca="false">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30" t="str">
        <f aca="false">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30" t="str">
        <f aca="false">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30" t="str">
        <f aca="false">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30" t="str">
        <f aca="false">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30" t="str">
        <f aca="false">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30" t="str">
        <f aca="false">IF($B24="","",($X24="Y")+($Y24="Y")+($Z24="Y")+($AA24="Y")+($AB24="Y")+($AC24="Y")+(LEN($AD24)&gt;0))</f>
        <v/>
      </c>
      <c r="AG24" s="30" t="str">
        <f aca="false">IF($B24="","",IF(AND($AF24=7,$AE24="Y"),"Y (as answered)","N: check "&amp;IF($X24&lt;&gt;"Y","1 ","")&amp;IF($Y24&lt;&gt;"Y","2 ","")&amp;IF($Z24&lt;&gt;"Y","3 ","")&amp;IF($AA24&lt;&gt;"Y","4 ","")&amp;IF($AB24&lt;&gt;"Y","5 ","")&amp;IF($AC24&lt;&gt;"Y","6 ","")&amp;IF(LEN($AD24)=0,"7 ","")&amp;IF($AE24&lt;&gt;"Y","excluded? ","")))</f>
        <v/>
      </c>
      <c r="AH24" s="30" t="str">
        <f aca="false">IF($A24="","",COUNTIF(campaigns!$C$2:$C$51,$A24))</f>
        <v/>
      </c>
      <c r="AI24" s="30" t="str">
        <f aca="false">IF(OR($A24="",SUMIFS(campaigns!$H$2:$H$51,campaigns!$C$2:$C$51,$A24,campaigns!$D$2:$D$51,"founding",campaigns!$E$2:$E$51,"&lt;&gt;Y")=0),"",COUNTIFS(campaigns!$D$2:$D$51,"founding",campaigns!$E$2:$E$51,"&lt;&gt;Y",campaigns!$H$2:$H$51,"&lt;="&amp;SUMIFS(campaigns!$H$2:$H$51,campaigns!$C$2:$C$51,$A24,campaigns!$D$2:$D$51,"founding",campaigns!$E$2:$E$51,"&lt;&gt;Y"),campaigns!$H$2:$H$51,"&gt;0"))</f>
        <v/>
      </c>
      <c r="AJ24" s="30" t="str">
        <f aca="false">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ustomFormat="false" ht="15" hidden="false" customHeight="false" outlineLevel="0" collapsed="false">
      <c r="B25" s="35"/>
      <c r="F25" s="10"/>
      <c r="G25" s="10"/>
      <c r="H25" s="11"/>
      <c r="I25" s="10"/>
      <c r="K25" s="30" t="str">
        <f aca="false">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30" t="str">
        <f aca="false">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30" t="str">
        <f aca="false">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30" t="str">
        <f aca="false">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30" t="str">
        <f aca="false">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30" t="str">
        <f aca="false">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30" t="str">
        <f aca="false">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30" t="str">
        <f aca="false">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30" t="str">
        <f aca="false">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30" t="str">
        <f aca="false">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30" t="str">
        <f aca="false">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30" t="str">
        <f aca="false">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30" t="str">
        <f aca="false">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30" t="str">
        <f aca="false">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30" t="str">
        <f aca="false">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30" t="str">
        <f aca="false">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30" t="str">
        <f aca="false">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30" t="str">
        <f aca="false">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30" t="str">
        <f aca="false">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30" t="str">
        <f aca="false">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30" t="str">
        <f aca="false">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30" t="str">
        <f aca="false">IF($B25="","",($X25="Y")+($Y25="Y")+($Z25="Y")+($AA25="Y")+($AB25="Y")+($AC25="Y")+(LEN($AD25)&gt;0))</f>
        <v/>
      </c>
      <c r="AG25" s="30" t="str">
        <f aca="false">IF($B25="","",IF(AND($AF25=7,$AE25="Y"),"Y (as answered)","N: check "&amp;IF($X25&lt;&gt;"Y","1 ","")&amp;IF($Y25&lt;&gt;"Y","2 ","")&amp;IF($Z25&lt;&gt;"Y","3 ","")&amp;IF($AA25&lt;&gt;"Y","4 ","")&amp;IF($AB25&lt;&gt;"Y","5 ","")&amp;IF($AC25&lt;&gt;"Y","6 ","")&amp;IF(LEN($AD25)=0,"7 ","")&amp;IF($AE25&lt;&gt;"Y","excluded? ","")))</f>
        <v/>
      </c>
      <c r="AH25" s="30" t="str">
        <f aca="false">IF($A25="","",COUNTIF(campaigns!$C$2:$C$51,$A25))</f>
        <v/>
      </c>
      <c r="AI25" s="30" t="str">
        <f aca="false">IF(OR($A25="",SUMIFS(campaigns!$H$2:$H$51,campaigns!$C$2:$C$51,$A25,campaigns!$D$2:$D$51,"founding",campaigns!$E$2:$E$51,"&lt;&gt;Y")=0),"",COUNTIFS(campaigns!$D$2:$D$51,"founding",campaigns!$E$2:$E$51,"&lt;&gt;Y",campaigns!$H$2:$H$51,"&lt;="&amp;SUMIFS(campaigns!$H$2:$H$51,campaigns!$C$2:$C$51,$A25,campaigns!$D$2:$D$51,"founding",campaigns!$E$2:$E$51,"&lt;&gt;Y"),campaigns!$H$2:$H$51,"&gt;0"))</f>
        <v/>
      </c>
      <c r="AJ25" s="30" t="str">
        <f aca="false">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ustomFormat="false" ht="15" hidden="false" customHeight="false" outlineLevel="0" collapsed="false">
      <c r="B26" s="35"/>
      <c r="F26" s="10"/>
      <c r="G26" s="10"/>
      <c r="H26" s="11"/>
      <c r="I26" s="10"/>
      <c r="K26" s="30" t="str">
        <f aca="false">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30" t="str">
        <f aca="false">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30" t="str">
        <f aca="false">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30" t="str">
        <f aca="false">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30" t="str">
        <f aca="false">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30" t="str">
        <f aca="false">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30" t="str">
        <f aca="false">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30" t="str">
        <f aca="false">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30" t="str">
        <f aca="false">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30" t="str">
        <f aca="false">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30" t="str">
        <f aca="false">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30" t="str">
        <f aca="false">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30" t="str">
        <f aca="false">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30" t="str">
        <f aca="false">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30" t="str">
        <f aca="false">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30" t="str">
        <f aca="false">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30" t="str">
        <f aca="false">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30" t="str">
        <f aca="false">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30" t="str">
        <f aca="false">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30" t="str">
        <f aca="false">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30" t="str">
        <f aca="false">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30" t="str">
        <f aca="false">IF($B26="","",($X26="Y")+($Y26="Y")+($Z26="Y")+($AA26="Y")+($AB26="Y")+($AC26="Y")+(LEN($AD26)&gt;0))</f>
        <v/>
      </c>
      <c r="AG26" s="30" t="str">
        <f aca="false">IF($B26="","",IF(AND($AF26=7,$AE26="Y"),"Y (as answered)","N: check "&amp;IF($X26&lt;&gt;"Y","1 ","")&amp;IF($Y26&lt;&gt;"Y","2 ","")&amp;IF($Z26&lt;&gt;"Y","3 ","")&amp;IF($AA26&lt;&gt;"Y","4 ","")&amp;IF($AB26&lt;&gt;"Y","5 ","")&amp;IF($AC26&lt;&gt;"Y","6 ","")&amp;IF(LEN($AD26)=0,"7 ","")&amp;IF($AE26&lt;&gt;"Y","excluded? ","")))</f>
        <v/>
      </c>
      <c r="AH26" s="30" t="str">
        <f aca="false">IF($A26="","",COUNTIF(campaigns!$C$2:$C$51,$A26))</f>
        <v/>
      </c>
      <c r="AI26" s="30" t="str">
        <f aca="false">IF(OR($A26="",SUMIFS(campaigns!$H$2:$H$51,campaigns!$C$2:$C$51,$A26,campaigns!$D$2:$D$51,"founding",campaigns!$E$2:$E$51,"&lt;&gt;Y")=0),"",COUNTIFS(campaigns!$D$2:$D$51,"founding",campaigns!$E$2:$E$51,"&lt;&gt;Y",campaigns!$H$2:$H$51,"&lt;="&amp;SUMIFS(campaigns!$H$2:$H$51,campaigns!$C$2:$C$51,$A26,campaigns!$D$2:$D$51,"founding",campaigns!$E$2:$E$51,"&lt;&gt;Y"),campaigns!$H$2:$H$51,"&gt;0"))</f>
        <v/>
      </c>
      <c r="AJ26" s="30" t="str">
        <f aca="false">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ustomFormat="false" ht="15" hidden="false" customHeight="false" outlineLevel="0" collapsed="false">
      <c r="B27" s="35"/>
      <c r="F27" s="10"/>
      <c r="G27" s="10"/>
      <c r="H27" s="11"/>
      <c r="I27" s="10"/>
      <c r="K27" s="30" t="str">
        <f aca="false">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30" t="str">
        <f aca="false">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30" t="str">
        <f aca="false">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30" t="str">
        <f aca="false">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30" t="str">
        <f aca="false">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30" t="str">
        <f aca="false">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30" t="str">
        <f aca="false">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30" t="str">
        <f aca="false">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30" t="str">
        <f aca="false">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30" t="str">
        <f aca="false">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30" t="str">
        <f aca="false">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30" t="str">
        <f aca="false">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30" t="str">
        <f aca="false">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30" t="str">
        <f aca="false">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30" t="str">
        <f aca="false">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30" t="str">
        <f aca="false">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30" t="str">
        <f aca="false">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30" t="str">
        <f aca="false">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30" t="str">
        <f aca="false">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30" t="str">
        <f aca="false">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30" t="str">
        <f aca="false">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30" t="str">
        <f aca="false">IF($B27="","",($X27="Y")+($Y27="Y")+($Z27="Y")+($AA27="Y")+($AB27="Y")+($AC27="Y")+(LEN($AD27)&gt;0))</f>
        <v/>
      </c>
      <c r="AG27" s="30" t="str">
        <f aca="false">IF($B27="","",IF(AND($AF27=7,$AE27="Y"),"Y (as answered)","N: check "&amp;IF($X27&lt;&gt;"Y","1 ","")&amp;IF($Y27&lt;&gt;"Y","2 ","")&amp;IF($Z27&lt;&gt;"Y","3 ","")&amp;IF($AA27&lt;&gt;"Y","4 ","")&amp;IF($AB27&lt;&gt;"Y","5 ","")&amp;IF($AC27&lt;&gt;"Y","6 ","")&amp;IF(LEN($AD27)=0,"7 ","")&amp;IF($AE27&lt;&gt;"Y","excluded? ","")))</f>
        <v/>
      </c>
      <c r="AH27" s="30" t="str">
        <f aca="false">IF($A27="","",COUNTIF(campaigns!$C$2:$C$51,$A27))</f>
        <v/>
      </c>
      <c r="AI27" s="30" t="str">
        <f aca="false">IF(OR($A27="",SUMIFS(campaigns!$H$2:$H$51,campaigns!$C$2:$C$51,$A27,campaigns!$D$2:$D$51,"founding",campaigns!$E$2:$E$51,"&lt;&gt;Y")=0),"",COUNTIFS(campaigns!$D$2:$D$51,"founding",campaigns!$E$2:$E$51,"&lt;&gt;Y",campaigns!$H$2:$H$51,"&lt;="&amp;SUMIFS(campaigns!$H$2:$H$51,campaigns!$C$2:$C$51,$A27,campaigns!$D$2:$D$51,"founding",campaigns!$E$2:$E$51,"&lt;&gt;Y"),campaigns!$H$2:$H$51,"&gt;0"))</f>
        <v/>
      </c>
      <c r="AJ27" s="30" t="str">
        <f aca="false">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ustomFormat="false" ht="15" hidden="false" customHeight="false" outlineLevel="0" collapsed="false">
      <c r="B28" s="35"/>
      <c r="F28" s="10"/>
      <c r="G28" s="10"/>
      <c r="H28" s="11"/>
      <c r="I28" s="10"/>
      <c r="K28" s="30" t="str">
        <f aca="false">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30" t="str">
        <f aca="false">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30" t="str">
        <f aca="false">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30" t="str">
        <f aca="false">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30" t="str">
        <f aca="false">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30" t="str">
        <f aca="false">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30" t="str">
        <f aca="false">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30" t="str">
        <f aca="false">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30" t="str">
        <f aca="false">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30" t="str">
        <f aca="false">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30" t="str">
        <f aca="false">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30" t="str">
        <f aca="false">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30" t="str">
        <f aca="false">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30" t="str">
        <f aca="false">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30" t="str">
        <f aca="false">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30" t="str">
        <f aca="false">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30" t="str">
        <f aca="false">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30" t="str">
        <f aca="false">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30" t="str">
        <f aca="false">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30" t="str">
        <f aca="false">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30" t="str">
        <f aca="false">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30" t="str">
        <f aca="false">IF($B28="","",($X28="Y")+($Y28="Y")+($Z28="Y")+($AA28="Y")+($AB28="Y")+($AC28="Y")+(LEN($AD28)&gt;0))</f>
        <v/>
      </c>
      <c r="AG28" s="30" t="str">
        <f aca="false">IF($B28="","",IF(AND($AF28=7,$AE28="Y"),"Y (as answered)","N: check "&amp;IF($X28&lt;&gt;"Y","1 ","")&amp;IF($Y28&lt;&gt;"Y","2 ","")&amp;IF($Z28&lt;&gt;"Y","3 ","")&amp;IF($AA28&lt;&gt;"Y","4 ","")&amp;IF($AB28&lt;&gt;"Y","5 ","")&amp;IF($AC28&lt;&gt;"Y","6 ","")&amp;IF(LEN($AD28)=0,"7 ","")&amp;IF($AE28&lt;&gt;"Y","excluded? ","")))</f>
        <v/>
      </c>
      <c r="AH28" s="30" t="str">
        <f aca="false">IF($A28="","",COUNTIF(campaigns!$C$2:$C$51,$A28))</f>
        <v/>
      </c>
      <c r="AI28" s="30" t="str">
        <f aca="false">IF(OR($A28="",SUMIFS(campaigns!$H$2:$H$51,campaigns!$C$2:$C$51,$A28,campaigns!$D$2:$D$51,"founding",campaigns!$E$2:$E$51,"&lt;&gt;Y")=0),"",COUNTIFS(campaigns!$D$2:$D$51,"founding",campaigns!$E$2:$E$51,"&lt;&gt;Y",campaigns!$H$2:$H$51,"&lt;="&amp;SUMIFS(campaigns!$H$2:$H$51,campaigns!$C$2:$C$51,$A28,campaigns!$D$2:$D$51,"founding",campaigns!$E$2:$E$51,"&lt;&gt;Y"),campaigns!$H$2:$H$51,"&gt;0"))</f>
        <v/>
      </c>
      <c r="AJ28" s="30" t="str">
        <f aca="false">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ustomFormat="false" ht="15" hidden="false" customHeight="false" outlineLevel="0" collapsed="false">
      <c r="B29" s="35"/>
      <c r="F29" s="10"/>
      <c r="G29" s="10"/>
      <c r="H29" s="11"/>
      <c r="I29" s="10"/>
      <c r="K29" s="30" t="str">
        <f aca="false">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30" t="str">
        <f aca="false">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30" t="str">
        <f aca="false">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30" t="str">
        <f aca="false">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30" t="str">
        <f aca="false">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30" t="str">
        <f aca="false">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30" t="str">
        <f aca="false">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30" t="str">
        <f aca="false">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30" t="str">
        <f aca="false">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30" t="str">
        <f aca="false">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30" t="str">
        <f aca="false">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30" t="str">
        <f aca="false">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30" t="str">
        <f aca="false">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30" t="str">
        <f aca="false">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30" t="str">
        <f aca="false">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30" t="str">
        <f aca="false">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30" t="str">
        <f aca="false">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30" t="str">
        <f aca="false">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30" t="str">
        <f aca="false">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30" t="str">
        <f aca="false">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30" t="str">
        <f aca="false">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30" t="str">
        <f aca="false">IF($B29="","",($X29="Y")+($Y29="Y")+($Z29="Y")+($AA29="Y")+($AB29="Y")+($AC29="Y")+(LEN($AD29)&gt;0))</f>
        <v/>
      </c>
      <c r="AG29" s="30" t="str">
        <f aca="false">IF($B29="","",IF(AND($AF29=7,$AE29="Y"),"Y (as answered)","N: check "&amp;IF($X29&lt;&gt;"Y","1 ","")&amp;IF($Y29&lt;&gt;"Y","2 ","")&amp;IF($Z29&lt;&gt;"Y","3 ","")&amp;IF($AA29&lt;&gt;"Y","4 ","")&amp;IF($AB29&lt;&gt;"Y","5 ","")&amp;IF($AC29&lt;&gt;"Y","6 ","")&amp;IF(LEN($AD29)=0,"7 ","")&amp;IF($AE29&lt;&gt;"Y","excluded? ","")))</f>
        <v/>
      </c>
      <c r="AH29" s="30" t="str">
        <f aca="false">IF($A29="","",COUNTIF(campaigns!$C$2:$C$51,$A29))</f>
        <v/>
      </c>
      <c r="AI29" s="30" t="str">
        <f aca="false">IF(OR($A29="",SUMIFS(campaigns!$H$2:$H$51,campaigns!$C$2:$C$51,$A29,campaigns!$D$2:$D$51,"founding",campaigns!$E$2:$E$51,"&lt;&gt;Y")=0),"",COUNTIFS(campaigns!$D$2:$D$51,"founding",campaigns!$E$2:$E$51,"&lt;&gt;Y",campaigns!$H$2:$H$51,"&lt;="&amp;SUMIFS(campaigns!$H$2:$H$51,campaigns!$C$2:$C$51,$A29,campaigns!$D$2:$D$51,"founding",campaigns!$E$2:$E$51,"&lt;&gt;Y"),campaigns!$H$2:$H$51,"&gt;0"))</f>
        <v/>
      </c>
      <c r="AJ29" s="30" t="str">
        <f aca="false">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ustomFormat="false" ht="15" hidden="false" customHeight="false" outlineLevel="0" collapsed="false">
      <c r="B30" s="35"/>
      <c r="F30" s="10"/>
      <c r="G30" s="10"/>
      <c r="H30" s="11"/>
      <c r="I30" s="10"/>
      <c r="K30" s="30" t="str">
        <f aca="false">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30" t="str">
        <f aca="false">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30" t="str">
        <f aca="false">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30" t="str">
        <f aca="false">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30" t="str">
        <f aca="false">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30" t="str">
        <f aca="false">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30" t="str">
        <f aca="false">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30" t="str">
        <f aca="false">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30" t="str">
        <f aca="false">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30" t="str">
        <f aca="false">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30" t="str">
        <f aca="false">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30" t="str">
        <f aca="false">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30" t="str">
        <f aca="false">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30" t="str">
        <f aca="false">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30" t="str">
        <f aca="false">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30" t="str">
        <f aca="false">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30" t="str">
        <f aca="false">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30" t="str">
        <f aca="false">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30" t="str">
        <f aca="false">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30" t="str">
        <f aca="false">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30" t="str">
        <f aca="false">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30" t="str">
        <f aca="false">IF($B30="","",($X30="Y")+($Y30="Y")+($Z30="Y")+($AA30="Y")+($AB30="Y")+($AC30="Y")+(LEN($AD30)&gt;0))</f>
        <v/>
      </c>
      <c r="AG30" s="30" t="str">
        <f aca="false">IF($B30="","",IF(AND($AF30=7,$AE30="Y"),"Y (as answered)","N: check "&amp;IF($X30&lt;&gt;"Y","1 ","")&amp;IF($Y30&lt;&gt;"Y","2 ","")&amp;IF($Z30&lt;&gt;"Y","3 ","")&amp;IF($AA30&lt;&gt;"Y","4 ","")&amp;IF($AB30&lt;&gt;"Y","5 ","")&amp;IF($AC30&lt;&gt;"Y","6 ","")&amp;IF(LEN($AD30)=0,"7 ","")&amp;IF($AE30&lt;&gt;"Y","excluded? ","")))</f>
        <v/>
      </c>
      <c r="AH30" s="30" t="str">
        <f aca="false">IF($A30="","",COUNTIF(campaigns!$C$2:$C$51,$A30))</f>
        <v/>
      </c>
      <c r="AI30" s="30" t="str">
        <f aca="false">IF(OR($A30="",SUMIFS(campaigns!$H$2:$H$51,campaigns!$C$2:$C$51,$A30,campaigns!$D$2:$D$51,"founding",campaigns!$E$2:$E$51,"&lt;&gt;Y")=0),"",COUNTIFS(campaigns!$D$2:$D$51,"founding",campaigns!$E$2:$E$51,"&lt;&gt;Y",campaigns!$H$2:$H$51,"&lt;="&amp;SUMIFS(campaigns!$H$2:$H$51,campaigns!$C$2:$C$51,$A30,campaigns!$D$2:$D$51,"founding",campaigns!$E$2:$E$51,"&lt;&gt;Y"),campaigns!$H$2:$H$51,"&gt;0"))</f>
        <v/>
      </c>
      <c r="AJ30" s="30" t="str">
        <f aca="false">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ustomFormat="false" ht="15" hidden="false" customHeight="false" outlineLevel="0" collapsed="false">
      <c r="B31" s="35"/>
      <c r="F31" s="10"/>
      <c r="G31" s="10"/>
      <c r="H31" s="11"/>
      <c r="I31" s="10"/>
      <c r="K31" s="30" t="str">
        <f aca="false">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30" t="str">
        <f aca="false">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30" t="str">
        <f aca="false">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30" t="str">
        <f aca="false">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30" t="str">
        <f aca="false">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30" t="str">
        <f aca="false">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30" t="str">
        <f aca="false">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30" t="str">
        <f aca="false">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30" t="str">
        <f aca="false">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30" t="str">
        <f aca="false">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30" t="str">
        <f aca="false">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30" t="str">
        <f aca="false">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30" t="str">
        <f aca="false">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30" t="str">
        <f aca="false">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30" t="str">
        <f aca="false">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30" t="str">
        <f aca="false">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30" t="str">
        <f aca="false">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30" t="str">
        <f aca="false">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30" t="str">
        <f aca="false">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30" t="str">
        <f aca="false">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30" t="str">
        <f aca="false">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30" t="str">
        <f aca="false">IF($B31="","",($X31="Y")+($Y31="Y")+($Z31="Y")+($AA31="Y")+($AB31="Y")+($AC31="Y")+(LEN($AD31)&gt;0))</f>
        <v/>
      </c>
      <c r="AG31" s="30" t="str">
        <f aca="false">IF($B31="","",IF(AND($AF31=7,$AE31="Y"),"Y (as answered)","N: check "&amp;IF($X31&lt;&gt;"Y","1 ","")&amp;IF($Y31&lt;&gt;"Y","2 ","")&amp;IF($Z31&lt;&gt;"Y","3 ","")&amp;IF($AA31&lt;&gt;"Y","4 ","")&amp;IF($AB31&lt;&gt;"Y","5 ","")&amp;IF($AC31&lt;&gt;"Y","6 ","")&amp;IF(LEN($AD31)=0,"7 ","")&amp;IF($AE31&lt;&gt;"Y","excluded? ","")))</f>
        <v/>
      </c>
      <c r="AH31" s="30" t="str">
        <f aca="false">IF($A31="","",COUNTIF(campaigns!$C$2:$C$51,$A31))</f>
        <v/>
      </c>
      <c r="AI31" s="30" t="str">
        <f aca="false">IF(OR($A31="",SUMIFS(campaigns!$H$2:$H$51,campaigns!$C$2:$C$51,$A31,campaigns!$D$2:$D$51,"founding",campaigns!$E$2:$E$51,"&lt;&gt;Y")=0),"",COUNTIFS(campaigns!$D$2:$D$51,"founding",campaigns!$E$2:$E$51,"&lt;&gt;Y",campaigns!$H$2:$H$51,"&lt;="&amp;SUMIFS(campaigns!$H$2:$H$51,campaigns!$C$2:$C$51,$A31,campaigns!$D$2:$D$51,"founding",campaigns!$E$2:$E$51,"&lt;&gt;Y"),campaigns!$H$2:$H$51,"&gt;0"))</f>
        <v/>
      </c>
      <c r="AJ31" s="30" t="str">
        <f aca="false">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ustomFormat="false" ht="15" hidden="false" customHeight="false" outlineLevel="0" collapsed="false">
      <c r="B32" s="35"/>
      <c r="F32" s="10"/>
      <c r="G32" s="10"/>
      <c r="H32" s="11"/>
      <c r="I32" s="10"/>
      <c r="K32" s="30" t="str">
        <f aca="false">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30" t="str">
        <f aca="false">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30" t="str">
        <f aca="false">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30" t="str">
        <f aca="false">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30" t="str">
        <f aca="false">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30" t="str">
        <f aca="false">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30" t="str">
        <f aca="false">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30" t="str">
        <f aca="false">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30" t="str">
        <f aca="false">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30" t="str">
        <f aca="false">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30" t="str">
        <f aca="false">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30" t="str">
        <f aca="false">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30" t="str">
        <f aca="false">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30" t="str">
        <f aca="false">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30" t="str">
        <f aca="false">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30" t="str">
        <f aca="false">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30" t="str">
        <f aca="false">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30" t="str">
        <f aca="false">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30" t="str">
        <f aca="false">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30" t="str">
        <f aca="false">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30" t="str">
        <f aca="false">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30" t="str">
        <f aca="false">IF($B32="","",($X32="Y")+($Y32="Y")+($Z32="Y")+($AA32="Y")+($AB32="Y")+($AC32="Y")+(LEN($AD32)&gt;0))</f>
        <v/>
      </c>
      <c r="AG32" s="30" t="str">
        <f aca="false">IF($B32="","",IF(AND($AF32=7,$AE32="Y"),"Y (as answered)","N: check "&amp;IF($X32&lt;&gt;"Y","1 ","")&amp;IF($Y32&lt;&gt;"Y","2 ","")&amp;IF($Z32&lt;&gt;"Y","3 ","")&amp;IF($AA32&lt;&gt;"Y","4 ","")&amp;IF($AB32&lt;&gt;"Y","5 ","")&amp;IF($AC32&lt;&gt;"Y","6 ","")&amp;IF(LEN($AD32)=0,"7 ","")&amp;IF($AE32&lt;&gt;"Y","excluded? ","")))</f>
        <v/>
      </c>
      <c r="AH32" s="30" t="str">
        <f aca="false">IF($A32="","",COUNTIF(campaigns!$C$2:$C$51,$A32))</f>
        <v/>
      </c>
      <c r="AI32" s="30" t="str">
        <f aca="false">IF(OR($A32="",SUMIFS(campaigns!$H$2:$H$51,campaigns!$C$2:$C$51,$A32,campaigns!$D$2:$D$51,"founding",campaigns!$E$2:$E$51,"&lt;&gt;Y")=0),"",COUNTIFS(campaigns!$D$2:$D$51,"founding",campaigns!$E$2:$E$51,"&lt;&gt;Y",campaigns!$H$2:$H$51,"&lt;="&amp;SUMIFS(campaigns!$H$2:$H$51,campaigns!$C$2:$C$51,$A32,campaigns!$D$2:$D$51,"founding",campaigns!$E$2:$E$51,"&lt;&gt;Y"),campaigns!$H$2:$H$51,"&gt;0"))</f>
        <v/>
      </c>
      <c r="AJ32" s="30" t="str">
        <f aca="false">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ustomFormat="false" ht="15" hidden="false" customHeight="false" outlineLevel="0" collapsed="false">
      <c r="B33" s="35"/>
      <c r="F33" s="10"/>
      <c r="G33" s="10"/>
      <c r="H33" s="11"/>
      <c r="I33" s="10"/>
      <c r="K33" s="30" t="str">
        <f aca="false">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30" t="str">
        <f aca="false">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30" t="str">
        <f aca="false">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30" t="str">
        <f aca="false">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30" t="str">
        <f aca="false">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30" t="str">
        <f aca="false">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30" t="str">
        <f aca="false">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30" t="str">
        <f aca="false">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30" t="str">
        <f aca="false">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30" t="str">
        <f aca="false">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30" t="str">
        <f aca="false">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30" t="str">
        <f aca="false">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30" t="str">
        <f aca="false">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30" t="str">
        <f aca="false">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30" t="str">
        <f aca="false">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30" t="str">
        <f aca="false">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30" t="str">
        <f aca="false">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30" t="str">
        <f aca="false">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30" t="str">
        <f aca="false">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30" t="str">
        <f aca="false">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30" t="str">
        <f aca="false">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30" t="str">
        <f aca="false">IF($B33="","",($X33="Y")+($Y33="Y")+($Z33="Y")+($AA33="Y")+($AB33="Y")+($AC33="Y")+(LEN($AD33)&gt;0))</f>
        <v/>
      </c>
      <c r="AG33" s="30" t="str">
        <f aca="false">IF($B33="","",IF(AND($AF33=7,$AE33="Y"),"Y (as answered)","N: check "&amp;IF($X33&lt;&gt;"Y","1 ","")&amp;IF($Y33&lt;&gt;"Y","2 ","")&amp;IF($Z33&lt;&gt;"Y","3 ","")&amp;IF($AA33&lt;&gt;"Y","4 ","")&amp;IF($AB33&lt;&gt;"Y","5 ","")&amp;IF($AC33&lt;&gt;"Y","6 ","")&amp;IF(LEN($AD33)=0,"7 ","")&amp;IF($AE33&lt;&gt;"Y","excluded? ","")))</f>
        <v/>
      </c>
      <c r="AH33" s="30" t="str">
        <f aca="false">IF($A33="","",COUNTIF(campaigns!$C$2:$C$51,$A33))</f>
        <v/>
      </c>
      <c r="AI33" s="30" t="str">
        <f aca="false">IF(OR($A33="",SUMIFS(campaigns!$H$2:$H$51,campaigns!$C$2:$C$51,$A33,campaigns!$D$2:$D$51,"founding",campaigns!$E$2:$E$51,"&lt;&gt;Y")=0),"",COUNTIFS(campaigns!$D$2:$D$51,"founding",campaigns!$E$2:$E$51,"&lt;&gt;Y",campaigns!$H$2:$H$51,"&lt;="&amp;SUMIFS(campaigns!$H$2:$H$51,campaigns!$C$2:$C$51,$A33,campaigns!$D$2:$D$51,"founding",campaigns!$E$2:$E$51,"&lt;&gt;Y"),campaigns!$H$2:$H$51,"&gt;0"))</f>
        <v/>
      </c>
      <c r="AJ33" s="30" t="str">
        <f aca="false">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ustomFormat="false" ht="15" hidden="false" customHeight="false" outlineLevel="0" collapsed="false">
      <c r="B34" s="35"/>
      <c r="F34" s="10"/>
      <c r="G34" s="10"/>
      <c r="H34" s="11"/>
      <c r="I34" s="10"/>
      <c r="K34" s="30" t="str">
        <f aca="false">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30" t="str">
        <f aca="false">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30" t="str">
        <f aca="false">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30" t="str">
        <f aca="false">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30" t="str">
        <f aca="false">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30" t="str">
        <f aca="false">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30" t="str">
        <f aca="false">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30" t="str">
        <f aca="false">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30" t="str">
        <f aca="false">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30" t="str">
        <f aca="false">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30" t="str">
        <f aca="false">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30" t="str">
        <f aca="false">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30" t="str">
        <f aca="false">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30" t="str">
        <f aca="false">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30" t="str">
        <f aca="false">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30" t="str">
        <f aca="false">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30" t="str">
        <f aca="false">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30" t="str">
        <f aca="false">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30" t="str">
        <f aca="false">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30" t="str">
        <f aca="false">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30" t="str">
        <f aca="false">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30" t="str">
        <f aca="false">IF($B34="","",($X34="Y")+($Y34="Y")+($Z34="Y")+($AA34="Y")+($AB34="Y")+($AC34="Y")+(LEN($AD34)&gt;0))</f>
        <v/>
      </c>
      <c r="AG34" s="30" t="str">
        <f aca="false">IF($B34="","",IF(AND($AF34=7,$AE34="Y"),"Y (as answered)","N: check "&amp;IF($X34&lt;&gt;"Y","1 ","")&amp;IF($Y34&lt;&gt;"Y","2 ","")&amp;IF($Z34&lt;&gt;"Y","3 ","")&amp;IF($AA34&lt;&gt;"Y","4 ","")&amp;IF($AB34&lt;&gt;"Y","5 ","")&amp;IF($AC34&lt;&gt;"Y","6 ","")&amp;IF(LEN($AD34)=0,"7 ","")&amp;IF($AE34&lt;&gt;"Y","excluded? ","")))</f>
        <v/>
      </c>
      <c r="AH34" s="30" t="str">
        <f aca="false">IF($A34="","",COUNTIF(campaigns!$C$2:$C$51,$A34))</f>
        <v/>
      </c>
      <c r="AI34" s="30" t="str">
        <f aca="false">IF(OR($A34="",SUMIFS(campaigns!$H$2:$H$51,campaigns!$C$2:$C$51,$A34,campaigns!$D$2:$D$51,"founding",campaigns!$E$2:$E$51,"&lt;&gt;Y")=0),"",COUNTIFS(campaigns!$D$2:$D$51,"founding",campaigns!$E$2:$E$51,"&lt;&gt;Y",campaigns!$H$2:$H$51,"&lt;="&amp;SUMIFS(campaigns!$H$2:$H$51,campaigns!$C$2:$C$51,$A34,campaigns!$D$2:$D$51,"founding",campaigns!$E$2:$E$51,"&lt;&gt;Y"),campaigns!$H$2:$H$51,"&gt;0"))</f>
        <v/>
      </c>
      <c r="AJ34" s="30" t="str">
        <f aca="false">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ustomFormat="false" ht="15" hidden="false" customHeight="false" outlineLevel="0" collapsed="false">
      <c r="B35" s="35"/>
      <c r="F35" s="10"/>
      <c r="G35" s="10"/>
      <c r="H35" s="11"/>
      <c r="I35" s="10"/>
      <c r="K35" s="30" t="str">
        <f aca="false">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30" t="str">
        <f aca="false">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30" t="str">
        <f aca="false">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30" t="str">
        <f aca="false">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30" t="str">
        <f aca="false">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30" t="str">
        <f aca="false">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30" t="str">
        <f aca="false">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30" t="str">
        <f aca="false">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30" t="str">
        <f aca="false">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30" t="str">
        <f aca="false">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30" t="str">
        <f aca="false">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30" t="str">
        <f aca="false">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30" t="str">
        <f aca="false">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30" t="str">
        <f aca="false">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30" t="str">
        <f aca="false">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30" t="str">
        <f aca="false">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30" t="str">
        <f aca="false">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30" t="str">
        <f aca="false">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30" t="str">
        <f aca="false">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30" t="str">
        <f aca="false">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30" t="str">
        <f aca="false">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30" t="str">
        <f aca="false">IF($B35="","",($X35="Y")+($Y35="Y")+($Z35="Y")+($AA35="Y")+($AB35="Y")+($AC35="Y")+(LEN($AD35)&gt;0))</f>
        <v/>
      </c>
      <c r="AG35" s="30" t="str">
        <f aca="false">IF($B35="","",IF(AND($AF35=7,$AE35="Y"),"Y (as answered)","N: check "&amp;IF($X35&lt;&gt;"Y","1 ","")&amp;IF($Y35&lt;&gt;"Y","2 ","")&amp;IF($Z35&lt;&gt;"Y","3 ","")&amp;IF($AA35&lt;&gt;"Y","4 ","")&amp;IF($AB35&lt;&gt;"Y","5 ","")&amp;IF($AC35&lt;&gt;"Y","6 ","")&amp;IF(LEN($AD35)=0,"7 ","")&amp;IF($AE35&lt;&gt;"Y","excluded? ","")))</f>
        <v/>
      </c>
      <c r="AH35" s="30" t="str">
        <f aca="false">IF($A35="","",COUNTIF(campaigns!$C$2:$C$51,$A35))</f>
        <v/>
      </c>
      <c r="AI35" s="30" t="str">
        <f aca="false">IF(OR($A35="",SUMIFS(campaigns!$H$2:$H$51,campaigns!$C$2:$C$51,$A35,campaigns!$D$2:$D$51,"founding",campaigns!$E$2:$E$51,"&lt;&gt;Y")=0),"",COUNTIFS(campaigns!$D$2:$D$51,"founding",campaigns!$E$2:$E$51,"&lt;&gt;Y",campaigns!$H$2:$H$51,"&lt;="&amp;SUMIFS(campaigns!$H$2:$H$51,campaigns!$C$2:$C$51,$A35,campaigns!$D$2:$D$51,"founding",campaigns!$E$2:$E$51,"&lt;&gt;Y"),campaigns!$H$2:$H$51,"&gt;0"))</f>
        <v/>
      </c>
      <c r="AJ35" s="30" t="str">
        <f aca="false">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ustomFormat="false" ht="15" hidden="false" customHeight="false" outlineLevel="0" collapsed="false">
      <c r="B36" s="35"/>
      <c r="F36" s="10"/>
      <c r="G36" s="10"/>
      <c r="H36" s="11"/>
      <c r="I36" s="10"/>
      <c r="K36" s="30" t="str">
        <f aca="false">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30" t="str">
        <f aca="false">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30" t="str">
        <f aca="false">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30" t="str">
        <f aca="false">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30" t="str">
        <f aca="false">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30" t="str">
        <f aca="false">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30" t="str">
        <f aca="false">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30" t="str">
        <f aca="false">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30" t="str">
        <f aca="false">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30" t="str">
        <f aca="false">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30" t="str">
        <f aca="false">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30" t="str">
        <f aca="false">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30" t="str">
        <f aca="false">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30" t="str">
        <f aca="false">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30" t="str">
        <f aca="false">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30" t="str">
        <f aca="false">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30" t="str">
        <f aca="false">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30" t="str">
        <f aca="false">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30" t="str">
        <f aca="false">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30" t="str">
        <f aca="false">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30" t="str">
        <f aca="false">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30" t="str">
        <f aca="false">IF($B36="","",($X36="Y")+($Y36="Y")+($Z36="Y")+($AA36="Y")+($AB36="Y")+($AC36="Y")+(LEN($AD36)&gt;0))</f>
        <v/>
      </c>
      <c r="AG36" s="30" t="str">
        <f aca="false">IF($B36="","",IF(AND($AF36=7,$AE36="Y"),"Y (as answered)","N: check "&amp;IF($X36&lt;&gt;"Y","1 ","")&amp;IF($Y36&lt;&gt;"Y","2 ","")&amp;IF($Z36&lt;&gt;"Y","3 ","")&amp;IF($AA36&lt;&gt;"Y","4 ","")&amp;IF($AB36&lt;&gt;"Y","5 ","")&amp;IF($AC36&lt;&gt;"Y","6 ","")&amp;IF(LEN($AD36)=0,"7 ","")&amp;IF($AE36&lt;&gt;"Y","excluded? ","")))</f>
        <v/>
      </c>
      <c r="AH36" s="30" t="str">
        <f aca="false">IF($A36="","",COUNTIF(campaigns!$C$2:$C$51,$A36))</f>
        <v/>
      </c>
      <c r="AI36" s="30" t="str">
        <f aca="false">IF(OR($A36="",SUMIFS(campaigns!$H$2:$H$51,campaigns!$C$2:$C$51,$A36,campaigns!$D$2:$D$51,"founding",campaigns!$E$2:$E$51,"&lt;&gt;Y")=0),"",COUNTIFS(campaigns!$D$2:$D$51,"founding",campaigns!$E$2:$E$51,"&lt;&gt;Y",campaigns!$H$2:$H$51,"&lt;="&amp;SUMIFS(campaigns!$H$2:$H$51,campaigns!$C$2:$C$51,$A36,campaigns!$D$2:$D$51,"founding",campaigns!$E$2:$E$51,"&lt;&gt;Y"),campaigns!$H$2:$H$51,"&gt;0"))</f>
        <v/>
      </c>
      <c r="AJ36" s="30" t="str">
        <f aca="false">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ustomFormat="false" ht="15" hidden="false" customHeight="false" outlineLevel="0" collapsed="false">
      <c r="B37" s="35"/>
      <c r="F37" s="10"/>
      <c r="G37" s="10"/>
      <c r="H37" s="11"/>
      <c r="I37" s="10"/>
      <c r="K37" s="30" t="str">
        <f aca="false">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30" t="str">
        <f aca="false">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30" t="str">
        <f aca="false">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30" t="str">
        <f aca="false">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30" t="str">
        <f aca="false">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30" t="str">
        <f aca="false">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30" t="str">
        <f aca="false">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30" t="str">
        <f aca="false">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30" t="str">
        <f aca="false">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30" t="str">
        <f aca="false">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30" t="str">
        <f aca="false">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30" t="str">
        <f aca="false">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30" t="str">
        <f aca="false">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30" t="str">
        <f aca="false">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30" t="str">
        <f aca="false">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30" t="str">
        <f aca="false">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30" t="str">
        <f aca="false">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30" t="str">
        <f aca="false">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30" t="str">
        <f aca="false">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30" t="str">
        <f aca="false">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30" t="str">
        <f aca="false">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30" t="str">
        <f aca="false">IF($B37="","",($X37="Y")+($Y37="Y")+($Z37="Y")+($AA37="Y")+($AB37="Y")+($AC37="Y")+(LEN($AD37)&gt;0))</f>
        <v/>
      </c>
      <c r="AG37" s="30" t="str">
        <f aca="false">IF($B37="","",IF(AND($AF37=7,$AE37="Y"),"Y (as answered)","N: check "&amp;IF($X37&lt;&gt;"Y","1 ","")&amp;IF($Y37&lt;&gt;"Y","2 ","")&amp;IF($Z37&lt;&gt;"Y","3 ","")&amp;IF($AA37&lt;&gt;"Y","4 ","")&amp;IF($AB37&lt;&gt;"Y","5 ","")&amp;IF($AC37&lt;&gt;"Y","6 ","")&amp;IF(LEN($AD37)=0,"7 ","")&amp;IF($AE37&lt;&gt;"Y","excluded? ","")))</f>
        <v/>
      </c>
      <c r="AH37" s="30" t="str">
        <f aca="false">IF($A37="","",COUNTIF(campaigns!$C$2:$C$51,$A37))</f>
        <v/>
      </c>
      <c r="AI37" s="30" t="str">
        <f aca="false">IF(OR($A37="",SUMIFS(campaigns!$H$2:$H$51,campaigns!$C$2:$C$51,$A37,campaigns!$D$2:$D$51,"founding",campaigns!$E$2:$E$51,"&lt;&gt;Y")=0),"",COUNTIFS(campaigns!$D$2:$D$51,"founding",campaigns!$E$2:$E$51,"&lt;&gt;Y",campaigns!$H$2:$H$51,"&lt;="&amp;SUMIFS(campaigns!$H$2:$H$51,campaigns!$C$2:$C$51,$A37,campaigns!$D$2:$D$51,"founding",campaigns!$E$2:$E$51,"&lt;&gt;Y"),campaigns!$H$2:$H$51,"&gt;0"))</f>
        <v/>
      </c>
      <c r="AJ37" s="30" t="str">
        <f aca="false">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ustomFormat="false" ht="15" hidden="false" customHeight="false" outlineLevel="0" collapsed="false">
      <c r="B38" s="35"/>
      <c r="F38" s="10"/>
      <c r="G38" s="10"/>
      <c r="H38" s="11"/>
      <c r="I38" s="10"/>
      <c r="K38" s="30" t="str">
        <f aca="false">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30" t="str">
        <f aca="false">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30" t="str">
        <f aca="false">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30" t="str">
        <f aca="false">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30" t="str">
        <f aca="false">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30" t="str">
        <f aca="false">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30" t="str">
        <f aca="false">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30" t="str">
        <f aca="false">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30" t="str">
        <f aca="false">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30" t="str">
        <f aca="false">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30" t="str">
        <f aca="false">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30" t="str">
        <f aca="false">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30" t="str">
        <f aca="false">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30" t="str">
        <f aca="false">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30" t="str">
        <f aca="false">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30" t="str">
        <f aca="false">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30" t="str">
        <f aca="false">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30" t="str">
        <f aca="false">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30" t="str">
        <f aca="false">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30" t="str">
        <f aca="false">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30" t="str">
        <f aca="false">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30" t="str">
        <f aca="false">IF($B38="","",($X38="Y")+($Y38="Y")+($Z38="Y")+($AA38="Y")+($AB38="Y")+($AC38="Y")+(LEN($AD38)&gt;0))</f>
        <v/>
      </c>
      <c r="AG38" s="30" t="str">
        <f aca="false">IF($B38="","",IF(AND($AF38=7,$AE38="Y"),"Y (as answered)","N: check "&amp;IF($X38&lt;&gt;"Y","1 ","")&amp;IF($Y38&lt;&gt;"Y","2 ","")&amp;IF($Z38&lt;&gt;"Y","3 ","")&amp;IF($AA38&lt;&gt;"Y","4 ","")&amp;IF($AB38&lt;&gt;"Y","5 ","")&amp;IF($AC38&lt;&gt;"Y","6 ","")&amp;IF(LEN($AD38)=0,"7 ","")&amp;IF($AE38&lt;&gt;"Y","excluded? ","")))</f>
        <v/>
      </c>
      <c r="AH38" s="30" t="str">
        <f aca="false">IF($A38="","",COUNTIF(campaigns!$C$2:$C$51,$A38))</f>
        <v/>
      </c>
      <c r="AI38" s="30" t="str">
        <f aca="false">IF(OR($A38="",SUMIFS(campaigns!$H$2:$H$51,campaigns!$C$2:$C$51,$A38,campaigns!$D$2:$D$51,"founding",campaigns!$E$2:$E$51,"&lt;&gt;Y")=0),"",COUNTIFS(campaigns!$D$2:$D$51,"founding",campaigns!$E$2:$E$51,"&lt;&gt;Y",campaigns!$H$2:$H$51,"&lt;="&amp;SUMIFS(campaigns!$H$2:$H$51,campaigns!$C$2:$C$51,$A38,campaigns!$D$2:$D$51,"founding",campaigns!$E$2:$E$51,"&lt;&gt;Y"),campaigns!$H$2:$H$51,"&gt;0"))</f>
        <v/>
      </c>
      <c r="AJ38" s="30" t="str">
        <f aca="false">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ustomFormat="false" ht="15" hidden="false" customHeight="false" outlineLevel="0" collapsed="false">
      <c r="B39" s="35"/>
      <c r="F39" s="10"/>
      <c r="G39" s="10"/>
      <c r="H39" s="11"/>
      <c r="I39" s="10"/>
      <c r="K39" s="30" t="str">
        <f aca="false">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30" t="str">
        <f aca="false">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30" t="str">
        <f aca="false">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30" t="str">
        <f aca="false">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30" t="str">
        <f aca="false">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30" t="str">
        <f aca="false">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30" t="str">
        <f aca="false">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30" t="str">
        <f aca="false">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30" t="str">
        <f aca="false">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30" t="str">
        <f aca="false">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30" t="str">
        <f aca="false">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30" t="str">
        <f aca="false">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30" t="str">
        <f aca="false">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30" t="str">
        <f aca="false">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30" t="str">
        <f aca="false">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30" t="str">
        <f aca="false">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30" t="str">
        <f aca="false">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30" t="str">
        <f aca="false">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30" t="str">
        <f aca="false">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30" t="str">
        <f aca="false">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30" t="str">
        <f aca="false">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30" t="str">
        <f aca="false">IF($B39="","",($X39="Y")+($Y39="Y")+($Z39="Y")+($AA39="Y")+($AB39="Y")+($AC39="Y")+(LEN($AD39)&gt;0))</f>
        <v/>
      </c>
      <c r="AG39" s="30" t="str">
        <f aca="false">IF($B39="","",IF(AND($AF39=7,$AE39="Y"),"Y (as answered)","N: check "&amp;IF($X39&lt;&gt;"Y","1 ","")&amp;IF($Y39&lt;&gt;"Y","2 ","")&amp;IF($Z39&lt;&gt;"Y","3 ","")&amp;IF($AA39&lt;&gt;"Y","4 ","")&amp;IF($AB39&lt;&gt;"Y","5 ","")&amp;IF($AC39&lt;&gt;"Y","6 ","")&amp;IF(LEN($AD39)=0,"7 ","")&amp;IF($AE39&lt;&gt;"Y","excluded? ","")))</f>
        <v/>
      </c>
      <c r="AH39" s="30" t="str">
        <f aca="false">IF($A39="","",COUNTIF(campaigns!$C$2:$C$51,$A39))</f>
        <v/>
      </c>
      <c r="AI39" s="30" t="str">
        <f aca="false">IF(OR($A39="",SUMIFS(campaigns!$H$2:$H$51,campaigns!$C$2:$C$51,$A39,campaigns!$D$2:$D$51,"founding",campaigns!$E$2:$E$51,"&lt;&gt;Y")=0),"",COUNTIFS(campaigns!$D$2:$D$51,"founding",campaigns!$E$2:$E$51,"&lt;&gt;Y",campaigns!$H$2:$H$51,"&lt;="&amp;SUMIFS(campaigns!$H$2:$H$51,campaigns!$C$2:$C$51,$A39,campaigns!$D$2:$D$51,"founding",campaigns!$E$2:$E$51,"&lt;&gt;Y"),campaigns!$H$2:$H$51,"&gt;0"))</f>
        <v/>
      </c>
      <c r="AJ39" s="30" t="str">
        <f aca="false">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ustomFormat="false" ht="15" hidden="false" customHeight="false" outlineLevel="0" collapsed="false">
      <c r="B40" s="35"/>
      <c r="F40" s="10"/>
      <c r="G40" s="10"/>
      <c r="H40" s="11"/>
      <c r="I40" s="10"/>
      <c r="K40" s="30" t="str">
        <f aca="false">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30" t="str">
        <f aca="false">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30" t="str">
        <f aca="false">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30" t="str">
        <f aca="false">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30" t="str">
        <f aca="false">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30" t="str">
        <f aca="false">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30" t="str">
        <f aca="false">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30" t="str">
        <f aca="false">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30" t="str">
        <f aca="false">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30" t="str">
        <f aca="false">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30" t="str">
        <f aca="false">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30" t="str">
        <f aca="false">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30" t="str">
        <f aca="false">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30" t="str">
        <f aca="false">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30" t="str">
        <f aca="false">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30" t="str">
        <f aca="false">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30" t="str">
        <f aca="false">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30" t="str">
        <f aca="false">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30" t="str">
        <f aca="false">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30" t="str">
        <f aca="false">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30" t="str">
        <f aca="false">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30" t="str">
        <f aca="false">IF($B40="","",($X40="Y")+($Y40="Y")+($Z40="Y")+($AA40="Y")+($AB40="Y")+($AC40="Y")+(LEN($AD40)&gt;0))</f>
        <v/>
      </c>
      <c r="AG40" s="30" t="str">
        <f aca="false">IF($B40="","",IF(AND($AF40=7,$AE40="Y"),"Y (as answered)","N: check "&amp;IF($X40&lt;&gt;"Y","1 ","")&amp;IF($Y40&lt;&gt;"Y","2 ","")&amp;IF($Z40&lt;&gt;"Y","3 ","")&amp;IF($AA40&lt;&gt;"Y","4 ","")&amp;IF($AB40&lt;&gt;"Y","5 ","")&amp;IF($AC40&lt;&gt;"Y","6 ","")&amp;IF(LEN($AD40)=0,"7 ","")&amp;IF($AE40&lt;&gt;"Y","excluded? ","")))</f>
        <v/>
      </c>
      <c r="AH40" s="30" t="str">
        <f aca="false">IF($A40="","",COUNTIF(campaigns!$C$2:$C$51,$A40))</f>
        <v/>
      </c>
      <c r="AI40" s="30" t="str">
        <f aca="false">IF(OR($A40="",SUMIFS(campaigns!$H$2:$H$51,campaigns!$C$2:$C$51,$A40,campaigns!$D$2:$D$51,"founding",campaigns!$E$2:$E$51,"&lt;&gt;Y")=0),"",COUNTIFS(campaigns!$D$2:$D$51,"founding",campaigns!$E$2:$E$51,"&lt;&gt;Y",campaigns!$H$2:$H$51,"&lt;="&amp;SUMIFS(campaigns!$H$2:$H$51,campaigns!$C$2:$C$51,$A40,campaigns!$D$2:$D$51,"founding",campaigns!$E$2:$E$51,"&lt;&gt;Y"),campaigns!$H$2:$H$51,"&gt;0"))</f>
        <v/>
      </c>
      <c r="AJ40" s="30" t="str">
        <f aca="false">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ustomFormat="false" ht="15" hidden="false" customHeight="false" outlineLevel="0" collapsed="false">
      <c r="B41" s="35"/>
      <c r="F41" s="10"/>
      <c r="G41" s="10"/>
      <c r="H41" s="11"/>
      <c r="I41" s="10"/>
      <c r="K41" s="30" t="str">
        <f aca="false">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30" t="str">
        <f aca="false">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30" t="str">
        <f aca="false">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30" t="str">
        <f aca="false">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30" t="str">
        <f aca="false">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30" t="str">
        <f aca="false">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30" t="str">
        <f aca="false">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30" t="str">
        <f aca="false">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30" t="str">
        <f aca="false">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30" t="str">
        <f aca="false">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30" t="str">
        <f aca="false">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30" t="str">
        <f aca="false">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30" t="str">
        <f aca="false">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30" t="str">
        <f aca="false">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30" t="str">
        <f aca="false">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30" t="str">
        <f aca="false">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30" t="str">
        <f aca="false">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30" t="str">
        <f aca="false">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30" t="str">
        <f aca="false">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30" t="str">
        <f aca="false">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30" t="str">
        <f aca="false">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30" t="str">
        <f aca="false">IF($B41="","",($X41="Y")+($Y41="Y")+($Z41="Y")+($AA41="Y")+($AB41="Y")+($AC41="Y")+(LEN($AD41)&gt;0))</f>
        <v/>
      </c>
      <c r="AG41" s="30" t="str">
        <f aca="false">IF($B41="","",IF(AND($AF41=7,$AE41="Y"),"Y (as answered)","N: check "&amp;IF($X41&lt;&gt;"Y","1 ","")&amp;IF($Y41&lt;&gt;"Y","2 ","")&amp;IF($Z41&lt;&gt;"Y","3 ","")&amp;IF($AA41&lt;&gt;"Y","4 ","")&amp;IF($AB41&lt;&gt;"Y","5 ","")&amp;IF($AC41&lt;&gt;"Y","6 ","")&amp;IF(LEN($AD41)=0,"7 ","")&amp;IF($AE41&lt;&gt;"Y","excluded? ","")))</f>
        <v/>
      </c>
      <c r="AH41" s="30" t="str">
        <f aca="false">IF($A41="","",COUNTIF(campaigns!$C$2:$C$51,$A41))</f>
        <v/>
      </c>
      <c r="AI41" s="30" t="str">
        <f aca="false">IF(OR($A41="",SUMIFS(campaigns!$H$2:$H$51,campaigns!$C$2:$C$51,$A41,campaigns!$D$2:$D$51,"founding",campaigns!$E$2:$E$51,"&lt;&gt;Y")=0),"",COUNTIFS(campaigns!$D$2:$D$51,"founding",campaigns!$E$2:$E$51,"&lt;&gt;Y",campaigns!$H$2:$H$51,"&lt;="&amp;SUMIFS(campaigns!$H$2:$H$51,campaigns!$C$2:$C$51,$A41,campaigns!$D$2:$D$51,"founding",campaigns!$E$2:$E$51,"&lt;&gt;Y"),campaigns!$H$2:$H$51,"&gt;0"))</f>
        <v/>
      </c>
      <c r="AJ41" s="30" t="str">
        <f aca="false">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allowBlank="true" error="Pick a value from the list." errorStyle="stop" errorTitle="Not on the list" operator="between" showDropDown="false" showErrorMessage="true" showInputMessage="false" sqref="F2:F41" type="list">
      <formula1>"seen_on_shelf,store_selector,brand_claim,unverified"</formula1>
      <formula2>0</formula2>
    </dataValidation>
    <dataValidation allowBlank="true" error="Pick a value from the list." errorStyle="stop" errorTitle="Not on the list" operator="between" showDropDown="false" showErrorMessage="true" showInputMessage="false" sqref="G2:G41" type="list">
      <formula1>"Y,N"</formula1>
      <formula2>0</formula2>
    </dataValidation>
    <dataValidation allowBlank="true" error="Pick a value from the list." errorStyle="stop" errorTitle="Not on the list" operator="between" showDropDown="false" showErrorMessage="true" showInputMessage="false" sqref="I2:I41" type="list">
      <formula1>"qualifying,qualified,active,paused,declined"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DEBF7"/>
    <pageSetUpPr fitToPage="false"/>
  </sheetPr>
  <dimension ref="A1:AR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7" min="1" style="0" width="14"/>
    <col collapsed="false" customWidth="true" hidden="false" outlineLevel="0" max="8" min="8" style="0" width="26"/>
    <col collapsed="false" customWidth="true" hidden="false" outlineLevel="0" max="12" min="9" style="0" width="14"/>
    <col collapsed="false" customWidth="true" hidden="false" outlineLevel="0" max="13" min="13" style="0" width="24"/>
    <col collapsed="false" customWidth="true" hidden="false" outlineLevel="0" max="14" min="14" style="0" width="14"/>
    <col collapsed="false" customWidth="true" hidden="false" outlineLevel="0" max="15" min="15" style="0" width="20"/>
    <col collapsed="false" customWidth="true" hidden="false" outlineLevel="0" max="16" min="16" style="0" width="24"/>
    <col collapsed="false" customWidth="true" hidden="false" outlineLevel="0" max="17" min="17" style="0" width="14"/>
    <col collapsed="false" customWidth="true" hidden="false" outlineLevel="0" max="18" min="18" style="0" width="9"/>
    <col collapsed="false" customWidth="true" hidden="false" outlineLevel="0" max="20" min="19" style="0" width="14"/>
    <col collapsed="false" customWidth="true" hidden="false" outlineLevel="0" max="21" min="21" style="0" width="20"/>
    <col collapsed="false" customWidth="true" hidden="false" outlineLevel="0" max="23" min="22" style="0" width="14"/>
    <col collapsed="false" customWidth="true" hidden="false" outlineLevel="0" max="24" min="24" style="0" width="7"/>
    <col collapsed="false" customWidth="true" hidden="false" outlineLevel="0" max="26" min="25" style="0" width="14"/>
    <col collapsed="false" customWidth="true" hidden="false" outlineLevel="0" max="27" min="27" style="0" width="7"/>
    <col collapsed="false" customWidth="true" hidden="false" outlineLevel="0" max="28" min="28" style="0" width="8"/>
    <col collapsed="false" customWidth="true" hidden="false" outlineLevel="0" max="29" min="29" style="0" width="24"/>
    <col collapsed="false" customWidth="true" hidden="false" outlineLevel="0" max="30" min="30" style="0" width="20"/>
    <col collapsed="false" customWidth="true" hidden="false" outlineLevel="0" max="31" min="31" style="0" width="14"/>
    <col collapsed="false" customWidth="true" hidden="false" outlineLevel="0" max="33" min="32" style="0" width="7"/>
    <col collapsed="false" customWidth="true" hidden="false" outlineLevel="0" max="36" min="34" style="0" width="14"/>
    <col collapsed="false" customWidth="true" hidden="false" outlineLevel="0" max="37" min="37" style="0" width="9"/>
    <col collapsed="false" customWidth="true" hidden="false" outlineLevel="0" max="38" min="38" style="0" width="22"/>
    <col collapsed="false" customWidth="true" hidden="false" outlineLevel="0" max="41" min="39" style="0" width="8"/>
    <col collapsed="false" customWidth="true" hidden="false" outlineLevel="0" max="43" min="42" style="0" width="7"/>
    <col collapsed="false" customWidth="true" hidden="false" outlineLevel="0" max="44" min="44" style="0" width="40"/>
  </cols>
  <sheetData>
    <row r="1" customFormat="false" ht="15" hidden="false" customHeight="false" outlineLevel="0" collapsed="false">
      <c r="A1" s="28" t="s">
        <v>642</v>
      </c>
      <c r="B1" s="28" t="s">
        <v>643</v>
      </c>
      <c r="C1" s="28" t="s">
        <v>644</v>
      </c>
      <c r="D1" s="28" t="s">
        <v>645</v>
      </c>
      <c r="E1" s="28" t="s">
        <v>646</v>
      </c>
      <c r="F1" s="28" t="s">
        <v>647</v>
      </c>
      <c r="G1" s="28" t="s">
        <v>648</v>
      </c>
      <c r="H1" s="28" t="s">
        <v>649</v>
      </c>
      <c r="I1" s="28" t="s">
        <v>650</v>
      </c>
      <c r="J1" s="28" t="s">
        <v>651</v>
      </c>
      <c r="K1" s="28" t="s">
        <v>79</v>
      </c>
      <c r="L1" s="28" t="s">
        <v>652</v>
      </c>
      <c r="M1" s="28" t="s">
        <v>305</v>
      </c>
      <c r="N1" s="28" t="s">
        <v>653</v>
      </c>
      <c r="O1" s="29" t="s">
        <v>138</v>
      </c>
      <c r="P1" s="29" t="s">
        <v>654</v>
      </c>
      <c r="Q1" s="29" t="s">
        <v>655</v>
      </c>
      <c r="R1" s="29" t="s">
        <v>656</v>
      </c>
      <c r="S1" s="29" t="s">
        <v>601</v>
      </c>
      <c r="T1" s="29" t="s">
        <v>604</v>
      </c>
      <c r="U1" s="29" t="s">
        <v>603</v>
      </c>
      <c r="V1" s="29" t="s">
        <v>657</v>
      </c>
      <c r="W1" s="29" t="s">
        <v>658</v>
      </c>
      <c r="X1" s="29" t="s">
        <v>659</v>
      </c>
      <c r="Y1" s="29" t="s">
        <v>660</v>
      </c>
      <c r="Z1" s="29" t="s">
        <v>661</v>
      </c>
      <c r="AA1" s="29" t="s">
        <v>662</v>
      </c>
      <c r="AB1" s="29" t="s">
        <v>663</v>
      </c>
      <c r="AC1" s="29" t="s">
        <v>664</v>
      </c>
      <c r="AD1" s="29" t="s">
        <v>665</v>
      </c>
      <c r="AE1" s="29" t="s">
        <v>363</v>
      </c>
      <c r="AF1" s="29" t="s">
        <v>666</v>
      </c>
      <c r="AG1" s="29" t="s">
        <v>667</v>
      </c>
      <c r="AH1" s="29" t="s">
        <v>668</v>
      </c>
      <c r="AI1" s="29" t="s">
        <v>669</v>
      </c>
      <c r="AJ1" s="29" t="s">
        <v>670</v>
      </c>
      <c r="AK1" s="29" t="s">
        <v>671</v>
      </c>
      <c r="AL1" s="29" t="s">
        <v>672</v>
      </c>
      <c r="AM1" s="29" t="s">
        <v>673</v>
      </c>
      <c r="AN1" s="29" t="s">
        <v>674</v>
      </c>
      <c r="AO1" s="29" t="s">
        <v>675</v>
      </c>
      <c r="AP1" s="29" t="s">
        <v>676</v>
      </c>
      <c r="AQ1" s="29" t="s">
        <v>677</v>
      </c>
      <c r="AR1" s="29" t="s">
        <v>120</v>
      </c>
    </row>
    <row r="2" customFormat="false" ht="15" hidden="false" customHeight="false" outlineLevel="0" collapsed="false">
      <c r="A2" s="0" t="s">
        <v>678</v>
      </c>
      <c r="C2" s="36" t="n">
        <v>40.7398</v>
      </c>
      <c r="D2" s="36" t="n">
        <v>-73.9893</v>
      </c>
      <c r="G2" s="10" t="s">
        <v>507</v>
      </c>
      <c r="H2" s="10" t="s">
        <v>679</v>
      </c>
      <c r="I2" s="10" t="s">
        <v>680</v>
      </c>
      <c r="J2" s="11"/>
      <c r="K2" s="10" t="s">
        <v>626</v>
      </c>
      <c r="L2" s="11"/>
      <c r="O2" s="30" t="str">
        <f aca="false">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SAMPLE Northpoint Software</v>
      </c>
      <c r="P2" s="30" t="str">
        <f aca="false">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SAMPLE 110 Example Avenue</v>
      </c>
      <c r="Q2" s="30" t="str">
        <f aca="false">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SAMPLE Floor 3</v>
      </c>
      <c r="R2" s="30" t="n">
        <f aca="false">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52</v>
      </c>
      <c r="S2" s="30" t="str">
        <f aca="false">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SAMPLE Owner 001</v>
      </c>
      <c r="T2" s="30" t="str">
        <f aca="false">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SAMPLE (212) 555-0101</v>
      </c>
      <c r="U2" s="30" t="str">
        <f aca="false">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SAMPLE-owner-001@example.com</v>
      </c>
      <c r="V2" s="30" t="str">
        <f aca="false">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SAMPLE Owner 001</v>
      </c>
      <c r="W2" s="30" t="str">
        <f aca="false">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SAMPLE Office Manager</v>
      </c>
      <c r="X2" s="30" t="str">
        <f aca="false">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Y</v>
      </c>
      <c r="Y2" s="30" t="str">
        <f aca="false">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walk-up</v>
      </c>
      <c r="Z2" s="30" t="str">
        <f aca="false">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8 to 10 am</v>
      </c>
      <c r="AA2" s="30" t="str">
        <f aca="false">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no</v>
      </c>
      <c r="AB2" s="30" t="str">
        <f aca="false">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slack</v>
      </c>
      <c r="AC2" s="30" t="str">
        <f aca="false">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chips-crisps;bars;sparkling-soda;fruit-snacks</v>
      </c>
      <c r="AD2" s="30" t="str">
        <f aca="false">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31" t="n">
        <f aca="false">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46342</v>
      </c>
      <c r="AF2" s="30" t="str">
        <f aca="false">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Y</v>
      </c>
      <c r="AG2" s="30" t="str">
        <f aca="false">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N</v>
      </c>
      <c r="AH2" s="30" t="str">
        <f aca="false">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SAMPLE-CLAY-O-001</v>
      </c>
      <c r="AI2" s="30" t="str">
        <f aca="false">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SAMPLE Software</v>
      </c>
      <c r="AJ2" s="30" t="str">
        <f aca="false">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SAMPLE (212) 555-0101</v>
      </c>
      <c r="AK2" s="30" t="str">
        <f aca="false">IF($A2="","",IF($R2="","unknown",IF($R2&lt;40,"under-40",IF($R2&lt;=75,"40-75",IF($R2&lt;=150,"76-150",IF($R2&lt;=250,"151-250",IF($R2&lt;=500,"251-500","over-500")))))))</f>
        <v>40-75</v>
      </c>
      <c r="AL2" s="30" t="str">
        <f aca="false">IF($A2="","",IF($O2="","not on in_signed_offices: paste the outreach file",IF($R2="","no Tuesday headcount",IF($R2&lt;30,"below the hard floor of 30",IF($R2&lt;40,"30 to 39: founder's call",IF($R2&gt;250,"over 250: outside the plan","OK"))))))</f>
        <v>OK</v>
      </c>
      <c r="AM2" s="30" t="n">
        <f aca="false">IF(OR($A2="",$R2=""),"",MIN(config!$B$16,MAX(config!$B$15,MROUND(config!$B$13+config!$B$14*$R2,config!$B$17))))</f>
        <v>40</v>
      </c>
      <c r="AN2" s="30" t="n">
        <f aca="true">IF($A2="","",COUNTIFS(stops!$B$2:$B$151,$A2,stops!$P$2:$P$151,"&lt;="&amp;IF(config!$B$37&lt;&gt;"",config!$B$37,TODAY())))</f>
        <v>4</v>
      </c>
      <c r="AO2" s="30" t="n">
        <f aca="false">IF($A2="","",COUNTIFS(stops!$B$2:$B$151,$A2,stops!$AF$2:$AF$151,"Y"))</f>
        <v>0</v>
      </c>
      <c r="AP2" s="30" t="str">
        <f aca="false">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30" t="str">
        <f aca="false">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30" t="str">
        <f aca="false">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ustomFormat="false" ht="15" hidden="false" customHeight="false" outlineLevel="0" collapsed="false">
      <c r="A3" s="0" t="s">
        <v>681</v>
      </c>
      <c r="C3" s="36" t="n">
        <v>40.7411</v>
      </c>
      <c r="D3" s="36" t="n">
        <v>-73.9874</v>
      </c>
      <c r="G3" s="10" t="s">
        <v>486</v>
      </c>
      <c r="H3" s="10" t="s">
        <v>682</v>
      </c>
      <c r="I3" s="10" t="s">
        <v>680</v>
      </c>
      <c r="J3" s="11"/>
      <c r="K3" s="10" t="s">
        <v>626</v>
      </c>
      <c r="L3" s="11"/>
      <c r="O3" s="30" t="str">
        <f aca="false">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SAMPLE Ferro Architecture</v>
      </c>
      <c r="P3" s="30" t="str">
        <f aca="false">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SAMPLE 120 Example Avenue</v>
      </c>
      <c r="Q3" s="30" t="str">
        <f aca="false">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SAMPLE Floor 4</v>
      </c>
      <c r="R3" s="30" t="n">
        <f aca="false">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48</v>
      </c>
      <c r="S3" s="30" t="str">
        <f aca="false">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SAMPLE Owner 002</v>
      </c>
      <c r="T3" s="30" t="str">
        <f aca="false">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SAMPLE (212) 555-0102</v>
      </c>
      <c r="U3" s="30" t="str">
        <f aca="false">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SAMPLE-owner-002@example.com</v>
      </c>
      <c r="V3" s="30" t="str">
        <f aca="false">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SAMPLE Owner 002</v>
      </c>
      <c r="W3" s="30" t="str">
        <f aca="false">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SAMPLE Office Manager</v>
      </c>
      <c r="X3" s="30" t="str">
        <f aca="false">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Y</v>
      </c>
      <c r="Y3" s="30" t="str">
        <f aca="false">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front desk</v>
      </c>
      <c r="Z3" s="30" t="str">
        <f aca="false">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9 to 11 am</v>
      </c>
      <c r="AA3" s="30" t="str">
        <f aca="false">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no</v>
      </c>
      <c r="AB3" s="30" t="str">
        <f aca="false">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email</v>
      </c>
      <c r="AC3" s="30" t="str">
        <f aca="false">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chips-crisps;crackers-pretzels;sparkling-soda;bars;fruit-snacks</v>
      </c>
      <c r="AD3" s="30" t="str">
        <f aca="false">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31" t="n">
        <f aca="false">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46344</v>
      </c>
      <c r="AF3" s="30" t="str">
        <f aca="false">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N</v>
      </c>
      <c r="AG3" s="30" t="str">
        <f aca="false">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N</v>
      </c>
      <c r="AH3" s="30" t="str">
        <f aca="false">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SAMPLE-CLAY-O-002</v>
      </c>
      <c r="AI3" s="30" t="str">
        <f aca="false">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SAMPLE Architecture</v>
      </c>
      <c r="AJ3" s="30" t="str">
        <f aca="false">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SAMPLE (212) 555-0102</v>
      </c>
      <c r="AK3" s="30" t="str">
        <f aca="false">IF($A3="","",IF($R3="","unknown",IF($R3&lt;40,"under-40",IF($R3&lt;=75,"40-75",IF($R3&lt;=150,"76-150",IF($R3&lt;=250,"151-250",IF($R3&lt;=500,"251-500","over-500")))))))</f>
        <v>40-75</v>
      </c>
      <c r="AL3" s="30" t="str">
        <f aca="false">IF($A3="","",IF($O3="","not on in_signed_offices: paste the outreach file",IF($R3="","no Tuesday headcount",IF($R3&lt;30,"below the hard floor of 30",IF($R3&lt;40,"30 to 39: founder's call",IF($R3&gt;250,"over 250: outside the plan","OK"))))))</f>
        <v>OK</v>
      </c>
      <c r="AM3" s="30" t="n">
        <f aca="false">IF(OR($A3="",$R3=""),"",MIN(config!$B$16,MAX(config!$B$15,MROUND(config!$B$13+config!$B$14*$R3,config!$B$17))))</f>
        <v>40</v>
      </c>
      <c r="AN3" s="30" t="n">
        <f aca="true">IF($A3="","",COUNTIFS(stops!$B$2:$B$151,$A3,stops!$P$2:$P$151,"&lt;="&amp;IF(config!$B$37&lt;&gt;"",config!$B$37,TODAY())))</f>
        <v>4</v>
      </c>
      <c r="AO3" s="30" t="n">
        <f aca="false">IF($A3="","",COUNTIFS(stops!$B$2:$B$151,$A3,stops!$AF$2:$AF$151,"Y"))</f>
        <v>0</v>
      </c>
      <c r="AP3" s="30" t="str">
        <f aca="false">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30" t="str">
        <f aca="false">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30" t="str">
        <f aca="false">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ustomFormat="false" ht="15" hidden="false" customHeight="false" outlineLevel="0" collapsed="false">
      <c r="A4" s="0" t="s">
        <v>683</v>
      </c>
      <c r="C4" s="36" t="n">
        <v>40.7389</v>
      </c>
      <c r="D4" s="36" t="n">
        <v>-73.9917</v>
      </c>
      <c r="G4" s="10" t="s">
        <v>507</v>
      </c>
      <c r="H4" s="10" t="s">
        <v>684</v>
      </c>
      <c r="I4" s="10" t="s">
        <v>685</v>
      </c>
      <c r="J4" s="11" t="n">
        <v>46379</v>
      </c>
      <c r="K4" s="10" t="s">
        <v>626</v>
      </c>
      <c r="L4" s="11"/>
      <c r="O4" s="30" t="str">
        <f aca="false">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SAMPLE Halcyon Media</v>
      </c>
      <c r="P4" s="30" t="str">
        <f aca="false">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SAMPLE 130 Example Avenue</v>
      </c>
      <c r="Q4" s="30" t="str">
        <f aca="false">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SAMPLE Floor 5</v>
      </c>
      <c r="R4" s="30" t="n">
        <f aca="false">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95</v>
      </c>
      <c r="S4" s="30" t="str">
        <f aca="false">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SAMPLE Owner 003</v>
      </c>
      <c r="T4" s="30" t="str">
        <f aca="false">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SAMPLE (212) 555-0103</v>
      </c>
      <c r="U4" s="30" t="str">
        <f aca="false">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SAMPLE-owner-003@example.com</v>
      </c>
      <c r="V4" s="30" t="str">
        <f aca="false">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SAMPLE Owner 003</v>
      </c>
      <c r="W4" s="30" t="str">
        <f aca="false">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SAMPLE Office Manager</v>
      </c>
      <c r="X4" s="30" t="str">
        <f aca="false">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Y</v>
      </c>
      <c r="Y4" s="30" t="str">
        <f aca="false">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walk-up</v>
      </c>
      <c r="Z4" s="30" t="str">
        <f aca="false">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9 to 11 am</v>
      </c>
      <c r="AA4" s="30" t="str">
        <f aca="false">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unsure</v>
      </c>
      <c r="AB4" s="30" t="str">
        <f aca="false">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slack</v>
      </c>
      <c r="AC4" s="30" t="str">
        <f aca="false">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chips-crisps;popcorn-puffs;sparkling-soda;tea-juice;bars;fruit-snacks</v>
      </c>
      <c r="AD4" s="30" t="str">
        <f aca="false">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31" t="n">
        <f aca="false">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46350</v>
      </c>
      <c r="AF4" s="30" t="str">
        <f aca="false">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Y</v>
      </c>
      <c r="AG4" s="30" t="str">
        <f aca="false">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N</v>
      </c>
      <c r="AH4" s="30" t="str">
        <f aca="false">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SAMPLE-CLAY-O-003</v>
      </c>
      <c r="AI4" s="30" t="str">
        <f aca="false">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SAMPLE Media</v>
      </c>
      <c r="AJ4" s="30" t="str">
        <f aca="false">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SAMPLE (212) 555-0103</v>
      </c>
      <c r="AK4" s="30" t="str">
        <f aca="false">IF($A4="","",IF($R4="","unknown",IF($R4&lt;40,"under-40",IF($R4&lt;=75,"40-75",IF($R4&lt;=150,"76-150",IF($R4&lt;=250,"151-250",IF($R4&lt;=500,"251-500","over-500")))))))</f>
        <v>76-150</v>
      </c>
      <c r="AL4" s="30" t="str">
        <f aca="false">IF($A4="","",IF($O4="","not on in_signed_offices: paste the outreach file",IF($R4="","no Tuesday headcount",IF($R4&lt;30,"below the hard floor of 30",IF($R4&lt;40,"30 to 39: founder's call",IF($R4&gt;250,"over 250: outside the plan","OK"))))))</f>
        <v>OK</v>
      </c>
      <c r="AM4" s="30" t="n">
        <f aca="false">IF(OR($A4="",$R4=""),"",MIN(config!$B$16,MAX(config!$B$15,MROUND(config!$B$13+config!$B$14*$R4,config!$B$17))))</f>
        <v>50</v>
      </c>
      <c r="AN4" s="30" t="n">
        <f aca="true">IF($A4="","",COUNTIFS(stops!$B$2:$B$151,$A4,stops!$P$2:$P$151,"&lt;="&amp;IF(config!$B$37&lt;&gt;"",config!$B$37,TODAY())))</f>
        <v>4</v>
      </c>
      <c r="AO4" s="30" t="n">
        <f aca="false">IF($A4="","",COUNTIFS(stops!$B$2:$B$151,$A4,stops!$AF$2:$AF$151,"Y"))</f>
        <v>0</v>
      </c>
      <c r="AP4" s="30" t="str">
        <f aca="false">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30" t="str">
        <f aca="false">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30" t="str">
        <f aca="false">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ustomFormat="false" ht="15" hidden="false" customHeight="false" outlineLevel="0" collapsed="false">
      <c r="A5" s="0" t="s">
        <v>686</v>
      </c>
      <c r="C5" s="36" t="n">
        <v>40.7376</v>
      </c>
      <c r="D5" s="36" t="n">
        <v>-73.9879</v>
      </c>
      <c r="G5" s="10" t="s">
        <v>486</v>
      </c>
      <c r="H5" s="10" t="s">
        <v>687</v>
      </c>
      <c r="I5" s="10" t="s">
        <v>680</v>
      </c>
      <c r="J5" s="11"/>
      <c r="K5" s="10" t="s">
        <v>626</v>
      </c>
      <c r="L5" s="11"/>
      <c r="O5" s="30" t="str">
        <f aca="false">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SAMPLE Union Food Fund</v>
      </c>
      <c r="P5" s="30" t="str">
        <f aca="false">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SAMPLE 140 Example Avenue</v>
      </c>
      <c r="Q5" s="30" t="str">
        <f aca="false">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SAMPLE Floor 6</v>
      </c>
      <c r="R5" s="30" t="n">
        <f aca="false">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110</v>
      </c>
      <c r="S5" s="30" t="str">
        <f aca="false">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SAMPLE Owner 004</v>
      </c>
      <c r="T5" s="30" t="str">
        <f aca="false">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SAMPLE (212) 555-0104</v>
      </c>
      <c r="U5" s="30" t="str">
        <f aca="false">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SAMPLE-owner-004@example.com</v>
      </c>
      <c r="V5" s="30" t="str">
        <f aca="false">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SAMPLE Owner 004</v>
      </c>
      <c r="W5" s="30" t="str">
        <f aca="false">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SAMPLE Office Manager</v>
      </c>
      <c r="X5" s="30" t="str">
        <f aca="false">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Y</v>
      </c>
      <c r="Y5" s="30" t="str">
        <f aca="false">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loading dock</v>
      </c>
      <c r="Z5" s="30" t="str">
        <f aca="false">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10 am to noon</v>
      </c>
      <c r="AA5" s="30" t="str">
        <f aca="false">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no</v>
      </c>
      <c r="AB5" s="30" t="str">
        <f aca="false">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email</v>
      </c>
      <c r="AC5" s="30" t="str">
        <f aca="false">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chips-crisps;sparkling-soda;bars;fruit-snacks</v>
      </c>
      <c r="AD5" s="30" t="str">
        <f aca="false">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31" t="n">
        <f aca="false">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46357</v>
      </c>
      <c r="AF5" s="30" t="str">
        <f aca="false">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N</v>
      </c>
      <c r="AG5" s="30" t="str">
        <f aca="false">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N</v>
      </c>
      <c r="AH5" s="30" t="str">
        <f aca="false">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SAMPLE-CLAY-O-004</v>
      </c>
      <c r="AI5" s="30" t="str">
        <f aca="false">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SAMPLE Nonprofit</v>
      </c>
      <c r="AJ5" s="30" t="str">
        <f aca="false">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SAMPLE (212) 555-0104</v>
      </c>
      <c r="AK5" s="30" t="str">
        <f aca="false">IF($A5="","",IF($R5="","unknown",IF($R5&lt;40,"under-40",IF($R5&lt;=75,"40-75",IF($R5&lt;=150,"76-150",IF($R5&lt;=250,"151-250",IF($R5&lt;=500,"251-500","over-500")))))))</f>
        <v>76-150</v>
      </c>
      <c r="AL5" s="30" t="str">
        <f aca="false">IF($A5="","",IF($O5="","not on in_signed_offices: paste the outreach file",IF($R5="","no Tuesday headcount",IF($R5&lt;30,"below the hard floor of 30",IF($R5&lt;40,"30 to 39: founder's call",IF($R5&gt;250,"over 250: outside the plan","OK"))))))</f>
        <v>OK</v>
      </c>
      <c r="AM5" s="30" t="n">
        <f aca="false">IF(OR($A5="",$R5=""),"",MIN(config!$B$16,MAX(config!$B$15,MROUND(config!$B$13+config!$B$14*$R5,config!$B$17))))</f>
        <v>50</v>
      </c>
      <c r="AN5" s="30" t="n">
        <f aca="true">IF($A5="","",COUNTIFS(stops!$B$2:$B$151,$A5,stops!$P$2:$P$151,"&lt;="&amp;IF(config!$B$37&lt;&gt;"",config!$B$37,TODAY())))</f>
        <v>4</v>
      </c>
      <c r="AO5" s="30" t="n">
        <f aca="false">IF($A5="","",COUNTIFS(stops!$B$2:$B$151,$A5,stops!$AF$2:$AF$151,"Y"))</f>
        <v>0</v>
      </c>
      <c r="AP5" s="30" t="str">
        <f aca="false">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30" t="str">
        <f aca="false">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30" t="str">
        <f aca="false">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ustomFormat="false" ht="15" hidden="false" customHeight="false" outlineLevel="0" collapsed="false">
      <c r="A6" s="0" t="s">
        <v>688</v>
      </c>
      <c r="C6" s="36" t="n">
        <v>40.7425</v>
      </c>
      <c r="D6" s="36" t="n">
        <v>-73.9901</v>
      </c>
      <c r="G6" s="10" t="s">
        <v>486</v>
      </c>
      <c r="H6" s="10" t="s">
        <v>689</v>
      </c>
      <c r="I6" s="10" t="s">
        <v>685</v>
      </c>
      <c r="J6" s="11" t="n">
        <v>46379</v>
      </c>
      <c r="K6" s="10" t="s">
        <v>626</v>
      </c>
      <c r="L6" s="11"/>
      <c r="O6" s="30" t="str">
        <f aca="false">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SAMPLE Studio Marlow</v>
      </c>
      <c r="P6" s="30" t="str">
        <f aca="false">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SAMPLE 150 Example Avenue</v>
      </c>
      <c r="Q6" s="30" t="str">
        <f aca="false">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SAMPLE Floor 7</v>
      </c>
      <c r="R6" s="30" t="n">
        <f aca="false">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190</v>
      </c>
      <c r="S6" s="30" t="str">
        <f aca="false">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SAMPLE Owner 005</v>
      </c>
      <c r="T6" s="30" t="str">
        <f aca="false">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SAMPLE (212) 555-0105</v>
      </c>
      <c r="U6" s="30" t="str">
        <f aca="false">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SAMPLE-owner-005@example.com</v>
      </c>
      <c r="V6" s="30" t="str">
        <f aca="false">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SAMPLE Owner 005</v>
      </c>
      <c r="W6" s="30" t="str">
        <f aca="false">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SAMPLE Office Manager</v>
      </c>
      <c r="X6" s="30" t="str">
        <f aca="false">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Y</v>
      </c>
      <c r="Y6" s="30" t="str">
        <f aca="false">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front desk</v>
      </c>
      <c r="Z6" s="30" t="str">
        <f aca="false">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10 am to noon</v>
      </c>
      <c r="AA6" s="30" t="str">
        <f aca="false">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yes</v>
      </c>
      <c r="AB6" s="30" t="str">
        <f aca="false">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slack</v>
      </c>
      <c r="AC6" s="30" t="str">
        <f aca="false">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chips-crisps;cookies-baked;sparkling-soda;coffee-rtd;bars;fruit-snacks</v>
      </c>
      <c r="AD6" s="30" t="str">
        <f aca="false">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31" t="n">
        <f aca="false">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46359</v>
      </c>
      <c r="AF6" s="30" t="str">
        <f aca="false">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N</v>
      </c>
      <c r="AG6" s="30" t="str">
        <f aca="false">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N</v>
      </c>
      <c r="AH6" s="30" t="str">
        <f aca="false">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SAMPLE-CLAY-O-005</v>
      </c>
      <c r="AI6" s="30" t="str">
        <f aca="false">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SAMPLE Design studio</v>
      </c>
      <c r="AJ6" s="30" t="str">
        <f aca="false">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SAMPLE (212) 555-0105</v>
      </c>
      <c r="AK6" s="30" t="str">
        <f aca="false">IF($A6="","",IF($R6="","unknown",IF($R6&lt;40,"under-40",IF($R6&lt;=75,"40-75",IF($R6&lt;=150,"76-150",IF($R6&lt;=250,"151-250",IF($R6&lt;=500,"251-500","over-500")))))))</f>
        <v>151-250</v>
      </c>
      <c r="AL6" s="30" t="str">
        <f aca="false">IF($A6="","",IF($O6="","not on in_signed_offices: paste the outreach file",IF($R6="","no Tuesday headcount",IF($R6&lt;30,"below the hard floor of 30",IF($R6&lt;40,"30 to 39: founder's call",IF($R6&gt;250,"over 250: outside the plan","OK"))))))</f>
        <v>OK</v>
      </c>
      <c r="AM6" s="30" t="n">
        <f aca="false">IF(OR($A6="",$R6=""),"",MIN(config!$B$16,MAX(config!$B$15,MROUND(config!$B$13+config!$B$14*$R6,config!$B$17))))</f>
        <v>70</v>
      </c>
      <c r="AN6" s="30" t="n">
        <f aca="true">IF($A6="","",COUNTIFS(stops!$B$2:$B$151,$A6,stops!$P$2:$P$151,"&lt;="&amp;IF(config!$B$37&lt;&gt;"",config!$B$37,TODAY())))</f>
        <v>4</v>
      </c>
      <c r="AO6" s="30" t="n">
        <f aca="false">IF($A6="","",COUNTIFS(stops!$B$2:$B$151,$A6,stops!$AF$2:$AF$151,"Y"))</f>
        <v>0</v>
      </c>
      <c r="AP6" s="30" t="str">
        <f aca="false">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30" t="str">
        <f aca="false">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30" t="str">
        <f aca="false">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ustomFormat="false" ht="15" hidden="false" customHeight="false" outlineLevel="0" collapsed="false">
      <c r="A7" s="0" t="s">
        <v>690</v>
      </c>
      <c r="C7" s="36" t="n">
        <v>40.7433</v>
      </c>
      <c r="D7" s="36" t="n">
        <v>-73.9878</v>
      </c>
      <c r="G7" s="10" t="s">
        <v>507</v>
      </c>
      <c r="H7" s="10" t="s">
        <v>691</v>
      </c>
      <c r="I7" s="10" t="s">
        <v>680</v>
      </c>
      <c r="J7" s="11"/>
      <c r="K7" s="10" t="s">
        <v>626</v>
      </c>
      <c r="L7" s="11"/>
      <c r="O7" s="30" t="str">
        <f aca="false">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SAMPLE Kestrel Analytics</v>
      </c>
      <c r="P7" s="30" t="str">
        <f aca="false">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SAMPLE 160 Example Avenue</v>
      </c>
      <c r="Q7" s="30" t="str">
        <f aca="false">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SAMPLE Floor 8</v>
      </c>
      <c r="R7" s="30" t="n">
        <f aca="false">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65</v>
      </c>
      <c r="S7" s="30" t="str">
        <f aca="false">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SAMPLE Owner 006</v>
      </c>
      <c r="T7" s="30" t="str">
        <f aca="false">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SAMPLE (212) 555-0106</v>
      </c>
      <c r="U7" s="30" t="str">
        <f aca="false">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SAMPLE-owner-006@example.com</v>
      </c>
      <c r="V7" s="30" t="str">
        <f aca="false">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SAMPLE Owner 006</v>
      </c>
      <c r="W7" s="30" t="str">
        <f aca="false">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SAMPLE Office Manager</v>
      </c>
      <c r="X7" s="30" t="str">
        <f aca="false">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Y</v>
      </c>
      <c r="Y7" s="30" t="str">
        <f aca="false">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walk-up</v>
      </c>
      <c r="Z7" s="30" t="str">
        <f aca="false">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8 to 10 am</v>
      </c>
      <c r="AA7" s="30" t="str">
        <f aca="false">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no</v>
      </c>
      <c r="AB7" s="30" t="str">
        <f aca="false">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slack</v>
      </c>
      <c r="AC7" s="30" t="str">
        <f aca="false">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chips-crisps;bars;fruit-snacks;sparkling-soda</v>
      </c>
      <c r="AD7" s="30" t="str">
        <f aca="false">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31" t="n">
        <f aca="false">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46392</v>
      </c>
      <c r="AF7" s="30" t="str">
        <f aca="false">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N</v>
      </c>
      <c r="AG7" s="30" t="str">
        <f aca="false">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N</v>
      </c>
      <c r="AH7" s="30" t="str">
        <f aca="false">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SAMPLE-CLAY-O-006</v>
      </c>
      <c r="AI7" s="30" t="str">
        <f aca="false">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SAMPLE Software</v>
      </c>
      <c r="AJ7" s="30" t="str">
        <f aca="false">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SAMPLE (212) 555-0106</v>
      </c>
      <c r="AK7" s="30" t="str">
        <f aca="false">IF($A7="","",IF($R7="","unknown",IF($R7&lt;40,"under-40",IF($R7&lt;=75,"40-75",IF($R7&lt;=150,"76-150",IF($R7&lt;=250,"151-250",IF($R7&lt;=500,"251-500","over-500")))))))</f>
        <v>40-75</v>
      </c>
      <c r="AL7" s="30" t="str">
        <f aca="false">IF($A7="","",IF($O7="","not on in_signed_offices: paste the outreach file",IF($R7="","no Tuesday headcount",IF($R7&lt;30,"below the hard floor of 30",IF($R7&lt;40,"30 to 39: founder's call",IF($R7&gt;250,"over 250: outside the plan","OK"))))))</f>
        <v>OK</v>
      </c>
      <c r="AM7" s="30" t="n">
        <f aca="false">IF(OR($A7="",$R7=""),"",MIN(config!$B$16,MAX(config!$B$15,MROUND(config!$B$13+config!$B$14*$R7,config!$B$17))))</f>
        <v>45</v>
      </c>
      <c r="AN7" s="30" t="n">
        <f aca="true">IF($A7="","",COUNTIFS(stops!$B$2:$B$151,$A7,stops!$P$2:$P$151,"&lt;="&amp;IF(config!$B$37&lt;&gt;"",config!$B$37,TODAY())))</f>
        <v>3</v>
      </c>
      <c r="AO7" s="30" t="n">
        <f aca="false">IF($A7="","",COUNTIFS(stops!$B$2:$B$151,$A7,stops!$AF$2:$AF$151,"Y"))</f>
        <v>1</v>
      </c>
      <c r="AP7" s="30" t="str">
        <f aca="false">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30" t="str">
        <f aca="false">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30" t="str">
        <f aca="false">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ustomFormat="false" ht="15" hidden="false" customHeight="false" outlineLevel="0" collapsed="false">
      <c r="A8" s="0" t="s">
        <v>692</v>
      </c>
      <c r="C8" s="36" t="n">
        <v>40.7402</v>
      </c>
      <c r="D8" s="36" t="n">
        <v>-73.9851</v>
      </c>
      <c r="G8" s="10" t="s">
        <v>486</v>
      </c>
      <c r="H8" s="10" t="s">
        <v>693</v>
      </c>
      <c r="I8" s="10" t="s">
        <v>680</v>
      </c>
      <c r="J8" s="11"/>
      <c r="K8" s="10" t="s">
        <v>626</v>
      </c>
      <c r="L8" s="11"/>
      <c r="O8" s="30" t="str">
        <f aca="false">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SAMPLE Brine &amp; Bell PR</v>
      </c>
      <c r="P8" s="30" t="str">
        <f aca="false">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SAMPLE 170 Example Avenue</v>
      </c>
      <c r="Q8" s="30" t="str">
        <f aca="false">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SAMPLE Floor 9</v>
      </c>
      <c r="R8" s="30" t="n">
        <f aca="false">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140</v>
      </c>
      <c r="S8" s="30" t="str">
        <f aca="false">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SAMPLE Owner 007</v>
      </c>
      <c r="T8" s="30" t="str">
        <f aca="false">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SAMPLE (212) 555-0107</v>
      </c>
      <c r="U8" s="30" t="str">
        <f aca="false">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SAMPLE-owner-007@example.com</v>
      </c>
      <c r="V8" s="30" t="str">
        <f aca="false">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SAMPLE Owner 007</v>
      </c>
      <c r="W8" s="30" t="str">
        <f aca="false">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SAMPLE Office Manager</v>
      </c>
      <c r="X8" s="30" t="str">
        <f aca="false">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Y</v>
      </c>
      <c r="Y8" s="30" t="str">
        <f aca="false">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front desk</v>
      </c>
      <c r="Z8" s="30" t="str">
        <f aca="false">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9 to 11 am</v>
      </c>
      <c r="AA8" s="30" t="str">
        <f aca="false">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no</v>
      </c>
      <c r="AB8" s="30" t="str">
        <f aca="false">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slack</v>
      </c>
      <c r="AC8" s="30" t="str">
        <f aca="false">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chips-crisps;bars;fruit-snacks;chocolate-candy</v>
      </c>
      <c r="AD8" s="30" t="str">
        <f aca="false">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SAMPLE no tree nuts</v>
      </c>
      <c r="AE8" s="31" t="n">
        <f aca="false">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46393</v>
      </c>
      <c r="AF8" s="30" t="str">
        <f aca="false">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N</v>
      </c>
      <c r="AG8" s="30" t="str">
        <f aca="false">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N</v>
      </c>
      <c r="AH8" s="30" t="str">
        <f aca="false">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SAMPLE-CLAY-O-007</v>
      </c>
      <c r="AI8" s="30" t="str">
        <f aca="false">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SAMPLE Public relations</v>
      </c>
      <c r="AJ8" s="30" t="str">
        <f aca="false">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SAMPLE (212) 555-0107</v>
      </c>
      <c r="AK8" s="30" t="str">
        <f aca="false">IF($A8="","",IF($R8="","unknown",IF($R8&lt;40,"under-40",IF($R8&lt;=75,"40-75",IF($R8&lt;=150,"76-150",IF($R8&lt;=250,"151-250",IF($R8&lt;=500,"251-500","over-500")))))))</f>
        <v>76-150</v>
      </c>
      <c r="AL8" s="30" t="str">
        <f aca="false">IF($A8="","",IF($O8="","not on in_signed_offices: paste the outreach file",IF($R8="","no Tuesday headcount",IF($R8&lt;30,"below the hard floor of 30",IF($R8&lt;40,"30 to 39: founder's call",IF($R8&gt;250,"over 250: outside the plan","OK"))))))</f>
        <v>OK</v>
      </c>
      <c r="AM8" s="30" t="n">
        <f aca="false">IF(OR($A8="",$R8=""),"",MIN(config!$B$16,MAX(config!$B$15,MROUND(config!$B$13+config!$B$14*$R8,config!$B$17))))</f>
        <v>60</v>
      </c>
      <c r="AN8" s="30" t="n">
        <f aca="true">IF($A8="","",COUNTIFS(stops!$B$2:$B$151,$A8,stops!$P$2:$P$151,"&lt;="&amp;IF(config!$B$37&lt;&gt;"",config!$B$37,TODAY())))</f>
        <v>3</v>
      </c>
      <c r="AO8" s="30" t="n">
        <f aca="false">IF($A8="","",COUNTIFS(stops!$B$2:$B$151,$A8,stops!$AF$2:$AF$151,"Y"))</f>
        <v>0</v>
      </c>
      <c r="AP8" s="30" t="str">
        <f aca="false">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30" t="str">
        <f aca="false">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30" t="str">
        <f aca="false">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ustomFormat="false" ht="15" hidden="false" customHeight="false" outlineLevel="0" collapsed="false">
      <c r="A9" s="0" t="s">
        <v>694</v>
      </c>
      <c r="C9" s="36" t="n">
        <v>40.7417</v>
      </c>
      <c r="D9" s="36" t="n">
        <v>-73.9925</v>
      </c>
      <c r="G9" s="10" t="s">
        <v>486</v>
      </c>
      <c r="H9" s="10" t="s">
        <v>695</v>
      </c>
      <c r="I9" s="10" t="s">
        <v>685</v>
      </c>
      <c r="J9" s="11" t="n">
        <v>46416</v>
      </c>
      <c r="K9" s="10" t="s">
        <v>626</v>
      </c>
      <c r="L9" s="11"/>
      <c r="O9" s="30" t="str">
        <f aca="false">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SAMPLE Larch Legal</v>
      </c>
      <c r="P9" s="30" t="str">
        <f aca="false">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SAMPLE 180 Example Avenue</v>
      </c>
      <c r="Q9" s="30" t="str">
        <f aca="false">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SAMPLE Floor 10</v>
      </c>
      <c r="R9" s="30" t="n">
        <f aca="false">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80</v>
      </c>
      <c r="S9" s="30" t="str">
        <f aca="false">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SAMPLE Owner 008</v>
      </c>
      <c r="T9" s="30" t="str">
        <f aca="false">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SAMPLE (212) 555-0108</v>
      </c>
      <c r="U9" s="30" t="str">
        <f aca="false">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SAMPLE-owner-008@example.com</v>
      </c>
      <c r="V9" s="30" t="str">
        <f aca="false">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SAMPLE Owner 008</v>
      </c>
      <c r="W9" s="30" t="str">
        <f aca="false">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SAMPLE Office Manager</v>
      </c>
      <c r="X9" s="30" t="str">
        <f aca="false">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Y</v>
      </c>
      <c r="Y9" s="30" t="str">
        <f aca="false">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front desk</v>
      </c>
      <c r="Z9" s="30" t="str">
        <f aca="false">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9 to 11 am</v>
      </c>
      <c r="AA9" s="30" t="str">
        <f aca="false">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yes</v>
      </c>
      <c r="AB9" s="30" t="str">
        <f aca="false">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email</v>
      </c>
      <c r="AC9" s="30" t="str">
        <f aca="false">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chips-crisps;bars;fruit-snacks;nuts-seeds-trail</v>
      </c>
      <c r="AD9" s="30" t="str">
        <f aca="false">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31" t="n">
        <f aca="false">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46394</v>
      </c>
      <c r="AF9" s="30" t="str">
        <f aca="false">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N</v>
      </c>
      <c r="AG9" s="30" t="str">
        <f aca="false">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N</v>
      </c>
      <c r="AH9" s="30" t="str">
        <f aca="false">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SAMPLE-CLAY-O-008</v>
      </c>
      <c r="AI9" s="30" t="str">
        <f aca="false">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SAMPLE Law firm</v>
      </c>
      <c r="AJ9" s="30" t="str">
        <f aca="false">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SAMPLE (212) 555-0108</v>
      </c>
      <c r="AK9" s="30" t="str">
        <f aca="false">IF($A9="","",IF($R9="","unknown",IF($R9&lt;40,"under-40",IF($R9&lt;=75,"40-75",IF($R9&lt;=150,"76-150",IF($R9&lt;=250,"151-250",IF($R9&lt;=500,"251-500","over-500")))))))</f>
        <v>76-150</v>
      </c>
      <c r="AL9" s="30" t="str">
        <f aca="false">IF($A9="","",IF($O9="","not on in_signed_offices: paste the outreach file",IF($R9="","no Tuesday headcount",IF($R9&lt;30,"below the hard floor of 30",IF($R9&lt;40,"30 to 39: founder's call",IF($R9&gt;250,"over 250: outside the plan","OK"))))))</f>
        <v>OK</v>
      </c>
      <c r="AM9" s="30" t="n">
        <f aca="false">IF(OR($A9="",$R9=""),"",MIN(config!$B$16,MAX(config!$B$15,MROUND(config!$B$13+config!$B$14*$R9,config!$B$17))))</f>
        <v>45</v>
      </c>
      <c r="AN9" s="30" t="n">
        <f aca="true">IF($A9="","",COUNTIFS(stops!$B$2:$B$151,$A9,stops!$P$2:$P$151,"&lt;="&amp;IF(config!$B$37&lt;&gt;"",config!$B$37,TODAY())))</f>
        <v>3</v>
      </c>
      <c r="AO9" s="30" t="n">
        <f aca="false">IF($A9="","",COUNTIFS(stops!$B$2:$B$151,$A9,stops!$AF$2:$AF$151,"Y"))</f>
        <v>0</v>
      </c>
      <c r="AP9" s="30" t="str">
        <f aca="false">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30" t="str">
        <f aca="false">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30" t="str">
        <f aca="false">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ustomFormat="false" ht="15" hidden="false" customHeight="false" outlineLevel="0" collapsed="false">
      <c r="A10" s="0" t="s">
        <v>696</v>
      </c>
      <c r="C10" s="36" t="n">
        <v>40.7381</v>
      </c>
      <c r="D10" s="36" t="n">
        <v>-73.9937</v>
      </c>
      <c r="G10" s="10" t="s">
        <v>507</v>
      </c>
      <c r="H10" s="10" t="s">
        <v>697</v>
      </c>
      <c r="I10" s="10" t="s">
        <v>680</v>
      </c>
      <c r="J10" s="11"/>
      <c r="K10" s="10" t="s">
        <v>626</v>
      </c>
      <c r="L10" s="11"/>
      <c r="O10" s="30" t="str">
        <f aca="false">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SAMPLE Overlook Games</v>
      </c>
      <c r="P10" s="30" t="str">
        <f aca="false">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SAMPLE 190 Example Avenue</v>
      </c>
      <c r="Q10" s="30" t="str">
        <f aca="false">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SAMPLE Floor 2</v>
      </c>
      <c r="R10" s="30" t="n">
        <f aca="false">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220</v>
      </c>
      <c r="S10" s="30" t="str">
        <f aca="false">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SAMPLE Owner 009</v>
      </c>
      <c r="T10" s="30" t="str">
        <f aca="false">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SAMPLE (212) 555-0109</v>
      </c>
      <c r="U10" s="30" t="str">
        <f aca="false">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SAMPLE-owner-009@example.com</v>
      </c>
      <c r="V10" s="30" t="str">
        <f aca="false">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SAMPLE Owner 009</v>
      </c>
      <c r="W10" s="30" t="str">
        <f aca="false">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SAMPLE Office Manager</v>
      </c>
      <c r="X10" s="30" t="str">
        <f aca="false">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Y</v>
      </c>
      <c r="Y10" s="30" t="str">
        <f aca="false">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front desk</v>
      </c>
      <c r="Z10" s="30" t="str">
        <f aca="false">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10 am to noon</v>
      </c>
      <c r="AA10" s="30" t="str">
        <f aca="false">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no</v>
      </c>
      <c r="AB10" s="30" t="str">
        <f aca="false">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slack</v>
      </c>
      <c r="AC10" s="30" t="str">
        <f aca="false">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chips-crisps;bars;fruit-snacks;sparkling-soda;popcorn-puffs</v>
      </c>
      <c r="AD10" s="30" t="str">
        <f aca="false">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31" t="n">
        <f aca="false">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46395</v>
      </c>
      <c r="AF10" s="30" t="str">
        <f aca="false">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N</v>
      </c>
      <c r="AG10" s="30" t="str">
        <f aca="false">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N</v>
      </c>
      <c r="AH10" s="30" t="str">
        <f aca="false">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SAMPLE-CLAY-O-009</v>
      </c>
      <c r="AI10" s="30" t="str">
        <f aca="false">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SAMPLE Games studio</v>
      </c>
      <c r="AJ10" s="30" t="str">
        <f aca="false">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SAMPLE (212) 555-0109</v>
      </c>
      <c r="AK10" s="30" t="str">
        <f aca="false">IF($A10="","",IF($R10="","unknown",IF($R10&lt;40,"under-40",IF($R10&lt;=75,"40-75",IF($R10&lt;=150,"76-150",IF($R10&lt;=250,"151-250",IF($R10&lt;=500,"251-500","over-500")))))))</f>
        <v>151-250</v>
      </c>
      <c r="AL10" s="30" t="str">
        <f aca="false">IF($A10="","",IF($O10="","not on in_signed_offices: paste the outreach file",IF($R10="","no Tuesday headcount",IF($R10&lt;30,"below the hard floor of 30",IF($R10&lt;40,"30 to 39: founder's call",IF($R10&gt;250,"over 250: outside the plan","OK"))))))</f>
        <v>OK</v>
      </c>
      <c r="AM10" s="30" t="n">
        <f aca="false">IF(OR($A10="",$R10=""),"",MIN(config!$B$16,MAX(config!$B$15,MROUND(config!$B$13+config!$B$14*$R10,config!$B$17))))</f>
        <v>75</v>
      </c>
      <c r="AN10" s="30" t="n">
        <f aca="true">IF($A10="","",COUNTIFS(stops!$B$2:$B$151,$A10,stops!$P$2:$P$151,"&lt;="&amp;IF(config!$B$37&lt;&gt;"",config!$B$37,TODAY())))</f>
        <v>3</v>
      </c>
      <c r="AO10" s="30" t="n">
        <f aca="false">IF($A10="","",COUNTIFS(stops!$B$2:$B$151,$A10,stops!$AF$2:$AF$151,"Y"))</f>
        <v>0</v>
      </c>
      <c r="AP10" s="30" t="str">
        <f aca="false">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30" t="str">
        <f aca="false">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30" t="str">
        <f aca="false">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ustomFormat="false" ht="15" hidden="false" customHeight="false" outlineLevel="0" collapsed="false">
      <c r="A11" s="0" t="s">
        <v>698</v>
      </c>
      <c r="C11" s="36" t="n">
        <v>40.7369</v>
      </c>
      <c r="D11" s="36" t="n">
        <v>-73.9906</v>
      </c>
      <c r="G11" s="10" t="s">
        <v>507</v>
      </c>
      <c r="H11" s="10" t="s">
        <v>699</v>
      </c>
      <c r="I11" s="10" t="s">
        <v>680</v>
      </c>
      <c r="J11" s="11"/>
      <c r="K11" s="10" t="s">
        <v>626</v>
      </c>
      <c r="L11" s="11"/>
      <c r="O11" s="30" t="str">
        <f aca="false">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SAMPLE Quill Nonprofit Press</v>
      </c>
      <c r="P11" s="30" t="str">
        <f aca="false">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SAMPLE 200 Example Avenue</v>
      </c>
      <c r="Q11" s="30" t="str">
        <f aca="false">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SAMPLE Floor 3</v>
      </c>
      <c r="R11" s="30" t="n">
        <f aca="false">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45</v>
      </c>
      <c r="S11" s="30" t="str">
        <f aca="false">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SAMPLE Owner 010</v>
      </c>
      <c r="T11" s="30" t="str">
        <f aca="false">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SAMPLE (212) 555-0110</v>
      </c>
      <c r="U11" s="30" t="str">
        <f aca="false">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SAMPLE-owner-010@example.com</v>
      </c>
      <c r="V11" s="30" t="str">
        <f aca="false">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SAMPLE Owner 010</v>
      </c>
      <c r="W11" s="30" t="str">
        <f aca="false">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SAMPLE Office Manager</v>
      </c>
      <c r="X11" s="30" t="str">
        <f aca="false">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Y</v>
      </c>
      <c r="Y11" s="30" t="str">
        <f aca="false">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walk-up</v>
      </c>
      <c r="Z11" s="30" t="str">
        <f aca="false">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8 to 10 am</v>
      </c>
      <c r="AA11" s="30" t="str">
        <f aca="false">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no</v>
      </c>
      <c r="AB11" s="30" t="str">
        <f aca="false">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email</v>
      </c>
      <c r="AC11" s="30" t="str">
        <f aca="false">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chips-crisps;bars;fruit-snacks;tea-juice</v>
      </c>
      <c r="AD11" s="30" t="str">
        <f aca="false">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31" t="n">
        <f aca="false">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46400</v>
      </c>
      <c r="AF11" s="30" t="str">
        <f aca="false">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N</v>
      </c>
      <c r="AG11" s="30" t="str">
        <f aca="false">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N</v>
      </c>
      <c r="AH11" s="30" t="str">
        <f aca="false">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SAMPLE-CLAY-O-010</v>
      </c>
      <c r="AI11" s="30" t="str">
        <f aca="false">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SAMPLE Publishing</v>
      </c>
      <c r="AJ11" s="30" t="str">
        <f aca="false">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SAMPLE (212) 555-0110</v>
      </c>
      <c r="AK11" s="30" t="str">
        <f aca="false">IF($A11="","",IF($R11="","unknown",IF($R11&lt;40,"under-40",IF($R11&lt;=75,"40-75",IF($R11&lt;=150,"76-150",IF($R11&lt;=250,"151-250",IF($R11&lt;=500,"251-500","over-500")))))))</f>
        <v>40-75</v>
      </c>
      <c r="AL11" s="30" t="str">
        <f aca="false">IF($A11="","",IF($O11="","not on in_signed_offices: paste the outreach file",IF($R11="","no Tuesday headcount",IF($R11&lt;30,"below the hard floor of 30",IF($R11&lt;40,"30 to 39: founder's call",IF($R11&gt;250,"over 250: outside the plan","OK"))))))</f>
        <v>OK</v>
      </c>
      <c r="AM11" s="30" t="n">
        <f aca="false">IF(OR($A11="",$R11=""),"",MIN(config!$B$16,MAX(config!$B$15,MROUND(config!$B$13+config!$B$14*$R11,config!$B$17))))</f>
        <v>40</v>
      </c>
      <c r="AN11" s="30" t="n">
        <f aca="true">IF($A11="","",COUNTIFS(stops!$B$2:$B$151,$A11,stops!$P$2:$P$151,"&lt;="&amp;IF(config!$B$37&lt;&gt;"",config!$B$37,TODAY())))</f>
        <v>3</v>
      </c>
      <c r="AO11" s="30" t="n">
        <f aca="false">IF($A11="","",COUNTIFS(stops!$B$2:$B$151,$A11,stops!$AF$2:$AF$151,"Y"))</f>
        <v>0</v>
      </c>
      <c r="AP11" s="30" t="str">
        <f aca="false">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30" t="str">
        <f aca="false">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30" t="str">
        <f aca="false">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ustomFormat="false" ht="15" hidden="false" customHeight="false" outlineLevel="0" collapsed="false">
      <c r="C12" s="36"/>
      <c r="D12" s="36"/>
      <c r="G12" s="10"/>
      <c r="I12" s="10"/>
      <c r="J12" s="11"/>
      <c r="K12" s="10"/>
      <c r="L12" s="11"/>
      <c r="O12" s="30" t="str">
        <f aca="false">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30" t="str">
        <f aca="false">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30" t="str">
        <f aca="false">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30" t="str">
        <f aca="false">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30" t="str">
        <f aca="false">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30" t="str">
        <f aca="false">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30" t="str">
        <f aca="false">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30" t="str">
        <f aca="false">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30" t="str">
        <f aca="false">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30" t="str">
        <f aca="false">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30" t="str">
        <f aca="false">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30" t="str">
        <f aca="false">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30" t="str">
        <f aca="false">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30" t="str">
        <f aca="false">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30" t="str">
        <f aca="false">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30" t="str">
        <f aca="false">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31" t="str">
        <f aca="false">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30" t="str">
        <f aca="false">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30" t="str">
        <f aca="false">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30" t="str">
        <f aca="false">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30" t="str">
        <f aca="false">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30" t="str">
        <f aca="false">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30" t="str">
        <f aca="false">IF($A12="","",IF($R12="","unknown",IF($R12&lt;40,"under-40",IF($R12&lt;=75,"40-75",IF($R12&lt;=150,"76-150",IF($R12&lt;=250,"151-250",IF($R12&lt;=500,"251-500","over-500")))))))</f>
        <v/>
      </c>
      <c r="AL12" s="30" t="str">
        <f aca="false">IF($A12="","",IF($O12="","not on in_signed_offices: paste the outreach file",IF($R12="","no Tuesday headcount",IF($R12&lt;30,"below the hard floor of 30",IF($R12&lt;40,"30 to 39: founder's call",IF($R12&gt;250,"over 250: outside the plan","OK"))))))</f>
        <v/>
      </c>
      <c r="AM12" s="30" t="str">
        <f aca="false">IF(OR($A12="",$R12=""),"",MIN(config!$B$16,MAX(config!$B$15,MROUND(config!$B$13+config!$B$14*$R12,config!$B$17))))</f>
        <v/>
      </c>
      <c r="AN12" s="30" t="str">
        <f aca="true">IF($A12="","",COUNTIFS(stops!$B$2:$B$151,$A12,stops!$P$2:$P$151,"&lt;="&amp;IF(config!$B$37&lt;&gt;"",config!$B$37,TODAY())))</f>
        <v/>
      </c>
      <c r="AO12" s="30" t="str">
        <f aca="false">IF($A12="","",COUNTIFS(stops!$B$2:$B$151,$A12,stops!$AF$2:$AF$151,"Y"))</f>
        <v/>
      </c>
      <c r="AP12" s="30" t="str">
        <f aca="false">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30" t="str">
        <f aca="false">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30" t="str">
        <f aca="false">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ustomFormat="false" ht="15" hidden="false" customHeight="false" outlineLevel="0" collapsed="false">
      <c r="C13" s="36"/>
      <c r="D13" s="36"/>
      <c r="G13" s="10"/>
      <c r="I13" s="10"/>
      <c r="J13" s="11"/>
      <c r="K13" s="10"/>
      <c r="L13" s="11"/>
      <c r="O13" s="30" t="str">
        <f aca="false">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30" t="str">
        <f aca="false">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30" t="str">
        <f aca="false">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30" t="str">
        <f aca="false">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30" t="str">
        <f aca="false">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30" t="str">
        <f aca="false">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30" t="str">
        <f aca="false">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30" t="str">
        <f aca="false">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30" t="str">
        <f aca="false">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30" t="str">
        <f aca="false">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30" t="str">
        <f aca="false">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30" t="str">
        <f aca="false">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30" t="str">
        <f aca="false">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30" t="str">
        <f aca="false">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30" t="str">
        <f aca="false">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30" t="str">
        <f aca="false">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31" t="str">
        <f aca="false">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30" t="str">
        <f aca="false">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30" t="str">
        <f aca="false">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30" t="str">
        <f aca="false">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30" t="str">
        <f aca="false">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30" t="str">
        <f aca="false">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30" t="str">
        <f aca="false">IF($A13="","",IF($R13="","unknown",IF($R13&lt;40,"under-40",IF($R13&lt;=75,"40-75",IF($R13&lt;=150,"76-150",IF($R13&lt;=250,"151-250",IF($R13&lt;=500,"251-500","over-500")))))))</f>
        <v/>
      </c>
      <c r="AL13" s="30" t="str">
        <f aca="false">IF($A13="","",IF($O13="","not on in_signed_offices: paste the outreach file",IF($R13="","no Tuesday headcount",IF($R13&lt;30,"below the hard floor of 30",IF($R13&lt;40,"30 to 39: founder's call",IF($R13&gt;250,"over 250: outside the plan","OK"))))))</f>
        <v/>
      </c>
      <c r="AM13" s="30" t="str">
        <f aca="false">IF(OR($A13="",$R13=""),"",MIN(config!$B$16,MAX(config!$B$15,MROUND(config!$B$13+config!$B$14*$R13,config!$B$17))))</f>
        <v/>
      </c>
      <c r="AN13" s="30" t="str">
        <f aca="true">IF($A13="","",COUNTIFS(stops!$B$2:$B$151,$A13,stops!$P$2:$P$151,"&lt;="&amp;IF(config!$B$37&lt;&gt;"",config!$B$37,TODAY())))</f>
        <v/>
      </c>
      <c r="AO13" s="30" t="str">
        <f aca="false">IF($A13="","",COUNTIFS(stops!$B$2:$B$151,$A13,stops!$AF$2:$AF$151,"Y"))</f>
        <v/>
      </c>
      <c r="AP13" s="30" t="str">
        <f aca="false">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30" t="str">
        <f aca="false">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30" t="str">
        <f aca="false">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ustomFormat="false" ht="15" hidden="false" customHeight="false" outlineLevel="0" collapsed="false">
      <c r="C14" s="36"/>
      <c r="D14" s="36"/>
      <c r="G14" s="10"/>
      <c r="I14" s="10"/>
      <c r="J14" s="11"/>
      <c r="K14" s="10"/>
      <c r="L14" s="11"/>
      <c r="O14" s="30" t="str">
        <f aca="false">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30" t="str">
        <f aca="false">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30" t="str">
        <f aca="false">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30" t="str">
        <f aca="false">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30" t="str">
        <f aca="false">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30" t="str">
        <f aca="false">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30" t="str">
        <f aca="false">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30" t="str">
        <f aca="false">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30" t="str">
        <f aca="false">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30" t="str">
        <f aca="false">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30" t="str">
        <f aca="false">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30" t="str">
        <f aca="false">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30" t="str">
        <f aca="false">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30" t="str">
        <f aca="false">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30" t="str">
        <f aca="false">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30" t="str">
        <f aca="false">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31" t="str">
        <f aca="false">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30" t="str">
        <f aca="false">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30" t="str">
        <f aca="false">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30" t="str">
        <f aca="false">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30" t="str">
        <f aca="false">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30" t="str">
        <f aca="false">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30" t="str">
        <f aca="false">IF($A14="","",IF($R14="","unknown",IF($R14&lt;40,"under-40",IF($R14&lt;=75,"40-75",IF($R14&lt;=150,"76-150",IF($R14&lt;=250,"151-250",IF($R14&lt;=500,"251-500","over-500")))))))</f>
        <v/>
      </c>
      <c r="AL14" s="30" t="str">
        <f aca="false">IF($A14="","",IF($O14="","not on in_signed_offices: paste the outreach file",IF($R14="","no Tuesday headcount",IF($R14&lt;30,"below the hard floor of 30",IF($R14&lt;40,"30 to 39: founder's call",IF($R14&gt;250,"over 250: outside the plan","OK"))))))</f>
        <v/>
      </c>
      <c r="AM14" s="30" t="str">
        <f aca="false">IF(OR($A14="",$R14=""),"",MIN(config!$B$16,MAX(config!$B$15,MROUND(config!$B$13+config!$B$14*$R14,config!$B$17))))</f>
        <v/>
      </c>
      <c r="AN14" s="30" t="str">
        <f aca="true">IF($A14="","",COUNTIFS(stops!$B$2:$B$151,$A14,stops!$P$2:$P$151,"&lt;="&amp;IF(config!$B$37&lt;&gt;"",config!$B$37,TODAY())))</f>
        <v/>
      </c>
      <c r="AO14" s="30" t="str">
        <f aca="false">IF($A14="","",COUNTIFS(stops!$B$2:$B$151,$A14,stops!$AF$2:$AF$151,"Y"))</f>
        <v/>
      </c>
      <c r="AP14" s="30" t="str">
        <f aca="false">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30" t="str">
        <f aca="false">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30" t="str">
        <f aca="false">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ustomFormat="false" ht="15" hidden="false" customHeight="false" outlineLevel="0" collapsed="false">
      <c r="C15" s="36"/>
      <c r="D15" s="36"/>
      <c r="G15" s="10"/>
      <c r="I15" s="10"/>
      <c r="J15" s="11"/>
      <c r="K15" s="10"/>
      <c r="L15" s="11"/>
      <c r="O15" s="30" t="str">
        <f aca="false">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30" t="str">
        <f aca="false">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30" t="str">
        <f aca="false">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30" t="str">
        <f aca="false">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30" t="str">
        <f aca="false">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30" t="str">
        <f aca="false">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30" t="str">
        <f aca="false">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30" t="str">
        <f aca="false">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30" t="str">
        <f aca="false">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30" t="str">
        <f aca="false">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30" t="str">
        <f aca="false">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30" t="str">
        <f aca="false">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30" t="str">
        <f aca="false">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30" t="str">
        <f aca="false">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30" t="str">
        <f aca="false">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30" t="str">
        <f aca="false">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31" t="str">
        <f aca="false">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30" t="str">
        <f aca="false">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30" t="str">
        <f aca="false">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30" t="str">
        <f aca="false">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30" t="str">
        <f aca="false">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30" t="str">
        <f aca="false">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30" t="str">
        <f aca="false">IF($A15="","",IF($R15="","unknown",IF($R15&lt;40,"under-40",IF($R15&lt;=75,"40-75",IF($R15&lt;=150,"76-150",IF($R15&lt;=250,"151-250",IF($R15&lt;=500,"251-500","over-500")))))))</f>
        <v/>
      </c>
      <c r="AL15" s="30" t="str">
        <f aca="false">IF($A15="","",IF($O15="","not on in_signed_offices: paste the outreach file",IF($R15="","no Tuesday headcount",IF($R15&lt;30,"below the hard floor of 30",IF($R15&lt;40,"30 to 39: founder's call",IF($R15&gt;250,"over 250: outside the plan","OK"))))))</f>
        <v/>
      </c>
      <c r="AM15" s="30" t="str">
        <f aca="false">IF(OR($A15="",$R15=""),"",MIN(config!$B$16,MAX(config!$B$15,MROUND(config!$B$13+config!$B$14*$R15,config!$B$17))))</f>
        <v/>
      </c>
      <c r="AN15" s="30" t="str">
        <f aca="true">IF($A15="","",COUNTIFS(stops!$B$2:$B$151,$A15,stops!$P$2:$P$151,"&lt;="&amp;IF(config!$B$37&lt;&gt;"",config!$B$37,TODAY())))</f>
        <v/>
      </c>
      <c r="AO15" s="30" t="str">
        <f aca="false">IF($A15="","",COUNTIFS(stops!$B$2:$B$151,$A15,stops!$AF$2:$AF$151,"Y"))</f>
        <v/>
      </c>
      <c r="AP15" s="30" t="str">
        <f aca="false">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30" t="str">
        <f aca="false">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30" t="str">
        <f aca="false">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ustomFormat="false" ht="15" hidden="false" customHeight="false" outlineLevel="0" collapsed="false">
      <c r="C16" s="36"/>
      <c r="D16" s="36"/>
      <c r="G16" s="10"/>
      <c r="I16" s="10"/>
      <c r="J16" s="11"/>
      <c r="K16" s="10"/>
      <c r="L16" s="11"/>
      <c r="O16" s="30" t="str">
        <f aca="false">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30" t="str">
        <f aca="false">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30" t="str">
        <f aca="false">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30" t="str">
        <f aca="false">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30" t="str">
        <f aca="false">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30" t="str">
        <f aca="false">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30" t="str">
        <f aca="false">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30" t="str">
        <f aca="false">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30" t="str">
        <f aca="false">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30" t="str">
        <f aca="false">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30" t="str">
        <f aca="false">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30" t="str">
        <f aca="false">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30" t="str">
        <f aca="false">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30" t="str">
        <f aca="false">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30" t="str">
        <f aca="false">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30" t="str">
        <f aca="false">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31" t="str">
        <f aca="false">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30" t="str">
        <f aca="false">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30" t="str">
        <f aca="false">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30" t="str">
        <f aca="false">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30" t="str">
        <f aca="false">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30" t="str">
        <f aca="false">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30" t="str">
        <f aca="false">IF($A16="","",IF($R16="","unknown",IF($R16&lt;40,"under-40",IF($R16&lt;=75,"40-75",IF($R16&lt;=150,"76-150",IF($R16&lt;=250,"151-250",IF($R16&lt;=500,"251-500","over-500")))))))</f>
        <v/>
      </c>
      <c r="AL16" s="30" t="str">
        <f aca="false">IF($A16="","",IF($O16="","not on in_signed_offices: paste the outreach file",IF($R16="","no Tuesday headcount",IF($R16&lt;30,"below the hard floor of 30",IF($R16&lt;40,"30 to 39: founder's call",IF($R16&gt;250,"over 250: outside the plan","OK"))))))</f>
        <v/>
      </c>
      <c r="AM16" s="30" t="str">
        <f aca="false">IF(OR($A16="",$R16=""),"",MIN(config!$B$16,MAX(config!$B$15,MROUND(config!$B$13+config!$B$14*$R16,config!$B$17))))</f>
        <v/>
      </c>
      <c r="AN16" s="30" t="str">
        <f aca="true">IF($A16="","",COUNTIFS(stops!$B$2:$B$151,$A16,stops!$P$2:$P$151,"&lt;="&amp;IF(config!$B$37&lt;&gt;"",config!$B$37,TODAY())))</f>
        <v/>
      </c>
      <c r="AO16" s="30" t="str">
        <f aca="false">IF($A16="","",COUNTIFS(stops!$B$2:$B$151,$A16,stops!$AF$2:$AF$151,"Y"))</f>
        <v/>
      </c>
      <c r="AP16" s="30" t="str">
        <f aca="false">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30" t="str">
        <f aca="false">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30" t="str">
        <f aca="false">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ustomFormat="false" ht="15" hidden="false" customHeight="false" outlineLevel="0" collapsed="false">
      <c r="C17" s="36"/>
      <c r="D17" s="36"/>
      <c r="G17" s="10"/>
      <c r="I17" s="10"/>
      <c r="J17" s="11"/>
      <c r="K17" s="10"/>
      <c r="L17" s="11"/>
      <c r="O17" s="30" t="str">
        <f aca="false">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30" t="str">
        <f aca="false">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30" t="str">
        <f aca="false">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30" t="str">
        <f aca="false">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30" t="str">
        <f aca="false">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30" t="str">
        <f aca="false">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30" t="str">
        <f aca="false">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30" t="str">
        <f aca="false">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30" t="str">
        <f aca="false">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30" t="str">
        <f aca="false">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30" t="str">
        <f aca="false">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30" t="str">
        <f aca="false">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30" t="str">
        <f aca="false">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30" t="str">
        <f aca="false">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30" t="str">
        <f aca="false">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30" t="str">
        <f aca="false">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31" t="str">
        <f aca="false">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30" t="str">
        <f aca="false">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30" t="str">
        <f aca="false">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30" t="str">
        <f aca="false">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30" t="str">
        <f aca="false">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30" t="str">
        <f aca="false">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30" t="str">
        <f aca="false">IF($A17="","",IF($R17="","unknown",IF($R17&lt;40,"under-40",IF($R17&lt;=75,"40-75",IF($R17&lt;=150,"76-150",IF($R17&lt;=250,"151-250",IF($R17&lt;=500,"251-500","over-500")))))))</f>
        <v/>
      </c>
      <c r="AL17" s="30" t="str">
        <f aca="false">IF($A17="","",IF($O17="","not on in_signed_offices: paste the outreach file",IF($R17="","no Tuesday headcount",IF($R17&lt;30,"below the hard floor of 30",IF($R17&lt;40,"30 to 39: founder's call",IF($R17&gt;250,"over 250: outside the plan","OK"))))))</f>
        <v/>
      </c>
      <c r="AM17" s="30" t="str">
        <f aca="false">IF(OR($A17="",$R17=""),"",MIN(config!$B$16,MAX(config!$B$15,MROUND(config!$B$13+config!$B$14*$R17,config!$B$17))))</f>
        <v/>
      </c>
      <c r="AN17" s="30" t="str">
        <f aca="true">IF($A17="","",COUNTIFS(stops!$B$2:$B$151,$A17,stops!$P$2:$P$151,"&lt;="&amp;IF(config!$B$37&lt;&gt;"",config!$B$37,TODAY())))</f>
        <v/>
      </c>
      <c r="AO17" s="30" t="str">
        <f aca="false">IF($A17="","",COUNTIFS(stops!$B$2:$B$151,$A17,stops!$AF$2:$AF$151,"Y"))</f>
        <v/>
      </c>
      <c r="AP17" s="30" t="str">
        <f aca="false">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30" t="str">
        <f aca="false">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30" t="str">
        <f aca="false">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ustomFormat="false" ht="15" hidden="false" customHeight="false" outlineLevel="0" collapsed="false">
      <c r="C18" s="36"/>
      <c r="D18" s="36"/>
      <c r="G18" s="10"/>
      <c r="I18" s="10"/>
      <c r="J18" s="11"/>
      <c r="K18" s="10"/>
      <c r="L18" s="11"/>
      <c r="O18" s="30" t="str">
        <f aca="false">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30" t="str">
        <f aca="false">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30" t="str">
        <f aca="false">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30" t="str">
        <f aca="false">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30" t="str">
        <f aca="false">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30" t="str">
        <f aca="false">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30" t="str">
        <f aca="false">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30" t="str">
        <f aca="false">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30" t="str">
        <f aca="false">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30" t="str">
        <f aca="false">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30" t="str">
        <f aca="false">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30" t="str">
        <f aca="false">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30" t="str">
        <f aca="false">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30" t="str">
        <f aca="false">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30" t="str">
        <f aca="false">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30" t="str">
        <f aca="false">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31" t="str">
        <f aca="false">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30" t="str">
        <f aca="false">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30" t="str">
        <f aca="false">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30" t="str">
        <f aca="false">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30" t="str">
        <f aca="false">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30" t="str">
        <f aca="false">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30" t="str">
        <f aca="false">IF($A18="","",IF($R18="","unknown",IF($R18&lt;40,"under-40",IF($R18&lt;=75,"40-75",IF($R18&lt;=150,"76-150",IF($R18&lt;=250,"151-250",IF($R18&lt;=500,"251-500","over-500")))))))</f>
        <v/>
      </c>
      <c r="AL18" s="30" t="str">
        <f aca="false">IF($A18="","",IF($O18="","not on in_signed_offices: paste the outreach file",IF($R18="","no Tuesday headcount",IF($R18&lt;30,"below the hard floor of 30",IF($R18&lt;40,"30 to 39: founder's call",IF($R18&gt;250,"over 250: outside the plan","OK"))))))</f>
        <v/>
      </c>
      <c r="AM18" s="30" t="str">
        <f aca="false">IF(OR($A18="",$R18=""),"",MIN(config!$B$16,MAX(config!$B$15,MROUND(config!$B$13+config!$B$14*$R18,config!$B$17))))</f>
        <v/>
      </c>
      <c r="AN18" s="30" t="str">
        <f aca="true">IF($A18="","",COUNTIFS(stops!$B$2:$B$151,$A18,stops!$P$2:$P$151,"&lt;="&amp;IF(config!$B$37&lt;&gt;"",config!$B$37,TODAY())))</f>
        <v/>
      </c>
      <c r="AO18" s="30" t="str">
        <f aca="false">IF($A18="","",COUNTIFS(stops!$B$2:$B$151,$A18,stops!$AF$2:$AF$151,"Y"))</f>
        <v/>
      </c>
      <c r="AP18" s="30" t="str">
        <f aca="false">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30" t="str">
        <f aca="false">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30" t="str">
        <f aca="false">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ustomFormat="false" ht="15" hidden="false" customHeight="false" outlineLevel="0" collapsed="false">
      <c r="C19" s="36"/>
      <c r="D19" s="36"/>
      <c r="G19" s="10"/>
      <c r="I19" s="10"/>
      <c r="J19" s="11"/>
      <c r="K19" s="10"/>
      <c r="L19" s="11"/>
      <c r="O19" s="30" t="str">
        <f aca="false">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30" t="str">
        <f aca="false">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30" t="str">
        <f aca="false">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30" t="str">
        <f aca="false">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30" t="str">
        <f aca="false">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30" t="str">
        <f aca="false">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30" t="str">
        <f aca="false">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30" t="str">
        <f aca="false">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30" t="str">
        <f aca="false">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30" t="str">
        <f aca="false">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30" t="str">
        <f aca="false">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30" t="str">
        <f aca="false">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30" t="str">
        <f aca="false">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30" t="str">
        <f aca="false">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30" t="str">
        <f aca="false">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30" t="str">
        <f aca="false">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31" t="str">
        <f aca="false">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30" t="str">
        <f aca="false">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30" t="str">
        <f aca="false">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30" t="str">
        <f aca="false">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30" t="str">
        <f aca="false">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30" t="str">
        <f aca="false">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30" t="str">
        <f aca="false">IF($A19="","",IF($R19="","unknown",IF($R19&lt;40,"under-40",IF($R19&lt;=75,"40-75",IF($R19&lt;=150,"76-150",IF($R19&lt;=250,"151-250",IF($R19&lt;=500,"251-500","over-500")))))))</f>
        <v/>
      </c>
      <c r="AL19" s="30" t="str">
        <f aca="false">IF($A19="","",IF($O19="","not on in_signed_offices: paste the outreach file",IF($R19="","no Tuesday headcount",IF($R19&lt;30,"below the hard floor of 30",IF($R19&lt;40,"30 to 39: founder's call",IF($R19&gt;250,"over 250: outside the plan","OK"))))))</f>
        <v/>
      </c>
      <c r="AM19" s="30" t="str">
        <f aca="false">IF(OR($A19="",$R19=""),"",MIN(config!$B$16,MAX(config!$B$15,MROUND(config!$B$13+config!$B$14*$R19,config!$B$17))))</f>
        <v/>
      </c>
      <c r="AN19" s="30" t="str">
        <f aca="true">IF($A19="","",COUNTIFS(stops!$B$2:$B$151,$A19,stops!$P$2:$P$151,"&lt;="&amp;IF(config!$B$37&lt;&gt;"",config!$B$37,TODAY())))</f>
        <v/>
      </c>
      <c r="AO19" s="30" t="str">
        <f aca="false">IF($A19="","",COUNTIFS(stops!$B$2:$B$151,$A19,stops!$AF$2:$AF$151,"Y"))</f>
        <v/>
      </c>
      <c r="AP19" s="30" t="str">
        <f aca="false">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30" t="str">
        <f aca="false">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30" t="str">
        <f aca="false">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ustomFormat="false" ht="15" hidden="false" customHeight="false" outlineLevel="0" collapsed="false">
      <c r="C20" s="36"/>
      <c r="D20" s="36"/>
      <c r="G20" s="10"/>
      <c r="I20" s="10"/>
      <c r="J20" s="11"/>
      <c r="K20" s="10"/>
      <c r="L20" s="11"/>
      <c r="O20" s="30" t="str">
        <f aca="false">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30" t="str">
        <f aca="false">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30" t="str">
        <f aca="false">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30" t="str">
        <f aca="false">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30" t="str">
        <f aca="false">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30" t="str">
        <f aca="false">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30" t="str">
        <f aca="false">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30" t="str">
        <f aca="false">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30" t="str">
        <f aca="false">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30" t="str">
        <f aca="false">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30" t="str">
        <f aca="false">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30" t="str">
        <f aca="false">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30" t="str">
        <f aca="false">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30" t="str">
        <f aca="false">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30" t="str">
        <f aca="false">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30" t="str">
        <f aca="false">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31" t="str">
        <f aca="false">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30" t="str">
        <f aca="false">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30" t="str">
        <f aca="false">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30" t="str">
        <f aca="false">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30" t="str">
        <f aca="false">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30" t="str">
        <f aca="false">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30" t="str">
        <f aca="false">IF($A20="","",IF($R20="","unknown",IF($R20&lt;40,"under-40",IF($R20&lt;=75,"40-75",IF($R20&lt;=150,"76-150",IF($R20&lt;=250,"151-250",IF($R20&lt;=500,"251-500","over-500")))))))</f>
        <v/>
      </c>
      <c r="AL20" s="30" t="str">
        <f aca="false">IF($A20="","",IF($O20="","not on in_signed_offices: paste the outreach file",IF($R20="","no Tuesday headcount",IF($R20&lt;30,"below the hard floor of 30",IF($R20&lt;40,"30 to 39: founder's call",IF($R20&gt;250,"over 250: outside the plan","OK"))))))</f>
        <v/>
      </c>
      <c r="AM20" s="30" t="str">
        <f aca="false">IF(OR($A20="",$R20=""),"",MIN(config!$B$16,MAX(config!$B$15,MROUND(config!$B$13+config!$B$14*$R20,config!$B$17))))</f>
        <v/>
      </c>
      <c r="AN20" s="30" t="str">
        <f aca="true">IF($A20="","",COUNTIFS(stops!$B$2:$B$151,$A20,stops!$P$2:$P$151,"&lt;="&amp;IF(config!$B$37&lt;&gt;"",config!$B$37,TODAY())))</f>
        <v/>
      </c>
      <c r="AO20" s="30" t="str">
        <f aca="false">IF($A20="","",COUNTIFS(stops!$B$2:$B$151,$A20,stops!$AF$2:$AF$151,"Y"))</f>
        <v/>
      </c>
      <c r="AP20" s="30" t="str">
        <f aca="false">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30" t="str">
        <f aca="false">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30" t="str">
        <f aca="false">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ustomFormat="false" ht="15" hidden="false" customHeight="false" outlineLevel="0" collapsed="false">
      <c r="C21" s="36"/>
      <c r="D21" s="36"/>
      <c r="G21" s="10"/>
      <c r="I21" s="10"/>
      <c r="J21" s="11"/>
      <c r="K21" s="10"/>
      <c r="L21" s="11"/>
      <c r="O21" s="30" t="str">
        <f aca="false">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30" t="str">
        <f aca="false">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30" t="str">
        <f aca="false">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30" t="str">
        <f aca="false">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30" t="str">
        <f aca="false">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30" t="str">
        <f aca="false">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30" t="str">
        <f aca="false">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30" t="str">
        <f aca="false">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30" t="str">
        <f aca="false">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30" t="str">
        <f aca="false">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30" t="str">
        <f aca="false">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30" t="str">
        <f aca="false">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30" t="str">
        <f aca="false">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30" t="str">
        <f aca="false">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30" t="str">
        <f aca="false">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30" t="str">
        <f aca="false">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31" t="str">
        <f aca="false">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30" t="str">
        <f aca="false">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30" t="str">
        <f aca="false">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30" t="str">
        <f aca="false">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30" t="str">
        <f aca="false">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30" t="str">
        <f aca="false">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30" t="str">
        <f aca="false">IF($A21="","",IF($R21="","unknown",IF($R21&lt;40,"under-40",IF($R21&lt;=75,"40-75",IF($R21&lt;=150,"76-150",IF($R21&lt;=250,"151-250",IF($R21&lt;=500,"251-500","over-500")))))))</f>
        <v/>
      </c>
      <c r="AL21" s="30" t="str">
        <f aca="false">IF($A21="","",IF($O21="","not on in_signed_offices: paste the outreach file",IF($R21="","no Tuesday headcount",IF($R21&lt;30,"below the hard floor of 30",IF($R21&lt;40,"30 to 39: founder's call",IF($R21&gt;250,"over 250: outside the plan","OK"))))))</f>
        <v/>
      </c>
      <c r="AM21" s="30" t="str">
        <f aca="false">IF(OR($A21="",$R21=""),"",MIN(config!$B$16,MAX(config!$B$15,MROUND(config!$B$13+config!$B$14*$R21,config!$B$17))))</f>
        <v/>
      </c>
      <c r="AN21" s="30" t="str">
        <f aca="true">IF($A21="","",COUNTIFS(stops!$B$2:$B$151,$A21,stops!$P$2:$P$151,"&lt;="&amp;IF(config!$B$37&lt;&gt;"",config!$B$37,TODAY())))</f>
        <v/>
      </c>
      <c r="AO21" s="30" t="str">
        <f aca="false">IF($A21="","",COUNTIFS(stops!$B$2:$B$151,$A21,stops!$AF$2:$AF$151,"Y"))</f>
        <v/>
      </c>
      <c r="AP21" s="30" t="str">
        <f aca="false">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30" t="str">
        <f aca="false">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30" t="str">
        <f aca="false">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ustomFormat="false" ht="15" hidden="false" customHeight="false" outlineLevel="0" collapsed="false">
      <c r="C22" s="36"/>
      <c r="D22" s="36"/>
      <c r="G22" s="10"/>
      <c r="I22" s="10"/>
      <c r="J22" s="11"/>
      <c r="K22" s="10"/>
      <c r="L22" s="11"/>
      <c r="O22" s="30" t="str">
        <f aca="false">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30" t="str">
        <f aca="false">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30" t="str">
        <f aca="false">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30" t="str">
        <f aca="false">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30" t="str">
        <f aca="false">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30" t="str">
        <f aca="false">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30" t="str">
        <f aca="false">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30" t="str">
        <f aca="false">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30" t="str">
        <f aca="false">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30" t="str">
        <f aca="false">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30" t="str">
        <f aca="false">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30" t="str">
        <f aca="false">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30" t="str">
        <f aca="false">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30" t="str">
        <f aca="false">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30" t="str">
        <f aca="false">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30" t="str">
        <f aca="false">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31" t="str">
        <f aca="false">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30" t="str">
        <f aca="false">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30" t="str">
        <f aca="false">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30" t="str">
        <f aca="false">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30" t="str">
        <f aca="false">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30" t="str">
        <f aca="false">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30" t="str">
        <f aca="false">IF($A22="","",IF($R22="","unknown",IF($R22&lt;40,"under-40",IF($R22&lt;=75,"40-75",IF($R22&lt;=150,"76-150",IF($R22&lt;=250,"151-250",IF($R22&lt;=500,"251-500","over-500")))))))</f>
        <v/>
      </c>
      <c r="AL22" s="30" t="str">
        <f aca="false">IF($A22="","",IF($O22="","not on in_signed_offices: paste the outreach file",IF($R22="","no Tuesday headcount",IF($R22&lt;30,"below the hard floor of 30",IF($R22&lt;40,"30 to 39: founder's call",IF($R22&gt;250,"over 250: outside the plan","OK"))))))</f>
        <v/>
      </c>
      <c r="AM22" s="30" t="str">
        <f aca="false">IF(OR($A22="",$R22=""),"",MIN(config!$B$16,MAX(config!$B$15,MROUND(config!$B$13+config!$B$14*$R22,config!$B$17))))</f>
        <v/>
      </c>
      <c r="AN22" s="30" t="str">
        <f aca="true">IF($A22="","",COUNTIFS(stops!$B$2:$B$151,$A22,stops!$P$2:$P$151,"&lt;="&amp;IF(config!$B$37&lt;&gt;"",config!$B$37,TODAY())))</f>
        <v/>
      </c>
      <c r="AO22" s="30" t="str">
        <f aca="false">IF($A22="","",COUNTIFS(stops!$B$2:$B$151,$A22,stops!$AF$2:$AF$151,"Y"))</f>
        <v/>
      </c>
      <c r="AP22" s="30" t="str">
        <f aca="false">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30" t="str">
        <f aca="false">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30" t="str">
        <f aca="false">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ustomFormat="false" ht="15" hidden="false" customHeight="false" outlineLevel="0" collapsed="false">
      <c r="C23" s="36"/>
      <c r="D23" s="36"/>
      <c r="G23" s="10"/>
      <c r="I23" s="10"/>
      <c r="J23" s="11"/>
      <c r="K23" s="10"/>
      <c r="L23" s="11"/>
      <c r="O23" s="30" t="str">
        <f aca="false">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30" t="str">
        <f aca="false">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30" t="str">
        <f aca="false">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30" t="str">
        <f aca="false">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30" t="str">
        <f aca="false">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30" t="str">
        <f aca="false">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30" t="str">
        <f aca="false">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30" t="str">
        <f aca="false">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30" t="str">
        <f aca="false">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30" t="str">
        <f aca="false">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30" t="str">
        <f aca="false">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30" t="str">
        <f aca="false">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30" t="str">
        <f aca="false">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30" t="str">
        <f aca="false">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30" t="str">
        <f aca="false">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30" t="str">
        <f aca="false">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31" t="str">
        <f aca="false">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30" t="str">
        <f aca="false">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30" t="str">
        <f aca="false">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30" t="str">
        <f aca="false">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30" t="str">
        <f aca="false">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30" t="str">
        <f aca="false">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30" t="str">
        <f aca="false">IF($A23="","",IF($R23="","unknown",IF($R23&lt;40,"under-40",IF($R23&lt;=75,"40-75",IF($R23&lt;=150,"76-150",IF($R23&lt;=250,"151-250",IF($R23&lt;=500,"251-500","over-500")))))))</f>
        <v/>
      </c>
      <c r="AL23" s="30" t="str">
        <f aca="false">IF($A23="","",IF($O23="","not on in_signed_offices: paste the outreach file",IF($R23="","no Tuesday headcount",IF($R23&lt;30,"below the hard floor of 30",IF($R23&lt;40,"30 to 39: founder's call",IF($R23&gt;250,"over 250: outside the plan","OK"))))))</f>
        <v/>
      </c>
      <c r="AM23" s="30" t="str">
        <f aca="false">IF(OR($A23="",$R23=""),"",MIN(config!$B$16,MAX(config!$B$15,MROUND(config!$B$13+config!$B$14*$R23,config!$B$17))))</f>
        <v/>
      </c>
      <c r="AN23" s="30" t="str">
        <f aca="true">IF($A23="","",COUNTIFS(stops!$B$2:$B$151,$A23,stops!$P$2:$P$151,"&lt;="&amp;IF(config!$B$37&lt;&gt;"",config!$B$37,TODAY())))</f>
        <v/>
      </c>
      <c r="AO23" s="30" t="str">
        <f aca="false">IF($A23="","",COUNTIFS(stops!$B$2:$B$151,$A23,stops!$AF$2:$AF$151,"Y"))</f>
        <v/>
      </c>
      <c r="AP23" s="30" t="str">
        <f aca="false">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30" t="str">
        <f aca="false">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30" t="str">
        <f aca="false">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ustomFormat="false" ht="15" hidden="false" customHeight="false" outlineLevel="0" collapsed="false">
      <c r="C24" s="36"/>
      <c r="D24" s="36"/>
      <c r="G24" s="10"/>
      <c r="I24" s="10"/>
      <c r="J24" s="11"/>
      <c r="K24" s="10"/>
      <c r="L24" s="11"/>
      <c r="O24" s="30" t="str">
        <f aca="false">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30" t="str">
        <f aca="false">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30" t="str">
        <f aca="false">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30" t="str">
        <f aca="false">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30" t="str">
        <f aca="false">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30" t="str">
        <f aca="false">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30" t="str">
        <f aca="false">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30" t="str">
        <f aca="false">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30" t="str">
        <f aca="false">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30" t="str">
        <f aca="false">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30" t="str">
        <f aca="false">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30" t="str">
        <f aca="false">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30" t="str">
        <f aca="false">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30" t="str">
        <f aca="false">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30" t="str">
        <f aca="false">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30" t="str">
        <f aca="false">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31" t="str">
        <f aca="false">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30" t="str">
        <f aca="false">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30" t="str">
        <f aca="false">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30" t="str">
        <f aca="false">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30" t="str">
        <f aca="false">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30" t="str">
        <f aca="false">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30" t="str">
        <f aca="false">IF($A24="","",IF($R24="","unknown",IF($R24&lt;40,"under-40",IF($R24&lt;=75,"40-75",IF($R24&lt;=150,"76-150",IF($R24&lt;=250,"151-250",IF($R24&lt;=500,"251-500","over-500")))))))</f>
        <v/>
      </c>
      <c r="AL24" s="30" t="str">
        <f aca="false">IF($A24="","",IF($O24="","not on in_signed_offices: paste the outreach file",IF($R24="","no Tuesday headcount",IF($R24&lt;30,"below the hard floor of 30",IF($R24&lt;40,"30 to 39: founder's call",IF($R24&gt;250,"over 250: outside the plan","OK"))))))</f>
        <v/>
      </c>
      <c r="AM24" s="30" t="str">
        <f aca="false">IF(OR($A24="",$R24=""),"",MIN(config!$B$16,MAX(config!$B$15,MROUND(config!$B$13+config!$B$14*$R24,config!$B$17))))</f>
        <v/>
      </c>
      <c r="AN24" s="30" t="str">
        <f aca="true">IF($A24="","",COUNTIFS(stops!$B$2:$B$151,$A24,stops!$P$2:$P$151,"&lt;="&amp;IF(config!$B$37&lt;&gt;"",config!$B$37,TODAY())))</f>
        <v/>
      </c>
      <c r="AO24" s="30" t="str">
        <f aca="false">IF($A24="","",COUNTIFS(stops!$B$2:$B$151,$A24,stops!$AF$2:$AF$151,"Y"))</f>
        <v/>
      </c>
      <c r="AP24" s="30" t="str">
        <f aca="false">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30" t="str">
        <f aca="false">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30" t="str">
        <f aca="false">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ustomFormat="false" ht="15" hidden="false" customHeight="false" outlineLevel="0" collapsed="false">
      <c r="C25" s="36"/>
      <c r="D25" s="36"/>
      <c r="G25" s="10"/>
      <c r="I25" s="10"/>
      <c r="J25" s="11"/>
      <c r="K25" s="10"/>
      <c r="L25" s="11"/>
      <c r="O25" s="30" t="str">
        <f aca="false">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30" t="str">
        <f aca="false">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30" t="str">
        <f aca="false">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30" t="str">
        <f aca="false">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30" t="str">
        <f aca="false">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30" t="str">
        <f aca="false">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30" t="str">
        <f aca="false">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30" t="str">
        <f aca="false">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30" t="str">
        <f aca="false">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30" t="str">
        <f aca="false">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30" t="str">
        <f aca="false">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30" t="str">
        <f aca="false">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30" t="str">
        <f aca="false">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30" t="str">
        <f aca="false">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30" t="str">
        <f aca="false">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30" t="str">
        <f aca="false">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31" t="str">
        <f aca="false">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30" t="str">
        <f aca="false">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30" t="str">
        <f aca="false">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30" t="str">
        <f aca="false">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30" t="str">
        <f aca="false">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30" t="str">
        <f aca="false">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30" t="str">
        <f aca="false">IF($A25="","",IF($R25="","unknown",IF($R25&lt;40,"under-40",IF($R25&lt;=75,"40-75",IF($R25&lt;=150,"76-150",IF($R25&lt;=250,"151-250",IF($R25&lt;=500,"251-500","over-500")))))))</f>
        <v/>
      </c>
      <c r="AL25" s="30" t="str">
        <f aca="false">IF($A25="","",IF($O25="","not on in_signed_offices: paste the outreach file",IF($R25="","no Tuesday headcount",IF($R25&lt;30,"below the hard floor of 30",IF($R25&lt;40,"30 to 39: founder's call",IF($R25&gt;250,"over 250: outside the plan","OK"))))))</f>
        <v/>
      </c>
      <c r="AM25" s="30" t="str">
        <f aca="false">IF(OR($A25="",$R25=""),"",MIN(config!$B$16,MAX(config!$B$15,MROUND(config!$B$13+config!$B$14*$R25,config!$B$17))))</f>
        <v/>
      </c>
      <c r="AN25" s="30" t="str">
        <f aca="true">IF($A25="","",COUNTIFS(stops!$B$2:$B$151,$A25,stops!$P$2:$P$151,"&lt;="&amp;IF(config!$B$37&lt;&gt;"",config!$B$37,TODAY())))</f>
        <v/>
      </c>
      <c r="AO25" s="30" t="str">
        <f aca="false">IF($A25="","",COUNTIFS(stops!$B$2:$B$151,$A25,stops!$AF$2:$AF$151,"Y"))</f>
        <v/>
      </c>
      <c r="AP25" s="30" t="str">
        <f aca="false">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30" t="str">
        <f aca="false">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30" t="str">
        <f aca="false">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ustomFormat="false" ht="15" hidden="false" customHeight="false" outlineLevel="0" collapsed="false">
      <c r="C26" s="36"/>
      <c r="D26" s="36"/>
      <c r="G26" s="10"/>
      <c r="I26" s="10"/>
      <c r="J26" s="11"/>
      <c r="K26" s="10"/>
      <c r="L26" s="11"/>
      <c r="O26" s="30" t="str">
        <f aca="false">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30" t="str">
        <f aca="false">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30" t="str">
        <f aca="false">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30" t="str">
        <f aca="false">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30" t="str">
        <f aca="false">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30" t="str">
        <f aca="false">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30" t="str">
        <f aca="false">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30" t="str">
        <f aca="false">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30" t="str">
        <f aca="false">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30" t="str">
        <f aca="false">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30" t="str">
        <f aca="false">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30" t="str">
        <f aca="false">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30" t="str">
        <f aca="false">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30" t="str">
        <f aca="false">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30" t="str">
        <f aca="false">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30" t="str">
        <f aca="false">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31" t="str">
        <f aca="false">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30" t="str">
        <f aca="false">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30" t="str">
        <f aca="false">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30" t="str">
        <f aca="false">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30" t="str">
        <f aca="false">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30" t="str">
        <f aca="false">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30" t="str">
        <f aca="false">IF($A26="","",IF($R26="","unknown",IF($R26&lt;40,"under-40",IF($R26&lt;=75,"40-75",IF($R26&lt;=150,"76-150",IF($R26&lt;=250,"151-250",IF($R26&lt;=500,"251-500","over-500")))))))</f>
        <v/>
      </c>
      <c r="AL26" s="30" t="str">
        <f aca="false">IF($A26="","",IF($O26="","not on in_signed_offices: paste the outreach file",IF($R26="","no Tuesday headcount",IF($R26&lt;30,"below the hard floor of 30",IF($R26&lt;40,"30 to 39: founder's call",IF($R26&gt;250,"over 250: outside the plan","OK"))))))</f>
        <v/>
      </c>
      <c r="AM26" s="30" t="str">
        <f aca="false">IF(OR($A26="",$R26=""),"",MIN(config!$B$16,MAX(config!$B$15,MROUND(config!$B$13+config!$B$14*$R26,config!$B$17))))</f>
        <v/>
      </c>
      <c r="AN26" s="30" t="str">
        <f aca="true">IF($A26="","",COUNTIFS(stops!$B$2:$B$151,$A26,stops!$P$2:$P$151,"&lt;="&amp;IF(config!$B$37&lt;&gt;"",config!$B$37,TODAY())))</f>
        <v/>
      </c>
      <c r="AO26" s="30" t="str">
        <f aca="false">IF($A26="","",COUNTIFS(stops!$B$2:$B$151,$A26,stops!$AF$2:$AF$151,"Y"))</f>
        <v/>
      </c>
      <c r="AP26" s="30" t="str">
        <f aca="false">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30" t="str">
        <f aca="false">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30" t="str">
        <f aca="false">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ustomFormat="false" ht="15" hidden="false" customHeight="false" outlineLevel="0" collapsed="false">
      <c r="C27" s="36"/>
      <c r="D27" s="36"/>
      <c r="G27" s="10"/>
      <c r="I27" s="10"/>
      <c r="J27" s="11"/>
      <c r="K27" s="10"/>
      <c r="L27" s="11"/>
      <c r="O27" s="30" t="str">
        <f aca="false">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30" t="str">
        <f aca="false">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30" t="str">
        <f aca="false">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30" t="str">
        <f aca="false">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30" t="str">
        <f aca="false">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30" t="str">
        <f aca="false">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30" t="str">
        <f aca="false">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30" t="str">
        <f aca="false">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30" t="str">
        <f aca="false">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30" t="str">
        <f aca="false">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30" t="str">
        <f aca="false">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30" t="str">
        <f aca="false">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30" t="str">
        <f aca="false">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30" t="str">
        <f aca="false">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30" t="str">
        <f aca="false">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30" t="str">
        <f aca="false">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31" t="str">
        <f aca="false">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30" t="str">
        <f aca="false">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30" t="str">
        <f aca="false">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30" t="str">
        <f aca="false">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30" t="str">
        <f aca="false">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30" t="str">
        <f aca="false">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30" t="str">
        <f aca="false">IF($A27="","",IF($R27="","unknown",IF($R27&lt;40,"under-40",IF($R27&lt;=75,"40-75",IF($R27&lt;=150,"76-150",IF($R27&lt;=250,"151-250",IF($R27&lt;=500,"251-500","over-500")))))))</f>
        <v/>
      </c>
      <c r="AL27" s="30" t="str">
        <f aca="false">IF($A27="","",IF($O27="","not on in_signed_offices: paste the outreach file",IF($R27="","no Tuesday headcount",IF($R27&lt;30,"below the hard floor of 30",IF($R27&lt;40,"30 to 39: founder's call",IF($R27&gt;250,"over 250: outside the plan","OK"))))))</f>
        <v/>
      </c>
      <c r="AM27" s="30" t="str">
        <f aca="false">IF(OR($A27="",$R27=""),"",MIN(config!$B$16,MAX(config!$B$15,MROUND(config!$B$13+config!$B$14*$R27,config!$B$17))))</f>
        <v/>
      </c>
      <c r="AN27" s="30" t="str">
        <f aca="true">IF($A27="","",COUNTIFS(stops!$B$2:$B$151,$A27,stops!$P$2:$P$151,"&lt;="&amp;IF(config!$B$37&lt;&gt;"",config!$B$37,TODAY())))</f>
        <v/>
      </c>
      <c r="AO27" s="30" t="str">
        <f aca="false">IF($A27="","",COUNTIFS(stops!$B$2:$B$151,$A27,stops!$AF$2:$AF$151,"Y"))</f>
        <v/>
      </c>
      <c r="AP27" s="30" t="str">
        <f aca="false">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30" t="str">
        <f aca="false">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30" t="str">
        <f aca="false">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ustomFormat="false" ht="15" hidden="false" customHeight="false" outlineLevel="0" collapsed="false">
      <c r="C28" s="36"/>
      <c r="D28" s="36"/>
      <c r="G28" s="10"/>
      <c r="I28" s="10"/>
      <c r="J28" s="11"/>
      <c r="K28" s="10"/>
      <c r="L28" s="11"/>
      <c r="O28" s="30" t="str">
        <f aca="false">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30" t="str">
        <f aca="false">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30" t="str">
        <f aca="false">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30" t="str">
        <f aca="false">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30" t="str">
        <f aca="false">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30" t="str">
        <f aca="false">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30" t="str">
        <f aca="false">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30" t="str">
        <f aca="false">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30" t="str">
        <f aca="false">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30" t="str">
        <f aca="false">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30" t="str">
        <f aca="false">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30" t="str">
        <f aca="false">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30" t="str">
        <f aca="false">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30" t="str">
        <f aca="false">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30" t="str">
        <f aca="false">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30" t="str">
        <f aca="false">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31" t="str">
        <f aca="false">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30" t="str">
        <f aca="false">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30" t="str">
        <f aca="false">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30" t="str">
        <f aca="false">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30" t="str">
        <f aca="false">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30" t="str">
        <f aca="false">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30" t="str">
        <f aca="false">IF($A28="","",IF($R28="","unknown",IF($R28&lt;40,"under-40",IF($R28&lt;=75,"40-75",IF($R28&lt;=150,"76-150",IF($R28&lt;=250,"151-250",IF($R28&lt;=500,"251-500","over-500")))))))</f>
        <v/>
      </c>
      <c r="AL28" s="30" t="str">
        <f aca="false">IF($A28="","",IF($O28="","not on in_signed_offices: paste the outreach file",IF($R28="","no Tuesday headcount",IF($R28&lt;30,"below the hard floor of 30",IF($R28&lt;40,"30 to 39: founder's call",IF($R28&gt;250,"over 250: outside the plan","OK"))))))</f>
        <v/>
      </c>
      <c r="AM28" s="30" t="str">
        <f aca="false">IF(OR($A28="",$R28=""),"",MIN(config!$B$16,MAX(config!$B$15,MROUND(config!$B$13+config!$B$14*$R28,config!$B$17))))</f>
        <v/>
      </c>
      <c r="AN28" s="30" t="str">
        <f aca="true">IF($A28="","",COUNTIFS(stops!$B$2:$B$151,$A28,stops!$P$2:$P$151,"&lt;="&amp;IF(config!$B$37&lt;&gt;"",config!$B$37,TODAY())))</f>
        <v/>
      </c>
      <c r="AO28" s="30" t="str">
        <f aca="false">IF($A28="","",COUNTIFS(stops!$B$2:$B$151,$A28,stops!$AF$2:$AF$151,"Y"))</f>
        <v/>
      </c>
      <c r="AP28" s="30" t="str">
        <f aca="false">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30" t="str">
        <f aca="false">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30" t="str">
        <f aca="false">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ustomFormat="false" ht="15" hidden="false" customHeight="false" outlineLevel="0" collapsed="false">
      <c r="C29" s="36"/>
      <c r="D29" s="36"/>
      <c r="G29" s="10"/>
      <c r="I29" s="10"/>
      <c r="J29" s="11"/>
      <c r="K29" s="10"/>
      <c r="L29" s="11"/>
      <c r="O29" s="30" t="str">
        <f aca="false">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30" t="str">
        <f aca="false">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30" t="str">
        <f aca="false">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30" t="str">
        <f aca="false">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30" t="str">
        <f aca="false">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30" t="str">
        <f aca="false">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30" t="str">
        <f aca="false">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30" t="str">
        <f aca="false">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30" t="str">
        <f aca="false">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30" t="str">
        <f aca="false">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30" t="str">
        <f aca="false">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30" t="str">
        <f aca="false">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30" t="str">
        <f aca="false">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30" t="str">
        <f aca="false">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30" t="str">
        <f aca="false">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30" t="str">
        <f aca="false">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31" t="str">
        <f aca="false">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30" t="str">
        <f aca="false">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30" t="str">
        <f aca="false">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30" t="str">
        <f aca="false">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30" t="str">
        <f aca="false">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30" t="str">
        <f aca="false">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30" t="str">
        <f aca="false">IF($A29="","",IF($R29="","unknown",IF($R29&lt;40,"under-40",IF($R29&lt;=75,"40-75",IF($R29&lt;=150,"76-150",IF($R29&lt;=250,"151-250",IF($R29&lt;=500,"251-500","over-500")))))))</f>
        <v/>
      </c>
      <c r="AL29" s="30" t="str">
        <f aca="false">IF($A29="","",IF($O29="","not on in_signed_offices: paste the outreach file",IF($R29="","no Tuesday headcount",IF($R29&lt;30,"below the hard floor of 30",IF($R29&lt;40,"30 to 39: founder's call",IF($R29&gt;250,"over 250: outside the plan","OK"))))))</f>
        <v/>
      </c>
      <c r="AM29" s="30" t="str">
        <f aca="false">IF(OR($A29="",$R29=""),"",MIN(config!$B$16,MAX(config!$B$15,MROUND(config!$B$13+config!$B$14*$R29,config!$B$17))))</f>
        <v/>
      </c>
      <c r="AN29" s="30" t="str">
        <f aca="true">IF($A29="","",COUNTIFS(stops!$B$2:$B$151,$A29,stops!$P$2:$P$151,"&lt;="&amp;IF(config!$B$37&lt;&gt;"",config!$B$37,TODAY())))</f>
        <v/>
      </c>
      <c r="AO29" s="30" t="str">
        <f aca="false">IF($A29="","",COUNTIFS(stops!$B$2:$B$151,$A29,stops!$AF$2:$AF$151,"Y"))</f>
        <v/>
      </c>
      <c r="AP29" s="30" t="str">
        <f aca="false">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30" t="str">
        <f aca="false">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30" t="str">
        <f aca="false">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ustomFormat="false" ht="15" hidden="false" customHeight="false" outlineLevel="0" collapsed="false">
      <c r="C30" s="36"/>
      <c r="D30" s="36"/>
      <c r="G30" s="10"/>
      <c r="I30" s="10"/>
      <c r="J30" s="11"/>
      <c r="K30" s="10"/>
      <c r="L30" s="11"/>
      <c r="O30" s="30" t="str">
        <f aca="false">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30" t="str">
        <f aca="false">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30" t="str">
        <f aca="false">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30" t="str">
        <f aca="false">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30" t="str">
        <f aca="false">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30" t="str">
        <f aca="false">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30" t="str">
        <f aca="false">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30" t="str">
        <f aca="false">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30" t="str">
        <f aca="false">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30" t="str">
        <f aca="false">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30" t="str">
        <f aca="false">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30" t="str">
        <f aca="false">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30" t="str">
        <f aca="false">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30" t="str">
        <f aca="false">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30" t="str">
        <f aca="false">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30" t="str">
        <f aca="false">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31" t="str">
        <f aca="false">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30" t="str">
        <f aca="false">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30" t="str">
        <f aca="false">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30" t="str">
        <f aca="false">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30" t="str">
        <f aca="false">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30" t="str">
        <f aca="false">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30" t="str">
        <f aca="false">IF($A30="","",IF($R30="","unknown",IF($R30&lt;40,"under-40",IF($R30&lt;=75,"40-75",IF($R30&lt;=150,"76-150",IF($R30&lt;=250,"151-250",IF($R30&lt;=500,"251-500","over-500")))))))</f>
        <v/>
      </c>
      <c r="AL30" s="30" t="str">
        <f aca="false">IF($A30="","",IF($O30="","not on in_signed_offices: paste the outreach file",IF($R30="","no Tuesday headcount",IF($R30&lt;30,"below the hard floor of 30",IF($R30&lt;40,"30 to 39: founder's call",IF($R30&gt;250,"over 250: outside the plan","OK"))))))</f>
        <v/>
      </c>
      <c r="AM30" s="30" t="str">
        <f aca="false">IF(OR($A30="",$R30=""),"",MIN(config!$B$16,MAX(config!$B$15,MROUND(config!$B$13+config!$B$14*$R30,config!$B$17))))</f>
        <v/>
      </c>
      <c r="AN30" s="30" t="str">
        <f aca="true">IF($A30="","",COUNTIFS(stops!$B$2:$B$151,$A30,stops!$P$2:$P$151,"&lt;="&amp;IF(config!$B$37&lt;&gt;"",config!$B$37,TODAY())))</f>
        <v/>
      </c>
      <c r="AO30" s="30" t="str">
        <f aca="false">IF($A30="","",COUNTIFS(stops!$B$2:$B$151,$A30,stops!$AF$2:$AF$151,"Y"))</f>
        <v/>
      </c>
      <c r="AP30" s="30" t="str">
        <f aca="false">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30" t="str">
        <f aca="false">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30" t="str">
        <f aca="false">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ustomFormat="false" ht="15" hidden="false" customHeight="false" outlineLevel="0" collapsed="false">
      <c r="C31" s="36"/>
      <c r="D31" s="36"/>
      <c r="G31" s="10"/>
      <c r="I31" s="10"/>
      <c r="J31" s="11"/>
      <c r="K31" s="10"/>
      <c r="L31" s="11"/>
      <c r="O31" s="30" t="str">
        <f aca="false">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30" t="str">
        <f aca="false">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30" t="str">
        <f aca="false">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30" t="str">
        <f aca="false">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30" t="str">
        <f aca="false">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30" t="str">
        <f aca="false">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30" t="str">
        <f aca="false">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30" t="str">
        <f aca="false">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30" t="str">
        <f aca="false">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30" t="str">
        <f aca="false">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30" t="str">
        <f aca="false">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30" t="str">
        <f aca="false">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30" t="str">
        <f aca="false">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30" t="str">
        <f aca="false">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30" t="str">
        <f aca="false">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30" t="str">
        <f aca="false">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31" t="str">
        <f aca="false">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30" t="str">
        <f aca="false">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30" t="str">
        <f aca="false">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30" t="str">
        <f aca="false">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30" t="str">
        <f aca="false">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30" t="str">
        <f aca="false">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30" t="str">
        <f aca="false">IF($A31="","",IF($R31="","unknown",IF($R31&lt;40,"under-40",IF($R31&lt;=75,"40-75",IF($R31&lt;=150,"76-150",IF($R31&lt;=250,"151-250",IF($R31&lt;=500,"251-500","over-500")))))))</f>
        <v/>
      </c>
      <c r="AL31" s="30" t="str">
        <f aca="false">IF($A31="","",IF($O31="","not on in_signed_offices: paste the outreach file",IF($R31="","no Tuesday headcount",IF($R31&lt;30,"below the hard floor of 30",IF($R31&lt;40,"30 to 39: founder's call",IF($R31&gt;250,"over 250: outside the plan","OK"))))))</f>
        <v/>
      </c>
      <c r="AM31" s="30" t="str">
        <f aca="false">IF(OR($A31="",$R31=""),"",MIN(config!$B$16,MAX(config!$B$15,MROUND(config!$B$13+config!$B$14*$R31,config!$B$17))))</f>
        <v/>
      </c>
      <c r="AN31" s="30" t="str">
        <f aca="true">IF($A31="","",COUNTIFS(stops!$B$2:$B$151,$A31,stops!$P$2:$P$151,"&lt;="&amp;IF(config!$B$37&lt;&gt;"",config!$B$37,TODAY())))</f>
        <v/>
      </c>
      <c r="AO31" s="30" t="str">
        <f aca="false">IF($A31="","",COUNTIFS(stops!$B$2:$B$151,$A31,stops!$AF$2:$AF$151,"Y"))</f>
        <v/>
      </c>
      <c r="AP31" s="30" t="str">
        <f aca="false">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30" t="str">
        <f aca="false">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30" t="str">
        <f aca="false">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ustomFormat="false" ht="15" hidden="false" customHeight="false" outlineLevel="0" collapsed="false">
      <c r="C32" s="36"/>
      <c r="D32" s="36"/>
      <c r="G32" s="10"/>
      <c r="I32" s="10"/>
      <c r="J32" s="11"/>
      <c r="K32" s="10"/>
      <c r="L32" s="11"/>
      <c r="O32" s="30" t="str">
        <f aca="false">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30" t="str">
        <f aca="false">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30" t="str">
        <f aca="false">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30" t="str">
        <f aca="false">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30" t="str">
        <f aca="false">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30" t="str">
        <f aca="false">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30" t="str">
        <f aca="false">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30" t="str">
        <f aca="false">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30" t="str">
        <f aca="false">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30" t="str">
        <f aca="false">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30" t="str">
        <f aca="false">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30" t="str">
        <f aca="false">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30" t="str">
        <f aca="false">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30" t="str">
        <f aca="false">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30" t="str">
        <f aca="false">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30" t="str">
        <f aca="false">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31" t="str">
        <f aca="false">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30" t="str">
        <f aca="false">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30" t="str">
        <f aca="false">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30" t="str">
        <f aca="false">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30" t="str">
        <f aca="false">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30" t="str">
        <f aca="false">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30" t="str">
        <f aca="false">IF($A32="","",IF($R32="","unknown",IF($R32&lt;40,"under-40",IF($R32&lt;=75,"40-75",IF($R32&lt;=150,"76-150",IF($R32&lt;=250,"151-250",IF($R32&lt;=500,"251-500","over-500")))))))</f>
        <v/>
      </c>
      <c r="AL32" s="30" t="str">
        <f aca="false">IF($A32="","",IF($O32="","not on in_signed_offices: paste the outreach file",IF($R32="","no Tuesday headcount",IF($R32&lt;30,"below the hard floor of 30",IF($R32&lt;40,"30 to 39: founder's call",IF($R32&gt;250,"over 250: outside the plan","OK"))))))</f>
        <v/>
      </c>
      <c r="AM32" s="30" t="str">
        <f aca="false">IF(OR($A32="",$R32=""),"",MIN(config!$B$16,MAX(config!$B$15,MROUND(config!$B$13+config!$B$14*$R32,config!$B$17))))</f>
        <v/>
      </c>
      <c r="AN32" s="30" t="str">
        <f aca="true">IF($A32="","",COUNTIFS(stops!$B$2:$B$151,$A32,stops!$P$2:$P$151,"&lt;="&amp;IF(config!$B$37&lt;&gt;"",config!$B$37,TODAY())))</f>
        <v/>
      </c>
      <c r="AO32" s="30" t="str">
        <f aca="false">IF($A32="","",COUNTIFS(stops!$B$2:$B$151,$A32,stops!$AF$2:$AF$151,"Y"))</f>
        <v/>
      </c>
      <c r="AP32" s="30" t="str">
        <f aca="false">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30" t="str">
        <f aca="false">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30" t="str">
        <f aca="false">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ustomFormat="false" ht="15" hidden="false" customHeight="false" outlineLevel="0" collapsed="false">
      <c r="C33" s="36"/>
      <c r="D33" s="36"/>
      <c r="G33" s="10"/>
      <c r="I33" s="10"/>
      <c r="J33" s="11"/>
      <c r="K33" s="10"/>
      <c r="L33" s="11"/>
      <c r="O33" s="30" t="str">
        <f aca="false">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30" t="str">
        <f aca="false">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30" t="str">
        <f aca="false">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30" t="str">
        <f aca="false">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30" t="str">
        <f aca="false">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30" t="str">
        <f aca="false">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30" t="str">
        <f aca="false">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30" t="str">
        <f aca="false">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30" t="str">
        <f aca="false">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30" t="str">
        <f aca="false">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30" t="str">
        <f aca="false">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30" t="str">
        <f aca="false">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30" t="str">
        <f aca="false">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30" t="str">
        <f aca="false">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30" t="str">
        <f aca="false">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30" t="str">
        <f aca="false">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31" t="str">
        <f aca="false">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30" t="str">
        <f aca="false">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30" t="str">
        <f aca="false">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30" t="str">
        <f aca="false">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30" t="str">
        <f aca="false">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30" t="str">
        <f aca="false">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30" t="str">
        <f aca="false">IF($A33="","",IF($R33="","unknown",IF($R33&lt;40,"under-40",IF($R33&lt;=75,"40-75",IF($R33&lt;=150,"76-150",IF($R33&lt;=250,"151-250",IF($R33&lt;=500,"251-500","over-500")))))))</f>
        <v/>
      </c>
      <c r="AL33" s="30" t="str">
        <f aca="false">IF($A33="","",IF($O33="","not on in_signed_offices: paste the outreach file",IF($R33="","no Tuesday headcount",IF($R33&lt;30,"below the hard floor of 30",IF($R33&lt;40,"30 to 39: founder's call",IF($R33&gt;250,"over 250: outside the plan","OK"))))))</f>
        <v/>
      </c>
      <c r="AM33" s="30" t="str">
        <f aca="false">IF(OR($A33="",$R33=""),"",MIN(config!$B$16,MAX(config!$B$15,MROUND(config!$B$13+config!$B$14*$R33,config!$B$17))))</f>
        <v/>
      </c>
      <c r="AN33" s="30" t="str">
        <f aca="true">IF($A33="","",COUNTIFS(stops!$B$2:$B$151,$A33,stops!$P$2:$P$151,"&lt;="&amp;IF(config!$B$37&lt;&gt;"",config!$B$37,TODAY())))</f>
        <v/>
      </c>
      <c r="AO33" s="30" t="str">
        <f aca="false">IF($A33="","",COUNTIFS(stops!$B$2:$B$151,$A33,stops!$AF$2:$AF$151,"Y"))</f>
        <v/>
      </c>
      <c r="AP33" s="30" t="str">
        <f aca="false">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30" t="str">
        <f aca="false">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30" t="str">
        <f aca="false">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ustomFormat="false" ht="15" hidden="false" customHeight="false" outlineLevel="0" collapsed="false">
      <c r="C34" s="36"/>
      <c r="D34" s="36"/>
      <c r="G34" s="10"/>
      <c r="I34" s="10"/>
      <c r="J34" s="11"/>
      <c r="K34" s="10"/>
      <c r="L34" s="11"/>
      <c r="O34" s="30" t="str">
        <f aca="false">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30" t="str">
        <f aca="false">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30" t="str">
        <f aca="false">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30" t="str">
        <f aca="false">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30" t="str">
        <f aca="false">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30" t="str">
        <f aca="false">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30" t="str">
        <f aca="false">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30" t="str">
        <f aca="false">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30" t="str">
        <f aca="false">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30" t="str">
        <f aca="false">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30" t="str">
        <f aca="false">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30" t="str">
        <f aca="false">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30" t="str">
        <f aca="false">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30" t="str">
        <f aca="false">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30" t="str">
        <f aca="false">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30" t="str">
        <f aca="false">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31" t="str">
        <f aca="false">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30" t="str">
        <f aca="false">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30" t="str">
        <f aca="false">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30" t="str">
        <f aca="false">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30" t="str">
        <f aca="false">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30" t="str">
        <f aca="false">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30" t="str">
        <f aca="false">IF($A34="","",IF($R34="","unknown",IF($R34&lt;40,"under-40",IF($R34&lt;=75,"40-75",IF($R34&lt;=150,"76-150",IF($R34&lt;=250,"151-250",IF($R34&lt;=500,"251-500","over-500")))))))</f>
        <v/>
      </c>
      <c r="AL34" s="30" t="str">
        <f aca="false">IF($A34="","",IF($O34="","not on in_signed_offices: paste the outreach file",IF($R34="","no Tuesday headcount",IF($R34&lt;30,"below the hard floor of 30",IF($R34&lt;40,"30 to 39: founder's call",IF($R34&gt;250,"over 250: outside the plan","OK"))))))</f>
        <v/>
      </c>
      <c r="AM34" s="30" t="str">
        <f aca="false">IF(OR($A34="",$R34=""),"",MIN(config!$B$16,MAX(config!$B$15,MROUND(config!$B$13+config!$B$14*$R34,config!$B$17))))</f>
        <v/>
      </c>
      <c r="AN34" s="30" t="str">
        <f aca="true">IF($A34="","",COUNTIFS(stops!$B$2:$B$151,$A34,stops!$P$2:$P$151,"&lt;="&amp;IF(config!$B$37&lt;&gt;"",config!$B$37,TODAY())))</f>
        <v/>
      </c>
      <c r="AO34" s="30" t="str">
        <f aca="false">IF($A34="","",COUNTIFS(stops!$B$2:$B$151,$A34,stops!$AF$2:$AF$151,"Y"))</f>
        <v/>
      </c>
      <c r="AP34" s="30" t="str">
        <f aca="false">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30" t="str">
        <f aca="false">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30" t="str">
        <f aca="false">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ustomFormat="false" ht="15" hidden="false" customHeight="false" outlineLevel="0" collapsed="false">
      <c r="C35" s="36"/>
      <c r="D35" s="36"/>
      <c r="G35" s="10"/>
      <c r="I35" s="10"/>
      <c r="J35" s="11"/>
      <c r="K35" s="10"/>
      <c r="L35" s="11"/>
      <c r="O35" s="30" t="str">
        <f aca="false">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30" t="str">
        <f aca="false">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30" t="str">
        <f aca="false">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30" t="str">
        <f aca="false">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30" t="str">
        <f aca="false">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30" t="str">
        <f aca="false">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30" t="str">
        <f aca="false">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30" t="str">
        <f aca="false">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30" t="str">
        <f aca="false">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30" t="str">
        <f aca="false">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30" t="str">
        <f aca="false">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30" t="str">
        <f aca="false">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30" t="str">
        <f aca="false">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30" t="str">
        <f aca="false">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30" t="str">
        <f aca="false">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30" t="str">
        <f aca="false">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31" t="str">
        <f aca="false">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30" t="str">
        <f aca="false">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30" t="str">
        <f aca="false">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30" t="str">
        <f aca="false">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30" t="str">
        <f aca="false">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30" t="str">
        <f aca="false">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30" t="str">
        <f aca="false">IF($A35="","",IF($R35="","unknown",IF($R35&lt;40,"under-40",IF($R35&lt;=75,"40-75",IF($R35&lt;=150,"76-150",IF($R35&lt;=250,"151-250",IF($R35&lt;=500,"251-500","over-500")))))))</f>
        <v/>
      </c>
      <c r="AL35" s="30" t="str">
        <f aca="false">IF($A35="","",IF($O35="","not on in_signed_offices: paste the outreach file",IF($R35="","no Tuesday headcount",IF($R35&lt;30,"below the hard floor of 30",IF($R35&lt;40,"30 to 39: founder's call",IF($R35&gt;250,"over 250: outside the plan","OK"))))))</f>
        <v/>
      </c>
      <c r="AM35" s="30" t="str">
        <f aca="false">IF(OR($A35="",$R35=""),"",MIN(config!$B$16,MAX(config!$B$15,MROUND(config!$B$13+config!$B$14*$R35,config!$B$17))))</f>
        <v/>
      </c>
      <c r="AN35" s="30" t="str">
        <f aca="true">IF($A35="","",COUNTIFS(stops!$B$2:$B$151,$A35,stops!$P$2:$P$151,"&lt;="&amp;IF(config!$B$37&lt;&gt;"",config!$B$37,TODAY())))</f>
        <v/>
      </c>
      <c r="AO35" s="30" t="str">
        <f aca="false">IF($A35="","",COUNTIFS(stops!$B$2:$B$151,$A35,stops!$AF$2:$AF$151,"Y"))</f>
        <v/>
      </c>
      <c r="AP35" s="30" t="str">
        <f aca="false">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30" t="str">
        <f aca="false">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30" t="str">
        <f aca="false">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ustomFormat="false" ht="15" hidden="false" customHeight="false" outlineLevel="0" collapsed="false">
      <c r="C36" s="36"/>
      <c r="D36" s="36"/>
      <c r="G36" s="10"/>
      <c r="I36" s="10"/>
      <c r="J36" s="11"/>
      <c r="K36" s="10"/>
      <c r="L36" s="11"/>
      <c r="O36" s="30" t="str">
        <f aca="false">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30" t="str">
        <f aca="false">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30" t="str">
        <f aca="false">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30" t="str">
        <f aca="false">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30" t="str">
        <f aca="false">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30" t="str">
        <f aca="false">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30" t="str">
        <f aca="false">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30" t="str">
        <f aca="false">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30" t="str">
        <f aca="false">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30" t="str">
        <f aca="false">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30" t="str">
        <f aca="false">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30" t="str">
        <f aca="false">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30" t="str">
        <f aca="false">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30" t="str">
        <f aca="false">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30" t="str">
        <f aca="false">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30" t="str">
        <f aca="false">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31" t="str">
        <f aca="false">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30" t="str">
        <f aca="false">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30" t="str">
        <f aca="false">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30" t="str">
        <f aca="false">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30" t="str">
        <f aca="false">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30" t="str">
        <f aca="false">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30" t="str">
        <f aca="false">IF($A36="","",IF($R36="","unknown",IF($R36&lt;40,"under-40",IF($R36&lt;=75,"40-75",IF($R36&lt;=150,"76-150",IF($R36&lt;=250,"151-250",IF($R36&lt;=500,"251-500","over-500")))))))</f>
        <v/>
      </c>
      <c r="AL36" s="30" t="str">
        <f aca="false">IF($A36="","",IF($O36="","not on in_signed_offices: paste the outreach file",IF($R36="","no Tuesday headcount",IF($R36&lt;30,"below the hard floor of 30",IF($R36&lt;40,"30 to 39: founder's call",IF($R36&gt;250,"over 250: outside the plan","OK"))))))</f>
        <v/>
      </c>
      <c r="AM36" s="30" t="str">
        <f aca="false">IF(OR($A36="",$R36=""),"",MIN(config!$B$16,MAX(config!$B$15,MROUND(config!$B$13+config!$B$14*$R36,config!$B$17))))</f>
        <v/>
      </c>
      <c r="AN36" s="30" t="str">
        <f aca="true">IF($A36="","",COUNTIFS(stops!$B$2:$B$151,$A36,stops!$P$2:$P$151,"&lt;="&amp;IF(config!$B$37&lt;&gt;"",config!$B$37,TODAY())))</f>
        <v/>
      </c>
      <c r="AO36" s="30" t="str">
        <f aca="false">IF($A36="","",COUNTIFS(stops!$B$2:$B$151,$A36,stops!$AF$2:$AF$151,"Y"))</f>
        <v/>
      </c>
      <c r="AP36" s="30" t="str">
        <f aca="false">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30" t="str">
        <f aca="false">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30" t="str">
        <f aca="false">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ustomFormat="false" ht="15" hidden="false" customHeight="false" outlineLevel="0" collapsed="false">
      <c r="C37" s="36"/>
      <c r="D37" s="36"/>
      <c r="G37" s="10"/>
      <c r="I37" s="10"/>
      <c r="J37" s="11"/>
      <c r="K37" s="10"/>
      <c r="L37" s="11"/>
      <c r="O37" s="30" t="str">
        <f aca="false">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30" t="str">
        <f aca="false">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30" t="str">
        <f aca="false">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30" t="str">
        <f aca="false">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30" t="str">
        <f aca="false">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30" t="str">
        <f aca="false">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30" t="str">
        <f aca="false">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30" t="str">
        <f aca="false">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30" t="str">
        <f aca="false">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30" t="str">
        <f aca="false">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30" t="str">
        <f aca="false">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30" t="str">
        <f aca="false">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30" t="str">
        <f aca="false">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30" t="str">
        <f aca="false">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30" t="str">
        <f aca="false">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30" t="str">
        <f aca="false">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31" t="str">
        <f aca="false">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30" t="str">
        <f aca="false">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30" t="str">
        <f aca="false">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30" t="str">
        <f aca="false">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30" t="str">
        <f aca="false">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30" t="str">
        <f aca="false">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30" t="str">
        <f aca="false">IF($A37="","",IF($R37="","unknown",IF($R37&lt;40,"under-40",IF($R37&lt;=75,"40-75",IF($R37&lt;=150,"76-150",IF($R37&lt;=250,"151-250",IF($R37&lt;=500,"251-500","over-500")))))))</f>
        <v/>
      </c>
      <c r="AL37" s="30" t="str">
        <f aca="false">IF($A37="","",IF($O37="","not on in_signed_offices: paste the outreach file",IF($R37="","no Tuesday headcount",IF($R37&lt;30,"below the hard floor of 30",IF($R37&lt;40,"30 to 39: founder's call",IF($R37&gt;250,"over 250: outside the plan","OK"))))))</f>
        <v/>
      </c>
      <c r="AM37" s="30" t="str">
        <f aca="false">IF(OR($A37="",$R37=""),"",MIN(config!$B$16,MAX(config!$B$15,MROUND(config!$B$13+config!$B$14*$R37,config!$B$17))))</f>
        <v/>
      </c>
      <c r="AN37" s="30" t="str">
        <f aca="true">IF($A37="","",COUNTIFS(stops!$B$2:$B$151,$A37,stops!$P$2:$P$151,"&lt;="&amp;IF(config!$B$37&lt;&gt;"",config!$B$37,TODAY())))</f>
        <v/>
      </c>
      <c r="AO37" s="30" t="str">
        <f aca="false">IF($A37="","",COUNTIFS(stops!$B$2:$B$151,$A37,stops!$AF$2:$AF$151,"Y"))</f>
        <v/>
      </c>
      <c r="AP37" s="30" t="str">
        <f aca="false">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30" t="str">
        <f aca="false">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30" t="str">
        <f aca="false">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ustomFormat="false" ht="15" hidden="false" customHeight="false" outlineLevel="0" collapsed="false">
      <c r="C38" s="36"/>
      <c r="D38" s="36"/>
      <c r="G38" s="10"/>
      <c r="I38" s="10"/>
      <c r="J38" s="11"/>
      <c r="K38" s="10"/>
      <c r="L38" s="11"/>
      <c r="O38" s="30" t="str">
        <f aca="false">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30" t="str">
        <f aca="false">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30" t="str">
        <f aca="false">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30" t="str">
        <f aca="false">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30" t="str">
        <f aca="false">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30" t="str">
        <f aca="false">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30" t="str">
        <f aca="false">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30" t="str">
        <f aca="false">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30" t="str">
        <f aca="false">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30" t="str">
        <f aca="false">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30" t="str">
        <f aca="false">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30" t="str">
        <f aca="false">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30" t="str">
        <f aca="false">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30" t="str">
        <f aca="false">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30" t="str">
        <f aca="false">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30" t="str">
        <f aca="false">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31" t="str">
        <f aca="false">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30" t="str">
        <f aca="false">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30" t="str">
        <f aca="false">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30" t="str">
        <f aca="false">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30" t="str">
        <f aca="false">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30" t="str">
        <f aca="false">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30" t="str">
        <f aca="false">IF($A38="","",IF($R38="","unknown",IF($R38&lt;40,"under-40",IF($R38&lt;=75,"40-75",IF($R38&lt;=150,"76-150",IF($R38&lt;=250,"151-250",IF($R38&lt;=500,"251-500","over-500")))))))</f>
        <v/>
      </c>
      <c r="AL38" s="30" t="str">
        <f aca="false">IF($A38="","",IF($O38="","not on in_signed_offices: paste the outreach file",IF($R38="","no Tuesday headcount",IF($R38&lt;30,"below the hard floor of 30",IF($R38&lt;40,"30 to 39: founder's call",IF($R38&gt;250,"over 250: outside the plan","OK"))))))</f>
        <v/>
      </c>
      <c r="AM38" s="30" t="str">
        <f aca="false">IF(OR($A38="",$R38=""),"",MIN(config!$B$16,MAX(config!$B$15,MROUND(config!$B$13+config!$B$14*$R38,config!$B$17))))</f>
        <v/>
      </c>
      <c r="AN38" s="30" t="str">
        <f aca="true">IF($A38="","",COUNTIFS(stops!$B$2:$B$151,$A38,stops!$P$2:$P$151,"&lt;="&amp;IF(config!$B$37&lt;&gt;"",config!$B$37,TODAY())))</f>
        <v/>
      </c>
      <c r="AO38" s="30" t="str">
        <f aca="false">IF($A38="","",COUNTIFS(stops!$B$2:$B$151,$A38,stops!$AF$2:$AF$151,"Y"))</f>
        <v/>
      </c>
      <c r="AP38" s="30" t="str">
        <f aca="false">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30" t="str">
        <f aca="false">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30" t="str">
        <f aca="false">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ustomFormat="false" ht="15" hidden="false" customHeight="false" outlineLevel="0" collapsed="false">
      <c r="C39" s="36"/>
      <c r="D39" s="36"/>
      <c r="G39" s="10"/>
      <c r="I39" s="10"/>
      <c r="J39" s="11"/>
      <c r="K39" s="10"/>
      <c r="L39" s="11"/>
      <c r="O39" s="30" t="str">
        <f aca="false">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30" t="str">
        <f aca="false">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30" t="str">
        <f aca="false">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30" t="str">
        <f aca="false">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30" t="str">
        <f aca="false">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30" t="str">
        <f aca="false">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30" t="str">
        <f aca="false">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30" t="str">
        <f aca="false">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30" t="str">
        <f aca="false">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30" t="str">
        <f aca="false">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30" t="str">
        <f aca="false">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30" t="str">
        <f aca="false">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30" t="str">
        <f aca="false">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30" t="str">
        <f aca="false">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30" t="str">
        <f aca="false">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30" t="str">
        <f aca="false">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31" t="str">
        <f aca="false">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30" t="str">
        <f aca="false">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30" t="str">
        <f aca="false">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30" t="str">
        <f aca="false">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30" t="str">
        <f aca="false">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30" t="str">
        <f aca="false">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30" t="str">
        <f aca="false">IF($A39="","",IF($R39="","unknown",IF($R39&lt;40,"under-40",IF($R39&lt;=75,"40-75",IF($R39&lt;=150,"76-150",IF($R39&lt;=250,"151-250",IF($R39&lt;=500,"251-500","over-500")))))))</f>
        <v/>
      </c>
      <c r="AL39" s="30" t="str">
        <f aca="false">IF($A39="","",IF($O39="","not on in_signed_offices: paste the outreach file",IF($R39="","no Tuesday headcount",IF($R39&lt;30,"below the hard floor of 30",IF($R39&lt;40,"30 to 39: founder's call",IF($R39&gt;250,"over 250: outside the plan","OK"))))))</f>
        <v/>
      </c>
      <c r="AM39" s="30" t="str">
        <f aca="false">IF(OR($A39="",$R39=""),"",MIN(config!$B$16,MAX(config!$B$15,MROUND(config!$B$13+config!$B$14*$R39,config!$B$17))))</f>
        <v/>
      </c>
      <c r="AN39" s="30" t="str">
        <f aca="true">IF($A39="","",COUNTIFS(stops!$B$2:$B$151,$A39,stops!$P$2:$P$151,"&lt;="&amp;IF(config!$B$37&lt;&gt;"",config!$B$37,TODAY())))</f>
        <v/>
      </c>
      <c r="AO39" s="30" t="str">
        <f aca="false">IF($A39="","",COUNTIFS(stops!$B$2:$B$151,$A39,stops!$AF$2:$AF$151,"Y"))</f>
        <v/>
      </c>
      <c r="AP39" s="30" t="str">
        <f aca="false">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30" t="str">
        <f aca="false">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30" t="str">
        <f aca="false">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ustomFormat="false" ht="15" hidden="false" customHeight="false" outlineLevel="0" collapsed="false">
      <c r="C40" s="36"/>
      <c r="D40" s="36"/>
      <c r="G40" s="10"/>
      <c r="I40" s="10"/>
      <c r="J40" s="11"/>
      <c r="K40" s="10"/>
      <c r="L40" s="11"/>
      <c r="O40" s="30" t="str">
        <f aca="false">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30" t="str">
        <f aca="false">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30" t="str">
        <f aca="false">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30" t="str">
        <f aca="false">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30" t="str">
        <f aca="false">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30" t="str">
        <f aca="false">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30" t="str">
        <f aca="false">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30" t="str">
        <f aca="false">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30" t="str">
        <f aca="false">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30" t="str">
        <f aca="false">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30" t="str">
        <f aca="false">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30" t="str">
        <f aca="false">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30" t="str">
        <f aca="false">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30" t="str">
        <f aca="false">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30" t="str">
        <f aca="false">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30" t="str">
        <f aca="false">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31" t="str">
        <f aca="false">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30" t="str">
        <f aca="false">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30" t="str">
        <f aca="false">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30" t="str">
        <f aca="false">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30" t="str">
        <f aca="false">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30" t="str">
        <f aca="false">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30" t="str">
        <f aca="false">IF($A40="","",IF($R40="","unknown",IF($R40&lt;40,"under-40",IF($R40&lt;=75,"40-75",IF($R40&lt;=150,"76-150",IF($R40&lt;=250,"151-250",IF($R40&lt;=500,"251-500","over-500")))))))</f>
        <v/>
      </c>
      <c r="AL40" s="30" t="str">
        <f aca="false">IF($A40="","",IF($O40="","not on in_signed_offices: paste the outreach file",IF($R40="","no Tuesday headcount",IF($R40&lt;30,"below the hard floor of 30",IF($R40&lt;40,"30 to 39: founder's call",IF($R40&gt;250,"over 250: outside the plan","OK"))))))</f>
        <v/>
      </c>
      <c r="AM40" s="30" t="str">
        <f aca="false">IF(OR($A40="",$R40=""),"",MIN(config!$B$16,MAX(config!$B$15,MROUND(config!$B$13+config!$B$14*$R40,config!$B$17))))</f>
        <v/>
      </c>
      <c r="AN40" s="30" t="str">
        <f aca="true">IF($A40="","",COUNTIFS(stops!$B$2:$B$151,$A40,stops!$P$2:$P$151,"&lt;="&amp;IF(config!$B$37&lt;&gt;"",config!$B$37,TODAY())))</f>
        <v/>
      </c>
      <c r="AO40" s="30" t="str">
        <f aca="false">IF($A40="","",COUNTIFS(stops!$B$2:$B$151,$A40,stops!$AF$2:$AF$151,"Y"))</f>
        <v/>
      </c>
      <c r="AP40" s="30" t="str">
        <f aca="false">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30" t="str">
        <f aca="false">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30" t="str">
        <f aca="false">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ustomFormat="false" ht="15" hidden="false" customHeight="false" outlineLevel="0" collapsed="false">
      <c r="C41" s="36"/>
      <c r="D41" s="36"/>
      <c r="G41" s="10"/>
      <c r="I41" s="10"/>
      <c r="J41" s="11"/>
      <c r="K41" s="10"/>
      <c r="L41" s="11"/>
      <c r="O41" s="30" t="str">
        <f aca="false">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30" t="str">
        <f aca="false">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30" t="str">
        <f aca="false">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30" t="str">
        <f aca="false">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30" t="str">
        <f aca="false">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30" t="str">
        <f aca="false">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30" t="str">
        <f aca="false">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30" t="str">
        <f aca="false">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30" t="str">
        <f aca="false">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30" t="str">
        <f aca="false">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30" t="str">
        <f aca="false">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30" t="str">
        <f aca="false">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30" t="str">
        <f aca="false">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30" t="str">
        <f aca="false">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30" t="str">
        <f aca="false">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30" t="str">
        <f aca="false">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31" t="str">
        <f aca="false">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30" t="str">
        <f aca="false">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30" t="str">
        <f aca="false">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30" t="str">
        <f aca="false">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30" t="str">
        <f aca="false">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30" t="str">
        <f aca="false">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30" t="str">
        <f aca="false">IF($A41="","",IF($R41="","unknown",IF($R41&lt;40,"under-40",IF($R41&lt;=75,"40-75",IF($R41&lt;=150,"76-150",IF($R41&lt;=250,"151-250",IF($R41&lt;=500,"251-500","over-500")))))))</f>
        <v/>
      </c>
      <c r="AL41" s="30" t="str">
        <f aca="false">IF($A41="","",IF($O41="","not on in_signed_offices: paste the outreach file",IF($R41="","no Tuesday headcount",IF($R41&lt;30,"below the hard floor of 30",IF($R41&lt;40,"30 to 39: founder's call",IF($R41&gt;250,"over 250: outside the plan","OK"))))))</f>
        <v/>
      </c>
      <c r="AM41" s="30" t="str">
        <f aca="false">IF(OR($A41="",$R41=""),"",MIN(config!$B$16,MAX(config!$B$15,MROUND(config!$B$13+config!$B$14*$R41,config!$B$17))))</f>
        <v/>
      </c>
      <c r="AN41" s="30" t="str">
        <f aca="true">IF($A41="","",COUNTIFS(stops!$B$2:$B$151,$A41,stops!$P$2:$P$151,"&lt;="&amp;IF(config!$B$37&lt;&gt;"",config!$B$37,TODAY())))</f>
        <v/>
      </c>
      <c r="AO41" s="30" t="str">
        <f aca="false">IF($A41="","",COUNTIFS(stops!$B$2:$B$151,$A41,stops!$AF$2:$AF$151,"Y"))</f>
        <v/>
      </c>
      <c r="AP41" s="30" t="str">
        <f aca="false">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30" t="str">
        <f aca="false">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30" t="str">
        <f aca="false">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ustomFormat="false" ht="15" hidden="false" customHeight="false" outlineLevel="0" collapsed="false">
      <c r="C42" s="36"/>
      <c r="D42" s="36"/>
      <c r="G42" s="10"/>
      <c r="I42" s="10"/>
      <c r="J42" s="11"/>
      <c r="K42" s="10"/>
      <c r="L42" s="11"/>
      <c r="O42" s="30" t="str">
        <f aca="false">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30" t="str">
        <f aca="false">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30" t="str">
        <f aca="false">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30" t="str">
        <f aca="false">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30" t="str">
        <f aca="false">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30" t="str">
        <f aca="false">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30" t="str">
        <f aca="false">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30" t="str">
        <f aca="false">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30" t="str">
        <f aca="false">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30" t="str">
        <f aca="false">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30" t="str">
        <f aca="false">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30" t="str">
        <f aca="false">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30" t="str">
        <f aca="false">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30" t="str">
        <f aca="false">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30" t="str">
        <f aca="false">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30" t="str">
        <f aca="false">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31" t="str">
        <f aca="false">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30" t="str">
        <f aca="false">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30" t="str">
        <f aca="false">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30" t="str">
        <f aca="false">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30" t="str">
        <f aca="false">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30" t="str">
        <f aca="false">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30" t="str">
        <f aca="false">IF($A42="","",IF($R42="","unknown",IF($R42&lt;40,"under-40",IF($R42&lt;=75,"40-75",IF($R42&lt;=150,"76-150",IF($R42&lt;=250,"151-250",IF($R42&lt;=500,"251-500","over-500")))))))</f>
        <v/>
      </c>
      <c r="AL42" s="30" t="str">
        <f aca="false">IF($A42="","",IF($O42="","not on in_signed_offices: paste the outreach file",IF($R42="","no Tuesday headcount",IF($R42&lt;30,"below the hard floor of 30",IF($R42&lt;40,"30 to 39: founder's call",IF($R42&gt;250,"over 250: outside the plan","OK"))))))</f>
        <v/>
      </c>
      <c r="AM42" s="30" t="str">
        <f aca="false">IF(OR($A42="",$R42=""),"",MIN(config!$B$16,MAX(config!$B$15,MROUND(config!$B$13+config!$B$14*$R42,config!$B$17))))</f>
        <v/>
      </c>
      <c r="AN42" s="30" t="str">
        <f aca="true">IF($A42="","",COUNTIFS(stops!$B$2:$B$151,$A42,stops!$P$2:$P$151,"&lt;="&amp;IF(config!$B$37&lt;&gt;"",config!$B$37,TODAY())))</f>
        <v/>
      </c>
      <c r="AO42" s="30" t="str">
        <f aca="false">IF($A42="","",COUNTIFS(stops!$B$2:$B$151,$A42,stops!$AF$2:$AF$151,"Y"))</f>
        <v/>
      </c>
      <c r="AP42" s="30" t="str">
        <f aca="false">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30" t="str">
        <f aca="false">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30" t="str">
        <f aca="false">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ustomFormat="false" ht="15" hidden="false" customHeight="false" outlineLevel="0" collapsed="false">
      <c r="C43" s="36"/>
      <c r="D43" s="36"/>
      <c r="G43" s="10"/>
      <c r="I43" s="10"/>
      <c r="J43" s="11"/>
      <c r="K43" s="10"/>
      <c r="L43" s="11"/>
      <c r="O43" s="30" t="str">
        <f aca="false">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30" t="str">
        <f aca="false">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30" t="str">
        <f aca="false">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30" t="str">
        <f aca="false">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30" t="str">
        <f aca="false">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30" t="str">
        <f aca="false">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30" t="str">
        <f aca="false">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30" t="str">
        <f aca="false">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30" t="str">
        <f aca="false">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30" t="str">
        <f aca="false">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30" t="str">
        <f aca="false">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30" t="str">
        <f aca="false">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30" t="str">
        <f aca="false">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30" t="str">
        <f aca="false">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30" t="str">
        <f aca="false">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30" t="str">
        <f aca="false">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31" t="str">
        <f aca="false">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30" t="str">
        <f aca="false">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30" t="str">
        <f aca="false">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30" t="str">
        <f aca="false">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30" t="str">
        <f aca="false">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30" t="str">
        <f aca="false">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30" t="str">
        <f aca="false">IF($A43="","",IF($R43="","unknown",IF($R43&lt;40,"under-40",IF($R43&lt;=75,"40-75",IF($R43&lt;=150,"76-150",IF($R43&lt;=250,"151-250",IF($R43&lt;=500,"251-500","over-500")))))))</f>
        <v/>
      </c>
      <c r="AL43" s="30" t="str">
        <f aca="false">IF($A43="","",IF($O43="","not on in_signed_offices: paste the outreach file",IF($R43="","no Tuesday headcount",IF($R43&lt;30,"below the hard floor of 30",IF($R43&lt;40,"30 to 39: founder's call",IF($R43&gt;250,"over 250: outside the plan","OK"))))))</f>
        <v/>
      </c>
      <c r="AM43" s="30" t="str">
        <f aca="false">IF(OR($A43="",$R43=""),"",MIN(config!$B$16,MAX(config!$B$15,MROUND(config!$B$13+config!$B$14*$R43,config!$B$17))))</f>
        <v/>
      </c>
      <c r="AN43" s="30" t="str">
        <f aca="true">IF($A43="","",COUNTIFS(stops!$B$2:$B$151,$A43,stops!$P$2:$P$151,"&lt;="&amp;IF(config!$B$37&lt;&gt;"",config!$B$37,TODAY())))</f>
        <v/>
      </c>
      <c r="AO43" s="30" t="str">
        <f aca="false">IF($A43="","",COUNTIFS(stops!$B$2:$B$151,$A43,stops!$AF$2:$AF$151,"Y"))</f>
        <v/>
      </c>
      <c r="AP43" s="30" t="str">
        <f aca="false">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30" t="str">
        <f aca="false">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30" t="str">
        <f aca="false">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ustomFormat="false" ht="15" hidden="false" customHeight="false" outlineLevel="0" collapsed="false">
      <c r="C44" s="36"/>
      <c r="D44" s="36"/>
      <c r="G44" s="10"/>
      <c r="I44" s="10"/>
      <c r="J44" s="11"/>
      <c r="K44" s="10"/>
      <c r="L44" s="11"/>
      <c r="O44" s="30" t="str">
        <f aca="false">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30" t="str">
        <f aca="false">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30" t="str">
        <f aca="false">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30" t="str">
        <f aca="false">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30" t="str">
        <f aca="false">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30" t="str">
        <f aca="false">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30" t="str">
        <f aca="false">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30" t="str">
        <f aca="false">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30" t="str">
        <f aca="false">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30" t="str">
        <f aca="false">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30" t="str">
        <f aca="false">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30" t="str">
        <f aca="false">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30" t="str">
        <f aca="false">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30" t="str">
        <f aca="false">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30" t="str">
        <f aca="false">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30" t="str">
        <f aca="false">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31" t="str">
        <f aca="false">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30" t="str">
        <f aca="false">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30" t="str">
        <f aca="false">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30" t="str">
        <f aca="false">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30" t="str">
        <f aca="false">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30" t="str">
        <f aca="false">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30" t="str">
        <f aca="false">IF($A44="","",IF($R44="","unknown",IF($R44&lt;40,"under-40",IF($R44&lt;=75,"40-75",IF($R44&lt;=150,"76-150",IF($R44&lt;=250,"151-250",IF($R44&lt;=500,"251-500","over-500")))))))</f>
        <v/>
      </c>
      <c r="AL44" s="30" t="str">
        <f aca="false">IF($A44="","",IF($O44="","not on in_signed_offices: paste the outreach file",IF($R44="","no Tuesday headcount",IF($R44&lt;30,"below the hard floor of 30",IF($R44&lt;40,"30 to 39: founder's call",IF($R44&gt;250,"over 250: outside the plan","OK"))))))</f>
        <v/>
      </c>
      <c r="AM44" s="30" t="str">
        <f aca="false">IF(OR($A44="",$R44=""),"",MIN(config!$B$16,MAX(config!$B$15,MROUND(config!$B$13+config!$B$14*$R44,config!$B$17))))</f>
        <v/>
      </c>
      <c r="AN44" s="30" t="str">
        <f aca="true">IF($A44="","",COUNTIFS(stops!$B$2:$B$151,$A44,stops!$P$2:$P$151,"&lt;="&amp;IF(config!$B$37&lt;&gt;"",config!$B$37,TODAY())))</f>
        <v/>
      </c>
      <c r="AO44" s="30" t="str">
        <f aca="false">IF($A44="","",COUNTIFS(stops!$B$2:$B$151,$A44,stops!$AF$2:$AF$151,"Y"))</f>
        <v/>
      </c>
      <c r="AP44" s="30" t="str">
        <f aca="false">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30" t="str">
        <f aca="false">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30" t="str">
        <f aca="false">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ustomFormat="false" ht="15" hidden="false" customHeight="false" outlineLevel="0" collapsed="false">
      <c r="C45" s="36"/>
      <c r="D45" s="36"/>
      <c r="G45" s="10"/>
      <c r="I45" s="10"/>
      <c r="J45" s="11"/>
      <c r="K45" s="10"/>
      <c r="L45" s="11"/>
      <c r="O45" s="30" t="str">
        <f aca="false">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30" t="str">
        <f aca="false">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30" t="str">
        <f aca="false">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30" t="str">
        <f aca="false">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30" t="str">
        <f aca="false">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30" t="str">
        <f aca="false">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30" t="str">
        <f aca="false">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30" t="str">
        <f aca="false">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30" t="str">
        <f aca="false">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30" t="str">
        <f aca="false">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30" t="str">
        <f aca="false">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30" t="str">
        <f aca="false">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30" t="str">
        <f aca="false">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30" t="str">
        <f aca="false">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30" t="str">
        <f aca="false">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30" t="str">
        <f aca="false">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31" t="str">
        <f aca="false">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30" t="str">
        <f aca="false">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30" t="str">
        <f aca="false">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30" t="str">
        <f aca="false">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30" t="str">
        <f aca="false">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30" t="str">
        <f aca="false">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30" t="str">
        <f aca="false">IF($A45="","",IF($R45="","unknown",IF($R45&lt;40,"under-40",IF($R45&lt;=75,"40-75",IF($R45&lt;=150,"76-150",IF($R45&lt;=250,"151-250",IF($R45&lt;=500,"251-500","over-500")))))))</f>
        <v/>
      </c>
      <c r="AL45" s="30" t="str">
        <f aca="false">IF($A45="","",IF($O45="","not on in_signed_offices: paste the outreach file",IF($R45="","no Tuesday headcount",IF($R45&lt;30,"below the hard floor of 30",IF($R45&lt;40,"30 to 39: founder's call",IF($R45&gt;250,"over 250: outside the plan","OK"))))))</f>
        <v/>
      </c>
      <c r="AM45" s="30" t="str">
        <f aca="false">IF(OR($A45="",$R45=""),"",MIN(config!$B$16,MAX(config!$B$15,MROUND(config!$B$13+config!$B$14*$R45,config!$B$17))))</f>
        <v/>
      </c>
      <c r="AN45" s="30" t="str">
        <f aca="true">IF($A45="","",COUNTIFS(stops!$B$2:$B$151,$A45,stops!$P$2:$P$151,"&lt;="&amp;IF(config!$B$37&lt;&gt;"",config!$B$37,TODAY())))</f>
        <v/>
      </c>
      <c r="AO45" s="30" t="str">
        <f aca="false">IF($A45="","",COUNTIFS(stops!$B$2:$B$151,$A45,stops!$AF$2:$AF$151,"Y"))</f>
        <v/>
      </c>
      <c r="AP45" s="30" t="str">
        <f aca="false">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30" t="str">
        <f aca="false">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30" t="str">
        <f aca="false">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ustomFormat="false" ht="15" hidden="false" customHeight="false" outlineLevel="0" collapsed="false">
      <c r="C46" s="36"/>
      <c r="D46" s="36"/>
      <c r="G46" s="10"/>
      <c r="I46" s="10"/>
      <c r="J46" s="11"/>
      <c r="K46" s="10"/>
      <c r="L46" s="11"/>
      <c r="O46" s="30" t="str">
        <f aca="false">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30" t="str">
        <f aca="false">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30" t="str">
        <f aca="false">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30" t="str">
        <f aca="false">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30" t="str">
        <f aca="false">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30" t="str">
        <f aca="false">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30" t="str">
        <f aca="false">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30" t="str">
        <f aca="false">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30" t="str">
        <f aca="false">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30" t="str">
        <f aca="false">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30" t="str">
        <f aca="false">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30" t="str">
        <f aca="false">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30" t="str">
        <f aca="false">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30" t="str">
        <f aca="false">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30" t="str">
        <f aca="false">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30" t="str">
        <f aca="false">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31" t="str">
        <f aca="false">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30" t="str">
        <f aca="false">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30" t="str">
        <f aca="false">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30" t="str">
        <f aca="false">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30" t="str">
        <f aca="false">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30" t="str">
        <f aca="false">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30" t="str">
        <f aca="false">IF($A46="","",IF($R46="","unknown",IF($R46&lt;40,"under-40",IF($R46&lt;=75,"40-75",IF($R46&lt;=150,"76-150",IF($R46&lt;=250,"151-250",IF($R46&lt;=500,"251-500","over-500")))))))</f>
        <v/>
      </c>
      <c r="AL46" s="30" t="str">
        <f aca="false">IF($A46="","",IF($O46="","not on in_signed_offices: paste the outreach file",IF($R46="","no Tuesday headcount",IF($R46&lt;30,"below the hard floor of 30",IF($R46&lt;40,"30 to 39: founder's call",IF($R46&gt;250,"over 250: outside the plan","OK"))))))</f>
        <v/>
      </c>
      <c r="AM46" s="30" t="str">
        <f aca="false">IF(OR($A46="",$R46=""),"",MIN(config!$B$16,MAX(config!$B$15,MROUND(config!$B$13+config!$B$14*$R46,config!$B$17))))</f>
        <v/>
      </c>
      <c r="AN46" s="30" t="str">
        <f aca="true">IF($A46="","",COUNTIFS(stops!$B$2:$B$151,$A46,stops!$P$2:$P$151,"&lt;="&amp;IF(config!$B$37&lt;&gt;"",config!$B$37,TODAY())))</f>
        <v/>
      </c>
      <c r="AO46" s="30" t="str">
        <f aca="false">IF($A46="","",COUNTIFS(stops!$B$2:$B$151,$A46,stops!$AF$2:$AF$151,"Y"))</f>
        <v/>
      </c>
      <c r="AP46" s="30" t="str">
        <f aca="false">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30" t="str">
        <f aca="false">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30" t="str">
        <f aca="false">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ustomFormat="false" ht="15" hidden="false" customHeight="false" outlineLevel="0" collapsed="false">
      <c r="C47" s="36"/>
      <c r="D47" s="36"/>
      <c r="G47" s="10"/>
      <c r="I47" s="10"/>
      <c r="J47" s="11"/>
      <c r="K47" s="10"/>
      <c r="L47" s="11"/>
      <c r="O47" s="30" t="str">
        <f aca="false">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30" t="str">
        <f aca="false">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30" t="str">
        <f aca="false">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30" t="str">
        <f aca="false">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30" t="str">
        <f aca="false">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30" t="str">
        <f aca="false">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30" t="str">
        <f aca="false">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30" t="str">
        <f aca="false">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30" t="str">
        <f aca="false">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30" t="str">
        <f aca="false">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30" t="str">
        <f aca="false">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30" t="str">
        <f aca="false">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30" t="str">
        <f aca="false">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30" t="str">
        <f aca="false">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30" t="str">
        <f aca="false">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30" t="str">
        <f aca="false">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31" t="str">
        <f aca="false">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30" t="str">
        <f aca="false">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30" t="str">
        <f aca="false">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30" t="str">
        <f aca="false">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30" t="str">
        <f aca="false">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30" t="str">
        <f aca="false">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30" t="str">
        <f aca="false">IF($A47="","",IF($R47="","unknown",IF($R47&lt;40,"under-40",IF($R47&lt;=75,"40-75",IF($R47&lt;=150,"76-150",IF($R47&lt;=250,"151-250",IF($R47&lt;=500,"251-500","over-500")))))))</f>
        <v/>
      </c>
      <c r="AL47" s="30" t="str">
        <f aca="false">IF($A47="","",IF($O47="","not on in_signed_offices: paste the outreach file",IF($R47="","no Tuesday headcount",IF($R47&lt;30,"below the hard floor of 30",IF($R47&lt;40,"30 to 39: founder's call",IF($R47&gt;250,"over 250: outside the plan","OK"))))))</f>
        <v/>
      </c>
      <c r="AM47" s="30" t="str">
        <f aca="false">IF(OR($A47="",$R47=""),"",MIN(config!$B$16,MAX(config!$B$15,MROUND(config!$B$13+config!$B$14*$R47,config!$B$17))))</f>
        <v/>
      </c>
      <c r="AN47" s="30" t="str">
        <f aca="true">IF($A47="","",COUNTIFS(stops!$B$2:$B$151,$A47,stops!$P$2:$P$151,"&lt;="&amp;IF(config!$B$37&lt;&gt;"",config!$B$37,TODAY())))</f>
        <v/>
      </c>
      <c r="AO47" s="30" t="str">
        <f aca="false">IF($A47="","",COUNTIFS(stops!$B$2:$B$151,$A47,stops!$AF$2:$AF$151,"Y"))</f>
        <v/>
      </c>
      <c r="AP47" s="30" t="str">
        <f aca="false">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30" t="str">
        <f aca="false">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30" t="str">
        <f aca="false">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ustomFormat="false" ht="15" hidden="false" customHeight="false" outlineLevel="0" collapsed="false">
      <c r="C48" s="36"/>
      <c r="D48" s="36"/>
      <c r="G48" s="10"/>
      <c r="I48" s="10"/>
      <c r="J48" s="11"/>
      <c r="K48" s="10"/>
      <c r="L48" s="11"/>
      <c r="O48" s="30" t="str">
        <f aca="false">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30" t="str">
        <f aca="false">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30" t="str">
        <f aca="false">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30" t="str">
        <f aca="false">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30" t="str">
        <f aca="false">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30" t="str">
        <f aca="false">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30" t="str">
        <f aca="false">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30" t="str">
        <f aca="false">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30" t="str">
        <f aca="false">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30" t="str">
        <f aca="false">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30" t="str">
        <f aca="false">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30" t="str">
        <f aca="false">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30" t="str">
        <f aca="false">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30" t="str">
        <f aca="false">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30" t="str">
        <f aca="false">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30" t="str">
        <f aca="false">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31" t="str">
        <f aca="false">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30" t="str">
        <f aca="false">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30" t="str">
        <f aca="false">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30" t="str">
        <f aca="false">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30" t="str">
        <f aca="false">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30" t="str">
        <f aca="false">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30" t="str">
        <f aca="false">IF($A48="","",IF($R48="","unknown",IF($R48&lt;40,"under-40",IF($R48&lt;=75,"40-75",IF($R48&lt;=150,"76-150",IF($R48&lt;=250,"151-250",IF($R48&lt;=500,"251-500","over-500")))))))</f>
        <v/>
      </c>
      <c r="AL48" s="30" t="str">
        <f aca="false">IF($A48="","",IF($O48="","not on in_signed_offices: paste the outreach file",IF($R48="","no Tuesday headcount",IF($R48&lt;30,"below the hard floor of 30",IF($R48&lt;40,"30 to 39: founder's call",IF($R48&gt;250,"over 250: outside the plan","OK"))))))</f>
        <v/>
      </c>
      <c r="AM48" s="30" t="str">
        <f aca="false">IF(OR($A48="",$R48=""),"",MIN(config!$B$16,MAX(config!$B$15,MROUND(config!$B$13+config!$B$14*$R48,config!$B$17))))</f>
        <v/>
      </c>
      <c r="AN48" s="30" t="str">
        <f aca="true">IF($A48="","",COUNTIFS(stops!$B$2:$B$151,$A48,stops!$P$2:$P$151,"&lt;="&amp;IF(config!$B$37&lt;&gt;"",config!$B$37,TODAY())))</f>
        <v/>
      </c>
      <c r="AO48" s="30" t="str">
        <f aca="false">IF($A48="","",COUNTIFS(stops!$B$2:$B$151,$A48,stops!$AF$2:$AF$151,"Y"))</f>
        <v/>
      </c>
      <c r="AP48" s="30" t="str">
        <f aca="false">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30" t="str">
        <f aca="false">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30" t="str">
        <f aca="false">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ustomFormat="false" ht="15" hidden="false" customHeight="false" outlineLevel="0" collapsed="false">
      <c r="C49" s="36"/>
      <c r="D49" s="36"/>
      <c r="G49" s="10"/>
      <c r="I49" s="10"/>
      <c r="J49" s="11"/>
      <c r="K49" s="10"/>
      <c r="L49" s="11"/>
      <c r="O49" s="30" t="str">
        <f aca="false">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30" t="str">
        <f aca="false">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30" t="str">
        <f aca="false">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30" t="str">
        <f aca="false">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30" t="str">
        <f aca="false">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30" t="str">
        <f aca="false">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30" t="str">
        <f aca="false">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30" t="str">
        <f aca="false">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30" t="str">
        <f aca="false">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30" t="str">
        <f aca="false">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30" t="str">
        <f aca="false">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30" t="str">
        <f aca="false">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30" t="str">
        <f aca="false">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30" t="str">
        <f aca="false">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30" t="str">
        <f aca="false">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30" t="str">
        <f aca="false">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31" t="str">
        <f aca="false">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30" t="str">
        <f aca="false">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30" t="str">
        <f aca="false">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30" t="str">
        <f aca="false">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30" t="str">
        <f aca="false">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30" t="str">
        <f aca="false">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30" t="str">
        <f aca="false">IF($A49="","",IF($R49="","unknown",IF($R49&lt;40,"under-40",IF($R49&lt;=75,"40-75",IF($R49&lt;=150,"76-150",IF($R49&lt;=250,"151-250",IF($R49&lt;=500,"251-500","over-500")))))))</f>
        <v/>
      </c>
      <c r="AL49" s="30" t="str">
        <f aca="false">IF($A49="","",IF($O49="","not on in_signed_offices: paste the outreach file",IF($R49="","no Tuesday headcount",IF($R49&lt;30,"below the hard floor of 30",IF($R49&lt;40,"30 to 39: founder's call",IF($R49&gt;250,"over 250: outside the plan","OK"))))))</f>
        <v/>
      </c>
      <c r="AM49" s="30" t="str">
        <f aca="false">IF(OR($A49="",$R49=""),"",MIN(config!$B$16,MAX(config!$B$15,MROUND(config!$B$13+config!$B$14*$R49,config!$B$17))))</f>
        <v/>
      </c>
      <c r="AN49" s="30" t="str">
        <f aca="true">IF($A49="","",COUNTIFS(stops!$B$2:$B$151,$A49,stops!$P$2:$P$151,"&lt;="&amp;IF(config!$B$37&lt;&gt;"",config!$B$37,TODAY())))</f>
        <v/>
      </c>
      <c r="AO49" s="30" t="str">
        <f aca="false">IF($A49="","",COUNTIFS(stops!$B$2:$B$151,$A49,stops!$AF$2:$AF$151,"Y"))</f>
        <v/>
      </c>
      <c r="AP49" s="30" t="str">
        <f aca="false">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30" t="str">
        <f aca="false">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30" t="str">
        <f aca="false">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ustomFormat="false" ht="15" hidden="false" customHeight="false" outlineLevel="0" collapsed="false">
      <c r="C50" s="36"/>
      <c r="D50" s="36"/>
      <c r="G50" s="10"/>
      <c r="I50" s="10"/>
      <c r="J50" s="11"/>
      <c r="K50" s="10"/>
      <c r="L50" s="11"/>
      <c r="O50" s="30" t="str">
        <f aca="false">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30" t="str">
        <f aca="false">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30" t="str">
        <f aca="false">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30" t="str">
        <f aca="false">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30" t="str">
        <f aca="false">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30" t="str">
        <f aca="false">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30" t="str">
        <f aca="false">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30" t="str">
        <f aca="false">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30" t="str">
        <f aca="false">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30" t="str">
        <f aca="false">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30" t="str">
        <f aca="false">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30" t="str">
        <f aca="false">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30" t="str">
        <f aca="false">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30" t="str">
        <f aca="false">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30" t="str">
        <f aca="false">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30" t="str">
        <f aca="false">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31" t="str">
        <f aca="false">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30" t="str">
        <f aca="false">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30" t="str">
        <f aca="false">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30" t="str">
        <f aca="false">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30" t="str">
        <f aca="false">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30" t="str">
        <f aca="false">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30" t="str">
        <f aca="false">IF($A50="","",IF($R50="","unknown",IF($R50&lt;40,"under-40",IF($R50&lt;=75,"40-75",IF($R50&lt;=150,"76-150",IF($R50&lt;=250,"151-250",IF($R50&lt;=500,"251-500","over-500")))))))</f>
        <v/>
      </c>
      <c r="AL50" s="30" t="str">
        <f aca="false">IF($A50="","",IF($O50="","not on in_signed_offices: paste the outreach file",IF($R50="","no Tuesday headcount",IF($R50&lt;30,"below the hard floor of 30",IF($R50&lt;40,"30 to 39: founder's call",IF($R50&gt;250,"over 250: outside the plan","OK"))))))</f>
        <v/>
      </c>
      <c r="AM50" s="30" t="str">
        <f aca="false">IF(OR($A50="",$R50=""),"",MIN(config!$B$16,MAX(config!$B$15,MROUND(config!$B$13+config!$B$14*$R50,config!$B$17))))</f>
        <v/>
      </c>
      <c r="AN50" s="30" t="str">
        <f aca="true">IF($A50="","",COUNTIFS(stops!$B$2:$B$151,$A50,stops!$P$2:$P$151,"&lt;="&amp;IF(config!$B$37&lt;&gt;"",config!$B$37,TODAY())))</f>
        <v/>
      </c>
      <c r="AO50" s="30" t="str">
        <f aca="false">IF($A50="","",COUNTIFS(stops!$B$2:$B$151,$A50,stops!$AF$2:$AF$151,"Y"))</f>
        <v/>
      </c>
      <c r="AP50" s="30" t="str">
        <f aca="false">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30" t="str">
        <f aca="false">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30" t="str">
        <f aca="false">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ustomFormat="false" ht="15" hidden="false" customHeight="false" outlineLevel="0" collapsed="false">
      <c r="C51" s="36"/>
      <c r="D51" s="36"/>
      <c r="G51" s="10"/>
      <c r="I51" s="10"/>
      <c r="J51" s="11"/>
      <c r="K51" s="10"/>
      <c r="L51" s="11"/>
      <c r="O51" s="30" t="str">
        <f aca="false">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30" t="str">
        <f aca="false">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30" t="str">
        <f aca="false">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30" t="str">
        <f aca="false">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30" t="str">
        <f aca="false">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30" t="str">
        <f aca="false">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30" t="str">
        <f aca="false">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30" t="str">
        <f aca="false">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30" t="str">
        <f aca="false">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30" t="str">
        <f aca="false">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30" t="str">
        <f aca="false">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30" t="str">
        <f aca="false">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30" t="str">
        <f aca="false">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30" t="str">
        <f aca="false">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30" t="str">
        <f aca="false">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30" t="str">
        <f aca="false">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31" t="str">
        <f aca="false">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30" t="str">
        <f aca="false">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30" t="str">
        <f aca="false">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30" t="str">
        <f aca="false">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30" t="str">
        <f aca="false">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30" t="str">
        <f aca="false">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30" t="str">
        <f aca="false">IF($A51="","",IF($R51="","unknown",IF($R51&lt;40,"under-40",IF($R51&lt;=75,"40-75",IF($R51&lt;=150,"76-150",IF($R51&lt;=250,"151-250",IF($R51&lt;=500,"251-500","over-500")))))))</f>
        <v/>
      </c>
      <c r="AL51" s="30" t="str">
        <f aca="false">IF($A51="","",IF($O51="","not on in_signed_offices: paste the outreach file",IF($R51="","no Tuesday headcount",IF($R51&lt;30,"below the hard floor of 30",IF($R51&lt;40,"30 to 39: founder's call",IF($R51&gt;250,"over 250: outside the plan","OK"))))))</f>
        <v/>
      </c>
      <c r="AM51" s="30" t="str">
        <f aca="false">IF(OR($A51="",$R51=""),"",MIN(config!$B$16,MAX(config!$B$15,MROUND(config!$B$13+config!$B$14*$R51,config!$B$17))))</f>
        <v/>
      </c>
      <c r="AN51" s="30" t="str">
        <f aca="true">IF($A51="","",COUNTIFS(stops!$B$2:$B$151,$A51,stops!$P$2:$P$151,"&lt;="&amp;IF(config!$B$37&lt;&gt;"",config!$B$37,TODAY())))</f>
        <v/>
      </c>
      <c r="AO51" s="30" t="str">
        <f aca="false">IF($A51="","",COUNTIFS(stops!$B$2:$B$151,$A51,stops!$AF$2:$AF$151,"Y"))</f>
        <v/>
      </c>
      <c r="AP51" s="30" t="str">
        <f aca="false">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30" t="str">
        <f aca="false">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30" t="str">
        <f aca="false">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ustomFormat="false" ht="15" hidden="false" customHeight="false" outlineLevel="0" collapsed="false">
      <c r="C52" s="36"/>
      <c r="D52" s="36"/>
      <c r="G52" s="10"/>
      <c r="I52" s="10"/>
      <c r="J52" s="11"/>
      <c r="K52" s="10"/>
      <c r="L52" s="11"/>
      <c r="O52" s="30" t="str">
        <f aca="false">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30" t="str">
        <f aca="false">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30" t="str">
        <f aca="false">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30" t="str">
        <f aca="false">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30" t="str">
        <f aca="false">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30" t="str">
        <f aca="false">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30" t="str">
        <f aca="false">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30" t="str">
        <f aca="false">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30" t="str">
        <f aca="false">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30" t="str">
        <f aca="false">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30" t="str">
        <f aca="false">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30" t="str">
        <f aca="false">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30" t="str">
        <f aca="false">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30" t="str">
        <f aca="false">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30" t="str">
        <f aca="false">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30" t="str">
        <f aca="false">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31" t="str">
        <f aca="false">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30" t="str">
        <f aca="false">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30" t="str">
        <f aca="false">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30" t="str">
        <f aca="false">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30" t="str">
        <f aca="false">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30" t="str">
        <f aca="false">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30" t="str">
        <f aca="false">IF($A52="","",IF($R52="","unknown",IF($R52&lt;40,"under-40",IF($R52&lt;=75,"40-75",IF($R52&lt;=150,"76-150",IF($R52&lt;=250,"151-250",IF($R52&lt;=500,"251-500","over-500")))))))</f>
        <v/>
      </c>
      <c r="AL52" s="30" t="str">
        <f aca="false">IF($A52="","",IF($O52="","not on in_signed_offices: paste the outreach file",IF($R52="","no Tuesday headcount",IF($R52&lt;30,"below the hard floor of 30",IF($R52&lt;40,"30 to 39: founder's call",IF($R52&gt;250,"over 250: outside the plan","OK"))))))</f>
        <v/>
      </c>
      <c r="AM52" s="30" t="str">
        <f aca="false">IF(OR($A52="",$R52=""),"",MIN(config!$B$16,MAX(config!$B$15,MROUND(config!$B$13+config!$B$14*$R52,config!$B$17))))</f>
        <v/>
      </c>
      <c r="AN52" s="30" t="str">
        <f aca="true">IF($A52="","",COUNTIFS(stops!$B$2:$B$151,$A52,stops!$P$2:$P$151,"&lt;="&amp;IF(config!$B$37&lt;&gt;"",config!$B$37,TODAY())))</f>
        <v/>
      </c>
      <c r="AO52" s="30" t="str">
        <f aca="false">IF($A52="","",COUNTIFS(stops!$B$2:$B$151,$A52,stops!$AF$2:$AF$151,"Y"))</f>
        <v/>
      </c>
      <c r="AP52" s="30" t="str">
        <f aca="false">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30" t="str">
        <f aca="false">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30" t="str">
        <f aca="false">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ustomFormat="false" ht="15" hidden="false" customHeight="false" outlineLevel="0" collapsed="false">
      <c r="C53" s="36"/>
      <c r="D53" s="36"/>
      <c r="G53" s="10"/>
      <c r="I53" s="10"/>
      <c r="J53" s="11"/>
      <c r="K53" s="10"/>
      <c r="L53" s="11"/>
      <c r="O53" s="30" t="str">
        <f aca="false">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30" t="str">
        <f aca="false">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30" t="str">
        <f aca="false">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30" t="str">
        <f aca="false">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30" t="str">
        <f aca="false">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30" t="str">
        <f aca="false">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30" t="str">
        <f aca="false">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30" t="str">
        <f aca="false">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30" t="str">
        <f aca="false">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30" t="str">
        <f aca="false">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30" t="str">
        <f aca="false">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30" t="str">
        <f aca="false">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30" t="str">
        <f aca="false">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30" t="str">
        <f aca="false">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30" t="str">
        <f aca="false">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30" t="str">
        <f aca="false">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31" t="str">
        <f aca="false">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30" t="str">
        <f aca="false">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30" t="str">
        <f aca="false">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30" t="str">
        <f aca="false">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30" t="str">
        <f aca="false">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30" t="str">
        <f aca="false">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30" t="str">
        <f aca="false">IF($A53="","",IF($R53="","unknown",IF($R53&lt;40,"under-40",IF($R53&lt;=75,"40-75",IF($R53&lt;=150,"76-150",IF($R53&lt;=250,"151-250",IF($R53&lt;=500,"251-500","over-500")))))))</f>
        <v/>
      </c>
      <c r="AL53" s="30" t="str">
        <f aca="false">IF($A53="","",IF($O53="","not on in_signed_offices: paste the outreach file",IF($R53="","no Tuesday headcount",IF($R53&lt;30,"below the hard floor of 30",IF($R53&lt;40,"30 to 39: founder's call",IF($R53&gt;250,"over 250: outside the plan","OK"))))))</f>
        <v/>
      </c>
      <c r="AM53" s="30" t="str">
        <f aca="false">IF(OR($A53="",$R53=""),"",MIN(config!$B$16,MAX(config!$B$15,MROUND(config!$B$13+config!$B$14*$R53,config!$B$17))))</f>
        <v/>
      </c>
      <c r="AN53" s="30" t="str">
        <f aca="true">IF($A53="","",COUNTIFS(stops!$B$2:$B$151,$A53,stops!$P$2:$P$151,"&lt;="&amp;IF(config!$B$37&lt;&gt;"",config!$B$37,TODAY())))</f>
        <v/>
      </c>
      <c r="AO53" s="30" t="str">
        <f aca="false">IF($A53="","",COUNTIFS(stops!$B$2:$B$151,$A53,stops!$AF$2:$AF$151,"Y"))</f>
        <v/>
      </c>
      <c r="AP53" s="30" t="str">
        <f aca="false">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30" t="str">
        <f aca="false">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30" t="str">
        <f aca="false">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ustomFormat="false" ht="15" hidden="false" customHeight="false" outlineLevel="0" collapsed="false">
      <c r="C54" s="36"/>
      <c r="D54" s="36"/>
      <c r="G54" s="10"/>
      <c r="I54" s="10"/>
      <c r="J54" s="11"/>
      <c r="K54" s="10"/>
      <c r="L54" s="11"/>
      <c r="O54" s="30" t="str">
        <f aca="false">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30" t="str">
        <f aca="false">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30" t="str">
        <f aca="false">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30" t="str">
        <f aca="false">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30" t="str">
        <f aca="false">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30" t="str">
        <f aca="false">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30" t="str">
        <f aca="false">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30" t="str">
        <f aca="false">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30" t="str">
        <f aca="false">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30" t="str">
        <f aca="false">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30" t="str">
        <f aca="false">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30" t="str">
        <f aca="false">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30" t="str">
        <f aca="false">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30" t="str">
        <f aca="false">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30" t="str">
        <f aca="false">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30" t="str">
        <f aca="false">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31" t="str">
        <f aca="false">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30" t="str">
        <f aca="false">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30" t="str">
        <f aca="false">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30" t="str">
        <f aca="false">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30" t="str">
        <f aca="false">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30" t="str">
        <f aca="false">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30" t="str">
        <f aca="false">IF($A54="","",IF($R54="","unknown",IF($R54&lt;40,"under-40",IF($R54&lt;=75,"40-75",IF($R54&lt;=150,"76-150",IF($R54&lt;=250,"151-250",IF($R54&lt;=500,"251-500","over-500")))))))</f>
        <v/>
      </c>
      <c r="AL54" s="30" t="str">
        <f aca="false">IF($A54="","",IF($O54="","not on in_signed_offices: paste the outreach file",IF($R54="","no Tuesday headcount",IF($R54&lt;30,"below the hard floor of 30",IF($R54&lt;40,"30 to 39: founder's call",IF($R54&gt;250,"over 250: outside the plan","OK"))))))</f>
        <v/>
      </c>
      <c r="AM54" s="30" t="str">
        <f aca="false">IF(OR($A54="",$R54=""),"",MIN(config!$B$16,MAX(config!$B$15,MROUND(config!$B$13+config!$B$14*$R54,config!$B$17))))</f>
        <v/>
      </c>
      <c r="AN54" s="30" t="str">
        <f aca="true">IF($A54="","",COUNTIFS(stops!$B$2:$B$151,$A54,stops!$P$2:$P$151,"&lt;="&amp;IF(config!$B$37&lt;&gt;"",config!$B$37,TODAY())))</f>
        <v/>
      </c>
      <c r="AO54" s="30" t="str">
        <f aca="false">IF($A54="","",COUNTIFS(stops!$B$2:$B$151,$A54,stops!$AF$2:$AF$151,"Y"))</f>
        <v/>
      </c>
      <c r="AP54" s="30" t="str">
        <f aca="false">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30" t="str">
        <f aca="false">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30" t="str">
        <f aca="false">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ustomFormat="false" ht="15" hidden="false" customHeight="false" outlineLevel="0" collapsed="false">
      <c r="C55" s="36"/>
      <c r="D55" s="36"/>
      <c r="G55" s="10"/>
      <c r="I55" s="10"/>
      <c r="J55" s="11"/>
      <c r="K55" s="10"/>
      <c r="L55" s="11"/>
      <c r="O55" s="30" t="str">
        <f aca="false">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30" t="str">
        <f aca="false">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30" t="str">
        <f aca="false">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30" t="str">
        <f aca="false">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30" t="str">
        <f aca="false">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30" t="str">
        <f aca="false">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30" t="str">
        <f aca="false">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30" t="str">
        <f aca="false">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30" t="str">
        <f aca="false">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30" t="str">
        <f aca="false">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30" t="str">
        <f aca="false">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30" t="str">
        <f aca="false">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30" t="str">
        <f aca="false">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30" t="str">
        <f aca="false">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30" t="str">
        <f aca="false">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30" t="str">
        <f aca="false">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31" t="str">
        <f aca="false">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30" t="str">
        <f aca="false">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30" t="str">
        <f aca="false">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30" t="str">
        <f aca="false">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30" t="str">
        <f aca="false">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30" t="str">
        <f aca="false">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30" t="str">
        <f aca="false">IF($A55="","",IF($R55="","unknown",IF($R55&lt;40,"under-40",IF($R55&lt;=75,"40-75",IF($R55&lt;=150,"76-150",IF($R55&lt;=250,"151-250",IF($R55&lt;=500,"251-500","over-500")))))))</f>
        <v/>
      </c>
      <c r="AL55" s="30" t="str">
        <f aca="false">IF($A55="","",IF($O55="","not on in_signed_offices: paste the outreach file",IF($R55="","no Tuesday headcount",IF($R55&lt;30,"below the hard floor of 30",IF($R55&lt;40,"30 to 39: founder's call",IF($R55&gt;250,"over 250: outside the plan","OK"))))))</f>
        <v/>
      </c>
      <c r="AM55" s="30" t="str">
        <f aca="false">IF(OR($A55="",$R55=""),"",MIN(config!$B$16,MAX(config!$B$15,MROUND(config!$B$13+config!$B$14*$R55,config!$B$17))))</f>
        <v/>
      </c>
      <c r="AN55" s="30" t="str">
        <f aca="true">IF($A55="","",COUNTIFS(stops!$B$2:$B$151,$A55,stops!$P$2:$P$151,"&lt;="&amp;IF(config!$B$37&lt;&gt;"",config!$B$37,TODAY())))</f>
        <v/>
      </c>
      <c r="AO55" s="30" t="str">
        <f aca="false">IF($A55="","",COUNTIFS(stops!$B$2:$B$151,$A55,stops!$AF$2:$AF$151,"Y"))</f>
        <v/>
      </c>
      <c r="AP55" s="30" t="str">
        <f aca="false">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30" t="str">
        <f aca="false">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30" t="str">
        <f aca="false">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ustomFormat="false" ht="15" hidden="false" customHeight="false" outlineLevel="0" collapsed="false">
      <c r="C56" s="36"/>
      <c r="D56" s="36"/>
      <c r="G56" s="10"/>
      <c r="I56" s="10"/>
      <c r="J56" s="11"/>
      <c r="K56" s="10"/>
      <c r="L56" s="11"/>
      <c r="O56" s="30" t="str">
        <f aca="false">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30" t="str">
        <f aca="false">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30" t="str">
        <f aca="false">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30" t="str">
        <f aca="false">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30" t="str">
        <f aca="false">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30" t="str">
        <f aca="false">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30" t="str">
        <f aca="false">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30" t="str">
        <f aca="false">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30" t="str">
        <f aca="false">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30" t="str">
        <f aca="false">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30" t="str">
        <f aca="false">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30" t="str">
        <f aca="false">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30" t="str">
        <f aca="false">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30" t="str">
        <f aca="false">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30" t="str">
        <f aca="false">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30" t="str">
        <f aca="false">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31" t="str">
        <f aca="false">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30" t="str">
        <f aca="false">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30" t="str">
        <f aca="false">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30" t="str">
        <f aca="false">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30" t="str">
        <f aca="false">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30" t="str">
        <f aca="false">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30" t="str">
        <f aca="false">IF($A56="","",IF($R56="","unknown",IF($R56&lt;40,"under-40",IF($R56&lt;=75,"40-75",IF($R56&lt;=150,"76-150",IF($R56&lt;=250,"151-250",IF($R56&lt;=500,"251-500","over-500")))))))</f>
        <v/>
      </c>
      <c r="AL56" s="30" t="str">
        <f aca="false">IF($A56="","",IF($O56="","not on in_signed_offices: paste the outreach file",IF($R56="","no Tuesday headcount",IF($R56&lt;30,"below the hard floor of 30",IF($R56&lt;40,"30 to 39: founder's call",IF($R56&gt;250,"over 250: outside the plan","OK"))))))</f>
        <v/>
      </c>
      <c r="AM56" s="30" t="str">
        <f aca="false">IF(OR($A56="",$R56=""),"",MIN(config!$B$16,MAX(config!$B$15,MROUND(config!$B$13+config!$B$14*$R56,config!$B$17))))</f>
        <v/>
      </c>
      <c r="AN56" s="30" t="str">
        <f aca="true">IF($A56="","",COUNTIFS(stops!$B$2:$B$151,$A56,stops!$P$2:$P$151,"&lt;="&amp;IF(config!$B$37&lt;&gt;"",config!$B$37,TODAY())))</f>
        <v/>
      </c>
      <c r="AO56" s="30" t="str">
        <f aca="false">IF($A56="","",COUNTIFS(stops!$B$2:$B$151,$A56,stops!$AF$2:$AF$151,"Y"))</f>
        <v/>
      </c>
      <c r="AP56" s="30" t="str">
        <f aca="false">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30" t="str">
        <f aca="false">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30" t="str">
        <f aca="false">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ustomFormat="false" ht="15" hidden="false" customHeight="false" outlineLevel="0" collapsed="false">
      <c r="C57" s="36"/>
      <c r="D57" s="36"/>
      <c r="G57" s="10"/>
      <c r="I57" s="10"/>
      <c r="J57" s="11"/>
      <c r="K57" s="10"/>
      <c r="L57" s="11"/>
      <c r="O57" s="30" t="str">
        <f aca="false">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30" t="str">
        <f aca="false">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30" t="str">
        <f aca="false">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30" t="str">
        <f aca="false">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30" t="str">
        <f aca="false">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30" t="str">
        <f aca="false">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30" t="str">
        <f aca="false">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30" t="str">
        <f aca="false">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30" t="str">
        <f aca="false">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30" t="str">
        <f aca="false">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30" t="str">
        <f aca="false">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30" t="str">
        <f aca="false">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30" t="str">
        <f aca="false">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30" t="str">
        <f aca="false">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30" t="str">
        <f aca="false">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30" t="str">
        <f aca="false">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31" t="str">
        <f aca="false">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30" t="str">
        <f aca="false">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30" t="str">
        <f aca="false">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30" t="str">
        <f aca="false">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30" t="str">
        <f aca="false">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30" t="str">
        <f aca="false">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30" t="str">
        <f aca="false">IF($A57="","",IF($R57="","unknown",IF($R57&lt;40,"under-40",IF($R57&lt;=75,"40-75",IF($R57&lt;=150,"76-150",IF($R57&lt;=250,"151-250",IF($R57&lt;=500,"251-500","over-500")))))))</f>
        <v/>
      </c>
      <c r="AL57" s="30" t="str">
        <f aca="false">IF($A57="","",IF($O57="","not on in_signed_offices: paste the outreach file",IF($R57="","no Tuesday headcount",IF($R57&lt;30,"below the hard floor of 30",IF($R57&lt;40,"30 to 39: founder's call",IF($R57&gt;250,"over 250: outside the plan","OK"))))))</f>
        <v/>
      </c>
      <c r="AM57" s="30" t="str">
        <f aca="false">IF(OR($A57="",$R57=""),"",MIN(config!$B$16,MAX(config!$B$15,MROUND(config!$B$13+config!$B$14*$R57,config!$B$17))))</f>
        <v/>
      </c>
      <c r="AN57" s="30" t="str">
        <f aca="true">IF($A57="","",COUNTIFS(stops!$B$2:$B$151,$A57,stops!$P$2:$P$151,"&lt;="&amp;IF(config!$B$37&lt;&gt;"",config!$B$37,TODAY())))</f>
        <v/>
      </c>
      <c r="AO57" s="30" t="str">
        <f aca="false">IF($A57="","",COUNTIFS(stops!$B$2:$B$151,$A57,stops!$AF$2:$AF$151,"Y"))</f>
        <v/>
      </c>
      <c r="AP57" s="30" t="str">
        <f aca="false">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30" t="str">
        <f aca="false">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30" t="str">
        <f aca="false">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ustomFormat="false" ht="15" hidden="false" customHeight="false" outlineLevel="0" collapsed="false">
      <c r="C58" s="36"/>
      <c r="D58" s="36"/>
      <c r="G58" s="10"/>
      <c r="I58" s="10"/>
      <c r="J58" s="11"/>
      <c r="K58" s="10"/>
      <c r="L58" s="11"/>
      <c r="O58" s="30" t="str">
        <f aca="false">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30" t="str">
        <f aca="false">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30" t="str">
        <f aca="false">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30" t="str">
        <f aca="false">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30" t="str">
        <f aca="false">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30" t="str">
        <f aca="false">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30" t="str">
        <f aca="false">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30" t="str">
        <f aca="false">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30" t="str">
        <f aca="false">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30" t="str">
        <f aca="false">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30" t="str">
        <f aca="false">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30" t="str">
        <f aca="false">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30" t="str">
        <f aca="false">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30" t="str">
        <f aca="false">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30" t="str">
        <f aca="false">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30" t="str">
        <f aca="false">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31" t="str">
        <f aca="false">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30" t="str">
        <f aca="false">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30" t="str">
        <f aca="false">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30" t="str">
        <f aca="false">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30" t="str">
        <f aca="false">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30" t="str">
        <f aca="false">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30" t="str">
        <f aca="false">IF($A58="","",IF($R58="","unknown",IF($R58&lt;40,"under-40",IF($R58&lt;=75,"40-75",IF($R58&lt;=150,"76-150",IF($R58&lt;=250,"151-250",IF($R58&lt;=500,"251-500","over-500")))))))</f>
        <v/>
      </c>
      <c r="AL58" s="30" t="str">
        <f aca="false">IF($A58="","",IF($O58="","not on in_signed_offices: paste the outreach file",IF($R58="","no Tuesday headcount",IF($R58&lt;30,"below the hard floor of 30",IF($R58&lt;40,"30 to 39: founder's call",IF($R58&gt;250,"over 250: outside the plan","OK"))))))</f>
        <v/>
      </c>
      <c r="AM58" s="30" t="str">
        <f aca="false">IF(OR($A58="",$R58=""),"",MIN(config!$B$16,MAX(config!$B$15,MROUND(config!$B$13+config!$B$14*$R58,config!$B$17))))</f>
        <v/>
      </c>
      <c r="AN58" s="30" t="str">
        <f aca="true">IF($A58="","",COUNTIFS(stops!$B$2:$B$151,$A58,stops!$P$2:$P$151,"&lt;="&amp;IF(config!$B$37&lt;&gt;"",config!$B$37,TODAY())))</f>
        <v/>
      </c>
      <c r="AO58" s="30" t="str">
        <f aca="false">IF($A58="","",COUNTIFS(stops!$B$2:$B$151,$A58,stops!$AF$2:$AF$151,"Y"))</f>
        <v/>
      </c>
      <c r="AP58" s="30" t="str">
        <f aca="false">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30" t="str">
        <f aca="false">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30" t="str">
        <f aca="false">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ustomFormat="false" ht="15" hidden="false" customHeight="false" outlineLevel="0" collapsed="false">
      <c r="C59" s="36"/>
      <c r="D59" s="36"/>
      <c r="G59" s="10"/>
      <c r="I59" s="10"/>
      <c r="J59" s="11"/>
      <c r="K59" s="10"/>
      <c r="L59" s="11"/>
      <c r="O59" s="30" t="str">
        <f aca="false">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30" t="str">
        <f aca="false">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30" t="str">
        <f aca="false">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30" t="str">
        <f aca="false">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30" t="str">
        <f aca="false">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30" t="str">
        <f aca="false">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30" t="str">
        <f aca="false">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30" t="str">
        <f aca="false">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30" t="str">
        <f aca="false">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30" t="str">
        <f aca="false">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30" t="str">
        <f aca="false">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30" t="str">
        <f aca="false">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30" t="str">
        <f aca="false">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30" t="str">
        <f aca="false">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30" t="str">
        <f aca="false">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30" t="str">
        <f aca="false">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31" t="str">
        <f aca="false">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30" t="str">
        <f aca="false">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30" t="str">
        <f aca="false">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30" t="str">
        <f aca="false">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30" t="str">
        <f aca="false">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30" t="str">
        <f aca="false">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30" t="str">
        <f aca="false">IF($A59="","",IF($R59="","unknown",IF($R59&lt;40,"under-40",IF($R59&lt;=75,"40-75",IF($R59&lt;=150,"76-150",IF($R59&lt;=250,"151-250",IF($R59&lt;=500,"251-500","over-500")))))))</f>
        <v/>
      </c>
      <c r="AL59" s="30" t="str">
        <f aca="false">IF($A59="","",IF($O59="","not on in_signed_offices: paste the outreach file",IF($R59="","no Tuesday headcount",IF($R59&lt;30,"below the hard floor of 30",IF($R59&lt;40,"30 to 39: founder's call",IF($R59&gt;250,"over 250: outside the plan","OK"))))))</f>
        <v/>
      </c>
      <c r="AM59" s="30" t="str">
        <f aca="false">IF(OR($A59="",$R59=""),"",MIN(config!$B$16,MAX(config!$B$15,MROUND(config!$B$13+config!$B$14*$R59,config!$B$17))))</f>
        <v/>
      </c>
      <c r="AN59" s="30" t="str">
        <f aca="true">IF($A59="","",COUNTIFS(stops!$B$2:$B$151,$A59,stops!$P$2:$P$151,"&lt;="&amp;IF(config!$B$37&lt;&gt;"",config!$B$37,TODAY())))</f>
        <v/>
      </c>
      <c r="AO59" s="30" t="str">
        <f aca="false">IF($A59="","",COUNTIFS(stops!$B$2:$B$151,$A59,stops!$AF$2:$AF$151,"Y"))</f>
        <v/>
      </c>
      <c r="AP59" s="30" t="str">
        <f aca="false">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30" t="str">
        <f aca="false">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30" t="str">
        <f aca="false">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ustomFormat="false" ht="15" hidden="false" customHeight="false" outlineLevel="0" collapsed="false">
      <c r="C60" s="36"/>
      <c r="D60" s="36"/>
      <c r="G60" s="10"/>
      <c r="I60" s="10"/>
      <c r="J60" s="11"/>
      <c r="K60" s="10"/>
      <c r="L60" s="11"/>
      <c r="O60" s="30" t="str">
        <f aca="false">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30" t="str">
        <f aca="false">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30" t="str">
        <f aca="false">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30" t="str">
        <f aca="false">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30" t="str">
        <f aca="false">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30" t="str">
        <f aca="false">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30" t="str">
        <f aca="false">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30" t="str">
        <f aca="false">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30" t="str">
        <f aca="false">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30" t="str">
        <f aca="false">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30" t="str">
        <f aca="false">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30" t="str">
        <f aca="false">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30" t="str">
        <f aca="false">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30" t="str">
        <f aca="false">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30" t="str">
        <f aca="false">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30" t="str">
        <f aca="false">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31" t="str">
        <f aca="false">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30" t="str">
        <f aca="false">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30" t="str">
        <f aca="false">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30" t="str">
        <f aca="false">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30" t="str">
        <f aca="false">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30" t="str">
        <f aca="false">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30" t="str">
        <f aca="false">IF($A60="","",IF($R60="","unknown",IF($R60&lt;40,"under-40",IF($R60&lt;=75,"40-75",IF($R60&lt;=150,"76-150",IF($R60&lt;=250,"151-250",IF($R60&lt;=500,"251-500","over-500")))))))</f>
        <v/>
      </c>
      <c r="AL60" s="30" t="str">
        <f aca="false">IF($A60="","",IF($O60="","not on in_signed_offices: paste the outreach file",IF($R60="","no Tuesday headcount",IF($R60&lt;30,"below the hard floor of 30",IF($R60&lt;40,"30 to 39: founder's call",IF($R60&gt;250,"over 250: outside the plan","OK"))))))</f>
        <v/>
      </c>
      <c r="AM60" s="30" t="str">
        <f aca="false">IF(OR($A60="",$R60=""),"",MIN(config!$B$16,MAX(config!$B$15,MROUND(config!$B$13+config!$B$14*$R60,config!$B$17))))</f>
        <v/>
      </c>
      <c r="AN60" s="30" t="str">
        <f aca="true">IF($A60="","",COUNTIFS(stops!$B$2:$B$151,$A60,stops!$P$2:$P$151,"&lt;="&amp;IF(config!$B$37&lt;&gt;"",config!$B$37,TODAY())))</f>
        <v/>
      </c>
      <c r="AO60" s="30" t="str">
        <f aca="false">IF($A60="","",COUNTIFS(stops!$B$2:$B$151,$A60,stops!$AF$2:$AF$151,"Y"))</f>
        <v/>
      </c>
      <c r="AP60" s="30" t="str">
        <f aca="false">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30" t="str">
        <f aca="false">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30" t="str">
        <f aca="false">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ustomFormat="false" ht="15" hidden="false" customHeight="false" outlineLevel="0" collapsed="false">
      <c r="C61" s="36"/>
      <c r="D61" s="36"/>
      <c r="G61" s="10"/>
      <c r="I61" s="10"/>
      <c r="J61" s="11"/>
      <c r="K61" s="10"/>
      <c r="L61" s="11"/>
      <c r="O61" s="30" t="str">
        <f aca="false">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30" t="str">
        <f aca="false">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30" t="str">
        <f aca="false">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30" t="str">
        <f aca="false">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30" t="str">
        <f aca="false">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30" t="str">
        <f aca="false">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30" t="str">
        <f aca="false">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30" t="str">
        <f aca="false">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30" t="str">
        <f aca="false">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30" t="str">
        <f aca="false">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30" t="str">
        <f aca="false">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30" t="str">
        <f aca="false">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30" t="str">
        <f aca="false">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30" t="str">
        <f aca="false">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30" t="str">
        <f aca="false">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30" t="str">
        <f aca="false">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31" t="str">
        <f aca="false">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30" t="str">
        <f aca="false">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30" t="str">
        <f aca="false">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30" t="str">
        <f aca="false">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30" t="str">
        <f aca="false">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30" t="str">
        <f aca="false">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30" t="str">
        <f aca="false">IF($A61="","",IF($R61="","unknown",IF($R61&lt;40,"under-40",IF($R61&lt;=75,"40-75",IF($R61&lt;=150,"76-150",IF($R61&lt;=250,"151-250",IF($R61&lt;=500,"251-500","over-500")))))))</f>
        <v/>
      </c>
      <c r="AL61" s="30" t="str">
        <f aca="false">IF($A61="","",IF($O61="","not on in_signed_offices: paste the outreach file",IF($R61="","no Tuesday headcount",IF($R61&lt;30,"below the hard floor of 30",IF($R61&lt;40,"30 to 39: founder's call",IF($R61&gt;250,"over 250: outside the plan","OK"))))))</f>
        <v/>
      </c>
      <c r="AM61" s="30" t="str">
        <f aca="false">IF(OR($A61="",$R61=""),"",MIN(config!$B$16,MAX(config!$B$15,MROUND(config!$B$13+config!$B$14*$R61,config!$B$17))))</f>
        <v/>
      </c>
      <c r="AN61" s="30" t="str">
        <f aca="true">IF($A61="","",COUNTIFS(stops!$B$2:$B$151,$A61,stops!$P$2:$P$151,"&lt;="&amp;IF(config!$B$37&lt;&gt;"",config!$B$37,TODAY())))</f>
        <v/>
      </c>
      <c r="AO61" s="30" t="str">
        <f aca="false">IF($A61="","",COUNTIFS(stops!$B$2:$B$151,$A61,stops!$AF$2:$AF$151,"Y"))</f>
        <v/>
      </c>
      <c r="AP61" s="30" t="str">
        <f aca="false">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30" t="str">
        <f aca="false">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30" t="str">
        <f aca="false">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2" aboveAverage="0" equalAverage="0" bottom="0" percent="0" rank="0" text="" dxfId="1">
      <formula>LEN(AR2)&gt;0</formula>
    </cfRule>
  </conditionalFormatting>
  <dataValidations count="4">
    <dataValidation allowBlank="true" error="Pick a value from the list." errorStyle="stop" errorTitle="Not on the list" operator="between" showDropDown="false" showErrorMessage="true" showInputMessage="false" sqref="G2:G61" type="list">
      <formula1>"Y,N"</formula1>
      <formula2>0</formula2>
    </dataValidation>
    <dataValidation allowBlank="true" error="Pick a value from the list." errorStyle="stop" errorTitle="Not on the list" operator="between" showDropDown="false" showErrorMessage="true" showInputMessage="false" sqref="I2:I61" type="list">
      <formula1>"not_needed,to_request,requested,received,blocked"</formula1>
      <formula2>0</formula2>
    </dataValidation>
    <dataValidation allowBlank="true" error="Pick a value from the list." errorStyle="stop" errorTitle="Not on the list" operator="between" showDropDown="false" showErrorMessage="true" showInputMessage="false" sqref="K2:K61" type="list">
      <formula1>"active,paused,left"</formula1>
      <formula2>0</formula2>
    </dataValidation>
    <dataValidation allowBlank="true" error="Pick a value from the list." errorStyle="stop" errorTitle="Not on the list" operator="between" showDropDown="false" showErrorMessage="true" showInputMessage="false" sqref="N2:N6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BD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20"/>
    <col collapsed="false" customWidth="true" hidden="false" outlineLevel="0" max="7" min="7" style="0" width="8"/>
    <col collapsed="false" customWidth="true" hidden="false" outlineLevel="0" max="9" min="8" style="0" width="14"/>
    <col collapsed="false" customWidth="true" hidden="false" outlineLevel="0" max="10" min="10" style="0" width="16"/>
    <col collapsed="false" customWidth="true" hidden="false" outlineLevel="0" max="11" min="11" style="0" width="18"/>
    <col collapsed="false" customWidth="true" hidden="false" outlineLevel="0" max="13" min="12" style="0" width="6"/>
    <col collapsed="false" customWidth="true" hidden="false" outlineLevel="0" max="14" min="14" style="0" width="7"/>
    <col collapsed="false" customWidth="true" hidden="false" outlineLevel="0" max="16" min="15" style="0" width="9"/>
    <col collapsed="false" customWidth="true" hidden="false" outlineLevel="0" max="17" min="17" style="0" width="7"/>
    <col collapsed="false" customWidth="true" hidden="false" outlineLevel="0" max="18" min="18" style="0" width="24"/>
    <col collapsed="false" customWidth="true" hidden="false" outlineLevel="0" max="19" min="19" style="0" width="8"/>
    <col collapsed="false" customWidth="true" hidden="false" outlineLevel="0" max="20" min="20" style="0" width="24"/>
    <col collapsed="false" customWidth="true" hidden="false" outlineLevel="0" max="21" min="21" style="0" width="8"/>
    <col collapsed="false" customWidth="true" hidden="false" outlineLevel="0" max="22" min="22" style="0" width="15"/>
    <col collapsed="false" customWidth="true" hidden="false" outlineLevel="0" max="23" min="23" style="0" width="12"/>
    <col collapsed="false" customWidth="true" hidden="false" outlineLevel="0" max="24" min="24" style="0" width="24"/>
    <col collapsed="false" customWidth="true" hidden="false" outlineLevel="0" max="25" min="25" style="0" width="14"/>
    <col collapsed="false" customWidth="true" hidden="false" outlineLevel="0" max="33" min="26" style="0" width="7"/>
    <col collapsed="false" customWidth="true" hidden="false" outlineLevel="0" max="34" min="34" style="0" width="24"/>
    <col collapsed="false" customWidth="true" hidden="false" outlineLevel="0" max="35" min="35" style="0" width="14"/>
    <col collapsed="false" customWidth="true" hidden="false" outlineLevel="0" max="37" min="36" style="0" width="6"/>
    <col collapsed="false" customWidth="true" hidden="false" outlineLevel="0" max="41" min="38" style="0" width="7"/>
    <col collapsed="false" customWidth="true" hidden="false" outlineLevel="0" max="42" min="42" style="0" width="40"/>
    <col collapsed="false" customWidth="true" hidden="false" outlineLevel="0" max="51" min="43" style="0" width="6"/>
    <col collapsed="false" customWidth="true" hidden="false" outlineLevel="0" max="52" min="52" style="0" width="12"/>
    <col collapsed="false" customWidth="true" hidden="false" outlineLevel="0" max="53" min="53" style="0" width="14"/>
    <col collapsed="false" customWidth="true" hidden="false" outlineLevel="0" max="54" min="54" style="0" width="8"/>
    <col collapsed="false" customWidth="true" hidden="false" outlineLevel="0" max="56" min="55" style="0" width="7"/>
  </cols>
  <sheetData>
    <row r="1" customFormat="false" ht="15" hidden="false" customHeight="false" outlineLevel="0" collapsed="false">
      <c r="A1" s="28" t="s">
        <v>358</v>
      </c>
      <c r="B1" s="28" t="s">
        <v>642</v>
      </c>
      <c r="C1" s="28" t="s">
        <v>700</v>
      </c>
      <c r="D1" s="28" t="s">
        <v>701</v>
      </c>
      <c r="E1" s="28" t="s">
        <v>702</v>
      </c>
      <c r="F1" s="28" t="s">
        <v>703</v>
      </c>
      <c r="G1" s="28" t="s">
        <v>704</v>
      </c>
      <c r="H1" s="29" t="s">
        <v>299</v>
      </c>
      <c r="I1" s="29" t="s">
        <v>300</v>
      </c>
      <c r="J1" s="29" t="s">
        <v>411</v>
      </c>
      <c r="K1" s="29" t="s">
        <v>138</v>
      </c>
      <c r="L1" s="29" t="s">
        <v>705</v>
      </c>
      <c r="M1" s="29" t="s">
        <v>706</v>
      </c>
      <c r="N1" s="29" t="s">
        <v>707</v>
      </c>
      <c r="O1" s="29" t="s">
        <v>708</v>
      </c>
      <c r="P1" s="29" t="s">
        <v>709</v>
      </c>
      <c r="Q1" s="29" t="s">
        <v>710</v>
      </c>
      <c r="R1" s="29" t="s">
        <v>711</v>
      </c>
      <c r="S1" s="29" t="s">
        <v>324</v>
      </c>
      <c r="T1" s="29" t="s">
        <v>712</v>
      </c>
      <c r="U1" s="29" t="s">
        <v>430</v>
      </c>
      <c r="V1" s="29" t="s">
        <v>713</v>
      </c>
      <c r="W1" s="29" t="s">
        <v>714</v>
      </c>
      <c r="X1" s="29" t="s">
        <v>715</v>
      </c>
      <c r="Y1" s="29" t="s">
        <v>716</v>
      </c>
      <c r="Z1" s="29" t="s">
        <v>717</v>
      </c>
      <c r="AA1" s="29" t="s">
        <v>431</v>
      </c>
      <c r="AB1" s="29" t="s">
        <v>718</v>
      </c>
      <c r="AC1" s="29" t="s">
        <v>719</v>
      </c>
      <c r="AD1" s="29" t="s">
        <v>434</v>
      </c>
      <c r="AE1" s="29" t="s">
        <v>720</v>
      </c>
      <c r="AF1" s="29" t="s">
        <v>721</v>
      </c>
      <c r="AG1" s="29" t="s">
        <v>435</v>
      </c>
      <c r="AH1" s="29" t="s">
        <v>722</v>
      </c>
      <c r="AI1" s="29" t="s">
        <v>723</v>
      </c>
      <c r="AJ1" s="29" t="s">
        <v>724</v>
      </c>
      <c r="AK1" s="29" t="s">
        <v>725</v>
      </c>
      <c r="AL1" s="29" t="s">
        <v>436</v>
      </c>
      <c r="AM1" s="29" t="s">
        <v>726</v>
      </c>
      <c r="AN1" s="29" t="s">
        <v>452</v>
      </c>
      <c r="AO1" s="29" t="s">
        <v>453</v>
      </c>
      <c r="AP1" s="29" t="s">
        <v>120</v>
      </c>
      <c r="AQ1" s="29" t="s">
        <v>440</v>
      </c>
      <c r="AR1" s="29" t="s">
        <v>441</v>
      </c>
      <c r="AS1" s="29" t="s">
        <v>442</v>
      </c>
      <c r="AT1" s="29" t="s">
        <v>727</v>
      </c>
      <c r="AU1" s="29" t="s">
        <v>728</v>
      </c>
      <c r="AV1" s="29" t="s">
        <v>729</v>
      </c>
      <c r="AW1" s="29" t="s">
        <v>730</v>
      </c>
      <c r="AX1" s="29" t="s">
        <v>731</v>
      </c>
      <c r="AY1" s="29" t="s">
        <v>147</v>
      </c>
      <c r="AZ1" s="29" t="s">
        <v>732</v>
      </c>
      <c r="BA1" s="29" t="s">
        <v>733</v>
      </c>
      <c r="BB1" s="29" t="s">
        <v>734</v>
      </c>
      <c r="BC1" s="29" t="s">
        <v>735</v>
      </c>
      <c r="BD1" s="29" t="s">
        <v>736</v>
      </c>
    </row>
    <row r="2" customFormat="false" ht="15" hidden="false" customHeight="false" outlineLevel="0" collapsed="false">
      <c r="A2" s="0" t="s">
        <v>472</v>
      </c>
      <c r="B2" s="0" t="s">
        <v>678</v>
      </c>
      <c r="C2" s="11" t="n">
        <v>46370</v>
      </c>
      <c r="D2" s="10" t="s">
        <v>496</v>
      </c>
      <c r="E2" s="11" t="n">
        <v>46372</v>
      </c>
      <c r="F2" s="10" t="s">
        <v>737</v>
      </c>
      <c r="H2" s="30" t="str">
        <f aca="false">IF($A2="","",IFERROR(IF(INDEX(campaigns!$B$2:$B$51,MATCH($A2,campaigns!$A$2:$A$51,0))="","",INDEX(campaigns!$B$2:$B$51,MATCH($A2,campaigns!$A$2:$A$51,0))),""))</f>
        <v>SAMPLE-DRP-001</v>
      </c>
      <c r="I2" s="31" t="n">
        <f aca="false">IF($A2="","",IFERROR(IF(INDEX(campaigns!$BG$2:$BG$51,MATCH($A2,campaigns!$A$2:$A$51,0))="","",INDEX(campaigns!$BG$2:$BG$51,MATCH($A2,campaigns!$A$2:$A$51,0))),""))</f>
        <v>46399</v>
      </c>
      <c r="J2" s="30" t="str">
        <f aca="false">IF($A2="","",IFERROR(IF(INDEX(campaigns!$BE$2:$BE$51,MATCH($A2,campaigns!$A$2:$A$51,0))="","",INDEX(campaigns!$BE$2:$BE$51,MATCH($A2,campaigns!$A$2:$A$51,0))),""))</f>
        <v>SAMPLE Brightside</v>
      </c>
      <c r="K2" s="30" t="str">
        <f aca="false">IF($B2="","",IFERROR(IF(INDEX(offices!$O$2:$O$61,MATCH($B2,offices!$A$2:$A$61,0))="","",INDEX(offices!$O$2:$O$61,MATCH($B2,offices!$A$2:$A$61,0))),""))</f>
        <v>SAMPLE Northpoint Software</v>
      </c>
      <c r="L2" s="30" t="n">
        <f aca="false">IF($A2="","",IF($Q2="N","",COUNTIFS($A$2:$A2,$A2,$Q$2:$Q2,"&lt;&gt;N")))</f>
        <v>1</v>
      </c>
      <c r="M2" s="30" t="str">
        <f aca="false">IF(OR($A2="",$L2=""),"",IF(AND(config!$B$34="names_if_public",IFERROR(IF(INDEX(offices!$AG$2:$AG$61,MATCH($B2,offices!$A$2:$A$61,0))="","",INDEX(offices!$AG$2:$AG$61,MATCH($B2,offices!$A$2:$A$61,0))),"")="Y"),$K2,CHAR(64+$L2)))</f>
        <v>A</v>
      </c>
      <c r="N2" s="30" t="n">
        <f aca="false">IF(OR($A2="",$I2=""),"",COUNTIFS(stops!$B$2:$B$151,$B2,stops!$P$2:$P$151,"&lt;"&amp;$I2,stops!$L$2:$L$151,"&lt;&gt;not_delivered")+1)</f>
        <v>1</v>
      </c>
      <c r="O2" s="30" t="str">
        <f aca="false">IF($A2="","",IF(N($N2)&lt;=config!$B$29,"explicit","opt-out"))</f>
        <v>explicit</v>
      </c>
      <c r="P2" s="30" t="str">
        <f aca="false">IF($A2="","",IF($O2="explicit",IF($D2="yes","Y",IF($D2="no","N","pending")),IF($D2="no","N",IF(AND($C2&lt;&gt;"",$I2&lt;&gt;"",$C2&lt;=WORKDAY(N($I2),-5,calendar!$A$2:$A$80)),"Y","pending"))))</f>
        <v>Y</v>
      </c>
      <c r="Q2" s="30" t="str">
        <f aca="false">IF($A2="","",IF($P2="N","N",IF($P2&lt;&gt;"Y","pending",IF(AND((COUNTIFS(stops!$A$2:$A$151,$H2,stops!$B$2:$B$151,$B2,stops!$L$2:$L$151,"declined")+COUNTIFS(stops!$A$2:$A$151,$H2,stops!$B$2:$B$151,$B2,stops!$L$2:$L$151,"building_refused")+COUNTIFS(stops!$A$2:$A$151,$H2,stops!$B$2:$B$151,$B2,stops!$L$2:$L$151,"not_delivered"))&gt;0,N($U2)=0),"N","Y"))))</f>
        <v>Y</v>
      </c>
      <c r="R2" s="30" t="str">
        <f aca="false">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30" t="n">
        <f aca="false">IF($A2="","",IF($G2&lt;&gt;"",$G2,IFERROR(IF(INDEX(offices!$AM$2:$AM$61,MATCH($B2,offices!$A$2:$A$61,0))="","",INDEX(offices!$AM$2:$AM$61,MATCH($B2,offices!$A$2:$A$61,0))),"")))</f>
        <v>40</v>
      </c>
      <c r="T2" s="30" t="str">
        <f aca="false">IF($A2="","",$A2&amp;"."&amp;$B2)</f>
        <v>SAMPLE-CMP-001.SAMPLE-O-001</v>
      </c>
      <c r="U2" s="30" t="n">
        <f aca="false">IF($A2="","",SUMIFS(inventory!$G$2:$G$801,inventory!$C$2:$C$801,$A2,inventory!$D$2:$D$801,$B2,inventory!$E$2:$E$801,"delivered"))</f>
        <v>40</v>
      </c>
      <c r="V2" s="37" t="n">
        <f aca="false">IF($A2="","",IFERROR(1/(1/SUMPRODUCT(MAX((inventory!$C$2:$C$801=$A2)*(inventory!$D$2:$D$801=$B2)*(inventory!$E$2:$E$801="delivered")*(inventory!$A$2:$A$801+inventory!$B$2:$B$801)))),""))</f>
        <v>46399.3472222222</v>
      </c>
      <c r="W2" s="30" t="str">
        <f aca="false">IF($A2="","",IFERROR(IF(INDEX(inventory!$J$2:$J$801,MATCH($A2&amp;"|"&amp;$B2&amp;"|delivered",inventory!$R$2:$R$801,0))="","",INDEX(inventory!$J$2:$J$801,MATCH($A2&amp;"|"&amp;$B2&amp;"|delivered",inventory!$R$2:$R$801,0))),""))</f>
        <v>founder_count</v>
      </c>
      <c r="X2" s="30" t="str">
        <f aca="false">IF($A2="","",IFERROR(IF(INDEX(photos!$H$2:$H$701,MATCH($A2&amp;"|"&amp;$B2&amp;"|placement|Y",photos!$R$2:$R$701,0))="","",INDEX(photos!$H$2:$H$701,MATCH($A2&amp;"|"&amp;$B2&amp;"|placement|Y",photos!$R$2:$R$701,0))),""))</f>
        <v>SAMPLE-CMP-001_SAMPLE-O-001_placement_2027-01-12.jpg</v>
      </c>
      <c r="Y2" s="31" t="n">
        <f aca="false">IF($A2="","",IFERROR(IF(INDEX(photos!$E$2:$E$701,MATCH($A2&amp;"|"&amp;$B2&amp;"|placement|Y",photos!$R$2:$R$701,0))="","",INDEX(photos!$E$2:$E$701,MATCH($A2&amp;"|"&amp;$B2&amp;"|placement|Y",photos!$R$2:$R$701,0))),""))</f>
        <v>46399</v>
      </c>
      <c r="Z2" s="30" t="n">
        <f aca="false">IF($A2="","",IF(COUNTIFS(counts!$C$2:$C$701,$A2,counts!$D$2:$D$701,$B2,counts!$E$2:$E$701,"placed")=0,"",SUMIFS(counts!$F$2:$F$701,counts!$C$2:$C$701,$A2,counts!$D$2:$D$701,$B2,counts!$E$2:$E$701,"placed")))</f>
        <v>40</v>
      </c>
      <c r="AA2" s="30" t="n">
        <f aca="false">IF($A2="","",IF($Y2="",0,N($Z2)))</f>
        <v>40</v>
      </c>
      <c r="AB2" s="30" t="str">
        <f aca="false">IF($A2="","",IF(OR($Y2="",$I2=""),"N",IF($Y2&lt;=WORKDAY(N($I2),1,calendar!$A$2:$A$80),"Y","N")))</f>
        <v>Y</v>
      </c>
      <c r="AC2" s="33" t="n">
        <f aca="false">IF(OR($A2="",$V2="",$Y2=""),"",ROUND(($Y2+N(IFERROR(IF(INDEX(photos!$F$2:$F$701,MATCH($A2&amp;"|"&amp;$B2&amp;"|placement|Y",photos!$R$2:$R$701,0))="","",INDEX(photos!$F$2:$F$701,MATCH($A2&amp;"|"&amp;$B2&amp;"|placement|Y",photos!$R$2:$R$701,0))),""))-$V2)*24,1))</f>
        <v>0.2</v>
      </c>
      <c r="AD2" s="30" t="n">
        <f aca="false">IF($A2="","",SUMIFS(inventory!$G$2:$G$801,inventory!$C$2:$C$801,$A2,inventory!$D$2:$D$801,$B2,inventory!$E$2:$E$801,"topped_up"))</f>
        <v>5</v>
      </c>
      <c r="AE2" s="30" t="n">
        <f aca="false">IF($A2="","",IF(COUNTIFS(counts!$C$2:$C$701,$A2,counts!$D$2:$D$701,$B2,counts!$E$2:$E$701,"remaining_day3")=0,"",SUMIFS(counts!$F$2:$F$701,counts!$C$2:$C$701,$A2,counts!$D$2:$D$701,$B2,counts!$E$2:$E$701,"remaining_day3")))</f>
        <v>4</v>
      </c>
      <c r="AF2" s="30" t="n">
        <f aca="false">IF($A2="","",IF(COUNTIFS(counts!$C$2:$C$701,$A2,counts!$D$2:$D$701,$B2,counts!$E$2:$E$701,"remaining_day5")=0,"",SUMIFS(counts!$F$2:$F$701,counts!$C$2:$C$701,$A2,counts!$D$2:$D$701,$B2,counts!$E$2:$E$701,"remaining_day5")))</f>
        <v>1</v>
      </c>
      <c r="AG2" s="30" t="n">
        <f aca="false">IF(OR($A2="",$AF2=""),"",MAX(0,$AA2+$AD2-$AF2))</f>
        <v>44</v>
      </c>
      <c r="AH2" s="30" t="str">
        <f aca="false">IF(OR($A2="",$AI2=""),"",IFERROR(IF(INDEX(photos!$H$2:$H$701,MATCH($A2&amp;"|"&amp;$B2&amp;"|later|Y|"&amp;$AI2,photos!$S$2:$S$701,0))="","",INDEX(photos!$H$2:$H$701,MATCH($A2&amp;"|"&amp;$B2&amp;"|later|Y|"&amp;$AI2,photos!$S$2:$S$701,0))),""))</f>
        <v>SAMPLE-CMP-001_SAMPLE-O-001_later_2027-01-19.jpg</v>
      </c>
      <c r="AI2" s="31" t="n">
        <f aca="false">IF($A2="","",IFERROR(1/(1/SUMPRODUCT(MAX((photos!$B$2:$B$701=$A2)*(photos!$C$2:$C$701=$B2)*(photos!$D$2:$D$701="later")*(photos!$O$2:$O$701="Y")*photos!$E$2:$E$701))),""))</f>
        <v>46406</v>
      </c>
      <c r="AJ2" s="30" t="n">
        <f aca="false">IF(OR($A2="",$AI2="",$I2=""),"",NETWORKDAYS($I2,$AI2,calendar!$A$2:$A$80))</f>
        <v>5</v>
      </c>
      <c r="AK2" s="30" t="str">
        <f aca="false">IF($A2="","",IF(AND($X2&lt;&gt;"",$AH2&lt;&gt;""),"Y","N"))</f>
        <v>Y</v>
      </c>
      <c r="AL2" s="30" t="n">
        <f aca="true">IF(OR($A2="",$I2=""),"",IF($BC2="Y",SUMIFS(survey_frozen!$C$2:$C$251,survey_frozen!$P$2:$P$251,$A2&amp;"|"&amp;$B2),IFERROR(COUNTIFS(INDIRECT("'"&amp;$A2&amp;"'!$B$2:$B$501"),$T2,INDIRECT("'"&amp;$A2&amp;"'!$A$2:$A$501"),"&gt;="&amp;$I2,INDIRECT("'"&amp;$A2&amp;"'!$A$2:$A$501"),"&lt;"&amp;($BA2+1)),0)))</f>
        <v>9</v>
      </c>
      <c r="AM2" s="30" t="n">
        <f aca="true">IF(OR($A2="",$I2=""),"",IF($BC2="Y",SUMIFS(survey_frozen!$D$2:$D$251,survey_frozen!$P$2:$P$251,$A2&amp;"|"&amp;$B2),IFERROR(COUNTIFS(INDIRECT("'"&amp;$A2&amp;"'!$B$2:$B$501"),$T2,INDIRECT("'"&amp;$A2&amp;"'!$A$2:$A$501"),"&gt;="&amp;$I2,INDIRECT("'"&amp;$A2&amp;"'!$A$2:$A$501"),"&lt;"&amp;($BA2+1),INDIRECT("'"&amp;$A2&amp;"'!$C$2:$C$501"),"Yes"),0)))</f>
        <v>8</v>
      </c>
      <c r="AN2" s="30" t="n">
        <f aca="false">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14</v>
      </c>
      <c r="AO2" s="30" t="n">
        <f aca="false">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5</v>
      </c>
      <c r="AP2" s="30" t="str">
        <f aca="true">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30" t="n">
        <f aca="true">IF(OR($A2="",$I2=""),"",IF($BC2="Y",SUMIFS(survey_frozen!$E$2:$E$251,survey_frozen!$P$2:$P$251,$A2&amp;"|"&amp;$B2),IFERROR(COUNTIFS(INDIRECT("'"&amp;$A2&amp;"'!$B$2:$B$501"),$T2,INDIRECT("'"&amp;$A2&amp;"'!$A$2:$A$501"),"&gt;="&amp;$I2,INDIRECT("'"&amp;$A2&amp;"'!$A$2:$A$501"),"&lt;"&amp;($BA2+1),INDIRECT("'"&amp;$A2&amp;"'!$F$2:$F$501"),"Didn't see it"),0)))</f>
        <v>1</v>
      </c>
      <c r="AR2" s="30" t="n">
        <f aca="true">IF(OR($A2="",$I2=""),"",IF($BC2="Y",SUMIFS(survey_frozen!$F$2:$F$251,survey_frozen!$P$2:$P$251,$A2&amp;"|"&amp;$B2),IFERROR(COUNTIFS(INDIRECT("'"&amp;$A2&amp;"'!$B$2:$B$501"),$T2,INDIRECT("'"&amp;$A2&amp;"'!$A$2:$A$501"),"&gt;="&amp;$I2,INDIRECT("'"&amp;$A2&amp;"'!$A$2:$A$501"),"&lt;"&amp;($BA2+1),INDIRECT("'"&amp;$A2&amp;"'!$F$2:$F$501"),"Not for me"),0)))</f>
        <v>0</v>
      </c>
      <c r="AS2" s="30" t="n">
        <f aca="true">IF(OR($A2="",$I2=""),"",IF($BC2="Y",SUMIFS(survey_frozen!$G$2:$G$251,survey_frozen!$P$2:$P$251,$A2&amp;"|"&amp;$B2),IFERROR(COUNTIFS(INDIRECT("'"&amp;$A2&amp;"'!$B$2:$B$501"),$T2,INDIRECT("'"&amp;$A2&amp;"'!$A$2:$A$501"),"&gt;="&amp;$I2,INDIRECT("'"&amp;$A2&amp;"'!$A$2:$A$501"),"&lt;"&amp;($BA2+1),INDIRECT("'"&amp;$A2&amp;"'!$F$2:$F$501"),"Gone by the time I looked"),0)))</f>
        <v>0</v>
      </c>
      <c r="AT2" s="30" t="n">
        <f aca="true">IF(OR($A2="",$I2=""),"",IF($BC2="Y",SUMIFS(survey_frozen!$H$2:$H$251,survey_frozen!$P$2:$P$251,$A2&amp;"|"&amp;$B2),IFERROR(COUNTIFS(INDIRECT("'"&amp;$A2&amp;"'!$B$2:$B$501"),$T2,INDIRECT("'"&amp;$A2&amp;"'!$A$2:$A$501"),"&gt;="&amp;$I2,INDIRECT("'"&amp;$A2&amp;"'!$A$2:$A$501"),"&lt;"&amp;($BA2+1),INDIRECT("'"&amp;$A2&amp;"'!$D$2:$D$501"),"&gt;=1"),0)))</f>
        <v>8</v>
      </c>
      <c r="AU2" s="30" t="n">
        <f aca="true">IF(OR($A2="",$I2=""),"",IF($BC2="Y",SUMIFS(survey_frozen!$I$2:$I$251,survey_frozen!$P$2:$P$251,$A2&amp;"|"&amp;$B2),IFERROR(SUMIFS(INDIRECT("'"&amp;$A2&amp;"'!$D$2:$D$501"),INDIRECT("'"&amp;$A2&amp;"'!$B$2:$B$501"),$T2,INDIRECT("'"&amp;$A2&amp;"'!$A$2:$A$501"),"&gt;="&amp;$I2,INDIRECT("'"&amp;$A2&amp;"'!$A$2:$A$501"),"&lt;"&amp;($BA2+1)),0)))</f>
        <v>31</v>
      </c>
      <c r="AV2" s="30" t="n">
        <f aca="true">IF(OR($A2="",$I2=""),"",IF($BC2="Y",SUMIFS(survey_frozen!$J$2:$J$251,survey_frozen!$P$2:$P$251,$A2&amp;"|"&amp;$B2),IFERROR(COUNTIFS(INDIRECT("'"&amp;$A2&amp;"'!$B$2:$B$501"),$T2,INDIRECT("'"&amp;$A2&amp;"'!$A$2:$A$501"),"&gt;="&amp;$I2,INDIRECT("'"&amp;$A2&amp;"'!$A$2:$A$501"),"&lt;"&amp;($BA2+1),INDIRECT("'"&amp;$A2&amp;"'!$E$2:$E$501"),"Yes"),0)))</f>
        <v>2</v>
      </c>
      <c r="AW2" s="30" t="n">
        <f aca="true">IF(OR($A2="",$I2=""),"",IF($BC2="Y",SUMIFS(survey_frozen!$K$2:$K$251,survey_frozen!$P$2:$P$251,$A2&amp;"|"&amp;$B2),IFERROR(COUNTIFS(INDIRECT("'"&amp;$A2&amp;"'!$B$2:$B$501"),$T2,INDIRECT("'"&amp;$A2&amp;"'!$A$2:$A$501"),"&gt;="&amp;$I2,INDIRECT("'"&amp;$A2&amp;"'!$A$2:$A$501"),"&lt;"&amp;($BA2+1),INDIRECT("'"&amp;$A2&amp;"'!$E$2:$E$501"),"Maybe"),0)))</f>
        <v>3</v>
      </c>
      <c r="AX2" s="30" t="n">
        <f aca="true">IF(OR($A2="",$I2=""),"",IF($BC2="Y",SUMIFS(survey_frozen!$L$2:$L$251,survey_frozen!$P$2:$P$251,$A2&amp;"|"&amp;$B2),IFERROR(COUNTIFS(INDIRECT("'"&amp;$A2&amp;"'!$B$2:$B$501"),$T2,INDIRECT("'"&amp;$A2&amp;"'!$A$2:$A$501"),"&gt;="&amp;$I2,INDIRECT("'"&amp;$A2&amp;"'!$A$2:$A$501"),"&lt;"&amp;($BA2+1),INDIRECT("'"&amp;$A2&amp;"'!$E$2:$E$501"),"No"),0)))</f>
        <v>3</v>
      </c>
      <c r="AY2" s="30" t="n">
        <f aca="true">IF(OR($A2="",$I2=""),"",IF($BC2="Y",SUMIFS(survey_frozen!$M$2:$M$251,survey_frozen!$P$2:$P$251,$A2&amp;"|"&amp;$B2),IFERROR(COUNTIFS(INDIRECT("'"&amp;$A2&amp;"'!$B$2:$B$501"),$T2,INDIRECT("'"&amp;$A2&amp;"'!$A$2:$A$501"),"&gt;="&amp;$I2,INDIRECT("'"&amp;$A2&amp;"'!$A$2:$A$501"),"&lt;"&amp;($BA2+1),INDIRECT("'"&amp;$A2&amp;"'!$G$2:$G$501"),"&lt;&gt;"),0)))</f>
        <v>5</v>
      </c>
      <c r="AZ2" s="30" t="str">
        <f aca="false">IF($A2="","",$A2&amp;"|"&amp;$L2)</f>
        <v>SAMPLE-CMP-001|1</v>
      </c>
      <c r="BA2" s="31" t="n">
        <f aca="false">IF($A2="","",IFERROR(IF(INDEX(drops!$R$2:$R$21,MATCH($H2,drops!$A$2:$A$21,0))="","",INDEX(drops!$R$2:$R$21,MATCH($H2,drops!$A$2:$A$21,0))),""))</f>
        <v>46406</v>
      </c>
      <c r="BB2" s="30" t="n">
        <f aca="false">IF(OR($A2="",$Q2&lt;&gt;"Y"),1000000,N($AL2))</f>
        <v>9</v>
      </c>
      <c r="BC2" s="30" t="str">
        <f aca="false">IF($A2="","",IF(COUNTIF(survey_frozen!$P$2:$P$251,$A2&amp;"|"&amp;$B2)&gt;0,"Y",""))</f>
        <v/>
      </c>
      <c r="BD2" s="30" t="str">
        <f aca="false">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ustomFormat="false" ht="15" hidden="false" customHeight="false" outlineLevel="0" collapsed="false">
      <c r="A3" s="0" t="s">
        <v>472</v>
      </c>
      <c r="B3" s="0" t="s">
        <v>681</v>
      </c>
      <c r="C3" s="11" t="n">
        <v>46370</v>
      </c>
      <c r="D3" s="10" t="s">
        <v>496</v>
      </c>
      <c r="E3" s="11" t="n">
        <v>46372</v>
      </c>
      <c r="F3" s="10" t="s">
        <v>737</v>
      </c>
      <c r="H3" s="30" t="str">
        <f aca="false">IF($A3="","",IFERROR(IF(INDEX(campaigns!$B$2:$B$51,MATCH($A3,campaigns!$A$2:$A$51,0))="","",INDEX(campaigns!$B$2:$B$51,MATCH($A3,campaigns!$A$2:$A$51,0))),""))</f>
        <v>SAMPLE-DRP-001</v>
      </c>
      <c r="I3" s="31" t="n">
        <f aca="false">IF($A3="","",IFERROR(IF(INDEX(campaigns!$BG$2:$BG$51,MATCH($A3,campaigns!$A$2:$A$51,0))="","",INDEX(campaigns!$BG$2:$BG$51,MATCH($A3,campaigns!$A$2:$A$51,0))),""))</f>
        <v>46399</v>
      </c>
      <c r="J3" s="30" t="str">
        <f aca="false">IF($A3="","",IFERROR(IF(INDEX(campaigns!$BE$2:$BE$51,MATCH($A3,campaigns!$A$2:$A$51,0))="","",INDEX(campaigns!$BE$2:$BE$51,MATCH($A3,campaigns!$A$2:$A$51,0))),""))</f>
        <v>SAMPLE Brightside</v>
      </c>
      <c r="K3" s="30" t="str">
        <f aca="false">IF($B3="","",IFERROR(IF(INDEX(offices!$O$2:$O$61,MATCH($B3,offices!$A$2:$A$61,0))="","",INDEX(offices!$O$2:$O$61,MATCH($B3,offices!$A$2:$A$61,0))),""))</f>
        <v>SAMPLE Ferro Architecture</v>
      </c>
      <c r="L3" s="30" t="n">
        <f aca="false">IF($A3="","",IF($Q3="N","",COUNTIFS($A$2:$A3,$A3,$Q$2:$Q3,"&lt;&gt;N")))</f>
        <v>2</v>
      </c>
      <c r="M3" s="30" t="str">
        <f aca="false">IF(OR($A3="",$L3=""),"",IF(AND(config!$B$34="names_if_public",IFERROR(IF(INDEX(offices!$AG$2:$AG$61,MATCH($B3,offices!$A$2:$A$61,0))="","",INDEX(offices!$AG$2:$AG$61,MATCH($B3,offices!$A$2:$A$61,0))),"")="Y"),$K3,CHAR(64+$L3)))</f>
        <v>B</v>
      </c>
      <c r="N3" s="30" t="n">
        <f aca="false">IF(OR($A3="",$I3=""),"",COUNTIFS(stops!$B$2:$B$151,$B3,stops!$P$2:$P$151,"&lt;"&amp;$I3,stops!$L$2:$L$151,"&lt;&gt;not_delivered")+1)</f>
        <v>1</v>
      </c>
      <c r="O3" s="30" t="str">
        <f aca="false">IF($A3="","",IF(N($N3)&lt;=config!$B$29,"explicit","opt-out"))</f>
        <v>explicit</v>
      </c>
      <c r="P3" s="30" t="str">
        <f aca="false">IF($A3="","",IF($O3="explicit",IF($D3="yes","Y",IF($D3="no","N","pending")),IF($D3="no","N",IF(AND($C3&lt;&gt;"",$I3&lt;&gt;"",$C3&lt;=WORKDAY(N($I3),-5,calendar!$A$2:$A$80)),"Y","pending"))))</f>
        <v>Y</v>
      </c>
      <c r="Q3" s="30" t="str">
        <f aca="false">IF($A3="","",IF($P3="N","N",IF($P3&lt;&gt;"Y","pending",IF(AND((COUNTIFS(stops!$A$2:$A$151,$H3,stops!$B$2:$B$151,$B3,stops!$L$2:$L$151,"declined")+COUNTIFS(stops!$A$2:$A$151,$H3,stops!$B$2:$B$151,$B3,stops!$L$2:$L$151,"building_refused")+COUNTIFS(stops!$A$2:$A$151,$H3,stops!$B$2:$B$151,$B3,stops!$L$2:$L$151,"not_delivered"))&gt;0,N($U3)=0),"N","Y"))))</f>
        <v>Y</v>
      </c>
      <c r="R3" s="30" t="str">
        <f aca="false">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30" t="n">
        <f aca="false">IF($A3="","",IF($G3&lt;&gt;"",$G3,IFERROR(IF(INDEX(offices!$AM$2:$AM$61,MATCH($B3,offices!$A$2:$A$61,0))="","",INDEX(offices!$AM$2:$AM$61,MATCH($B3,offices!$A$2:$A$61,0))),"")))</f>
        <v>40</v>
      </c>
      <c r="T3" s="30" t="str">
        <f aca="false">IF($A3="","",$A3&amp;"."&amp;$B3)</f>
        <v>SAMPLE-CMP-001.SAMPLE-O-002</v>
      </c>
      <c r="U3" s="30" t="n">
        <f aca="false">IF($A3="","",SUMIFS(inventory!$G$2:$G$801,inventory!$C$2:$C$801,$A3,inventory!$D$2:$D$801,$B3,inventory!$E$2:$E$801,"delivered"))</f>
        <v>40</v>
      </c>
      <c r="V3" s="37" t="n">
        <f aca="false">IF($A3="","",IFERROR(1/(1/SUMPRODUCT(MAX((inventory!$C$2:$C$801=$A3)*(inventory!$D$2:$D$801=$B3)*(inventory!$E$2:$E$801="delivered")*(inventory!$A$2:$A$801+inventory!$B$2:$B$801)))),""))</f>
        <v>46399.3965277778</v>
      </c>
      <c r="W3" s="30" t="str">
        <f aca="false">IF($A3="","",IFERROR(IF(INDEX(inventory!$J$2:$J$801,MATCH($A3&amp;"|"&amp;$B3&amp;"|delivered",inventory!$R$2:$R$801,0))="","",INDEX(inventory!$J$2:$J$801,MATCH($A3&amp;"|"&amp;$B3&amp;"|delivered",inventory!$R$2:$R$801,0))),""))</f>
        <v>founder_count</v>
      </c>
      <c r="X3" s="30" t="str">
        <f aca="false">IF($A3="","",IFERROR(IF(INDEX(photos!$H$2:$H$701,MATCH($A3&amp;"|"&amp;$B3&amp;"|placement|Y",photos!$R$2:$R$701,0))="","",INDEX(photos!$H$2:$H$701,MATCH($A3&amp;"|"&amp;$B3&amp;"|placement|Y",photos!$R$2:$R$701,0))),""))</f>
        <v>SAMPLE-CMP-001_SAMPLE-O-002_placement_2027-01-12.jpg</v>
      </c>
      <c r="Y3" s="31" t="n">
        <f aca="false">IF($A3="","",IFERROR(IF(INDEX(photos!$E$2:$E$701,MATCH($A3&amp;"|"&amp;$B3&amp;"|placement|Y",photos!$R$2:$R$701,0))="","",INDEX(photos!$E$2:$E$701,MATCH($A3&amp;"|"&amp;$B3&amp;"|placement|Y",photos!$R$2:$R$701,0))),""))</f>
        <v>46399</v>
      </c>
      <c r="Z3" s="30" t="n">
        <f aca="false">IF($A3="","",IF(COUNTIFS(counts!$C$2:$C$701,$A3,counts!$D$2:$D$701,$B3,counts!$E$2:$E$701,"placed")=0,"",SUMIFS(counts!$F$2:$F$701,counts!$C$2:$C$701,$A3,counts!$D$2:$D$701,$B3,counts!$E$2:$E$701,"placed")))</f>
        <v>38</v>
      </c>
      <c r="AA3" s="30" t="n">
        <f aca="false">IF($A3="","",IF($Y3="",0,N($Z3)))</f>
        <v>38</v>
      </c>
      <c r="AB3" s="30" t="str">
        <f aca="false">IF($A3="","",IF(OR($Y3="",$I3=""),"N",IF($Y3&lt;=WORKDAY(N($I3),1,calendar!$A$2:$A$80),"Y","N")))</f>
        <v>Y</v>
      </c>
      <c r="AC3" s="33" t="n">
        <f aca="false">IF(OR($A3="",$V3="",$Y3=""),"",ROUND(($Y3+N(IFERROR(IF(INDEX(photos!$F$2:$F$701,MATCH($A3&amp;"|"&amp;$B3&amp;"|placement|Y",photos!$R$2:$R$701,0))="","",INDEX(photos!$F$2:$F$701,MATCH($A3&amp;"|"&amp;$B3&amp;"|placement|Y",photos!$R$2:$R$701,0))),""))-$V3)*24,1))</f>
        <v>2.2</v>
      </c>
      <c r="AD3" s="30" t="n">
        <f aca="false">IF($A3="","",SUMIFS(inventory!$G$2:$G$801,inventory!$C$2:$C$801,$A3,inventory!$D$2:$D$801,$B3,inventory!$E$2:$E$801,"topped_up"))</f>
        <v>0</v>
      </c>
      <c r="AE3" s="30" t="n">
        <f aca="false">IF($A3="","",IF(COUNTIFS(counts!$C$2:$C$701,$A3,counts!$D$2:$D$701,$B3,counts!$E$2:$E$701,"remaining_day3")=0,"",SUMIFS(counts!$F$2:$F$701,counts!$C$2:$C$701,$A3,counts!$D$2:$D$701,$B3,counts!$E$2:$E$701,"remaining_day3")))</f>
        <v>15</v>
      </c>
      <c r="AF3" s="30" t="n">
        <f aca="false">IF($A3="","",IF(COUNTIFS(counts!$C$2:$C$701,$A3,counts!$D$2:$D$701,$B3,counts!$E$2:$E$701,"remaining_day5")=0,"",SUMIFS(counts!$F$2:$F$701,counts!$C$2:$C$701,$A3,counts!$D$2:$D$701,$B3,counts!$E$2:$E$701,"remaining_day5")))</f>
        <v>7</v>
      </c>
      <c r="AG3" s="30" t="n">
        <f aca="false">IF(OR($A3="",$AF3=""),"",MAX(0,$AA3+$AD3-$AF3))</f>
        <v>31</v>
      </c>
      <c r="AH3" s="30" t="str">
        <f aca="false">IF(OR($A3="",$AI3=""),"",IFERROR(IF(INDEX(photos!$H$2:$H$701,MATCH($A3&amp;"|"&amp;$B3&amp;"|later|Y|"&amp;$AI3,photos!$S$2:$S$701,0))="","",INDEX(photos!$H$2:$H$701,MATCH($A3&amp;"|"&amp;$B3&amp;"|later|Y|"&amp;$AI3,photos!$S$2:$S$701,0))),""))</f>
        <v>SAMPLE-CMP-001_SAMPLE-O-002_later_2027-01-19.jpg</v>
      </c>
      <c r="AI3" s="31" t="n">
        <f aca="false">IF($A3="","",IFERROR(1/(1/SUMPRODUCT(MAX((photos!$B$2:$B$701=$A3)*(photos!$C$2:$C$701=$B3)*(photos!$D$2:$D$701="later")*(photos!$O$2:$O$701="Y")*photos!$E$2:$E$701))),""))</f>
        <v>46406</v>
      </c>
      <c r="AJ3" s="30" t="n">
        <f aca="false">IF(OR($A3="",$AI3="",$I3=""),"",NETWORKDAYS($I3,$AI3,calendar!$A$2:$A$80))</f>
        <v>5</v>
      </c>
      <c r="AK3" s="30" t="str">
        <f aca="false">IF($A3="","",IF(AND($X3&lt;&gt;"",$AH3&lt;&gt;""),"Y","N"))</f>
        <v>Y</v>
      </c>
      <c r="AL3" s="30" t="n">
        <f aca="true">IF(OR($A3="",$I3=""),"",IF($BC3="Y",SUMIFS(survey_frozen!$C$2:$C$251,survey_frozen!$P$2:$P$251,$A3&amp;"|"&amp;$B3),IFERROR(COUNTIFS(INDIRECT("'"&amp;$A3&amp;"'!$B$2:$B$501"),$T3,INDIRECT("'"&amp;$A3&amp;"'!$A$2:$A$501"),"&gt;="&amp;$I3,INDIRECT("'"&amp;$A3&amp;"'!$A$2:$A$501"),"&lt;"&amp;($BA3+1)),0)))</f>
        <v>6</v>
      </c>
      <c r="AM3" s="30" t="n">
        <f aca="true">IF(OR($A3="",$I3=""),"",IF($BC3="Y",SUMIFS(survey_frozen!$D$2:$D$251,survey_frozen!$P$2:$P$251,$A3&amp;"|"&amp;$B3),IFERROR(COUNTIFS(INDIRECT("'"&amp;$A3&amp;"'!$B$2:$B$501"),$T3,INDIRECT("'"&amp;$A3&amp;"'!$A$2:$A$501"),"&gt;="&amp;$I3,INDIRECT("'"&amp;$A3&amp;"'!$A$2:$A$501"),"&lt;"&amp;($BA3+1),INDIRECT("'"&amp;$A3&amp;"'!$C$2:$C$501"),"Yes"),0)))</f>
        <v>5</v>
      </c>
      <c r="AN3" s="30" t="n">
        <f aca="false">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7</v>
      </c>
      <c r="AO3" s="30" t="n">
        <f aca="false">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2</v>
      </c>
      <c r="AP3" s="30" t="str">
        <f aca="true">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30" t="n">
        <f aca="true">IF(OR($A3="",$I3=""),"",IF($BC3="Y",SUMIFS(survey_frozen!$E$2:$E$251,survey_frozen!$P$2:$P$251,$A3&amp;"|"&amp;$B3),IFERROR(COUNTIFS(INDIRECT("'"&amp;$A3&amp;"'!$B$2:$B$501"),$T3,INDIRECT("'"&amp;$A3&amp;"'!$A$2:$A$501"),"&gt;="&amp;$I3,INDIRECT("'"&amp;$A3&amp;"'!$A$2:$A$501"),"&lt;"&amp;($BA3+1),INDIRECT("'"&amp;$A3&amp;"'!$F$2:$F$501"),"Didn't see it"),0)))</f>
        <v>0</v>
      </c>
      <c r="AR3" s="30" t="n">
        <f aca="true">IF(OR($A3="",$I3=""),"",IF($BC3="Y",SUMIFS(survey_frozen!$F$2:$F$251,survey_frozen!$P$2:$P$251,$A3&amp;"|"&amp;$B3),IFERROR(COUNTIFS(INDIRECT("'"&amp;$A3&amp;"'!$B$2:$B$501"),$T3,INDIRECT("'"&amp;$A3&amp;"'!$A$2:$A$501"),"&gt;="&amp;$I3,INDIRECT("'"&amp;$A3&amp;"'!$A$2:$A$501"),"&lt;"&amp;($BA3+1),INDIRECT("'"&amp;$A3&amp;"'!$F$2:$F$501"),"Not for me"),0)))</f>
        <v>1</v>
      </c>
      <c r="AS3" s="30" t="n">
        <f aca="true">IF(OR($A3="",$I3=""),"",IF($BC3="Y",SUMIFS(survey_frozen!$G$2:$G$251,survey_frozen!$P$2:$P$251,$A3&amp;"|"&amp;$B3),IFERROR(COUNTIFS(INDIRECT("'"&amp;$A3&amp;"'!$B$2:$B$501"),$T3,INDIRECT("'"&amp;$A3&amp;"'!$A$2:$A$501"),"&gt;="&amp;$I3,INDIRECT("'"&amp;$A3&amp;"'!$A$2:$A$501"),"&lt;"&amp;($BA3+1),INDIRECT("'"&amp;$A3&amp;"'!$F$2:$F$501"),"Gone by the time I looked"),0)))</f>
        <v>0</v>
      </c>
      <c r="AT3" s="30" t="n">
        <f aca="true">IF(OR($A3="",$I3=""),"",IF($BC3="Y",SUMIFS(survey_frozen!$H$2:$H$251,survey_frozen!$P$2:$P$251,$A3&amp;"|"&amp;$B3),IFERROR(COUNTIFS(INDIRECT("'"&amp;$A3&amp;"'!$B$2:$B$501"),$T3,INDIRECT("'"&amp;$A3&amp;"'!$A$2:$A$501"),"&gt;="&amp;$I3,INDIRECT("'"&amp;$A3&amp;"'!$A$2:$A$501"),"&lt;"&amp;($BA3+1),INDIRECT("'"&amp;$A3&amp;"'!$D$2:$D$501"),"&gt;=1"),0)))</f>
        <v>5</v>
      </c>
      <c r="AU3" s="30" t="n">
        <f aca="true">IF(OR($A3="",$I3=""),"",IF($BC3="Y",SUMIFS(survey_frozen!$I$2:$I$251,survey_frozen!$P$2:$P$251,$A3&amp;"|"&amp;$B3),IFERROR(SUMIFS(INDIRECT("'"&amp;$A3&amp;"'!$D$2:$D$501"),INDIRECT("'"&amp;$A3&amp;"'!$B$2:$B$501"),$T3,INDIRECT("'"&amp;$A3&amp;"'!$A$2:$A$501"),"&gt;="&amp;$I3,INDIRECT("'"&amp;$A3&amp;"'!$A$2:$A$501"),"&lt;"&amp;($BA3+1)),0)))</f>
        <v>24</v>
      </c>
      <c r="AV3" s="30" t="n">
        <f aca="true">IF(OR($A3="",$I3=""),"",IF($BC3="Y",SUMIFS(survey_frozen!$J$2:$J$251,survey_frozen!$P$2:$P$251,$A3&amp;"|"&amp;$B3),IFERROR(COUNTIFS(INDIRECT("'"&amp;$A3&amp;"'!$B$2:$B$501"),$T3,INDIRECT("'"&amp;$A3&amp;"'!$A$2:$A$501"),"&gt;="&amp;$I3,INDIRECT("'"&amp;$A3&amp;"'!$A$2:$A$501"),"&lt;"&amp;($BA3+1),INDIRECT("'"&amp;$A3&amp;"'!$E$2:$E$501"),"Yes"),0)))</f>
        <v>3</v>
      </c>
      <c r="AW3" s="30" t="n">
        <f aca="true">IF(OR($A3="",$I3=""),"",IF($BC3="Y",SUMIFS(survey_frozen!$K$2:$K$251,survey_frozen!$P$2:$P$251,$A3&amp;"|"&amp;$B3),IFERROR(COUNTIFS(INDIRECT("'"&amp;$A3&amp;"'!$B$2:$B$501"),$T3,INDIRECT("'"&amp;$A3&amp;"'!$A$2:$A$501"),"&gt;="&amp;$I3,INDIRECT("'"&amp;$A3&amp;"'!$A$2:$A$501"),"&lt;"&amp;($BA3+1),INDIRECT("'"&amp;$A3&amp;"'!$E$2:$E$501"),"Maybe"),0)))</f>
        <v>1</v>
      </c>
      <c r="AX3" s="30" t="n">
        <f aca="true">IF(OR($A3="",$I3=""),"",IF($BC3="Y",SUMIFS(survey_frozen!$L$2:$L$251,survey_frozen!$P$2:$P$251,$A3&amp;"|"&amp;$B3),IFERROR(COUNTIFS(INDIRECT("'"&amp;$A3&amp;"'!$B$2:$B$501"),$T3,INDIRECT("'"&amp;$A3&amp;"'!$A$2:$A$501"),"&gt;="&amp;$I3,INDIRECT("'"&amp;$A3&amp;"'!$A$2:$A$501"),"&lt;"&amp;($BA3+1),INDIRECT("'"&amp;$A3&amp;"'!$E$2:$E$501"),"No"),0)))</f>
        <v>1</v>
      </c>
      <c r="AY3" s="30" t="n">
        <f aca="true">IF(OR($A3="",$I3=""),"",IF($BC3="Y",SUMIFS(survey_frozen!$M$2:$M$251,survey_frozen!$P$2:$P$251,$A3&amp;"|"&amp;$B3),IFERROR(COUNTIFS(INDIRECT("'"&amp;$A3&amp;"'!$B$2:$B$501"),$T3,INDIRECT("'"&amp;$A3&amp;"'!$A$2:$A$501"),"&gt;="&amp;$I3,INDIRECT("'"&amp;$A3&amp;"'!$A$2:$A$501"),"&lt;"&amp;($BA3+1),INDIRECT("'"&amp;$A3&amp;"'!$G$2:$G$501"),"&lt;&gt;"),0)))</f>
        <v>3</v>
      </c>
      <c r="AZ3" s="30" t="str">
        <f aca="false">IF($A3="","",$A3&amp;"|"&amp;$L3)</f>
        <v>SAMPLE-CMP-001|2</v>
      </c>
      <c r="BA3" s="31" t="n">
        <f aca="false">IF($A3="","",IFERROR(IF(INDEX(drops!$R$2:$R$21,MATCH($H3,drops!$A$2:$A$21,0))="","",INDEX(drops!$R$2:$R$21,MATCH($H3,drops!$A$2:$A$21,0))),""))</f>
        <v>46406</v>
      </c>
      <c r="BB3" s="30" t="n">
        <f aca="false">IF(OR($A3="",$Q3&lt;&gt;"Y"),1000000,N($AL3))</f>
        <v>6</v>
      </c>
      <c r="BC3" s="30" t="str">
        <f aca="false">IF($A3="","",IF(COUNTIF(survey_frozen!$P$2:$P$251,$A3&amp;"|"&amp;$B3)&gt;0,"Y",""))</f>
        <v/>
      </c>
      <c r="BD3" s="30" t="str">
        <f aca="false">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ustomFormat="false" ht="15" hidden="false" customHeight="false" outlineLevel="0" collapsed="false">
      <c r="A4" s="0" t="s">
        <v>472</v>
      </c>
      <c r="B4" s="0" t="s">
        <v>683</v>
      </c>
      <c r="C4" s="11" t="n">
        <v>46370</v>
      </c>
      <c r="D4" s="10" t="s">
        <v>496</v>
      </c>
      <c r="E4" s="11" t="n">
        <v>46372</v>
      </c>
      <c r="F4" s="10" t="s">
        <v>737</v>
      </c>
      <c r="H4" s="30" t="str">
        <f aca="false">IF($A4="","",IFERROR(IF(INDEX(campaigns!$B$2:$B$51,MATCH($A4,campaigns!$A$2:$A$51,0))="","",INDEX(campaigns!$B$2:$B$51,MATCH($A4,campaigns!$A$2:$A$51,0))),""))</f>
        <v>SAMPLE-DRP-001</v>
      </c>
      <c r="I4" s="31" t="n">
        <f aca="false">IF($A4="","",IFERROR(IF(INDEX(campaigns!$BG$2:$BG$51,MATCH($A4,campaigns!$A$2:$A$51,0))="","",INDEX(campaigns!$BG$2:$BG$51,MATCH($A4,campaigns!$A$2:$A$51,0))),""))</f>
        <v>46399</v>
      </c>
      <c r="J4" s="30" t="str">
        <f aca="false">IF($A4="","",IFERROR(IF(INDEX(campaigns!$BE$2:$BE$51,MATCH($A4,campaigns!$A$2:$A$51,0))="","",INDEX(campaigns!$BE$2:$BE$51,MATCH($A4,campaigns!$A$2:$A$51,0))),""))</f>
        <v>SAMPLE Brightside</v>
      </c>
      <c r="K4" s="30" t="str">
        <f aca="false">IF($B4="","",IFERROR(IF(INDEX(offices!$O$2:$O$61,MATCH($B4,offices!$A$2:$A$61,0))="","",INDEX(offices!$O$2:$O$61,MATCH($B4,offices!$A$2:$A$61,0))),""))</f>
        <v>SAMPLE Halcyon Media</v>
      </c>
      <c r="L4" s="30" t="n">
        <f aca="false">IF($A4="","",IF($Q4="N","",COUNTIFS($A$2:$A4,$A4,$Q$2:$Q4,"&lt;&gt;N")))</f>
        <v>3</v>
      </c>
      <c r="M4" s="30" t="str">
        <f aca="false">IF(OR($A4="",$L4=""),"",IF(AND(config!$B$34="names_if_public",IFERROR(IF(INDEX(offices!$AG$2:$AG$61,MATCH($B4,offices!$A$2:$A$61,0))="","",INDEX(offices!$AG$2:$AG$61,MATCH($B4,offices!$A$2:$A$61,0))),"")="Y"),$K4,CHAR(64+$L4)))</f>
        <v>C</v>
      </c>
      <c r="N4" s="30" t="n">
        <f aca="false">IF(OR($A4="",$I4=""),"",COUNTIFS(stops!$B$2:$B$151,$B4,stops!$P$2:$P$151,"&lt;"&amp;$I4,stops!$L$2:$L$151,"&lt;&gt;not_delivered")+1)</f>
        <v>1</v>
      </c>
      <c r="O4" s="30" t="str">
        <f aca="false">IF($A4="","",IF(N($N4)&lt;=config!$B$29,"explicit","opt-out"))</f>
        <v>explicit</v>
      </c>
      <c r="P4" s="30" t="str">
        <f aca="false">IF($A4="","",IF($O4="explicit",IF($D4="yes","Y",IF($D4="no","N","pending")),IF($D4="no","N",IF(AND($C4&lt;&gt;"",$I4&lt;&gt;"",$C4&lt;=WORKDAY(N($I4),-5,calendar!$A$2:$A$80)),"Y","pending"))))</f>
        <v>Y</v>
      </c>
      <c r="Q4" s="30" t="str">
        <f aca="false">IF($A4="","",IF($P4="N","N",IF($P4&lt;&gt;"Y","pending",IF(AND((COUNTIFS(stops!$A$2:$A$151,$H4,stops!$B$2:$B$151,$B4,stops!$L$2:$L$151,"declined")+COUNTIFS(stops!$A$2:$A$151,$H4,stops!$B$2:$B$151,$B4,stops!$L$2:$L$151,"building_refused")+COUNTIFS(stops!$A$2:$A$151,$H4,stops!$B$2:$B$151,$B4,stops!$L$2:$L$151,"not_delivered"))&gt;0,N($U4)=0),"N","Y"))))</f>
        <v>Y</v>
      </c>
      <c r="R4" s="30" t="str">
        <f aca="false">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30" t="n">
        <f aca="false">IF($A4="","",IF($G4&lt;&gt;"",$G4,IFERROR(IF(INDEX(offices!$AM$2:$AM$61,MATCH($B4,offices!$A$2:$A$61,0))="","",INDEX(offices!$AM$2:$AM$61,MATCH($B4,offices!$A$2:$A$61,0))),"")))</f>
        <v>50</v>
      </c>
      <c r="T4" s="30" t="str">
        <f aca="false">IF($A4="","",$A4&amp;"."&amp;$B4)</f>
        <v>SAMPLE-CMP-001.SAMPLE-O-003</v>
      </c>
      <c r="U4" s="30" t="n">
        <f aca="false">IF($A4="","",SUMIFS(inventory!$G$2:$G$801,inventory!$C$2:$C$801,$A4,inventory!$D$2:$D$801,$B4,inventory!$E$2:$E$801,"delivered"))</f>
        <v>50</v>
      </c>
      <c r="V4" s="37" t="n">
        <f aca="false">IF($A4="","",IFERROR(1/(1/SUMPRODUCT(MAX((inventory!$C$2:$C$801=$A4)*(inventory!$D$2:$D$801=$B4)*(inventory!$E$2:$E$801="delivered")*(inventory!$A$2:$A$801+inventory!$B$2:$B$801)))),""))</f>
        <v>46399.3729166667</v>
      </c>
      <c r="W4" s="30" t="str">
        <f aca="false">IF($A4="","",IFERROR(IF(INDEX(inventory!$J$2:$J$801,MATCH($A4&amp;"|"&amp;$B4&amp;"|delivered",inventory!$R$2:$R$801,0))="","",INDEX(inventory!$J$2:$J$801,MATCH($A4&amp;"|"&amp;$B4&amp;"|delivered",inventory!$R$2:$R$801,0))),""))</f>
        <v>founder_count</v>
      </c>
      <c r="X4" s="30" t="str">
        <f aca="false">IF($A4="","",IFERROR(IF(INDEX(photos!$H$2:$H$701,MATCH($A4&amp;"|"&amp;$B4&amp;"|placement|Y",photos!$R$2:$R$701,0))="","",INDEX(photos!$H$2:$H$701,MATCH($A4&amp;"|"&amp;$B4&amp;"|placement|Y",photos!$R$2:$R$701,0))),""))</f>
        <v>SAMPLE-CMP-001_SAMPLE-O-003_placement_2027-01-12.jpg</v>
      </c>
      <c r="Y4" s="31" t="n">
        <f aca="false">IF($A4="","",IFERROR(IF(INDEX(photos!$E$2:$E$701,MATCH($A4&amp;"|"&amp;$B4&amp;"|placement|Y",photos!$R$2:$R$701,0))="","",INDEX(photos!$E$2:$E$701,MATCH($A4&amp;"|"&amp;$B4&amp;"|placement|Y",photos!$R$2:$R$701,0))),""))</f>
        <v>46399</v>
      </c>
      <c r="Z4" s="30" t="n">
        <f aca="false">IF($A4="","",IF(COUNTIFS(counts!$C$2:$C$701,$A4,counts!$D$2:$D$701,$B4,counts!$E$2:$E$701,"placed")=0,"",SUMIFS(counts!$F$2:$F$701,counts!$C$2:$C$701,$A4,counts!$D$2:$D$701,$B4,counts!$E$2:$E$701,"placed")))</f>
        <v>50</v>
      </c>
      <c r="AA4" s="30" t="n">
        <f aca="false">IF($A4="","",IF($Y4="",0,N($Z4)))</f>
        <v>50</v>
      </c>
      <c r="AB4" s="30" t="str">
        <f aca="false">IF($A4="","",IF(OR($Y4="",$I4=""),"N",IF($Y4&lt;=WORKDAY(N($I4),1,calendar!$A$2:$A$80),"Y","N")))</f>
        <v>Y</v>
      </c>
      <c r="AC4" s="33" t="n">
        <f aca="false">IF(OR($A4="",$V4="",$Y4=""),"",ROUND(($Y4+N(IFERROR(IF(INDEX(photos!$F$2:$F$701,MATCH($A4&amp;"|"&amp;$B4&amp;"|placement|Y",photos!$R$2:$R$701,0))="","",INDEX(photos!$F$2:$F$701,MATCH($A4&amp;"|"&amp;$B4&amp;"|placement|Y",photos!$R$2:$R$701,0))),""))-$V4)*24,1))</f>
        <v>0.2</v>
      </c>
      <c r="AD4" s="30" t="n">
        <f aca="false">IF($A4="","",SUMIFS(inventory!$G$2:$G$801,inventory!$C$2:$C$801,$A4,inventory!$D$2:$D$801,$B4,inventory!$E$2:$E$801,"topped_up"))</f>
        <v>0</v>
      </c>
      <c r="AE4" s="30" t="n">
        <f aca="false">IF($A4="","",IF(COUNTIFS(counts!$C$2:$C$701,$A4,counts!$D$2:$D$701,$B4,counts!$E$2:$E$701,"remaining_day3")=0,"",SUMIFS(counts!$F$2:$F$701,counts!$C$2:$C$701,$A4,counts!$D$2:$D$701,$B4,counts!$E$2:$E$701,"remaining_day3")))</f>
        <v>18</v>
      </c>
      <c r="AF4" s="30" t="n">
        <f aca="false">IF($A4="","",IF(COUNTIFS(counts!$C$2:$C$701,$A4,counts!$D$2:$D$701,$B4,counts!$E$2:$E$701,"remaining_day5")=0,"",SUMIFS(counts!$F$2:$F$701,counts!$C$2:$C$701,$A4,counts!$D$2:$D$701,$B4,counts!$E$2:$E$701,"remaining_day5")))</f>
        <v>9</v>
      </c>
      <c r="AG4" s="30" t="n">
        <f aca="false">IF(OR($A4="",$AF4=""),"",MAX(0,$AA4+$AD4-$AF4))</f>
        <v>41</v>
      </c>
      <c r="AH4" s="30" t="str">
        <f aca="false">IF(OR($A4="",$AI4=""),"",IFERROR(IF(INDEX(photos!$H$2:$H$701,MATCH($A4&amp;"|"&amp;$B4&amp;"|later|Y|"&amp;$AI4,photos!$S$2:$S$701,0))="","",INDEX(photos!$H$2:$H$701,MATCH($A4&amp;"|"&amp;$B4&amp;"|later|Y|"&amp;$AI4,photos!$S$2:$S$701,0))),""))</f>
        <v>SAMPLE-CMP-001_SAMPLE-O-003_later_2027-01-19.jpg</v>
      </c>
      <c r="AI4" s="31" t="n">
        <f aca="false">IF($A4="","",IFERROR(1/(1/SUMPRODUCT(MAX((photos!$B$2:$B$701=$A4)*(photos!$C$2:$C$701=$B4)*(photos!$D$2:$D$701="later")*(photos!$O$2:$O$701="Y")*photos!$E$2:$E$701))),""))</f>
        <v>46406</v>
      </c>
      <c r="AJ4" s="30" t="n">
        <f aca="false">IF(OR($A4="",$AI4="",$I4=""),"",NETWORKDAYS($I4,$AI4,calendar!$A$2:$A$80))</f>
        <v>5</v>
      </c>
      <c r="AK4" s="30" t="str">
        <f aca="false">IF($A4="","",IF(AND($X4&lt;&gt;"",$AH4&lt;&gt;""),"Y","N"))</f>
        <v>Y</v>
      </c>
      <c r="AL4" s="30" t="n">
        <f aca="true">IF(OR($A4="",$I4=""),"",IF($BC4="Y",SUMIFS(survey_frozen!$C$2:$C$251,survey_frozen!$P$2:$P$251,$A4&amp;"|"&amp;$B4),IFERROR(COUNTIFS(INDIRECT("'"&amp;$A4&amp;"'!$B$2:$B$501"),$T4,INDIRECT("'"&amp;$A4&amp;"'!$A$2:$A$501"),"&gt;="&amp;$I4,INDIRECT("'"&amp;$A4&amp;"'!$A$2:$A$501"),"&lt;"&amp;($BA4+1)),0)))</f>
        <v>8</v>
      </c>
      <c r="AM4" s="30" t="n">
        <f aca="true">IF(OR($A4="",$I4=""),"",IF($BC4="Y",SUMIFS(survey_frozen!$D$2:$D$251,survey_frozen!$P$2:$P$251,$A4&amp;"|"&amp;$B4),IFERROR(COUNTIFS(INDIRECT("'"&amp;$A4&amp;"'!$B$2:$B$501"),$T4,INDIRECT("'"&amp;$A4&amp;"'!$A$2:$A$501"),"&gt;="&amp;$I4,INDIRECT("'"&amp;$A4&amp;"'!$A$2:$A$501"),"&lt;"&amp;($BA4+1),INDIRECT("'"&amp;$A4&amp;"'!$C$2:$C$501"),"Yes"),0)))</f>
        <v>3</v>
      </c>
      <c r="AN4" s="30" t="n">
        <f aca="false">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11</v>
      </c>
      <c r="AO4" s="30" t="n">
        <f aca="false">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6</v>
      </c>
      <c r="AP4" s="30" t="str">
        <f aca="true">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30" t="n">
        <f aca="true">IF(OR($A4="",$I4=""),"",IF($BC4="Y",SUMIFS(survey_frozen!$E$2:$E$251,survey_frozen!$P$2:$P$251,$A4&amp;"|"&amp;$B4),IFERROR(COUNTIFS(INDIRECT("'"&amp;$A4&amp;"'!$B$2:$B$501"),$T4,INDIRECT("'"&amp;$A4&amp;"'!$A$2:$A$501"),"&gt;="&amp;$I4,INDIRECT("'"&amp;$A4&amp;"'!$A$2:$A$501"),"&lt;"&amp;($BA4+1),INDIRECT("'"&amp;$A4&amp;"'!$F$2:$F$501"),"Didn't see it"),0)))</f>
        <v>3</v>
      </c>
      <c r="AR4" s="30" t="n">
        <f aca="true">IF(OR($A4="",$I4=""),"",IF($BC4="Y",SUMIFS(survey_frozen!$F$2:$F$251,survey_frozen!$P$2:$P$251,$A4&amp;"|"&amp;$B4),IFERROR(COUNTIFS(INDIRECT("'"&amp;$A4&amp;"'!$B$2:$B$501"),$T4,INDIRECT("'"&amp;$A4&amp;"'!$A$2:$A$501"),"&gt;="&amp;$I4,INDIRECT("'"&amp;$A4&amp;"'!$A$2:$A$501"),"&lt;"&amp;($BA4+1),INDIRECT("'"&amp;$A4&amp;"'!$F$2:$F$501"),"Not for me"),0)))</f>
        <v>1</v>
      </c>
      <c r="AS4" s="30" t="n">
        <f aca="true">IF(OR($A4="",$I4=""),"",IF($BC4="Y",SUMIFS(survey_frozen!$G$2:$G$251,survey_frozen!$P$2:$P$251,$A4&amp;"|"&amp;$B4),IFERROR(COUNTIFS(INDIRECT("'"&amp;$A4&amp;"'!$B$2:$B$501"),$T4,INDIRECT("'"&amp;$A4&amp;"'!$A$2:$A$501"),"&gt;="&amp;$I4,INDIRECT("'"&amp;$A4&amp;"'!$A$2:$A$501"),"&lt;"&amp;($BA4+1),INDIRECT("'"&amp;$A4&amp;"'!$F$2:$F$501"),"Gone by the time I looked"),0)))</f>
        <v>1</v>
      </c>
      <c r="AT4" s="30" t="n">
        <f aca="true">IF(OR($A4="",$I4=""),"",IF($BC4="Y",SUMIFS(survey_frozen!$H$2:$H$251,survey_frozen!$P$2:$P$251,$A4&amp;"|"&amp;$B4),IFERROR(COUNTIFS(INDIRECT("'"&amp;$A4&amp;"'!$B$2:$B$501"),$T4,INDIRECT("'"&amp;$A4&amp;"'!$A$2:$A$501"),"&gt;="&amp;$I4,INDIRECT("'"&amp;$A4&amp;"'!$A$2:$A$501"),"&lt;"&amp;($BA4+1),INDIRECT("'"&amp;$A4&amp;"'!$D$2:$D$501"),"&gt;=1"),0)))</f>
        <v>3</v>
      </c>
      <c r="AU4" s="30" t="n">
        <f aca="true">IF(OR($A4="",$I4=""),"",IF($BC4="Y",SUMIFS(survey_frozen!$I$2:$I$251,survey_frozen!$P$2:$P$251,$A4&amp;"|"&amp;$B4),IFERROR(SUMIFS(INDIRECT("'"&amp;$A4&amp;"'!$D$2:$D$501"),INDIRECT("'"&amp;$A4&amp;"'!$B$2:$B$501"),$T4,INDIRECT("'"&amp;$A4&amp;"'!$A$2:$A$501"),"&gt;="&amp;$I4,INDIRECT("'"&amp;$A4&amp;"'!$A$2:$A$501"),"&lt;"&amp;($BA4+1)),0)))</f>
        <v>13</v>
      </c>
      <c r="AV4" s="30" t="n">
        <f aca="true">IF(OR($A4="",$I4=""),"",IF($BC4="Y",SUMIFS(survey_frozen!$J$2:$J$251,survey_frozen!$P$2:$P$251,$A4&amp;"|"&amp;$B4),IFERROR(COUNTIFS(INDIRECT("'"&amp;$A4&amp;"'!$B$2:$B$501"),$T4,INDIRECT("'"&amp;$A4&amp;"'!$A$2:$A$501"),"&gt;="&amp;$I4,INDIRECT("'"&amp;$A4&amp;"'!$A$2:$A$501"),"&lt;"&amp;($BA4+1),INDIRECT("'"&amp;$A4&amp;"'!$E$2:$E$501"),"Yes"),0)))</f>
        <v>2</v>
      </c>
      <c r="AW4" s="30" t="n">
        <f aca="true">IF(OR($A4="",$I4=""),"",IF($BC4="Y",SUMIFS(survey_frozen!$K$2:$K$251,survey_frozen!$P$2:$P$251,$A4&amp;"|"&amp;$B4),IFERROR(COUNTIFS(INDIRECT("'"&amp;$A4&amp;"'!$B$2:$B$501"),$T4,INDIRECT("'"&amp;$A4&amp;"'!$A$2:$A$501"),"&gt;="&amp;$I4,INDIRECT("'"&amp;$A4&amp;"'!$A$2:$A$501"),"&lt;"&amp;($BA4+1),INDIRECT("'"&amp;$A4&amp;"'!$E$2:$E$501"),"Maybe"),0)))</f>
        <v>0</v>
      </c>
      <c r="AX4" s="30" t="n">
        <f aca="true">IF(OR($A4="",$I4=""),"",IF($BC4="Y",SUMIFS(survey_frozen!$L$2:$L$251,survey_frozen!$P$2:$P$251,$A4&amp;"|"&amp;$B4),IFERROR(COUNTIFS(INDIRECT("'"&amp;$A4&amp;"'!$B$2:$B$501"),$T4,INDIRECT("'"&amp;$A4&amp;"'!$A$2:$A$501"),"&gt;="&amp;$I4,INDIRECT("'"&amp;$A4&amp;"'!$A$2:$A$501"),"&lt;"&amp;($BA4+1),INDIRECT("'"&amp;$A4&amp;"'!$E$2:$E$501"),"No"),0)))</f>
        <v>1</v>
      </c>
      <c r="AY4" s="30" t="n">
        <f aca="true">IF(OR($A4="",$I4=""),"",IF($BC4="Y",SUMIFS(survey_frozen!$M$2:$M$251,survey_frozen!$P$2:$P$251,$A4&amp;"|"&amp;$B4),IFERROR(COUNTIFS(INDIRECT("'"&amp;$A4&amp;"'!$B$2:$B$501"),$T4,INDIRECT("'"&amp;$A4&amp;"'!$A$2:$A$501"),"&gt;="&amp;$I4,INDIRECT("'"&amp;$A4&amp;"'!$A$2:$A$501"),"&lt;"&amp;($BA4+1),INDIRECT("'"&amp;$A4&amp;"'!$G$2:$G$501"),"&lt;&gt;"),0)))</f>
        <v>5</v>
      </c>
      <c r="AZ4" s="30" t="str">
        <f aca="false">IF($A4="","",$A4&amp;"|"&amp;$L4)</f>
        <v>SAMPLE-CMP-001|3</v>
      </c>
      <c r="BA4" s="31" t="n">
        <f aca="false">IF($A4="","",IFERROR(IF(INDEX(drops!$R$2:$R$21,MATCH($H4,drops!$A$2:$A$21,0))="","",INDEX(drops!$R$2:$R$21,MATCH($H4,drops!$A$2:$A$21,0))),""))</f>
        <v>46406</v>
      </c>
      <c r="BB4" s="30" t="n">
        <f aca="false">IF(OR($A4="",$Q4&lt;&gt;"Y"),1000000,N($AL4))</f>
        <v>8</v>
      </c>
      <c r="BC4" s="30" t="str">
        <f aca="false">IF($A4="","",IF(COUNTIF(survey_frozen!$P$2:$P$251,$A4&amp;"|"&amp;$B4)&gt;0,"Y",""))</f>
        <v/>
      </c>
      <c r="BD4" s="30" t="str">
        <f aca="false">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ustomFormat="false" ht="15" hidden="false" customHeight="false" outlineLevel="0" collapsed="false">
      <c r="A5" s="0" t="s">
        <v>472</v>
      </c>
      <c r="B5" s="0" t="s">
        <v>686</v>
      </c>
      <c r="C5" s="11" t="n">
        <v>46370</v>
      </c>
      <c r="D5" s="10" t="s">
        <v>496</v>
      </c>
      <c r="E5" s="11" t="n">
        <v>46374</v>
      </c>
      <c r="F5" s="10" t="s">
        <v>737</v>
      </c>
      <c r="H5" s="30" t="str">
        <f aca="false">IF($A5="","",IFERROR(IF(INDEX(campaigns!$B$2:$B$51,MATCH($A5,campaigns!$A$2:$A$51,0))="","",INDEX(campaigns!$B$2:$B$51,MATCH($A5,campaigns!$A$2:$A$51,0))),""))</f>
        <v>SAMPLE-DRP-001</v>
      </c>
      <c r="I5" s="31" t="n">
        <f aca="false">IF($A5="","",IFERROR(IF(INDEX(campaigns!$BG$2:$BG$51,MATCH($A5,campaigns!$A$2:$A$51,0))="","",INDEX(campaigns!$BG$2:$BG$51,MATCH($A5,campaigns!$A$2:$A$51,0))),""))</f>
        <v>46399</v>
      </c>
      <c r="J5" s="30" t="str">
        <f aca="false">IF($A5="","",IFERROR(IF(INDEX(campaigns!$BE$2:$BE$51,MATCH($A5,campaigns!$A$2:$A$51,0))="","",INDEX(campaigns!$BE$2:$BE$51,MATCH($A5,campaigns!$A$2:$A$51,0))),""))</f>
        <v>SAMPLE Brightside</v>
      </c>
      <c r="K5" s="30" t="str">
        <f aca="false">IF($B5="","",IFERROR(IF(INDEX(offices!$O$2:$O$61,MATCH($B5,offices!$A$2:$A$61,0))="","",INDEX(offices!$O$2:$O$61,MATCH($B5,offices!$A$2:$A$61,0))),""))</f>
        <v>SAMPLE Union Food Fund</v>
      </c>
      <c r="L5" s="30" t="n">
        <f aca="false">IF($A5="","",IF($Q5="N","",COUNTIFS($A$2:$A5,$A5,$Q$2:$Q5,"&lt;&gt;N")))</f>
        <v>4</v>
      </c>
      <c r="M5" s="30" t="str">
        <f aca="false">IF(OR($A5="",$L5=""),"",IF(AND(config!$B$34="names_if_public",IFERROR(IF(INDEX(offices!$AG$2:$AG$61,MATCH($B5,offices!$A$2:$A$61,0))="","",INDEX(offices!$AG$2:$AG$61,MATCH($B5,offices!$A$2:$A$61,0))),"")="Y"),$K5,CHAR(64+$L5)))</f>
        <v>D</v>
      </c>
      <c r="N5" s="30" t="n">
        <f aca="false">IF(OR($A5="",$I5=""),"",COUNTIFS(stops!$B$2:$B$151,$B5,stops!$P$2:$P$151,"&lt;"&amp;$I5,stops!$L$2:$L$151,"&lt;&gt;not_delivered")+1)</f>
        <v>1</v>
      </c>
      <c r="O5" s="30" t="str">
        <f aca="false">IF($A5="","",IF(N($N5)&lt;=config!$B$29,"explicit","opt-out"))</f>
        <v>explicit</v>
      </c>
      <c r="P5" s="30" t="str">
        <f aca="false">IF($A5="","",IF($O5="explicit",IF($D5="yes","Y",IF($D5="no","N","pending")),IF($D5="no","N",IF(AND($C5&lt;&gt;"",$I5&lt;&gt;"",$C5&lt;=WORKDAY(N($I5),-5,calendar!$A$2:$A$80)),"Y","pending"))))</f>
        <v>Y</v>
      </c>
      <c r="Q5" s="30" t="str">
        <f aca="false">IF($A5="","",IF($P5="N","N",IF($P5&lt;&gt;"Y","pending",IF(AND((COUNTIFS(stops!$A$2:$A$151,$H5,stops!$B$2:$B$151,$B5,stops!$L$2:$L$151,"declined")+COUNTIFS(stops!$A$2:$A$151,$H5,stops!$B$2:$B$151,$B5,stops!$L$2:$L$151,"building_refused")+COUNTIFS(stops!$A$2:$A$151,$H5,stops!$B$2:$B$151,$B5,stops!$L$2:$L$151,"not_delivered"))&gt;0,N($U5)=0),"N","Y"))))</f>
        <v>Y</v>
      </c>
      <c r="R5" s="30" t="str">
        <f aca="false">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30" t="n">
        <f aca="false">IF($A5="","",IF($G5&lt;&gt;"",$G5,IFERROR(IF(INDEX(offices!$AM$2:$AM$61,MATCH($B5,offices!$A$2:$A$61,0))="","",INDEX(offices!$AM$2:$AM$61,MATCH($B5,offices!$A$2:$A$61,0))),"")))</f>
        <v>50</v>
      </c>
      <c r="T5" s="30" t="str">
        <f aca="false">IF($A5="","",$A5&amp;"."&amp;$B5)</f>
        <v>SAMPLE-CMP-001.SAMPLE-O-004</v>
      </c>
      <c r="U5" s="30" t="n">
        <f aca="false">IF($A5="","",SUMIFS(inventory!$G$2:$G$801,inventory!$C$2:$C$801,$A5,inventory!$D$2:$D$801,$B5,inventory!$E$2:$E$801,"delivered"))</f>
        <v>50</v>
      </c>
      <c r="V5" s="37" t="n">
        <f aca="false">IF($A5="","",IFERROR(1/(1/SUMPRODUCT(MAX((inventory!$C$2:$C$801=$A5)*(inventory!$D$2:$D$801=$B5)*(inventory!$E$2:$E$801="delivered")*(inventory!$A$2:$A$801+inventory!$B$2:$B$801)))),""))</f>
        <v>46399.4527777778</v>
      </c>
      <c r="W5" s="30" t="str">
        <f aca="false">IF($A5="","",IFERROR(IF(INDEX(inventory!$J$2:$J$801,MATCH($A5&amp;"|"&amp;$B5&amp;"|delivered",inventory!$R$2:$R$801,0))="","",INDEX(inventory!$J$2:$J$801,MATCH($A5&amp;"|"&amp;$B5&amp;"|delivered",inventory!$R$2:$R$801,0))),""))</f>
        <v>founder_count</v>
      </c>
      <c r="X5" s="30" t="str">
        <f aca="false">IF($A5="","",IFERROR(IF(INDEX(photos!$H$2:$H$701,MATCH($A5&amp;"|"&amp;$B5&amp;"|placement|Y",photos!$R$2:$R$701,0))="","",INDEX(photos!$H$2:$H$701,MATCH($A5&amp;"|"&amp;$B5&amp;"|placement|Y",photos!$R$2:$R$701,0))),""))</f>
        <v>SAMPLE-CMP-001_SAMPLE-O-004_placement_2027-01-14.jpg</v>
      </c>
      <c r="Y5" s="31" t="n">
        <f aca="false">IF($A5="","",IFERROR(IF(INDEX(photos!$E$2:$E$701,MATCH($A5&amp;"|"&amp;$B5&amp;"|placement|Y",photos!$R$2:$R$701,0))="","",INDEX(photos!$E$2:$E$701,MATCH($A5&amp;"|"&amp;$B5&amp;"|placement|Y",photos!$R$2:$R$701,0))),""))</f>
        <v>46401</v>
      </c>
      <c r="Z5" s="30" t="n">
        <f aca="false">IF($A5="","",IF(COUNTIFS(counts!$C$2:$C$701,$A5,counts!$D$2:$D$701,$B5,counts!$E$2:$E$701,"placed")=0,"",SUMIFS(counts!$F$2:$F$701,counts!$C$2:$C$701,$A5,counts!$D$2:$D$701,$B5,counts!$E$2:$E$701,"placed")))</f>
        <v>50</v>
      </c>
      <c r="AA5" s="30" t="n">
        <f aca="false">IF($A5="","",IF($Y5="",0,N($Z5)))</f>
        <v>50</v>
      </c>
      <c r="AB5" s="30" t="str">
        <f aca="false">IF($A5="","",IF(OR($Y5="",$I5=""),"N",IF($Y5&lt;=WORKDAY(N($I5),1,calendar!$A$2:$A$80),"Y","N")))</f>
        <v>N</v>
      </c>
      <c r="AC5" s="33" t="n">
        <f aca="false">IF(OR($A5="",$V5="",$Y5=""),"",ROUND(($Y5+N(IFERROR(IF(INDEX(photos!$F$2:$F$701,MATCH($A5&amp;"|"&amp;$B5&amp;"|placement|Y",photos!$R$2:$R$701,0))="","",INDEX(photos!$F$2:$F$701,MATCH($A5&amp;"|"&amp;$B5&amp;"|placement|Y",photos!$R$2:$R$701,0))),""))-$V5)*24,1))</f>
        <v>46.9</v>
      </c>
      <c r="AD5" s="30" t="n">
        <f aca="false">IF($A5="","",SUMIFS(inventory!$G$2:$G$801,inventory!$C$2:$C$801,$A5,inventory!$D$2:$D$801,$B5,inventory!$E$2:$E$801,"topped_up"))</f>
        <v>0</v>
      </c>
      <c r="AE5" s="30" t="n">
        <f aca="false">IF($A5="","",IF(COUNTIFS(counts!$C$2:$C$701,$A5,counts!$D$2:$D$701,$B5,counts!$E$2:$E$701,"remaining_day3")=0,"",SUMIFS(counts!$F$2:$F$701,counts!$C$2:$C$701,$A5,counts!$D$2:$D$701,$B5,counts!$E$2:$E$701,"remaining_day3")))</f>
        <v>41</v>
      </c>
      <c r="AF5" s="30" t="n">
        <f aca="false">IF($A5="","",IF(COUNTIFS(counts!$C$2:$C$701,$A5,counts!$D$2:$D$701,$B5,counts!$E$2:$E$701,"remaining_day5")=0,"",SUMIFS(counts!$F$2:$F$701,counts!$C$2:$C$701,$A5,counts!$D$2:$D$701,$B5,counts!$E$2:$E$701,"remaining_day5")))</f>
        <v>28</v>
      </c>
      <c r="AG5" s="30" t="n">
        <f aca="false">IF(OR($A5="",$AF5=""),"",MAX(0,$AA5+$AD5-$AF5))</f>
        <v>22</v>
      </c>
      <c r="AH5" s="30" t="str">
        <f aca="false">IF(OR($A5="",$AI5=""),"",IFERROR(IF(INDEX(photos!$H$2:$H$701,MATCH($A5&amp;"|"&amp;$B5&amp;"|later|Y|"&amp;$AI5,photos!$S$2:$S$701,0))="","",INDEX(photos!$H$2:$H$701,MATCH($A5&amp;"|"&amp;$B5&amp;"|later|Y|"&amp;$AI5,photos!$S$2:$S$701,0))),""))</f>
        <v>SAMPLE-CMP-001_SAMPLE-O-004_later_2027-01-19.jpg</v>
      </c>
      <c r="AI5" s="31" t="n">
        <f aca="false">IF($A5="","",IFERROR(1/(1/SUMPRODUCT(MAX((photos!$B$2:$B$701=$A5)*(photos!$C$2:$C$701=$B5)*(photos!$D$2:$D$701="later")*(photos!$O$2:$O$701="Y")*photos!$E$2:$E$701))),""))</f>
        <v>46406</v>
      </c>
      <c r="AJ5" s="30" t="n">
        <f aca="false">IF(OR($A5="",$AI5="",$I5=""),"",NETWORKDAYS($I5,$AI5,calendar!$A$2:$A$80))</f>
        <v>5</v>
      </c>
      <c r="AK5" s="30" t="str">
        <f aca="false">IF($A5="","",IF(AND($X5&lt;&gt;"",$AH5&lt;&gt;""),"Y","N"))</f>
        <v>Y</v>
      </c>
      <c r="AL5" s="30" t="n">
        <f aca="true">IF(OR($A5="",$I5=""),"",IF($BC5="Y",SUMIFS(survey_frozen!$C$2:$C$251,survey_frozen!$P$2:$P$251,$A5&amp;"|"&amp;$B5),IFERROR(COUNTIFS(INDIRECT("'"&amp;$A5&amp;"'!$B$2:$B$501"),$T5,INDIRECT("'"&amp;$A5&amp;"'!$A$2:$A$501"),"&gt;="&amp;$I5,INDIRECT("'"&amp;$A5&amp;"'!$A$2:$A$501"),"&lt;"&amp;($BA5+1)),0)))</f>
        <v>4</v>
      </c>
      <c r="AM5" s="30" t="n">
        <f aca="true">IF(OR($A5="",$I5=""),"",IF($BC5="Y",SUMIFS(survey_frozen!$D$2:$D$251,survey_frozen!$P$2:$P$251,$A5&amp;"|"&amp;$B5),IFERROR(COUNTIFS(INDIRECT("'"&amp;$A5&amp;"'!$B$2:$B$501"),$T5,INDIRECT("'"&amp;$A5&amp;"'!$A$2:$A$501"),"&gt;="&amp;$I5,INDIRECT("'"&amp;$A5&amp;"'!$A$2:$A$501"),"&lt;"&amp;($BA5+1),INDIRECT("'"&amp;$A5&amp;"'!$C$2:$C$501"),"Yes"),0)))</f>
        <v>2</v>
      </c>
      <c r="AN5" s="30" t="n">
        <f aca="false">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4</v>
      </c>
      <c r="AO5" s="30" t="n">
        <f aca="false">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1</v>
      </c>
      <c r="AP5" s="30" t="str">
        <f aca="true">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info: under 5 responses; </v>
      </c>
      <c r="AQ5" s="30" t="n">
        <f aca="true">IF(OR($A5="",$I5=""),"",IF($BC5="Y",SUMIFS(survey_frozen!$E$2:$E$251,survey_frozen!$P$2:$P$251,$A5&amp;"|"&amp;$B5),IFERROR(COUNTIFS(INDIRECT("'"&amp;$A5&amp;"'!$B$2:$B$501"),$T5,INDIRECT("'"&amp;$A5&amp;"'!$A$2:$A$501"),"&gt;="&amp;$I5,INDIRECT("'"&amp;$A5&amp;"'!$A$2:$A$501"),"&lt;"&amp;($BA5+1),INDIRECT("'"&amp;$A5&amp;"'!$F$2:$F$501"),"Didn't see it"),0)))</f>
        <v>1</v>
      </c>
      <c r="AR5" s="30" t="n">
        <f aca="true">IF(OR($A5="",$I5=""),"",IF($BC5="Y",SUMIFS(survey_frozen!$F$2:$F$251,survey_frozen!$P$2:$P$251,$A5&amp;"|"&amp;$B5),IFERROR(COUNTIFS(INDIRECT("'"&amp;$A5&amp;"'!$B$2:$B$501"),$T5,INDIRECT("'"&amp;$A5&amp;"'!$A$2:$A$501"),"&gt;="&amp;$I5,INDIRECT("'"&amp;$A5&amp;"'!$A$2:$A$501"),"&lt;"&amp;($BA5+1),INDIRECT("'"&amp;$A5&amp;"'!$F$2:$F$501"),"Not for me"),0)))</f>
        <v>0</v>
      </c>
      <c r="AS5" s="30" t="n">
        <f aca="true">IF(OR($A5="",$I5=""),"",IF($BC5="Y",SUMIFS(survey_frozen!$G$2:$G$251,survey_frozen!$P$2:$P$251,$A5&amp;"|"&amp;$B5),IFERROR(COUNTIFS(INDIRECT("'"&amp;$A5&amp;"'!$B$2:$B$501"),$T5,INDIRECT("'"&amp;$A5&amp;"'!$A$2:$A$501"),"&gt;="&amp;$I5,INDIRECT("'"&amp;$A5&amp;"'!$A$2:$A$501"),"&lt;"&amp;($BA5+1),INDIRECT("'"&amp;$A5&amp;"'!$F$2:$F$501"),"Gone by the time I looked"),0)))</f>
        <v>1</v>
      </c>
      <c r="AT5" s="30" t="n">
        <f aca="true">IF(OR($A5="",$I5=""),"",IF($BC5="Y",SUMIFS(survey_frozen!$H$2:$H$251,survey_frozen!$P$2:$P$251,$A5&amp;"|"&amp;$B5),IFERROR(COUNTIFS(INDIRECT("'"&amp;$A5&amp;"'!$B$2:$B$501"),$T5,INDIRECT("'"&amp;$A5&amp;"'!$A$2:$A$501"),"&gt;="&amp;$I5,INDIRECT("'"&amp;$A5&amp;"'!$A$2:$A$501"),"&lt;"&amp;($BA5+1),INDIRECT("'"&amp;$A5&amp;"'!$D$2:$D$501"),"&gt;=1"),0)))</f>
        <v>2</v>
      </c>
      <c r="AU5" s="30" t="n">
        <f aca="true">IF(OR($A5="",$I5=""),"",IF($BC5="Y",SUMIFS(survey_frozen!$I$2:$I$251,survey_frozen!$P$2:$P$251,$A5&amp;"|"&amp;$B5),IFERROR(SUMIFS(INDIRECT("'"&amp;$A5&amp;"'!$D$2:$D$501"),INDIRECT("'"&amp;$A5&amp;"'!$B$2:$B$501"),$T5,INDIRECT("'"&amp;$A5&amp;"'!$A$2:$A$501"),"&gt;="&amp;$I5,INDIRECT("'"&amp;$A5&amp;"'!$A$2:$A$501"),"&lt;"&amp;($BA5+1)),0)))</f>
        <v>8</v>
      </c>
      <c r="AV5" s="30" t="n">
        <f aca="true">IF(OR($A5="",$I5=""),"",IF($BC5="Y",SUMIFS(survey_frozen!$J$2:$J$251,survey_frozen!$P$2:$P$251,$A5&amp;"|"&amp;$B5),IFERROR(COUNTIFS(INDIRECT("'"&amp;$A5&amp;"'!$B$2:$B$501"),$T5,INDIRECT("'"&amp;$A5&amp;"'!$A$2:$A$501"),"&gt;="&amp;$I5,INDIRECT("'"&amp;$A5&amp;"'!$A$2:$A$501"),"&lt;"&amp;($BA5+1),INDIRECT("'"&amp;$A5&amp;"'!$E$2:$E$501"),"Yes"),0)))</f>
        <v>1</v>
      </c>
      <c r="AW5" s="30" t="n">
        <f aca="true">IF(OR($A5="",$I5=""),"",IF($BC5="Y",SUMIFS(survey_frozen!$K$2:$K$251,survey_frozen!$P$2:$P$251,$A5&amp;"|"&amp;$B5),IFERROR(COUNTIFS(INDIRECT("'"&amp;$A5&amp;"'!$B$2:$B$501"),$T5,INDIRECT("'"&amp;$A5&amp;"'!$A$2:$A$501"),"&gt;="&amp;$I5,INDIRECT("'"&amp;$A5&amp;"'!$A$2:$A$501"),"&lt;"&amp;($BA5+1),INDIRECT("'"&amp;$A5&amp;"'!$E$2:$E$501"),"Maybe"),0)))</f>
        <v>1</v>
      </c>
      <c r="AX5" s="30" t="n">
        <f aca="true">IF(OR($A5="",$I5=""),"",IF($BC5="Y",SUMIFS(survey_frozen!$L$2:$L$251,survey_frozen!$P$2:$P$251,$A5&amp;"|"&amp;$B5),IFERROR(COUNTIFS(INDIRECT("'"&amp;$A5&amp;"'!$B$2:$B$501"),$T5,INDIRECT("'"&amp;$A5&amp;"'!$A$2:$A$501"),"&gt;="&amp;$I5,INDIRECT("'"&amp;$A5&amp;"'!$A$2:$A$501"),"&lt;"&amp;($BA5+1),INDIRECT("'"&amp;$A5&amp;"'!$E$2:$E$501"),"No"),0)))</f>
        <v>0</v>
      </c>
      <c r="AY5" s="30" t="n">
        <f aca="true">IF(OR($A5="",$I5=""),"",IF($BC5="Y",SUMIFS(survey_frozen!$M$2:$M$251,survey_frozen!$P$2:$P$251,$A5&amp;"|"&amp;$B5),IFERROR(COUNTIFS(INDIRECT("'"&amp;$A5&amp;"'!$B$2:$B$501"),$T5,INDIRECT("'"&amp;$A5&amp;"'!$A$2:$A$501"),"&gt;="&amp;$I5,INDIRECT("'"&amp;$A5&amp;"'!$A$2:$A$501"),"&lt;"&amp;($BA5+1),INDIRECT("'"&amp;$A5&amp;"'!$G$2:$G$501"),"&lt;&gt;"),0)))</f>
        <v>3</v>
      </c>
      <c r="AZ5" s="30" t="str">
        <f aca="false">IF($A5="","",$A5&amp;"|"&amp;$L5)</f>
        <v>SAMPLE-CMP-001|4</v>
      </c>
      <c r="BA5" s="31" t="n">
        <f aca="false">IF($A5="","",IFERROR(IF(INDEX(drops!$R$2:$R$21,MATCH($H5,drops!$A$2:$A$21,0))="","",INDEX(drops!$R$2:$R$21,MATCH($H5,drops!$A$2:$A$21,0))),""))</f>
        <v>46406</v>
      </c>
      <c r="BB5" s="30" t="n">
        <f aca="false">IF(OR($A5="",$Q5&lt;&gt;"Y"),1000000,N($AL5))</f>
        <v>4</v>
      </c>
      <c r="BC5" s="30" t="str">
        <f aca="false">IF($A5="","",IF(COUNTIF(survey_frozen!$P$2:$P$251,$A5&amp;"|"&amp;$B5)&gt;0,"Y",""))</f>
        <v/>
      </c>
      <c r="BD5" s="30" t="str">
        <f aca="false">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ustomFormat="false" ht="15" hidden="false" customHeight="false" outlineLevel="0" collapsed="false">
      <c r="A6" s="0" t="s">
        <v>472</v>
      </c>
      <c r="B6" s="0" t="s">
        <v>688</v>
      </c>
      <c r="C6" s="11" t="n">
        <v>46370</v>
      </c>
      <c r="D6" s="10" t="s">
        <v>496</v>
      </c>
      <c r="E6" s="11" t="n">
        <v>46372</v>
      </c>
      <c r="F6" s="10" t="s">
        <v>737</v>
      </c>
      <c r="H6" s="30" t="str">
        <f aca="false">IF($A6="","",IFERROR(IF(INDEX(campaigns!$B$2:$B$51,MATCH($A6,campaigns!$A$2:$A$51,0))="","",INDEX(campaigns!$B$2:$B$51,MATCH($A6,campaigns!$A$2:$A$51,0))),""))</f>
        <v>SAMPLE-DRP-001</v>
      </c>
      <c r="I6" s="31" t="n">
        <f aca="false">IF($A6="","",IFERROR(IF(INDEX(campaigns!$BG$2:$BG$51,MATCH($A6,campaigns!$A$2:$A$51,0))="","",INDEX(campaigns!$BG$2:$BG$51,MATCH($A6,campaigns!$A$2:$A$51,0))),""))</f>
        <v>46399</v>
      </c>
      <c r="J6" s="30" t="str">
        <f aca="false">IF($A6="","",IFERROR(IF(INDEX(campaigns!$BE$2:$BE$51,MATCH($A6,campaigns!$A$2:$A$51,0))="","",INDEX(campaigns!$BE$2:$BE$51,MATCH($A6,campaigns!$A$2:$A$51,0))),""))</f>
        <v>SAMPLE Brightside</v>
      </c>
      <c r="K6" s="30" t="str">
        <f aca="false">IF($B6="","",IFERROR(IF(INDEX(offices!$O$2:$O$61,MATCH($B6,offices!$A$2:$A$61,0))="","",INDEX(offices!$O$2:$O$61,MATCH($B6,offices!$A$2:$A$61,0))),""))</f>
        <v>SAMPLE Studio Marlow</v>
      </c>
      <c r="L6" s="30" t="n">
        <f aca="false">IF($A6="","",IF($Q6="N","",COUNTIFS($A$2:$A6,$A6,$Q$2:$Q6,"&lt;&gt;N")))</f>
        <v>5</v>
      </c>
      <c r="M6" s="30" t="str">
        <f aca="false">IF(OR($A6="",$L6=""),"",IF(AND(config!$B$34="names_if_public",IFERROR(IF(INDEX(offices!$AG$2:$AG$61,MATCH($B6,offices!$A$2:$A$61,0))="","",INDEX(offices!$AG$2:$AG$61,MATCH($B6,offices!$A$2:$A$61,0))),"")="Y"),$K6,CHAR(64+$L6)))</f>
        <v>E</v>
      </c>
      <c r="N6" s="30" t="n">
        <f aca="false">IF(OR($A6="",$I6=""),"",COUNTIFS(stops!$B$2:$B$151,$B6,stops!$P$2:$P$151,"&lt;"&amp;$I6,stops!$L$2:$L$151,"&lt;&gt;not_delivered")+1)</f>
        <v>1</v>
      </c>
      <c r="O6" s="30" t="str">
        <f aca="false">IF($A6="","",IF(N($N6)&lt;=config!$B$29,"explicit","opt-out"))</f>
        <v>explicit</v>
      </c>
      <c r="P6" s="30" t="str">
        <f aca="false">IF($A6="","",IF($O6="explicit",IF($D6="yes","Y",IF($D6="no","N","pending")),IF($D6="no","N",IF(AND($C6&lt;&gt;"",$I6&lt;&gt;"",$C6&lt;=WORKDAY(N($I6),-5,calendar!$A$2:$A$80)),"Y","pending"))))</f>
        <v>Y</v>
      </c>
      <c r="Q6" s="30" t="str">
        <f aca="false">IF($A6="","",IF($P6="N","N",IF($P6&lt;&gt;"Y","pending",IF(AND((COUNTIFS(stops!$A$2:$A$151,$H6,stops!$B$2:$B$151,$B6,stops!$L$2:$L$151,"declined")+COUNTIFS(stops!$A$2:$A$151,$H6,stops!$B$2:$B$151,$B6,stops!$L$2:$L$151,"building_refused")+COUNTIFS(stops!$A$2:$A$151,$H6,stops!$B$2:$B$151,$B6,stops!$L$2:$L$151,"not_delivered"))&gt;0,N($U6)=0),"N","Y"))))</f>
        <v>Y</v>
      </c>
      <c r="R6" s="30" t="str">
        <f aca="false">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30" t="n">
        <f aca="false">IF($A6="","",IF($G6&lt;&gt;"",$G6,IFERROR(IF(INDEX(offices!$AM$2:$AM$61,MATCH($B6,offices!$A$2:$A$61,0))="","",INDEX(offices!$AM$2:$AM$61,MATCH($B6,offices!$A$2:$A$61,0))),"")))</f>
        <v>70</v>
      </c>
      <c r="T6" s="30" t="str">
        <f aca="false">IF($A6="","",$A6&amp;"."&amp;$B6)</f>
        <v>SAMPLE-CMP-001.SAMPLE-O-005</v>
      </c>
      <c r="U6" s="30" t="n">
        <f aca="false">IF($A6="","",SUMIFS(inventory!$G$2:$G$801,inventory!$C$2:$C$801,$A6,inventory!$D$2:$D$801,$B6,inventory!$E$2:$E$801,"delivered"))</f>
        <v>70</v>
      </c>
      <c r="V6" s="37" t="n">
        <f aca="false">IF($A6="","",IFERROR(1/(1/SUMPRODUCT(MAX((inventory!$C$2:$C$801=$A6)*(inventory!$D$2:$D$801=$B6)*(inventory!$E$2:$E$801="delivered")*(inventory!$A$2:$A$801+inventory!$B$2:$B$801)))),""))</f>
        <v>46399.4263888889</v>
      </c>
      <c r="W6" s="30" t="str">
        <f aca="false">IF($A6="","",IFERROR(IF(INDEX(inventory!$J$2:$J$801,MATCH($A6&amp;"|"&amp;$B6&amp;"|delivered",inventory!$R$2:$R$801,0))="","",INDEX(inventory!$J$2:$J$801,MATCH($A6&amp;"|"&amp;$B6&amp;"|delivered",inventory!$R$2:$R$801,0))),""))</f>
        <v>founder_count</v>
      </c>
      <c r="X6" s="30" t="str">
        <f aca="false">IF($A6="","",IFERROR(IF(INDEX(photos!$H$2:$H$701,MATCH($A6&amp;"|"&amp;$B6&amp;"|placement|Y",photos!$R$2:$R$701,0))="","",INDEX(photos!$H$2:$H$701,MATCH($A6&amp;"|"&amp;$B6&amp;"|placement|Y",photos!$R$2:$R$701,0))),""))</f>
        <v>SAMPLE-CMP-001_SAMPLE-O-005_placement_2027-01-12.jpg</v>
      </c>
      <c r="Y6" s="31" t="n">
        <f aca="false">IF($A6="","",IFERROR(IF(INDEX(photos!$E$2:$E$701,MATCH($A6&amp;"|"&amp;$B6&amp;"|placement|Y",photos!$R$2:$R$701,0))="","",INDEX(photos!$E$2:$E$701,MATCH($A6&amp;"|"&amp;$B6&amp;"|placement|Y",photos!$R$2:$R$701,0))),""))</f>
        <v>46399</v>
      </c>
      <c r="Z6" s="30" t="n">
        <f aca="false">IF($A6="","",IF(COUNTIFS(counts!$C$2:$C$701,$A6,counts!$D$2:$D$701,$B6,counts!$E$2:$E$701,"placed")=0,"",SUMIFS(counts!$F$2:$F$701,counts!$C$2:$C$701,$A6,counts!$D$2:$D$701,$B6,counts!$E$2:$E$701,"placed")))</f>
        <v>70</v>
      </c>
      <c r="AA6" s="30" t="n">
        <f aca="false">IF($A6="","",IF($Y6="",0,N($Z6)))</f>
        <v>70</v>
      </c>
      <c r="AB6" s="30" t="str">
        <f aca="false">IF($A6="","",IF(OR($Y6="",$I6=""),"N",IF($Y6&lt;=WORKDAY(N($I6),1,calendar!$A$2:$A$80),"Y","N")))</f>
        <v>Y</v>
      </c>
      <c r="AC6" s="33" t="n">
        <f aca="false">IF(OR($A6="",$V6="",$Y6=""),"",ROUND(($Y6+N(IFERROR(IF(INDEX(photos!$F$2:$F$701,MATCH($A6&amp;"|"&amp;$B6&amp;"|placement|Y",photos!$R$2:$R$701,0))="","",INDEX(photos!$F$2:$F$701,MATCH($A6&amp;"|"&amp;$B6&amp;"|placement|Y",photos!$R$2:$R$701,0))),""))-$V6)*24,1))</f>
        <v>3.9</v>
      </c>
      <c r="AD6" s="30" t="n">
        <f aca="false">IF($A6="","",SUMIFS(inventory!$G$2:$G$801,inventory!$C$2:$C$801,$A6,inventory!$D$2:$D$801,$B6,inventory!$E$2:$E$801,"topped_up"))</f>
        <v>0</v>
      </c>
      <c r="AE6" s="30" t="n">
        <f aca="false">IF($A6="","",IF(COUNTIFS(counts!$C$2:$C$701,$A6,counts!$D$2:$D$701,$B6,counts!$E$2:$E$701,"remaining_day3")=0,"",SUMIFS(counts!$F$2:$F$701,counts!$C$2:$C$701,$A6,counts!$D$2:$D$701,$B6,counts!$E$2:$E$701,"remaining_day3")))</f>
        <v>22</v>
      </c>
      <c r="AF6" s="30" t="n">
        <f aca="false">IF($A6="","",IF(COUNTIFS(counts!$C$2:$C$701,$A6,counts!$D$2:$D$701,$B6,counts!$E$2:$E$701,"remaining_day5")=0,"",SUMIFS(counts!$F$2:$F$701,counts!$C$2:$C$701,$A6,counts!$D$2:$D$701,$B6,counts!$E$2:$E$701,"remaining_day5")))</f>
        <v>8</v>
      </c>
      <c r="AG6" s="30" t="n">
        <f aca="false">IF(OR($A6="",$AF6=""),"",MAX(0,$AA6+$AD6-$AF6))</f>
        <v>62</v>
      </c>
      <c r="AH6" s="30" t="str">
        <f aca="false">IF(OR($A6="",$AI6=""),"",IFERROR(IF(INDEX(photos!$H$2:$H$701,MATCH($A6&amp;"|"&amp;$B6&amp;"|later|Y|"&amp;$AI6,photos!$S$2:$S$701,0))="","",INDEX(photos!$H$2:$H$701,MATCH($A6&amp;"|"&amp;$B6&amp;"|later|Y|"&amp;$AI6,photos!$S$2:$S$701,0))),""))</f>
        <v>SAMPLE-CMP-001_SAMPLE-O-005_later_2027-01-19.jpg</v>
      </c>
      <c r="AI6" s="31" t="n">
        <f aca="false">IF($A6="","",IFERROR(1/(1/SUMPRODUCT(MAX((photos!$B$2:$B$701=$A6)*(photos!$C$2:$C$701=$B6)*(photos!$D$2:$D$701="later")*(photos!$O$2:$O$701="Y")*photos!$E$2:$E$701))),""))</f>
        <v>46406</v>
      </c>
      <c r="AJ6" s="30" t="n">
        <f aca="false">IF(OR($A6="",$AI6="",$I6=""),"",NETWORKDAYS($I6,$AI6,calendar!$A$2:$A$80))</f>
        <v>5</v>
      </c>
      <c r="AK6" s="30" t="str">
        <f aca="false">IF($A6="","",IF(AND($X6&lt;&gt;"",$AH6&lt;&gt;""),"Y","N"))</f>
        <v>Y</v>
      </c>
      <c r="AL6" s="30" t="n">
        <f aca="true">IF(OR($A6="",$I6=""),"",IF($BC6="Y",SUMIFS(survey_frozen!$C$2:$C$251,survey_frozen!$P$2:$P$251,$A6&amp;"|"&amp;$B6),IFERROR(COUNTIFS(INDIRECT("'"&amp;$A6&amp;"'!$B$2:$B$501"),$T6,INDIRECT("'"&amp;$A6&amp;"'!$A$2:$A$501"),"&gt;="&amp;$I6,INDIRECT("'"&amp;$A6&amp;"'!$A$2:$A$501"),"&lt;"&amp;($BA6+1)),0)))</f>
        <v>7</v>
      </c>
      <c r="AM6" s="30" t="n">
        <f aca="true">IF(OR($A6="",$I6=""),"",IF($BC6="Y",SUMIFS(survey_frozen!$D$2:$D$251,survey_frozen!$P$2:$P$251,$A6&amp;"|"&amp;$B6),IFERROR(COUNTIFS(INDIRECT("'"&amp;$A6&amp;"'!$B$2:$B$501"),$T6,INDIRECT("'"&amp;$A6&amp;"'!$A$2:$A$501"),"&gt;="&amp;$I6,INDIRECT("'"&amp;$A6&amp;"'!$A$2:$A$501"),"&lt;"&amp;($BA6+1),INDIRECT("'"&amp;$A6&amp;"'!$C$2:$C$501"),"Yes"),0)))</f>
        <v>7</v>
      </c>
      <c r="AN6" s="30" t="n">
        <f aca="false">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9</v>
      </c>
      <c r="AO6" s="30" t="n">
        <f aca="false">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8</v>
      </c>
      <c r="AP6" s="30" t="str">
        <f aca="true">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30" t="n">
        <f aca="true">IF(OR($A6="",$I6=""),"",IF($BC6="Y",SUMIFS(survey_frozen!$E$2:$E$251,survey_frozen!$P$2:$P$251,$A6&amp;"|"&amp;$B6),IFERROR(COUNTIFS(INDIRECT("'"&amp;$A6&amp;"'!$B$2:$B$501"),$T6,INDIRECT("'"&amp;$A6&amp;"'!$A$2:$A$501"),"&gt;="&amp;$I6,INDIRECT("'"&amp;$A6&amp;"'!$A$2:$A$501"),"&lt;"&amp;($BA6+1),INDIRECT("'"&amp;$A6&amp;"'!$F$2:$F$501"),"Didn't see it"),0)))</f>
        <v>0</v>
      </c>
      <c r="AR6" s="30" t="n">
        <f aca="true">IF(OR($A6="",$I6=""),"",IF($BC6="Y",SUMIFS(survey_frozen!$F$2:$F$251,survey_frozen!$P$2:$P$251,$A6&amp;"|"&amp;$B6),IFERROR(COUNTIFS(INDIRECT("'"&amp;$A6&amp;"'!$B$2:$B$501"),$T6,INDIRECT("'"&amp;$A6&amp;"'!$A$2:$A$501"),"&gt;="&amp;$I6,INDIRECT("'"&amp;$A6&amp;"'!$A$2:$A$501"),"&lt;"&amp;($BA6+1),INDIRECT("'"&amp;$A6&amp;"'!$F$2:$F$501"),"Not for me"),0)))</f>
        <v>0</v>
      </c>
      <c r="AS6" s="30" t="n">
        <f aca="true">IF(OR($A6="",$I6=""),"",IF($BC6="Y",SUMIFS(survey_frozen!$G$2:$G$251,survey_frozen!$P$2:$P$251,$A6&amp;"|"&amp;$B6),IFERROR(COUNTIFS(INDIRECT("'"&amp;$A6&amp;"'!$B$2:$B$501"),$T6,INDIRECT("'"&amp;$A6&amp;"'!$A$2:$A$501"),"&gt;="&amp;$I6,INDIRECT("'"&amp;$A6&amp;"'!$A$2:$A$501"),"&lt;"&amp;($BA6+1),INDIRECT("'"&amp;$A6&amp;"'!$F$2:$F$501"),"Gone by the time I looked"),0)))</f>
        <v>0</v>
      </c>
      <c r="AT6" s="30" t="n">
        <f aca="true">IF(OR($A6="",$I6=""),"",IF($BC6="Y",SUMIFS(survey_frozen!$H$2:$H$251,survey_frozen!$P$2:$P$251,$A6&amp;"|"&amp;$B6),IFERROR(COUNTIFS(INDIRECT("'"&amp;$A6&amp;"'!$B$2:$B$501"),$T6,INDIRECT("'"&amp;$A6&amp;"'!$A$2:$A$501"),"&gt;="&amp;$I6,INDIRECT("'"&amp;$A6&amp;"'!$A$2:$A$501"),"&lt;"&amp;($BA6+1),INDIRECT("'"&amp;$A6&amp;"'!$D$2:$D$501"),"&gt;=1"),0)))</f>
        <v>7</v>
      </c>
      <c r="AU6" s="30" t="n">
        <f aca="true">IF(OR($A6="",$I6=""),"",IF($BC6="Y",SUMIFS(survey_frozen!$I$2:$I$251,survey_frozen!$P$2:$P$251,$A6&amp;"|"&amp;$B6),IFERROR(SUMIFS(INDIRECT("'"&amp;$A6&amp;"'!$D$2:$D$501"),INDIRECT("'"&amp;$A6&amp;"'!$B$2:$B$501"),$T6,INDIRECT("'"&amp;$A6&amp;"'!$A$2:$A$501"),"&gt;="&amp;$I6,INDIRECT("'"&amp;$A6&amp;"'!$A$2:$A$501"),"&lt;"&amp;($BA6+1)),0)))</f>
        <v>30</v>
      </c>
      <c r="AV6" s="30" t="n">
        <f aca="true">IF(OR($A6="",$I6=""),"",IF($BC6="Y",SUMIFS(survey_frozen!$J$2:$J$251,survey_frozen!$P$2:$P$251,$A6&amp;"|"&amp;$B6),IFERROR(COUNTIFS(INDIRECT("'"&amp;$A6&amp;"'!$B$2:$B$501"),$T6,INDIRECT("'"&amp;$A6&amp;"'!$A$2:$A$501"),"&gt;="&amp;$I6,INDIRECT("'"&amp;$A6&amp;"'!$A$2:$A$501"),"&lt;"&amp;($BA6+1),INDIRECT("'"&amp;$A6&amp;"'!$E$2:$E$501"),"Yes"),0)))</f>
        <v>2</v>
      </c>
      <c r="AW6" s="30" t="n">
        <f aca="true">IF(OR($A6="",$I6=""),"",IF($BC6="Y",SUMIFS(survey_frozen!$K$2:$K$251,survey_frozen!$P$2:$P$251,$A6&amp;"|"&amp;$B6),IFERROR(COUNTIFS(INDIRECT("'"&amp;$A6&amp;"'!$B$2:$B$501"),$T6,INDIRECT("'"&amp;$A6&amp;"'!$A$2:$A$501"),"&gt;="&amp;$I6,INDIRECT("'"&amp;$A6&amp;"'!$A$2:$A$501"),"&lt;"&amp;($BA6+1),INDIRECT("'"&amp;$A6&amp;"'!$E$2:$E$501"),"Maybe"),0)))</f>
        <v>3</v>
      </c>
      <c r="AX6" s="30" t="n">
        <f aca="true">IF(OR($A6="",$I6=""),"",IF($BC6="Y",SUMIFS(survey_frozen!$L$2:$L$251,survey_frozen!$P$2:$P$251,$A6&amp;"|"&amp;$B6),IFERROR(COUNTIFS(INDIRECT("'"&amp;$A6&amp;"'!$B$2:$B$501"),$T6,INDIRECT("'"&amp;$A6&amp;"'!$A$2:$A$501"),"&gt;="&amp;$I6,INDIRECT("'"&amp;$A6&amp;"'!$A$2:$A$501"),"&lt;"&amp;($BA6+1),INDIRECT("'"&amp;$A6&amp;"'!$E$2:$E$501"),"No"),0)))</f>
        <v>2</v>
      </c>
      <c r="AY6" s="30" t="n">
        <f aca="true">IF(OR($A6="",$I6=""),"",IF($BC6="Y",SUMIFS(survey_frozen!$M$2:$M$251,survey_frozen!$P$2:$P$251,$A6&amp;"|"&amp;$B6),IFERROR(COUNTIFS(INDIRECT("'"&amp;$A6&amp;"'!$B$2:$B$501"),$T6,INDIRECT("'"&amp;$A6&amp;"'!$A$2:$A$501"),"&gt;="&amp;$I6,INDIRECT("'"&amp;$A6&amp;"'!$A$2:$A$501"),"&lt;"&amp;($BA6+1),INDIRECT("'"&amp;$A6&amp;"'!$G$2:$G$501"),"&lt;&gt;"),0)))</f>
        <v>2</v>
      </c>
      <c r="AZ6" s="30" t="str">
        <f aca="false">IF($A6="","",$A6&amp;"|"&amp;$L6)</f>
        <v>SAMPLE-CMP-001|5</v>
      </c>
      <c r="BA6" s="31" t="n">
        <f aca="false">IF($A6="","",IFERROR(IF(INDEX(drops!$R$2:$R$21,MATCH($H6,drops!$A$2:$A$21,0))="","",INDEX(drops!$R$2:$R$21,MATCH($H6,drops!$A$2:$A$21,0))),""))</f>
        <v>46406</v>
      </c>
      <c r="BB6" s="30" t="n">
        <f aca="false">IF(OR($A6="",$Q6&lt;&gt;"Y"),1000000,N($AL6))</f>
        <v>7</v>
      </c>
      <c r="BC6" s="30" t="str">
        <f aca="false">IF($A6="","",IF(COUNTIF(survey_frozen!$P$2:$P$251,$A6&amp;"|"&amp;$B6)&gt;0,"Y",""))</f>
        <v/>
      </c>
      <c r="BD6" s="30" t="str">
        <f aca="false">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ustomFormat="false" ht="15" hidden="false" customHeight="false" outlineLevel="0" collapsed="false">
      <c r="A7" s="0" t="s">
        <v>498</v>
      </c>
      <c r="B7" s="0" t="s">
        <v>678</v>
      </c>
      <c r="C7" s="11" t="n">
        <v>46370</v>
      </c>
      <c r="D7" s="10" t="s">
        <v>496</v>
      </c>
      <c r="E7" s="11" t="n">
        <v>46372</v>
      </c>
      <c r="F7" s="10" t="s">
        <v>737</v>
      </c>
      <c r="H7" s="30" t="str">
        <f aca="false">IF($A7="","",IFERROR(IF(INDEX(campaigns!$B$2:$B$51,MATCH($A7,campaigns!$A$2:$A$51,0))="","",INDEX(campaigns!$B$2:$B$51,MATCH($A7,campaigns!$A$2:$A$51,0))),""))</f>
        <v>SAMPLE-DRP-001</v>
      </c>
      <c r="I7" s="31" t="n">
        <f aca="false">IF($A7="","",IFERROR(IF(INDEX(campaigns!$BG$2:$BG$51,MATCH($A7,campaigns!$A$2:$A$51,0))="","",INDEX(campaigns!$BG$2:$BG$51,MATCH($A7,campaigns!$A$2:$A$51,0))),""))</f>
        <v>46399</v>
      </c>
      <c r="J7" s="30" t="str">
        <f aca="false">IF($A7="","",IFERROR(IF(INDEX(campaigns!$BE$2:$BE$51,MATCH($A7,campaigns!$A$2:$A$51,0))="","",INDEX(campaigns!$BE$2:$BE$51,MATCH($A7,campaigns!$A$2:$A$51,0))),""))</f>
        <v>SAMPLE Northbound</v>
      </c>
      <c r="K7" s="30" t="str">
        <f aca="false">IF($B7="","",IFERROR(IF(INDEX(offices!$O$2:$O$61,MATCH($B7,offices!$A$2:$A$61,0))="","",INDEX(offices!$O$2:$O$61,MATCH($B7,offices!$A$2:$A$61,0))),""))</f>
        <v>SAMPLE Northpoint Software</v>
      </c>
      <c r="L7" s="30" t="n">
        <f aca="false">IF($A7="","",IF($Q7="N","",COUNTIFS($A$2:$A7,$A7,$Q$2:$Q7,"&lt;&gt;N")))</f>
        <v>1</v>
      </c>
      <c r="M7" s="30" t="str">
        <f aca="false">IF(OR($A7="",$L7=""),"",IF(AND(config!$B$34="names_if_public",IFERROR(IF(INDEX(offices!$AG$2:$AG$61,MATCH($B7,offices!$A$2:$A$61,0))="","",INDEX(offices!$AG$2:$AG$61,MATCH($B7,offices!$A$2:$A$61,0))),"")="Y"),$K7,CHAR(64+$L7)))</f>
        <v>A</v>
      </c>
      <c r="N7" s="30" t="n">
        <f aca="false">IF(OR($A7="",$I7=""),"",COUNTIFS(stops!$B$2:$B$151,$B7,stops!$P$2:$P$151,"&lt;"&amp;$I7,stops!$L$2:$L$151,"&lt;&gt;not_delivered")+1)</f>
        <v>1</v>
      </c>
      <c r="O7" s="30" t="str">
        <f aca="false">IF($A7="","",IF(N($N7)&lt;=config!$B$29,"explicit","opt-out"))</f>
        <v>explicit</v>
      </c>
      <c r="P7" s="30" t="str">
        <f aca="false">IF($A7="","",IF($O7="explicit",IF($D7="yes","Y",IF($D7="no","N","pending")),IF($D7="no","N",IF(AND($C7&lt;&gt;"",$I7&lt;&gt;"",$C7&lt;=WORKDAY(N($I7),-5,calendar!$A$2:$A$80)),"Y","pending"))))</f>
        <v>Y</v>
      </c>
      <c r="Q7" s="30" t="str">
        <f aca="false">IF($A7="","",IF($P7="N","N",IF($P7&lt;&gt;"Y","pending",IF(AND((COUNTIFS(stops!$A$2:$A$151,$H7,stops!$B$2:$B$151,$B7,stops!$L$2:$L$151,"declined")+COUNTIFS(stops!$A$2:$A$151,$H7,stops!$B$2:$B$151,$B7,stops!$L$2:$L$151,"building_refused")+COUNTIFS(stops!$A$2:$A$151,$H7,stops!$B$2:$B$151,$B7,stops!$L$2:$L$151,"not_delivered"))&gt;0,N($U7)=0),"N","Y"))))</f>
        <v>Y</v>
      </c>
      <c r="R7" s="30" t="str">
        <f aca="false">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30" t="n">
        <f aca="false">IF($A7="","",IF($G7&lt;&gt;"",$G7,IFERROR(IF(INDEX(offices!$AM$2:$AM$61,MATCH($B7,offices!$A$2:$A$61,0))="","",INDEX(offices!$AM$2:$AM$61,MATCH($B7,offices!$A$2:$A$61,0))),"")))</f>
        <v>40</v>
      </c>
      <c r="T7" s="30" t="str">
        <f aca="false">IF($A7="","",$A7&amp;"."&amp;$B7)</f>
        <v>SAMPLE-CMP-002.SAMPLE-O-001</v>
      </c>
      <c r="U7" s="30" t="n">
        <f aca="false">IF($A7="","",SUMIFS(inventory!$G$2:$G$801,inventory!$C$2:$C$801,$A7,inventory!$D$2:$D$801,$B7,inventory!$E$2:$E$801,"delivered"))</f>
        <v>40</v>
      </c>
      <c r="V7" s="37" t="n">
        <f aca="false">IF($A7="","",IFERROR(1/(1/SUMPRODUCT(MAX((inventory!$C$2:$C$801=$A7)*(inventory!$D$2:$D$801=$B7)*(inventory!$E$2:$E$801="delivered")*(inventory!$A$2:$A$801+inventory!$B$2:$B$801)))),""))</f>
        <v>46399.3472222222</v>
      </c>
      <c r="W7" s="30" t="str">
        <f aca="false">IF($A7="","",IFERROR(IF(INDEX(inventory!$J$2:$J$801,MATCH($A7&amp;"|"&amp;$B7&amp;"|delivered",inventory!$R$2:$R$801,0))="","",INDEX(inventory!$J$2:$J$801,MATCH($A7&amp;"|"&amp;$B7&amp;"|delivered",inventory!$R$2:$R$801,0))),""))</f>
        <v>founder_count</v>
      </c>
      <c r="X7" s="30" t="str">
        <f aca="false">IF($A7="","",IFERROR(IF(INDEX(photos!$H$2:$H$701,MATCH($A7&amp;"|"&amp;$B7&amp;"|placement|Y",photos!$R$2:$R$701,0))="","",INDEX(photos!$H$2:$H$701,MATCH($A7&amp;"|"&amp;$B7&amp;"|placement|Y",photos!$R$2:$R$701,0))),""))</f>
        <v>SAMPLE-CMP-002_SAMPLE-O-001_placement_2027-01-12.jpg</v>
      </c>
      <c r="Y7" s="31" t="n">
        <f aca="false">IF($A7="","",IFERROR(IF(INDEX(photos!$E$2:$E$701,MATCH($A7&amp;"|"&amp;$B7&amp;"|placement|Y",photos!$R$2:$R$701,0))="","",INDEX(photos!$E$2:$E$701,MATCH($A7&amp;"|"&amp;$B7&amp;"|placement|Y",photos!$R$2:$R$701,0))),""))</f>
        <v>46399</v>
      </c>
      <c r="Z7" s="30" t="n">
        <f aca="false">IF($A7="","",IF(COUNTIFS(counts!$C$2:$C$701,$A7,counts!$D$2:$D$701,$B7,counts!$E$2:$E$701,"placed")=0,"",SUMIFS(counts!$F$2:$F$701,counts!$C$2:$C$701,$A7,counts!$D$2:$D$701,$B7,counts!$E$2:$E$701,"placed")))</f>
        <v>40</v>
      </c>
      <c r="AA7" s="30" t="n">
        <f aca="false">IF($A7="","",IF($Y7="",0,N($Z7)))</f>
        <v>40</v>
      </c>
      <c r="AB7" s="30" t="str">
        <f aca="false">IF($A7="","",IF(OR($Y7="",$I7=""),"N",IF($Y7&lt;=WORKDAY(N($I7),1,calendar!$A$2:$A$80),"Y","N")))</f>
        <v>Y</v>
      </c>
      <c r="AC7" s="33" t="n">
        <f aca="false">IF(OR($A7="",$V7="",$Y7=""),"",ROUND(($Y7+N(IFERROR(IF(INDEX(photos!$F$2:$F$701,MATCH($A7&amp;"|"&amp;$B7&amp;"|placement|Y",photos!$R$2:$R$701,0))="","",INDEX(photos!$F$2:$F$701,MATCH($A7&amp;"|"&amp;$B7&amp;"|placement|Y",photos!$R$2:$R$701,0))),""))-$V7)*24,1))</f>
        <v>0.2</v>
      </c>
      <c r="AD7" s="30" t="n">
        <f aca="false">IF($A7="","",SUMIFS(inventory!$G$2:$G$801,inventory!$C$2:$C$801,$A7,inventory!$D$2:$D$801,$B7,inventory!$E$2:$E$801,"topped_up"))</f>
        <v>0</v>
      </c>
      <c r="AE7" s="30" t="n">
        <f aca="false">IF($A7="","",IF(COUNTIFS(counts!$C$2:$C$701,$A7,counts!$D$2:$D$701,$B7,counts!$E$2:$E$701,"remaining_day3")=0,"",SUMIFS(counts!$F$2:$F$701,counts!$C$2:$C$701,$A7,counts!$D$2:$D$701,$B7,counts!$E$2:$E$701,"remaining_day3")))</f>
        <v>14</v>
      </c>
      <c r="AF7" s="30" t="n">
        <f aca="false">IF($A7="","",IF(COUNTIFS(counts!$C$2:$C$701,$A7,counts!$D$2:$D$701,$B7,counts!$E$2:$E$701,"remaining_day5")=0,"",SUMIFS(counts!$F$2:$F$701,counts!$C$2:$C$701,$A7,counts!$D$2:$D$701,$B7,counts!$E$2:$E$701,"remaining_day5")))</f>
        <v>3</v>
      </c>
      <c r="AG7" s="30" t="n">
        <f aca="false">IF(OR($A7="",$AF7=""),"",MAX(0,$AA7+$AD7-$AF7))</f>
        <v>37</v>
      </c>
      <c r="AH7" s="30" t="str">
        <f aca="false">IF(OR($A7="",$AI7=""),"",IFERROR(IF(INDEX(photos!$H$2:$H$701,MATCH($A7&amp;"|"&amp;$B7&amp;"|later|Y|"&amp;$AI7,photos!$S$2:$S$701,0))="","",INDEX(photos!$H$2:$H$701,MATCH($A7&amp;"|"&amp;$B7&amp;"|later|Y|"&amp;$AI7,photos!$S$2:$S$701,0))),""))</f>
        <v>SAMPLE-CMP-002_SAMPLE-O-001_later_2027-01-19.jpg</v>
      </c>
      <c r="AI7" s="31" t="n">
        <f aca="false">IF($A7="","",IFERROR(1/(1/SUMPRODUCT(MAX((photos!$B$2:$B$701=$A7)*(photos!$C$2:$C$701=$B7)*(photos!$D$2:$D$701="later")*(photos!$O$2:$O$701="Y")*photos!$E$2:$E$701))),""))</f>
        <v>46406</v>
      </c>
      <c r="AJ7" s="30" t="n">
        <f aca="false">IF(OR($A7="",$AI7="",$I7=""),"",NETWORKDAYS($I7,$AI7,calendar!$A$2:$A$80))</f>
        <v>5</v>
      </c>
      <c r="AK7" s="30" t="str">
        <f aca="false">IF($A7="","",IF(AND($X7&lt;&gt;"",$AH7&lt;&gt;""),"Y","N"))</f>
        <v>Y</v>
      </c>
      <c r="AL7" s="30" t="n">
        <f aca="true">IF(OR($A7="",$I7=""),"",IF($BC7="Y",SUMIFS(survey_frozen!$C$2:$C$251,survey_frozen!$P$2:$P$251,$A7&amp;"|"&amp;$B7),IFERROR(COUNTIFS(INDIRECT("'"&amp;$A7&amp;"'!$B$2:$B$501"),$T7,INDIRECT("'"&amp;$A7&amp;"'!$A$2:$A$501"),"&gt;="&amp;$I7,INDIRECT("'"&amp;$A7&amp;"'!$A$2:$A$501"),"&lt;"&amp;($BA7+1)),0)))</f>
        <v>7</v>
      </c>
      <c r="AM7" s="30" t="n">
        <f aca="true">IF(OR($A7="",$I7=""),"",IF($BC7="Y",SUMIFS(survey_frozen!$D$2:$D$251,survey_frozen!$P$2:$P$251,$A7&amp;"|"&amp;$B7),IFERROR(COUNTIFS(INDIRECT("'"&amp;$A7&amp;"'!$B$2:$B$501"),$T7,INDIRECT("'"&amp;$A7&amp;"'!$A$2:$A$501"),"&gt;="&amp;$I7,INDIRECT("'"&amp;$A7&amp;"'!$A$2:$A$501"),"&lt;"&amp;($BA7+1),INDIRECT("'"&amp;$A7&amp;"'!$C$2:$C$501"),"Yes"),0)))</f>
        <v>4</v>
      </c>
      <c r="AN7" s="30" t="n">
        <f aca="false">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9</v>
      </c>
      <c r="AO7" s="30" t="n">
        <f aca="false">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4</v>
      </c>
      <c r="AP7" s="30" t="str">
        <f aca="true">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30" t="n">
        <f aca="true">IF(OR($A7="",$I7=""),"",IF($BC7="Y",SUMIFS(survey_frozen!$E$2:$E$251,survey_frozen!$P$2:$P$251,$A7&amp;"|"&amp;$B7),IFERROR(COUNTIFS(INDIRECT("'"&amp;$A7&amp;"'!$B$2:$B$501"),$T7,INDIRECT("'"&amp;$A7&amp;"'!$A$2:$A$501"),"&gt;="&amp;$I7,INDIRECT("'"&amp;$A7&amp;"'!$A$2:$A$501"),"&lt;"&amp;($BA7+1),INDIRECT("'"&amp;$A7&amp;"'!$F$2:$F$501"),"Didn't see it"),0)))</f>
        <v>1</v>
      </c>
      <c r="AR7" s="30" t="n">
        <f aca="true">IF(OR($A7="",$I7=""),"",IF($BC7="Y",SUMIFS(survey_frozen!$F$2:$F$251,survey_frozen!$P$2:$P$251,$A7&amp;"|"&amp;$B7),IFERROR(COUNTIFS(INDIRECT("'"&amp;$A7&amp;"'!$B$2:$B$501"),$T7,INDIRECT("'"&amp;$A7&amp;"'!$A$2:$A$501"),"&gt;="&amp;$I7,INDIRECT("'"&amp;$A7&amp;"'!$A$2:$A$501"),"&lt;"&amp;($BA7+1),INDIRECT("'"&amp;$A7&amp;"'!$F$2:$F$501"),"Not for me"),0)))</f>
        <v>0</v>
      </c>
      <c r="AS7" s="30" t="n">
        <f aca="true">IF(OR($A7="",$I7=""),"",IF($BC7="Y",SUMIFS(survey_frozen!$G$2:$G$251,survey_frozen!$P$2:$P$251,$A7&amp;"|"&amp;$B7),IFERROR(COUNTIFS(INDIRECT("'"&amp;$A7&amp;"'!$B$2:$B$501"),$T7,INDIRECT("'"&amp;$A7&amp;"'!$A$2:$A$501"),"&gt;="&amp;$I7,INDIRECT("'"&amp;$A7&amp;"'!$A$2:$A$501"),"&lt;"&amp;($BA7+1),INDIRECT("'"&amp;$A7&amp;"'!$F$2:$F$501"),"Gone by the time I looked"),0)))</f>
        <v>2</v>
      </c>
      <c r="AT7" s="30" t="n">
        <f aca="true">IF(OR($A7="",$I7=""),"",IF($BC7="Y",SUMIFS(survey_frozen!$H$2:$H$251,survey_frozen!$P$2:$P$251,$A7&amp;"|"&amp;$B7),IFERROR(COUNTIFS(INDIRECT("'"&amp;$A7&amp;"'!$B$2:$B$501"),$T7,INDIRECT("'"&amp;$A7&amp;"'!$A$2:$A$501"),"&gt;="&amp;$I7,INDIRECT("'"&amp;$A7&amp;"'!$A$2:$A$501"),"&lt;"&amp;($BA7+1),INDIRECT("'"&amp;$A7&amp;"'!$D$2:$D$501"),"&gt;=1"),0)))</f>
        <v>4</v>
      </c>
      <c r="AU7" s="30" t="n">
        <f aca="true">IF(OR($A7="",$I7=""),"",IF($BC7="Y",SUMIFS(survey_frozen!$I$2:$I$251,survey_frozen!$P$2:$P$251,$A7&amp;"|"&amp;$B7),IFERROR(SUMIFS(INDIRECT("'"&amp;$A7&amp;"'!$D$2:$D$501"),INDIRECT("'"&amp;$A7&amp;"'!$B$2:$B$501"),$T7,INDIRECT("'"&amp;$A7&amp;"'!$A$2:$A$501"),"&gt;="&amp;$I7,INDIRECT("'"&amp;$A7&amp;"'!$A$2:$A$501"),"&lt;"&amp;($BA7+1)),0)))</f>
        <v>16</v>
      </c>
      <c r="AV7" s="30" t="n">
        <f aca="true">IF(OR($A7="",$I7=""),"",IF($BC7="Y",SUMIFS(survey_frozen!$J$2:$J$251,survey_frozen!$P$2:$P$251,$A7&amp;"|"&amp;$B7),IFERROR(COUNTIFS(INDIRECT("'"&amp;$A7&amp;"'!$B$2:$B$501"),$T7,INDIRECT("'"&amp;$A7&amp;"'!$A$2:$A$501"),"&gt;="&amp;$I7,INDIRECT("'"&amp;$A7&amp;"'!$A$2:$A$501"),"&lt;"&amp;($BA7+1),INDIRECT("'"&amp;$A7&amp;"'!$E$2:$E$501"),"Yes"),0)))</f>
        <v>2</v>
      </c>
      <c r="AW7" s="30" t="n">
        <f aca="true">IF(OR($A7="",$I7=""),"",IF($BC7="Y",SUMIFS(survey_frozen!$K$2:$K$251,survey_frozen!$P$2:$P$251,$A7&amp;"|"&amp;$B7),IFERROR(COUNTIFS(INDIRECT("'"&amp;$A7&amp;"'!$B$2:$B$501"),$T7,INDIRECT("'"&amp;$A7&amp;"'!$A$2:$A$501"),"&gt;="&amp;$I7,INDIRECT("'"&amp;$A7&amp;"'!$A$2:$A$501"),"&lt;"&amp;($BA7+1),INDIRECT("'"&amp;$A7&amp;"'!$E$2:$E$501"),"Maybe"),0)))</f>
        <v>0</v>
      </c>
      <c r="AX7" s="30" t="n">
        <f aca="true">IF(OR($A7="",$I7=""),"",IF($BC7="Y",SUMIFS(survey_frozen!$L$2:$L$251,survey_frozen!$P$2:$P$251,$A7&amp;"|"&amp;$B7),IFERROR(COUNTIFS(INDIRECT("'"&amp;$A7&amp;"'!$B$2:$B$501"),$T7,INDIRECT("'"&amp;$A7&amp;"'!$A$2:$A$501"),"&gt;="&amp;$I7,INDIRECT("'"&amp;$A7&amp;"'!$A$2:$A$501"),"&lt;"&amp;($BA7+1),INDIRECT("'"&amp;$A7&amp;"'!$E$2:$E$501"),"No"),0)))</f>
        <v>2</v>
      </c>
      <c r="AY7" s="30" t="n">
        <f aca="true">IF(OR($A7="",$I7=""),"",IF($BC7="Y",SUMIFS(survey_frozen!$M$2:$M$251,survey_frozen!$P$2:$P$251,$A7&amp;"|"&amp;$B7),IFERROR(COUNTIFS(INDIRECT("'"&amp;$A7&amp;"'!$B$2:$B$501"),$T7,INDIRECT("'"&amp;$A7&amp;"'!$A$2:$A$501"),"&gt;="&amp;$I7,INDIRECT("'"&amp;$A7&amp;"'!$A$2:$A$501"),"&lt;"&amp;($BA7+1),INDIRECT("'"&amp;$A7&amp;"'!$G$2:$G$501"),"&lt;&gt;"),0)))</f>
        <v>3</v>
      </c>
      <c r="AZ7" s="30" t="str">
        <f aca="false">IF($A7="","",$A7&amp;"|"&amp;$L7)</f>
        <v>SAMPLE-CMP-002|1</v>
      </c>
      <c r="BA7" s="31" t="n">
        <f aca="false">IF($A7="","",IFERROR(IF(INDEX(drops!$R$2:$R$21,MATCH($H7,drops!$A$2:$A$21,0))="","",INDEX(drops!$R$2:$R$21,MATCH($H7,drops!$A$2:$A$21,0))),""))</f>
        <v>46406</v>
      </c>
      <c r="BB7" s="30" t="n">
        <f aca="false">IF(OR($A7="",$Q7&lt;&gt;"Y"),1000000,N($AL7))</f>
        <v>7</v>
      </c>
      <c r="BC7" s="30" t="str">
        <f aca="false">IF($A7="","",IF(COUNTIF(survey_frozen!$P$2:$P$251,$A7&amp;"|"&amp;$B7)&gt;0,"Y",""))</f>
        <v/>
      </c>
      <c r="BD7" s="30" t="str">
        <f aca="false">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ustomFormat="false" ht="15" hidden="false" customHeight="false" outlineLevel="0" collapsed="false">
      <c r="A8" s="0" t="s">
        <v>498</v>
      </c>
      <c r="B8" s="0" t="s">
        <v>681</v>
      </c>
      <c r="C8" s="11" t="n">
        <v>46370</v>
      </c>
      <c r="D8" s="10" t="s">
        <v>496</v>
      </c>
      <c r="E8" s="11" t="n">
        <v>46372</v>
      </c>
      <c r="F8" s="10" t="s">
        <v>737</v>
      </c>
      <c r="H8" s="30" t="str">
        <f aca="false">IF($A8="","",IFERROR(IF(INDEX(campaigns!$B$2:$B$51,MATCH($A8,campaigns!$A$2:$A$51,0))="","",INDEX(campaigns!$B$2:$B$51,MATCH($A8,campaigns!$A$2:$A$51,0))),""))</f>
        <v>SAMPLE-DRP-001</v>
      </c>
      <c r="I8" s="31" t="n">
        <f aca="false">IF($A8="","",IFERROR(IF(INDEX(campaigns!$BG$2:$BG$51,MATCH($A8,campaigns!$A$2:$A$51,0))="","",INDEX(campaigns!$BG$2:$BG$51,MATCH($A8,campaigns!$A$2:$A$51,0))),""))</f>
        <v>46399</v>
      </c>
      <c r="J8" s="30" t="str">
        <f aca="false">IF($A8="","",IFERROR(IF(INDEX(campaigns!$BE$2:$BE$51,MATCH($A8,campaigns!$A$2:$A$51,0))="","",INDEX(campaigns!$BE$2:$BE$51,MATCH($A8,campaigns!$A$2:$A$51,0))),""))</f>
        <v>SAMPLE Northbound</v>
      </c>
      <c r="K8" s="30" t="str">
        <f aca="false">IF($B8="","",IFERROR(IF(INDEX(offices!$O$2:$O$61,MATCH($B8,offices!$A$2:$A$61,0))="","",INDEX(offices!$O$2:$O$61,MATCH($B8,offices!$A$2:$A$61,0))),""))</f>
        <v>SAMPLE Ferro Architecture</v>
      </c>
      <c r="L8" s="30" t="n">
        <f aca="false">IF($A8="","",IF($Q8="N","",COUNTIFS($A$2:$A8,$A8,$Q$2:$Q8,"&lt;&gt;N")))</f>
        <v>2</v>
      </c>
      <c r="M8" s="30" t="str">
        <f aca="false">IF(OR($A8="",$L8=""),"",IF(AND(config!$B$34="names_if_public",IFERROR(IF(INDEX(offices!$AG$2:$AG$61,MATCH($B8,offices!$A$2:$A$61,0))="","",INDEX(offices!$AG$2:$AG$61,MATCH($B8,offices!$A$2:$A$61,0))),"")="Y"),$K8,CHAR(64+$L8)))</f>
        <v>B</v>
      </c>
      <c r="N8" s="30" t="n">
        <f aca="false">IF(OR($A8="",$I8=""),"",COUNTIFS(stops!$B$2:$B$151,$B8,stops!$P$2:$P$151,"&lt;"&amp;$I8,stops!$L$2:$L$151,"&lt;&gt;not_delivered")+1)</f>
        <v>1</v>
      </c>
      <c r="O8" s="30" t="str">
        <f aca="false">IF($A8="","",IF(N($N8)&lt;=config!$B$29,"explicit","opt-out"))</f>
        <v>explicit</v>
      </c>
      <c r="P8" s="30" t="str">
        <f aca="false">IF($A8="","",IF($O8="explicit",IF($D8="yes","Y",IF($D8="no","N","pending")),IF($D8="no","N",IF(AND($C8&lt;&gt;"",$I8&lt;&gt;"",$C8&lt;=WORKDAY(N($I8),-5,calendar!$A$2:$A$80)),"Y","pending"))))</f>
        <v>Y</v>
      </c>
      <c r="Q8" s="30" t="str">
        <f aca="false">IF($A8="","",IF($P8="N","N",IF($P8&lt;&gt;"Y","pending",IF(AND((COUNTIFS(stops!$A$2:$A$151,$H8,stops!$B$2:$B$151,$B8,stops!$L$2:$L$151,"declined")+COUNTIFS(stops!$A$2:$A$151,$H8,stops!$B$2:$B$151,$B8,stops!$L$2:$L$151,"building_refused")+COUNTIFS(stops!$A$2:$A$151,$H8,stops!$B$2:$B$151,$B8,stops!$L$2:$L$151,"not_delivered"))&gt;0,N($U8)=0),"N","Y"))))</f>
        <v>Y</v>
      </c>
      <c r="R8" s="30" t="str">
        <f aca="false">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30" t="n">
        <f aca="false">IF($A8="","",IF($G8&lt;&gt;"",$G8,IFERROR(IF(INDEX(offices!$AM$2:$AM$61,MATCH($B8,offices!$A$2:$A$61,0))="","",INDEX(offices!$AM$2:$AM$61,MATCH($B8,offices!$A$2:$A$61,0))),"")))</f>
        <v>40</v>
      </c>
      <c r="T8" s="30" t="str">
        <f aca="false">IF($A8="","",$A8&amp;"."&amp;$B8)</f>
        <v>SAMPLE-CMP-002.SAMPLE-O-002</v>
      </c>
      <c r="U8" s="30" t="n">
        <f aca="false">IF($A8="","",SUMIFS(inventory!$G$2:$G$801,inventory!$C$2:$C$801,$A8,inventory!$D$2:$D$801,$B8,inventory!$E$2:$E$801,"delivered"))</f>
        <v>40</v>
      </c>
      <c r="V8" s="37" t="n">
        <f aca="false">IF($A8="","",IFERROR(1/(1/SUMPRODUCT(MAX((inventory!$C$2:$C$801=$A8)*(inventory!$D$2:$D$801=$B8)*(inventory!$E$2:$E$801="delivered")*(inventory!$A$2:$A$801+inventory!$B$2:$B$801)))),""))</f>
        <v>46399.3965277778</v>
      </c>
      <c r="W8" s="30" t="str">
        <f aca="false">IF($A8="","",IFERROR(IF(INDEX(inventory!$J$2:$J$801,MATCH($A8&amp;"|"&amp;$B8&amp;"|delivered",inventory!$R$2:$R$801,0))="","",INDEX(inventory!$J$2:$J$801,MATCH($A8&amp;"|"&amp;$B8&amp;"|delivered",inventory!$R$2:$R$801,0))),""))</f>
        <v>founder_count</v>
      </c>
      <c r="X8" s="30" t="str">
        <f aca="false">IF($A8="","",IFERROR(IF(INDEX(photos!$H$2:$H$701,MATCH($A8&amp;"|"&amp;$B8&amp;"|placement|Y",photos!$R$2:$R$701,0))="","",INDEX(photos!$H$2:$H$701,MATCH($A8&amp;"|"&amp;$B8&amp;"|placement|Y",photos!$R$2:$R$701,0))),""))</f>
        <v>SAMPLE-CMP-002_SAMPLE-O-002_placement_2027-01-12.jpg</v>
      </c>
      <c r="Y8" s="31" t="n">
        <f aca="false">IF($A8="","",IFERROR(IF(INDEX(photos!$E$2:$E$701,MATCH($A8&amp;"|"&amp;$B8&amp;"|placement|Y",photos!$R$2:$R$701,0))="","",INDEX(photos!$E$2:$E$701,MATCH($A8&amp;"|"&amp;$B8&amp;"|placement|Y",photos!$R$2:$R$701,0))),""))</f>
        <v>46399</v>
      </c>
      <c r="Z8" s="30" t="n">
        <f aca="false">IF($A8="","",IF(COUNTIFS(counts!$C$2:$C$701,$A8,counts!$D$2:$D$701,$B8,counts!$E$2:$E$701,"placed")=0,"",SUMIFS(counts!$F$2:$F$701,counts!$C$2:$C$701,$A8,counts!$D$2:$D$701,$B8,counts!$E$2:$E$701,"placed")))</f>
        <v>40</v>
      </c>
      <c r="AA8" s="30" t="n">
        <f aca="false">IF($A8="","",IF($Y8="",0,N($Z8)))</f>
        <v>40</v>
      </c>
      <c r="AB8" s="30" t="str">
        <f aca="false">IF($A8="","",IF(OR($Y8="",$I8=""),"N",IF($Y8&lt;=WORKDAY(N($I8),1,calendar!$A$2:$A$80),"Y","N")))</f>
        <v>Y</v>
      </c>
      <c r="AC8" s="33" t="n">
        <f aca="false">IF(OR($A8="",$V8="",$Y8=""),"",ROUND(($Y8+N(IFERROR(IF(INDEX(photos!$F$2:$F$701,MATCH($A8&amp;"|"&amp;$B8&amp;"|placement|Y",photos!$R$2:$R$701,0))="","",INDEX(photos!$F$2:$F$701,MATCH($A8&amp;"|"&amp;$B8&amp;"|placement|Y",photos!$R$2:$R$701,0))),""))-$V8)*24,1))</f>
        <v>2.2</v>
      </c>
      <c r="AD8" s="30" t="n">
        <f aca="false">IF($A8="","",SUMIFS(inventory!$G$2:$G$801,inventory!$C$2:$C$801,$A8,inventory!$D$2:$D$801,$B8,inventory!$E$2:$E$801,"topped_up"))</f>
        <v>0</v>
      </c>
      <c r="AE8" s="30" t="n">
        <f aca="false">IF($A8="","",IF(COUNTIFS(counts!$C$2:$C$701,$A8,counts!$D$2:$D$701,$B8,counts!$E$2:$E$701,"remaining_day3")=0,"",SUMIFS(counts!$F$2:$F$701,counts!$C$2:$C$701,$A8,counts!$D$2:$D$701,$B8,counts!$E$2:$E$701,"remaining_day3")))</f>
        <v>16</v>
      </c>
      <c r="AF8" s="30" t="n">
        <f aca="false">IF($A8="","",IF(COUNTIFS(counts!$C$2:$C$701,$A8,counts!$D$2:$D$701,$B8,counts!$E$2:$E$701,"remaining_day5")=0,"",SUMIFS(counts!$F$2:$F$701,counts!$C$2:$C$701,$A8,counts!$D$2:$D$701,$B8,counts!$E$2:$E$701,"remaining_day5")))</f>
        <v>4</v>
      </c>
      <c r="AG8" s="30" t="n">
        <f aca="false">IF(OR($A8="",$AF8=""),"",MAX(0,$AA8+$AD8-$AF8))</f>
        <v>36</v>
      </c>
      <c r="AH8" s="30" t="str">
        <f aca="false">IF(OR($A8="",$AI8=""),"",IFERROR(IF(INDEX(photos!$H$2:$H$701,MATCH($A8&amp;"|"&amp;$B8&amp;"|later|Y|"&amp;$AI8,photos!$S$2:$S$701,0))="","",INDEX(photos!$H$2:$H$701,MATCH($A8&amp;"|"&amp;$B8&amp;"|later|Y|"&amp;$AI8,photos!$S$2:$S$701,0))),""))</f>
        <v>SAMPLE-CMP-002_SAMPLE-O-002_later_2027-01-14.jpg</v>
      </c>
      <c r="AI8" s="31" t="n">
        <f aca="false">IF($A8="","",IFERROR(1/(1/SUMPRODUCT(MAX((photos!$B$2:$B$701=$A8)*(photos!$C$2:$C$701=$B8)*(photos!$D$2:$D$701="later")*(photos!$O$2:$O$701="Y")*photos!$E$2:$E$701))),""))</f>
        <v>46401</v>
      </c>
      <c r="AJ8" s="30" t="n">
        <f aca="false">IF(OR($A8="",$AI8="",$I8=""),"",NETWORKDAYS($I8,$AI8,calendar!$A$2:$A$80))</f>
        <v>3</v>
      </c>
      <c r="AK8" s="30" t="str">
        <f aca="false">IF($A8="","",IF(AND($X8&lt;&gt;"",$AH8&lt;&gt;""),"Y","N"))</f>
        <v>Y</v>
      </c>
      <c r="AL8" s="30" t="n">
        <f aca="true">IF(OR($A8="",$I8=""),"",IF($BC8="Y",SUMIFS(survey_frozen!$C$2:$C$251,survey_frozen!$P$2:$P$251,$A8&amp;"|"&amp;$B8),IFERROR(COUNTIFS(INDIRECT("'"&amp;$A8&amp;"'!$B$2:$B$501"),$T8,INDIRECT("'"&amp;$A8&amp;"'!$A$2:$A$501"),"&gt;="&amp;$I8,INDIRECT("'"&amp;$A8&amp;"'!$A$2:$A$501"),"&lt;"&amp;($BA8+1)),0)))</f>
        <v>5</v>
      </c>
      <c r="AM8" s="30" t="n">
        <f aca="true">IF(OR($A8="",$I8=""),"",IF($BC8="Y",SUMIFS(survey_frozen!$D$2:$D$251,survey_frozen!$P$2:$P$251,$A8&amp;"|"&amp;$B8),IFERROR(COUNTIFS(INDIRECT("'"&amp;$A8&amp;"'!$B$2:$B$501"),$T8,INDIRECT("'"&amp;$A8&amp;"'!$A$2:$A$501"),"&gt;="&amp;$I8,INDIRECT("'"&amp;$A8&amp;"'!$A$2:$A$501"),"&lt;"&amp;($BA8+1),INDIRECT("'"&amp;$A8&amp;"'!$C$2:$C$501"),"Yes"),0)))</f>
        <v>5</v>
      </c>
      <c r="AN8" s="30" t="n">
        <f aca="false">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5</v>
      </c>
      <c r="AO8" s="30" t="n">
        <f aca="false">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1</v>
      </c>
      <c r="AP8" s="30" t="str">
        <f aca="true">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30" t="n">
        <f aca="true">IF(OR($A8="",$I8=""),"",IF($BC8="Y",SUMIFS(survey_frozen!$E$2:$E$251,survey_frozen!$P$2:$P$251,$A8&amp;"|"&amp;$B8),IFERROR(COUNTIFS(INDIRECT("'"&amp;$A8&amp;"'!$B$2:$B$501"),$T8,INDIRECT("'"&amp;$A8&amp;"'!$A$2:$A$501"),"&gt;="&amp;$I8,INDIRECT("'"&amp;$A8&amp;"'!$A$2:$A$501"),"&lt;"&amp;($BA8+1),INDIRECT("'"&amp;$A8&amp;"'!$F$2:$F$501"),"Didn't see it"),0)))</f>
        <v>0</v>
      </c>
      <c r="AR8" s="30" t="n">
        <f aca="true">IF(OR($A8="",$I8=""),"",IF($BC8="Y",SUMIFS(survey_frozen!$F$2:$F$251,survey_frozen!$P$2:$P$251,$A8&amp;"|"&amp;$B8),IFERROR(COUNTIFS(INDIRECT("'"&amp;$A8&amp;"'!$B$2:$B$501"),$T8,INDIRECT("'"&amp;$A8&amp;"'!$A$2:$A$501"),"&gt;="&amp;$I8,INDIRECT("'"&amp;$A8&amp;"'!$A$2:$A$501"),"&lt;"&amp;($BA8+1),INDIRECT("'"&amp;$A8&amp;"'!$F$2:$F$501"),"Not for me"),0)))</f>
        <v>0</v>
      </c>
      <c r="AS8" s="30" t="n">
        <f aca="true">IF(OR($A8="",$I8=""),"",IF($BC8="Y",SUMIFS(survey_frozen!$G$2:$G$251,survey_frozen!$P$2:$P$251,$A8&amp;"|"&amp;$B8),IFERROR(COUNTIFS(INDIRECT("'"&amp;$A8&amp;"'!$B$2:$B$501"),$T8,INDIRECT("'"&amp;$A8&amp;"'!$A$2:$A$501"),"&gt;="&amp;$I8,INDIRECT("'"&amp;$A8&amp;"'!$A$2:$A$501"),"&lt;"&amp;($BA8+1),INDIRECT("'"&amp;$A8&amp;"'!$F$2:$F$501"),"Gone by the time I looked"),0)))</f>
        <v>0</v>
      </c>
      <c r="AT8" s="30" t="n">
        <f aca="true">IF(OR($A8="",$I8=""),"",IF($BC8="Y",SUMIFS(survey_frozen!$H$2:$H$251,survey_frozen!$P$2:$P$251,$A8&amp;"|"&amp;$B8),IFERROR(COUNTIFS(INDIRECT("'"&amp;$A8&amp;"'!$B$2:$B$501"),$T8,INDIRECT("'"&amp;$A8&amp;"'!$A$2:$A$501"),"&gt;="&amp;$I8,INDIRECT("'"&amp;$A8&amp;"'!$A$2:$A$501"),"&lt;"&amp;($BA8+1),INDIRECT("'"&amp;$A8&amp;"'!$D$2:$D$501"),"&gt;=1"),0)))</f>
        <v>5</v>
      </c>
      <c r="AU8" s="30" t="n">
        <f aca="true">IF(OR($A8="",$I8=""),"",IF($BC8="Y",SUMIFS(survey_frozen!$I$2:$I$251,survey_frozen!$P$2:$P$251,$A8&amp;"|"&amp;$B8),IFERROR(SUMIFS(INDIRECT("'"&amp;$A8&amp;"'!$D$2:$D$501"),INDIRECT("'"&amp;$A8&amp;"'!$B$2:$B$501"),$T8,INDIRECT("'"&amp;$A8&amp;"'!$A$2:$A$501"),"&gt;="&amp;$I8,INDIRECT("'"&amp;$A8&amp;"'!$A$2:$A$501"),"&lt;"&amp;($BA8+1)),0)))</f>
        <v>19</v>
      </c>
      <c r="AV8" s="30" t="n">
        <f aca="true">IF(OR($A8="",$I8=""),"",IF($BC8="Y",SUMIFS(survey_frozen!$J$2:$J$251,survey_frozen!$P$2:$P$251,$A8&amp;"|"&amp;$B8),IFERROR(COUNTIFS(INDIRECT("'"&amp;$A8&amp;"'!$B$2:$B$501"),$T8,INDIRECT("'"&amp;$A8&amp;"'!$A$2:$A$501"),"&gt;="&amp;$I8,INDIRECT("'"&amp;$A8&amp;"'!$A$2:$A$501"),"&lt;"&amp;($BA8+1),INDIRECT("'"&amp;$A8&amp;"'!$E$2:$E$501"),"Yes"),0)))</f>
        <v>1</v>
      </c>
      <c r="AW8" s="30" t="n">
        <f aca="true">IF(OR($A8="",$I8=""),"",IF($BC8="Y",SUMIFS(survey_frozen!$K$2:$K$251,survey_frozen!$P$2:$P$251,$A8&amp;"|"&amp;$B8),IFERROR(COUNTIFS(INDIRECT("'"&amp;$A8&amp;"'!$B$2:$B$501"),$T8,INDIRECT("'"&amp;$A8&amp;"'!$A$2:$A$501"),"&gt;="&amp;$I8,INDIRECT("'"&amp;$A8&amp;"'!$A$2:$A$501"),"&lt;"&amp;($BA8+1),INDIRECT("'"&amp;$A8&amp;"'!$E$2:$E$501"),"Maybe"),0)))</f>
        <v>4</v>
      </c>
      <c r="AX8" s="30" t="n">
        <f aca="true">IF(OR($A8="",$I8=""),"",IF($BC8="Y",SUMIFS(survey_frozen!$L$2:$L$251,survey_frozen!$P$2:$P$251,$A8&amp;"|"&amp;$B8),IFERROR(COUNTIFS(INDIRECT("'"&amp;$A8&amp;"'!$B$2:$B$501"),$T8,INDIRECT("'"&amp;$A8&amp;"'!$A$2:$A$501"),"&gt;="&amp;$I8,INDIRECT("'"&amp;$A8&amp;"'!$A$2:$A$501"),"&lt;"&amp;($BA8+1),INDIRECT("'"&amp;$A8&amp;"'!$E$2:$E$501"),"No"),0)))</f>
        <v>0</v>
      </c>
      <c r="AY8" s="30" t="n">
        <f aca="true">IF(OR($A8="",$I8=""),"",IF($BC8="Y",SUMIFS(survey_frozen!$M$2:$M$251,survey_frozen!$P$2:$P$251,$A8&amp;"|"&amp;$B8),IFERROR(COUNTIFS(INDIRECT("'"&amp;$A8&amp;"'!$B$2:$B$501"),$T8,INDIRECT("'"&amp;$A8&amp;"'!$A$2:$A$501"),"&gt;="&amp;$I8,INDIRECT("'"&amp;$A8&amp;"'!$A$2:$A$501"),"&lt;"&amp;($BA8+1),INDIRECT("'"&amp;$A8&amp;"'!$G$2:$G$501"),"&lt;&gt;"),0)))</f>
        <v>0</v>
      </c>
      <c r="AZ8" s="30" t="str">
        <f aca="false">IF($A8="","",$A8&amp;"|"&amp;$L8)</f>
        <v>SAMPLE-CMP-002|2</v>
      </c>
      <c r="BA8" s="31" t="n">
        <f aca="false">IF($A8="","",IFERROR(IF(INDEX(drops!$R$2:$R$21,MATCH($H8,drops!$A$2:$A$21,0))="","",INDEX(drops!$R$2:$R$21,MATCH($H8,drops!$A$2:$A$21,0))),""))</f>
        <v>46406</v>
      </c>
      <c r="BB8" s="30" t="n">
        <f aca="false">IF(OR($A8="",$Q8&lt;&gt;"Y"),1000000,N($AL8))</f>
        <v>5</v>
      </c>
      <c r="BC8" s="30" t="str">
        <f aca="false">IF($A8="","",IF(COUNTIF(survey_frozen!$P$2:$P$251,$A8&amp;"|"&amp;$B8)&gt;0,"Y",""))</f>
        <v/>
      </c>
      <c r="BD8" s="30" t="str">
        <f aca="false">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ustomFormat="false" ht="15" hidden="false" customHeight="false" outlineLevel="0" collapsed="false">
      <c r="A9" s="0" t="s">
        <v>498</v>
      </c>
      <c r="B9" s="0" t="s">
        <v>683</v>
      </c>
      <c r="C9" s="11" t="n">
        <v>46370</v>
      </c>
      <c r="D9" s="10" t="s">
        <v>496</v>
      </c>
      <c r="E9" s="11" t="n">
        <v>46372</v>
      </c>
      <c r="F9" s="10" t="s">
        <v>737</v>
      </c>
      <c r="H9" s="30" t="str">
        <f aca="false">IF($A9="","",IFERROR(IF(INDEX(campaigns!$B$2:$B$51,MATCH($A9,campaigns!$A$2:$A$51,0))="","",INDEX(campaigns!$B$2:$B$51,MATCH($A9,campaigns!$A$2:$A$51,0))),""))</f>
        <v>SAMPLE-DRP-001</v>
      </c>
      <c r="I9" s="31" t="n">
        <f aca="false">IF($A9="","",IFERROR(IF(INDEX(campaigns!$BG$2:$BG$51,MATCH($A9,campaigns!$A$2:$A$51,0))="","",INDEX(campaigns!$BG$2:$BG$51,MATCH($A9,campaigns!$A$2:$A$51,0))),""))</f>
        <v>46399</v>
      </c>
      <c r="J9" s="30" t="str">
        <f aca="false">IF($A9="","",IFERROR(IF(INDEX(campaigns!$BE$2:$BE$51,MATCH($A9,campaigns!$A$2:$A$51,0))="","",INDEX(campaigns!$BE$2:$BE$51,MATCH($A9,campaigns!$A$2:$A$51,0))),""))</f>
        <v>SAMPLE Northbound</v>
      </c>
      <c r="K9" s="30" t="str">
        <f aca="false">IF($B9="","",IFERROR(IF(INDEX(offices!$O$2:$O$61,MATCH($B9,offices!$A$2:$A$61,0))="","",INDEX(offices!$O$2:$O$61,MATCH($B9,offices!$A$2:$A$61,0))),""))</f>
        <v>SAMPLE Halcyon Media</v>
      </c>
      <c r="L9" s="30" t="n">
        <f aca="false">IF($A9="","",IF($Q9="N","",COUNTIFS($A$2:$A9,$A9,$Q$2:$Q9,"&lt;&gt;N")))</f>
        <v>3</v>
      </c>
      <c r="M9" s="30" t="str">
        <f aca="false">IF(OR($A9="",$L9=""),"",IF(AND(config!$B$34="names_if_public",IFERROR(IF(INDEX(offices!$AG$2:$AG$61,MATCH($B9,offices!$A$2:$A$61,0))="","",INDEX(offices!$AG$2:$AG$61,MATCH($B9,offices!$A$2:$A$61,0))),"")="Y"),$K9,CHAR(64+$L9)))</f>
        <v>C</v>
      </c>
      <c r="N9" s="30" t="n">
        <f aca="false">IF(OR($A9="",$I9=""),"",COUNTIFS(stops!$B$2:$B$151,$B9,stops!$P$2:$P$151,"&lt;"&amp;$I9,stops!$L$2:$L$151,"&lt;&gt;not_delivered")+1)</f>
        <v>1</v>
      </c>
      <c r="O9" s="30" t="str">
        <f aca="false">IF($A9="","",IF(N($N9)&lt;=config!$B$29,"explicit","opt-out"))</f>
        <v>explicit</v>
      </c>
      <c r="P9" s="30" t="str">
        <f aca="false">IF($A9="","",IF($O9="explicit",IF($D9="yes","Y",IF($D9="no","N","pending")),IF($D9="no","N",IF(AND($C9&lt;&gt;"",$I9&lt;&gt;"",$C9&lt;=WORKDAY(N($I9),-5,calendar!$A$2:$A$80)),"Y","pending"))))</f>
        <v>Y</v>
      </c>
      <c r="Q9" s="30" t="str">
        <f aca="false">IF($A9="","",IF($P9="N","N",IF($P9&lt;&gt;"Y","pending",IF(AND((COUNTIFS(stops!$A$2:$A$151,$H9,stops!$B$2:$B$151,$B9,stops!$L$2:$L$151,"declined")+COUNTIFS(stops!$A$2:$A$151,$H9,stops!$B$2:$B$151,$B9,stops!$L$2:$L$151,"building_refused")+COUNTIFS(stops!$A$2:$A$151,$H9,stops!$B$2:$B$151,$B9,stops!$L$2:$L$151,"not_delivered"))&gt;0,N($U9)=0),"N","Y"))))</f>
        <v>Y</v>
      </c>
      <c r="R9" s="30" t="str">
        <f aca="false">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30" t="n">
        <f aca="false">IF($A9="","",IF($G9&lt;&gt;"",$G9,IFERROR(IF(INDEX(offices!$AM$2:$AM$61,MATCH($B9,offices!$A$2:$A$61,0))="","",INDEX(offices!$AM$2:$AM$61,MATCH($B9,offices!$A$2:$A$61,0))),"")))</f>
        <v>50</v>
      </c>
      <c r="T9" s="30" t="str">
        <f aca="false">IF($A9="","",$A9&amp;"."&amp;$B9)</f>
        <v>SAMPLE-CMP-002.SAMPLE-O-003</v>
      </c>
      <c r="U9" s="30" t="n">
        <f aca="false">IF($A9="","",SUMIFS(inventory!$G$2:$G$801,inventory!$C$2:$C$801,$A9,inventory!$D$2:$D$801,$B9,inventory!$E$2:$E$801,"delivered"))</f>
        <v>50</v>
      </c>
      <c r="V9" s="37" t="n">
        <f aca="false">IF($A9="","",IFERROR(1/(1/SUMPRODUCT(MAX((inventory!$C$2:$C$801=$A9)*(inventory!$D$2:$D$801=$B9)*(inventory!$E$2:$E$801="delivered")*(inventory!$A$2:$A$801+inventory!$B$2:$B$801)))),""))</f>
        <v>46399.3729166667</v>
      </c>
      <c r="W9" s="30" t="str">
        <f aca="false">IF($A9="","",IFERROR(IF(INDEX(inventory!$J$2:$J$801,MATCH($A9&amp;"|"&amp;$B9&amp;"|delivered",inventory!$R$2:$R$801,0))="","",INDEX(inventory!$J$2:$J$801,MATCH($A9&amp;"|"&amp;$B9&amp;"|delivered",inventory!$R$2:$R$801,0))),""))</f>
        <v>founder_count</v>
      </c>
      <c r="X9" s="30" t="str">
        <f aca="false">IF($A9="","",IFERROR(IF(INDEX(photos!$H$2:$H$701,MATCH($A9&amp;"|"&amp;$B9&amp;"|placement|Y",photos!$R$2:$R$701,0))="","",INDEX(photos!$H$2:$H$701,MATCH($A9&amp;"|"&amp;$B9&amp;"|placement|Y",photos!$R$2:$R$701,0))),""))</f>
        <v>SAMPLE-CMP-002_SAMPLE-O-003_placement_2027-01-12.jpg</v>
      </c>
      <c r="Y9" s="31" t="n">
        <f aca="false">IF($A9="","",IFERROR(IF(INDEX(photos!$E$2:$E$701,MATCH($A9&amp;"|"&amp;$B9&amp;"|placement|Y",photos!$R$2:$R$701,0))="","",INDEX(photos!$E$2:$E$701,MATCH($A9&amp;"|"&amp;$B9&amp;"|placement|Y",photos!$R$2:$R$701,0))),""))</f>
        <v>46399</v>
      </c>
      <c r="Z9" s="30" t="n">
        <f aca="false">IF($A9="","",IF(COUNTIFS(counts!$C$2:$C$701,$A9,counts!$D$2:$D$701,$B9,counts!$E$2:$E$701,"placed")=0,"",SUMIFS(counts!$F$2:$F$701,counts!$C$2:$C$701,$A9,counts!$D$2:$D$701,$B9,counts!$E$2:$E$701,"placed")))</f>
        <v>50</v>
      </c>
      <c r="AA9" s="30" t="n">
        <f aca="false">IF($A9="","",IF($Y9="",0,N($Z9)))</f>
        <v>50</v>
      </c>
      <c r="AB9" s="30" t="str">
        <f aca="false">IF($A9="","",IF(OR($Y9="",$I9=""),"N",IF($Y9&lt;=WORKDAY(N($I9),1,calendar!$A$2:$A$80),"Y","N")))</f>
        <v>Y</v>
      </c>
      <c r="AC9" s="33" t="n">
        <f aca="false">IF(OR($A9="",$V9="",$Y9=""),"",ROUND(($Y9+N(IFERROR(IF(INDEX(photos!$F$2:$F$701,MATCH($A9&amp;"|"&amp;$B9&amp;"|placement|Y",photos!$R$2:$R$701,0))="","",INDEX(photos!$F$2:$F$701,MATCH($A9&amp;"|"&amp;$B9&amp;"|placement|Y",photos!$R$2:$R$701,0))),""))-$V9)*24,1))</f>
        <v>0.2</v>
      </c>
      <c r="AD9" s="30" t="n">
        <f aca="false">IF($A9="","",SUMIFS(inventory!$G$2:$G$801,inventory!$C$2:$C$801,$A9,inventory!$D$2:$D$801,$B9,inventory!$E$2:$E$801,"topped_up"))</f>
        <v>6</v>
      </c>
      <c r="AE9" s="30" t="n">
        <f aca="false">IF($A9="","",IF(COUNTIFS(counts!$C$2:$C$701,$A9,counts!$D$2:$D$701,$B9,counts!$E$2:$E$701,"remaining_day3")=0,"",SUMIFS(counts!$F$2:$F$701,counts!$C$2:$C$701,$A9,counts!$D$2:$D$701,$B9,counts!$E$2:$E$701,"remaining_day3")))</f>
        <v>3</v>
      </c>
      <c r="AF9" s="30" t="n">
        <f aca="false">IF($A9="","",IF(COUNTIFS(counts!$C$2:$C$701,$A9,counts!$D$2:$D$701,$B9,counts!$E$2:$E$701,"remaining_day5")=0,"",SUMIFS(counts!$F$2:$F$701,counts!$C$2:$C$701,$A9,counts!$D$2:$D$701,$B9,counts!$E$2:$E$701,"remaining_day5")))</f>
        <v>6</v>
      </c>
      <c r="AG9" s="30" t="n">
        <f aca="false">IF(OR($A9="",$AF9=""),"",MAX(0,$AA9+$AD9-$AF9))</f>
        <v>50</v>
      </c>
      <c r="AH9" s="30" t="str">
        <f aca="false">IF(OR($A9="",$AI9=""),"",IFERROR(IF(INDEX(photos!$H$2:$H$701,MATCH($A9&amp;"|"&amp;$B9&amp;"|later|Y|"&amp;$AI9,photos!$S$2:$S$701,0))="","",INDEX(photos!$H$2:$H$701,MATCH($A9&amp;"|"&amp;$B9&amp;"|later|Y|"&amp;$AI9,photos!$S$2:$S$701,0))),""))</f>
        <v/>
      </c>
      <c r="AI9" s="31" t="str">
        <f aca="false">IF($A9="","",IFERROR(1/(1/SUMPRODUCT(MAX((photos!$B$2:$B$701=$A9)*(photos!$C$2:$C$701=$B9)*(photos!$D$2:$D$701="later")*(photos!$O$2:$O$701="Y")*photos!$E$2:$E$701))),""))</f>
        <v/>
      </c>
      <c r="AJ9" s="30" t="str">
        <f aca="false">IF(OR($A9="",$AI9="",$I9=""),"",NETWORKDAYS($I9,$AI9,calendar!$A$2:$A$80))</f>
        <v/>
      </c>
      <c r="AK9" s="30" t="str">
        <f aca="false">IF($A9="","",IF(AND($X9&lt;&gt;"",$AH9&lt;&gt;""),"Y","N"))</f>
        <v>N</v>
      </c>
      <c r="AL9" s="30" t="n">
        <f aca="true">IF(OR($A9="",$I9=""),"",IF($BC9="Y",SUMIFS(survey_frozen!$C$2:$C$251,survey_frozen!$P$2:$P$251,$A9&amp;"|"&amp;$B9),IFERROR(COUNTIFS(INDIRECT("'"&amp;$A9&amp;"'!$B$2:$B$501"),$T9,INDIRECT("'"&amp;$A9&amp;"'!$A$2:$A$501"),"&gt;="&amp;$I9,INDIRECT("'"&amp;$A9&amp;"'!$A$2:$A$501"),"&lt;"&amp;($BA9+1)),0)))</f>
        <v>9</v>
      </c>
      <c r="AM9" s="30" t="n">
        <f aca="true">IF(OR($A9="",$I9=""),"",IF($BC9="Y",SUMIFS(survey_frozen!$D$2:$D$251,survey_frozen!$P$2:$P$251,$A9&amp;"|"&amp;$B9),IFERROR(COUNTIFS(INDIRECT("'"&amp;$A9&amp;"'!$B$2:$B$501"),$T9,INDIRECT("'"&amp;$A9&amp;"'!$A$2:$A$501"),"&gt;="&amp;$I9,INDIRECT("'"&amp;$A9&amp;"'!$A$2:$A$501"),"&lt;"&amp;($BA9+1),INDIRECT("'"&amp;$A9&amp;"'!$C$2:$C$501"),"Yes"),0)))</f>
        <v>6</v>
      </c>
      <c r="AN9" s="30" t="n">
        <f aca="false">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12</v>
      </c>
      <c r="AO9" s="30" t="n">
        <f aca="false">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5</v>
      </c>
      <c r="AP9" s="30" t="str">
        <f aca="true">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30" t="n">
        <f aca="true">IF(OR($A9="",$I9=""),"",IF($BC9="Y",SUMIFS(survey_frozen!$E$2:$E$251,survey_frozen!$P$2:$P$251,$A9&amp;"|"&amp;$B9),IFERROR(COUNTIFS(INDIRECT("'"&amp;$A9&amp;"'!$B$2:$B$501"),$T9,INDIRECT("'"&amp;$A9&amp;"'!$A$2:$A$501"),"&gt;="&amp;$I9,INDIRECT("'"&amp;$A9&amp;"'!$A$2:$A$501"),"&lt;"&amp;($BA9+1),INDIRECT("'"&amp;$A9&amp;"'!$F$2:$F$501"),"Didn't see it"),0)))</f>
        <v>1</v>
      </c>
      <c r="AR9" s="30" t="n">
        <f aca="true">IF(OR($A9="",$I9=""),"",IF($BC9="Y",SUMIFS(survey_frozen!$F$2:$F$251,survey_frozen!$P$2:$P$251,$A9&amp;"|"&amp;$B9),IFERROR(COUNTIFS(INDIRECT("'"&amp;$A9&amp;"'!$B$2:$B$501"),$T9,INDIRECT("'"&amp;$A9&amp;"'!$A$2:$A$501"),"&gt;="&amp;$I9,INDIRECT("'"&amp;$A9&amp;"'!$A$2:$A$501"),"&lt;"&amp;($BA9+1),INDIRECT("'"&amp;$A9&amp;"'!$F$2:$F$501"),"Not for me"),0)))</f>
        <v>0</v>
      </c>
      <c r="AS9" s="30" t="n">
        <f aca="true">IF(OR($A9="",$I9=""),"",IF($BC9="Y",SUMIFS(survey_frozen!$G$2:$G$251,survey_frozen!$P$2:$P$251,$A9&amp;"|"&amp;$B9),IFERROR(COUNTIFS(INDIRECT("'"&amp;$A9&amp;"'!$B$2:$B$501"),$T9,INDIRECT("'"&amp;$A9&amp;"'!$A$2:$A$501"),"&gt;="&amp;$I9,INDIRECT("'"&amp;$A9&amp;"'!$A$2:$A$501"),"&lt;"&amp;($BA9+1),INDIRECT("'"&amp;$A9&amp;"'!$F$2:$F$501"),"Gone by the time I looked"),0)))</f>
        <v>2</v>
      </c>
      <c r="AT9" s="30" t="n">
        <f aca="true">IF(OR($A9="",$I9=""),"",IF($BC9="Y",SUMIFS(survey_frozen!$H$2:$H$251,survey_frozen!$P$2:$P$251,$A9&amp;"|"&amp;$B9),IFERROR(COUNTIFS(INDIRECT("'"&amp;$A9&amp;"'!$B$2:$B$501"),$T9,INDIRECT("'"&amp;$A9&amp;"'!$A$2:$A$501"),"&gt;="&amp;$I9,INDIRECT("'"&amp;$A9&amp;"'!$A$2:$A$501"),"&lt;"&amp;($BA9+1),INDIRECT("'"&amp;$A9&amp;"'!$D$2:$D$501"),"&gt;=1"),0)))</f>
        <v>6</v>
      </c>
      <c r="AU9" s="30" t="n">
        <f aca="true">IF(OR($A9="",$I9=""),"",IF($BC9="Y",SUMIFS(survey_frozen!$I$2:$I$251,survey_frozen!$P$2:$P$251,$A9&amp;"|"&amp;$B9),IFERROR(SUMIFS(INDIRECT("'"&amp;$A9&amp;"'!$D$2:$D$501"),INDIRECT("'"&amp;$A9&amp;"'!$B$2:$B$501"),$T9,INDIRECT("'"&amp;$A9&amp;"'!$A$2:$A$501"),"&gt;="&amp;$I9,INDIRECT("'"&amp;$A9&amp;"'!$A$2:$A$501"),"&lt;"&amp;($BA9+1)),0)))</f>
        <v>26</v>
      </c>
      <c r="AV9" s="30" t="n">
        <f aca="true">IF(OR($A9="",$I9=""),"",IF($BC9="Y",SUMIFS(survey_frozen!$J$2:$J$251,survey_frozen!$P$2:$P$251,$A9&amp;"|"&amp;$B9),IFERROR(COUNTIFS(INDIRECT("'"&amp;$A9&amp;"'!$B$2:$B$501"),$T9,INDIRECT("'"&amp;$A9&amp;"'!$A$2:$A$501"),"&gt;="&amp;$I9,INDIRECT("'"&amp;$A9&amp;"'!$A$2:$A$501"),"&lt;"&amp;($BA9+1),INDIRECT("'"&amp;$A9&amp;"'!$E$2:$E$501"),"Yes"),0)))</f>
        <v>2</v>
      </c>
      <c r="AW9" s="30" t="n">
        <f aca="true">IF(OR($A9="",$I9=""),"",IF($BC9="Y",SUMIFS(survey_frozen!$K$2:$K$251,survey_frozen!$P$2:$P$251,$A9&amp;"|"&amp;$B9),IFERROR(COUNTIFS(INDIRECT("'"&amp;$A9&amp;"'!$B$2:$B$501"),$T9,INDIRECT("'"&amp;$A9&amp;"'!$A$2:$A$501"),"&gt;="&amp;$I9,INDIRECT("'"&amp;$A9&amp;"'!$A$2:$A$501"),"&lt;"&amp;($BA9+1),INDIRECT("'"&amp;$A9&amp;"'!$E$2:$E$501"),"Maybe"),0)))</f>
        <v>3</v>
      </c>
      <c r="AX9" s="30" t="n">
        <f aca="true">IF(OR($A9="",$I9=""),"",IF($BC9="Y",SUMIFS(survey_frozen!$L$2:$L$251,survey_frozen!$P$2:$P$251,$A9&amp;"|"&amp;$B9),IFERROR(COUNTIFS(INDIRECT("'"&amp;$A9&amp;"'!$B$2:$B$501"),$T9,INDIRECT("'"&amp;$A9&amp;"'!$A$2:$A$501"),"&gt;="&amp;$I9,INDIRECT("'"&amp;$A9&amp;"'!$A$2:$A$501"),"&lt;"&amp;($BA9+1),INDIRECT("'"&amp;$A9&amp;"'!$E$2:$E$501"),"No"),0)))</f>
        <v>1</v>
      </c>
      <c r="AY9" s="30" t="n">
        <f aca="true">IF(OR($A9="",$I9=""),"",IF($BC9="Y",SUMIFS(survey_frozen!$M$2:$M$251,survey_frozen!$P$2:$P$251,$A9&amp;"|"&amp;$B9),IFERROR(COUNTIFS(INDIRECT("'"&amp;$A9&amp;"'!$B$2:$B$501"),$T9,INDIRECT("'"&amp;$A9&amp;"'!$A$2:$A$501"),"&gt;="&amp;$I9,INDIRECT("'"&amp;$A9&amp;"'!$A$2:$A$501"),"&lt;"&amp;($BA9+1),INDIRECT("'"&amp;$A9&amp;"'!$G$2:$G$501"),"&lt;&gt;"),0)))</f>
        <v>6</v>
      </c>
      <c r="AZ9" s="30" t="str">
        <f aca="false">IF($A9="","",$A9&amp;"|"&amp;$L9)</f>
        <v>SAMPLE-CMP-002|3</v>
      </c>
      <c r="BA9" s="31" t="n">
        <f aca="false">IF($A9="","",IFERROR(IF(INDEX(drops!$R$2:$R$21,MATCH($H9,drops!$A$2:$A$21,0))="","",INDEX(drops!$R$2:$R$21,MATCH($H9,drops!$A$2:$A$21,0))),""))</f>
        <v>46406</v>
      </c>
      <c r="BB9" s="30" t="n">
        <f aca="false">IF(OR($A9="",$Q9&lt;&gt;"Y"),1000000,N($AL9))</f>
        <v>9</v>
      </c>
      <c r="BC9" s="30" t="str">
        <f aca="false">IF($A9="","",IF(COUNTIF(survey_frozen!$P$2:$P$251,$A9&amp;"|"&amp;$B9)&gt;0,"Y",""))</f>
        <v/>
      </c>
      <c r="BD9" s="30" t="str">
        <f aca="false">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ustomFormat="false" ht="15" hidden="false" customHeight="false" outlineLevel="0" collapsed="false">
      <c r="A10" s="0" t="s">
        <v>498</v>
      </c>
      <c r="B10" s="0" t="s">
        <v>686</v>
      </c>
      <c r="C10" s="11" t="n">
        <v>46370</v>
      </c>
      <c r="D10" s="10" t="s">
        <v>496</v>
      </c>
      <c r="E10" s="11" t="n">
        <v>46374</v>
      </c>
      <c r="F10" s="10" t="s">
        <v>737</v>
      </c>
      <c r="H10" s="30" t="str">
        <f aca="false">IF($A10="","",IFERROR(IF(INDEX(campaigns!$B$2:$B$51,MATCH($A10,campaigns!$A$2:$A$51,0))="","",INDEX(campaigns!$B$2:$B$51,MATCH($A10,campaigns!$A$2:$A$51,0))),""))</f>
        <v>SAMPLE-DRP-001</v>
      </c>
      <c r="I10" s="31" t="n">
        <f aca="false">IF($A10="","",IFERROR(IF(INDEX(campaigns!$BG$2:$BG$51,MATCH($A10,campaigns!$A$2:$A$51,0))="","",INDEX(campaigns!$BG$2:$BG$51,MATCH($A10,campaigns!$A$2:$A$51,0))),""))</f>
        <v>46399</v>
      </c>
      <c r="J10" s="30" t="str">
        <f aca="false">IF($A10="","",IFERROR(IF(INDEX(campaigns!$BE$2:$BE$51,MATCH($A10,campaigns!$A$2:$A$51,0))="","",INDEX(campaigns!$BE$2:$BE$51,MATCH($A10,campaigns!$A$2:$A$51,0))),""))</f>
        <v>SAMPLE Northbound</v>
      </c>
      <c r="K10" s="30" t="str">
        <f aca="false">IF($B10="","",IFERROR(IF(INDEX(offices!$O$2:$O$61,MATCH($B10,offices!$A$2:$A$61,0))="","",INDEX(offices!$O$2:$O$61,MATCH($B10,offices!$A$2:$A$61,0))),""))</f>
        <v>SAMPLE Union Food Fund</v>
      </c>
      <c r="L10" s="30" t="n">
        <f aca="false">IF($A10="","",IF($Q10="N","",COUNTIFS($A$2:$A10,$A10,$Q$2:$Q10,"&lt;&gt;N")))</f>
        <v>4</v>
      </c>
      <c r="M10" s="30" t="str">
        <f aca="false">IF(OR($A10="",$L10=""),"",IF(AND(config!$B$34="names_if_public",IFERROR(IF(INDEX(offices!$AG$2:$AG$61,MATCH($B10,offices!$A$2:$A$61,0))="","",INDEX(offices!$AG$2:$AG$61,MATCH($B10,offices!$A$2:$A$61,0))),"")="Y"),$K10,CHAR(64+$L10)))</f>
        <v>D</v>
      </c>
      <c r="N10" s="30" t="n">
        <f aca="false">IF(OR($A10="",$I10=""),"",COUNTIFS(stops!$B$2:$B$151,$B10,stops!$P$2:$P$151,"&lt;"&amp;$I10,stops!$L$2:$L$151,"&lt;&gt;not_delivered")+1)</f>
        <v>1</v>
      </c>
      <c r="O10" s="30" t="str">
        <f aca="false">IF($A10="","",IF(N($N10)&lt;=config!$B$29,"explicit","opt-out"))</f>
        <v>explicit</v>
      </c>
      <c r="P10" s="30" t="str">
        <f aca="false">IF($A10="","",IF($O10="explicit",IF($D10="yes","Y",IF($D10="no","N","pending")),IF($D10="no","N",IF(AND($C10&lt;&gt;"",$I10&lt;&gt;"",$C10&lt;=WORKDAY(N($I10),-5,calendar!$A$2:$A$80)),"Y","pending"))))</f>
        <v>Y</v>
      </c>
      <c r="Q10" s="30" t="str">
        <f aca="false">IF($A10="","",IF($P10="N","N",IF($P10&lt;&gt;"Y","pending",IF(AND((COUNTIFS(stops!$A$2:$A$151,$H10,stops!$B$2:$B$151,$B10,stops!$L$2:$L$151,"declined")+COUNTIFS(stops!$A$2:$A$151,$H10,stops!$B$2:$B$151,$B10,stops!$L$2:$L$151,"building_refused")+COUNTIFS(stops!$A$2:$A$151,$H10,stops!$B$2:$B$151,$B10,stops!$L$2:$L$151,"not_delivered"))&gt;0,N($U10)=0),"N","Y"))))</f>
        <v>Y</v>
      </c>
      <c r="R10" s="30" t="str">
        <f aca="false">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30" t="n">
        <f aca="false">IF($A10="","",IF($G10&lt;&gt;"",$G10,IFERROR(IF(INDEX(offices!$AM$2:$AM$61,MATCH($B10,offices!$A$2:$A$61,0))="","",INDEX(offices!$AM$2:$AM$61,MATCH($B10,offices!$A$2:$A$61,0))),"")))</f>
        <v>50</v>
      </c>
      <c r="T10" s="30" t="str">
        <f aca="false">IF($A10="","",$A10&amp;"."&amp;$B10)</f>
        <v>SAMPLE-CMP-002.SAMPLE-O-004</v>
      </c>
      <c r="U10" s="30" t="n">
        <f aca="false">IF($A10="","",SUMIFS(inventory!$G$2:$G$801,inventory!$C$2:$C$801,$A10,inventory!$D$2:$D$801,$B10,inventory!$E$2:$E$801,"delivered"))</f>
        <v>50</v>
      </c>
      <c r="V10" s="37" t="n">
        <f aca="false">IF($A10="","",IFERROR(1/(1/SUMPRODUCT(MAX((inventory!$C$2:$C$801=$A10)*(inventory!$D$2:$D$801=$B10)*(inventory!$E$2:$E$801="delivered")*(inventory!$A$2:$A$801+inventory!$B$2:$B$801)))),""))</f>
        <v>46399.4527777778</v>
      </c>
      <c r="W10" s="30" t="str">
        <f aca="false">IF($A10="","",IFERROR(IF(INDEX(inventory!$J$2:$J$801,MATCH($A10&amp;"|"&amp;$B10&amp;"|delivered",inventory!$R$2:$R$801,0))="","",INDEX(inventory!$J$2:$J$801,MATCH($A10&amp;"|"&amp;$B10&amp;"|delivered",inventory!$R$2:$R$801,0))),""))</f>
        <v>founder_count</v>
      </c>
      <c r="X10" s="30" t="str">
        <f aca="false">IF($A10="","",IFERROR(IF(INDEX(photos!$H$2:$H$701,MATCH($A10&amp;"|"&amp;$B10&amp;"|placement|Y",photos!$R$2:$R$701,0))="","",INDEX(photos!$H$2:$H$701,MATCH($A10&amp;"|"&amp;$B10&amp;"|placement|Y",photos!$R$2:$R$701,0))),""))</f>
        <v>SAMPLE-CMP-002_SAMPLE-O-004_placement_2027-01-13.jpg</v>
      </c>
      <c r="Y10" s="31" t="n">
        <f aca="false">IF($A10="","",IFERROR(IF(INDEX(photos!$E$2:$E$701,MATCH($A10&amp;"|"&amp;$B10&amp;"|placement|Y",photos!$R$2:$R$701,0))="","",INDEX(photos!$E$2:$E$701,MATCH($A10&amp;"|"&amp;$B10&amp;"|placement|Y",photos!$R$2:$R$701,0))),""))</f>
        <v>46400</v>
      </c>
      <c r="Z10" s="30" t="n">
        <f aca="false">IF($A10="","",IF(COUNTIFS(counts!$C$2:$C$701,$A10,counts!$D$2:$D$701,$B10,counts!$E$2:$E$701,"placed")=0,"",SUMIFS(counts!$F$2:$F$701,counts!$C$2:$C$701,$A10,counts!$D$2:$D$701,$B10,counts!$E$2:$E$701,"placed")))</f>
        <v>50</v>
      </c>
      <c r="AA10" s="30" t="n">
        <f aca="false">IF($A10="","",IF($Y10="",0,N($Z10)))</f>
        <v>50</v>
      </c>
      <c r="AB10" s="30" t="str">
        <f aca="false">IF($A10="","",IF(OR($Y10="",$I10=""),"N",IF($Y10&lt;=WORKDAY(N($I10),1,calendar!$A$2:$A$80),"Y","N")))</f>
        <v>Y</v>
      </c>
      <c r="AC10" s="33" t="n">
        <f aca="false">IF(OR($A10="",$V10="",$Y10=""),"",ROUND(($Y10+N(IFERROR(IF(INDEX(photos!$F$2:$F$701,MATCH($A10&amp;"|"&amp;$B10&amp;"|placement|Y",photos!$R$2:$R$701,0))="","",INDEX(photos!$F$2:$F$701,MATCH($A10&amp;"|"&amp;$B10&amp;"|placement|Y",photos!$R$2:$R$701,0))),""))-$V10)*24,1))</f>
        <v>22.2</v>
      </c>
      <c r="AD10" s="30" t="n">
        <f aca="false">IF($A10="","",SUMIFS(inventory!$G$2:$G$801,inventory!$C$2:$C$801,$A10,inventory!$D$2:$D$801,$B10,inventory!$E$2:$E$801,"topped_up"))</f>
        <v>0</v>
      </c>
      <c r="AE10" s="30" t="n">
        <f aca="false">IF($A10="","",IF(COUNTIFS(counts!$C$2:$C$701,$A10,counts!$D$2:$D$701,$B10,counts!$E$2:$E$701,"remaining_day3")=0,"",SUMIFS(counts!$F$2:$F$701,counts!$C$2:$C$701,$A10,counts!$D$2:$D$701,$B10,counts!$E$2:$E$701,"remaining_day3")))</f>
        <v>28</v>
      </c>
      <c r="AF10" s="30" t="n">
        <f aca="false">IF($A10="","",IF(COUNTIFS(counts!$C$2:$C$701,$A10,counts!$D$2:$D$701,$B10,counts!$E$2:$E$701,"remaining_day5")=0,"",SUMIFS(counts!$F$2:$F$701,counts!$C$2:$C$701,$A10,counts!$D$2:$D$701,$B10,counts!$E$2:$E$701,"remaining_day5")))</f>
        <v>2</v>
      </c>
      <c r="AG10" s="30" t="n">
        <f aca="false">IF(OR($A10="",$AF10=""),"",MAX(0,$AA10+$AD10-$AF10))</f>
        <v>48</v>
      </c>
      <c r="AH10" s="30" t="str">
        <f aca="false">IF(OR($A10="",$AI10=""),"",IFERROR(IF(INDEX(photos!$H$2:$H$701,MATCH($A10&amp;"|"&amp;$B10&amp;"|later|Y|"&amp;$AI10,photos!$S$2:$S$701,0))="","",INDEX(photos!$H$2:$H$701,MATCH($A10&amp;"|"&amp;$B10&amp;"|later|Y|"&amp;$AI10,photos!$S$2:$S$701,0))),""))</f>
        <v>SAMPLE-CMP-002_SAMPLE-O-004_later_2027-01-19.jpg</v>
      </c>
      <c r="AI10" s="31" t="n">
        <f aca="false">IF($A10="","",IFERROR(1/(1/SUMPRODUCT(MAX((photos!$B$2:$B$701=$A10)*(photos!$C$2:$C$701=$B10)*(photos!$D$2:$D$701="later")*(photos!$O$2:$O$701="Y")*photos!$E$2:$E$701))),""))</f>
        <v>46406</v>
      </c>
      <c r="AJ10" s="30" t="n">
        <f aca="false">IF(OR($A10="",$AI10="",$I10=""),"",NETWORKDAYS($I10,$AI10,calendar!$A$2:$A$80))</f>
        <v>5</v>
      </c>
      <c r="AK10" s="30" t="str">
        <f aca="false">IF($A10="","",IF(AND($X10&lt;&gt;"",$AH10&lt;&gt;""),"Y","N"))</f>
        <v>Y</v>
      </c>
      <c r="AL10" s="30" t="n">
        <f aca="true">IF(OR($A10="",$I10=""),"",IF($BC10="Y",SUMIFS(survey_frozen!$C$2:$C$251,survey_frozen!$P$2:$P$251,$A10&amp;"|"&amp;$B10),IFERROR(COUNTIFS(INDIRECT("'"&amp;$A10&amp;"'!$B$2:$B$501"),$T10,INDIRECT("'"&amp;$A10&amp;"'!$A$2:$A$501"),"&gt;="&amp;$I10,INDIRECT("'"&amp;$A10&amp;"'!$A$2:$A$501"),"&lt;"&amp;($BA10+1)),0)))</f>
        <v>5</v>
      </c>
      <c r="AM10" s="30" t="n">
        <f aca="true">IF(OR($A10="",$I10=""),"",IF($BC10="Y",SUMIFS(survey_frozen!$D$2:$D$251,survey_frozen!$P$2:$P$251,$A10&amp;"|"&amp;$B10),IFERROR(COUNTIFS(INDIRECT("'"&amp;$A10&amp;"'!$B$2:$B$501"),$T10,INDIRECT("'"&amp;$A10&amp;"'!$A$2:$A$501"),"&gt;="&amp;$I10,INDIRECT("'"&amp;$A10&amp;"'!$A$2:$A$501"),"&lt;"&amp;($BA10+1),INDIRECT("'"&amp;$A10&amp;"'!$C$2:$C$501"),"Yes"),0)))</f>
        <v>3</v>
      </c>
      <c r="AN10" s="30" t="n">
        <f aca="false">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6</v>
      </c>
      <c r="AO10" s="30" t="n">
        <f aca="false">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2</v>
      </c>
      <c r="AP10" s="30" t="str">
        <f aca="true">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30" t="n">
        <f aca="true">IF(OR($A10="",$I10=""),"",IF($BC10="Y",SUMIFS(survey_frozen!$E$2:$E$251,survey_frozen!$P$2:$P$251,$A10&amp;"|"&amp;$B10),IFERROR(COUNTIFS(INDIRECT("'"&amp;$A10&amp;"'!$B$2:$B$501"),$T10,INDIRECT("'"&amp;$A10&amp;"'!$A$2:$A$501"),"&gt;="&amp;$I10,INDIRECT("'"&amp;$A10&amp;"'!$A$2:$A$501"),"&lt;"&amp;($BA10+1),INDIRECT("'"&amp;$A10&amp;"'!$F$2:$F$501"),"Didn't see it"),0)))</f>
        <v>0</v>
      </c>
      <c r="AR10" s="30" t="n">
        <f aca="true">IF(OR($A10="",$I10=""),"",IF($BC10="Y",SUMIFS(survey_frozen!$F$2:$F$251,survey_frozen!$P$2:$P$251,$A10&amp;"|"&amp;$B10),IFERROR(COUNTIFS(INDIRECT("'"&amp;$A10&amp;"'!$B$2:$B$501"),$T10,INDIRECT("'"&amp;$A10&amp;"'!$A$2:$A$501"),"&gt;="&amp;$I10,INDIRECT("'"&amp;$A10&amp;"'!$A$2:$A$501"),"&lt;"&amp;($BA10+1),INDIRECT("'"&amp;$A10&amp;"'!$F$2:$F$501"),"Not for me"),0)))</f>
        <v>1</v>
      </c>
      <c r="AS10" s="30" t="n">
        <f aca="true">IF(OR($A10="",$I10=""),"",IF($BC10="Y",SUMIFS(survey_frozen!$G$2:$G$251,survey_frozen!$P$2:$P$251,$A10&amp;"|"&amp;$B10),IFERROR(COUNTIFS(INDIRECT("'"&amp;$A10&amp;"'!$B$2:$B$501"),$T10,INDIRECT("'"&amp;$A10&amp;"'!$A$2:$A$501"),"&gt;="&amp;$I10,INDIRECT("'"&amp;$A10&amp;"'!$A$2:$A$501"),"&lt;"&amp;($BA10+1),INDIRECT("'"&amp;$A10&amp;"'!$F$2:$F$501"),"Gone by the time I looked"),0)))</f>
        <v>1</v>
      </c>
      <c r="AT10" s="30" t="n">
        <f aca="true">IF(OR($A10="",$I10=""),"",IF($BC10="Y",SUMIFS(survey_frozen!$H$2:$H$251,survey_frozen!$P$2:$P$251,$A10&amp;"|"&amp;$B10),IFERROR(COUNTIFS(INDIRECT("'"&amp;$A10&amp;"'!$B$2:$B$501"),$T10,INDIRECT("'"&amp;$A10&amp;"'!$A$2:$A$501"),"&gt;="&amp;$I10,INDIRECT("'"&amp;$A10&amp;"'!$A$2:$A$501"),"&lt;"&amp;($BA10+1),INDIRECT("'"&amp;$A10&amp;"'!$D$2:$D$501"),"&gt;=1"),0)))</f>
        <v>3</v>
      </c>
      <c r="AU10" s="30" t="n">
        <f aca="true">IF(OR($A10="",$I10=""),"",IF($BC10="Y",SUMIFS(survey_frozen!$I$2:$I$251,survey_frozen!$P$2:$P$251,$A10&amp;"|"&amp;$B10),IFERROR(SUMIFS(INDIRECT("'"&amp;$A10&amp;"'!$D$2:$D$501"),INDIRECT("'"&amp;$A10&amp;"'!$B$2:$B$501"),$T10,INDIRECT("'"&amp;$A10&amp;"'!$A$2:$A$501"),"&gt;="&amp;$I10,INDIRECT("'"&amp;$A10&amp;"'!$A$2:$A$501"),"&lt;"&amp;($BA10+1)),0)))</f>
        <v>11</v>
      </c>
      <c r="AV10" s="30" t="n">
        <f aca="true">IF(OR($A10="",$I10=""),"",IF($BC10="Y",SUMIFS(survey_frozen!$J$2:$J$251,survey_frozen!$P$2:$P$251,$A10&amp;"|"&amp;$B10),IFERROR(COUNTIFS(INDIRECT("'"&amp;$A10&amp;"'!$B$2:$B$501"),$T10,INDIRECT("'"&amp;$A10&amp;"'!$A$2:$A$501"),"&gt;="&amp;$I10,INDIRECT("'"&amp;$A10&amp;"'!$A$2:$A$501"),"&lt;"&amp;($BA10+1),INDIRECT("'"&amp;$A10&amp;"'!$E$2:$E$501"),"Yes"),0)))</f>
        <v>1</v>
      </c>
      <c r="AW10" s="30" t="n">
        <f aca="true">IF(OR($A10="",$I10=""),"",IF($BC10="Y",SUMIFS(survey_frozen!$K$2:$K$251,survey_frozen!$P$2:$P$251,$A10&amp;"|"&amp;$B10),IFERROR(COUNTIFS(INDIRECT("'"&amp;$A10&amp;"'!$B$2:$B$501"),$T10,INDIRECT("'"&amp;$A10&amp;"'!$A$2:$A$501"),"&gt;="&amp;$I10,INDIRECT("'"&amp;$A10&amp;"'!$A$2:$A$501"),"&lt;"&amp;($BA10+1),INDIRECT("'"&amp;$A10&amp;"'!$E$2:$E$501"),"Maybe"),0)))</f>
        <v>1</v>
      </c>
      <c r="AX10" s="30" t="n">
        <f aca="true">IF(OR($A10="",$I10=""),"",IF($BC10="Y",SUMIFS(survey_frozen!$L$2:$L$251,survey_frozen!$P$2:$P$251,$A10&amp;"|"&amp;$B10),IFERROR(COUNTIFS(INDIRECT("'"&amp;$A10&amp;"'!$B$2:$B$501"),$T10,INDIRECT("'"&amp;$A10&amp;"'!$A$2:$A$501"),"&gt;="&amp;$I10,INDIRECT("'"&amp;$A10&amp;"'!$A$2:$A$501"),"&lt;"&amp;($BA10+1),INDIRECT("'"&amp;$A10&amp;"'!$E$2:$E$501"),"No"),0)))</f>
        <v>1</v>
      </c>
      <c r="AY10" s="30" t="n">
        <f aca="true">IF(OR($A10="",$I10=""),"",IF($BC10="Y",SUMIFS(survey_frozen!$M$2:$M$251,survey_frozen!$P$2:$P$251,$A10&amp;"|"&amp;$B10),IFERROR(COUNTIFS(INDIRECT("'"&amp;$A10&amp;"'!$B$2:$B$501"),$T10,INDIRECT("'"&amp;$A10&amp;"'!$A$2:$A$501"),"&gt;="&amp;$I10,INDIRECT("'"&amp;$A10&amp;"'!$A$2:$A$501"),"&lt;"&amp;($BA10+1),INDIRECT("'"&amp;$A10&amp;"'!$G$2:$G$501"),"&lt;&gt;"),0)))</f>
        <v>1</v>
      </c>
      <c r="AZ10" s="30" t="str">
        <f aca="false">IF($A10="","",$A10&amp;"|"&amp;$L10)</f>
        <v>SAMPLE-CMP-002|4</v>
      </c>
      <c r="BA10" s="31" t="n">
        <f aca="false">IF($A10="","",IFERROR(IF(INDEX(drops!$R$2:$R$21,MATCH($H10,drops!$A$2:$A$21,0))="","",INDEX(drops!$R$2:$R$21,MATCH($H10,drops!$A$2:$A$21,0))),""))</f>
        <v>46406</v>
      </c>
      <c r="BB10" s="30" t="n">
        <f aca="false">IF(OR($A10="",$Q10&lt;&gt;"Y"),1000000,N($AL10))</f>
        <v>5</v>
      </c>
      <c r="BC10" s="30" t="str">
        <f aca="false">IF($A10="","",IF(COUNTIF(survey_frozen!$P$2:$P$251,$A10&amp;"|"&amp;$B10)&gt;0,"Y",""))</f>
        <v/>
      </c>
      <c r="BD10" s="30" t="str">
        <f aca="false">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ustomFormat="false" ht="15" hidden="false" customHeight="false" outlineLevel="0" collapsed="false">
      <c r="A11" s="0" t="s">
        <v>498</v>
      </c>
      <c r="B11" s="0" t="s">
        <v>688</v>
      </c>
      <c r="C11" s="11" t="n">
        <v>46370</v>
      </c>
      <c r="D11" s="10" t="s">
        <v>496</v>
      </c>
      <c r="E11" s="11" t="n">
        <v>46372</v>
      </c>
      <c r="F11" s="10" t="s">
        <v>737</v>
      </c>
      <c r="H11" s="30" t="str">
        <f aca="false">IF($A11="","",IFERROR(IF(INDEX(campaigns!$B$2:$B$51,MATCH($A11,campaigns!$A$2:$A$51,0))="","",INDEX(campaigns!$B$2:$B$51,MATCH($A11,campaigns!$A$2:$A$51,0))),""))</f>
        <v>SAMPLE-DRP-001</v>
      </c>
      <c r="I11" s="31" t="n">
        <f aca="false">IF($A11="","",IFERROR(IF(INDEX(campaigns!$BG$2:$BG$51,MATCH($A11,campaigns!$A$2:$A$51,0))="","",INDEX(campaigns!$BG$2:$BG$51,MATCH($A11,campaigns!$A$2:$A$51,0))),""))</f>
        <v>46399</v>
      </c>
      <c r="J11" s="30" t="str">
        <f aca="false">IF($A11="","",IFERROR(IF(INDEX(campaigns!$BE$2:$BE$51,MATCH($A11,campaigns!$A$2:$A$51,0))="","",INDEX(campaigns!$BE$2:$BE$51,MATCH($A11,campaigns!$A$2:$A$51,0))),""))</f>
        <v>SAMPLE Northbound</v>
      </c>
      <c r="K11" s="30" t="str">
        <f aca="false">IF($B11="","",IFERROR(IF(INDEX(offices!$O$2:$O$61,MATCH($B11,offices!$A$2:$A$61,0))="","",INDEX(offices!$O$2:$O$61,MATCH($B11,offices!$A$2:$A$61,0))),""))</f>
        <v>SAMPLE Studio Marlow</v>
      </c>
      <c r="L11" s="30" t="n">
        <f aca="false">IF($A11="","",IF($Q11="N","",COUNTIFS($A$2:$A11,$A11,$Q$2:$Q11,"&lt;&gt;N")))</f>
        <v>5</v>
      </c>
      <c r="M11" s="30" t="str">
        <f aca="false">IF(OR($A11="",$L11=""),"",IF(AND(config!$B$34="names_if_public",IFERROR(IF(INDEX(offices!$AG$2:$AG$61,MATCH($B11,offices!$A$2:$A$61,0))="","",INDEX(offices!$AG$2:$AG$61,MATCH($B11,offices!$A$2:$A$61,0))),"")="Y"),$K11,CHAR(64+$L11)))</f>
        <v>E</v>
      </c>
      <c r="N11" s="30" t="n">
        <f aca="false">IF(OR($A11="",$I11=""),"",COUNTIFS(stops!$B$2:$B$151,$B11,stops!$P$2:$P$151,"&lt;"&amp;$I11,stops!$L$2:$L$151,"&lt;&gt;not_delivered")+1)</f>
        <v>1</v>
      </c>
      <c r="O11" s="30" t="str">
        <f aca="false">IF($A11="","",IF(N($N11)&lt;=config!$B$29,"explicit","opt-out"))</f>
        <v>explicit</v>
      </c>
      <c r="P11" s="30" t="str">
        <f aca="false">IF($A11="","",IF($O11="explicit",IF($D11="yes","Y",IF($D11="no","N","pending")),IF($D11="no","N",IF(AND($C11&lt;&gt;"",$I11&lt;&gt;"",$C11&lt;=WORKDAY(N($I11),-5,calendar!$A$2:$A$80)),"Y","pending"))))</f>
        <v>Y</v>
      </c>
      <c r="Q11" s="30" t="str">
        <f aca="false">IF($A11="","",IF($P11="N","N",IF($P11&lt;&gt;"Y","pending",IF(AND((COUNTIFS(stops!$A$2:$A$151,$H11,stops!$B$2:$B$151,$B11,stops!$L$2:$L$151,"declined")+COUNTIFS(stops!$A$2:$A$151,$H11,stops!$B$2:$B$151,$B11,stops!$L$2:$L$151,"building_refused")+COUNTIFS(stops!$A$2:$A$151,$H11,stops!$B$2:$B$151,$B11,stops!$L$2:$L$151,"not_delivered"))&gt;0,N($U11)=0),"N","Y"))))</f>
        <v>Y</v>
      </c>
      <c r="R11" s="30" t="str">
        <f aca="false">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30" t="n">
        <f aca="false">IF($A11="","",IF($G11&lt;&gt;"",$G11,IFERROR(IF(INDEX(offices!$AM$2:$AM$61,MATCH($B11,offices!$A$2:$A$61,0))="","",INDEX(offices!$AM$2:$AM$61,MATCH($B11,offices!$A$2:$A$61,0))),"")))</f>
        <v>70</v>
      </c>
      <c r="T11" s="30" t="str">
        <f aca="false">IF($A11="","",$A11&amp;"."&amp;$B11)</f>
        <v>SAMPLE-CMP-002.SAMPLE-O-005</v>
      </c>
      <c r="U11" s="30" t="n">
        <f aca="false">IF($A11="","",SUMIFS(inventory!$G$2:$G$801,inventory!$C$2:$C$801,$A11,inventory!$D$2:$D$801,$B11,inventory!$E$2:$E$801,"delivered"))</f>
        <v>70</v>
      </c>
      <c r="V11" s="37" t="n">
        <f aca="false">IF($A11="","",IFERROR(1/(1/SUMPRODUCT(MAX((inventory!$C$2:$C$801=$A11)*(inventory!$D$2:$D$801=$B11)*(inventory!$E$2:$E$801="delivered")*(inventory!$A$2:$A$801+inventory!$B$2:$B$801)))),""))</f>
        <v>46399.4263888889</v>
      </c>
      <c r="W11" s="30" t="str">
        <f aca="false">IF($A11="","",IFERROR(IF(INDEX(inventory!$J$2:$J$801,MATCH($A11&amp;"|"&amp;$B11&amp;"|delivered",inventory!$R$2:$R$801,0))="","",INDEX(inventory!$J$2:$J$801,MATCH($A11&amp;"|"&amp;$B11&amp;"|delivered",inventory!$R$2:$R$801,0))),""))</f>
        <v>founder_count</v>
      </c>
      <c r="X11" s="30" t="str">
        <f aca="false">IF($A11="","",IFERROR(IF(INDEX(photos!$H$2:$H$701,MATCH($A11&amp;"|"&amp;$B11&amp;"|placement|Y",photos!$R$2:$R$701,0))="","",INDEX(photos!$H$2:$H$701,MATCH($A11&amp;"|"&amp;$B11&amp;"|placement|Y",photos!$R$2:$R$701,0))),""))</f>
        <v>SAMPLE-CMP-002_SAMPLE-O-005_placement_2027-01-12.jpg</v>
      </c>
      <c r="Y11" s="31" t="n">
        <f aca="false">IF($A11="","",IFERROR(IF(INDEX(photos!$E$2:$E$701,MATCH($A11&amp;"|"&amp;$B11&amp;"|placement|Y",photos!$R$2:$R$701,0))="","",INDEX(photos!$E$2:$E$701,MATCH($A11&amp;"|"&amp;$B11&amp;"|placement|Y",photos!$R$2:$R$701,0))),""))</f>
        <v>46399</v>
      </c>
      <c r="Z11" s="30" t="n">
        <f aca="false">IF($A11="","",IF(COUNTIFS(counts!$C$2:$C$701,$A11,counts!$D$2:$D$701,$B11,counts!$E$2:$E$701,"placed")=0,"",SUMIFS(counts!$F$2:$F$701,counts!$C$2:$C$701,$A11,counts!$D$2:$D$701,$B11,counts!$E$2:$E$701,"placed")))</f>
        <v>70</v>
      </c>
      <c r="AA11" s="30" t="n">
        <f aca="false">IF($A11="","",IF($Y11="",0,N($Z11)))</f>
        <v>70</v>
      </c>
      <c r="AB11" s="30" t="str">
        <f aca="false">IF($A11="","",IF(OR($Y11="",$I11=""),"N",IF($Y11&lt;=WORKDAY(N($I11),1,calendar!$A$2:$A$80),"Y","N")))</f>
        <v>Y</v>
      </c>
      <c r="AC11" s="33" t="n">
        <f aca="false">IF(OR($A11="",$V11="",$Y11=""),"",ROUND(($Y11+N(IFERROR(IF(INDEX(photos!$F$2:$F$701,MATCH($A11&amp;"|"&amp;$B11&amp;"|placement|Y",photos!$R$2:$R$701,0))="","",INDEX(photos!$F$2:$F$701,MATCH($A11&amp;"|"&amp;$B11&amp;"|placement|Y",photos!$R$2:$R$701,0))),""))-$V11)*24,1))</f>
        <v>3.9</v>
      </c>
      <c r="AD11" s="30" t="n">
        <f aca="false">IF($A11="","",SUMIFS(inventory!$G$2:$G$801,inventory!$C$2:$C$801,$A11,inventory!$D$2:$D$801,$B11,inventory!$E$2:$E$801,"topped_up"))</f>
        <v>0</v>
      </c>
      <c r="AE11" s="30" t="n">
        <f aca="false">IF($A11="","",IF(COUNTIFS(counts!$C$2:$C$701,$A11,counts!$D$2:$D$701,$B11,counts!$E$2:$E$701,"remaining_day3")=0,"",SUMIFS(counts!$F$2:$F$701,counts!$C$2:$C$701,$A11,counts!$D$2:$D$701,$B11,counts!$E$2:$E$701,"remaining_day3")))</f>
        <v>25</v>
      </c>
      <c r="AF11" s="30" t="n">
        <f aca="false">IF($A11="","",IF(COUNTIFS(counts!$C$2:$C$701,$A11,counts!$D$2:$D$701,$B11,counts!$E$2:$E$701,"remaining_day5")=0,"",SUMIFS(counts!$F$2:$F$701,counts!$C$2:$C$701,$A11,counts!$D$2:$D$701,$B11,counts!$E$2:$E$701,"remaining_day5")))</f>
        <v>3</v>
      </c>
      <c r="AG11" s="30" t="n">
        <f aca="false">IF(OR($A11="",$AF11=""),"",MAX(0,$AA11+$AD11-$AF11))</f>
        <v>67</v>
      </c>
      <c r="AH11" s="30" t="str">
        <f aca="false">IF(OR($A11="",$AI11=""),"",IFERROR(IF(INDEX(photos!$H$2:$H$701,MATCH($A11&amp;"|"&amp;$B11&amp;"|later|Y|"&amp;$AI11,photos!$S$2:$S$701,0))="","",INDEX(photos!$H$2:$H$701,MATCH($A11&amp;"|"&amp;$B11&amp;"|later|Y|"&amp;$AI11,photos!$S$2:$S$701,0))),""))</f>
        <v>SAMPLE-CMP-002_SAMPLE-O-005_later_2027-01-19.jpg</v>
      </c>
      <c r="AI11" s="31" t="n">
        <f aca="false">IF($A11="","",IFERROR(1/(1/SUMPRODUCT(MAX((photos!$B$2:$B$701=$A11)*(photos!$C$2:$C$701=$B11)*(photos!$D$2:$D$701="later")*(photos!$O$2:$O$701="Y")*photos!$E$2:$E$701))),""))</f>
        <v>46406</v>
      </c>
      <c r="AJ11" s="30" t="n">
        <f aca="false">IF(OR($A11="",$AI11="",$I11=""),"",NETWORKDAYS($I11,$AI11,calendar!$A$2:$A$80))</f>
        <v>5</v>
      </c>
      <c r="AK11" s="30" t="str">
        <f aca="false">IF($A11="","",IF(AND($X11&lt;&gt;"",$AH11&lt;&gt;""),"Y","N"))</f>
        <v>Y</v>
      </c>
      <c r="AL11" s="30" t="n">
        <f aca="true">IF(OR($A11="",$I11=""),"",IF($BC11="Y",SUMIFS(survey_frozen!$C$2:$C$251,survey_frozen!$P$2:$P$251,$A11&amp;"|"&amp;$B11),IFERROR(COUNTIFS(INDIRECT("'"&amp;$A11&amp;"'!$B$2:$B$501"),$T11,INDIRECT("'"&amp;$A11&amp;"'!$A$2:$A$501"),"&gt;="&amp;$I11,INDIRECT("'"&amp;$A11&amp;"'!$A$2:$A$501"),"&lt;"&amp;($BA11+1)),0)))</f>
        <v>6</v>
      </c>
      <c r="AM11" s="30" t="n">
        <f aca="true">IF(OR($A11="",$I11=""),"",IF($BC11="Y",SUMIFS(survey_frozen!$D$2:$D$251,survey_frozen!$P$2:$P$251,$A11&amp;"|"&amp;$B11),IFERROR(COUNTIFS(INDIRECT("'"&amp;$A11&amp;"'!$B$2:$B$501"),$T11,INDIRECT("'"&amp;$A11&amp;"'!$A$2:$A$501"),"&gt;="&amp;$I11,INDIRECT("'"&amp;$A11&amp;"'!$A$2:$A$501"),"&lt;"&amp;($BA11+1),INDIRECT("'"&amp;$A11&amp;"'!$C$2:$C$501"),"Yes"),0)))</f>
        <v>3</v>
      </c>
      <c r="AN11" s="30" t="n">
        <f aca="false">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7</v>
      </c>
      <c r="AO11" s="30" t="n">
        <f aca="false">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3</v>
      </c>
      <c r="AP11" s="30" t="str">
        <f aca="true">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30" t="n">
        <f aca="true">IF(OR($A11="",$I11=""),"",IF($BC11="Y",SUMIFS(survey_frozen!$E$2:$E$251,survey_frozen!$P$2:$P$251,$A11&amp;"|"&amp;$B11),IFERROR(COUNTIFS(INDIRECT("'"&amp;$A11&amp;"'!$B$2:$B$501"),$T11,INDIRECT("'"&amp;$A11&amp;"'!$A$2:$A$501"),"&gt;="&amp;$I11,INDIRECT("'"&amp;$A11&amp;"'!$A$2:$A$501"),"&lt;"&amp;($BA11+1),INDIRECT("'"&amp;$A11&amp;"'!$F$2:$F$501"),"Didn't see it"),0)))</f>
        <v>3</v>
      </c>
      <c r="AR11" s="30" t="n">
        <f aca="true">IF(OR($A11="",$I11=""),"",IF($BC11="Y",SUMIFS(survey_frozen!$F$2:$F$251,survey_frozen!$P$2:$P$251,$A11&amp;"|"&amp;$B11),IFERROR(COUNTIFS(INDIRECT("'"&amp;$A11&amp;"'!$B$2:$B$501"),$T11,INDIRECT("'"&amp;$A11&amp;"'!$A$2:$A$501"),"&gt;="&amp;$I11,INDIRECT("'"&amp;$A11&amp;"'!$A$2:$A$501"),"&lt;"&amp;($BA11+1),INDIRECT("'"&amp;$A11&amp;"'!$F$2:$F$501"),"Not for me"),0)))</f>
        <v>0</v>
      </c>
      <c r="AS11" s="30" t="n">
        <f aca="true">IF(OR($A11="",$I11=""),"",IF($BC11="Y",SUMIFS(survey_frozen!$G$2:$G$251,survey_frozen!$P$2:$P$251,$A11&amp;"|"&amp;$B11),IFERROR(COUNTIFS(INDIRECT("'"&amp;$A11&amp;"'!$B$2:$B$501"),$T11,INDIRECT("'"&amp;$A11&amp;"'!$A$2:$A$501"),"&gt;="&amp;$I11,INDIRECT("'"&amp;$A11&amp;"'!$A$2:$A$501"),"&lt;"&amp;($BA11+1),INDIRECT("'"&amp;$A11&amp;"'!$F$2:$F$501"),"Gone by the time I looked"),0)))</f>
        <v>0</v>
      </c>
      <c r="AT11" s="30" t="n">
        <f aca="true">IF(OR($A11="",$I11=""),"",IF($BC11="Y",SUMIFS(survey_frozen!$H$2:$H$251,survey_frozen!$P$2:$P$251,$A11&amp;"|"&amp;$B11),IFERROR(COUNTIFS(INDIRECT("'"&amp;$A11&amp;"'!$B$2:$B$501"),$T11,INDIRECT("'"&amp;$A11&amp;"'!$A$2:$A$501"),"&gt;="&amp;$I11,INDIRECT("'"&amp;$A11&amp;"'!$A$2:$A$501"),"&lt;"&amp;($BA11+1),INDIRECT("'"&amp;$A11&amp;"'!$D$2:$D$501"),"&gt;=1"),0)))</f>
        <v>3</v>
      </c>
      <c r="AU11" s="30" t="n">
        <f aca="true">IF(OR($A11="",$I11=""),"",IF($BC11="Y",SUMIFS(survey_frozen!$I$2:$I$251,survey_frozen!$P$2:$P$251,$A11&amp;"|"&amp;$B11),IFERROR(SUMIFS(INDIRECT("'"&amp;$A11&amp;"'!$D$2:$D$501"),INDIRECT("'"&amp;$A11&amp;"'!$B$2:$B$501"),$T11,INDIRECT("'"&amp;$A11&amp;"'!$A$2:$A$501"),"&gt;="&amp;$I11,INDIRECT("'"&amp;$A11&amp;"'!$A$2:$A$501"),"&lt;"&amp;($BA11+1)),0)))</f>
        <v>14</v>
      </c>
      <c r="AV11" s="30" t="n">
        <f aca="true">IF(OR($A11="",$I11=""),"",IF($BC11="Y",SUMIFS(survey_frozen!$J$2:$J$251,survey_frozen!$P$2:$P$251,$A11&amp;"|"&amp;$B11),IFERROR(COUNTIFS(INDIRECT("'"&amp;$A11&amp;"'!$B$2:$B$501"),$T11,INDIRECT("'"&amp;$A11&amp;"'!$A$2:$A$501"),"&gt;="&amp;$I11,INDIRECT("'"&amp;$A11&amp;"'!$A$2:$A$501"),"&lt;"&amp;($BA11+1),INDIRECT("'"&amp;$A11&amp;"'!$E$2:$E$501"),"Yes"),0)))</f>
        <v>2</v>
      </c>
      <c r="AW11" s="30" t="n">
        <f aca="true">IF(OR($A11="",$I11=""),"",IF($BC11="Y",SUMIFS(survey_frozen!$K$2:$K$251,survey_frozen!$P$2:$P$251,$A11&amp;"|"&amp;$B11),IFERROR(COUNTIFS(INDIRECT("'"&amp;$A11&amp;"'!$B$2:$B$501"),$T11,INDIRECT("'"&amp;$A11&amp;"'!$A$2:$A$501"),"&gt;="&amp;$I11,INDIRECT("'"&amp;$A11&amp;"'!$A$2:$A$501"),"&lt;"&amp;($BA11+1),INDIRECT("'"&amp;$A11&amp;"'!$E$2:$E$501"),"Maybe"),0)))</f>
        <v>0</v>
      </c>
      <c r="AX11" s="30" t="n">
        <f aca="true">IF(OR($A11="",$I11=""),"",IF($BC11="Y",SUMIFS(survey_frozen!$L$2:$L$251,survey_frozen!$P$2:$P$251,$A11&amp;"|"&amp;$B11),IFERROR(COUNTIFS(INDIRECT("'"&amp;$A11&amp;"'!$B$2:$B$501"),$T11,INDIRECT("'"&amp;$A11&amp;"'!$A$2:$A$501"),"&gt;="&amp;$I11,INDIRECT("'"&amp;$A11&amp;"'!$A$2:$A$501"),"&lt;"&amp;($BA11+1),INDIRECT("'"&amp;$A11&amp;"'!$E$2:$E$501"),"No"),0)))</f>
        <v>1</v>
      </c>
      <c r="AY11" s="30" t="n">
        <f aca="true">IF(OR($A11="",$I11=""),"",IF($BC11="Y",SUMIFS(survey_frozen!$M$2:$M$251,survey_frozen!$P$2:$P$251,$A11&amp;"|"&amp;$B11),IFERROR(COUNTIFS(INDIRECT("'"&amp;$A11&amp;"'!$B$2:$B$501"),$T11,INDIRECT("'"&amp;$A11&amp;"'!$A$2:$A$501"),"&gt;="&amp;$I11,INDIRECT("'"&amp;$A11&amp;"'!$A$2:$A$501"),"&lt;"&amp;($BA11+1),INDIRECT("'"&amp;$A11&amp;"'!$G$2:$G$501"),"&lt;&gt;"),0)))</f>
        <v>2</v>
      </c>
      <c r="AZ11" s="30" t="str">
        <f aca="false">IF($A11="","",$A11&amp;"|"&amp;$L11)</f>
        <v>SAMPLE-CMP-002|5</v>
      </c>
      <c r="BA11" s="31" t="n">
        <f aca="false">IF($A11="","",IFERROR(IF(INDEX(drops!$R$2:$R$21,MATCH($H11,drops!$A$2:$A$21,0))="","",INDEX(drops!$R$2:$R$21,MATCH($H11,drops!$A$2:$A$21,0))),""))</f>
        <v>46406</v>
      </c>
      <c r="BB11" s="30" t="n">
        <f aca="false">IF(OR($A11="",$Q11&lt;&gt;"Y"),1000000,N($AL11))</f>
        <v>6</v>
      </c>
      <c r="BC11" s="30" t="str">
        <f aca="false">IF($A11="","",IF(COUNTIF(survey_frozen!$P$2:$P$251,$A11&amp;"|"&amp;$B11)&gt;0,"Y",""))</f>
        <v/>
      </c>
      <c r="BD11" s="30" t="str">
        <f aca="false">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ustomFormat="false" ht="15" hidden="false" customHeight="false" outlineLevel="0" collapsed="false">
      <c r="A12" s="0" t="s">
        <v>516</v>
      </c>
      <c r="B12" s="0" t="s">
        <v>678</v>
      </c>
      <c r="C12" s="11" t="n">
        <v>46391</v>
      </c>
      <c r="D12" s="10" t="s">
        <v>496</v>
      </c>
      <c r="E12" s="11" t="n">
        <v>46392</v>
      </c>
      <c r="F12" s="10" t="s">
        <v>737</v>
      </c>
      <c r="G12" s="0" t="n">
        <v>37</v>
      </c>
      <c r="H12" s="30" t="str">
        <f aca="false">IF($A12="","",IFERROR(IF(INDEX(campaigns!$B$2:$B$51,MATCH($A12,campaigns!$A$2:$A$51,0))="","",INDEX(campaigns!$B$2:$B$51,MATCH($A12,campaigns!$A$2:$A$51,0))),""))</f>
        <v>SAMPLE-DRP-002</v>
      </c>
      <c r="I12" s="31" t="n">
        <f aca="false">IF($A12="","",IFERROR(IF(INDEX(campaigns!$BG$2:$BG$51,MATCH($A12,campaigns!$A$2:$A$51,0))="","",INDEX(campaigns!$BG$2:$BG$51,MATCH($A12,campaigns!$A$2:$A$51,0))),""))</f>
        <v>46427</v>
      </c>
      <c r="J12" s="30" t="str">
        <f aca="false">IF($A12="","",IFERROR(IF(INDEX(campaigns!$BE$2:$BE$51,MATCH($A12,campaigns!$A$2:$A$51,0))="","",INDEX(campaigns!$BE$2:$BE$51,MATCH($A12,campaigns!$A$2:$A$51,0))),""))</f>
        <v>SAMPLE Tallgrass</v>
      </c>
      <c r="K12" s="30" t="str">
        <f aca="false">IF($B12="","",IFERROR(IF(INDEX(offices!$O$2:$O$61,MATCH($B12,offices!$A$2:$A$61,0))="","",INDEX(offices!$O$2:$O$61,MATCH($B12,offices!$A$2:$A$61,0))),""))</f>
        <v>SAMPLE Northpoint Software</v>
      </c>
      <c r="L12" s="30" t="n">
        <f aca="false">IF($A12="","",IF($Q12="N","",COUNTIFS($A$2:$A12,$A12,$Q$2:$Q12,"&lt;&gt;N")))</f>
        <v>1</v>
      </c>
      <c r="M12" s="30" t="str">
        <f aca="false">IF(OR($A12="",$L12=""),"",IF(AND(config!$B$34="names_if_public",IFERROR(IF(INDEX(offices!$AG$2:$AG$61,MATCH($B12,offices!$A$2:$A$61,0))="","",INDEX(offices!$AG$2:$AG$61,MATCH($B12,offices!$A$2:$A$61,0))),"")="Y"),$K12,CHAR(64+$L12)))</f>
        <v>A</v>
      </c>
      <c r="N12" s="30" t="n">
        <f aca="false">IF(OR($A12="",$I12=""),"",COUNTIFS(stops!$B$2:$B$151,$B12,stops!$P$2:$P$151,"&lt;"&amp;$I12,stops!$L$2:$L$151,"&lt;&gt;not_delivered")+1)</f>
        <v>2</v>
      </c>
      <c r="O12" s="30" t="str">
        <f aca="false">IF($A12="","",IF(N($N12)&lt;=config!$B$29,"explicit","opt-out"))</f>
        <v>explicit</v>
      </c>
      <c r="P12" s="30" t="str">
        <f aca="false">IF($A12="","",IF($O12="explicit",IF($D12="yes","Y",IF($D12="no","N","pending")),IF($D12="no","N",IF(AND($C12&lt;&gt;"",$I12&lt;&gt;"",$C12&lt;=WORKDAY(N($I12),-5,calendar!$A$2:$A$80)),"Y","pending"))))</f>
        <v>Y</v>
      </c>
      <c r="Q12" s="30" t="str">
        <f aca="false">IF($A12="","",IF($P12="N","N",IF($P12&lt;&gt;"Y","pending",IF(AND((COUNTIFS(stops!$A$2:$A$151,$H12,stops!$B$2:$B$151,$B12,stops!$L$2:$L$151,"declined")+COUNTIFS(stops!$A$2:$A$151,$H12,stops!$B$2:$B$151,$B12,stops!$L$2:$L$151,"building_refused")+COUNTIFS(stops!$A$2:$A$151,$H12,stops!$B$2:$B$151,$B12,stops!$L$2:$L$151,"not_delivered"))&gt;0,N($U12)=0),"N","Y"))))</f>
        <v>Y</v>
      </c>
      <c r="R12" s="30" t="str">
        <f aca="false">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30" t="n">
        <f aca="false">IF($A12="","",IF($G12&lt;&gt;"",$G12,IFERROR(IF(INDEX(offices!$AM$2:$AM$61,MATCH($B12,offices!$A$2:$A$61,0))="","",INDEX(offices!$AM$2:$AM$61,MATCH($B12,offices!$A$2:$A$61,0))),"")))</f>
        <v>37</v>
      </c>
      <c r="T12" s="30" t="str">
        <f aca="false">IF($A12="","",$A12&amp;"."&amp;$B12)</f>
        <v>SAMPLE-CMP-003.SAMPLE-O-001</v>
      </c>
      <c r="U12" s="30" t="n">
        <f aca="false">IF($A12="","",SUMIFS(inventory!$G$2:$G$801,inventory!$C$2:$C$801,$A12,inventory!$D$2:$D$801,$B12,inventory!$E$2:$E$801,"delivered"))</f>
        <v>37</v>
      </c>
      <c r="V12" s="37" t="n">
        <f aca="false">IF($A12="","",IFERROR(1/(1/SUMPRODUCT(MAX((inventory!$C$2:$C$801=$A12)*(inventory!$D$2:$D$801=$B12)*(inventory!$E$2:$E$801="delivered")*(inventory!$A$2:$A$801+inventory!$B$2:$B$801)))),""))</f>
        <v>46427.3375</v>
      </c>
      <c r="W12" s="30" t="str">
        <f aca="false">IF($A12="","",IFERROR(IF(INDEX(inventory!$J$2:$J$801,MATCH($A12&amp;"|"&amp;$B12&amp;"|delivered",inventory!$R$2:$R$801,0))="","",INDEX(inventory!$J$2:$J$801,MATCH($A12&amp;"|"&amp;$B12&amp;"|delivered",inventory!$R$2:$R$801,0))),""))</f>
        <v>courier_count</v>
      </c>
      <c r="X12" s="30" t="str">
        <f aca="false">IF($A12="","",IFERROR(IF(INDEX(photos!$H$2:$H$701,MATCH($A12&amp;"|"&amp;$B12&amp;"|placement|Y",photos!$R$2:$R$701,0))="","",INDEX(photos!$H$2:$H$701,MATCH($A12&amp;"|"&amp;$B12&amp;"|placement|Y",photos!$R$2:$R$701,0))),""))</f>
        <v>SAMPLE-CMP-003_SAMPLE-O-001_placement_2027-02-09.jpg</v>
      </c>
      <c r="Y12" s="31" t="n">
        <f aca="false">IF($A12="","",IFERROR(IF(INDEX(photos!$E$2:$E$701,MATCH($A12&amp;"|"&amp;$B12&amp;"|placement|Y",photos!$R$2:$R$701,0))="","",INDEX(photos!$E$2:$E$701,MATCH($A12&amp;"|"&amp;$B12&amp;"|placement|Y",photos!$R$2:$R$701,0))),""))</f>
        <v>46427</v>
      </c>
      <c r="Z12" s="30" t="n">
        <f aca="false">IF($A12="","",IF(COUNTIFS(counts!$C$2:$C$701,$A12,counts!$D$2:$D$701,$B12,counts!$E$2:$E$701,"placed")=0,"",SUMIFS(counts!$F$2:$F$701,counts!$C$2:$C$701,$A12,counts!$D$2:$D$701,$B12,counts!$E$2:$E$701,"placed")))</f>
        <v>37</v>
      </c>
      <c r="AA12" s="30" t="n">
        <f aca="false">IF($A12="","",IF($Y12="",0,N($Z12)))</f>
        <v>37</v>
      </c>
      <c r="AB12" s="30" t="str">
        <f aca="false">IF($A12="","",IF(OR($Y12="",$I12=""),"N",IF($Y12&lt;=WORKDAY(N($I12),1,calendar!$A$2:$A$80),"Y","N")))</f>
        <v>Y</v>
      </c>
      <c r="AC12" s="33" t="n">
        <f aca="false">IF(OR($A12="",$V12="",$Y12=""),"",ROUND(($Y12+N(IFERROR(IF(INDEX(photos!$F$2:$F$701,MATCH($A12&amp;"|"&amp;$B12&amp;"|placement|Y",photos!$R$2:$R$701,0))="","",INDEX(photos!$F$2:$F$701,MATCH($A12&amp;"|"&amp;$B12&amp;"|placement|Y",photos!$R$2:$R$701,0))),""))-$V12)*24,1))</f>
        <v>4.9</v>
      </c>
      <c r="AD12" s="30" t="n">
        <f aca="false">IF($A12="","",SUMIFS(inventory!$G$2:$G$801,inventory!$C$2:$C$801,$A12,inventory!$D$2:$D$801,$B12,inventory!$E$2:$E$801,"topped_up"))</f>
        <v>0</v>
      </c>
      <c r="AE12" s="30" t="n">
        <f aca="false">IF($A12="","",IF(COUNTIFS(counts!$C$2:$C$701,$A12,counts!$D$2:$D$701,$B12,counts!$E$2:$E$701,"remaining_day3")=0,"",SUMIFS(counts!$F$2:$F$701,counts!$C$2:$C$701,$A12,counts!$D$2:$D$701,$B12,counts!$E$2:$E$701,"remaining_day3")))</f>
        <v>13</v>
      </c>
      <c r="AF12" s="30" t="n">
        <f aca="false">IF($A12="","",IF(COUNTIFS(counts!$C$2:$C$701,$A12,counts!$D$2:$D$701,$B12,counts!$E$2:$E$701,"remaining_day5")=0,"",SUMIFS(counts!$F$2:$F$701,counts!$C$2:$C$701,$A12,counts!$D$2:$D$701,$B12,counts!$E$2:$E$701,"remaining_day5")))</f>
        <v>1</v>
      </c>
      <c r="AG12" s="30" t="n">
        <f aca="false">IF(OR($A12="",$AF12=""),"",MAX(0,$AA12+$AD12-$AF12))</f>
        <v>36</v>
      </c>
      <c r="AH12" s="30" t="str">
        <f aca="false">IF(OR($A12="",$AI12=""),"",IFERROR(IF(INDEX(photos!$H$2:$H$701,MATCH($A12&amp;"|"&amp;$B12&amp;"|later|Y|"&amp;$AI12,photos!$S$2:$S$701,0))="","",INDEX(photos!$H$2:$H$701,MATCH($A12&amp;"|"&amp;$B12&amp;"|later|Y|"&amp;$AI12,photos!$S$2:$S$701,0))),""))</f>
        <v>SAMPLE-CMP-003_SAMPLE-O-001_later_2027-02-16.jpg</v>
      </c>
      <c r="AI12" s="31" t="n">
        <f aca="false">IF($A12="","",IFERROR(1/(1/SUMPRODUCT(MAX((photos!$B$2:$B$701=$A12)*(photos!$C$2:$C$701=$B12)*(photos!$D$2:$D$701="later")*(photos!$O$2:$O$701="Y")*photos!$E$2:$E$701))),""))</f>
        <v>46434</v>
      </c>
      <c r="AJ12" s="30" t="n">
        <f aca="false">IF(OR($A12="",$AI12="",$I12=""),"",NETWORKDAYS($I12,$AI12,calendar!$A$2:$A$80))</f>
        <v>5</v>
      </c>
      <c r="AK12" s="30" t="str">
        <f aca="false">IF($A12="","",IF(AND($X12&lt;&gt;"",$AH12&lt;&gt;""),"Y","N"))</f>
        <v>Y</v>
      </c>
      <c r="AL12" s="30" t="n">
        <f aca="true">IF(OR($A12="",$I12=""),"",IF($BC12="Y",SUMIFS(survey_frozen!$C$2:$C$251,survey_frozen!$P$2:$P$251,$A12&amp;"|"&amp;$B12),IFERROR(COUNTIFS(INDIRECT("'"&amp;$A12&amp;"'!$B$2:$B$501"),$T12,INDIRECT("'"&amp;$A12&amp;"'!$A$2:$A$501"),"&gt;="&amp;$I12,INDIRECT("'"&amp;$A12&amp;"'!$A$2:$A$501"),"&lt;"&amp;($BA12+1)),0)))</f>
        <v>7</v>
      </c>
      <c r="AM12" s="30" t="n">
        <f aca="true">IF(OR($A12="",$I12=""),"",IF($BC12="Y",SUMIFS(survey_frozen!$D$2:$D$251,survey_frozen!$P$2:$P$251,$A12&amp;"|"&amp;$B12),IFERROR(COUNTIFS(INDIRECT("'"&amp;$A12&amp;"'!$B$2:$B$501"),$T12,INDIRECT("'"&amp;$A12&amp;"'!$A$2:$A$501"),"&gt;="&amp;$I12,INDIRECT("'"&amp;$A12&amp;"'!$A$2:$A$501"),"&lt;"&amp;($BA12+1),INDIRECT("'"&amp;$A12&amp;"'!$C$2:$C$501"),"Yes"),0)))</f>
        <v>5</v>
      </c>
      <c r="AN12" s="30" t="n">
        <f aca="false">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12</v>
      </c>
      <c r="AO12" s="30" t="n">
        <f aca="false">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11</v>
      </c>
      <c r="AP12" s="30" t="str">
        <f aca="true">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30" t="n">
        <f aca="true">IF(OR($A12="",$I12=""),"",IF($BC12="Y",SUMIFS(survey_frozen!$E$2:$E$251,survey_frozen!$P$2:$P$251,$A12&amp;"|"&amp;$B12),IFERROR(COUNTIFS(INDIRECT("'"&amp;$A12&amp;"'!$B$2:$B$501"),$T12,INDIRECT("'"&amp;$A12&amp;"'!$A$2:$A$501"),"&gt;="&amp;$I12,INDIRECT("'"&amp;$A12&amp;"'!$A$2:$A$501"),"&lt;"&amp;($BA12+1),INDIRECT("'"&amp;$A12&amp;"'!$F$2:$F$501"),"Didn't see it"),0)))</f>
        <v>2</v>
      </c>
      <c r="AR12" s="30" t="n">
        <f aca="true">IF(OR($A12="",$I12=""),"",IF($BC12="Y",SUMIFS(survey_frozen!$F$2:$F$251,survey_frozen!$P$2:$P$251,$A12&amp;"|"&amp;$B12),IFERROR(COUNTIFS(INDIRECT("'"&amp;$A12&amp;"'!$B$2:$B$501"),$T12,INDIRECT("'"&amp;$A12&amp;"'!$A$2:$A$501"),"&gt;="&amp;$I12,INDIRECT("'"&amp;$A12&amp;"'!$A$2:$A$501"),"&lt;"&amp;($BA12+1),INDIRECT("'"&amp;$A12&amp;"'!$F$2:$F$501"),"Not for me"),0)))</f>
        <v>0</v>
      </c>
      <c r="AS12" s="30" t="n">
        <f aca="true">IF(OR($A12="",$I12=""),"",IF($BC12="Y",SUMIFS(survey_frozen!$G$2:$G$251,survey_frozen!$P$2:$P$251,$A12&amp;"|"&amp;$B12),IFERROR(COUNTIFS(INDIRECT("'"&amp;$A12&amp;"'!$B$2:$B$501"),$T12,INDIRECT("'"&amp;$A12&amp;"'!$A$2:$A$501"),"&gt;="&amp;$I12,INDIRECT("'"&amp;$A12&amp;"'!$A$2:$A$501"),"&lt;"&amp;($BA12+1),INDIRECT("'"&amp;$A12&amp;"'!$F$2:$F$501"),"Gone by the time I looked"),0)))</f>
        <v>0</v>
      </c>
      <c r="AT12" s="30" t="n">
        <f aca="true">IF(OR($A12="",$I12=""),"",IF($BC12="Y",SUMIFS(survey_frozen!$H$2:$H$251,survey_frozen!$P$2:$P$251,$A12&amp;"|"&amp;$B12),IFERROR(COUNTIFS(INDIRECT("'"&amp;$A12&amp;"'!$B$2:$B$501"),$T12,INDIRECT("'"&amp;$A12&amp;"'!$A$2:$A$501"),"&gt;="&amp;$I12,INDIRECT("'"&amp;$A12&amp;"'!$A$2:$A$501"),"&lt;"&amp;($BA12+1),INDIRECT("'"&amp;$A12&amp;"'!$D$2:$D$501"),"&gt;=1"),0)))</f>
        <v>5</v>
      </c>
      <c r="AU12" s="30" t="n">
        <f aca="true">IF(OR($A12="",$I12=""),"",IF($BC12="Y",SUMIFS(survey_frozen!$I$2:$I$251,survey_frozen!$P$2:$P$251,$A12&amp;"|"&amp;$B12),IFERROR(SUMIFS(INDIRECT("'"&amp;$A12&amp;"'!$D$2:$D$501"),INDIRECT("'"&amp;$A12&amp;"'!$B$2:$B$501"),$T12,INDIRECT("'"&amp;$A12&amp;"'!$A$2:$A$501"),"&gt;="&amp;$I12,INDIRECT("'"&amp;$A12&amp;"'!$A$2:$A$501"),"&lt;"&amp;($BA12+1)),0)))</f>
        <v>21</v>
      </c>
      <c r="AV12" s="30" t="n">
        <f aca="true">IF(OR($A12="",$I12=""),"",IF($BC12="Y",SUMIFS(survey_frozen!$J$2:$J$251,survey_frozen!$P$2:$P$251,$A12&amp;"|"&amp;$B12),IFERROR(COUNTIFS(INDIRECT("'"&amp;$A12&amp;"'!$B$2:$B$501"),$T12,INDIRECT("'"&amp;$A12&amp;"'!$A$2:$A$501"),"&gt;="&amp;$I12,INDIRECT("'"&amp;$A12&amp;"'!$A$2:$A$501"),"&lt;"&amp;($BA12+1),INDIRECT("'"&amp;$A12&amp;"'!$E$2:$E$501"),"Yes"),0)))</f>
        <v>3</v>
      </c>
      <c r="AW12" s="30" t="n">
        <f aca="true">IF(OR($A12="",$I12=""),"",IF($BC12="Y",SUMIFS(survey_frozen!$K$2:$K$251,survey_frozen!$P$2:$P$251,$A12&amp;"|"&amp;$B12),IFERROR(COUNTIFS(INDIRECT("'"&amp;$A12&amp;"'!$B$2:$B$501"),$T12,INDIRECT("'"&amp;$A12&amp;"'!$A$2:$A$501"),"&gt;="&amp;$I12,INDIRECT("'"&amp;$A12&amp;"'!$A$2:$A$501"),"&lt;"&amp;($BA12+1),INDIRECT("'"&amp;$A12&amp;"'!$E$2:$E$501"),"Maybe"),0)))</f>
        <v>1</v>
      </c>
      <c r="AX12" s="30" t="n">
        <f aca="true">IF(OR($A12="",$I12=""),"",IF($BC12="Y",SUMIFS(survey_frozen!$L$2:$L$251,survey_frozen!$P$2:$P$251,$A12&amp;"|"&amp;$B12),IFERROR(COUNTIFS(INDIRECT("'"&amp;$A12&amp;"'!$B$2:$B$501"),$T12,INDIRECT("'"&amp;$A12&amp;"'!$A$2:$A$501"),"&gt;="&amp;$I12,INDIRECT("'"&amp;$A12&amp;"'!$A$2:$A$501"),"&lt;"&amp;($BA12+1),INDIRECT("'"&amp;$A12&amp;"'!$E$2:$E$501"),"No"),0)))</f>
        <v>1</v>
      </c>
      <c r="AY12" s="30" t="n">
        <f aca="true">IF(OR($A12="",$I12=""),"",IF($BC12="Y",SUMIFS(survey_frozen!$M$2:$M$251,survey_frozen!$P$2:$P$251,$A12&amp;"|"&amp;$B12),IFERROR(COUNTIFS(INDIRECT("'"&amp;$A12&amp;"'!$B$2:$B$501"),$T12,INDIRECT("'"&amp;$A12&amp;"'!$A$2:$A$501"),"&gt;="&amp;$I12,INDIRECT("'"&amp;$A12&amp;"'!$A$2:$A$501"),"&lt;"&amp;($BA12+1),INDIRECT("'"&amp;$A12&amp;"'!$G$2:$G$501"),"&lt;&gt;"),0)))</f>
        <v>2</v>
      </c>
      <c r="AZ12" s="30" t="str">
        <f aca="false">IF($A12="","",$A12&amp;"|"&amp;$L12)</f>
        <v>SAMPLE-CMP-003|1</v>
      </c>
      <c r="BA12" s="31" t="n">
        <f aca="false">IF($A12="","",IFERROR(IF(INDEX(drops!$R$2:$R$21,MATCH($H12,drops!$A$2:$A$21,0))="","",INDEX(drops!$R$2:$R$21,MATCH($H12,drops!$A$2:$A$21,0))),""))</f>
        <v>46434</v>
      </c>
      <c r="BB12" s="30" t="n">
        <f aca="false">IF(OR($A12="",$Q12&lt;&gt;"Y"),1000000,N($AL12))</f>
        <v>7</v>
      </c>
      <c r="BC12" s="30" t="str">
        <f aca="false">IF($A12="","",IF(COUNTIF(survey_frozen!$P$2:$P$251,$A12&amp;"|"&amp;$B12)&gt;0,"Y",""))</f>
        <v/>
      </c>
      <c r="BD12" s="30" t="str">
        <f aca="false">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ustomFormat="false" ht="15" hidden="false" customHeight="false" outlineLevel="0" collapsed="false">
      <c r="A13" s="0" t="s">
        <v>516</v>
      </c>
      <c r="B13" s="0" t="s">
        <v>681</v>
      </c>
      <c r="C13" s="11" t="n">
        <v>46391</v>
      </c>
      <c r="D13" s="10" t="s">
        <v>496</v>
      </c>
      <c r="E13" s="11" t="n">
        <v>46393</v>
      </c>
      <c r="F13" s="10" t="s">
        <v>737</v>
      </c>
      <c r="G13" s="0" t="n">
        <v>37</v>
      </c>
      <c r="H13" s="30" t="str">
        <f aca="false">IF($A13="","",IFERROR(IF(INDEX(campaigns!$B$2:$B$51,MATCH($A13,campaigns!$A$2:$A$51,0))="","",INDEX(campaigns!$B$2:$B$51,MATCH($A13,campaigns!$A$2:$A$51,0))),""))</f>
        <v>SAMPLE-DRP-002</v>
      </c>
      <c r="I13" s="31" t="n">
        <f aca="false">IF($A13="","",IFERROR(IF(INDEX(campaigns!$BG$2:$BG$51,MATCH($A13,campaigns!$A$2:$A$51,0))="","",INDEX(campaigns!$BG$2:$BG$51,MATCH($A13,campaigns!$A$2:$A$51,0))),""))</f>
        <v>46427</v>
      </c>
      <c r="J13" s="30" t="str">
        <f aca="false">IF($A13="","",IFERROR(IF(INDEX(campaigns!$BE$2:$BE$51,MATCH($A13,campaigns!$A$2:$A$51,0))="","",INDEX(campaigns!$BE$2:$BE$51,MATCH($A13,campaigns!$A$2:$A$51,0))),""))</f>
        <v>SAMPLE Tallgrass</v>
      </c>
      <c r="K13" s="30" t="str">
        <f aca="false">IF($B13="","",IFERROR(IF(INDEX(offices!$O$2:$O$61,MATCH($B13,offices!$A$2:$A$61,0))="","",INDEX(offices!$O$2:$O$61,MATCH($B13,offices!$A$2:$A$61,0))),""))</f>
        <v>SAMPLE Ferro Architecture</v>
      </c>
      <c r="L13" s="30" t="n">
        <f aca="false">IF($A13="","",IF($Q13="N","",COUNTIFS($A$2:$A13,$A13,$Q$2:$Q13,"&lt;&gt;N")))</f>
        <v>2</v>
      </c>
      <c r="M13" s="30" t="str">
        <f aca="false">IF(OR($A13="",$L13=""),"",IF(AND(config!$B$34="names_if_public",IFERROR(IF(INDEX(offices!$AG$2:$AG$61,MATCH($B13,offices!$A$2:$A$61,0))="","",INDEX(offices!$AG$2:$AG$61,MATCH($B13,offices!$A$2:$A$61,0))),"")="Y"),$K13,CHAR(64+$L13)))</f>
        <v>B</v>
      </c>
      <c r="N13" s="30" t="n">
        <f aca="false">IF(OR($A13="",$I13=""),"",COUNTIFS(stops!$B$2:$B$151,$B13,stops!$P$2:$P$151,"&lt;"&amp;$I13,stops!$L$2:$L$151,"&lt;&gt;not_delivered")+1)</f>
        <v>2</v>
      </c>
      <c r="O13" s="30" t="str">
        <f aca="false">IF($A13="","",IF(N($N13)&lt;=config!$B$29,"explicit","opt-out"))</f>
        <v>explicit</v>
      </c>
      <c r="P13" s="30" t="str">
        <f aca="false">IF($A13="","",IF($O13="explicit",IF($D13="yes","Y",IF($D13="no","N","pending")),IF($D13="no","N",IF(AND($C13&lt;&gt;"",$I13&lt;&gt;"",$C13&lt;=WORKDAY(N($I13),-5,calendar!$A$2:$A$80)),"Y","pending"))))</f>
        <v>Y</v>
      </c>
      <c r="Q13" s="30" t="str">
        <f aca="false">IF($A13="","",IF($P13="N","N",IF($P13&lt;&gt;"Y","pending",IF(AND((COUNTIFS(stops!$A$2:$A$151,$H13,stops!$B$2:$B$151,$B13,stops!$L$2:$L$151,"declined")+COUNTIFS(stops!$A$2:$A$151,$H13,stops!$B$2:$B$151,$B13,stops!$L$2:$L$151,"building_refused")+COUNTIFS(stops!$A$2:$A$151,$H13,stops!$B$2:$B$151,$B13,stops!$L$2:$L$151,"not_delivered"))&gt;0,N($U13)=0),"N","Y"))))</f>
        <v>Y</v>
      </c>
      <c r="R13" s="30" t="str">
        <f aca="false">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30" t="n">
        <f aca="false">IF($A13="","",IF($G13&lt;&gt;"",$G13,IFERROR(IF(INDEX(offices!$AM$2:$AM$61,MATCH($B13,offices!$A$2:$A$61,0))="","",INDEX(offices!$AM$2:$AM$61,MATCH($B13,offices!$A$2:$A$61,0))),"")))</f>
        <v>37</v>
      </c>
      <c r="T13" s="30" t="str">
        <f aca="false">IF($A13="","",$A13&amp;"."&amp;$B13)</f>
        <v>SAMPLE-CMP-003.SAMPLE-O-002</v>
      </c>
      <c r="U13" s="30" t="n">
        <f aca="false">IF($A13="","",SUMIFS(inventory!$G$2:$G$801,inventory!$C$2:$C$801,$A13,inventory!$D$2:$D$801,$B13,inventory!$E$2:$E$801,"delivered"))</f>
        <v>37</v>
      </c>
      <c r="V13" s="37" t="n">
        <f aca="false">IF($A13="","",IFERROR(1/(1/SUMPRODUCT(MAX((inventory!$C$2:$C$801=$A13)*(inventory!$D$2:$D$801=$B13)*(inventory!$E$2:$E$801="delivered")*(inventory!$A$2:$A$801+inventory!$B$2:$B$801)))),""))</f>
        <v>46427.3895833333</v>
      </c>
      <c r="W13" s="30" t="str">
        <f aca="false">IF($A13="","",IFERROR(IF(INDEX(inventory!$J$2:$J$801,MATCH($A13&amp;"|"&amp;$B13&amp;"|delivered",inventory!$R$2:$R$801,0))="","",INDEX(inventory!$J$2:$J$801,MATCH($A13&amp;"|"&amp;$B13&amp;"|delivered",inventory!$R$2:$R$801,0))),""))</f>
        <v>courier_count</v>
      </c>
      <c r="X13" s="30" t="str">
        <f aca="false">IF($A13="","",IFERROR(IF(INDEX(photos!$H$2:$H$701,MATCH($A13&amp;"|"&amp;$B13&amp;"|placement|Y",photos!$R$2:$R$701,0))="","",INDEX(photos!$H$2:$H$701,MATCH($A13&amp;"|"&amp;$B13&amp;"|placement|Y",photos!$R$2:$R$701,0))),""))</f>
        <v>SAMPLE-CMP-003_SAMPLE-O-002_placement_2027-02-09.jpg</v>
      </c>
      <c r="Y13" s="31" t="n">
        <f aca="false">IF($A13="","",IFERROR(IF(INDEX(photos!$E$2:$E$701,MATCH($A13&amp;"|"&amp;$B13&amp;"|placement|Y",photos!$R$2:$R$701,0))="","",INDEX(photos!$E$2:$E$701,MATCH($A13&amp;"|"&amp;$B13&amp;"|placement|Y",photos!$R$2:$R$701,0))),""))</f>
        <v>46427</v>
      </c>
      <c r="Z13" s="30" t="n">
        <f aca="false">IF($A13="","",IF(COUNTIFS(counts!$C$2:$C$701,$A13,counts!$D$2:$D$701,$B13,counts!$E$2:$E$701,"placed")=0,"",SUMIFS(counts!$F$2:$F$701,counts!$C$2:$C$701,$A13,counts!$D$2:$D$701,$B13,counts!$E$2:$E$701,"placed")))</f>
        <v>37</v>
      </c>
      <c r="AA13" s="30" t="n">
        <f aca="false">IF($A13="","",IF($Y13="",0,N($Z13)))</f>
        <v>37</v>
      </c>
      <c r="AB13" s="30" t="str">
        <f aca="false">IF($A13="","",IF(OR($Y13="",$I13=""),"N",IF($Y13&lt;=WORKDAY(N($I13),1,calendar!$A$2:$A$80),"Y","N")))</f>
        <v>Y</v>
      </c>
      <c r="AC13" s="33" t="n">
        <f aca="false">IF(OR($A13="",$V13="",$Y13=""),"",ROUND(($Y13+N(IFERROR(IF(INDEX(photos!$F$2:$F$701,MATCH($A13&amp;"|"&amp;$B13&amp;"|placement|Y",photos!$R$2:$R$701,0))="","",INDEX(photos!$F$2:$F$701,MATCH($A13&amp;"|"&amp;$B13&amp;"|placement|Y",photos!$R$2:$R$701,0))),""))-$V13)*24,1))</f>
        <v>3.7</v>
      </c>
      <c r="AD13" s="30" t="n">
        <f aca="false">IF($A13="","",SUMIFS(inventory!$G$2:$G$801,inventory!$C$2:$C$801,$A13,inventory!$D$2:$D$801,$B13,inventory!$E$2:$E$801,"topped_up"))</f>
        <v>0</v>
      </c>
      <c r="AE13" s="30" t="n">
        <f aca="false">IF($A13="","",IF(COUNTIFS(counts!$C$2:$C$701,$A13,counts!$D$2:$D$701,$B13,counts!$E$2:$E$701,"remaining_day3")=0,"",SUMIFS(counts!$F$2:$F$701,counts!$C$2:$C$701,$A13,counts!$D$2:$D$701,$B13,counts!$E$2:$E$701,"remaining_day3")))</f>
        <v>17</v>
      </c>
      <c r="AF13" s="30" t="n">
        <f aca="false">IF($A13="","",IF(COUNTIFS(counts!$C$2:$C$701,$A13,counts!$D$2:$D$701,$B13,counts!$E$2:$E$701,"remaining_day5")=0,"",SUMIFS(counts!$F$2:$F$701,counts!$C$2:$C$701,$A13,counts!$D$2:$D$701,$B13,counts!$E$2:$E$701,"remaining_day5")))</f>
        <v>2</v>
      </c>
      <c r="AG13" s="30" t="n">
        <f aca="false">IF(OR($A13="",$AF13=""),"",MAX(0,$AA13+$AD13-$AF13))</f>
        <v>35</v>
      </c>
      <c r="AH13" s="30" t="str">
        <f aca="false">IF(OR($A13="",$AI13=""),"",IFERROR(IF(INDEX(photos!$H$2:$H$701,MATCH($A13&amp;"|"&amp;$B13&amp;"|later|Y|"&amp;$AI13,photos!$S$2:$S$701,0))="","",INDEX(photos!$H$2:$H$701,MATCH($A13&amp;"|"&amp;$B13&amp;"|later|Y|"&amp;$AI13,photos!$S$2:$S$701,0))),""))</f>
        <v>SAMPLE-CMP-003_SAMPLE-O-002_later_2027-02-16.jpg</v>
      </c>
      <c r="AI13" s="31" t="n">
        <f aca="false">IF($A13="","",IFERROR(1/(1/SUMPRODUCT(MAX((photos!$B$2:$B$701=$A13)*(photos!$C$2:$C$701=$B13)*(photos!$D$2:$D$701="later")*(photos!$O$2:$O$701="Y")*photos!$E$2:$E$701))),""))</f>
        <v>46434</v>
      </c>
      <c r="AJ13" s="30" t="n">
        <f aca="false">IF(OR($A13="",$AI13="",$I13=""),"",NETWORKDAYS($I13,$AI13,calendar!$A$2:$A$80))</f>
        <v>5</v>
      </c>
      <c r="AK13" s="30" t="str">
        <f aca="false">IF($A13="","",IF(AND($X13&lt;&gt;"",$AH13&lt;&gt;""),"Y","N"))</f>
        <v>Y</v>
      </c>
      <c r="AL13" s="30" t="n">
        <f aca="true">IF(OR($A13="",$I13=""),"",IF($BC13="Y",SUMIFS(survey_frozen!$C$2:$C$251,survey_frozen!$P$2:$P$251,$A13&amp;"|"&amp;$B13),IFERROR(COUNTIFS(INDIRECT("'"&amp;$A13&amp;"'!$B$2:$B$501"),$T13,INDIRECT("'"&amp;$A13&amp;"'!$A$2:$A$501"),"&gt;="&amp;$I13,INDIRECT("'"&amp;$A13&amp;"'!$A$2:$A$501"),"&lt;"&amp;($BA13+1)),0)))</f>
        <v>9</v>
      </c>
      <c r="AM13" s="30" t="n">
        <f aca="true">IF(OR($A13="",$I13=""),"",IF($BC13="Y",SUMIFS(survey_frozen!$D$2:$D$251,survey_frozen!$P$2:$P$251,$A13&amp;"|"&amp;$B13),IFERROR(COUNTIFS(INDIRECT("'"&amp;$A13&amp;"'!$B$2:$B$501"),$T13,INDIRECT("'"&amp;$A13&amp;"'!$A$2:$A$501"),"&gt;="&amp;$I13,INDIRECT("'"&amp;$A13&amp;"'!$A$2:$A$501"),"&lt;"&amp;($BA13+1),INDIRECT("'"&amp;$A13&amp;"'!$C$2:$C$501"),"Yes"),0)))</f>
        <v>8</v>
      </c>
      <c r="AN13" s="30" t="n">
        <f aca="false">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8</v>
      </c>
      <c r="AO13" s="30" t="n">
        <f aca="false">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7</v>
      </c>
      <c r="AP13" s="30" t="str">
        <f aca="true">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30" t="n">
        <f aca="true">IF(OR($A13="",$I13=""),"",IF($BC13="Y",SUMIFS(survey_frozen!$E$2:$E$251,survey_frozen!$P$2:$P$251,$A13&amp;"|"&amp;$B13),IFERROR(COUNTIFS(INDIRECT("'"&amp;$A13&amp;"'!$B$2:$B$501"),$T13,INDIRECT("'"&amp;$A13&amp;"'!$A$2:$A$501"),"&gt;="&amp;$I13,INDIRECT("'"&amp;$A13&amp;"'!$A$2:$A$501"),"&lt;"&amp;($BA13+1),INDIRECT("'"&amp;$A13&amp;"'!$F$2:$F$501"),"Didn't see it"),0)))</f>
        <v>0</v>
      </c>
      <c r="AR13" s="30" t="n">
        <f aca="true">IF(OR($A13="",$I13=""),"",IF($BC13="Y",SUMIFS(survey_frozen!$F$2:$F$251,survey_frozen!$P$2:$P$251,$A13&amp;"|"&amp;$B13),IFERROR(COUNTIFS(INDIRECT("'"&amp;$A13&amp;"'!$B$2:$B$501"),$T13,INDIRECT("'"&amp;$A13&amp;"'!$A$2:$A$501"),"&gt;="&amp;$I13,INDIRECT("'"&amp;$A13&amp;"'!$A$2:$A$501"),"&lt;"&amp;($BA13+1),INDIRECT("'"&amp;$A13&amp;"'!$F$2:$F$501"),"Not for me"),0)))</f>
        <v>0</v>
      </c>
      <c r="AS13" s="30" t="n">
        <f aca="true">IF(OR($A13="",$I13=""),"",IF($BC13="Y",SUMIFS(survey_frozen!$G$2:$G$251,survey_frozen!$P$2:$P$251,$A13&amp;"|"&amp;$B13),IFERROR(COUNTIFS(INDIRECT("'"&amp;$A13&amp;"'!$B$2:$B$501"),$T13,INDIRECT("'"&amp;$A13&amp;"'!$A$2:$A$501"),"&gt;="&amp;$I13,INDIRECT("'"&amp;$A13&amp;"'!$A$2:$A$501"),"&lt;"&amp;($BA13+1),INDIRECT("'"&amp;$A13&amp;"'!$F$2:$F$501"),"Gone by the time I looked"),0)))</f>
        <v>1</v>
      </c>
      <c r="AT13" s="30" t="n">
        <f aca="true">IF(OR($A13="",$I13=""),"",IF($BC13="Y",SUMIFS(survey_frozen!$H$2:$H$251,survey_frozen!$P$2:$P$251,$A13&amp;"|"&amp;$B13),IFERROR(COUNTIFS(INDIRECT("'"&amp;$A13&amp;"'!$B$2:$B$501"),$T13,INDIRECT("'"&amp;$A13&amp;"'!$A$2:$A$501"),"&gt;="&amp;$I13,INDIRECT("'"&amp;$A13&amp;"'!$A$2:$A$501"),"&lt;"&amp;($BA13+1),INDIRECT("'"&amp;$A13&amp;"'!$D$2:$D$501"),"&gt;=1"),0)))</f>
        <v>8</v>
      </c>
      <c r="AU13" s="30" t="n">
        <f aca="true">IF(OR($A13="",$I13=""),"",IF($BC13="Y",SUMIFS(survey_frozen!$I$2:$I$251,survey_frozen!$P$2:$P$251,$A13&amp;"|"&amp;$B13),IFERROR(SUMIFS(INDIRECT("'"&amp;$A13&amp;"'!$D$2:$D$501"),INDIRECT("'"&amp;$A13&amp;"'!$B$2:$B$501"),$T13,INDIRECT("'"&amp;$A13&amp;"'!$A$2:$A$501"),"&gt;="&amp;$I13,INDIRECT("'"&amp;$A13&amp;"'!$A$2:$A$501"),"&lt;"&amp;($BA13+1)),0)))</f>
        <v>36</v>
      </c>
      <c r="AV13" s="30" t="n">
        <f aca="true">IF(OR($A13="",$I13=""),"",IF($BC13="Y",SUMIFS(survey_frozen!$J$2:$J$251,survey_frozen!$P$2:$P$251,$A13&amp;"|"&amp;$B13),IFERROR(COUNTIFS(INDIRECT("'"&amp;$A13&amp;"'!$B$2:$B$501"),$T13,INDIRECT("'"&amp;$A13&amp;"'!$A$2:$A$501"),"&gt;="&amp;$I13,INDIRECT("'"&amp;$A13&amp;"'!$A$2:$A$501"),"&lt;"&amp;($BA13+1),INDIRECT("'"&amp;$A13&amp;"'!$E$2:$E$501"),"Yes"),0)))</f>
        <v>5</v>
      </c>
      <c r="AW13" s="30" t="n">
        <f aca="true">IF(OR($A13="",$I13=""),"",IF($BC13="Y",SUMIFS(survey_frozen!$K$2:$K$251,survey_frozen!$P$2:$P$251,$A13&amp;"|"&amp;$B13),IFERROR(COUNTIFS(INDIRECT("'"&amp;$A13&amp;"'!$B$2:$B$501"),$T13,INDIRECT("'"&amp;$A13&amp;"'!$A$2:$A$501"),"&gt;="&amp;$I13,INDIRECT("'"&amp;$A13&amp;"'!$A$2:$A$501"),"&lt;"&amp;($BA13+1),INDIRECT("'"&amp;$A13&amp;"'!$E$2:$E$501"),"Maybe"),0)))</f>
        <v>1</v>
      </c>
      <c r="AX13" s="30" t="n">
        <f aca="true">IF(OR($A13="",$I13=""),"",IF($BC13="Y",SUMIFS(survey_frozen!$L$2:$L$251,survey_frozen!$P$2:$P$251,$A13&amp;"|"&amp;$B13),IFERROR(COUNTIFS(INDIRECT("'"&amp;$A13&amp;"'!$B$2:$B$501"),$T13,INDIRECT("'"&amp;$A13&amp;"'!$A$2:$A$501"),"&gt;="&amp;$I13,INDIRECT("'"&amp;$A13&amp;"'!$A$2:$A$501"),"&lt;"&amp;($BA13+1),INDIRECT("'"&amp;$A13&amp;"'!$E$2:$E$501"),"No"),0)))</f>
        <v>2</v>
      </c>
      <c r="AY13" s="30" t="n">
        <f aca="true">IF(OR($A13="",$I13=""),"",IF($BC13="Y",SUMIFS(survey_frozen!$M$2:$M$251,survey_frozen!$P$2:$P$251,$A13&amp;"|"&amp;$B13),IFERROR(COUNTIFS(INDIRECT("'"&amp;$A13&amp;"'!$B$2:$B$501"),$T13,INDIRECT("'"&amp;$A13&amp;"'!$A$2:$A$501"),"&gt;="&amp;$I13,INDIRECT("'"&amp;$A13&amp;"'!$A$2:$A$501"),"&lt;"&amp;($BA13+1),INDIRECT("'"&amp;$A13&amp;"'!$G$2:$G$501"),"&lt;&gt;"),0)))</f>
        <v>2</v>
      </c>
      <c r="AZ13" s="30" t="str">
        <f aca="false">IF($A13="","",$A13&amp;"|"&amp;$L13)</f>
        <v>SAMPLE-CMP-003|2</v>
      </c>
      <c r="BA13" s="31" t="n">
        <f aca="false">IF($A13="","",IFERROR(IF(INDEX(drops!$R$2:$R$21,MATCH($H13,drops!$A$2:$A$21,0))="","",INDEX(drops!$R$2:$R$21,MATCH($H13,drops!$A$2:$A$21,0))),""))</f>
        <v>46434</v>
      </c>
      <c r="BB13" s="30" t="n">
        <f aca="false">IF(OR($A13="",$Q13&lt;&gt;"Y"),1000000,N($AL13))</f>
        <v>9</v>
      </c>
      <c r="BC13" s="30" t="str">
        <f aca="false">IF($A13="","",IF(COUNTIF(survey_frozen!$P$2:$P$251,$A13&amp;"|"&amp;$B13)&gt;0,"Y",""))</f>
        <v/>
      </c>
      <c r="BD13" s="30" t="str">
        <f aca="false">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ustomFormat="false" ht="15" hidden="false" customHeight="false" outlineLevel="0" collapsed="false">
      <c r="A14" s="0" t="s">
        <v>516</v>
      </c>
      <c r="B14" s="0" t="s">
        <v>683</v>
      </c>
      <c r="C14" s="11" t="n">
        <v>46391</v>
      </c>
      <c r="D14" s="10" t="s">
        <v>496</v>
      </c>
      <c r="E14" s="11" t="n">
        <v>46394</v>
      </c>
      <c r="F14" s="10" t="s">
        <v>737</v>
      </c>
      <c r="G14" s="0" t="n">
        <v>47</v>
      </c>
      <c r="H14" s="30" t="str">
        <f aca="false">IF($A14="","",IFERROR(IF(INDEX(campaigns!$B$2:$B$51,MATCH($A14,campaigns!$A$2:$A$51,0))="","",INDEX(campaigns!$B$2:$B$51,MATCH($A14,campaigns!$A$2:$A$51,0))),""))</f>
        <v>SAMPLE-DRP-002</v>
      </c>
      <c r="I14" s="31" t="n">
        <f aca="false">IF($A14="","",IFERROR(IF(INDEX(campaigns!$BG$2:$BG$51,MATCH($A14,campaigns!$A$2:$A$51,0))="","",INDEX(campaigns!$BG$2:$BG$51,MATCH($A14,campaigns!$A$2:$A$51,0))),""))</f>
        <v>46427</v>
      </c>
      <c r="J14" s="30" t="str">
        <f aca="false">IF($A14="","",IFERROR(IF(INDEX(campaigns!$BE$2:$BE$51,MATCH($A14,campaigns!$A$2:$A$51,0))="","",INDEX(campaigns!$BE$2:$BE$51,MATCH($A14,campaigns!$A$2:$A$51,0))),""))</f>
        <v>SAMPLE Tallgrass</v>
      </c>
      <c r="K14" s="30" t="str">
        <f aca="false">IF($B14="","",IFERROR(IF(INDEX(offices!$O$2:$O$61,MATCH($B14,offices!$A$2:$A$61,0))="","",INDEX(offices!$O$2:$O$61,MATCH($B14,offices!$A$2:$A$61,0))),""))</f>
        <v>SAMPLE Halcyon Media</v>
      </c>
      <c r="L14" s="30" t="n">
        <f aca="false">IF($A14="","",IF($Q14="N","",COUNTIFS($A$2:$A14,$A14,$Q$2:$Q14,"&lt;&gt;N")))</f>
        <v>3</v>
      </c>
      <c r="M14" s="30" t="str">
        <f aca="false">IF(OR($A14="",$L14=""),"",IF(AND(config!$B$34="names_if_public",IFERROR(IF(INDEX(offices!$AG$2:$AG$61,MATCH($B14,offices!$A$2:$A$61,0))="","",INDEX(offices!$AG$2:$AG$61,MATCH($B14,offices!$A$2:$A$61,0))),"")="Y"),$K14,CHAR(64+$L14)))</f>
        <v>C</v>
      </c>
      <c r="N14" s="30" t="n">
        <f aca="false">IF(OR($A14="",$I14=""),"",COUNTIFS(stops!$B$2:$B$151,$B14,stops!$P$2:$P$151,"&lt;"&amp;$I14,stops!$L$2:$L$151,"&lt;&gt;not_delivered")+1)</f>
        <v>2</v>
      </c>
      <c r="O14" s="30" t="str">
        <f aca="false">IF($A14="","",IF(N($N14)&lt;=config!$B$29,"explicit","opt-out"))</f>
        <v>explicit</v>
      </c>
      <c r="P14" s="30" t="str">
        <f aca="false">IF($A14="","",IF($O14="explicit",IF($D14="yes","Y",IF($D14="no","N","pending")),IF($D14="no","N",IF(AND($C14&lt;&gt;"",$I14&lt;&gt;"",$C14&lt;=WORKDAY(N($I14),-5,calendar!$A$2:$A$80)),"Y","pending"))))</f>
        <v>Y</v>
      </c>
      <c r="Q14" s="30" t="str">
        <f aca="false">IF($A14="","",IF($P14="N","N",IF($P14&lt;&gt;"Y","pending",IF(AND((COUNTIFS(stops!$A$2:$A$151,$H14,stops!$B$2:$B$151,$B14,stops!$L$2:$L$151,"declined")+COUNTIFS(stops!$A$2:$A$151,$H14,stops!$B$2:$B$151,$B14,stops!$L$2:$L$151,"building_refused")+COUNTIFS(stops!$A$2:$A$151,$H14,stops!$B$2:$B$151,$B14,stops!$L$2:$L$151,"not_delivered"))&gt;0,N($U14)=0),"N","Y"))))</f>
        <v>Y</v>
      </c>
      <c r="R14" s="30" t="str">
        <f aca="false">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30" t="n">
        <f aca="false">IF($A14="","",IF($G14&lt;&gt;"",$G14,IFERROR(IF(INDEX(offices!$AM$2:$AM$61,MATCH($B14,offices!$A$2:$A$61,0))="","",INDEX(offices!$AM$2:$AM$61,MATCH($B14,offices!$A$2:$A$61,0))),"")))</f>
        <v>47</v>
      </c>
      <c r="T14" s="30" t="str">
        <f aca="false">IF($A14="","",$A14&amp;"."&amp;$B14)</f>
        <v>SAMPLE-CMP-003.SAMPLE-O-003</v>
      </c>
      <c r="U14" s="30" t="n">
        <f aca="false">IF($A14="","",SUMIFS(inventory!$G$2:$G$801,inventory!$C$2:$C$801,$A14,inventory!$D$2:$D$801,$B14,inventory!$E$2:$E$801,"delivered"))</f>
        <v>47</v>
      </c>
      <c r="V14" s="37" t="n">
        <f aca="false">IF($A14="","",IFERROR(1/(1/SUMPRODUCT(MAX((inventory!$C$2:$C$801=$A14)*(inventory!$D$2:$D$801=$B14)*(inventory!$E$2:$E$801="delivered")*(inventory!$A$2:$A$801+inventory!$B$2:$B$801)))),""))</f>
        <v>46427.3770833333</v>
      </c>
      <c r="W14" s="30" t="str">
        <f aca="false">IF($A14="","",IFERROR(IF(INDEX(inventory!$J$2:$J$801,MATCH($A14&amp;"|"&amp;$B14&amp;"|delivered",inventory!$R$2:$R$801,0))="","",INDEX(inventory!$J$2:$J$801,MATCH($A14&amp;"|"&amp;$B14&amp;"|delivered",inventory!$R$2:$R$801,0))),""))</f>
        <v>courier_count</v>
      </c>
      <c r="X14" s="30" t="str">
        <f aca="false">IF($A14="","",IFERROR(IF(INDEX(photos!$H$2:$H$701,MATCH($A14&amp;"|"&amp;$B14&amp;"|placement|Y",photos!$R$2:$R$701,0))="","",INDEX(photos!$H$2:$H$701,MATCH($A14&amp;"|"&amp;$B14&amp;"|placement|Y",photos!$R$2:$R$701,0))),""))</f>
        <v>SAMPLE-CMP-003_SAMPLE-O-003_placement_2027-02-09.jpg</v>
      </c>
      <c r="Y14" s="31" t="n">
        <f aca="false">IF($A14="","",IFERROR(IF(INDEX(photos!$E$2:$E$701,MATCH($A14&amp;"|"&amp;$B14&amp;"|placement|Y",photos!$R$2:$R$701,0))="","",INDEX(photos!$E$2:$E$701,MATCH($A14&amp;"|"&amp;$B14&amp;"|placement|Y",photos!$R$2:$R$701,0))),""))</f>
        <v>46427</v>
      </c>
      <c r="Z14" s="30" t="n">
        <f aca="false">IF($A14="","",IF(COUNTIFS(counts!$C$2:$C$701,$A14,counts!$D$2:$D$701,$B14,counts!$E$2:$E$701,"placed")=0,"",SUMIFS(counts!$F$2:$F$701,counts!$C$2:$C$701,$A14,counts!$D$2:$D$701,$B14,counts!$E$2:$E$701,"placed")))</f>
        <v>47</v>
      </c>
      <c r="AA14" s="30" t="n">
        <f aca="false">IF($A14="","",IF($Y14="",0,N($Z14)))</f>
        <v>47</v>
      </c>
      <c r="AB14" s="30" t="str">
        <f aca="false">IF($A14="","",IF(OR($Y14="",$I14=""),"N",IF($Y14&lt;=WORKDAY(N($I14),1,calendar!$A$2:$A$80),"Y","N")))</f>
        <v>Y</v>
      </c>
      <c r="AC14" s="33" t="n">
        <f aca="false">IF(OR($A14="",$V14="",$Y14=""),"",ROUND(($Y14+N(IFERROR(IF(INDEX(photos!$F$2:$F$701,MATCH($A14&amp;"|"&amp;$B14&amp;"|placement|Y",photos!$R$2:$R$701,0))="","",INDEX(photos!$F$2:$F$701,MATCH($A14&amp;"|"&amp;$B14&amp;"|placement|Y",photos!$R$2:$R$701,0))),""))-$V14)*24,1))</f>
        <v>4</v>
      </c>
      <c r="AD14" s="30" t="n">
        <f aca="false">IF($A14="","",SUMIFS(inventory!$G$2:$G$801,inventory!$C$2:$C$801,$A14,inventory!$D$2:$D$801,$B14,inventory!$E$2:$E$801,"topped_up"))</f>
        <v>0</v>
      </c>
      <c r="AE14" s="30" t="n">
        <f aca="false">IF($A14="","",IF(COUNTIFS(counts!$C$2:$C$701,$A14,counts!$D$2:$D$701,$B14,counts!$E$2:$E$701,"remaining_day3")=0,"",SUMIFS(counts!$F$2:$F$701,counts!$C$2:$C$701,$A14,counts!$D$2:$D$701,$B14,counts!$E$2:$E$701,"remaining_day3")))</f>
        <v>20</v>
      </c>
      <c r="AF14" s="30" t="n">
        <f aca="false">IF($A14="","",IF(COUNTIFS(counts!$C$2:$C$701,$A14,counts!$D$2:$D$701,$B14,counts!$E$2:$E$701,"remaining_day5")=0,"",SUMIFS(counts!$F$2:$F$701,counts!$C$2:$C$701,$A14,counts!$D$2:$D$701,$B14,counts!$E$2:$E$701,"remaining_day5")))</f>
        <v>4</v>
      </c>
      <c r="AG14" s="30" t="n">
        <f aca="false">IF(OR($A14="",$AF14=""),"",MAX(0,$AA14+$AD14-$AF14))</f>
        <v>43</v>
      </c>
      <c r="AH14" s="30" t="str">
        <f aca="false">IF(OR($A14="",$AI14=""),"",IFERROR(IF(INDEX(photos!$H$2:$H$701,MATCH($A14&amp;"|"&amp;$B14&amp;"|later|Y|"&amp;$AI14,photos!$S$2:$S$701,0))="","",INDEX(photos!$H$2:$H$701,MATCH($A14&amp;"|"&amp;$B14&amp;"|later|Y|"&amp;$AI14,photos!$S$2:$S$701,0))),""))</f>
        <v>SAMPLE-CMP-003_SAMPLE-O-003_later_2027-02-16.jpg</v>
      </c>
      <c r="AI14" s="31" t="n">
        <f aca="false">IF($A14="","",IFERROR(1/(1/SUMPRODUCT(MAX((photos!$B$2:$B$701=$A14)*(photos!$C$2:$C$701=$B14)*(photos!$D$2:$D$701="later")*(photos!$O$2:$O$701="Y")*photos!$E$2:$E$701))),""))</f>
        <v>46434</v>
      </c>
      <c r="AJ14" s="30" t="n">
        <f aca="false">IF(OR($A14="",$AI14="",$I14=""),"",NETWORKDAYS($I14,$AI14,calendar!$A$2:$A$80))</f>
        <v>5</v>
      </c>
      <c r="AK14" s="30" t="str">
        <f aca="false">IF($A14="","",IF(AND($X14&lt;&gt;"",$AH14&lt;&gt;""),"Y","N"))</f>
        <v>Y</v>
      </c>
      <c r="AL14" s="30" t="n">
        <f aca="true">IF(OR($A14="",$I14=""),"",IF($BC14="Y",SUMIFS(survey_frozen!$C$2:$C$251,survey_frozen!$P$2:$P$251,$A14&amp;"|"&amp;$B14),IFERROR(COUNTIFS(INDIRECT("'"&amp;$A14&amp;"'!$B$2:$B$501"),$T14,INDIRECT("'"&amp;$A14&amp;"'!$A$2:$A$501"),"&gt;="&amp;$I14,INDIRECT("'"&amp;$A14&amp;"'!$A$2:$A$501"),"&lt;"&amp;($BA14+1)),0)))</f>
        <v>6</v>
      </c>
      <c r="AM14" s="30" t="n">
        <f aca="true">IF(OR($A14="",$I14=""),"",IF($BC14="Y",SUMIFS(survey_frozen!$D$2:$D$251,survey_frozen!$P$2:$P$251,$A14&amp;"|"&amp;$B14),IFERROR(COUNTIFS(INDIRECT("'"&amp;$A14&amp;"'!$B$2:$B$501"),$T14,INDIRECT("'"&amp;$A14&amp;"'!$A$2:$A$501"),"&gt;="&amp;$I14,INDIRECT("'"&amp;$A14&amp;"'!$A$2:$A$501"),"&lt;"&amp;($BA14+1),INDIRECT("'"&amp;$A14&amp;"'!$C$2:$C$501"),"Yes"),0)))</f>
        <v>4</v>
      </c>
      <c r="AN14" s="30" t="n">
        <f aca="false">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4</v>
      </c>
      <c r="AO14" s="30" t="n">
        <f aca="false">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3</v>
      </c>
      <c r="AP14" s="30" t="str">
        <f aca="true">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30" t="n">
        <f aca="true">IF(OR($A14="",$I14=""),"",IF($BC14="Y",SUMIFS(survey_frozen!$E$2:$E$251,survey_frozen!$P$2:$P$251,$A14&amp;"|"&amp;$B14),IFERROR(COUNTIFS(INDIRECT("'"&amp;$A14&amp;"'!$B$2:$B$501"),$T14,INDIRECT("'"&amp;$A14&amp;"'!$A$2:$A$501"),"&gt;="&amp;$I14,INDIRECT("'"&amp;$A14&amp;"'!$A$2:$A$501"),"&lt;"&amp;($BA14+1),INDIRECT("'"&amp;$A14&amp;"'!$F$2:$F$501"),"Didn't see it"),0)))</f>
        <v>2</v>
      </c>
      <c r="AR14" s="30" t="n">
        <f aca="true">IF(OR($A14="",$I14=""),"",IF($BC14="Y",SUMIFS(survey_frozen!$F$2:$F$251,survey_frozen!$P$2:$P$251,$A14&amp;"|"&amp;$B14),IFERROR(COUNTIFS(INDIRECT("'"&amp;$A14&amp;"'!$B$2:$B$501"),$T14,INDIRECT("'"&amp;$A14&amp;"'!$A$2:$A$501"),"&gt;="&amp;$I14,INDIRECT("'"&amp;$A14&amp;"'!$A$2:$A$501"),"&lt;"&amp;($BA14+1),INDIRECT("'"&amp;$A14&amp;"'!$F$2:$F$501"),"Not for me"),0)))</f>
        <v>0</v>
      </c>
      <c r="AS14" s="30" t="n">
        <f aca="true">IF(OR($A14="",$I14=""),"",IF($BC14="Y",SUMIFS(survey_frozen!$G$2:$G$251,survey_frozen!$P$2:$P$251,$A14&amp;"|"&amp;$B14),IFERROR(COUNTIFS(INDIRECT("'"&amp;$A14&amp;"'!$B$2:$B$501"),$T14,INDIRECT("'"&amp;$A14&amp;"'!$A$2:$A$501"),"&gt;="&amp;$I14,INDIRECT("'"&amp;$A14&amp;"'!$A$2:$A$501"),"&lt;"&amp;($BA14+1),INDIRECT("'"&amp;$A14&amp;"'!$F$2:$F$501"),"Gone by the time I looked"),0)))</f>
        <v>0</v>
      </c>
      <c r="AT14" s="30" t="n">
        <f aca="true">IF(OR($A14="",$I14=""),"",IF($BC14="Y",SUMIFS(survey_frozen!$H$2:$H$251,survey_frozen!$P$2:$P$251,$A14&amp;"|"&amp;$B14),IFERROR(COUNTIFS(INDIRECT("'"&amp;$A14&amp;"'!$B$2:$B$501"),$T14,INDIRECT("'"&amp;$A14&amp;"'!$A$2:$A$501"),"&gt;="&amp;$I14,INDIRECT("'"&amp;$A14&amp;"'!$A$2:$A$501"),"&lt;"&amp;($BA14+1),INDIRECT("'"&amp;$A14&amp;"'!$D$2:$D$501"),"&gt;=1"),0)))</f>
        <v>4</v>
      </c>
      <c r="AU14" s="30" t="n">
        <f aca="true">IF(OR($A14="",$I14=""),"",IF($BC14="Y",SUMIFS(survey_frozen!$I$2:$I$251,survey_frozen!$P$2:$P$251,$A14&amp;"|"&amp;$B14),IFERROR(SUMIFS(INDIRECT("'"&amp;$A14&amp;"'!$D$2:$D$501"),INDIRECT("'"&amp;$A14&amp;"'!$B$2:$B$501"),$T14,INDIRECT("'"&amp;$A14&amp;"'!$A$2:$A$501"),"&gt;="&amp;$I14,INDIRECT("'"&amp;$A14&amp;"'!$A$2:$A$501"),"&lt;"&amp;($BA14+1)),0)))</f>
        <v>15</v>
      </c>
      <c r="AV14" s="30" t="n">
        <f aca="true">IF(OR($A14="",$I14=""),"",IF($BC14="Y",SUMIFS(survey_frozen!$J$2:$J$251,survey_frozen!$P$2:$P$251,$A14&amp;"|"&amp;$B14),IFERROR(COUNTIFS(INDIRECT("'"&amp;$A14&amp;"'!$B$2:$B$501"),$T14,INDIRECT("'"&amp;$A14&amp;"'!$A$2:$A$501"),"&gt;="&amp;$I14,INDIRECT("'"&amp;$A14&amp;"'!$A$2:$A$501"),"&lt;"&amp;($BA14+1),INDIRECT("'"&amp;$A14&amp;"'!$E$2:$E$501"),"Yes"),0)))</f>
        <v>2</v>
      </c>
      <c r="AW14" s="30" t="n">
        <f aca="true">IF(OR($A14="",$I14=""),"",IF($BC14="Y",SUMIFS(survey_frozen!$K$2:$K$251,survey_frozen!$P$2:$P$251,$A14&amp;"|"&amp;$B14),IFERROR(COUNTIFS(INDIRECT("'"&amp;$A14&amp;"'!$B$2:$B$501"),$T14,INDIRECT("'"&amp;$A14&amp;"'!$A$2:$A$501"),"&gt;="&amp;$I14,INDIRECT("'"&amp;$A14&amp;"'!$A$2:$A$501"),"&lt;"&amp;($BA14+1),INDIRECT("'"&amp;$A14&amp;"'!$E$2:$E$501"),"Maybe"),0)))</f>
        <v>1</v>
      </c>
      <c r="AX14" s="30" t="n">
        <f aca="true">IF(OR($A14="",$I14=""),"",IF($BC14="Y",SUMIFS(survey_frozen!$L$2:$L$251,survey_frozen!$P$2:$P$251,$A14&amp;"|"&amp;$B14),IFERROR(COUNTIFS(INDIRECT("'"&amp;$A14&amp;"'!$B$2:$B$501"),$T14,INDIRECT("'"&amp;$A14&amp;"'!$A$2:$A$501"),"&gt;="&amp;$I14,INDIRECT("'"&amp;$A14&amp;"'!$A$2:$A$501"),"&lt;"&amp;($BA14+1),INDIRECT("'"&amp;$A14&amp;"'!$E$2:$E$501"),"No"),0)))</f>
        <v>1</v>
      </c>
      <c r="AY14" s="30" t="n">
        <f aca="true">IF(OR($A14="",$I14=""),"",IF($BC14="Y",SUMIFS(survey_frozen!$M$2:$M$251,survey_frozen!$P$2:$P$251,$A14&amp;"|"&amp;$B14),IFERROR(COUNTIFS(INDIRECT("'"&amp;$A14&amp;"'!$B$2:$B$501"),$T14,INDIRECT("'"&amp;$A14&amp;"'!$A$2:$A$501"),"&gt;="&amp;$I14,INDIRECT("'"&amp;$A14&amp;"'!$A$2:$A$501"),"&lt;"&amp;($BA14+1),INDIRECT("'"&amp;$A14&amp;"'!$G$2:$G$501"),"&lt;&gt;"),0)))</f>
        <v>3</v>
      </c>
      <c r="AZ14" s="30" t="str">
        <f aca="false">IF($A14="","",$A14&amp;"|"&amp;$L14)</f>
        <v>SAMPLE-CMP-003|3</v>
      </c>
      <c r="BA14" s="31" t="n">
        <f aca="false">IF($A14="","",IFERROR(IF(INDEX(drops!$R$2:$R$21,MATCH($H14,drops!$A$2:$A$21,0))="","",INDEX(drops!$R$2:$R$21,MATCH($H14,drops!$A$2:$A$21,0))),""))</f>
        <v>46434</v>
      </c>
      <c r="BB14" s="30" t="n">
        <f aca="false">IF(OR($A14="",$Q14&lt;&gt;"Y"),1000000,N($AL14))</f>
        <v>6</v>
      </c>
      <c r="BC14" s="30" t="str">
        <f aca="false">IF($A14="","",IF(COUNTIF(survey_frozen!$P$2:$P$251,$A14&amp;"|"&amp;$B14)&gt;0,"Y",""))</f>
        <v/>
      </c>
      <c r="BD14" s="30" t="str">
        <f aca="false">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ustomFormat="false" ht="15" hidden="false" customHeight="false" outlineLevel="0" collapsed="false">
      <c r="A15" s="0" t="s">
        <v>516</v>
      </c>
      <c r="B15" s="0" t="s">
        <v>686</v>
      </c>
      <c r="C15" s="11" t="n">
        <v>46391</v>
      </c>
      <c r="D15" s="10" t="s">
        <v>496</v>
      </c>
      <c r="E15" s="11" t="n">
        <v>46392</v>
      </c>
      <c r="F15" s="10" t="s">
        <v>737</v>
      </c>
      <c r="G15" s="0" t="n">
        <v>47</v>
      </c>
      <c r="H15" s="30" t="str">
        <f aca="false">IF($A15="","",IFERROR(IF(INDEX(campaigns!$B$2:$B$51,MATCH($A15,campaigns!$A$2:$A$51,0))="","",INDEX(campaigns!$B$2:$B$51,MATCH($A15,campaigns!$A$2:$A$51,0))),""))</f>
        <v>SAMPLE-DRP-002</v>
      </c>
      <c r="I15" s="31" t="n">
        <f aca="false">IF($A15="","",IFERROR(IF(INDEX(campaigns!$BG$2:$BG$51,MATCH($A15,campaigns!$A$2:$A$51,0))="","",INDEX(campaigns!$BG$2:$BG$51,MATCH($A15,campaigns!$A$2:$A$51,0))),""))</f>
        <v>46427</v>
      </c>
      <c r="J15" s="30" t="str">
        <f aca="false">IF($A15="","",IFERROR(IF(INDEX(campaigns!$BE$2:$BE$51,MATCH($A15,campaigns!$A$2:$A$51,0))="","",INDEX(campaigns!$BE$2:$BE$51,MATCH($A15,campaigns!$A$2:$A$51,0))),""))</f>
        <v>SAMPLE Tallgrass</v>
      </c>
      <c r="K15" s="30" t="str">
        <f aca="false">IF($B15="","",IFERROR(IF(INDEX(offices!$O$2:$O$61,MATCH($B15,offices!$A$2:$A$61,0))="","",INDEX(offices!$O$2:$O$61,MATCH($B15,offices!$A$2:$A$61,0))),""))</f>
        <v>SAMPLE Union Food Fund</v>
      </c>
      <c r="L15" s="30" t="n">
        <f aca="false">IF($A15="","",IF($Q15="N","",COUNTIFS($A$2:$A15,$A15,$Q$2:$Q15,"&lt;&gt;N")))</f>
        <v>4</v>
      </c>
      <c r="M15" s="30" t="str">
        <f aca="false">IF(OR($A15="",$L15=""),"",IF(AND(config!$B$34="names_if_public",IFERROR(IF(INDEX(offices!$AG$2:$AG$61,MATCH($B15,offices!$A$2:$A$61,0))="","",INDEX(offices!$AG$2:$AG$61,MATCH($B15,offices!$A$2:$A$61,0))),"")="Y"),$K15,CHAR(64+$L15)))</f>
        <v>D</v>
      </c>
      <c r="N15" s="30" t="n">
        <f aca="false">IF(OR($A15="",$I15=""),"",COUNTIFS(stops!$B$2:$B$151,$B15,stops!$P$2:$P$151,"&lt;"&amp;$I15,stops!$L$2:$L$151,"&lt;&gt;not_delivered")+1)</f>
        <v>2</v>
      </c>
      <c r="O15" s="30" t="str">
        <f aca="false">IF($A15="","",IF(N($N15)&lt;=config!$B$29,"explicit","opt-out"))</f>
        <v>explicit</v>
      </c>
      <c r="P15" s="30" t="str">
        <f aca="false">IF($A15="","",IF($O15="explicit",IF($D15="yes","Y",IF($D15="no","N","pending")),IF($D15="no","N",IF(AND($C15&lt;&gt;"",$I15&lt;&gt;"",$C15&lt;=WORKDAY(N($I15),-5,calendar!$A$2:$A$80)),"Y","pending"))))</f>
        <v>Y</v>
      </c>
      <c r="Q15" s="30" t="str">
        <f aca="false">IF($A15="","",IF($P15="N","N",IF($P15&lt;&gt;"Y","pending",IF(AND((COUNTIFS(stops!$A$2:$A$151,$H15,stops!$B$2:$B$151,$B15,stops!$L$2:$L$151,"declined")+COUNTIFS(stops!$A$2:$A$151,$H15,stops!$B$2:$B$151,$B15,stops!$L$2:$L$151,"building_refused")+COUNTIFS(stops!$A$2:$A$151,$H15,stops!$B$2:$B$151,$B15,stops!$L$2:$L$151,"not_delivered"))&gt;0,N($U15)=0),"N","Y"))))</f>
        <v>Y</v>
      </c>
      <c r="R15" s="30" t="str">
        <f aca="false">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30" t="n">
        <f aca="false">IF($A15="","",IF($G15&lt;&gt;"",$G15,IFERROR(IF(INDEX(offices!$AM$2:$AM$61,MATCH($B15,offices!$A$2:$A$61,0))="","",INDEX(offices!$AM$2:$AM$61,MATCH($B15,offices!$A$2:$A$61,0))),"")))</f>
        <v>47</v>
      </c>
      <c r="T15" s="30" t="str">
        <f aca="false">IF($A15="","",$A15&amp;"."&amp;$B15)</f>
        <v>SAMPLE-CMP-003.SAMPLE-O-004</v>
      </c>
      <c r="U15" s="30" t="n">
        <f aca="false">IF($A15="","",SUMIFS(inventory!$G$2:$G$801,inventory!$C$2:$C$801,$A15,inventory!$D$2:$D$801,$B15,inventory!$E$2:$E$801,"delivered"))</f>
        <v>47</v>
      </c>
      <c r="V15" s="37" t="n">
        <f aca="false">IF($A15="","",IFERROR(1/(1/SUMPRODUCT(MAX((inventory!$C$2:$C$801=$A15)*(inventory!$D$2:$D$801=$B15)*(inventory!$E$2:$E$801="delivered")*(inventory!$A$2:$A$801+inventory!$B$2:$B$801)))),""))</f>
        <v>46427.4298611111</v>
      </c>
      <c r="W15" s="30" t="str">
        <f aca="false">IF($A15="","",IFERROR(IF(INDEX(inventory!$J$2:$J$801,MATCH($A15&amp;"|"&amp;$B15&amp;"|delivered",inventory!$R$2:$R$801,0))="","",INDEX(inventory!$J$2:$J$801,MATCH($A15&amp;"|"&amp;$B15&amp;"|delivered",inventory!$R$2:$R$801,0))),""))</f>
        <v>courier_count</v>
      </c>
      <c r="X15" s="30" t="str">
        <f aca="false">IF($A15="","",IFERROR(IF(INDEX(photos!$H$2:$H$701,MATCH($A15&amp;"|"&amp;$B15&amp;"|placement|Y",photos!$R$2:$R$701,0))="","",INDEX(photos!$H$2:$H$701,MATCH($A15&amp;"|"&amp;$B15&amp;"|placement|Y",photos!$R$2:$R$701,0))),""))</f>
        <v>SAMPLE-CMP-003_SAMPLE-O-004_placement_2027-02-10.jpg</v>
      </c>
      <c r="Y15" s="31" t="n">
        <f aca="false">IF($A15="","",IFERROR(IF(INDEX(photos!$E$2:$E$701,MATCH($A15&amp;"|"&amp;$B15&amp;"|placement|Y",photos!$R$2:$R$701,0))="","",INDEX(photos!$E$2:$E$701,MATCH($A15&amp;"|"&amp;$B15&amp;"|placement|Y",photos!$R$2:$R$701,0))),""))</f>
        <v>46428</v>
      </c>
      <c r="Z15" s="30" t="n">
        <f aca="false">IF($A15="","",IF(COUNTIFS(counts!$C$2:$C$701,$A15,counts!$D$2:$D$701,$B15,counts!$E$2:$E$701,"placed")=0,"",SUMIFS(counts!$F$2:$F$701,counts!$C$2:$C$701,$A15,counts!$D$2:$D$701,$B15,counts!$E$2:$E$701,"placed")))</f>
        <v>47</v>
      </c>
      <c r="AA15" s="30" t="n">
        <f aca="false">IF($A15="","",IF($Y15="",0,N($Z15)))</f>
        <v>47</v>
      </c>
      <c r="AB15" s="30" t="str">
        <f aca="false">IF($A15="","",IF(OR($Y15="",$I15=""),"N",IF($Y15&lt;=WORKDAY(N($I15),1,calendar!$A$2:$A$80),"Y","N")))</f>
        <v>Y</v>
      </c>
      <c r="AC15" s="33" t="n">
        <f aca="false">IF(OR($A15="",$V15="",$Y15=""),"",ROUND(($Y15+N(IFERROR(IF(INDEX(photos!$F$2:$F$701,MATCH($A15&amp;"|"&amp;$B15&amp;"|placement|Y",photos!$R$2:$R$701,0))="","",INDEX(photos!$F$2:$F$701,MATCH($A15&amp;"|"&amp;$B15&amp;"|placement|Y",photos!$R$2:$R$701,0))),""))-$V15)*24,1))</f>
        <v>23.2</v>
      </c>
      <c r="AD15" s="30" t="n">
        <f aca="false">IF($A15="","",SUMIFS(inventory!$G$2:$G$801,inventory!$C$2:$C$801,$A15,inventory!$D$2:$D$801,$B15,inventory!$E$2:$E$801,"topped_up"))</f>
        <v>0</v>
      </c>
      <c r="AE15" s="30" t="n">
        <f aca="false">IF($A15="","",IF(COUNTIFS(counts!$C$2:$C$701,$A15,counts!$D$2:$D$701,$B15,counts!$E$2:$E$701,"remaining_day3")=0,"",SUMIFS(counts!$F$2:$F$701,counts!$C$2:$C$701,$A15,counts!$D$2:$D$701,$B15,counts!$E$2:$E$701,"remaining_day3")))</f>
        <v>12</v>
      </c>
      <c r="AF15" s="30" t="n">
        <f aca="false">IF($A15="","",IF(COUNTIFS(counts!$C$2:$C$701,$A15,counts!$D$2:$D$701,$B15,counts!$E$2:$E$701,"remaining_day5")=0,"",SUMIFS(counts!$F$2:$F$701,counts!$C$2:$C$701,$A15,counts!$D$2:$D$701,$B15,counts!$E$2:$E$701,"remaining_day5")))</f>
        <v>3</v>
      </c>
      <c r="AG15" s="30" t="n">
        <f aca="false">IF(OR($A15="",$AF15=""),"",MAX(0,$AA15+$AD15-$AF15))</f>
        <v>44</v>
      </c>
      <c r="AH15" s="30" t="str">
        <f aca="false">IF(OR($A15="",$AI15=""),"",IFERROR(IF(INDEX(photos!$H$2:$H$701,MATCH($A15&amp;"|"&amp;$B15&amp;"|later|Y|"&amp;$AI15,photos!$S$2:$S$701,0))="","",INDEX(photos!$H$2:$H$701,MATCH($A15&amp;"|"&amp;$B15&amp;"|later|Y|"&amp;$AI15,photos!$S$2:$S$701,0))),""))</f>
        <v>SAMPLE-CMP-003_SAMPLE-O-004_later_2027-02-16.jpg</v>
      </c>
      <c r="AI15" s="31" t="n">
        <f aca="false">IF($A15="","",IFERROR(1/(1/SUMPRODUCT(MAX((photos!$B$2:$B$701=$A15)*(photos!$C$2:$C$701=$B15)*(photos!$D$2:$D$701="later")*(photos!$O$2:$O$701="Y")*photos!$E$2:$E$701))),""))</f>
        <v>46434</v>
      </c>
      <c r="AJ15" s="30" t="n">
        <f aca="false">IF(OR($A15="",$AI15="",$I15=""),"",NETWORKDAYS($I15,$AI15,calendar!$A$2:$A$80))</f>
        <v>5</v>
      </c>
      <c r="AK15" s="30" t="str">
        <f aca="false">IF($A15="","",IF(AND($X15&lt;&gt;"",$AH15&lt;&gt;""),"Y","N"))</f>
        <v>Y</v>
      </c>
      <c r="AL15" s="30" t="n">
        <f aca="true">IF(OR($A15="",$I15=""),"",IF($BC15="Y",SUMIFS(survey_frozen!$C$2:$C$251,survey_frozen!$P$2:$P$251,$A15&amp;"|"&amp;$B15),IFERROR(COUNTIFS(INDIRECT("'"&amp;$A15&amp;"'!$B$2:$B$501"),$T15,INDIRECT("'"&amp;$A15&amp;"'!$A$2:$A$501"),"&gt;="&amp;$I15,INDIRECT("'"&amp;$A15&amp;"'!$A$2:$A$501"),"&lt;"&amp;($BA15+1)),0)))</f>
        <v>8</v>
      </c>
      <c r="AM15" s="30" t="n">
        <f aca="true">IF(OR($A15="",$I15=""),"",IF($BC15="Y",SUMIFS(survey_frozen!$D$2:$D$251,survey_frozen!$P$2:$P$251,$A15&amp;"|"&amp;$B15),IFERROR(COUNTIFS(INDIRECT("'"&amp;$A15&amp;"'!$B$2:$B$501"),$T15,INDIRECT("'"&amp;$A15&amp;"'!$A$2:$A$501"),"&gt;="&amp;$I15,INDIRECT("'"&amp;$A15&amp;"'!$A$2:$A$501"),"&lt;"&amp;($BA15+1),INDIRECT("'"&amp;$A15&amp;"'!$C$2:$C$501"),"Yes"),0)))</f>
        <v>6</v>
      </c>
      <c r="AN15" s="30" t="n">
        <f aca="false">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12</v>
      </c>
      <c r="AO15" s="30" t="n">
        <f aca="false">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11</v>
      </c>
      <c r="AP15" s="30" t="str">
        <f aca="true">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30" t="n">
        <f aca="true">IF(OR($A15="",$I15=""),"",IF($BC15="Y",SUMIFS(survey_frozen!$E$2:$E$251,survey_frozen!$P$2:$P$251,$A15&amp;"|"&amp;$B15),IFERROR(COUNTIFS(INDIRECT("'"&amp;$A15&amp;"'!$B$2:$B$501"),$T15,INDIRECT("'"&amp;$A15&amp;"'!$A$2:$A$501"),"&gt;="&amp;$I15,INDIRECT("'"&amp;$A15&amp;"'!$A$2:$A$501"),"&lt;"&amp;($BA15+1),INDIRECT("'"&amp;$A15&amp;"'!$F$2:$F$501"),"Didn't see it"),0)))</f>
        <v>1</v>
      </c>
      <c r="AR15" s="30" t="n">
        <f aca="true">IF(OR($A15="",$I15=""),"",IF($BC15="Y",SUMIFS(survey_frozen!$F$2:$F$251,survey_frozen!$P$2:$P$251,$A15&amp;"|"&amp;$B15),IFERROR(COUNTIFS(INDIRECT("'"&amp;$A15&amp;"'!$B$2:$B$501"),$T15,INDIRECT("'"&amp;$A15&amp;"'!$A$2:$A$501"),"&gt;="&amp;$I15,INDIRECT("'"&amp;$A15&amp;"'!$A$2:$A$501"),"&lt;"&amp;($BA15+1),INDIRECT("'"&amp;$A15&amp;"'!$F$2:$F$501"),"Not for me"),0)))</f>
        <v>0</v>
      </c>
      <c r="AS15" s="30" t="n">
        <f aca="true">IF(OR($A15="",$I15=""),"",IF($BC15="Y",SUMIFS(survey_frozen!$G$2:$G$251,survey_frozen!$P$2:$P$251,$A15&amp;"|"&amp;$B15),IFERROR(COUNTIFS(INDIRECT("'"&amp;$A15&amp;"'!$B$2:$B$501"),$T15,INDIRECT("'"&amp;$A15&amp;"'!$A$2:$A$501"),"&gt;="&amp;$I15,INDIRECT("'"&amp;$A15&amp;"'!$A$2:$A$501"),"&lt;"&amp;($BA15+1),INDIRECT("'"&amp;$A15&amp;"'!$F$2:$F$501"),"Gone by the time I looked"),0)))</f>
        <v>1</v>
      </c>
      <c r="AT15" s="30" t="n">
        <f aca="true">IF(OR($A15="",$I15=""),"",IF($BC15="Y",SUMIFS(survey_frozen!$H$2:$H$251,survey_frozen!$P$2:$P$251,$A15&amp;"|"&amp;$B15),IFERROR(COUNTIFS(INDIRECT("'"&amp;$A15&amp;"'!$B$2:$B$501"),$T15,INDIRECT("'"&amp;$A15&amp;"'!$A$2:$A$501"),"&gt;="&amp;$I15,INDIRECT("'"&amp;$A15&amp;"'!$A$2:$A$501"),"&lt;"&amp;($BA15+1),INDIRECT("'"&amp;$A15&amp;"'!$D$2:$D$501"),"&gt;=1"),0)))</f>
        <v>6</v>
      </c>
      <c r="AU15" s="30" t="n">
        <f aca="true">IF(OR($A15="",$I15=""),"",IF($BC15="Y",SUMIFS(survey_frozen!$I$2:$I$251,survey_frozen!$P$2:$P$251,$A15&amp;"|"&amp;$B15),IFERROR(SUMIFS(INDIRECT("'"&amp;$A15&amp;"'!$D$2:$D$501"),INDIRECT("'"&amp;$A15&amp;"'!$B$2:$B$501"),$T15,INDIRECT("'"&amp;$A15&amp;"'!$A$2:$A$501"),"&gt;="&amp;$I15,INDIRECT("'"&amp;$A15&amp;"'!$A$2:$A$501"),"&lt;"&amp;($BA15+1)),0)))</f>
        <v>25</v>
      </c>
      <c r="AV15" s="30" t="n">
        <f aca="true">IF(OR($A15="",$I15=""),"",IF($BC15="Y",SUMIFS(survey_frozen!$J$2:$J$251,survey_frozen!$P$2:$P$251,$A15&amp;"|"&amp;$B15),IFERROR(COUNTIFS(INDIRECT("'"&amp;$A15&amp;"'!$B$2:$B$501"),$T15,INDIRECT("'"&amp;$A15&amp;"'!$A$2:$A$501"),"&gt;="&amp;$I15,INDIRECT("'"&amp;$A15&amp;"'!$A$2:$A$501"),"&lt;"&amp;($BA15+1),INDIRECT("'"&amp;$A15&amp;"'!$E$2:$E$501"),"Yes"),0)))</f>
        <v>2</v>
      </c>
      <c r="AW15" s="30" t="n">
        <f aca="true">IF(OR($A15="",$I15=""),"",IF($BC15="Y",SUMIFS(survey_frozen!$K$2:$K$251,survey_frozen!$P$2:$P$251,$A15&amp;"|"&amp;$B15),IFERROR(COUNTIFS(INDIRECT("'"&amp;$A15&amp;"'!$B$2:$B$501"),$T15,INDIRECT("'"&amp;$A15&amp;"'!$A$2:$A$501"),"&gt;="&amp;$I15,INDIRECT("'"&amp;$A15&amp;"'!$A$2:$A$501"),"&lt;"&amp;($BA15+1),INDIRECT("'"&amp;$A15&amp;"'!$E$2:$E$501"),"Maybe"),0)))</f>
        <v>3</v>
      </c>
      <c r="AX15" s="30" t="n">
        <f aca="true">IF(OR($A15="",$I15=""),"",IF($BC15="Y",SUMIFS(survey_frozen!$L$2:$L$251,survey_frozen!$P$2:$P$251,$A15&amp;"|"&amp;$B15),IFERROR(COUNTIFS(INDIRECT("'"&amp;$A15&amp;"'!$B$2:$B$501"),$T15,INDIRECT("'"&amp;$A15&amp;"'!$A$2:$A$501"),"&gt;="&amp;$I15,INDIRECT("'"&amp;$A15&amp;"'!$A$2:$A$501"),"&lt;"&amp;($BA15+1),INDIRECT("'"&amp;$A15&amp;"'!$E$2:$E$501"),"No"),0)))</f>
        <v>1</v>
      </c>
      <c r="AY15" s="30" t="n">
        <f aca="true">IF(OR($A15="",$I15=""),"",IF($BC15="Y",SUMIFS(survey_frozen!$M$2:$M$251,survey_frozen!$P$2:$P$251,$A15&amp;"|"&amp;$B15),IFERROR(COUNTIFS(INDIRECT("'"&amp;$A15&amp;"'!$B$2:$B$501"),$T15,INDIRECT("'"&amp;$A15&amp;"'!$A$2:$A$501"),"&gt;="&amp;$I15,INDIRECT("'"&amp;$A15&amp;"'!$A$2:$A$501"),"&lt;"&amp;($BA15+1),INDIRECT("'"&amp;$A15&amp;"'!$G$2:$G$501"),"&lt;&gt;"),0)))</f>
        <v>5</v>
      </c>
      <c r="AZ15" s="30" t="str">
        <f aca="false">IF($A15="","",$A15&amp;"|"&amp;$L15)</f>
        <v>SAMPLE-CMP-003|4</v>
      </c>
      <c r="BA15" s="31" t="n">
        <f aca="false">IF($A15="","",IFERROR(IF(INDEX(drops!$R$2:$R$21,MATCH($H15,drops!$A$2:$A$21,0))="","",INDEX(drops!$R$2:$R$21,MATCH($H15,drops!$A$2:$A$21,0))),""))</f>
        <v>46434</v>
      </c>
      <c r="BB15" s="30" t="n">
        <f aca="false">IF(OR($A15="",$Q15&lt;&gt;"Y"),1000000,N($AL15))</f>
        <v>8</v>
      </c>
      <c r="BC15" s="30" t="str">
        <f aca="false">IF($A15="","",IF(COUNTIF(survey_frozen!$P$2:$P$251,$A15&amp;"|"&amp;$B15)&gt;0,"Y",""))</f>
        <v/>
      </c>
      <c r="BD15" s="30" t="str">
        <f aca="false">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ustomFormat="false" ht="15" hidden="false" customHeight="false" outlineLevel="0" collapsed="false">
      <c r="A16" s="0" t="s">
        <v>516</v>
      </c>
      <c r="B16" s="0" t="s">
        <v>688</v>
      </c>
      <c r="C16" s="11" t="n">
        <v>46391</v>
      </c>
      <c r="D16" s="10" t="s">
        <v>496</v>
      </c>
      <c r="E16" s="11" t="n">
        <v>46393</v>
      </c>
      <c r="F16" s="10" t="s">
        <v>737</v>
      </c>
      <c r="G16" s="0" t="n">
        <v>67</v>
      </c>
      <c r="H16" s="30" t="str">
        <f aca="false">IF($A16="","",IFERROR(IF(INDEX(campaigns!$B$2:$B$51,MATCH($A16,campaigns!$A$2:$A$51,0))="","",INDEX(campaigns!$B$2:$B$51,MATCH($A16,campaigns!$A$2:$A$51,0))),""))</f>
        <v>SAMPLE-DRP-002</v>
      </c>
      <c r="I16" s="31" t="n">
        <f aca="false">IF($A16="","",IFERROR(IF(INDEX(campaigns!$BG$2:$BG$51,MATCH($A16,campaigns!$A$2:$A$51,0))="","",INDEX(campaigns!$BG$2:$BG$51,MATCH($A16,campaigns!$A$2:$A$51,0))),""))</f>
        <v>46427</v>
      </c>
      <c r="J16" s="30" t="str">
        <f aca="false">IF($A16="","",IFERROR(IF(INDEX(campaigns!$BE$2:$BE$51,MATCH($A16,campaigns!$A$2:$A$51,0))="","",INDEX(campaigns!$BE$2:$BE$51,MATCH($A16,campaigns!$A$2:$A$51,0))),""))</f>
        <v>SAMPLE Tallgrass</v>
      </c>
      <c r="K16" s="30" t="str">
        <f aca="false">IF($B16="","",IFERROR(IF(INDEX(offices!$O$2:$O$61,MATCH($B16,offices!$A$2:$A$61,0))="","",INDEX(offices!$O$2:$O$61,MATCH($B16,offices!$A$2:$A$61,0))),""))</f>
        <v>SAMPLE Studio Marlow</v>
      </c>
      <c r="L16" s="30" t="n">
        <f aca="false">IF($A16="","",IF($Q16="N","",COUNTIFS($A$2:$A16,$A16,$Q$2:$Q16,"&lt;&gt;N")))</f>
        <v>5</v>
      </c>
      <c r="M16" s="30" t="str">
        <f aca="false">IF(OR($A16="",$L16=""),"",IF(AND(config!$B$34="names_if_public",IFERROR(IF(INDEX(offices!$AG$2:$AG$61,MATCH($B16,offices!$A$2:$A$61,0))="","",INDEX(offices!$AG$2:$AG$61,MATCH($B16,offices!$A$2:$A$61,0))),"")="Y"),$K16,CHAR(64+$L16)))</f>
        <v>E</v>
      </c>
      <c r="N16" s="30" t="n">
        <f aca="false">IF(OR($A16="",$I16=""),"",COUNTIFS(stops!$B$2:$B$151,$B16,stops!$P$2:$P$151,"&lt;"&amp;$I16,stops!$L$2:$L$151,"&lt;&gt;not_delivered")+1)</f>
        <v>2</v>
      </c>
      <c r="O16" s="30" t="str">
        <f aca="false">IF($A16="","",IF(N($N16)&lt;=config!$B$29,"explicit","opt-out"))</f>
        <v>explicit</v>
      </c>
      <c r="P16" s="30" t="str">
        <f aca="false">IF($A16="","",IF($O16="explicit",IF($D16="yes","Y",IF($D16="no","N","pending")),IF($D16="no","N",IF(AND($C16&lt;&gt;"",$I16&lt;&gt;"",$C16&lt;=WORKDAY(N($I16),-5,calendar!$A$2:$A$80)),"Y","pending"))))</f>
        <v>Y</v>
      </c>
      <c r="Q16" s="30" t="str">
        <f aca="false">IF($A16="","",IF($P16="N","N",IF($P16&lt;&gt;"Y","pending",IF(AND((COUNTIFS(stops!$A$2:$A$151,$H16,stops!$B$2:$B$151,$B16,stops!$L$2:$L$151,"declined")+COUNTIFS(stops!$A$2:$A$151,$H16,stops!$B$2:$B$151,$B16,stops!$L$2:$L$151,"building_refused")+COUNTIFS(stops!$A$2:$A$151,$H16,stops!$B$2:$B$151,$B16,stops!$L$2:$L$151,"not_delivered"))&gt;0,N($U16)=0),"N","Y"))))</f>
        <v>Y</v>
      </c>
      <c r="R16" s="30" t="str">
        <f aca="false">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30" t="n">
        <f aca="false">IF($A16="","",IF($G16&lt;&gt;"",$G16,IFERROR(IF(INDEX(offices!$AM$2:$AM$61,MATCH($B16,offices!$A$2:$A$61,0))="","",INDEX(offices!$AM$2:$AM$61,MATCH($B16,offices!$A$2:$A$61,0))),"")))</f>
        <v>67</v>
      </c>
      <c r="T16" s="30" t="str">
        <f aca="false">IF($A16="","",$A16&amp;"."&amp;$B16)</f>
        <v>SAMPLE-CMP-003.SAMPLE-O-005</v>
      </c>
      <c r="U16" s="30" t="n">
        <f aca="false">IF($A16="","",SUMIFS(inventory!$G$2:$G$801,inventory!$C$2:$C$801,$A16,inventory!$D$2:$D$801,$B16,inventory!$E$2:$E$801,"delivered"))</f>
        <v>67</v>
      </c>
      <c r="V16" s="37" t="n">
        <f aca="false">IF($A16="","",IFERROR(1/(1/SUMPRODUCT(MAX((inventory!$C$2:$C$801=$A16)*(inventory!$D$2:$D$801=$B16)*(inventory!$E$2:$E$801="delivered")*(inventory!$A$2:$A$801+inventory!$B$2:$B$801)))),""))</f>
        <v>46427.4451388889</v>
      </c>
      <c r="W16" s="30" t="str">
        <f aca="false">IF($A16="","",IFERROR(IF(INDEX(inventory!$J$2:$J$801,MATCH($A16&amp;"|"&amp;$B16&amp;"|delivered",inventory!$R$2:$R$801,0))="","",INDEX(inventory!$J$2:$J$801,MATCH($A16&amp;"|"&amp;$B16&amp;"|delivered",inventory!$R$2:$R$801,0))),""))</f>
        <v>courier_count</v>
      </c>
      <c r="X16" s="30" t="str">
        <f aca="false">IF($A16="","",IFERROR(IF(INDEX(photos!$H$2:$H$701,MATCH($A16&amp;"|"&amp;$B16&amp;"|placement|Y",photos!$R$2:$R$701,0))="","",INDEX(photos!$H$2:$H$701,MATCH($A16&amp;"|"&amp;$B16&amp;"|placement|Y",photos!$R$2:$R$701,0))),""))</f>
        <v>SAMPLE-CMP-003_SAMPLE-O-005_placement_2027-02-09.jpg</v>
      </c>
      <c r="Y16" s="31" t="n">
        <f aca="false">IF($A16="","",IFERROR(IF(INDEX(photos!$E$2:$E$701,MATCH($A16&amp;"|"&amp;$B16&amp;"|placement|Y",photos!$R$2:$R$701,0))="","",INDEX(photos!$E$2:$E$701,MATCH($A16&amp;"|"&amp;$B16&amp;"|placement|Y",photos!$R$2:$R$701,0))),""))</f>
        <v>46427</v>
      </c>
      <c r="Z16" s="30" t="n">
        <f aca="false">IF($A16="","",IF(COUNTIFS(counts!$C$2:$C$701,$A16,counts!$D$2:$D$701,$B16,counts!$E$2:$E$701,"placed")=0,"",SUMIFS(counts!$F$2:$F$701,counts!$C$2:$C$701,$A16,counts!$D$2:$D$701,$B16,counts!$E$2:$E$701,"placed")))</f>
        <v>67</v>
      </c>
      <c r="AA16" s="30" t="n">
        <f aca="false">IF($A16="","",IF($Y16="",0,N($Z16)))</f>
        <v>67</v>
      </c>
      <c r="AB16" s="30" t="str">
        <f aca="false">IF($A16="","",IF(OR($Y16="",$I16=""),"N",IF($Y16&lt;=WORKDAY(N($I16),1,calendar!$A$2:$A$80),"Y","N")))</f>
        <v>Y</v>
      </c>
      <c r="AC16" s="33" t="n">
        <f aca="false">IF(OR($A16="",$V16="",$Y16=""),"",ROUND(($Y16+N(IFERROR(IF(INDEX(photos!$F$2:$F$701,MATCH($A16&amp;"|"&amp;$B16&amp;"|placement|Y",photos!$R$2:$R$701,0))="","",INDEX(photos!$F$2:$F$701,MATCH($A16&amp;"|"&amp;$B16&amp;"|placement|Y",photos!$R$2:$R$701,0))),""))-$V16)*24,1))</f>
        <v>2.3</v>
      </c>
      <c r="AD16" s="30" t="n">
        <f aca="false">IF($A16="","",SUMIFS(inventory!$G$2:$G$801,inventory!$C$2:$C$801,$A16,inventory!$D$2:$D$801,$B16,inventory!$E$2:$E$801,"topped_up"))</f>
        <v>0</v>
      </c>
      <c r="AE16" s="30" t="n">
        <f aca="false">IF($A16="","",IF(COUNTIFS(counts!$C$2:$C$701,$A16,counts!$D$2:$D$701,$B16,counts!$E$2:$E$701,"remaining_day3")=0,"",SUMIFS(counts!$F$2:$F$701,counts!$C$2:$C$701,$A16,counts!$D$2:$D$701,$B16,counts!$E$2:$E$701,"remaining_day3")))</f>
        <v>17</v>
      </c>
      <c r="AF16" s="30" t="n">
        <f aca="false">IF($A16="","",IF(COUNTIFS(counts!$C$2:$C$701,$A16,counts!$D$2:$D$701,$B16,counts!$E$2:$E$701,"remaining_day5")=0,"",SUMIFS(counts!$F$2:$F$701,counts!$C$2:$C$701,$A16,counts!$D$2:$D$701,$B16,counts!$E$2:$E$701,"remaining_day5")))</f>
        <v>4</v>
      </c>
      <c r="AG16" s="30" t="n">
        <f aca="false">IF(OR($A16="",$AF16=""),"",MAX(0,$AA16+$AD16-$AF16))</f>
        <v>63</v>
      </c>
      <c r="AH16" s="30" t="str">
        <f aca="false">IF(OR($A16="",$AI16=""),"",IFERROR(IF(INDEX(photos!$H$2:$H$701,MATCH($A16&amp;"|"&amp;$B16&amp;"|later|Y|"&amp;$AI16,photos!$S$2:$S$701,0))="","",INDEX(photos!$H$2:$H$701,MATCH($A16&amp;"|"&amp;$B16&amp;"|later|Y|"&amp;$AI16,photos!$S$2:$S$701,0))),""))</f>
        <v>SAMPLE-CMP-003_SAMPLE-O-005_later_2027-02-16.jpg</v>
      </c>
      <c r="AI16" s="31" t="n">
        <f aca="false">IF($A16="","",IFERROR(1/(1/SUMPRODUCT(MAX((photos!$B$2:$B$701=$A16)*(photos!$C$2:$C$701=$B16)*(photos!$D$2:$D$701="later")*(photos!$O$2:$O$701="Y")*photos!$E$2:$E$701))),""))</f>
        <v>46434</v>
      </c>
      <c r="AJ16" s="30" t="n">
        <f aca="false">IF(OR($A16="",$AI16="",$I16=""),"",NETWORKDAYS($I16,$AI16,calendar!$A$2:$A$80))</f>
        <v>5</v>
      </c>
      <c r="AK16" s="30" t="str">
        <f aca="false">IF($A16="","",IF(AND($X16&lt;&gt;"",$AH16&lt;&gt;""),"Y","N"))</f>
        <v>Y</v>
      </c>
      <c r="AL16" s="30" t="n">
        <f aca="true">IF(OR($A16="",$I16=""),"",IF($BC16="Y",SUMIFS(survey_frozen!$C$2:$C$251,survey_frozen!$P$2:$P$251,$A16&amp;"|"&amp;$B16),IFERROR(COUNTIFS(INDIRECT("'"&amp;$A16&amp;"'!$B$2:$B$501"),$T16,INDIRECT("'"&amp;$A16&amp;"'!$A$2:$A$501"),"&gt;="&amp;$I16,INDIRECT("'"&amp;$A16&amp;"'!$A$2:$A$501"),"&lt;"&amp;($BA16+1)),0)))</f>
        <v>10</v>
      </c>
      <c r="AM16" s="30" t="n">
        <f aca="true">IF(OR($A16="",$I16=""),"",IF($BC16="Y",SUMIFS(survey_frozen!$D$2:$D$251,survey_frozen!$P$2:$P$251,$A16&amp;"|"&amp;$B16),IFERROR(COUNTIFS(INDIRECT("'"&amp;$A16&amp;"'!$B$2:$B$501"),$T16,INDIRECT("'"&amp;$A16&amp;"'!$A$2:$A$501"),"&gt;="&amp;$I16,INDIRECT("'"&amp;$A16&amp;"'!$A$2:$A$501"),"&lt;"&amp;($BA16+1),INDIRECT("'"&amp;$A16&amp;"'!$C$2:$C$501"),"Yes"),0)))</f>
        <v>9</v>
      </c>
      <c r="AN16" s="30" t="n">
        <f aca="false">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8</v>
      </c>
      <c r="AO16" s="30" t="n">
        <f aca="false">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7</v>
      </c>
      <c r="AP16" s="30" t="str">
        <f aca="true">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30" t="n">
        <f aca="true">IF(OR($A16="",$I16=""),"",IF($BC16="Y",SUMIFS(survey_frozen!$E$2:$E$251,survey_frozen!$P$2:$P$251,$A16&amp;"|"&amp;$B16),IFERROR(COUNTIFS(INDIRECT("'"&amp;$A16&amp;"'!$B$2:$B$501"),$T16,INDIRECT("'"&amp;$A16&amp;"'!$A$2:$A$501"),"&gt;="&amp;$I16,INDIRECT("'"&amp;$A16&amp;"'!$A$2:$A$501"),"&lt;"&amp;($BA16+1),INDIRECT("'"&amp;$A16&amp;"'!$F$2:$F$501"),"Didn't see it"),0)))</f>
        <v>1</v>
      </c>
      <c r="AR16" s="30" t="n">
        <f aca="true">IF(OR($A16="",$I16=""),"",IF($BC16="Y",SUMIFS(survey_frozen!$F$2:$F$251,survey_frozen!$P$2:$P$251,$A16&amp;"|"&amp;$B16),IFERROR(COUNTIFS(INDIRECT("'"&amp;$A16&amp;"'!$B$2:$B$501"),$T16,INDIRECT("'"&amp;$A16&amp;"'!$A$2:$A$501"),"&gt;="&amp;$I16,INDIRECT("'"&amp;$A16&amp;"'!$A$2:$A$501"),"&lt;"&amp;($BA16+1),INDIRECT("'"&amp;$A16&amp;"'!$F$2:$F$501"),"Not for me"),0)))</f>
        <v>0</v>
      </c>
      <c r="AS16" s="30" t="n">
        <f aca="true">IF(OR($A16="",$I16=""),"",IF($BC16="Y",SUMIFS(survey_frozen!$G$2:$G$251,survey_frozen!$P$2:$P$251,$A16&amp;"|"&amp;$B16),IFERROR(COUNTIFS(INDIRECT("'"&amp;$A16&amp;"'!$B$2:$B$501"),$T16,INDIRECT("'"&amp;$A16&amp;"'!$A$2:$A$501"),"&gt;="&amp;$I16,INDIRECT("'"&amp;$A16&amp;"'!$A$2:$A$501"),"&lt;"&amp;($BA16+1),INDIRECT("'"&amp;$A16&amp;"'!$F$2:$F$501"),"Gone by the time I looked"),0)))</f>
        <v>0</v>
      </c>
      <c r="AT16" s="30" t="n">
        <f aca="true">IF(OR($A16="",$I16=""),"",IF($BC16="Y",SUMIFS(survey_frozen!$H$2:$H$251,survey_frozen!$P$2:$P$251,$A16&amp;"|"&amp;$B16),IFERROR(COUNTIFS(INDIRECT("'"&amp;$A16&amp;"'!$B$2:$B$501"),$T16,INDIRECT("'"&amp;$A16&amp;"'!$A$2:$A$501"),"&gt;="&amp;$I16,INDIRECT("'"&amp;$A16&amp;"'!$A$2:$A$501"),"&lt;"&amp;($BA16+1),INDIRECT("'"&amp;$A16&amp;"'!$D$2:$D$501"),"&gt;=1"),0)))</f>
        <v>9</v>
      </c>
      <c r="AU16" s="30" t="n">
        <f aca="true">IF(OR($A16="",$I16=""),"",IF($BC16="Y",SUMIFS(survey_frozen!$I$2:$I$251,survey_frozen!$P$2:$P$251,$A16&amp;"|"&amp;$B16),IFERROR(SUMIFS(INDIRECT("'"&amp;$A16&amp;"'!$D$2:$D$501"),INDIRECT("'"&amp;$A16&amp;"'!$B$2:$B$501"),$T16,INDIRECT("'"&amp;$A16&amp;"'!$A$2:$A$501"),"&gt;="&amp;$I16,INDIRECT("'"&amp;$A16&amp;"'!$A$2:$A$501"),"&lt;"&amp;($BA16+1)),0)))</f>
        <v>38</v>
      </c>
      <c r="AV16" s="30" t="n">
        <f aca="true">IF(OR($A16="",$I16=""),"",IF($BC16="Y",SUMIFS(survey_frozen!$J$2:$J$251,survey_frozen!$P$2:$P$251,$A16&amp;"|"&amp;$B16),IFERROR(COUNTIFS(INDIRECT("'"&amp;$A16&amp;"'!$B$2:$B$501"),$T16,INDIRECT("'"&amp;$A16&amp;"'!$A$2:$A$501"),"&gt;="&amp;$I16,INDIRECT("'"&amp;$A16&amp;"'!$A$2:$A$501"),"&lt;"&amp;($BA16+1),INDIRECT("'"&amp;$A16&amp;"'!$E$2:$E$501"),"Yes"),0)))</f>
        <v>4</v>
      </c>
      <c r="AW16" s="30" t="n">
        <f aca="true">IF(OR($A16="",$I16=""),"",IF($BC16="Y",SUMIFS(survey_frozen!$K$2:$K$251,survey_frozen!$P$2:$P$251,$A16&amp;"|"&amp;$B16),IFERROR(COUNTIFS(INDIRECT("'"&amp;$A16&amp;"'!$B$2:$B$501"),$T16,INDIRECT("'"&amp;$A16&amp;"'!$A$2:$A$501"),"&gt;="&amp;$I16,INDIRECT("'"&amp;$A16&amp;"'!$A$2:$A$501"),"&lt;"&amp;($BA16+1),INDIRECT("'"&amp;$A16&amp;"'!$E$2:$E$501"),"Maybe"),0)))</f>
        <v>3</v>
      </c>
      <c r="AX16" s="30" t="n">
        <f aca="true">IF(OR($A16="",$I16=""),"",IF($BC16="Y",SUMIFS(survey_frozen!$L$2:$L$251,survey_frozen!$P$2:$P$251,$A16&amp;"|"&amp;$B16),IFERROR(COUNTIFS(INDIRECT("'"&amp;$A16&amp;"'!$B$2:$B$501"),$T16,INDIRECT("'"&amp;$A16&amp;"'!$A$2:$A$501"),"&gt;="&amp;$I16,INDIRECT("'"&amp;$A16&amp;"'!$A$2:$A$501"),"&lt;"&amp;($BA16+1),INDIRECT("'"&amp;$A16&amp;"'!$E$2:$E$501"),"No"),0)))</f>
        <v>2</v>
      </c>
      <c r="AY16" s="30" t="n">
        <f aca="true">IF(OR($A16="",$I16=""),"",IF($BC16="Y",SUMIFS(survey_frozen!$M$2:$M$251,survey_frozen!$P$2:$P$251,$A16&amp;"|"&amp;$B16),IFERROR(COUNTIFS(INDIRECT("'"&amp;$A16&amp;"'!$B$2:$B$501"),$T16,INDIRECT("'"&amp;$A16&amp;"'!$A$2:$A$501"),"&gt;="&amp;$I16,INDIRECT("'"&amp;$A16&amp;"'!$A$2:$A$501"),"&lt;"&amp;($BA16+1),INDIRECT("'"&amp;$A16&amp;"'!$G$2:$G$501"),"&lt;&gt;"),0)))</f>
        <v>6</v>
      </c>
      <c r="AZ16" s="30" t="str">
        <f aca="false">IF($A16="","",$A16&amp;"|"&amp;$L16)</f>
        <v>SAMPLE-CMP-003|5</v>
      </c>
      <c r="BA16" s="31" t="n">
        <f aca="false">IF($A16="","",IFERROR(IF(INDEX(drops!$R$2:$R$21,MATCH($H16,drops!$A$2:$A$21,0))="","",INDEX(drops!$R$2:$R$21,MATCH($H16,drops!$A$2:$A$21,0))),""))</f>
        <v>46434</v>
      </c>
      <c r="BB16" s="30" t="n">
        <f aca="false">IF(OR($A16="",$Q16&lt;&gt;"Y"),1000000,N($AL16))</f>
        <v>10</v>
      </c>
      <c r="BC16" s="30" t="str">
        <f aca="false">IF($A16="","",IF(COUNTIF(survey_frozen!$P$2:$P$251,$A16&amp;"|"&amp;$B16)&gt;0,"Y",""))</f>
        <v/>
      </c>
      <c r="BD16" s="30" t="str">
        <f aca="false">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ustomFormat="false" ht="15" hidden="false" customHeight="false" outlineLevel="0" collapsed="false">
      <c r="A17" s="0" t="s">
        <v>516</v>
      </c>
      <c r="B17" s="0" t="s">
        <v>690</v>
      </c>
      <c r="C17" s="11" t="n">
        <v>46392</v>
      </c>
      <c r="D17" s="10" t="s">
        <v>496</v>
      </c>
      <c r="E17" s="11" t="n">
        <v>46395</v>
      </c>
      <c r="F17" s="10" t="s">
        <v>737</v>
      </c>
      <c r="G17" s="0" t="n">
        <v>42</v>
      </c>
      <c r="H17" s="30" t="str">
        <f aca="false">IF($A17="","",IFERROR(IF(INDEX(campaigns!$B$2:$B$51,MATCH($A17,campaigns!$A$2:$A$51,0))="","",INDEX(campaigns!$B$2:$B$51,MATCH($A17,campaigns!$A$2:$A$51,0))),""))</f>
        <v>SAMPLE-DRP-002</v>
      </c>
      <c r="I17" s="31" t="n">
        <f aca="false">IF($A17="","",IFERROR(IF(INDEX(campaigns!$BG$2:$BG$51,MATCH($A17,campaigns!$A$2:$A$51,0))="","",INDEX(campaigns!$BG$2:$BG$51,MATCH($A17,campaigns!$A$2:$A$51,0))),""))</f>
        <v>46427</v>
      </c>
      <c r="J17" s="30" t="str">
        <f aca="false">IF($A17="","",IFERROR(IF(INDEX(campaigns!$BE$2:$BE$51,MATCH($A17,campaigns!$A$2:$A$51,0))="","",INDEX(campaigns!$BE$2:$BE$51,MATCH($A17,campaigns!$A$2:$A$51,0))),""))</f>
        <v>SAMPLE Tallgrass</v>
      </c>
      <c r="K17" s="30" t="str">
        <f aca="false">IF($B17="","",IFERROR(IF(INDEX(offices!$O$2:$O$61,MATCH($B17,offices!$A$2:$A$61,0))="","",INDEX(offices!$O$2:$O$61,MATCH($B17,offices!$A$2:$A$61,0))),""))</f>
        <v>SAMPLE Kestrel Analytics</v>
      </c>
      <c r="L17" s="30" t="n">
        <f aca="false">IF($A17="","",IF($Q17="N","",COUNTIFS($A$2:$A17,$A17,$Q$2:$Q17,"&lt;&gt;N")))</f>
        <v>6</v>
      </c>
      <c r="M17" s="30" t="str">
        <f aca="false">IF(OR($A17="",$L17=""),"",IF(AND(config!$B$34="names_if_public",IFERROR(IF(INDEX(offices!$AG$2:$AG$61,MATCH($B17,offices!$A$2:$A$61,0))="","",INDEX(offices!$AG$2:$AG$61,MATCH($B17,offices!$A$2:$A$61,0))),"")="Y"),$K17,CHAR(64+$L17)))</f>
        <v>F</v>
      </c>
      <c r="N17" s="30" t="n">
        <f aca="false">IF(OR($A17="",$I17=""),"",COUNTIFS(stops!$B$2:$B$151,$B17,stops!$P$2:$P$151,"&lt;"&amp;$I17,stops!$L$2:$L$151,"&lt;&gt;not_delivered")+1)</f>
        <v>1</v>
      </c>
      <c r="O17" s="30" t="str">
        <f aca="false">IF($A17="","",IF(N($N17)&lt;=config!$B$29,"explicit","opt-out"))</f>
        <v>explicit</v>
      </c>
      <c r="P17" s="30" t="str">
        <f aca="false">IF($A17="","",IF($O17="explicit",IF($D17="yes","Y",IF($D17="no","N","pending")),IF($D17="no","N",IF(AND($C17&lt;&gt;"",$I17&lt;&gt;"",$C17&lt;=WORKDAY(N($I17),-5,calendar!$A$2:$A$80)),"Y","pending"))))</f>
        <v>Y</v>
      </c>
      <c r="Q17" s="30" t="str">
        <f aca="false">IF($A17="","",IF($P17="N","N",IF($P17&lt;&gt;"Y","pending",IF(AND((COUNTIFS(stops!$A$2:$A$151,$H17,stops!$B$2:$B$151,$B17,stops!$L$2:$L$151,"declined")+COUNTIFS(stops!$A$2:$A$151,$H17,stops!$B$2:$B$151,$B17,stops!$L$2:$L$151,"building_refused")+COUNTIFS(stops!$A$2:$A$151,$H17,stops!$B$2:$B$151,$B17,stops!$L$2:$L$151,"not_delivered"))&gt;0,N($U17)=0),"N","Y"))))</f>
        <v>Y</v>
      </c>
      <c r="R17" s="30" t="str">
        <f aca="false">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30" t="n">
        <f aca="false">IF($A17="","",IF($G17&lt;&gt;"",$G17,IFERROR(IF(INDEX(offices!$AM$2:$AM$61,MATCH($B17,offices!$A$2:$A$61,0))="","",INDEX(offices!$AM$2:$AM$61,MATCH($B17,offices!$A$2:$A$61,0))),"")))</f>
        <v>42</v>
      </c>
      <c r="T17" s="30" t="str">
        <f aca="false">IF($A17="","",$A17&amp;"."&amp;$B17)</f>
        <v>SAMPLE-CMP-003.SAMPLE-O-006</v>
      </c>
      <c r="U17" s="30" t="n">
        <f aca="false">IF($A17="","",SUMIFS(inventory!$G$2:$G$801,inventory!$C$2:$C$801,$A17,inventory!$D$2:$D$801,$B17,inventory!$E$2:$E$801,"delivered"))</f>
        <v>42</v>
      </c>
      <c r="V17" s="37" t="n">
        <f aca="false">IF($A17="","",IFERROR(1/(1/SUMPRODUCT(MAX((inventory!$C$2:$C$801=$A17)*(inventory!$D$2:$D$801=$B17)*(inventory!$E$2:$E$801="delivered")*(inventory!$A$2:$A$801+inventory!$B$2:$B$801)))),""))</f>
        <v>46427.3493055556</v>
      </c>
      <c r="W17" s="30" t="str">
        <f aca="false">IF($A17="","",IFERROR(IF(INDEX(inventory!$J$2:$J$801,MATCH($A17&amp;"|"&amp;$B17&amp;"|delivered",inventory!$R$2:$R$801,0))="","",INDEX(inventory!$J$2:$J$801,MATCH($A17&amp;"|"&amp;$B17&amp;"|delivered",inventory!$R$2:$R$801,0))),""))</f>
        <v>courier_count</v>
      </c>
      <c r="X17" s="30" t="str">
        <f aca="false">IF($A17="","",IFERROR(IF(INDEX(photos!$H$2:$H$701,MATCH($A17&amp;"|"&amp;$B17&amp;"|placement|Y",photos!$R$2:$R$701,0))="","",INDEX(photos!$H$2:$H$701,MATCH($A17&amp;"|"&amp;$B17&amp;"|placement|Y",photos!$R$2:$R$701,0))),""))</f>
        <v>SAMPLE-CMP-003_SAMPLE-O-006_placement_2027-02-09.jpg</v>
      </c>
      <c r="Y17" s="31" t="n">
        <f aca="false">IF($A17="","",IFERROR(IF(INDEX(photos!$E$2:$E$701,MATCH($A17&amp;"|"&amp;$B17&amp;"|placement|Y",photos!$R$2:$R$701,0))="","",INDEX(photos!$E$2:$E$701,MATCH($A17&amp;"|"&amp;$B17&amp;"|placement|Y",photos!$R$2:$R$701,0))),""))</f>
        <v>46427</v>
      </c>
      <c r="Z17" s="30" t="n">
        <f aca="false">IF($A17="","",IF(COUNTIFS(counts!$C$2:$C$701,$A17,counts!$D$2:$D$701,$B17,counts!$E$2:$E$701,"placed")=0,"",SUMIFS(counts!$F$2:$F$701,counts!$C$2:$C$701,$A17,counts!$D$2:$D$701,$B17,counts!$E$2:$E$701,"placed")))</f>
        <v>42</v>
      </c>
      <c r="AA17" s="30" t="n">
        <f aca="false">IF($A17="","",IF($Y17="",0,N($Z17)))</f>
        <v>42</v>
      </c>
      <c r="AB17" s="30" t="str">
        <f aca="false">IF($A17="","",IF(OR($Y17="",$I17=""),"N",IF($Y17&lt;=WORKDAY(N($I17),1,calendar!$A$2:$A$80),"Y","N")))</f>
        <v>Y</v>
      </c>
      <c r="AC17" s="33" t="n">
        <f aca="false">IF(OR($A17="",$V17="",$Y17=""),"",ROUND(($Y17+N(IFERROR(IF(INDEX(photos!$F$2:$F$701,MATCH($A17&amp;"|"&amp;$B17&amp;"|placement|Y",photos!$R$2:$R$701,0))="","",INDEX(photos!$F$2:$F$701,MATCH($A17&amp;"|"&amp;$B17&amp;"|placement|Y",photos!$R$2:$R$701,0))),""))-$V17)*24,1))</f>
        <v>4.6</v>
      </c>
      <c r="AD17" s="30" t="n">
        <f aca="false">IF($A17="","",SUMIFS(inventory!$G$2:$G$801,inventory!$C$2:$C$801,$A17,inventory!$D$2:$D$801,$B17,inventory!$E$2:$E$801,"topped_up"))</f>
        <v>0</v>
      </c>
      <c r="AE17" s="30" t="n">
        <f aca="false">IF($A17="","",IF(COUNTIFS(counts!$C$2:$C$701,$A17,counts!$D$2:$D$701,$B17,counts!$E$2:$E$701,"remaining_day3")=0,"",SUMIFS(counts!$F$2:$F$701,counts!$C$2:$C$701,$A17,counts!$D$2:$D$701,$B17,counts!$E$2:$E$701,"remaining_day3")))</f>
        <v>11</v>
      </c>
      <c r="AF17" s="30" t="n">
        <f aca="false">IF($A17="","",IF(COUNTIFS(counts!$C$2:$C$701,$A17,counts!$D$2:$D$701,$B17,counts!$E$2:$E$701,"remaining_day5")=0,"",SUMIFS(counts!$F$2:$F$701,counts!$C$2:$C$701,$A17,counts!$D$2:$D$701,$B17,counts!$E$2:$E$701,"remaining_day5")))</f>
        <v>1</v>
      </c>
      <c r="AG17" s="30" t="n">
        <f aca="false">IF(OR($A17="",$AF17=""),"",MAX(0,$AA17+$AD17-$AF17))</f>
        <v>41</v>
      </c>
      <c r="AH17" s="30" t="str">
        <f aca="false">IF(OR($A17="",$AI17=""),"",IFERROR(IF(INDEX(photos!$H$2:$H$701,MATCH($A17&amp;"|"&amp;$B17&amp;"|later|Y|"&amp;$AI17,photos!$S$2:$S$701,0))="","",INDEX(photos!$H$2:$H$701,MATCH($A17&amp;"|"&amp;$B17&amp;"|later|Y|"&amp;$AI17,photos!$S$2:$S$701,0))),""))</f>
        <v>SAMPLE-CMP-003_SAMPLE-O-006_later_2027-02-16.jpg</v>
      </c>
      <c r="AI17" s="31" t="n">
        <f aca="false">IF($A17="","",IFERROR(1/(1/SUMPRODUCT(MAX((photos!$B$2:$B$701=$A17)*(photos!$C$2:$C$701=$B17)*(photos!$D$2:$D$701="later")*(photos!$O$2:$O$701="Y")*photos!$E$2:$E$701))),""))</f>
        <v>46434</v>
      </c>
      <c r="AJ17" s="30" t="n">
        <f aca="false">IF(OR($A17="",$AI17="",$I17=""),"",NETWORKDAYS($I17,$AI17,calendar!$A$2:$A$80))</f>
        <v>5</v>
      </c>
      <c r="AK17" s="30" t="str">
        <f aca="false">IF($A17="","",IF(AND($X17&lt;&gt;"",$AH17&lt;&gt;""),"Y","N"))</f>
        <v>Y</v>
      </c>
      <c r="AL17" s="30" t="n">
        <f aca="true">IF(OR($A17="",$I17=""),"",IF($BC17="Y",SUMIFS(survey_frozen!$C$2:$C$251,survey_frozen!$P$2:$P$251,$A17&amp;"|"&amp;$B17),IFERROR(COUNTIFS(INDIRECT("'"&amp;$A17&amp;"'!$B$2:$B$501"),$T17,INDIRECT("'"&amp;$A17&amp;"'!$A$2:$A$501"),"&gt;="&amp;$I17,INDIRECT("'"&amp;$A17&amp;"'!$A$2:$A$501"),"&lt;"&amp;($BA17+1)),0)))</f>
        <v>7</v>
      </c>
      <c r="AM17" s="30" t="n">
        <f aca="true">IF(OR($A17="",$I17=""),"",IF($BC17="Y",SUMIFS(survey_frozen!$D$2:$D$251,survey_frozen!$P$2:$P$251,$A17&amp;"|"&amp;$B17),IFERROR(COUNTIFS(INDIRECT("'"&amp;$A17&amp;"'!$B$2:$B$501"),$T17,INDIRECT("'"&amp;$A17&amp;"'!$A$2:$A$501"),"&gt;="&amp;$I17,INDIRECT("'"&amp;$A17&amp;"'!$A$2:$A$501"),"&lt;"&amp;($BA17+1),INDIRECT("'"&amp;$A17&amp;"'!$C$2:$C$501"),"Yes"),0)))</f>
        <v>4</v>
      </c>
      <c r="AN17" s="30" t="n">
        <f aca="false">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4</v>
      </c>
      <c r="AO17" s="30" t="n">
        <f aca="false">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3</v>
      </c>
      <c r="AP17" s="30" t="str">
        <f aca="true">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30" t="n">
        <f aca="true">IF(OR($A17="",$I17=""),"",IF($BC17="Y",SUMIFS(survey_frozen!$E$2:$E$251,survey_frozen!$P$2:$P$251,$A17&amp;"|"&amp;$B17),IFERROR(COUNTIFS(INDIRECT("'"&amp;$A17&amp;"'!$B$2:$B$501"),$T17,INDIRECT("'"&amp;$A17&amp;"'!$A$2:$A$501"),"&gt;="&amp;$I17,INDIRECT("'"&amp;$A17&amp;"'!$A$2:$A$501"),"&lt;"&amp;($BA17+1),INDIRECT("'"&amp;$A17&amp;"'!$F$2:$F$501"),"Didn't see it"),0)))</f>
        <v>1</v>
      </c>
      <c r="AR17" s="30" t="n">
        <f aca="true">IF(OR($A17="",$I17=""),"",IF($BC17="Y",SUMIFS(survey_frozen!$F$2:$F$251,survey_frozen!$P$2:$P$251,$A17&amp;"|"&amp;$B17),IFERROR(COUNTIFS(INDIRECT("'"&amp;$A17&amp;"'!$B$2:$B$501"),$T17,INDIRECT("'"&amp;$A17&amp;"'!$A$2:$A$501"),"&gt;="&amp;$I17,INDIRECT("'"&amp;$A17&amp;"'!$A$2:$A$501"),"&lt;"&amp;($BA17+1),INDIRECT("'"&amp;$A17&amp;"'!$F$2:$F$501"),"Not for me"),0)))</f>
        <v>1</v>
      </c>
      <c r="AS17" s="30" t="n">
        <f aca="true">IF(OR($A17="",$I17=""),"",IF($BC17="Y",SUMIFS(survey_frozen!$G$2:$G$251,survey_frozen!$P$2:$P$251,$A17&amp;"|"&amp;$B17),IFERROR(COUNTIFS(INDIRECT("'"&amp;$A17&amp;"'!$B$2:$B$501"),$T17,INDIRECT("'"&amp;$A17&amp;"'!$A$2:$A$501"),"&gt;="&amp;$I17,INDIRECT("'"&amp;$A17&amp;"'!$A$2:$A$501"),"&lt;"&amp;($BA17+1),INDIRECT("'"&amp;$A17&amp;"'!$F$2:$F$501"),"Gone by the time I looked"),0)))</f>
        <v>1</v>
      </c>
      <c r="AT17" s="30" t="n">
        <f aca="true">IF(OR($A17="",$I17=""),"",IF($BC17="Y",SUMIFS(survey_frozen!$H$2:$H$251,survey_frozen!$P$2:$P$251,$A17&amp;"|"&amp;$B17),IFERROR(COUNTIFS(INDIRECT("'"&amp;$A17&amp;"'!$B$2:$B$501"),$T17,INDIRECT("'"&amp;$A17&amp;"'!$A$2:$A$501"),"&gt;="&amp;$I17,INDIRECT("'"&amp;$A17&amp;"'!$A$2:$A$501"),"&lt;"&amp;($BA17+1),INDIRECT("'"&amp;$A17&amp;"'!$D$2:$D$501"),"&gt;=1"),0)))</f>
        <v>4</v>
      </c>
      <c r="AU17" s="30" t="n">
        <f aca="true">IF(OR($A17="",$I17=""),"",IF($BC17="Y",SUMIFS(survey_frozen!$I$2:$I$251,survey_frozen!$P$2:$P$251,$A17&amp;"|"&amp;$B17),IFERROR(SUMIFS(INDIRECT("'"&amp;$A17&amp;"'!$D$2:$D$501"),INDIRECT("'"&amp;$A17&amp;"'!$B$2:$B$501"),$T17,INDIRECT("'"&amp;$A17&amp;"'!$A$2:$A$501"),"&gt;="&amp;$I17,INDIRECT("'"&amp;$A17&amp;"'!$A$2:$A$501"),"&lt;"&amp;($BA17+1)),0)))</f>
        <v>17</v>
      </c>
      <c r="AV17" s="30" t="n">
        <f aca="true">IF(OR($A17="",$I17=""),"",IF($BC17="Y",SUMIFS(survey_frozen!$J$2:$J$251,survey_frozen!$P$2:$P$251,$A17&amp;"|"&amp;$B17),IFERROR(COUNTIFS(INDIRECT("'"&amp;$A17&amp;"'!$B$2:$B$501"),$T17,INDIRECT("'"&amp;$A17&amp;"'!$A$2:$A$501"),"&gt;="&amp;$I17,INDIRECT("'"&amp;$A17&amp;"'!$A$2:$A$501"),"&lt;"&amp;($BA17+1),INDIRECT("'"&amp;$A17&amp;"'!$E$2:$E$501"),"Yes"),0)))</f>
        <v>3</v>
      </c>
      <c r="AW17" s="30" t="n">
        <f aca="true">IF(OR($A17="",$I17=""),"",IF($BC17="Y",SUMIFS(survey_frozen!$K$2:$K$251,survey_frozen!$P$2:$P$251,$A17&amp;"|"&amp;$B17),IFERROR(COUNTIFS(INDIRECT("'"&amp;$A17&amp;"'!$B$2:$B$501"),$T17,INDIRECT("'"&amp;$A17&amp;"'!$A$2:$A$501"),"&gt;="&amp;$I17,INDIRECT("'"&amp;$A17&amp;"'!$A$2:$A$501"),"&lt;"&amp;($BA17+1),INDIRECT("'"&amp;$A17&amp;"'!$E$2:$E$501"),"Maybe"),0)))</f>
        <v>1</v>
      </c>
      <c r="AX17" s="30" t="n">
        <f aca="true">IF(OR($A17="",$I17=""),"",IF($BC17="Y",SUMIFS(survey_frozen!$L$2:$L$251,survey_frozen!$P$2:$P$251,$A17&amp;"|"&amp;$B17),IFERROR(COUNTIFS(INDIRECT("'"&amp;$A17&amp;"'!$B$2:$B$501"),$T17,INDIRECT("'"&amp;$A17&amp;"'!$A$2:$A$501"),"&gt;="&amp;$I17,INDIRECT("'"&amp;$A17&amp;"'!$A$2:$A$501"),"&lt;"&amp;($BA17+1),INDIRECT("'"&amp;$A17&amp;"'!$E$2:$E$501"),"No"),0)))</f>
        <v>0</v>
      </c>
      <c r="AY17" s="30" t="n">
        <f aca="true">IF(OR($A17="",$I17=""),"",IF($BC17="Y",SUMIFS(survey_frozen!$M$2:$M$251,survey_frozen!$P$2:$P$251,$A17&amp;"|"&amp;$B17),IFERROR(COUNTIFS(INDIRECT("'"&amp;$A17&amp;"'!$B$2:$B$501"),$T17,INDIRECT("'"&amp;$A17&amp;"'!$A$2:$A$501"),"&gt;="&amp;$I17,INDIRECT("'"&amp;$A17&amp;"'!$A$2:$A$501"),"&lt;"&amp;($BA17+1),INDIRECT("'"&amp;$A17&amp;"'!$G$2:$G$501"),"&lt;&gt;"),0)))</f>
        <v>1</v>
      </c>
      <c r="AZ17" s="30" t="str">
        <f aca="false">IF($A17="","",$A17&amp;"|"&amp;$L17)</f>
        <v>SAMPLE-CMP-003|6</v>
      </c>
      <c r="BA17" s="31" t="n">
        <f aca="false">IF($A17="","",IFERROR(IF(INDEX(drops!$R$2:$R$21,MATCH($H17,drops!$A$2:$A$21,0))="","",INDEX(drops!$R$2:$R$21,MATCH($H17,drops!$A$2:$A$21,0))),""))</f>
        <v>46434</v>
      </c>
      <c r="BB17" s="30" t="n">
        <f aca="false">IF(OR($A17="",$Q17&lt;&gt;"Y"),1000000,N($AL17))</f>
        <v>7</v>
      </c>
      <c r="BC17" s="30" t="str">
        <f aca="false">IF($A17="","",IF(COUNTIF(survey_frozen!$P$2:$P$251,$A17&amp;"|"&amp;$B17)&gt;0,"Y",""))</f>
        <v/>
      </c>
      <c r="BD17" s="30" t="str">
        <f aca="false">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ustomFormat="false" ht="15" hidden="false" customHeight="false" outlineLevel="0" collapsed="false">
      <c r="A18" s="0" t="s">
        <v>516</v>
      </c>
      <c r="B18" s="0" t="s">
        <v>692</v>
      </c>
      <c r="C18" s="11" t="n">
        <v>46393</v>
      </c>
      <c r="D18" s="10" t="s">
        <v>496</v>
      </c>
      <c r="E18" s="11" t="n">
        <v>46394</v>
      </c>
      <c r="F18" s="10" t="s">
        <v>737</v>
      </c>
      <c r="G18" s="0" t="n">
        <v>57</v>
      </c>
      <c r="H18" s="30" t="str">
        <f aca="false">IF($A18="","",IFERROR(IF(INDEX(campaigns!$B$2:$B$51,MATCH($A18,campaigns!$A$2:$A$51,0))="","",INDEX(campaigns!$B$2:$B$51,MATCH($A18,campaigns!$A$2:$A$51,0))),""))</f>
        <v>SAMPLE-DRP-002</v>
      </c>
      <c r="I18" s="31" t="n">
        <f aca="false">IF($A18="","",IFERROR(IF(INDEX(campaigns!$BG$2:$BG$51,MATCH($A18,campaigns!$A$2:$A$51,0))="","",INDEX(campaigns!$BG$2:$BG$51,MATCH($A18,campaigns!$A$2:$A$51,0))),""))</f>
        <v>46427</v>
      </c>
      <c r="J18" s="30" t="str">
        <f aca="false">IF($A18="","",IFERROR(IF(INDEX(campaigns!$BE$2:$BE$51,MATCH($A18,campaigns!$A$2:$A$51,0))="","",INDEX(campaigns!$BE$2:$BE$51,MATCH($A18,campaigns!$A$2:$A$51,0))),""))</f>
        <v>SAMPLE Tallgrass</v>
      </c>
      <c r="K18" s="30" t="str">
        <f aca="false">IF($B18="","",IFERROR(IF(INDEX(offices!$O$2:$O$61,MATCH($B18,offices!$A$2:$A$61,0))="","",INDEX(offices!$O$2:$O$61,MATCH($B18,offices!$A$2:$A$61,0))),""))</f>
        <v>SAMPLE Brine &amp; Bell PR</v>
      </c>
      <c r="L18" s="30" t="n">
        <f aca="false">IF($A18="","",IF($Q18="N","",COUNTIFS($A$2:$A18,$A18,$Q$2:$Q18,"&lt;&gt;N")))</f>
        <v>7</v>
      </c>
      <c r="M18" s="30" t="str">
        <f aca="false">IF(OR($A18="",$L18=""),"",IF(AND(config!$B$34="names_if_public",IFERROR(IF(INDEX(offices!$AG$2:$AG$61,MATCH($B18,offices!$A$2:$A$61,0))="","",INDEX(offices!$AG$2:$AG$61,MATCH($B18,offices!$A$2:$A$61,0))),"")="Y"),$K18,CHAR(64+$L18)))</f>
        <v>G</v>
      </c>
      <c r="N18" s="30" t="n">
        <f aca="false">IF(OR($A18="",$I18=""),"",COUNTIFS(stops!$B$2:$B$151,$B18,stops!$P$2:$P$151,"&lt;"&amp;$I18,stops!$L$2:$L$151,"&lt;&gt;not_delivered")+1)</f>
        <v>1</v>
      </c>
      <c r="O18" s="30" t="str">
        <f aca="false">IF($A18="","",IF(N($N18)&lt;=config!$B$29,"explicit","opt-out"))</f>
        <v>explicit</v>
      </c>
      <c r="P18" s="30" t="str">
        <f aca="false">IF($A18="","",IF($O18="explicit",IF($D18="yes","Y",IF($D18="no","N","pending")),IF($D18="no","N",IF(AND($C18&lt;&gt;"",$I18&lt;&gt;"",$C18&lt;=WORKDAY(N($I18),-5,calendar!$A$2:$A$80)),"Y","pending"))))</f>
        <v>Y</v>
      </c>
      <c r="Q18" s="30" t="str">
        <f aca="false">IF($A18="","",IF($P18="N","N",IF($P18&lt;&gt;"Y","pending",IF(AND((COUNTIFS(stops!$A$2:$A$151,$H18,stops!$B$2:$B$151,$B18,stops!$L$2:$L$151,"declined")+COUNTIFS(stops!$A$2:$A$151,$H18,stops!$B$2:$B$151,$B18,stops!$L$2:$L$151,"building_refused")+COUNTIFS(stops!$A$2:$A$151,$H18,stops!$B$2:$B$151,$B18,stops!$L$2:$L$151,"not_delivered"))&gt;0,N($U18)=0),"N","Y"))))</f>
        <v>Y</v>
      </c>
      <c r="R18" s="30" t="str">
        <f aca="false">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info: read the vetoes against the label; </v>
      </c>
      <c r="S18" s="30" t="n">
        <f aca="false">IF($A18="","",IF($G18&lt;&gt;"",$G18,IFERROR(IF(INDEX(offices!$AM$2:$AM$61,MATCH($B18,offices!$A$2:$A$61,0))="","",INDEX(offices!$AM$2:$AM$61,MATCH($B18,offices!$A$2:$A$61,0))),"")))</f>
        <v>57</v>
      </c>
      <c r="T18" s="30" t="str">
        <f aca="false">IF($A18="","",$A18&amp;"."&amp;$B18)</f>
        <v>SAMPLE-CMP-003.SAMPLE-O-007</v>
      </c>
      <c r="U18" s="30" t="n">
        <f aca="false">IF($A18="","",SUMIFS(inventory!$G$2:$G$801,inventory!$C$2:$C$801,$A18,inventory!$D$2:$D$801,$B18,inventory!$E$2:$E$801,"delivered"))</f>
        <v>57</v>
      </c>
      <c r="V18" s="37" t="n">
        <f aca="false">IF($A18="","",IFERROR(1/(1/SUMPRODUCT(MAX((inventory!$C$2:$C$801=$A18)*(inventory!$D$2:$D$801=$B18)*(inventory!$E$2:$E$801="delivered")*(inventory!$A$2:$A$801+inventory!$B$2:$B$801)))),""))</f>
        <v>46427.4020833333</v>
      </c>
      <c r="W18" s="30" t="str">
        <f aca="false">IF($A18="","",IFERROR(IF(INDEX(inventory!$J$2:$J$801,MATCH($A18&amp;"|"&amp;$B18&amp;"|delivered",inventory!$R$2:$R$801,0))="","",INDEX(inventory!$J$2:$J$801,MATCH($A18&amp;"|"&amp;$B18&amp;"|delivered",inventory!$R$2:$R$801,0))),""))</f>
        <v>courier_count</v>
      </c>
      <c r="X18" s="30" t="str">
        <f aca="false">IF($A18="","",IFERROR(IF(INDEX(photos!$H$2:$H$701,MATCH($A18&amp;"|"&amp;$B18&amp;"|placement|Y",photos!$R$2:$R$701,0))="","",INDEX(photos!$H$2:$H$701,MATCH($A18&amp;"|"&amp;$B18&amp;"|placement|Y",photos!$R$2:$R$701,0))),""))</f>
        <v>SAMPLE-CMP-003_SAMPLE-O-007_placement_2027-02-09.jpg</v>
      </c>
      <c r="Y18" s="31" t="n">
        <f aca="false">IF($A18="","",IFERROR(IF(INDEX(photos!$E$2:$E$701,MATCH($A18&amp;"|"&amp;$B18&amp;"|placement|Y",photos!$R$2:$R$701,0))="","",INDEX(photos!$E$2:$E$701,MATCH($A18&amp;"|"&amp;$B18&amp;"|placement|Y",photos!$R$2:$R$701,0))),""))</f>
        <v>46427</v>
      </c>
      <c r="Z18" s="30" t="n">
        <f aca="false">IF($A18="","",IF(COUNTIFS(counts!$C$2:$C$701,$A18,counts!$D$2:$D$701,$B18,counts!$E$2:$E$701,"placed")=0,"",SUMIFS(counts!$F$2:$F$701,counts!$C$2:$C$701,$A18,counts!$D$2:$D$701,$B18,counts!$E$2:$E$701,"placed")))</f>
        <v>57</v>
      </c>
      <c r="AA18" s="30" t="n">
        <f aca="false">IF($A18="","",IF($Y18="",0,N($Z18)))</f>
        <v>57</v>
      </c>
      <c r="AB18" s="30" t="str">
        <f aca="false">IF($A18="","",IF(OR($Y18="",$I18=""),"N",IF($Y18&lt;=WORKDAY(N($I18),1,calendar!$A$2:$A$80),"Y","N")))</f>
        <v>Y</v>
      </c>
      <c r="AC18" s="33" t="n">
        <f aca="false">IF(OR($A18="",$V18="",$Y18=""),"",ROUND(($Y18+N(IFERROR(IF(INDEX(photos!$F$2:$F$701,MATCH($A18&amp;"|"&amp;$B18&amp;"|placement|Y",photos!$R$2:$R$701,0))="","",INDEX(photos!$F$2:$F$701,MATCH($A18&amp;"|"&amp;$B18&amp;"|placement|Y",photos!$R$2:$R$701,0))),""))-$V18)*24,1))</f>
        <v>3.4</v>
      </c>
      <c r="AD18" s="30" t="n">
        <f aca="false">IF($A18="","",SUMIFS(inventory!$G$2:$G$801,inventory!$C$2:$C$801,$A18,inventory!$D$2:$D$801,$B18,inventory!$E$2:$E$801,"topped_up"))</f>
        <v>0</v>
      </c>
      <c r="AE18" s="30" t="n">
        <f aca="false">IF($A18="","",IF(COUNTIFS(counts!$C$2:$C$701,$A18,counts!$D$2:$D$701,$B18,counts!$E$2:$E$701,"remaining_day3")=0,"",SUMIFS(counts!$F$2:$F$701,counts!$C$2:$C$701,$A18,counts!$D$2:$D$701,$B18,counts!$E$2:$E$701,"remaining_day3")))</f>
        <v>22</v>
      </c>
      <c r="AF18" s="30" t="n">
        <f aca="false">IF($A18="","",IF(COUNTIFS(counts!$C$2:$C$701,$A18,counts!$D$2:$D$701,$B18,counts!$E$2:$E$701,"remaining_day5")=0,"",SUMIFS(counts!$F$2:$F$701,counts!$C$2:$C$701,$A18,counts!$D$2:$D$701,$B18,counts!$E$2:$E$701,"remaining_day5")))</f>
        <v>8</v>
      </c>
      <c r="AG18" s="30" t="n">
        <f aca="false">IF(OR($A18="",$AF18=""),"",MAX(0,$AA18+$AD18-$AF18))</f>
        <v>49</v>
      </c>
      <c r="AH18" s="30" t="str">
        <f aca="false">IF(OR($A18="",$AI18=""),"",IFERROR(IF(INDEX(photos!$H$2:$H$701,MATCH($A18&amp;"|"&amp;$B18&amp;"|later|Y|"&amp;$AI18,photos!$S$2:$S$701,0))="","",INDEX(photos!$H$2:$H$701,MATCH($A18&amp;"|"&amp;$B18&amp;"|later|Y|"&amp;$AI18,photos!$S$2:$S$701,0))),""))</f>
        <v>SAMPLE-CMP-003_SAMPLE-O-007_later_2027-02-16.jpg</v>
      </c>
      <c r="AI18" s="31" t="n">
        <f aca="false">IF($A18="","",IFERROR(1/(1/SUMPRODUCT(MAX((photos!$B$2:$B$701=$A18)*(photos!$C$2:$C$701=$B18)*(photos!$D$2:$D$701="later")*(photos!$O$2:$O$701="Y")*photos!$E$2:$E$701))),""))</f>
        <v>46434</v>
      </c>
      <c r="AJ18" s="30" t="n">
        <f aca="false">IF(OR($A18="",$AI18="",$I18=""),"",NETWORKDAYS($I18,$AI18,calendar!$A$2:$A$80))</f>
        <v>5</v>
      </c>
      <c r="AK18" s="30" t="str">
        <f aca="false">IF($A18="","",IF(AND($X18&lt;&gt;"",$AH18&lt;&gt;""),"Y","N"))</f>
        <v>Y</v>
      </c>
      <c r="AL18" s="30" t="n">
        <f aca="true">IF(OR($A18="",$I18=""),"",IF($BC18="Y",SUMIFS(survey_frozen!$C$2:$C$251,survey_frozen!$P$2:$P$251,$A18&amp;"|"&amp;$B18),IFERROR(COUNTIFS(INDIRECT("'"&amp;$A18&amp;"'!$B$2:$B$501"),$T18,INDIRECT("'"&amp;$A18&amp;"'!$A$2:$A$501"),"&gt;="&amp;$I18,INDIRECT("'"&amp;$A18&amp;"'!$A$2:$A$501"),"&lt;"&amp;($BA18+1)),0)))</f>
        <v>9</v>
      </c>
      <c r="AM18" s="30" t="n">
        <f aca="true">IF(OR($A18="",$I18=""),"",IF($BC18="Y",SUMIFS(survey_frozen!$D$2:$D$251,survey_frozen!$P$2:$P$251,$A18&amp;"|"&amp;$B18),IFERROR(COUNTIFS(INDIRECT("'"&amp;$A18&amp;"'!$B$2:$B$501"),$T18,INDIRECT("'"&amp;$A18&amp;"'!$A$2:$A$501"),"&gt;="&amp;$I18,INDIRECT("'"&amp;$A18&amp;"'!$A$2:$A$501"),"&lt;"&amp;($BA18+1),INDIRECT("'"&amp;$A18&amp;"'!$C$2:$C$501"),"Yes"),0)))</f>
        <v>6</v>
      </c>
      <c r="AN18" s="30" t="n">
        <f aca="false">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12</v>
      </c>
      <c r="AO18" s="30" t="n">
        <f aca="false">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11</v>
      </c>
      <c r="AP18" s="30" t="str">
        <f aca="true">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info: read the vetoes against the label; </v>
      </c>
      <c r="AQ18" s="30" t="n">
        <f aca="true">IF(OR($A18="",$I18=""),"",IF($BC18="Y",SUMIFS(survey_frozen!$E$2:$E$251,survey_frozen!$P$2:$P$251,$A18&amp;"|"&amp;$B18),IFERROR(COUNTIFS(INDIRECT("'"&amp;$A18&amp;"'!$B$2:$B$501"),$T18,INDIRECT("'"&amp;$A18&amp;"'!$A$2:$A$501"),"&gt;="&amp;$I18,INDIRECT("'"&amp;$A18&amp;"'!$A$2:$A$501"),"&lt;"&amp;($BA18+1),INDIRECT("'"&amp;$A18&amp;"'!$F$2:$F$501"),"Didn't see it"),0)))</f>
        <v>1</v>
      </c>
      <c r="AR18" s="30" t="n">
        <f aca="true">IF(OR($A18="",$I18=""),"",IF($BC18="Y",SUMIFS(survey_frozen!$F$2:$F$251,survey_frozen!$P$2:$P$251,$A18&amp;"|"&amp;$B18),IFERROR(COUNTIFS(INDIRECT("'"&amp;$A18&amp;"'!$B$2:$B$501"),$T18,INDIRECT("'"&amp;$A18&amp;"'!$A$2:$A$501"),"&gt;="&amp;$I18,INDIRECT("'"&amp;$A18&amp;"'!$A$2:$A$501"),"&lt;"&amp;($BA18+1),INDIRECT("'"&amp;$A18&amp;"'!$F$2:$F$501"),"Not for me"),0)))</f>
        <v>1</v>
      </c>
      <c r="AS18" s="30" t="n">
        <f aca="true">IF(OR($A18="",$I18=""),"",IF($BC18="Y",SUMIFS(survey_frozen!$G$2:$G$251,survey_frozen!$P$2:$P$251,$A18&amp;"|"&amp;$B18),IFERROR(COUNTIFS(INDIRECT("'"&amp;$A18&amp;"'!$B$2:$B$501"),$T18,INDIRECT("'"&amp;$A18&amp;"'!$A$2:$A$501"),"&gt;="&amp;$I18,INDIRECT("'"&amp;$A18&amp;"'!$A$2:$A$501"),"&lt;"&amp;($BA18+1),INDIRECT("'"&amp;$A18&amp;"'!$F$2:$F$501"),"Gone by the time I looked"),0)))</f>
        <v>1</v>
      </c>
      <c r="AT18" s="30" t="n">
        <f aca="true">IF(OR($A18="",$I18=""),"",IF($BC18="Y",SUMIFS(survey_frozen!$H$2:$H$251,survey_frozen!$P$2:$P$251,$A18&amp;"|"&amp;$B18),IFERROR(COUNTIFS(INDIRECT("'"&amp;$A18&amp;"'!$B$2:$B$501"),$T18,INDIRECT("'"&amp;$A18&amp;"'!$A$2:$A$501"),"&gt;="&amp;$I18,INDIRECT("'"&amp;$A18&amp;"'!$A$2:$A$501"),"&lt;"&amp;($BA18+1),INDIRECT("'"&amp;$A18&amp;"'!$D$2:$D$501"),"&gt;=1"),0)))</f>
        <v>6</v>
      </c>
      <c r="AU18" s="30" t="n">
        <f aca="true">IF(OR($A18="",$I18=""),"",IF($BC18="Y",SUMIFS(survey_frozen!$I$2:$I$251,survey_frozen!$P$2:$P$251,$A18&amp;"|"&amp;$B18),IFERROR(SUMIFS(INDIRECT("'"&amp;$A18&amp;"'!$D$2:$D$501"),INDIRECT("'"&amp;$A18&amp;"'!$B$2:$B$501"),$T18,INDIRECT("'"&amp;$A18&amp;"'!$A$2:$A$501"),"&gt;="&amp;$I18,INDIRECT("'"&amp;$A18&amp;"'!$A$2:$A$501"),"&lt;"&amp;($BA18+1)),0)))</f>
        <v>25</v>
      </c>
      <c r="AV18" s="30" t="n">
        <f aca="true">IF(OR($A18="",$I18=""),"",IF($BC18="Y",SUMIFS(survey_frozen!$J$2:$J$251,survey_frozen!$P$2:$P$251,$A18&amp;"|"&amp;$B18),IFERROR(COUNTIFS(INDIRECT("'"&amp;$A18&amp;"'!$B$2:$B$501"),$T18,INDIRECT("'"&amp;$A18&amp;"'!$A$2:$A$501"),"&gt;="&amp;$I18,INDIRECT("'"&amp;$A18&amp;"'!$A$2:$A$501"),"&lt;"&amp;($BA18+1),INDIRECT("'"&amp;$A18&amp;"'!$E$2:$E$501"),"Yes"),0)))</f>
        <v>4</v>
      </c>
      <c r="AW18" s="30" t="n">
        <f aca="true">IF(OR($A18="",$I18=""),"",IF($BC18="Y",SUMIFS(survey_frozen!$K$2:$K$251,survey_frozen!$P$2:$P$251,$A18&amp;"|"&amp;$B18),IFERROR(COUNTIFS(INDIRECT("'"&amp;$A18&amp;"'!$B$2:$B$501"),$T18,INDIRECT("'"&amp;$A18&amp;"'!$A$2:$A$501"),"&gt;="&amp;$I18,INDIRECT("'"&amp;$A18&amp;"'!$A$2:$A$501"),"&lt;"&amp;($BA18+1),INDIRECT("'"&amp;$A18&amp;"'!$E$2:$E$501"),"Maybe"),0)))</f>
        <v>1</v>
      </c>
      <c r="AX18" s="30" t="n">
        <f aca="true">IF(OR($A18="",$I18=""),"",IF($BC18="Y",SUMIFS(survey_frozen!$L$2:$L$251,survey_frozen!$P$2:$P$251,$A18&amp;"|"&amp;$B18),IFERROR(COUNTIFS(INDIRECT("'"&amp;$A18&amp;"'!$B$2:$B$501"),$T18,INDIRECT("'"&amp;$A18&amp;"'!$A$2:$A$501"),"&gt;="&amp;$I18,INDIRECT("'"&amp;$A18&amp;"'!$A$2:$A$501"),"&lt;"&amp;($BA18+1),INDIRECT("'"&amp;$A18&amp;"'!$E$2:$E$501"),"No"),0)))</f>
        <v>1</v>
      </c>
      <c r="AY18" s="30" t="n">
        <f aca="true">IF(OR($A18="",$I18=""),"",IF($BC18="Y",SUMIFS(survey_frozen!$M$2:$M$251,survey_frozen!$P$2:$P$251,$A18&amp;"|"&amp;$B18),IFERROR(COUNTIFS(INDIRECT("'"&amp;$A18&amp;"'!$B$2:$B$501"),$T18,INDIRECT("'"&amp;$A18&amp;"'!$A$2:$A$501"),"&gt;="&amp;$I18,INDIRECT("'"&amp;$A18&amp;"'!$A$2:$A$501"),"&lt;"&amp;($BA18+1),INDIRECT("'"&amp;$A18&amp;"'!$G$2:$G$501"),"&lt;&gt;"),0)))</f>
        <v>6</v>
      </c>
      <c r="AZ18" s="30" t="str">
        <f aca="false">IF($A18="","",$A18&amp;"|"&amp;$L18)</f>
        <v>SAMPLE-CMP-003|7</v>
      </c>
      <c r="BA18" s="31" t="n">
        <f aca="false">IF($A18="","",IFERROR(IF(INDEX(drops!$R$2:$R$21,MATCH($H18,drops!$A$2:$A$21,0))="","",INDEX(drops!$R$2:$R$21,MATCH($H18,drops!$A$2:$A$21,0))),""))</f>
        <v>46434</v>
      </c>
      <c r="BB18" s="30" t="n">
        <f aca="false">IF(OR($A18="",$Q18&lt;&gt;"Y"),1000000,N($AL18))</f>
        <v>9</v>
      </c>
      <c r="BC18" s="30" t="str">
        <f aca="false">IF($A18="","",IF(COUNTIF(survey_frozen!$P$2:$P$251,$A18&amp;"|"&amp;$B18)&gt;0,"Y",""))</f>
        <v/>
      </c>
      <c r="BD18" s="30" t="str">
        <f aca="false">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ustomFormat="false" ht="15" hidden="false" customHeight="false" outlineLevel="0" collapsed="false">
      <c r="A19" s="0" t="s">
        <v>516</v>
      </c>
      <c r="B19" s="0" t="s">
        <v>694</v>
      </c>
      <c r="C19" s="11" t="n">
        <v>46394</v>
      </c>
      <c r="D19" s="10" t="s">
        <v>496</v>
      </c>
      <c r="E19" s="11" t="n">
        <v>46396</v>
      </c>
      <c r="F19" s="10" t="s">
        <v>737</v>
      </c>
      <c r="G19" s="0" t="n">
        <v>42</v>
      </c>
      <c r="H19" s="30" t="str">
        <f aca="false">IF($A19="","",IFERROR(IF(INDEX(campaigns!$B$2:$B$51,MATCH($A19,campaigns!$A$2:$A$51,0))="","",INDEX(campaigns!$B$2:$B$51,MATCH($A19,campaigns!$A$2:$A$51,0))),""))</f>
        <v>SAMPLE-DRP-002</v>
      </c>
      <c r="I19" s="31" t="n">
        <f aca="false">IF($A19="","",IFERROR(IF(INDEX(campaigns!$BG$2:$BG$51,MATCH($A19,campaigns!$A$2:$A$51,0))="","",INDEX(campaigns!$BG$2:$BG$51,MATCH($A19,campaigns!$A$2:$A$51,0))),""))</f>
        <v>46427</v>
      </c>
      <c r="J19" s="30" t="str">
        <f aca="false">IF($A19="","",IFERROR(IF(INDEX(campaigns!$BE$2:$BE$51,MATCH($A19,campaigns!$A$2:$A$51,0))="","",INDEX(campaigns!$BE$2:$BE$51,MATCH($A19,campaigns!$A$2:$A$51,0))),""))</f>
        <v>SAMPLE Tallgrass</v>
      </c>
      <c r="K19" s="30" t="str">
        <f aca="false">IF($B19="","",IFERROR(IF(INDEX(offices!$O$2:$O$61,MATCH($B19,offices!$A$2:$A$61,0))="","",INDEX(offices!$O$2:$O$61,MATCH($B19,offices!$A$2:$A$61,0))),""))</f>
        <v>SAMPLE Larch Legal</v>
      </c>
      <c r="L19" s="30" t="n">
        <f aca="false">IF($A19="","",IF($Q19="N","",COUNTIFS($A$2:$A19,$A19,$Q$2:$Q19,"&lt;&gt;N")))</f>
        <v>8</v>
      </c>
      <c r="M19" s="30" t="str">
        <f aca="false">IF(OR($A19="",$L19=""),"",IF(AND(config!$B$34="names_if_public",IFERROR(IF(INDEX(offices!$AG$2:$AG$61,MATCH($B19,offices!$A$2:$A$61,0))="","",INDEX(offices!$AG$2:$AG$61,MATCH($B19,offices!$A$2:$A$61,0))),"")="Y"),$K19,CHAR(64+$L19)))</f>
        <v>H</v>
      </c>
      <c r="N19" s="30" t="n">
        <f aca="false">IF(OR($A19="",$I19=""),"",COUNTIFS(stops!$B$2:$B$151,$B19,stops!$P$2:$P$151,"&lt;"&amp;$I19,stops!$L$2:$L$151,"&lt;&gt;not_delivered")+1)</f>
        <v>1</v>
      </c>
      <c r="O19" s="30" t="str">
        <f aca="false">IF($A19="","",IF(N($N19)&lt;=config!$B$29,"explicit","opt-out"))</f>
        <v>explicit</v>
      </c>
      <c r="P19" s="30" t="str">
        <f aca="false">IF($A19="","",IF($O19="explicit",IF($D19="yes","Y",IF($D19="no","N","pending")),IF($D19="no","N",IF(AND($C19&lt;&gt;"",$I19&lt;&gt;"",$C19&lt;=WORKDAY(N($I19),-5,calendar!$A$2:$A$80)),"Y","pending"))))</f>
        <v>Y</v>
      </c>
      <c r="Q19" s="30" t="str">
        <f aca="false">IF($A19="","",IF($P19="N","N",IF($P19&lt;&gt;"Y","pending",IF(AND((COUNTIFS(stops!$A$2:$A$151,$H19,stops!$B$2:$B$151,$B19,stops!$L$2:$L$151,"declined")+COUNTIFS(stops!$A$2:$A$151,$H19,stops!$B$2:$B$151,$B19,stops!$L$2:$L$151,"building_refused")+COUNTIFS(stops!$A$2:$A$151,$H19,stops!$B$2:$B$151,$B19,stops!$L$2:$L$151,"not_delivered"))&gt;0,N($U19)=0),"N","Y"))))</f>
        <v>Y</v>
      </c>
      <c r="R19" s="30" t="str">
        <f aca="false">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30" t="n">
        <f aca="false">IF($A19="","",IF($G19&lt;&gt;"",$G19,IFERROR(IF(INDEX(offices!$AM$2:$AM$61,MATCH($B19,offices!$A$2:$A$61,0))="","",INDEX(offices!$AM$2:$AM$61,MATCH($B19,offices!$A$2:$A$61,0))),"")))</f>
        <v>42</v>
      </c>
      <c r="T19" s="30" t="str">
        <f aca="false">IF($A19="","",$A19&amp;"."&amp;$B19)</f>
        <v>SAMPLE-CMP-003.SAMPLE-O-008</v>
      </c>
      <c r="U19" s="30" t="n">
        <f aca="false">IF($A19="","",SUMIFS(inventory!$G$2:$G$801,inventory!$C$2:$C$801,$A19,inventory!$D$2:$D$801,$B19,inventory!$E$2:$E$801,"delivered"))</f>
        <v>42</v>
      </c>
      <c r="V19" s="37" t="n">
        <f aca="false">IF($A19="","",IFERROR(1/(1/SUMPRODUCT(MAX((inventory!$C$2:$C$801=$A19)*(inventory!$D$2:$D$801=$B19)*(inventory!$E$2:$E$801="delivered")*(inventory!$A$2:$A$801+inventory!$B$2:$B$801)))),""))</f>
        <v>46427.4159722222</v>
      </c>
      <c r="W19" s="30" t="str">
        <f aca="false">IF($A19="","",IFERROR(IF(INDEX(inventory!$J$2:$J$801,MATCH($A19&amp;"|"&amp;$B19&amp;"|delivered",inventory!$R$2:$R$801,0))="","",INDEX(inventory!$J$2:$J$801,MATCH($A19&amp;"|"&amp;$B19&amp;"|delivered",inventory!$R$2:$R$801,0))),""))</f>
        <v>courier_count</v>
      </c>
      <c r="X19" s="30" t="str">
        <f aca="false">IF($A19="","",IFERROR(IF(INDEX(photos!$H$2:$H$701,MATCH($A19&amp;"|"&amp;$B19&amp;"|placement|Y",photos!$R$2:$R$701,0))="","",INDEX(photos!$H$2:$H$701,MATCH($A19&amp;"|"&amp;$B19&amp;"|placement|Y",photos!$R$2:$R$701,0))),""))</f>
        <v>SAMPLE-CMP-003_SAMPLE-O-008_placement_2027-02-09.jpg</v>
      </c>
      <c r="Y19" s="31" t="n">
        <f aca="false">IF($A19="","",IFERROR(IF(INDEX(photos!$E$2:$E$701,MATCH($A19&amp;"|"&amp;$B19&amp;"|placement|Y",photos!$R$2:$R$701,0))="","",INDEX(photos!$E$2:$E$701,MATCH($A19&amp;"|"&amp;$B19&amp;"|placement|Y",photos!$R$2:$R$701,0))),""))</f>
        <v>46427</v>
      </c>
      <c r="Z19" s="30" t="n">
        <f aca="false">IF($A19="","",IF(COUNTIFS(counts!$C$2:$C$701,$A19,counts!$D$2:$D$701,$B19,counts!$E$2:$E$701,"placed")=0,"",SUMIFS(counts!$F$2:$F$701,counts!$C$2:$C$701,$A19,counts!$D$2:$D$701,$B19,counts!$E$2:$E$701,"placed")))</f>
        <v>42</v>
      </c>
      <c r="AA19" s="30" t="n">
        <f aca="false">IF($A19="","",IF($Y19="",0,N($Z19)))</f>
        <v>42</v>
      </c>
      <c r="AB19" s="30" t="str">
        <f aca="false">IF($A19="","",IF(OR($Y19="",$I19=""),"N",IF($Y19&lt;=WORKDAY(N($I19),1,calendar!$A$2:$A$80),"Y","N")))</f>
        <v>Y</v>
      </c>
      <c r="AC19" s="33" t="n">
        <f aca="false">IF(OR($A19="",$V19="",$Y19=""),"",ROUND(($Y19+N(IFERROR(IF(INDEX(photos!$F$2:$F$701,MATCH($A19&amp;"|"&amp;$B19&amp;"|placement|Y",photos!$R$2:$R$701,0))="","",INDEX(photos!$F$2:$F$701,MATCH($A19&amp;"|"&amp;$B19&amp;"|placement|Y",photos!$R$2:$R$701,0))),""))-$V19)*24,1))</f>
        <v>3</v>
      </c>
      <c r="AD19" s="30" t="n">
        <f aca="false">IF($A19="","",SUMIFS(inventory!$G$2:$G$801,inventory!$C$2:$C$801,$A19,inventory!$D$2:$D$801,$B19,inventory!$E$2:$E$801,"topped_up"))</f>
        <v>0</v>
      </c>
      <c r="AE19" s="30" t="n">
        <f aca="false">IF($A19="","",IF(COUNTIFS(counts!$C$2:$C$701,$A19,counts!$D$2:$D$701,$B19,counts!$E$2:$E$701,"remaining_day3")=0,"",SUMIFS(counts!$F$2:$F$701,counts!$C$2:$C$701,$A19,counts!$D$2:$D$701,$B19,counts!$E$2:$E$701,"remaining_day3")))</f>
        <v>12</v>
      </c>
      <c r="AF19" s="30" t="n">
        <f aca="false">IF($A19="","",IF(COUNTIFS(counts!$C$2:$C$701,$A19,counts!$D$2:$D$701,$B19,counts!$E$2:$E$701,"remaining_day5")=0,"",SUMIFS(counts!$F$2:$F$701,counts!$C$2:$C$701,$A19,counts!$D$2:$D$701,$B19,counts!$E$2:$E$701,"remaining_day5")))</f>
        <v>2</v>
      </c>
      <c r="AG19" s="30" t="n">
        <f aca="false">IF(OR($A19="",$AF19=""),"",MAX(0,$AA19+$AD19-$AF19))</f>
        <v>40</v>
      </c>
      <c r="AH19" s="30" t="str">
        <f aca="false">IF(OR($A19="",$AI19=""),"",IFERROR(IF(INDEX(photos!$H$2:$H$701,MATCH($A19&amp;"|"&amp;$B19&amp;"|later|Y|"&amp;$AI19,photos!$S$2:$S$701,0))="","",INDEX(photos!$H$2:$H$701,MATCH($A19&amp;"|"&amp;$B19&amp;"|later|Y|"&amp;$AI19,photos!$S$2:$S$701,0))),""))</f>
        <v>SAMPLE-CMP-003_SAMPLE-O-008_later_2027-02-16.jpg</v>
      </c>
      <c r="AI19" s="31" t="n">
        <f aca="false">IF($A19="","",IFERROR(1/(1/SUMPRODUCT(MAX((photos!$B$2:$B$701=$A19)*(photos!$C$2:$C$701=$B19)*(photos!$D$2:$D$701="later")*(photos!$O$2:$O$701="Y")*photos!$E$2:$E$701))),""))</f>
        <v>46434</v>
      </c>
      <c r="AJ19" s="30" t="n">
        <f aca="false">IF(OR($A19="",$AI19="",$I19=""),"",NETWORKDAYS($I19,$AI19,calendar!$A$2:$A$80))</f>
        <v>5</v>
      </c>
      <c r="AK19" s="30" t="str">
        <f aca="false">IF($A19="","",IF(AND($X19&lt;&gt;"",$AH19&lt;&gt;""),"Y","N"))</f>
        <v>Y</v>
      </c>
      <c r="AL19" s="30" t="n">
        <f aca="true">IF(OR($A19="",$I19=""),"",IF($BC19="Y",SUMIFS(survey_frozen!$C$2:$C$251,survey_frozen!$P$2:$P$251,$A19&amp;"|"&amp;$B19),IFERROR(COUNTIFS(INDIRECT("'"&amp;$A19&amp;"'!$B$2:$B$501"),$T19,INDIRECT("'"&amp;$A19&amp;"'!$A$2:$A$501"),"&gt;="&amp;$I19,INDIRECT("'"&amp;$A19&amp;"'!$A$2:$A$501"),"&lt;"&amp;($BA19+1)),0)))</f>
        <v>6</v>
      </c>
      <c r="AM19" s="30" t="n">
        <f aca="true">IF(OR($A19="",$I19=""),"",IF($BC19="Y",SUMIFS(survey_frozen!$D$2:$D$251,survey_frozen!$P$2:$P$251,$A19&amp;"|"&amp;$B19),IFERROR(COUNTIFS(INDIRECT("'"&amp;$A19&amp;"'!$B$2:$B$501"),$T19,INDIRECT("'"&amp;$A19&amp;"'!$A$2:$A$501"),"&gt;="&amp;$I19,INDIRECT("'"&amp;$A19&amp;"'!$A$2:$A$501"),"&lt;"&amp;($BA19+1),INDIRECT("'"&amp;$A19&amp;"'!$C$2:$C$501"),"Yes"),0)))</f>
        <v>4</v>
      </c>
      <c r="AN19" s="30" t="n">
        <f aca="false">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8</v>
      </c>
      <c r="AO19" s="30" t="n">
        <f aca="false">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7</v>
      </c>
      <c r="AP19" s="30" t="str">
        <f aca="true">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30" t="n">
        <f aca="true">IF(OR($A19="",$I19=""),"",IF($BC19="Y",SUMIFS(survey_frozen!$E$2:$E$251,survey_frozen!$P$2:$P$251,$A19&amp;"|"&amp;$B19),IFERROR(COUNTIFS(INDIRECT("'"&amp;$A19&amp;"'!$B$2:$B$501"),$T19,INDIRECT("'"&amp;$A19&amp;"'!$A$2:$A$501"),"&gt;="&amp;$I19,INDIRECT("'"&amp;$A19&amp;"'!$A$2:$A$501"),"&lt;"&amp;($BA19+1),INDIRECT("'"&amp;$A19&amp;"'!$F$2:$F$501"),"Didn't see it"),0)))</f>
        <v>1</v>
      </c>
      <c r="AR19" s="30" t="n">
        <f aca="true">IF(OR($A19="",$I19=""),"",IF($BC19="Y",SUMIFS(survey_frozen!$F$2:$F$251,survey_frozen!$P$2:$P$251,$A19&amp;"|"&amp;$B19),IFERROR(COUNTIFS(INDIRECT("'"&amp;$A19&amp;"'!$B$2:$B$501"),$T19,INDIRECT("'"&amp;$A19&amp;"'!$A$2:$A$501"),"&gt;="&amp;$I19,INDIRECT("'"&amp;$A19&amp;"'!$A$2:$A$501"),"&lt;"&amp;($BA19+1),INDIRECT("'"&amp;$A19&amp;"'!$F$2:$F$501"),"Not for me"),0)))</f>
        <v>1</v>
      </c>
      <c r="AS19" s="30" t="n">
        <f aca="true">IF(OR($A19="",$I19=""),"",IF($BC19="Y",SUMIFS(survey_frozen!$G$2:$G$251,survey_frozen!$P$2:$P$251,$A19&amp;"|"&amp;$B19),IFERROR(COUNTIFS(INDIRECT("'"&amp;$A19&amp;"'!$B$2:$B$501"),$T19,INDIRECT("'"&amp;$A19&amp;"'!$A$2:$A$501"),"&gt;="&amp;$I19,INDIRECT("'"&amp;$A19&amp;"'!$A$2:$A$501"),"&lt;"&amp;($BA19+1),INDIRECT("'"&amp;$A19&amp;"'!$F$2:$F$501"),"Gone by the time I looked"),0)))</f>
        <v>0</v>
      </c>
      <c r="AT19" s="30" t="n">
        <f aca="true">IF(OR($A19="",$I19=""),"",IF($BC19="Y",SUMIFS(survey_frozen!$H$2:$H$251,survey_frozen!$P$2:$P$251,$A19&amp;"|"&amp;$B19),IFERROR(COUNTIFS(INDIRECT("'"&amp;$A19&amp;"'!$B$2:$B$501"),$T19,INDIRECT("'"&amp;$A19&amp;"'!$A$2:$A$501"),"&gt;="&amp;$I19,INDIRECT("'"&amp;$A19&amp;"'!$A$2:$A$501"),"&lt;"&amp;($BA19+1),INDIRECT("'"&amp;$A19&amp;"'!$D$2:$D$501"),"&gt;=1"),0)))</f>
        <v>4</v>
      </c>
      <c r="AU19" s="30" t="n">
        <f aca="true">IF(OR($A19="",$I19=""),"",IF($BC19="Y",SUMIFS(survey_frozen!$I$2:$I$251,survey_frozen!$P$2:$P$251,$A19&amp;"|"&amp;$B19),IFERROR(SUMIFS(INDIRECT("'"&amp;$A19&amp;"'!$D$2:$D$501"),INDIRECT("'"&amp;$A19&amp;"'!$B$2:$B$501"),$T19,INDIRECT("'"&amp;$A19&amp;"'!$A$2:$A$501"),"&gt;="&amp;$I19,INDIRECT("'"&amp;$A19&amp;"'!$A$2:$A$501"),"&lt;"&amp;($BA19+1)),0)))</f>
        <v>15</v>
      </c>
      <c r="AV19" s="30" t="n">
        <f aca="true">IF(OR($A19="",$I19=""),"",IF($BC19="Y",SUMIFS(survey_frozen!$J$2:$J$251,survey_frozen!$P$2:$P$251,$A19&amp;"|"&amp;$B19),IFERROR(COUNTIFS(INDIRECT("'"&amp;$A19&amp;"'!$B$2:$B$501"),$T19,INDIRECT("'"&amp;$A19&amp;"'!$A$2:$A$501"),"&gt;="&amp;$I19,INDIRECT("'"&amp;$A19&amp;"'!$A$2:$A$501"),"&lt;"&amp;($BA19+1),INDIRECT("'"&amp;$A19&amp;"'!$E$2:$E$501"),"Yes"),0)))</f>
        <v>1</v>
      </c>
      <c r="AW19" s="30" t="n">
        <f aca="true">IF(OR($A19="",$I19=""),"",IF($BC19="Y",SUMIFS(survey_frozen!$K$2:$K$251,survey_frozen!$P$2:$P$251,$A19&amp;"|"&amp;$B19),IFERROR(COUNTIFS(INDIRECT("'"&amp;$A19&amp;"'!$B$2:$B$501"),$T19,INDIRECT("'"&amp;$A19&amp;"'!$A$2:$A$501"),"&gt;="&amp;$I19,INDIRECT("'"&amp;$A19&amp;"'!$A$2:$A$501"),"&lt;"&amp;($BA19+1),INDIRECT("'"&amp;$A19&amp;"'!$E$2:$E$501"),"Maybe"),0)))</f>
        <v>2</v>
      </c>
      <c r="AX19" s="30" t="n">
        <f aca="true">IF(OR($A19="",$I19=""),"",IF($BC19="Y",SUMIFS(survey_frozen!$L$2:$L$251,survey_frozen!$P$2:$P$251,$A19&amp;"|"&amp;$B19),IFERROR(COUNTIFS(INDIRECT("'"&amp;$A19&amp;"'!$B$2:$B$501"),$T19,INDIRECT("'"&amp;$A19&amp;"'!$A$2:$A$501"),"&gt;="&amp;$I19,INDIRECT("'"&amp;$A19&amp;"'!$A$2:$A$501"),"&lt;"&amp;($BA19+1),INDIRECT("'"&amp;$A19&amp;"'!$E$2:$E$501"),"No"),0)))</f>
        <v>1</v>
      </c>
      <c r="AY19" s="30" t="n">
        <f aca="true">IF(OR($A19="",$I19=""),"",IF($BC19="Y",SUMIFS(survey_frozen!$M$2:$M$251,survey_frozen!$P$2:$P$251,$A19&amp;"|"&amp;$B19),IFERROR(COUNTIFS(INDIRECT("'"&amp;$A19&amp;"'!$B$2:$B$501"),$T19,INDIRECT("'"&amp;$A19&amp;"'!$A$2:$A$501"),"&gt;="&amp;$I19,INDIRECT("'"&amp;$A19&amp;"'!$A$2:$A$501"),"&lt;"&amp;($BA19+1),INDIRECT("'"&amp;$A19&amp;"'!$G$2:$G$501"),"&lt;&gt;"),0)))</f>
        <v>3</v>
      </c>
      <c r="AZ19" s="30" t="str">
        <f aca="false">IF($A19="","",$A19&amp;"|"&amp;$L19)</f>
        <v>SAMPLE-CMP-003|8</v>
      </c>
      <c r="BA19" s="31" t="n">
        <f aca="false">IF($A19="","",IFERROR(IF(INDEX(drops!$R$2:$R$21,MATCH($H19,drops!$A$2:$A$21,0))="","",INDEX(drops!$R$2:$R$21,MATCH($H19,drops!$A$2:$A$21,0))),""))</f>
        <v>46434</v>
      </c>
      <c r="BB19" s="30" t="n">
        <f aca="false">IF(OR($A19="",$Q19&lt;&gt;"Y"),1000000,N($AL19))</f>
        <v>6</v>
      </c>
      <c r="BC19" s="30" t="str">
        <f aca="false">IF($A19="","",IF(COUNTIF(survey_frozen!$P$2:$P$251,$A19&amp;"|"&amp;$B19)&gt;0,"Y",""))</f>
        <v/>
      </c>
      <c r="BD19" s="30" t="str">
        <f aca="false">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ustomFormat="false" ht="15" hidden="false" customHeight="false" outlineLevel="0" collapsed="false">
      <c r="A20" s="0" t="s">
        <v>516</v>
      </c>
      <c r="B20" s="0" t="s">
        <v>696</v>
      </c>
      <c r="C20" s="11" t="n">
        <v>46395</v>
      </c>
      <c r="D20" s="10" t="s">
        <v>496</v>
      </c>
      <c r="E20" s="11" t="n">
        <v>46398</v>
      </c>
      <c r="F20" s="10" t="s">
        <v>737</v>
      </c>
      <c r="G20" s="0" t="n">
        <v>72</v>
      </c>
      <c r="H20" s="30" t="str">
        <f aca="false">IF($A20="","",IFERROR(IF(INDEX(campaigns!$B$2:$B$51,MATCH($A20,campaigns!$A$2:$A$51,0))="","",INDEX(campaigns!$B$2:$B$51,MATCH($A20,campaigns!$A$2:$A$51,0))),""))</f>
        <v>SAMPLE-DRP-002</v>
      </c>
      <c r="I20" s="31" t="n">
        <f aca="false">IF($A20="","",IFERROR(IF(INDEX(campaigns!$BG$2:$BG$51,MATCH($A20,campaigns!$A$2:$A$51,0))="","",INDEX(campaigns!$BG$2:$BG$51,MATCH($A20,campaigns!$A$2:$A$51,0))),""))</f>
        <v>46427</v>
      </c>
      <c r="J20" s="30" t="str">
        <f aca="false">IF($A20="","",IFERROR(IF(INDEX(campaigns!$BE$2:$BE$51,MATCH($A20,campaigns!$A$2:$A$51,0))="","",INDEX(campaigns!$BE$2:$BE$51,MATCH($A20,campaigns!$A$2:$A$51,0))),""))</f>
        <v>SAMPLE Tallgrass</v>
      </c>
      <c r="K20" s="30" t="str">
        <f aca="false">IF($B20="","",IFERROR(IF(INDEX(offices!$O$2:$O$61,MATCH($B20,offices!$A$2:$A$61,0))="","",INDEX(offices!$O$2:$O$61,MATCH($B20,offices!$A$2:$A$61,0))),""))</f>
        <v>SAMPLE Overlook Games</v>
      </c>
      <c r="L20" s="30" t="n">
        <f aca="false">IF($A20="","",IF($Q20="N","",COUNTIFS($A$2:$A20,$A20,$Q$2:$Q20,"&lt;&gt;N")))</f>
        <v>9</v>
      </c>
      <c r="M20" s="30" t="str">
        <f aca="false">IF(OR($A20="",$L20=""),"",IF(AND(config!$B$34="names_if_public",IFERROR(IF(INDEX(offices!$AG$2:$AG$61,MATCH($B20,offices!$A$2:$A$61,0))="","",INDEX(offices!$AG$2:$AG$61,MATCH($B20,offices!$A$2:$A$61,0))),"")="Y"),$K20,CHAR(64+$L20)))</f>
        <v>I</v>
      </c>
      <c r="N20" s="30" t="n">
        <f aca="false">IF(OR($A20="",$I20=""),"",COUNTIFS(stops!$B$2:$B$151,$B20,stops!$P$2:$P$151,"&lt;"&amp;$I20,stops!$L$2:$L$151,"&lt;&gt;not_delivered")+1)</f>
        <v>1</v>
      </c>
      <c r="O20" s="30" t="str">
        <f aca="false">IF($A20="","",IF(N($N20)&lt;=config!$B$29,"explicit","opt-out"))</f>
        <v>explicit</v>
      </c>
      <c r="P20" s="30" t="str">
        <f aca="false">IF($A20="","",IF($O20="explicit",IF($D20="yes","Y",IF($D20="no","N","pending")),IF($D20="no","N",IF(AND($C20&lt;&gt;"",$I20&lt;&gt;"",$C20&lt;=WORKDAY(N($I20),-5,calendar!$A$2:$A$80)),"Y","pending"))))</f>
        <v>Y</v>
      </c>
      <c r="Q20" s="30" t="str">
        <f aca="false">IF($A20="","",IF($P20="N","N",IF($P20&lt;&gt;"Y","pending",IF(AND((COUNTIFS(stops!$A$2:$A$151,$H20,stops!$B$2:$B$151,$B20,stops!$L$2:$L$151,"declined")+COUNTIFS(stops!$A$2:$A$151,$H20,stops!$B$2:$B$151,$B20,stops!$L$2:$L$151,"building_refused")+COUNTIFS(stops!$A$2:$A$151,$H20,stops!$B$2:$B$151,$B20,stops!$L$2:$L$151,"not_delivered"))&gt;0,N($U20)=0),"N","Y"))))</f>
        <v>Y</v>
      </c>
      <c r="R20" s="30" t="str">
        <f aca="false">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30" t="n">
        <f aca="false">IF($A20="","",IF($G20&lt;&gt;"",$G20,IFERROR(IF(INDEX(offices!$AM$2:$AM$61,MATCH($B20,offices!$A$2:$A$61,0))="","",INDEX(offices!$AM$2:$AM$61,MATCH($B20,offices!$A$2:$A$61,0))),"")))</f>
        <v>72</v>
      </c>
      <c r="T20" s="30" t="str">
        <f aca="false">IF($A20="","",$A20&amp;"."&amp;$B20)</f>
        <v>SAMPLE-CMP-003.SAMPLE-O-009</v>
      </c>
      <c r="U20" s="30" t="n">
        <f aca="false">IF($A20="","",SUMIFS(inventory!$G$2:$G$801,inventory!$C$2:$C$801,$A20,inventory!$D$2:$D$801,$B20,inventory!$E$2:$E$801,"delivered"))</f>
        <v>72</v>
      </c>
      <c r="V20" s="37" t="n">
        <f aca="false">IF($A20="","",IFERROR(1/(1/SUMPRODUCT(MAX((inventory!$C$2:$C$801=$A20)*(inventory!$D$2:$D$801=$B20)*(inventory!$E$2:$E$801="delivered")*(inventory!$A$2:$A$801+inventory!$B$2:$B$801)))),""))</f>
        <v>46428.3611111111</v>
      </c>
      <c r="W20" s="30" t="str">
        <f aca="false">IF($A20="","",IFERROR(IF(INDEX(inventory!$J$2:$J$801,MATCH($A20&amp;"|"&amp;$B20&amp;"|delivered",inventory!$R$2:$R$801,0))="","",INDEX(inventory!$J$2:$J$801,MATCH($A20&amp;"|"&amp;$B20&amp;"|delivered",inventory!$R$2:$R$801,0))),""))</f>
        <v>founder_count</v>
      </c>
      <c r="X20" s="30" t="str">
        <f aca="false">IF($A20="","",IFERROR(IF(INDEX(photos!$H$2:$H$701,MATCH($A20&amp;"|"&amp;$B20&amp;"|placement|Y",photos!$R$2:$R$701,0))="","",INDEX(photos!$H$2:$H$701,MATCH($A20&amp;"|"&amp;$B20&amp;"|placement|Y",photos!$R$2:$R$701,0))),""))</f>
        <v>SAMPLE-CMP-003_SAMPLE-O-009_placement_2027-02-10.jpg</v>
      </c>
      <c r="Y20" s="31" t="n">
        <f aca="false">IF($A20="","",IFERROR(IF(INDEX(photos!$E$2:$E$701,MATCH($A20&amp;"|"&amp;$B20&amp;"|placement|Y",photos!$R$2:$R$701,0))="","",INDEX(photos!$E$2:$E$701,MATCH($A20&amp;"|"&amp;$B20&amp;"|placement|Y",photos!$R$2:$R$701,0))),""))</f>
        <v>46428</v>
      </c>
      <c r="Z20" s="30" t="n">
        <f aca="false">IF($A20="","",IF(COUNTIFS(counts!$C$2:$C$701,$A20,counts!$D$2:$D$701,$B20,counts!$E$2:$E$701,"placed")=0,"",SUMIFS(counts!$F$2:$F$701,counts!$C$2:$C$701,$A20,counts!$D$2:$D$701,$B20,counts!$E$2:$E$701,"placed")))</f>
        <v>72</v>
      </c>
      <c r="AA20" s="30" t="n">
        <f aca="false">IF($A20="","",IF($Y20="",0,N($Z20)))</f>
        <v>72</v>
      </c>
      <c r="AB20" s="30" t="str">
        <f aca="false">IF($A20="","",IF(OR($Y20="",$I20=""),"N",IF($Y20&lt;=WORKDAY(N($I20),1,calendar!$A$2:$A$80),"Y","N")))</f>
        <v>Y</v>
      </c>
      <c r="AC20" s="33" t="n">
        <f aca="false">IF(OR($A20="",$V20="",$Y20=""),"",ROUND(($Y20+N(IFERROR(IF(INDEX(photos!$F$2:$F$701,MATCH($A20&amp;"|"&amp;$B20&amp;"|placement|Y",photos!$R$2:$R$701,0))="","",INDEX(photos!$F$2:$F$701,MATCH($A20&amp;"|"&amp;$B20&amp;"|placement|Y",photos!$R$2:$R$701,0))),""))-$V20)*24,1))</f>
        <v>0.5</v>
      </c>
      <c r="AD20" s="30" t="n">
        <f aca="false">IF($A20="","",SUMIFS(inventory!$G$2:$G$801,inventory!$C$2:$C$801,$A20,inventory!$D$2:$D$801,$B20,inventory!$E$2:$E$801,"topped_up"))</f>
        <v>0</v>
      </c>
      <c r="AE20" s="30" t="n">
        <f aca="false">IF($A20="","",IF(COUNTIFS(counts!$C$2:$C$701,$A20,counts!$D$2:$D$701,$B20,counts!$E$2:$E$701,"remaining_day3")=0,"",SUMIFS(counts!$F$2:$F$701,counts!$C$2:$C$701,$A20,counts!$D$2:$D$701,$B20,counts!$E$2:$E$701,"remaining_day3")))</f>
        <v>33</v>
      </c>
      <c r="AF20" s="30" t="n">
        <f aca="false">IF($A20="","",IF(COUNTIFS(counts!$C$2:$C$701,$A20,counts!$D$2:$D$701,$B20,counts!$E$2:$E$701,"remaining_day5")=0,"",SUMIFS(counts!$F$2:$F$701,counts!$C$2:$C$701,$A20,counts!$D$2:$D$701,$B20,counts!$E$2:$E$701,"remaining_day5")))</f>
        <v>14</v>
      </c>
      <c r="AG20" s="30" t="n">
        <f aca="false">IF(OR($A20="",$AF20=""),"",MAX(0,$AA20+$AD20-$AF20))</f>
        <v>58</v>
      </c>
      <c r="AH20" s="30" t="str">
        <f aca="false">IF(OR($A20="",$AI20=""),"",IFERROR(IF(INDEX(photos!$H$2:$H$701,MATCH($A20&amp;"|"&amp;$B20&amp;"|later|Y|"&amp;$AI20,photos!$S$2:$S$701,0))="","",INDEX(photos!$H$2:$H$701,MATCH($A20&amp;"|"&amp;$B20&amp;"|later|Y|"&amp;$AI20,photos!$S$2:$S$701,0))),""))</f>
        <v>SAMPLE-CMP-003_SAMPLE-O-009_later_2027-02-16.jpg</v>
      </c>
      <c r="AI20" s="31" t="n">
        <f aca="false">IF($A20="","",IFERROR(1/(1/SUMPRODUCT(MAX((photos!$B$2:$B$701=$A20)*(photos!$C$2:$C$701=$B20)*(photos!$D$2:$D$701="later")*(photos!$O$2:$O$701="Y")*photos!$E$2:$E$701))),""))</f>
        <v>46434</v>
      </c>
      <c r="AJ20" s="30" t="n">
        <f aca="false">IF(OR($A20="",$AI20="",$I20=""),"",NETWORKDAYS($I20,$AI20,calendar!$A$2:$A$80))</f>
        <v>5</v>
      </c>
      <c r="AK20" s="30" t="str">
        <f aca="false">IF($A20="","",IF(AND($X20&lt;&gt;"",$AH20&lt;&gt;""),"Y","N"))</f>
        <v>Y</v>
      </c>
      <c r="AL20" s="30" t="n">
        <f aca="true">IF(OR($A20="",$I20=""),"",IF($BC20="Y",SUMIFS(survey_frozen!$C$2:$C$251,survey_frozen!$P$2:$P$251,$A20&amp;"|"&amp;$B20),IFERROR(COUNTIFS(INDIRECT("'"&amp;$A20&amp;"'!$B$2:$B$501"),$T20,INDIRECT("'"&amp;$A20&amp;"'!$A$2:$A$501"),"&gt;="&amp;$I20,INDIRECT("'"&amp;$A20&amp;"'!$A$2:$A$501"),"&lt;"&amp;($BA20+1)),0)))</f>
        <v>8</v>
      </c>
      <c r="AM20" s="30" t="n">
        <f aca="true">IF(OR($A20="",$I20=""),"",IF($BC20="Y",SUMIFS(survey_frozen!$D$2:$D$251,survey_frozen!$P$2:$P$251,$A20&amp;"|"&amp;$B20),IFERROR(COUNTIFS(INDIRECT("'"&amp;$A20&amp;"'!$B$2:$B$501"),$T20,INDIRECT("'"&amp;$A20&amp;"'!$A$2:$A$501"),"&gt;="&amp;$I20,INDIRECT("'"&amp;$A20&amp;"'!$A$2:$A$501"),"&lt;"&amp;($BA20+1),INDIRECT("'"&amp;$A20&amp;"'!$C$2:$C$501"),"Yes"),0)))</f>
        <v>5</v>
      </c>
      <c r="AN20" s="30" t="n">
        <f aca="false">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4</v>
      </c>
      <c r="AO20" s="30" t="n">
        <f aca="false">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3</v>
      </c>
      <c r="AP20" s="30" t="str">
        <f aca="true">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30" t="n">
        <f aca="true">IF(OR($A20="",$I20=""),"",IF($BC20="Y",SUMIFS(survey_frozen!$E$2:$E$251,survey_frozen!$P$2:$P$251,$A20&amp;"|"&amp;$B20),IFERROR(COUNTIFS(INDIRECT("'"&amp;$A20&amp;"'!$B$2:$B$501"),$T20,INDIRECT("'"&amp;$A20&amp;"'!$A$2:$A$501"),"&gt;="&amp;$I20,INDIRECT("'"&amp;$A20&amp;"'!$A$2:$A$501"),"&lt;"&amp;($BA20+1),INDIRECT("'"&amp;$A20&amp;"'!$F$2:$F$501"),"Didn't see it"),0)))</f>
        <v>0</v>
      </c>
      <c r="AR20" s="30" t="n">
        <f aca="true">IF(OR($A20="",$I20=""),"",IF($BC20="Y",SUMIFS(survey_frozen!$F$2:$F$251,survey_frozen!$P$2:$P$251,$A20&amp;"|"&amp;$B20),IFERROR(COUNTIFS(INDIRECT("'"&amp;$A20&amp;"'!$B$2:$B$501"),$T20,INDIRECT("'"&amp;$A20&amp;"'!$A$2:$A$501"),"&gt;="&amp;$I20,INDIRECT("'"&amp;$A20&amp;"'!$A$2:$A$501"),"&lt;"&amp;($BA20+1),INDIRECT("'"&amp;$A20&amp;"'!$F$2:$F$501"),"Not for me"),0)))</f>
        <v>2</v>
      </c>
      <c r="AS20" s="30" t="n">
        <f aca="true">IF(OR($A20="",$I20=""),"",IF($BC20="Y",SUMIFS(survey_frozen!$G$2:$G$251,survey_frozen!$P$2:$P$251,$A20&amp;"|"&amp;$B20),IFERROR(COUNTIFS(INDIRECT("'"&amp;$A20&amp;"'!$B$2:$B$501"),$T20,INDIRECT("'"&amp;$A20&amp;"'!$A$2:$A$501"),"&gt;="&amp;$I20,INDIRECT("'"&amp;$A20&amp;"'!$A$2:$A$501"),"&lt;"&amp;($BA20+1),INDIRECT("'"&amp;$A20&amp;"'!$F$2:$F$501"),"Gone by the time I looked"),0)))</f>
        <v>1</v>
      </c>
      <c r="AT20" s="30" t="n">
        <f aca="true">IF(OR($A20="",$I20=""),"",IF($BC20="Y",SUMIFS(survey_frozen!$H$2:$H$251,survey_frozen!$P$2:$P$251,$A20&amp;"|"&amp;$B20),IFERROR(COUNTIFS(INDIRECT("'"&amp;$A20&amp;"'!$B$2:$B$501"),$T20,INDIRECT("'"&amp;$A20&amp;"'!$A$2:$A$501"),"&gt;="&amp;$I20,INDIRECT("'"&amp;$A20&amp;"'!$A$2:$A$501"),"&lt;"&amp;($BA20+1),INDIRECT("'"&amp;$A20&amp;"'!$D$2:$D$501"),"&gt;=1"),0)))</f>
        <v>5</v>
      </c>
      <c r="AU20" s="30" t="n">
        <f aca="true">IF(OR($A20="",$I20=""),"",IF($BC20="Y",SUMIFS(survey_frozen!$I$2:$I$251,survey_frozen!$P$2:$P$251,$A20&amp;"|"&amp;$B20),IFERROR(SUMIFS(INDIRECT("'"&amp;$A20&amp;"'!$D$2:$D$501"),INDIRECT("'"&amp;$A20&amp;"'!$B$2:$B$501"),$T20,INDIRECT("'"&amp;$A20&amp;"'!$A$2:$A$501"),"&gt;="&amp;$I20,INDIRECT("'"&amp;$A20&amp;"'!$A$2:$A$501"),"&lt;"&amp;($BA20+1)),0)))</f>
        <v>20</v>
      </c>
      <c r="AV20" s="30" t="n">
        <f aca="true">IF(OR($A20="",$I20=""),"",IF($BC20="Y",SUMIFS(survey_frozen!$J$2:$J$251,survey_frozen!$P$2:$P$251,$A20&amp;"|"&amp;$B20),IFERROR(COUNTIFS(INDIRECT("'"&amp;$A20&amp;"'!$B$2:$B$501"),$T20,INDIRECT("'"&amp;$A20&amp;"'!$A$2:$A$501"),"&gt;="&amp;$I20,INDIRECT("'"&amp;$A20&amp;"'!$A$2:$A$501"),"&lt;"&amp;($BA20+1),INDIRECT("'"&amp;$A20&amp;"'!$E$2:$E$501"),"Yes"),0)))</f>
        <v>3</v>
      </c>
      <c r="AW20" s="30" t="n">
        <f aca="true">IF(OR($A20="",$I20=""),"",IF($BC20="Y",SUMIFS(survey_frozen!$K$2:$K$251,survey_frozen!$P$2:$P$251,$A20&amp;"|"&amp;$B20),IFERROR(COUNTIFS(INDIRECT("'"&amp;$A20&amp;"'!$B$2:$B$501"),$T20,INDIRECT("'"&amp;$A20&amp;"'!$A$2:$A$501"),"&gt;="&amp;$I20,INDIRECT("'"&amp;$A20&amp;"'!$A$2:$A$501"),"&lt;"&amp;($BA20+1),INDIRECT("'"&amp;$A20&amp;"'!$E$2:$E$501"),"Maybe"),0)))</f>
        <v>1</v>
      </c>
      <c r="AX20" s="30" t="n">
        <f aca="true">IF(OR($A20="",$I20=""),"",IF($BC20="Y",SUMIFS(survey_frozen!$L$2:$L$251,survey_frozen!$P$2:$P$251,$A20&amp;"|"&amp;$B20),IFERROR(COUNTIFS(INDIRECT("'"&amp;$A20&amp;"'!$B$2:$B$501"),$T20,INDIRECT("'"&amp;$A20&amp;"'!$A$2:$A$501"),"&gt;="&amp;$I20,INDIRECT("'"&amp;$A20&amp;"'!$A$2:$A$501"),"&lt;"&amp;($BA20+1),INDIRECT("'"&amp;$A20&amp;"'!$E$2:$E$501"),"No"),0)))</f>
        <v>1</v>
      </c>
      <c r="AY20" s="30" t="n">
        <f aca="true">IF(OR($A20="",$I20=""),"",IF($BC20="Y",SUMIFS(survey_frozen!$M$2:$M$251,survey_frozen!$P$2:$P$251,$A20&amp;"|"&amp;$B20),IFERROR(COUNTIFS(INDIRECT("'"&amp;$A20&amp;"'!$B$2:$B$501"),$T20,INDIRECT("'"&amp;$A20&amp;"'!$A$2:$A$501"),"&gt;="&amp;$I20,INDIRECT("'"&amp;$A20&amp;"'!$A$2:$A$501"),"&lt;"&amp;($BA20+1),INDIRECT("'"&amp;$A20&amp;"'!$G$2:$G$501"),"&lt;&gt;"),0)))</f>
        <v>3</v>
      </c>
      <c r="AZ20" s="30" t="str">
        <f aca="false">IF($A20="","",$A20&amp;"|"&amp;$L20)</f>
        <v>SAMPLE-CMP-003|9</v>
      </c>
      <c r="BA20" s="31" t="n">
        <f aca="false">IF($A20="","",IFERROR(IF(INDEX(drops!$R$2:$R$21,MATCH($H20,drops!$A$2:$A$21,0))="","",INDEX(drops!$R$2:$R$21,MATCH($H20,drops!$A$2:$A$21,0))),""))</f>
        <v>46434</v>
      </c>
      <c r="BB20" s="30" t="n">
        <f aca="false">IF(OR($A20="",$Q20&lt;&gt;"Y"),1000000,N($AL20))</f>
        <v>8</v>
      </c>
      <c r="BC20" s="30" t="str">
        <f aca="false">IF($A20="","",IF(COUNTIF(survey_frozen!$P$2:$P$251,$A20&amp;"|"&amp;$B20)&gt;0,"Y",""))</f>
        <v/>
      </c>
      <c r="BD20" s="30" t="str">
        <f aca="false">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ustomFormat="false" ht="15" hidden="false" customHeight="false" outlineLevel="0" collapsed="false">
      <c r="A21" s="0" t="s">
        <v>516</v>
      </c>
      <c r="B21" s="0" t="s">
        <v>698</v>
      </c>
      <c r="C21" s="11" t="n">
        <v>46400</v>
      </c>
      <c r="D21" s="10" t="s">
        <v>496</v>
      </c>
      <c r="E21" s="11" t="n">
        <v>46401</v>
      </c>
      <c r="F21" s="10" t="s">
        <v>737</v>
      </c>
      <c r="G21" s="0" t="n">
        <v>37</v>
      </c>
      <c r="H21" s="30" t="str">
        <f aca="false">IF($A21="","",IFERROR(IF(INDEX(campaigns!$B$2:$B$51,MATCH($A21,campaigns!$A$2:$A$51,0))="","",INDEX(campaigns!$B$2:$B$51,MATCH($A21,campaigns!$A$2:$A$51,0))),""))</f>
        <v>SAMPLE-DRP-002</v>
      </c>
      <c r="I21" s="31" t="n">
        <f aca="false">IF($A21="","",IFERROR(IF(INDEX(campaigns!$BG$2:$BG$51,MATCH($A21,campaigns!$A$2:$A$51,0))="","",INDEX(campaigns!$BG$2:$BG$51,MATCH($A21,campaigns!$A$2:$A$51,0))),""))</f>
        <v>46427</v>
      </c>
      <c r="J21" s="30" t="str">
        <f aca="false">IF($A21="","",IFERROR(IF(INDEX(campaigns!$BE$2:$BE$51,MATCH($A21,campaigns!$A$2:$A$51,0))="","",INDEX(campaigns!$BE$2:$BE$51,MATCH($A21,campaigns!$A$2:$A$51,0))),""))</f>
        <v>SAMPLE Tallgrass</v>
      </c>
      <c r="K21" s="30" t="str">
        <f aca="false">IF($B21="","",IFERROR(IF(INDEX(offices!$O$2:$O$61,MATCH($B21,offices!$A$2:$A$61,0))="","",INDEX(offices!$O$2:$O$61,MATCH($B21,offices!$A$2:$A$61,0))),""))</f>
        <v>SAMPLE Quill Nonprofit Press</v>
      </c>
      <c r="L21" s="30" t="n">
        <f aca="false">IF($A21="","",IF($Q21="N","",COUNTIFS($A$2:$A21,$A21,$Q$2:$Q21,"&lt;&gt;N")))</f>
        <v>10</v>
      </c>
      <c r="M21" s="30" t="str">
        <f aca="false">IF(OR($A21="",$L21=""),"",IF(AND(config!$B$34="names_if_public",IFERROR(IF(INDEX(offices!$AG$2:$AG$61,MATCH($B21,offices!$A$2:$A$61,0))="","",INDEX(offices!$AG$2:$AG$61,MATCH($B21,offices!$A$2:$A$61,0))),"")="Y"),$K21,CHAR(64+$L21)))</f>
        <v>J</v>
      </c>
      <c r="N21" s="30" t="n">
        <f aca="false">IF(OR($A21="",$I21=""),"",COUNTIFS(stops!$B$2:$B$151,$B21,stops!$P$2:$P$151,"&lt;"&amp;$I21,stops!$L$2:$L$151,"&lt;&gt;not_delivered")+1)</f>
        <v>1</v>
      </c>
      <c r="O21" s="30" t="str">
        <f aca="false">IF($A21="","",IF(N($N21)&lt;=config!$B$29,"explicit","opt-out"))</f>
        <v>explicit</v>
      </c>
      <c r="P21" s="30" t="str">
        <f aca="false">IF($A21="","",IF($O21="explicit",IF($D21="yes","Y",IF($D21="no","N","pending")),IF($D21="no","N",IF(AND($C21&lt;&gt;"",$I21&lt;&gt;"",$C21&lt;=WORKDAY(N($I21),-5,calendar!$A$2:$A$80)),"Y","pending"))))</f>
        <v>Y</v>
      </c>
      <c r="Q21" s="30" t="str">
        <f aca="false">IF($A21="","",IF($P21="N","N",IF($P21&lt;&gt;"Y","pending",IF(AND((COUNTIFS(stops!$A$2:$A$151,$H21,stops!$B$2:$B$151,$B21,stops!$L$2:$L$151,"declined")+COUNTIFS(stops!$A$2:$A$151,$H21,stops!$B$2:$B$151,$B21,stops!$L$2:$L$151,"building_refused")+COUNTIFS(stops!$A$2:$A$151,$H21,stops!$B$2:$B$151,$B21,stops!$L$2:$L$151,"not_delivered"))&gt;0,N($U21)=0),"N","Y"))))</f>
        <v>Y</v>
      </c>
      <c r="R21" s="30" t="str">
        <f aca="false">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30" t="n">
        <f aca="false">IF($A21="","",IF($G21&lt;&gt;"",$G21,IFERROR(IF(INDEX(offices!$AM$2:$AM$61,MATCH($B21,offices!$A$2:$A$61,0))="","",INDEX(offices!$AM$2:$AM$61,MATCH($B21,offices!$A$2:$A$61,0))),"")))</f>
        <v>37</v>
      </c>
      <c r="T21" s="30" t="str">
        <f aca="false">IF($A21="","",$A21&amp;"."&amp;$B21)</f>
        <v>SAMPLE-CMP-003.SAMPLE-O-010</v>
      </c>
      <c r="U21" s="30" t="n">
        <f aca="false">IF($A21="","",SUMIFS(inventory!$G$2:$G$801,inventory!$C$2:$C$801,$A21,inventory!$D$2:$D$801,$B21,inventory!$E$2:$E$801,"delivered"))</f>
        <v>37</v>
      </c>
      <c r="V21" s="37" t="n">
        <f aca="false">IF($A21="","",IFERROR(1/(1/SUMPRODUCT(MAX((inventory!$C$2:$C$801=$A21)*(inventory!$D$2:$D$801=$B21)*(inventory!$E$2:$E$801="delivered")*(inventory!$A$2:$A$801+inventory!$B$2:$B$801)))),""))</f>
        <v>46427.3618055556</v>
      </c>
      <c r="W21" s="30" t="str">
        <f aca="false">IF($A21="","",IFERROR(IF(INDEX(inventory!$J$2:$J$801,MATCH($A21&amp;"|"&amp;$B21&amp;"|delivered",inventory!$R$2:$R$801,0))="","",INDEX(inventory!$J$2:$J$801,MATCH($A21&amp;"|"&amp;$B21&amp;"|delivered",inventory!$R$2:$R$801,0))),""))</f>
        <v>courier_count</v>
      </c>
      <c r="X21" s="30" t="str">
        <f aca="false">IF($A21="","",IFERROR(IF(INDEX(photos!$H$2:$H$701,MATCH($A21&amp;"|"&amp;$B21&amp;"|placement|Y",photos!$R$2:$R$701,0))="","",INDEX(photos!$H$2:$H$701,MATCH($A21&amp;"|"&amp;$B21&amp;"|placement|Y",photos!$R$2:$R$701,0))),""))</f>
        <v>SAMPLE-CMP-003_SAMPLE-O-010_placement_2027-02-09.jpg</v>
      </c>
      <c r="Y21" s="31" t="n">
        <f aca="false">IF($A21="","",IFERROR(IF(INDEX(photos!$E$2:$E$701,MATCH($A21&amp;"|"&amp;$B21&amp;"|placement|Y",photos!$R$2:$R$701,0))="","",INDEX(photos!$E$2:$E$701,MATCH($A21&amp;"|"&amp;$B21&amp;"|placement|Y",photos!$R$2:$R$701,0))),""))</f>
        <v>46427</v>
      </c>
      <c r="Z21" s="30" t="n">
        <f aca="false">IF($A21="","",IF(COUNTIFS(counts!$C$2:$C$701,$A21,counts!$D$2:$D$701,$B21,counts!$E$2:$E$701,"placed")=0,"",SUMIFS(counts!$F$2:$F$701,counts!$C$2:$C$701,$A21,counts!$D$2:$D$701,$B21,counts!$E$2:$E$701,"placed")))</f>
        <v>37</v>
      </c>
      <c r="AA21" s="30" t="n">
        <f aca="false">IF($A21="","",IF($Y21="",0,N($Z21)))</f>
        <v>37</v>
      </c>
      <c r="AB21" s="30" t="str">
        <f aca="false">IF($A21="","",IF(OR($Y21="",$I21=""),"N",IF($Y21&lt;=WORKDAY(N($I21),1,calendar!$A$2:$A$80),"Y","N")))</f>
        <v>Y</v>
      </c>
      <c r="AC21" s="33" t="n">
        <f aca="false">IF(OR($A21="",$V21="",$Y21=""),"",ROUND(($Y21+N(IFERROR(IF(INDEX(photos!$F$2:$F$701,MATCH($A21&amp;"|"&amp;$B21&amp;"|placement|Y",photos!$R$2:$R$701,0))="","",INDEX(photos!$F$2:$F$701,MATCH($A21&amp;"|"&amp;$B21&amp;"|placement|Y",photos!$R$2:$R$701,0))),""))-$V21)*24,1))</f>
        <v>4.3</v>
      </c>
      <c r="AD21" s="30" t="n">
        <f aca="false">IF($A21="","",SUMIFS(inventory!$G$2:$G$801,inventory!$C$2:$C$801,$A21,inventory!$D$2:$D$801,$B21,inventory!$E$2:$E$801,"topped_up"))</f>
        <v>0</v>
      </c>
      <c r="AE21" s="30" t="n">
        <f aca="false">IF($A21="","",IF(COUNTIFS(counts!$C$2:$C$701,$A21,counts!$D$2:$D$701,$B21,counts!$E$2:$E$701,"remaining_day3")=0,"",SUMIFS(counts!$F$2:$F$701,counts!$C$2:$C$701,$A21,counts!$D$2:$D$701,$B21,counts!$E$2:$E$701,"remaining_day3")))</f>
        <v>16</v>
      </c>
      <c r="AF21" s="30" t="n">
        <f aca="false">IF($A21="","",IF(COUNTIFS(counts!$C$2:$C$701,$A21,counts!$D$2:$D$701,$B21,counts!$E$2:$E$701,"remaining_day5")=0,"",SUMIFS(counts!$F$2:$F$701,counts!$C$2:$C$701,$A21,counts!$D$2:$D$701,$B21,counts!$E$2:$E$701,"remaining_day5")))</f>
        <v>3</v>
      </c>
      <c r="AG21" s="30" t="n">
        <f aca="false">IF(OR($A21="",$AF21=""),"",MAX(0,$AA21+$AD21-$AF21))</f>
        <v>34</v>
      </c>
      <c r="AH21" s="30" t="str">
        <f aca="false">IF(OR($A21="",$AI21=""),"",IFERROR(IF(INDEX(photos!$H$2:$H$701,MATCH($A21&amp;"|"&amp;$B21&amp;"|later|Y|"&amp;$AI21,photos!$S$2:$S$701,0))="","",INDEX(photos!$H$2:$H$701,MATCH($A21&amp;"|"&amp;$B21&amp;"|later|Y|"&amp;$AI21,photos!$S$2:$S$701,0))),""))</f>
        <v>SAMPLE-CMP-003_SAMPLE-O-010_later_2027-02-16.jpg</v>
      </c>
      <c r="AI21" s="31" t="n">
        <f aca="false">IF($A21="","",IFERROR(1/(1/SUMPRODUCT(MAX((photos!$B$2:$B$701=$A21)*(photos!$C$2:$C$701=$B21)*(photos!$D$2:$D$701="later")*(photos!$O$2:$O$701="Y")*photos!$E$2:$E$701))),""))</f>
        <v>46434</v>
      </c>
      <c r="AJ21" s="30" t="n">
        <f aca="false">IF(OR($A21="",$AI21="",$I21=""),"",NETWORKDAYS($I21,$AI21,calendar!$A$2:$A$80))</f>
        <v>5</v>
      </c>
      <c r="AK21" s="30" t="str">
        <f aca="false">IF($A21="","",IF(AND($X21&lt;&gt;"",$AH21&lt;&gt;""),"Y","N"))</f>
        <v>Y</v>
      </c>
      <c r="AL21" s="30" t="n">
        <f aca="true">IF(OR($A21="",$I21=""),"",IF($BC21="Y",SUMIFS(survey_frozen!$C$2:$C$251,survey_frozen!$P$2:$P$251,$A21&amp;"|"&amp;$B21),IFERROR(COUNTIFS(INDIRECT("'"&amp;$A21&amp;"'!$B$2:$B$501"),$T21,INDIRECT("'"&amp;$A21&amp;"'!$A$2:$A$501"),"&gt;="&amp;$I21,INDIRECT("'"&amp;$A21&amp;"'!$A$2:$A$501"),"&lt;"&amp;($BA21+1)),0)))</f>
        <v>6</v>
      </c>
      <c r="AM21" s="30" t="n">
        <f aca="true">IF(OR($A21="",$I21=""),"",IF($BC21="Y",SUMIFS(survey_frozen!$D$2:$D$251,survey_frozen!$P$2:$P$251,$A21&amp;"|"&amp;$B21),IFERROR(COUNTIFS(INDIRECT("'"&amp;$A21&amp;"'!$B$2:$B$501"),$T21,INDIRECT("'"&amp;$A21&amp;"'!$A$2:$A$501"),"&gt;="&amp;$I21,INDIRECT("'"&amp;$A21&amp;"'!$A$2:$A$501"),"&lt;"&amp;($BA21+1),INDIRECT("'"&amp;$A21&amp;"'!$C$2:$C$501"),"Yes"),0)))</f>
        <v>3</v>
      </c>
      <c r="AN21" s="30" t="n">
        <f aca="false">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11</v>
      </c>
      <c r="AO21" s="30" t="n">
        <f aca="false">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10</v>
      </c>
      <c r="AP21" s="30" t="str">
        <f aca="true">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30" t="n">
        <f aca="true">IF(OR($A21="",$I21=""),"",IF($BC21="Y",SUMIFS(survey_frozen!$E$2:$E$251,survey_frozen!$P$2:$P$251,$A21&amp;"|"&amp;$B21),IFERROR(COUNTIFS(INDIRECT("'"&amp;$A21&amp;"'!$B$2:$B$501"),$T21,INDIRECT("'"&amp;$A21&amp;"'!$A$2:$A$501"),"&gt;="&amp;$I21,INDIRECT("'"&amp;$A21&amp;"'!$A$2:$A$501"),"&lt;"&amp;($BA21+1),INDIRECT("'"&amp;$A21&amp;"'!$F$2:$F$501"),"Didn't see it"),0)))</f>
        <v>2</v>
      </c>
      <c r="AR21" s="30" t="n">
        <f aca="true">IF(OR($A21="",$I21=""),"",IF($BC21="Y",SUMIFS(survey_frozen!$F$2:$F$251,survey_frozen!$P$2:$P$251,$A21&amp;"|"&amp;$B21),IFERROR(COUNTIFS(INDIRECT("'"&amp;$A21&amp;"'!$B$2:$B$501"),$T21,INDIRECT("'"&amp;$A21&amp;"'!$A$2:$A$501"),"&gt;="&amp;$I21,INDIRECT("'"&amp;$A21&amp;"'!$A$2:$A$501"),"&lt;"&amp;($BA21+1),INDIRECT("'"&amp;$A21&amp;"'!$F$2:$F$501"),"Not for me"),0)))</f>
        <v>0</v>
      </c>
      <c r="AS21" s="30" t="n">
        <f aca="true">IF(OR($A21="",$I21=""),"",IF($BC21="Y",SUMIFS(survey_frozen!$G$2:$G$251,survey_frozen!$P$2:$P$251,$A21&amp;"|"&amp;$B21),IFERROR(COUNTIFS(INDIRECT("'"&amp;$A21&amp;"'!$B$2:$B$501"),$T21,INDIRECT("'"&amp;$A21&amp;"'!$A$2:$A$501"),"&gt;="&amp;$I21,INDIRECT("'"&amp;$A21&amp;"'!$A$2:$A$501"),"&lt;"&amp;($BA21+1),INDIRECT("'"&amp;$A21&amp;"'!$F$2:$F$501"),"Gone by the time I looked"),0)))</f>
        <v>1</v>
      </c>
      <c r="AT21" s="30" t="n">
        <f aca="true">IF(OR($A21="",$I21=""),"",IF($BC21="Y",SUMIFS(survey_frozen!$H$2:$H$251,survey_frozen!$P$2:$P$251,$A21&amp;"|"&amp;$B21),IFERROR(COUNTIFS(INDIRECT("'"&amp;$A21&amp;"'!$B$2:$B$501"),$T21,INDIRECT("'"&amp;$A21&amp;"'!$A$2:$A$501"),"&gt;="&amp;$I21,INDIRECT("'"&amp;$A21&amp;"'!$A$2:$A$501"),"&lt;"&amp;($BA21+1),INDIRECT("'"&amp;$A21&amp;"'!$D$2:$D$501"),"&gt;=1"),0)))</f>
        <v>3</v>
      </c>
      <c r="AU21" s="30" t="n">
        <f aca="true">IF(OR($A21="",$I21=""),"",IF($BC21="Y",SUMIFS(survey_frozen!$I$2:$I$251,survey_frozen!$P$2:$P$251,$A21&amp;"|"&amp;$B21),IFERROR(SUMIFS(INDIRECT("'"&amp;$A21&amp;"'!$D$2:$D$501"),INDIRECT("'"&amp;$A21&amp;"'!$B$2:$B$501"),$T21,INDIRECT("'"&amp;$A21&amp;"'!$A$2:$A$501"),"&gt;="&amp;$I21,INDIRECT("'"&amp;$A21&amp;"'!$A$2:$A$501"),"&lt;"&amp;($BA21+1)),0)))</f>
        <v>11</v>
      </c>
      <c r="AV21" s="30" t="n">
        <f aca="true">IF(OR($A21="",$I21=""),"",IF($BC21="Y",SUMIFS(survey_frozen!$J$2:$J$251,survey_frozen!$P$2:$P$251,$A21&amp;"|"&amp;$B21),IFERROR(COUNTIFS(INDIRECT("'"&amp;$A21&amp;"'!$B$2:$B$501"),$T21,INDIRECT("'"&amp;$A21&amp;"'!$A$2:$A$501"),"&gt;="&amp;$I21,INDIRECT("'"&amp;$A21&amp;"'!$A$2:$A$501"),"&lt;"&amp;($BA21+1),INDIRECT("'"&amp;$A21&amp;"'!$E$2:$E$501"),"Yes"),0)))</f>
        <v>0</v>
      </c>
      <c r="AW21" s="30" t="n">
        <f aca="true">IF(OR($A21="",$I21=""),"",IF($BC21="Y",SUMIFS(survey_frozen!$K$2:$K$251,survey_frozen!$P$2:$P$251,$A21&amp;"|"&amp;$B21),IFERROR(COUNTIFS(INDIRECT("'"&amp;$A21&amp;"'!$B$2:$B$501"),$T21,INDIRECT("'"&amp;$A21&amp;"'!$A$2:$A$501"),"&gt;="&amp;$I21,INDIRECT("'"&amp;$A21&amp;"'!$A$2:$A$501"),"&lt;"&amp;($BA21+1),INDIRECT("'"&amp;$A21&amp;"'!$E$2:$E$501"),"Maybe"),0)))</f>
        <v>2</v>
      </c>
      <c r="AX21" s="30" t="n">
        <f aca="true">IF(OR($A21="",$I21=""),"",IF($BC21="Y",SUMIFS(survey_frozen!$L$2:$L$251,survey_frozen!$P$2:$P$251,$A21&amp;"|"&amp;$B21),IFERROR(COUNTIFS(INDIRECT("'"&amp;$A21&amp;"'!$B$2:$B$501"),$T21,INDIRECT("'"&amp;$A21&amp;"'!$A$2:$A$501"),"&gt;="&amp;$I21,INDIRECT("'"&amp;$A21&amp;"'!$A$2:$A$501"),"&lt;"&amp;($BA21+1),INDIRECT("'"&amp;$A21&amp;"'!$E$2:$E$501"),"No"),0)))</f>
        <v>1</v>
      </c>
      <c r="AY21" s="30" t="n">
        <f aca="true">IF(OR($A21="",$I21=""),"",IF($BC21="Y",SUMIFS(survey_frozen!$M$2:$M$251,survey_frozen!$P$2:$P$251,$A21&amp;"|"&amp;$B21),IFERROR(COUNTIFS(INDIRECT("'"&amp;$A21&amp;"'!$B$2:$B$501"),$T21,INDIRECT("'"&amp;$A21&amp;"'!$A$2:$A$501"),"&gt;="&amp;$I21,INDIRECT("'"&amp;$A21&amp;"'!$A$2:$A$501"),"&lt;"&amp;($BA21+1),INDIRECT("'"&amp;$A21&amp;"'!$G$2:$G$501"),"&lt;&gt;"),0)))</f>
        <v>1</v>
      </c>
      <c r="AZ21" s="30" t="str">
        <f aca="false">IF($A21="","",$A21&amp;"|"&amp;$L21)</f>
        <v>SAMPLE-CMP-003|10</v>
      </c>
      <c r="BA21" s="31" t="n">
        <f aca="false">IF($A21="","",IFERROR(IF(INDEX(drops!$R$2:$R$21,MATCH($H21,drops!$A$2:$A$21,0))="","",INDEX(drops!$R$2:$R$21,MATCH($H21,drops!$A$2:$A$21,0))),""))</f>
        <v>46434</v>
      </c>
      <c r="BB21" s="30" t="n">
        <f aca="false">IF(OR($A21="",$Q21&lt;&gt;"Y"),1000000,N($AL21))</f>
        <v>6</v>
      </c>
      <c r="BC21" s="30" t="str">
        <f aca="false">IF($A21="","",IF(COUNTIF(survey_frozen!$P$2:$P$251,$A21&amp;"|"&amp;$B21)&gt;0,"Y",""))</f>
        <v/>
      </c>
      <c r="BD21" s="30" t="str">
        <f aca="false">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ustomFormat="false" ht="15" hidden="false" customHeight="false" outlineLevel="0" collapsed="false">
      <c r="A22" s="0" t="s">
        <v>532</v>
      </c>
      <c r="B22" s="0" t="s">
        <v>678</v>
      </c>
      <c r="C22" s="11" t="n">
        <v>46393</v>
      </c>
      <c r="D22" s="10" t="s">
        <v>496</v>
      </c>
      <c r="E22" s="11" t="n">
        <v>46394</v>
      </c>
      <c r="F22" s="10" t="s">
        <v>737</v>
      </c>
      <c r="H22" s="30" t="str">
        <f aca="false">IF($A22="","",IFERROR(IF(INDEX(campaigns!$B$2:$B$51,MATCH($A22,campaigns!$A$2:$A$51,0))="","",INDEX(campaigns!$B$2:$B$51,MATCH($A22,campaigns!$A$2:$A$51,0))),""))</f>
        <v>SAMPLE-DRP-002</v>
      </c>
      <c r="I22" s="31" t="n">
        <f aca="false">IF($A22="","",IFERROR(IF(INDEX(campaigns!$BG$2:$BG$51,MATCH($A22,campaigns!$A$2:$A$51,0))="","",INDEX(campaigns!$BG$2:$BG$51,MATCH($A22,campaigns!$A$2:$A$51,0))),""))</f>
        <v>46427</v>
      </c>
      <c r="J22" s="30" t="str">
        <f aca="false">IF($A22="","",IFERROR(IF(INDEX(campaigns!$BE$2:$BE$51,MATCH($A22,campaigns!$A$2:$A$51,0))="","",INDEX(campaigns!$BE$2:$BE$51,MATCH($A22,campaigns!$A$2:$A$51,0))),""))</f>
        <v>SAMPLE Orchard Row</v>
      </c>
      <c r="K22" s="30" t="str">
        <f aca="false">IF($B22="","",IFERROR(IF(INDEX(offices!$O$2:$O$61,MATCH($B22,offices!$A$2:$A$61,0))="","",INDEX(offices!$O$2:$O$61,MATCH($B22,offices!$A$2:$A$61,0))),""))</f>
        <v>SAMPLE Northpoint Software</v>
      </c>
      <c r="L22" s="30" t="n">
        <f aca="false">IF($A22="","",IF($Q22="N","",COUNTIFS($A$2:$A22,$A22,$Q$2:$Q22,"&lt;&gt;N")))</f>
        <v>1</v>
      </c>
      <c r="M22" s="30" t="str">
        <f aca="false">IF(OR($A22="",$L22=""),"",IF(AND(config!$B$34="names_if_public",IFERROR(IF(INDEX(offices!$AG$2:$AG$61,MATCH($B22,offices!$A$2:$A$61,0))="","",INDEX(offices!$AG$2:$AG$61,MATCH($B22,offices!$A$2:$A$61,0))),"")="Y"),$K22,CHAR(64+$L22)))</f>
        <v>A</v>
      </c>
      <c r="N22" s="30" t="n">
        <f aca="false">IF(OR($A22="",$I22=""),"",COUNTIFS(stops!$B$2:$B$151,$B22,stops!$P$2:$P$151,"&lt;"&amp;$I22,stops!$L$2:$L$151,"&lt;&gt;not_delivered")+1)</f>
        <v>2</v>
      </c>
      <c r="O22" s="30" t="str">
        <f aca="false">IF($A22="","",IF(N($N22)&lt;=config!$B$29,"explicit","opt-out"))</f>
        <v>explicit</v>
      </c>
      <c r="P22" s="30" t="str">
        <f aca="false">IF($A22="","",IF($O22="explicit",IF($D22="yes","Y",IF($D22="no","N","pending")),IF($D22="no","N",IF(AND($C22&lt;&gt;"",$I22&lt;&gt;"",$C22&lt;=WORKDAY(N($I22),-5,calendar!$A$2:$A$80)),"Y","pending"))))</f>
        <v>Y</v>
      </c>
      <c r="Q22" s="30" t="str">
        <f aca="false">IF($A22="","",IF($P22="N","N",IF($P22&lt;&gt;"Y","pending",IF(AND((COUNTIFS(stops!$A$2:$A$151,$H22,stops!$B$2:$B$151,$B22,stops!$L$2:$L$151,"declined")+COUNTIFS(stops!$A$2:$A$151,$H22,stops!$B$2:$B$151,$B22,stops!$L$2:$L$151,"building_refused")+COUNTIFS(stops!$A$2:$A$151,$H22,stops!$B$2:$B$151,$B22,stops!$L$2:$L$151,"not_delivered"))&gt;0,N($U22)=0),"N","Y"))))</f>
        <v>Y</v>
      </c>
      <c r="R22" s="30" t="str">
        <f aca="false">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30" t="n">
        <f aca="false">IF($A22="","",IF($G22&lt;&gt;"",$G22,IFERROR(IF(INDEX(offices!$AM$2:$AM$61,MATCH($B22,offices!$A$2:$A$61,0))="","",INDEX(offices!$AM$2:$AM$61,MATCH($B22,offices!$A$2:$A$61,0))),"")))</f>
        <v>40</v>
      </c>
      <c r="T22" s="30" t="str">
        <f aca="false">IF($A22="","",$A22&amp;"."&amp;$B22)</f>
        <v>SAMPLE-CMP-004.SAMPLE-O-001</v>
      </c>
      <c r="U22" s="30" t="n">
        <f aca="false">IF($A22="","",SUMIFS(inventory!$G$2:$G$801,inventory!$C$2:$C$801,$A22,inventory!$D$2:$D$801,$B22,inventory!$E$2:$E$801,"delivered"))</f>
        <v>40</v>
      </c>
      <c r="V22" s="37" t="n">
        <f aca="false">IF($A22="","",IFERROR(1/(1/SUMPRODUCT(MAX((inventory!$C$2:$C$801=$A22)*(inventory!$D$2:$D$801=$B22)*(inventory!$E$2:$E$801="delivered")*(inventory!$A$2:$A$801+inventory!$B$2:$B$801)))),""))</f>
        <v>46427.3375</v>
      </c>
      <c r="W22" s="30" t="str">
        <f aca="false">IF($A22="","",IFERROR(IF(INDEX(inventory!$J$2:$J$801,MATCH($A22&amp;"|"&amp;$B22&amp;"|delivered",inventory!$R$2:$R$801,0))="","",INDEX(inventory!$J$2:$J$801,MATCH($A22&amp;"|"&amp;$B22&amp;"|delivered",inventory!$R$2:$R$801,0))),""))</f>
        <v>courier_count</v>
      </c>
      <c r="X22" s="30" t="str">
        <f aca="false">IF($A22="","",IFERROR(IF(INDEX(photos!$H$2:$H$701,MATCH($A22&amp;"|"&amp;$B22&amp;"|placement|Y",photos!$R$2:$R$701,0))="","",INDEX(photos!$H$2:$H$701,MATCH($A22&amp;"|"&amp;$B22&amp;"|placement|Y",photos!$R$2:$R$701,0))),""))</f>
        <v>SAMPLE-CMP-004_SAMPLE-O-001_placement_2027-02-09.jpg</v>
      </c>
      <c r="Y22" s="31" t="n">
        <f aca="false">IF($A22="","",IFERROR(IF(INDEX(photos!$E$2:$E$701,MATCH($A22&amp;"|"&amp;$B22&amp;"|placement|Y",photos!$R$2:$R$701,0))="","",INDEX(photos!$E$2:$E$701,MATCH($A22&amp;"|"&amp;$B22&amp;"|placement|Y",photos!$R$2:$R$701,0))),""))</f>
        <v>46427</v>
      </c>
      <c r="Z22" s="30" t="n">
        <f aca="false">IF($A22="","",IF(COUNTIFS(counts!$C$2:$C$701,$A22,counts!$D$2:$D$701,$B22,counts!$E$2:$E$701,"placed")=0,"",SUMIFS(counts!$F$2:$F$701,counts!$C$2:$C$701,$A22,counts!$D$2:$D$701,$B22,counts!$E$2:$E$701,"placed")))</f>
        <v>40</v>
      </c>
      <c r="AA22" s="30" t="n">
        <f aca="false">IF($A22="","",IF($Y22="",0,N($Z22)))</f>
        <v>40</v>
      </c>
      <c r="AB22" s="30" t="str">
        <f aca="false">IF($A22="","",IF(OR($Y22="",$I22=""),"N",IF($Y22&lt;=WORKDAY(N($I22),1,calendar!$A$2:$A$80),"Y","N")))</f>
        <v>Y</v>
      </c>
      <c r="AC22" s="33" t="n">
        <f aca="false">IF(OR($A22="",$V22="",$Y22=""),"",ROUND(($Y22+N(IFERROR(IF(INDEX(photos!$F$2:$F$701,MATCH($A22&amp;"|"&amp;$B22&amp;"|placement|Y",photos!$R$2:$R$701,0))="","",INDEX(photos!$F$2:$F$701,MATCH($A22&amp;"|"&amp;$B22&amp;"|placement|Y",photos!$R$2:$R$701,0))),""))-$V22)*24,1))</f>
        <v>4.9</v>
      </c>
      <c r="AD22" s="30" t="n">
        <f aca="false">IF($A22="","",SUMIFS(inventory!$G$2:$G$801,inventory!$C$2:$C$801,$A22,inventory!$D$2:$D$801,$B22,inventory!$E$2:$E$801,"topped_up"))</f>
        <v>0</v>
      </c>
      <c r="AE22" s="30" t="n">
        <f aca="false">IF($A22="","",IF(COUNTIFS(counts!$C$2:$C$701,$A22,counts!$D$2:$D$701,$B22,counts!$E$2:$E$701,"remaining_day3")=0,"",SUMIFS(counts!$F$2:$F$701,counts!$C$2:$C$701,$A22,counts!$D$2:$D$701,$B22,counts!$E$2:$E$701,"remaining_day3")))</f>
        <v>23</v>
      </c>
      <c r="AF22" s="30" t="n">
        <f aca="false">IF($A22="","",IF(COUNTIFS(counts!$C$2:$C$701,$A22,counts!$D$2:$D$701,$B22,counts!$E$2:$E$701,"remaining_day5")=0,"",SUMIFS(counts!$F$2:$F$701,counts!$C$2:$C$701,$A22,counts!$D$2:$D$701,$B22,counts!$E$2:$E$701,"remaining_day5")))</f>
        <v>2</v>
      </c>
      <c r="AG22" s="30" t="n">
        <f aca="false">IF(OR($A22="",$AF22=""),"",MAX(0,$AA22+$AD22-$AF22))</f>
        <v>38</v>
      </c>
      <c r="AH22" s="30" t="str">
        <f aca="false">IF(OR($A22="",$AI22=""),"",IFERROR(IF(INDEX(photos!$H$2:$H$701,MATCH($A22&amp;"|"&amp;$B22&amp;"|later|Y|"&amp;$AI22,photos!$S$2:$S$701,0))="","",INDEX(photos!$H$2:$H$701,MATCH($A22&amp;"|"&amp;$B22&amp;"|later|Y|"&amp;$AI22,photos!$S$2:$S$701,0))),""))</f>
        <v>SAMPLE-CMP-004_SAMPLE-O-001_later_2027-02-16.jpg</v>
      </c>
      <c r="AI22" s="31" t="n">
        <f aca="false">IF($A22="","",IFERROR(1/(1/SUMPRODUCT(MAX((photos!$B$2:$B$701=$A22)*(photos!$C$2:$C$701=$B22)*(photos!$D$2:$D$701="later")*(photos!$O$2:$O$701="Y")*photos!$E$2:$E$701))),""))</f>
        <v>46434</v>
      </c>
      <c r="AJ22" s="30" t="n">
        <f aca="false">IF(OR($A22="",$AI22="",$I22=""),"",NETWORKDAYS($I22,$AI22,calendar!$A$2:$A$80))</f>
        <v>5</v>
      </c>
      <c r="AK22" s="30" t="str">
        <f aca="false">IF($A22="","",IF(AND($X22&lt;&gt;"",$AH22&lt;&gt;""),"Y","N"))</f>
        <v>Y</v>
      </c>
      <c r="AL22" s="30" t="n">
        <f aca="true">IF(OR($A22="",$I22=""),"",IF($BC22="Y",SUMIFS(survey_frozen!$C$2:$C$251,survey_frozen!$P$2:$P$251,$A22&amp;"|"&amp;$B22),IFERROR(COUNTIFS(INDIRECT("'"&amp;$A22&amp;"'!$B$2:$B$501"),$T22,INDIRECT("'"&amp;$A22&amp;"'!$A$2:$A$501"),"&gt;="&amp;$I22,INDIRECT("'"&amp;$A22&amp;"'!$A$2:$A$501"),"&lt;"&amp;($BA22+1)),0)))</f>
        <v>8</v>
      </c>
      <c r="AM22" s="30" t="n">
        <f aca="true">IF(OR($A22="",$I22=""),"",IF($BC22="Y",SUMIFS(survey_frozen!$D$2:$D$251,survey_frozen!$P$2:$P$251,$A22&amp;"|"&amp;$B22),IFERROR(COUNTIFS(INDIRECT("'"&amp;$A22&amp;"'!$B$2:$B$501"),$T22,INDIRECT("'"&amp;$A22&amp;"'!$A$2:$A$501"),"&gt;="&amp;$I22,INDIRECT("'"&amp;$A22&amp;"'!$A$2:$A$501"),"&lt;"&amp;($BA22+1),INDIRECT("'"&amp;$A22&amp;"'!$C$2:$C$501"),"Yes"),0)))</f>
        <v>7</v>
      </c>
      <c r="AN22" s="30" t="n">
        <f aca="false">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4</v>
      </c>
      <c r="AO22" s="30" t="n">
        <f aca="false">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3</v>
      </c>
      <c r="AP22" s="30" t="str">
        <f aca="true">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30" t="n">
        <f aca="true">IF(OR($A22="",$I22=""),"",IF($BC22="Y",SUMIFS(survey_frozen!$E$2:$E$251,survey_frozen!$P$2:$P$251,$A22&amp;"|"&amp;$B22),IFERROR(COUNTIFS(INDIRECT("'"&amp;$A22&amp;"'!$B$2:$B$501"),$T22,INDIRECT("'"&amp;$A22&amp;"'!$A$2:$A$501"),"&gt;="&amp;$I22,INDIRECT("'"&amp;$A22&amp;"'!$A$2:$A$501"),"&lt;"&amp;($BA22+1),INDIRECT("'"&amp;$A22&amp;"'!$F$2:$F$501"),"Didn't see it"),0)))</f>
        <v>0</v>
      </c>
      <c r="AR22" s="30" t="n">
        <f aca="true">IF(OR($A22="",$I22=""),"",IF($BC22="Y",SUMIFS(survey_frozen!$F$2:$F$251,survey_frozen!$P$2:$P$251,$A22&amp;"|"&amp;$B22),IFERROR(COUNTIFS(INDIRECT("'"&amp;$A22&amp;"'!$B$2:$B$501"),$T22,INDIRECT("'"&amp;$A22&amp;"'!$A$2:$A$501"),"&gt;="&amp;$I22,INDIRECT("'"&amp;$A22&amp;"'!$A$2:$A$501"),"&lt;"&amp;($BA22+1),INDIRECT("'"&amp;$A22&amp;"'!$F$2:$F$501"),"Not for me"),0)))</f>
        <v>1</v>
      </c>
      <c r="AS22" s="30" t="n">
        <f aca="true">IF(OR($A22="",$I22=""),"",IF($BC22="Y",SUMIFS(survey_frozen!$G$2:$G$251,survey_frozen!$P$2:$P$251,$A22&amp;"|"&amp;$B22),IFERROR(COUNTIFS(INDIRECT("'"&amp;$A22&amp;"'!$B$2:$B$501"),$T22,INDIRECT("'"&amp;$A22&amp;"'!$A$2:$A$501"),"&gt;="&amp;$I22,INDIRECT("'"&amp;$A22&amp;"'!$A$2:$A$501"),"&lt;"&amp;($BA22+1),INDIRECT("'"&amp;$A22&amp;"'!$F$2:$F$501"),"Gone by the time I looked"),0)))</f>
        <v>0</v>
      </c>
      <c r="AT22" s="30" t="n">
        <f aca="true">IF(OR($A22="",$I22=""),"",IF($BC22="Y",SUMIFS(survey_frozen!$H$2:$H$251,survey_frozen!$P$2:$P$251,$A22&amp;"|"&amp;$B22),IFERROR(COUNTIFS(INDIRECT("'"&amp;$A22&amp;"'!$B$2:$B$501"),$T22,INDIRECT("'"&amp;$A22&amp;"'!$A$2:$A$501"),"&gt;="&amp;$I22,INDIRECT("'"&amp;$A22&amp;"'!$A$2:$A$501"),"&lt;"&amp;($BA22+1),INDIRECT("'"&amp;$A22&amp;"'!$D$2:$D$501"),"&gt;=1"),0)))</f>
        <v>7</v>
      </c>
      <c r="AU22" s="30" t="n">
        <f aca="true">IF(OR($A22="",$I22=""),"",IF($BC22="Y",SUMIFS(survey_frozen!$I$2:$I$251,survey_frozen!$P$2:$P$251,$A22&amp;"|"&amp;$B22),IFERROR(SUMIFS(INDIRECT("'"&amp;$A22&amp;"'!$D$2:$D$501"),INDIRECT("'"&amp;$A22&amp;"'!$B$2:$B$501"),$T22,INDIRECT("'"&amp;$A22&amp;"'!$A$2:$A$501"),"&gt;="&amp;$I22,INDIRECT("'"&amp;$A22&amp;"'!$A$2:$A$501"),"&lt;"&amp;($BA22+1)),0)))</f>
        <v>27</v>
      </c>
      <c r="AV22" s="30" t="n">
        <f aca="true">IF(OR($A22="",$I22=""),"",IF($BC22="Y",SUMIFS(survey_frozen!$J$2:$J$251,survey_frozen!$P$2:$P$251,$A22&amp;"|"&amp;$B22),IFERROR(COUNTIFS(INDIRECT("'"&amp;$A22&amp;"'!$B$2:$B$501"),$T22,INDIRECT("'"&amp;$A22&amp;"'!$A$2:$A$501"),"&gt;="&amp;$I22,INDIRECT("'"&amp;$A22&amp;"'!$A$2:$A$501"),"&lt;"&amp;($BA22+1),INDIRECT("'"&amp;$A22&amp;"'!$E$2:$E$501"),"Yes"),0)))</f>
        <v>2</v>
      </c>
      <c r="AW22" s="30" t="n">
        <f aca="true">IF(OR($A22="",$I22=""),"",IF($BC22="Y",SUMIFS(survey_frozen!$K$2:$K$251,survey_frozen!$P$2:$P$251,$A22&amp;"|"&amp;$B22),IFERROR(COUNTIFS(INDIRECT("'"&amp;$A22&amp;"'!$B$2:$B$501"),$T22,INDIRECT("'"&amp;$A22&amp;"'!$A$2:$A$501"),"&gt;="&amp;$I22,INDIRECT("'"&amp;$A22&amp;"'!$A$2:$A$501"),"&lt;"&amp;($BA22+1),INDIRECT("'"&amp;$A22&amp;"'!$E$2:$E$501"),"Maybe"),0)))</f>
        <v>2</v>
      </c>
      <c r="AX22" s="30" t="n">
        <f aca="true">IF(OR($A22="",$I22=""),"",IF($BC22="Y",SUMIFS(survey_frozen!$L$2:$L$251,survey_frozen!$P$2:$P$251,$A22&amp;"|"&amp;$B22),IFERROR(COUNTIFS(INDIRECT("'"&amp;$A22&amp;"'!$B$2:$B$501"),$T22,INDIRECT("'"&amp;$A22&amp;"'!$A$2:$A$501"),"&gt;="&amp;$I22,INDIRECT("'"&amp;$A22&amp;"'!$A$2:$A$501"),"&lt;"&amp;($BA22+1),INDIRECT("'"&amp;$A22&amp;"'!$E$2:$E$501"),"No"),0)))</f>
        <v>3</v>
      </c>
      <c r="AY22" s="30" t="n">
        <f aca="true">IF(OR($A22="",$I22=""),"",IF($BC22="Y",SUMIFS(survey_frozen!$M$2:$M$251,survey_frozen!$P$2:$P$251,$A22&amp;"|"&amp;$B22),IFERROR(COUNTIFS(INDIRECT("'"&amp;$A22&amp;"'!$B$2:$B$501"),$T22,INDIRECT("'"&amp;$A22&amp;"'!$A$2:$A$501"),"&gt;="&amp;$I22,INDIRECT("'"&amp;$A22&amp;"'!$A$2:$A$501"),"&lt;"&amp;($BA22+1),INDIRECT("'"&amp;$A22&amp;"'!$G$2:$G$501"),"&lt;&gt;"),0)))</f>
        <v>2</v>
      </c>
      <c r="AZ22" s="30" t="str">
        <f aca="false">IF($A22="","",$A22&amp;"|"&amp;$L22)</f>
        <v>SAMPLE-CMP-004|1</v>
      </c>
      <c r="BA22" s="31" t="n">
        <f aca="false">IF($A22="","",IFERROR(IF(INDEX(drops!$R$2:$R$21,MATCH($H22,drops!$A$2:$A$21,0))="","",INDEX(drops!$R$2:$R$21,MATCH($H22,drops!$A$2:$A$21,0))),""))</f>
        <v>46434</v>
      </c>
      <c r="BB22" s="30" t="n">
        <f aca="false">IF(OR($A22="",$Q22&lt;&gt;"Y"),1000000,N($AL22))</f>
        <v>8</v>
      </c>
      <c r="BC22" s="30" t="str">
        <f aca="false">IF($A22="","",IF(COUNTIF(survey_frozen!$P$2:$P$251,$A22&amp;"|"&amp;$B22)&gt;0,"Y",""))</f>
        <v/>
      </c>
      <c r="BD22" s="30" t="str">
        <f aca="false">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ustomFormat="false" ht="15" hidden="false" customHeight="false" outlineLevel="0" collapsed="false">
      <c r="A23" s="0" t="s">
        <v>532</v>
      </c>
      <c r="B23" s="0" t="s">
        <v>681</v>
      </c>
      <c r="C23" s="11" t="n">
        <v>46393</v>
      </c>
      <c r="D23" s="10" t="s">
        <v>496</v>
      </c>
      <c r="E23" s="11" t="n">
        <v>46395</v>
      </c>
      <c r="F23" s="10" t="s">
        <v>737</v>
      </c>
      <c r="H23" s="30" t="str">
        <f aca="false">IF($A23="","",IFERROR(IF(INDEX(campaigns!$B$2:$B$51,MATCH($A23,campaigns!$A$2:$A$51,0))="","",INDEX(campaigns!$B$2:$B$51,MATCH($A23,campaigns!$A$2:$A$51,0))),""))</f>
        <v>SAMPLE-DRP-002</v>
      </c>
      <c r="I23" s="31" t="n">
        <f aca="false">IF($A23="","",IFERROR(IF(INDEX(campaigns!$BG$2:$BG$51,MATCH($A23,campaigns!$A$2:$A$51,0))="","",INDEX(campaigns!$BG$2:$BG$51,MATCH($A23,campaigns!$A$2:$A$51,0))),""))</f>
        <v>46427</v>
      </c>
      <c r="J23" s="30" t="str">
        <f aca="false">IF($A23="","",IFERROR(IF(INDEX(campaigns!$BE$2:$BE$51,MATCH($A23,campaigns!$A$2:$A$51,0))="","",INDEX(campaigns!$BE$2:$BE$51,MATCH($A23,campaigns!$A$2:$A$51,0))),""))</f>
        <v>SAMPLE Orchard Row</v>
      </c>
      <c r="K23" s="30" t="str">
        <f aca="false">IF($B23="","",IFERROR(IF(INDEX(offices!$O$2:$O$61,MATCH($B23,offices!$A$2:$A$61,0))="","",INDEX(offices!$O$2:$O$61,MATCH($B23,offices!$A$2:$A$61,0))),""))</f>
        <v>SAMPLE Ferro Architecture</v>
      </c>
      <c r="L23" s="30" t="n">
        <f aca="false">IF($A23="","",IF($Q23="N","",COUNTIFS($A$2:$A23,$A23,$Q$2:$Q23,"&lt;&gt;N")))</f>
        <v>2</v>
      </c>
      <c r="M23" s="30" t="str">
        <f aca="false">IF(OR($A23="",$L23=""),"",IF(AND(config!$B$34="names_if_public",IFERROR(IF(INDEX(offices!$AG$2:$AG$61,MATCH($B23,offices!$A$2:$A$61,0))="","",INDEX(offices!$AG$2:$AG$61,MATCH($B23,offices!$A$2:$A$61,0))),"")="Y"),$K23,CHAR(64+$L23)))</f>
        <v>B</v>
      </c>
      <c r="N23" s="30" t="n">
        <f aca="false">IF(OR($A23="",$I23=""),"",COUNTIFS(stops!$B$2:$B$151,$B23,stops!$P$2:$P$151,"&lt;"&amp;$I23,stops!$L$2:$L$151,"&lt;&gt;not_delivered")+1)</f>
        <v>2</v>
      </c>
      <c r="O23" s="30" t="str">
        <f aca="false">IF($A23="","",IF(N($N23)&lt;=config!$B$29,"explicit","opt-out"))</f>
        <v>explicit</v>
      </c>
      <c r="P23" s="30" t="str">
        <f aca="false">IF($A23="","",IF($O23="explicit",IF($D23="yes","Y",IF($D23="no","N","pending")),IF($D23="no","N",IF(AND($C23&lt;&gt;"",$I23&lt;&gt;"",$C23&lt;=WORKDAY(N($I23),-5,calendar!$A$2:$A$80)),"Y","pending"))))</f>
        <v>Y</v>
      </c>
      <c r="Q23" s="30" t="str">
        <f aca="false">IF($A23="","",IF($P23="N","N",IF($P23&lt;&gt;"Y","pending",IF(AND((COUNTIFS(stops!$A$2:$A$151,$H23,stops!$B$2:$B$151,$B23,stops!$L$2:$L$151,"declined")+COUNTIFS(stops!$A$2:$A$151,$H23,stops!$B$2:$B$151,$B23,stops!$L$2:$L$151,"building_refused")+COUNTIFS(stops!$A$2:$A$151,$H23,stops!$B$2:$B$151,$B23,stops!$L$2:$L$151,"not_delivered"))&gt;0,N($U23)=0),"N","Y"))))</f>
        <v>Y</v>
      </c>
      <c r="R23" s="30" t="str">
        <f aca="false">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30" t="n">
        <f aca="false">IF($A23="","",IF($G23&lt;&gt;"",$G23,IFERROR(IF(INDEX(offices!$AM$2:$AM$61,MATCH($B23,offices!$A$2:$A$61,0))="","",INDEX(offices!$AM$2:$AM$61,MATCH($B23,offices!$A$2:$A$61,0))),"")))</f>
        <v>40</v>
      </c>
      <c r="T23" s="30" t="str">
        <f aca="false">IF($A23="","",$A23&amp;"."&amp;$B23)</f>
        <v>SAMPLE-CMP-004.SAMPLE-O-002</v>
      </c>
      <c r="U23" s="30" t="n">
        <f aca="false">IF($A23="","",SUMIFS(inventory!$G$2:$G$801,inventory!$C$2:$C$801,$A23,inventory!$D$2:$D$801,$B23,inventory!$E$2:$E$801,"delivered"))</f>
        <v>40</v>
      </c>
      <c r="V23" s="37" t="n">
        <f aca="false">IF($A23="","",IFERROR(1/(1/SUMPRODUCT(MAX((inventory!$C$2:$C$801=$A23)*(inventory!$D$2:$D$801=$B23)*(inventory!$E$2:$E$801="delivered")*(inventory!$A$2:$A$801+inventory!$B$2:$B$801)))),""))</f>
        <v>46427.3895833333</v>
      </c>
      <c r="W23" s="30" t="str">
        <f aca="false">IF($A23="","",IFERROR(IF(INDEX(inventory!$J$2:$J$801,MATCH($A23&amp;"|"&amp;$B23&amp;"|delivered",inventory!$R$2:$R$801,0))="","",INDEX(inventory!$J$2:$J$801,MATCH($A23&amp;"|"&amp;$B23&amp;"|delivered",inventory!$R$2:$R$801,0))),""))</f>
        <v>courier_count</v>
      </c>
      <c r="X23" s="30" t="str">
        <f aca="false">IF($A23="","",IFERROR(IF(INDEX(photos!$H$2:$H$701,MATCH($A23&amp;"|"&amp;$B23&amp;"|placement|Y",photos!$R$2:$R$701,0))="","",INDEX(photos!$H$2:$H$701,MATCH($A23&amp;"|"&amp;$B23&amp;"|placement|Y",photos!$R$2:$R$701,0))),""))</f>
        <v>SAMPLE-CMP-004_SAMPLE-O-002_placement_2027-02-09.jpg</v>
      </c>
      <c r="Y23" s="31" t="n">
        <f aca="false">IF($A23="","",IFERROR(IF(INDEX(photos!$E$2:$E$701,MATCH($A23&amp;"|"&amp;$B23&amp;"|placement|Y",photos!$R$2:$R$701,0))="","",INDEX(photos!$E$2:$E$701,MATCH($A23&amp;"|"&amp;$B23&amp;"|placement|Y",photos!$R$2:$R$701,0))),""))</f>
        <v>46427</v>
      </c>
      <c r="Z23" s="30" t="n">
        <f aca="false">IF($A23="","",IF(COUNTIFS(counts!$C$2:$C$701,$A23,counts!$D$2:$D$701,$B23,counts!$E$2:$E$701,"placed")=0,"",SUMIFS(counts!$F$2:$F$701,counts!$C$2:$C$701,$A23,counts!$D$2:$D$701,$B23,counts!$E$2:$E$701,"placed")))</f>
        <v>40</v>
      </c>
      <c r="AA23" s="30" t="n">
        <f aca="false">IF($A23="","",IF($Y23="",0,N($Z23)))</f>
        <v>40</v>
      </c>
      <c r="AB23" s="30" t="str">
        <f aca="false">IF($A23="","",IF(OR($Y23="",$I23=""),"N",IF($Y23&lt;=WORKDAY(N($I23),1,calendar!$A$2:$A$80),"Y","N")))</f>
        <v>Y</v>
      </c>
      <c r="AC23" s="33" t="n">
        <f aca="false">IF(OR($A23="",$V23="",$Y23=""),"",ROUND(($Y23+N(IFERROR(IF(INDEX(photos!$F$2:$F$701,MATCH($A23&amp;"|"&amp;$B23&amp;"|placement|Y",photos!$R$2:$R$701,0))="","",INDEX(photos!$F$2:$F$701,MATCH($A23&amp;"|"&amp;$B23&amp;"|placement|Y",photos!$R$2:$R$701,0))),""))-$V23)*24,1))</f>
        <v>3.7</v>
      </c>
      <c r="AD23" s="30" t="n">
        <f aca="false">IF($A23="","",SUMIFS(inventory!$G$2:$G$801,inventory!$C$2:$C$801,$A23,inventory!$D$2:$D$801,$B23,inventory!$E$2:$E$801,"topped_up"))</f>
        <v>0</v>
      </c>
      <c r="AE23" s="30" t="n">
        <f aca="false">IF($A23="","",IF(COUNTIFS(counts!$C$2:$C$701,$A23,counts!$D$2:$D$701,$B23,counts!$E$2:$E$701,"remaining_day3")=0,"",SUMIFS(counts!$F$2:$F$701,counts!$C$2:$C$701,$A23,counts!$D$2:$D$701,$B23,counts!$E$2:$E$701,"remaining_day3")))</f>
        <v>22</v>
      </c>
      <c r="AF23" s="30" t="n">
        <f aca="false">IF($A23="","",IF(COUNTIFS(counts!$C$2:$C$701,$A23,counts!$D$2:$D$701,$B23,counts!$E$2:$E$701,"remaining_day5")=0,"",SUMIFS(counts!$F$2:$F$701,counts!$C$2:$C$701,$A23,counts!$D$2:$D$701,$B23,counts!$E$2:$E$701,"remaining_day5")))</f>
        <v>4</v>
      </c>
      <c r="AG23" s="30" t="n">
        <f aca="false">IF(OR($A23="",$AF23=""),"",MAX(0,$AA23+$AD23-$AF23))</f>
        <v>36</v>
      </c>
      <c r="AH23" s="30" t="str">
        <f aca="false">IF(OR($A23="",$AI23=""),"",IFERROR(IF(INDEX(photos!$H$2:$H$701,MATCH($A23&amp;"|"&amp;$B23&amp;"|later|Y|"&amp;$AI23,photos!$S$2:$S$701,0))="","",INDEX(photos!$H$2:$H$701,MATCH($A23&amp;"|"&amp;$B23&amp;"|later|Y|"&amp;$AI23,photos!$S$2:$S$701,0))),""))</f>
        <v>SAMPLE-CMP-004_SAMPLE-O-002_later_2027-02-16.jpg</v>
      </c>
      <c r="AI23" s="31" t="n">
        <f aca="false">IF($A23="","",IFERROR(1/(1/SUMPRODUCT(MAX((photos!$B$2:$B$701=$A23)*(photos!$C$2:$C$701=$B23)*(photos!$D$2:$D$701="later")*(photos!$O$2:$O$701="Y")*photos!$E$2:$E$701))),""))</f>
        <v>46434</v>
      </c>
      <c r="AJ23" s="30" t="n">
        <f aca="false">IF(OR($A23="",$AI23="",$I23=""),"",NETWORKDAYS($I23,$AI23,calendar!$A$2:$A$80))</f>
        <v>5</v>
      </c>
      <c r="AK23" s="30" t="str">
        <f aca="false">IF($A23="","",IF(AND($X23&lt;&gt;"",$AH23&lt;&gt;""),"Y","N"))</f>
        <v>Y</v>
      </c>
      <c r="AL23" s="30" t="n">
        <f aca="true">IF(OR($A23="",$I23=""),"",IF($BC23="Y",SUMIFS(survey_frozen!$C$2:$C$251,survey_frozen!$P$2:$P$251,$A23&amp;"|"&amp;$B23),IFERROR(COUNTIFS(INDIRECT("'"&amp;$A23&amp;"'!$B$2:$B$501"),$T23,INDIRECT("'"&amp;$A23&amp;"'!$A$2:$A$501"),"&gt;="&amp;$I23,INDIRECT("'"&amp;$A23&amp;"'!$A$2:$A$501"),"&lt;"&amp;($BA23+1)),0)))</f>
        <v>10</v>
      </c>
      <c r="AM23" s="30" t="n">
        <f aca="true">IF(OR($A23="",$I23=""),"",IF($BC23="Y",SUMIFS(survey_frozen!$D$2:$D$251,survey_frozen!$P$2:$P$251,$A23&amp;"|"&amp;$B23),IFERROR(COUNTIFS(INDIRECT("'"&amp;$A23&amp;"'!$B$2:$B$501"),$T23,INDIRECT("'"&amp;$A23&amp;"'!$A$2:$A$501"),"&gt;="&amp;$I23,INDIRECT("'"&amp;$A23&amp;"'!$A$2:$A$501"),"&lt;"&amp;($BA23+1),INDIRECT("'"&amp;$A23&amp;"'!$C$2:$C$501"),"Yes"),0)))</f>
        <v>7</v>
      </c>
      <c r="AN23" s="30" t="n">
        <f aca="false">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12</v>
      </c>
      <c r="AO23" s="30" t="n">
        <f aca="false">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11</v>
      </c>
      <c r="AP23" s="30" t="str">
        <f aca="true">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30" t="n">
        <f aca="true">IF(OR($A23="",$I23=""),"",IF($BC23="Y",SUMIFS(survey_frozen!$E$2:$E$251,survey_frozen!$P$2:$P$251,$A23&amp;"|"&amp;$B23),IFERROR(COUNTIFS(INDIRECT("'"&amp;$A23&amp;"'!$B$2:$B$501"),$T23,INDIRECT("'"&amp;$A23&amp;"'!$A$2:$A$501"),"&gt;="&amp;$I23,INDIRECT("'"&amp;$A23&amp;"'!$A$2:$A$501"),"&lt;"&amp;($BA23+1),INDIRECT("'"&amp;$A23&amp;"'!$F$2:$F$501"),"Didn't see it"),0)))</f>
        <v>1</v>
      </c>
      <c r="AR23" s="30" t="n">
        <f aca="true">IF(OR($A23="",$I23=""),"",IF($BC23="Y",SUMIFS(survey_frozen!$F$2:$F$251,survey_frozen!$P$2:$P$251,$A23&amp;"|"&amp;$B23),IFERROR(COUNTIFS(INDIRECT("'"&amp;$A23&amp;"'!$B$2:$B$501"),$T23,INDIRECT("'"&amp;$A23&amp;"'!$A$2:$A$501"),"&gt;="&amp;$I23,INDIRECT("'"&amp;$A23&amp;"'!$A$2:$A$501"),"&lt;"&amp;($BA23+1),INDIRECT("'"&amp;$A23&amp;"'!$F$2:$F$501"),"Not for me"),0)))</f>
        <v>1</v>
      </c>
      <c r="AS23" s="30" t="n">
        <f aca="true">IF(OR($A23="",$I23=""),"",IF($BC23="Y",SUMIFS(survey_frozen!$G$2:$G$251,survey_frozen!$P$2:$P$251,$A23&amp;"|"&amp;$B23),IFERROR(COUNTIFS(INDIRECT("'"&amp;$A23&amp;"'!$B$2:$B$501"),$T23,INDIRECT("'"&amp;$A23&amp;"'!$A$2:$A$501"),"&gt;="&amp;$I23,INDIRECT("'"&amp;$A23&amp;"'!$A$2:$A$501"),"&lt;"&amp;($BA23+1),INDIRECT("'"&amp;$A23&amp;"'!$F$2:$F$501"),"Gone by the time I looked"),0)))</f>
        <v>1</v>
      </c>
      <c r="AT23" s="30" t="n">
        <f aca="true">IF(OR($A23="",$I23=""),"",IF($BC23="Y",SUMIFS(survey_frozen!$H$2:$H$251,survey_frozen!$P$2:$P$251,$A23&amp;"|"&amp;$B23),IFERROR(COUNTIFS(INDIRECT("'"&amp;$A23&amp;"'!$B$2:$B$501"),$T23,INDIRECT("'"&amp;$A23&amp;"'!$A$2:$A$501"),"&gt;="&amp;$I23,INDIRECT("'"&amp;$A23&amp;"'!$A$2:$A$501"),"&lt;"&amp;($BA23+1),INDIRECT("'"&amp;$A23&amp;"'!$D$2:$D$501"),"&gt;=1"),0)))</f>
        <v>7</v>
      </c>
      <c r="AU23" s="30" t="n">
        <f aca="true">IF(OR($A23="",$I23=""),"",IF($BC23="Y",SUMIFS(survey_frozen!$I$2:$I$251,survey_frozen!$P$2:$P$251,$A23&amp;"|"&amp;$B23),IFERROR(SUMIFS(INDIRECT("'"&amp;$A23&amp;"'!$D$2:$D$501"),INDIRECT("'"&amp;$A23&amp;"'!$B$2:$B$501"),$T23,INDIRECT("'"&amp;$A23&amp;"'!$A$2:$A$501"),"&gt;="&amp;$I23,INDIRECT("'"&amp;$A23&amp;"'!$A$2:$A$501"),"&lt;"&amp;($BA23+1)),0)))</f>
        <v>28</v>
      </c>
      <c r="AV23" s="30" t="n">
        <f aca="true">IF(OR($A23="",$I23=""),"",IF($BC23="Y",SUMIFS(survey_frozen!$J$2:$J$251,survey_frozen!$P$2:$P$251,$A23&amp;"|"&amp;$B23),IFERROR(COUNTIFS(INDIRECT("'"&amp;$A23&amp;"'!$B$2:$B$501"),$T23,INDIRECT("'"&amp;$A23&amp;"'!$A$2:$A$501"),"&gt;="&amp;$I23,INDIRECT("'"&amp;$A23&amp;"'!$A$2:$A$501"),"&lt;"&amp;($BA23+1),INDIRECT("'"&amp;$A23&amp;"'!$E$2:$E$501"),"Yes"),0)))</f>
        <v>2</v>
      </c>
      <c r="AW23" s="30" t="n">
        <f aca="true">IF(OR($A23="",$I23=""),"",IF($BC23="Y",SUMIFS(survey_frozen!$K$2:$K$251,survey_frozen!$P$2:$P$251,$A23&amp;"|"&amp;$B23),IFERROR(COUNTIFS(INDIRECT("'"&amp;$A23&amp;"'!$B$2:$B$501"),$T23,INDIRECT("'"&amp;$A23&amp;"'!$A$2:$A$501"),"&gt;="&amp;$I23,INDIRECT("'"&amp;$A23&amp;"'!$A$2:$A$501"),"&lt;"&amp;($BA23+1),INDIRECT("'"&amp;$A23&amp;"'!$E$2:$E$501"),"Maybe"),0)))</f>
        <v>5</v>
      </c>
      <c r="AX23" s="30" t="n">
        <f aca="true">IF(OR($A23="",$I23=""),"",IF($BC23="Y",SUMIFS(survey_frozen!$L$2:$L$251,survey_frozen!$P$2:$P$251,$A23&amp;"|"&amp;$B23),IFERROR(COUNTIFS(INDIRECT("'"&amp;$A23&amp;"'!$B$2:$B$501"),$T23,INDIRECT("'"&amp;$A23&amp;"'!$A$2:$A$501"),"&gt;="&amp;$I23,INDIRECT("'"&amp;$A23&amp;"'!$A$2:$A$501"),"&lt;"&amp;($BA23+1),INDIRECT("'"&amp;$A23&amp;"'!$E$2:$E$501"),"No"),0)))</f>
        <v>0</v>
      </c>
      <c r="AY23" s="30" t="n">
        <f aca="true">IF(OR($A23="",$I23=""),"",IF($BC23="Y",SUMIFS(survey_frozen!$M$2:$M$251,survey_frozen!$P$2:$P$251,$A23&amp;"|"&amp;$B23),IFERROR(COUNTIFS(INDIRECT("'"&amp;$A23&amp;"'!$B$2:$B$501"),$T23,INDIRECT("'"&amp;$A23&amp;"'!$A$2:$A$501"),"&gt;="&amp;$I23,INDIRECT("'"&amp;$A23&amp;"'!$A$2:$A$501"),"&lt;"&amp;($BA23+1),INDIRECT("'"&amp;$A23&amp;"'!$G$2:$G$501"),"&lt;&gt;"),0)))</f>
        <v>3</v>
      </c>
      <c r="AZ23" s="30" t="str">
        <f aca="false">IF($A23="","",$A23&amp;"|"&amp;$L23)</f>
        <v>SAMPLE-CMP-004|2</v>
      </c>
      <c r="BA23" s="31" t="n">
        <f aca="false">IF($A23="","",IFERROR(IF(INDEX(drops!$R$2:$R$21,MATCH($H23,drops!$A$2:$A$21,0))="","",INDEX(drops!$R$2:$R$21,MATCH($H23,drops!$A$2:$A$21,0))),""))</f>
        <v>46434</v>
      </c>
      <c r="BB23" s="30" t="n">
        <f aca="false">IF(OR($A23="",$Q23&lt;&gt;"Y"),1000000,N($AL23))</f>
        <v>10</v>
      </c>
      <c r="BC23" s="30" t="str">
        <f aca="false">IF($A23="","",IF(COUNTIF(survey_frozen!$P$2:$P$251,$A23&amp;"|"&amp;$B23)&gt;0,"Y",""))</f>
        <v/>
      </c>
      <c r="BD23" s="30" t="str">
        <f aca="false">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ustomFormat="false" ht="15" hidden="false" customHeight="false" outlineLevel="0" collapsed="false">
      <c r="A24" s="0" t="s">
        <v>532</v>
      </c>
      <c r="B24" s="0" t="s">
        <v>683</v>
      </c>
      <c r="C24" s="11" t="n">
        <v>46393</v>
      </c>
      <c r="D24" s="10" t="s">
        <v>496</v>
      </c>
      <c r="E24" s="11" t="n">
        <v>46396</v>
      </c>
      <c r="F24" s="10" t="s">
        <v>737</v>
      </c>
      <c r="H24" s="30" t="str">
        <f aca="false">IF($A24="","",IFERROR(IF(INDEX(campaigns!$B$2:$B$51,MATCH($A24,campaigns!$A$2:$A$51,0))="","",INDEX(campaigns!$B$2:$B$51,MATCH($A24,campaigns!$A$2:$A$51,0))),""))</f>
        <v>SAMPLE-DRP-002</v>
      </c>
      <c r="I24" s="31" t="n">
        <f aca="false">IF($A24="","",IFERROR(IF(INDEX(campaigns!$BG$2:$BG$51,MATCH($A24,campaigns!$A$2:$A$51,0))="","",INDEX(campaigns!$BG$2:$BG$51,MATCH($A24,campaigns!$A$2:$A$51,0))),""))</f>
        <v>46427</v>
      </c>
      <c r="J24" s="30" t="str">
        <f aca="false">IF($A24="","",IFERROR(IF(INDEX(campaigns!$BE$2:$BE$51,MATCH($A24,campaigns!$A$2:$A$51,0))="","",INDEX(campaigns!$BE$2:$BE$51,MATCH($A24,campaigns!$A$2:$A$51,0))),""))</f>
        <v>SAMPLE Orchard Row</v>
      </c>
      <c r="K24" s="30" t="str">
        <f aca="false">IF($B24="","",IFERROR(IF(INDEX(offices!$O$2:$O$61,MATCH($B24,offices!$A$2:$A$61,0))="","",INDEX(offices!$O$2:$O$61,MATCH($B24,offices!$A$2:$A$61,0))),""))</f>
        <v>SAMPLE Halcyon Media</v>
      </c>
      <c r="L24" s="30" t="n">
        <f aca="false">IF($A24="","",IF($Q24="N","",COUNTIFS($A$2:$A24,$A24,$Q$2:$Q24,"&lt;&gt;N")))</f>
        <v>3</v>
      </c>
      <c r="M24" s="30" t="str">
        <f aca="false">IF(OR($A24="",$L24=""),"",IF(AND(config!$B$34="names_if_public",IFERROR(IF(INDEX(offices!$AG$2:$AG$61,MATCH($B24,offices!$A$2:$A$61,0))="","",INDEX(offices!$AG$2:$AG$61,MATCH($B24,offices!$A$2:$A$61,0))),"")="Y"),$K24,CHAR(64+$L24)))</f>
        <v>C</v>
      </c>
      <c r="N24" s="30" t="n">
        <f aca="false">IF(OR($A24="",$I24=""),"",COUNTIFS(stops!$B$2:$B$151,$B24,stops!$P$2:$P$151,"&lt;"&amp;$I24,stops!$L$2:$L$151,"&lt;&gt;not_delivered")+1)</f>
        <v>2</v>
      </c>
      <c r="O24" s="30" t="str">
        <f aca="false">IF($A24="","",IF(N($N24)&lt;=config!$B$29,"explicit","opt-out"))</f>
        <v>explicit</v>
      </c>
      <c r="P24" s="30" t="str">
        <f aca="false">IF($A24="","",IF($O24="explicit",IF($D24="yes","Y",IF($D24="no","N","pending")),IF($D24="no","N",IF(AND($C24&lt;&gt;"",$I24&lt;&gt;"",$C24&lt;=WORKDAY(N($I24),-5,calendar!$A$2:$A$80)),"Y","pending"))))</f>
        <v>Y</v>
      </c>
      <c r="Q24" s="30" t="str">
        <f aca="false">IF($A24="","",IF($P24="N","N",IF($P24&lt;&gt;"Y","pending",IF(AND((COUNTIFS(stops!$A$2:$A$151,$H24,stops!$B$2:$B$151,$B24,stops!$L$2:$L$151,"declined")+COUNTIFS(stops!$A$2:$A$151,$H24,stops!$B$2:$B$151,$B24,stops!$L$2:$L$151,"building_refused")+COUNTIFS(stops!$A$2:$A$151,$H24,stops!$B$2:$B$151,$B24,stops!$L$2:$L$151,"not_delivered"))&gt;0,N($U24)=0),"N","Y"))))</f>
        <v>Y</v>
      </c>
      <c r="R24" s="30" t="str">
        <f aca="false">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30" t="n">
        <f aca="false">IF($A24="","",IF($G24&lt;&gt;"",$G24,IFERROR(IF(INDEX(offices!$AM$2:$AM$61,MATCH($B24,offices!$A$2:$A$61,0))="","",INDEX(offices!$AM$2:$AM$61,MATCH($B24,offices!$A$2:$A$61,0))),"")))</f>
        <v>50</v>
      </c>
      <c r="T24" s="30" t="str">
        <f aca="false">IF($A24="","",$A24&amp;"."&amp;$B24)</f>
        <v>SAMPLE-CMP-004.SAMPLE-O-003</v>
      </c>
      <c r="U24" s="30" t="n">
        <f aca="false">IF($A24="","",SUMIFS(inventory!$G$2:$G$801,inventory!$C$2:$C$801,$A24,inventory!$D$2:$D$801,$B24,inventory!$E$2:$E$801,"delivered"))</f>
        <v>50</v>
      </c>
      <c r="V24" s="37" t="n">
        <f aca="false">IF($A24="","",IFERROR(1/(1/SUMPRODUCT(MAX((inventory!$C$2:$C$801=$A24)*(inventory!$D$2:$D$801=$B24)*(inventory!$E$2:$E$801="delivered")*(inventory!$A$2:$A$801+inventory!$B$2:$B$801)))),""))</f>
        <v>46427.3770833333</v>
      </c>
      <c r="W24" s="30" t="str">
        <f aca="false">IF($A24="","",IFERROR(IF(INDEX(inventory!$J$2:$J$801,MATCH($A24&amp;"|"&amp;$B24&amp;"|delivered",inventory!$R$2:$R$801,0))="","",INDEX(inventory!$J$2:$J$801,MATCH($A24&amp;"|"&amp;$B24&amp;"|delivered",inventory!$R$2:$R$801,0))),""))</f>
        <v>courier_count</v>
      </c>
      <c r="X24" s="30" t="str">
        <f aca="false">IF($A24="","",IFERROR(IF(INDEX(photos!$H$2:$H$701,MATCH($A24&amp;"|"&amp;$B24&amp;"|placement|Y",photos!$R$2:$R$701,0))="","",INDEX(photos!$H$2:$H$701,MATCH($A24&amp;"|"&amp;$B24&amp;"|placement|Y",photos!$R$2:$R$701,0))),""))</f>
        <v>SAMPLE-CMP-004_SAMPLE-O-003_placement_2027-02-09.jpg</v>
      </c>
      <c r="Y24" s="31" t="n">
        <f aca="false">IF($A24="","",IFERROR(IF(INDEX(photos!$E$2:$E$701,MATCH($A24&amp;"|"&amp;$B24&amp;"|placement|Y",photos!$R$2:$R$701,0))="","",INDEX(photos!$E$2:$E$701,MATCH($A24&amp;"|"&amp;$B24&amp;"|placement|Y",photos!$R$2:$R$701,0))),""))</f>
        <v>46427</v>
      </c>
      <c r="Z24" s="30" t="n">
        <f aca="false">IF($A24="","",IF(COUNTIFS(counts!$C$2:$C$701,$A24,counts!$D$2:$D$701,$B24,counts!$E$2:$E$701,"placed")=0,"",SUMIFS(counts!$F$2:$F$701,counts!$C$2:$C$701,$A24,counts!$D$2:$D$701,$B24,counts!$E$2:$E$701,"placed")))</f>
        <v>50</v>
      </c>
      <c r="AA24" s="30" t="n">
        <f aca="false">IF($A24="","",IF($Y24="",0,N($Z24)))</f>
        <v>50</v>
      </c>
      <c r="AB24" s="30" t="str">
        <f aca="false">IF($A24="","",IF(OR($Y24="",$I24=""),"N",IF($Y24&lt;=WORKDAY(N($I24),1,calendar!$A$2:$A$80),"Y","N")))</f>
        <v>Y</v>
      </c>
      <c r="AC24" s="33" t="n">
        <f aca="false">IF(OR($A24="",$V24="",$Y24=""),"",ROUND(($Y24+N(IFERROR(IF(INDEX(photos!$F$2:$F$701,MATCH($A24&amp;"|"&amp;$B24&amp;"|placement|Y",photos!$R$2:$R$701,0))="","",INDEX(photos!$F$2:$F$701,MATCH($A24&amp;"|"&amp;$B24&amp;"|placement|Y",photos!$R$2:$R$701,0))),""))-$V24)*24,1))</f>
        <v>4</v>
      </c>
      <c r="AD24" s="30" t="n">
        <f aca="false">IF($A24="","",SUMIFS(inventory!$G$2:$G$801,inventory!$C$2:$C$801,$A24,inventory!$D$2:$D$801,$B24,inventory!$E$2:$E$801,"topped_up"))</f>
        <v>0</v>
      </c>
      <c r="AE24" s="30" t="n">
        <f aca="false">IF($A24="","",IF(COUNTIFS(counts!$C$2:$C$701,$A24,counts!$D$2:$D$701,$B24,counts!$E$2:$E$701,"remaining_day3")=0,"",SUMIFS(counts!$F$2:$F$701,counts!$C$2:$C$701,$A24,counts!$D$2:$D$701,$B24,counts!$E$2:$E$701,"remaining_day3")))</f>
        <v>15</v>
      </c>
      <c r="AF24" s="30" t="n">
        <f aca="false">IF($A24="","",IF(COUNTIFS(counts!$C$2:$C$701,$A24,counts!$D$2:$D$701,$B24,counts!$E$2:$E$701,"remaining_day5")=0,"",SUMIFS(counts!$F$2:$F$701,counts!$C$2:$C$701,$A24,counts!$D$2:$D$701,$B24,counts!$E$2:$E$701,"remaining_day5")))</f>
        <v>2</v>
      </c>
      <c r="AG24" s="30" t="n">
        <f aca="false">IF(OR($A24="",$AF24=""),"",MAX(0,$AA24+$AD24-$AF24))</f>
        <v>48</v>
      </c>
      <c r="AH24" s="30" t="str">
        <f aca="false">IF(OR($A24="",$AI24=""),"",IFERROR(IF(INDEX(photos!$H$2:$H$701,MATCH($A24&amp;"|"&amp;$B24&amp;"|later|Y|"&amp;$AI24,photos!$S$2:$S$701,0))="","",INDEX(photos!$H$2:$H$701,MATCH($A24&amp;"|"&amp;$B24&amp;"|later|Y|"&amp;$AI24,photos!$S$2:$S$701,0))),""))</f>
        <v>SAMPLE-CMP-004_SAMPLE-O-003_later_2027-02-16.jpg</v>
      </c>
      <c r="AI24" s="31" t="n">
        <f aca="false">IF($A24="","",IFERROR(1/(1/SUMPRODUCT(MAX((photos!$B$2:$B$701=$A24)*(photos!$C$2:$C$701=$B24)*(photos!$D$2:$D$701="later")*(photos!$O$2:$O$701="Y")*photos!$E$2:$E$701))),""))</f>
        <v>46434</v>
      </c>
      <c r="AJ24" s="30" t="n">
        <f aca="false">IF(OR($A24="",$AI24="",$I24=""),"",NETWORKDAYS($I24,$AI24,calendar!$A$2:$A$80))</f>
        <v>5</v>
      </c>
      <c r="AK24" s="30" t="str">
        <f aca="false">IF($A24="","",IF(AND($X24&lt;&gt;"",$AH24&lt;&gt;""),"Y","N"))</f>
        <v>Y</v>
      </c>
      <c r="AL24" s="30" t="n">
        <f aca="true">IF(OR($A24="",$I24=""),"",IF($BC24="Y",SUMIFS(survey_frozen!$C$2:$C$251,survey_frozen!$P$2:$P$251,$A24&amp;"|"&amp;$B24),IFERROR(COUNTIFS(INDIRECT("'"&amp;$A24&amp;"'!$B$2:$B$501"),$T24,INDIRECT("'"&amp;$A24&amp;"'!$A$2:$A$501"),"&gt;="&amp;$I24,INDIRECT("'"&amp;$A24&amp;"'!$A$2:$A$501"),"&lt;"&amp;($BA24+1)),0)))</f>
        <v>7</v>
      </c>
      <c r="AM24" s="30" t="n">
        <f aca="true">IF(OR($A24="",$I24=""),"",IF($BC24="Y",SUMIFS(survey_frozen!$D$2:$D$251,survey_frozen!$P$2:$P$251,$A24&amp;"|"&amp;$B24),IFERROR(COUNTIFS(INDIRECT("'"&amp;$A24&amp;"'!$B$2:$B$501"),$T24,INDIRECT("'"&amp;$A24&amp;"'!$A$2:$A$501"),"&gt;="&amp;$I24,INDIRECT("'"&amp;$A24&amp;"'!$A$2:$A$501"),"&lt;"&amp;($BA24+1),INDIRECT("'"&amp;$A24&amp;"'!$C$2:$C$501"),"Yes"),0)))</f>
        <v>7</v>
      </c>
      <c r="AN24" s="30" t="n">
        <f aca="false">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8</v>
      </c>
      <c r="AO24" s="30" t="n">
        <f aca="false">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7</v>
      </c>
      <c r="AP24" s="30" t="str">
        <f aca="true">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30" t="n">
        <f aca="true">IF(OR($A24="",$I24=""),"",IF($BC24="Y",SUMIFS(survey_frozen!$E$2:$E$251,survey_frozen!$P$2:$P$251,$A24&amp;"|"&amp;$B24),IFERROR(COUNTIFS(INDIRECT("'"&amp;$A24&amp;"'!$B$2:$B$501"),$T24,INDIRECT("'"&amp;$A24&amp;"'!$A$2:$A$501"),"&gt;="&amp;$I24,INDIRECT("'"&amp;$A24&amp;"'!$A$2:$A$501"),"&lt;"&amp;($BA24+1),INDIRECT("'"&amp;$A24&amp;"'!$F$2:$F$501"),"Didn't see it"),0)))</f>
        <v>0</v>
      </c>
      <c r="AR24" s="30" t="n">
        <f aca="true">IF(OR($A24="",$I24=""),"",IF($BC24="Y",SUMIFS(survey_frozen!$F$2:$F$251,survey_frozen!$P$2:$P$251,$A24&amp;"|"&amp;$B24),IFERROR(COUNTIFS(INDIRECT("'"&amp;$A24&amp;"'!$B$2:$B$501"),$T24,INDIRECT("'"&amp;$A24&amp;"'!$A$2:$A$501"),"&gt;="&amp;$I24,INDIRECT("'"&amp;$A24&amp;"'!$A$2:$A$501"),"&lt;"&amp;($BA24+1),INDIRECT("'"&amp;$A24&amp;"'!$F$2:$F$501"),"Not for me"),0)))</f>
        <v>0</v>
      </c>
      <c r="AS24" s="30" t="n">
        <f aca="true">IF(OR($A24="",$I24=""),"",IF($BC24="Y",SUMIFS(survey_frozen!$G$2:$G$251,survey_frozen!$P$2:$P$251,$A24&amp;"|"&amp;$B24),IFERROR(COUNTIFS(INDIRECT("'"&amp;$A24&amp;"'!$B$2:$B$501"),$T24,INDIRECT("'"&amp;$A24&amp;"'!$A$2:$A$501"),"&gt;="&amp;$I24,INDIRECT("'"&amp;$A24&amp;"'!$A$2:$A$501"),"&lt;"&amp;($BA24+1),INDIRECT("'"&amp;$A24&amp;"'!$F$2:$F$501"),"Gone by the time I looked"),0)))</f>
        <v>0</v>
      </c>
      <c r="AT24" s="30" t="n">
        <f aca="true">IF(OR($A24="",$I24=""),"",IF($BC24="Y",SUMIFS(survey_frozen!$H$2:$H$251,survey_frozen!$P$2:$P$251,$A24&amp;"|"&amp;$B24),IFERROR(COUNTIFS(INDIRECT("'"&amp;$A24&amp;"'!$B$2:$B$501"),$T24,INDIRECT("'"&amp;$A24&amp;"'!$A$2:$A$501"),"&gt;="&amp;$I24,INDIRECT("'"&amp;$A24&amp;"'!$A$2:$A$501"),"&lt;"&amp;($BA24+1),INDIRECT("'"&amp;$A24&amp;"'!$D$2:$D$501"),"&gt;=1"),0)))</f>
        <v>7</v>
      </c>
      <c r="AU24" s="30" t="n">
        <f aca="true">IF(OR($A24="",$I24=""),"",IF($BC24="Y",SUMIFS(survey_frozen!$I$2:$I$251,survey_frozen!$P$2:$P$251,$A24&amp;"|"&amp;$B24),IFERROR(SUMIFS(INDIRECT("'"&amp;$A24&amp;"'!$D$2:$D$501"),INDIRECT("'"&amp;$A24&amp;"'!$B$2:$B$501"),$T24,INDIRECT("'"&amp;$A24&amp;"'!$A$2:$A$501"),"&gt;="&amp;$I24,INDIRECT("'"&amp;$A24&amp;"'!$A$2:$A$501"),"&lt;"&amp;($BA24+1)),0)))</f>
        <v>29</v>
      </c>
      <c r="AV24" s="30" t="n">
        <f aca="true">IF(OR($A24="",$I24=""),"",IF($BC24="Y",SUMIFS(survey_frozen!$J$2:$J$251,survey_frozen!$P$2:$P$251,$A24&amp;"|"&amp;$B24),IFERROR(COUNTIFS(INDIRECT("'"&amp;$A24&amp;"'!$B$2:$B$501"),$T24,INDIRECT("'"&amp;$A24&amp;"'!$A$2:$A$501"),"&gt;="&amp;$I24,INDIRECT("'"&amp;$A24&amp;"'!$A$2:$A$501"),"&lt;"&amp;($BA24+1),INDIRECT("'"&amp;$A24&amp;"'!$E$2:$E$501"),"Yes"),0)))</f>
        <v>4</v>
      </c>
      <c r="AW24" s="30" t="n">
        <f aca="true">IF(OR($A24="",$I24=""),"",IF($BC24="Y",SUMIFS(survey_frozen!$K$2:$K$251,survey_frozen!$P$2:$P$251,$A24&amp;"|"&amp;$B24),IFERROR(COUNTIFS(INDIRECT("'"&amp;$A24&amp;"'!$B$2:$B$501"),$T24,INDIRECT("'"&amp;$A24&amp;"'!$A$2:$A$501"),"&gt;="&amp;$I24,INDIRECT("'"&amp;$A24&amp;"'!$A$2:$A$501"),"&lt;"&amp;($BA24+1),INDIRECT("'"&amp;$A24&amp;"'!$E$2:$E$501"),"Maybe"),0)))</f>
        <v>3</v>
      </c>
      <c r="AX24" s="30" t="n">
        <f aca="true">IF(OR($A24="",$I24=""),"",IF($BC24="Y",SUMIFS(survey_frozen!$L$2:$L$251,survey_frozen!$P$2:$P$251,$A24&amp;"|"&amp;$B24),IFERROR(COUNTIFS(INDIRECT("'"&amp;$A24&amp;"'!$B$2:$B$501"),$T24,INDIRECT("'"&amp;$A24&amp;"'!$A$2:$A$501"),"&gt;="&amp;$I24,INDIRECT("'"&amp;$A24&amp;"'!$A$2:$A$501"),"&lt;"&amp;($BA24+1),INDIRECT("'"&amp;$A24&amp;"'!$E$2:$E$501"),"No"),0)))</f>
        <v>0</v>
      </c>
      <c r="AY24" s="30" t="n">
        <f aca="true">IF(OR($A24="",$I24=""),"",IF($BC24="Y",SUMIFS(survey_frozen!$M$2:$M$251,survey_frozen!$P$2:$P$251,$A24&amp;"|"&amp;$B24),IFERROR(COUNTIFS(INDIRECT("'"&amp;$A24&amp;"'!$B$2:$B$501"),$T24,INDIRECT("'"&amp;$A24&amp;"'!$A$2:$A$501"),"&gt;="&amp;$I24,INDIRECT("'"&amp;$A24&amp;"'!$A$2:$A$501"),"&lt;"&amp;($BA24+1),INDIRECT("'"&amp;$A24&amp;"'!$G$2:$G$501"),"&lt;&gt;"),0)))</f>
        <v>3</v>
      </c>
      <c r="AZ24" s="30" t="str">
        <f aca="false">IF($A24="","",$A24&amp;"|"&amp;$L24)</f>
        <v>SAMPLE-CMP-004|3</v>
      </c>
      <c r="BA24" s="31" t="n">
        <f aca="false">IF($A24="","",IFERROR(IF(INDEX(drops!$R$2:$R$21,MATCH($H24,drops!$A$2:$A$21,0))="","",INDEX(drops!$R$2:$R$21,MATCH($H24,drops!$A$2:$A$21,0))),""))</f>
        <v>46434</v>
      </c>
      <c r="BB24" s="30" t="n">
        <f aca="false">IF(OR($A24="",$Q24&lt;&gt;"Y"),1000000,N($AL24))</f>
        <v>7</v>
      </c>
      <c r="BC24" s="30" t="str">
        <f aca="false">IF($A24="","",IF(COUNTIF(survey_frozen!$P$2:$P$251,$A24&amp;"|"&amp;$B24)&gt;0,"Y",""))</f>
        <v/>
      </c>
      <c r="BD24" s="30" t="str">
        <f aca="false">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ustomFormat="false" ht="15" hidden="false" customHeight="false" outlineLevel="0" collapsed="false">
      <c r="A25" s="0" t="s">
        <v>532</v>
      </c>
      <c r="B25" s="0" t="s">
        <v>686</v>
      </c>
      <c r="C25" s="11" t="n">
        <v>46393</v>
      </c>
      <c r="D25" s="10" t="s">
        <v>496</v>
      </c>
      <c r="E25" s="11" t="n">
        <v>46394</v>
      </c>
      <c r="F25" s="10" t="s">
        <v>737</v>
      </c>
      <c r="H25" s="30" t="str">
        <f aca="false">IF($A25="","",IFERROR(IF(INDEX(campaigns!$B$2:$B$51,MATCH($A25,campaigns!$A$2:$A$51,0))="","",INDEX(campaigns!$B$2:$B$51,MATCH($A25,campaigns!$A$2:$A$51,0))),""))</f>
        <v>SAMPLE-DRP-002</v>
      </c>
      <c r="I25" s="31" t="n">
        <f aca="false">IF($A25="","",IFERROR(IF(INDEX(campaigns!$BG$2:$BG$51,MATCH($A25,campaigns!$A$2:$A$51,0))="","",INDEX(campaigns!$BG$2:$BG$51,MATCH($A25,campaigns!$A$2:$A$51,0))),""))</f>
        <v>46427</v>
      </c>
      <c r="J25" s="30" t="str">
        <f aca="false">IF($A25="","",IFERROR(IF(INDEX(campaigns!$BE$2:$BE$51,MATCH($A25,campaigns!$A$2:$A$51,0))="","",INDEX(campaigns!$BE$2:$BE$51,MATCH($A25,campaigns!$A$2:$A$51,0))),""))</f>
        <v>SAMPLE Orchard Row</v>
      </c>
      <c r="K25" s="30" t="str">
        <f aca="false">IF($B25="","",IFERROR(IF(INDEX(offices!$O$2:$O$61,MATCH($B25,offices!$A$2:$A$61,0))="","",INDEX(offices!$O$2:$O$61,MATCH($B25,offices!$A$2:$A$61,0))),""))</f>
        <v>SAMPLE Union Food Fund</v>
      </c>
      <c r="L25" s="30" t="n">
        <f aca="false">IF($A25="","",IF($Q25="N","",COUNTIFS($A$2:$A25,$A25,$Q$2:$Q25,"&lt;&gt;N")))</f>
        <v>4</v>
      </c>
      <c r="M25" s="30" t="str">
        <f aca="false">IF(OR($A25="",$L25=""),"",IF(AND(config!$B$34="names_if_public",IFERROR(IF(INDEX(offices!$AG$2:$AG$61,MATCH($B25,offices!$A$2:$A$61,0))="","",INDEX(offices!$AG$2:$AG$61,MATCH($B25,offices!$A$2:$A$61,0))),"")="Y"),$K25,CHAR(64+$L25)))</f>
        <v>D</v>
      </c>
      <c r="N25" s="30" t="n">
        <f aca="false">IF(OR($A25="",$I25=""),"",COUNTIFS(stops!$B$2:$B$151,$B25,stops!$P$2:$P$151,"&lt;"&amp;$I25,stops!$L$2:$L$151,"&lt;&gt;not_delivered")+1)</f>
        <v>2</v>
      </c>
      <c r="O25" s="30" t="str">
        <f aca="false">IF($A25="","",IF(N($N25)&lt;=config!$B$29,"explicit","opt-out"))</f>
        <v>explicit</v>
      </c>
      <c r="P25" s="30" t="str">
        <f aca="false">IF($A25="","",IF($O25="explicit",IF($D25="yes","Y",IF($D25="no","N","pending")),IF($D25="no","N",IF(AND($C25&lt;&gt;"",$I25&lt;&gt;"",$C25&lt;=WORKDAY(N($I25),-5,calendar!$A$2:$A$80)),"Y","pending"))))</f>
        <v>Y</v>
      </c>
      <c r="Q25" s="30" t="str">
        <f aca="false">IF($A25="","",IF($P25="N","N",IF($P25&lt;&gt;"Y","pending",IF(AND((COUNTIFS(stops!$A$2:$A$151,$H25,stops!$B$2:$B$151,$B25,stops!$L$2:$L$151,"declined")+COUNTIFS(stops!$A$2:$A$151,$H25,stops!$B$2:$B$151,$B25,stops!$L$2:$L$151,"building_refused")+COUNTIFS(stops!$A$2:$A$151,$H25,stops!$B$2:$B$151,$B25,stops!$L$2:$L$151,"not_delivered"))&gt;0,N($U25)=0),"N","Y"))))</f>
        <v>Y</v>
      </c>
      <c r="R25" s="30" t="str">
        <f aca="false">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30" t="n">
        <f aca="false">IF($A25="","",IF($G25&lt;&gt;"",$G25,IFERROR(IF(INDEX(offices!$AM$2:$AM$61,MATCH($B25,offices!$A$2:$A$61,0))="","",INDEX(offices!$AM$2:$AM$61,MATCH($B25,offices!$A$2:$A$61,0))),"")))</f>
        <v>50</v>
      </c>
      <c r="T25" s="30" t="str">
        <f aca="false">IF($A25="","",$A25&amp;"."&amp;$B25)</f>
        <v>SAMPLE-CMP-004.SAMPLE-O-004</v>
      </c>
      <c r="U25" s="30" t="n">
        <f aca="false">IF($A25="","",SUMIFS(inventory!$G$2:$G$801,inventory!$C$2:$C$801,$A25,inventory!$D$2:$D$801,$B25,inventory!$E$2:$E$801,"delivered"))</f>
        <v>50</v>
      </c>
      <c r="V25" s="37" t="n">
        <f aca="false">IF($A25="","",IFERROR(1/(1/SUMPRODUCT(MAX((inventory!$C$2:$C$801=$A25)*(inventory!$D$2:$D$801=$B25)*(inventory!$E$2:$E$801="delivered")*(inventory!$A$2:$A$801+inventory!$B$2:$B$801)))),""))</f>
        <v>46427.4298611111</v>
      </c>
      <c r="W25" s="30" t="str">
        <f aca="false">IF($A25="","",IFERROR(IF(INDEX(inventory!$J$2:$J$801,MATCH($A25&amp;"|"&amp;$B25&amp;"|delivered",inventory!$R$2:$R$801,0))="","",INDEX(inventory!$J$2:$J$801,MATCH($A25&amp;"|"&amp;$B25&amp;"|delivered",inventory!$R$2:$R$801,0))),""))</f>
        <v>courier_count</v>
      </c>
      <c r="X25" s="30" t="str">
        <f aca="false">IF($A25="","",IFERROR(IF(INDEX(photos!$H$2:$H$701,MATCH($A25&amp;"|"&amp;$B25&amp;"|placement|Y",photos!$R$2:$R$701,0))="","",INDEX(photos!$H$2:$H$701,MATCH($A25&amp;"|"&amp;$B25&amp;"|placement|Y",photos!$R$2:$R$701,0))),""))</f>
        <v>SAMPLE-CMP-004_SAMPLE-O-004_placement_2027-02-10.jpg</v>
      </c>
      <c r="Y25" s="31" t="n">
        <f aca="false">IF($A25="","",IFERROR(IF(INDEX(photos!$E$2:$E$701,MATCH($A25&amp;"|"&amp;$B25&amp;"|placement|Y",photos!$R$2:$R$701,0))="","",INDEX(photos!$E$2:$E$701,MATCH($A25&amp;"|"&amp;$B25&amp;"|placement|Y",photos!$R$2:$R$701,0))),""))</f>
        <v>46428</v>
      </c>
      <c r="Z25" s="30" t="n">
        <f aca="false">IF($A25="","",IF(COUNTIFS(counts!$C$2:$C$701,$A25,counts!$D$2:$D$701,$B25,counts!$E$2:$E$701,"placed")=0,"",SUMIFS(counts!$F$2:$F$701,counts!$C$2:$C$701,$A25,counts!$D$2:$D$701,$B25,counts!$E$2:$E$701,"placed")))</f>
        <v>50</v>
      </c>
      <c r="AA25" s="30" t="n">
        <f aca="false">IF($A25="","",IF($Y25="",0,N($Z25)))</f>
        <v>50</v>
      </c>
      <c r="AB25" s="30" t="str">
        <f aca="false">IF($A25="","",IF(OR($Y25="",$I25=""),"N",IF($Y25&lt;=WORKDAY(N($I25),1,calendar!$A$2:$A$80),"Y","N")))</f>
        <v>Y</v>
      </c>
      <c r="AC25" s="33" t="n">
        <f aca="false">IF(OR($A25="",$V25="",$Y25=""),"",ROUND(($Y25+N(IFERROR(IF(INDEX(photos!$F$2:$F$701,MATCH($A25&amp;"|"&amp;$B25&amp;"|placement|Y",photos!$R$2:$R$701,0))="","",INDEX(photos!$F$2:$F$701,MATCH($A25&amp;"|"&amp;$B25&amp;"|placement|Y",photos!$R$2:$R$701,0))),""))-$V25)*24,1))</f>
        <v>23.2</v>
      </c>
      <c r="AD25" s="30" t="n">
        <f aca="false">IF($A25="","",SUMIFS(inventory!$G$2:$G$801,inventory!$C$2:$C$801,$A25,inventory!$D$2:$D$801,$B25,inventory!$E$2:$E$801,"topped_up"))</f>
        <v>0</v>
      </c>
      <c r="AE25" s="30" t="n">
        <f aca="false">IF($A25="","",IF(COUNTIFS(counts!$C$2:$C$701,$A25,counts!$D$2:$D$701,$B25,counts!$E$2:$E$701,"remaining_day3")=0,"",SUMIFS(counts!$F$2:$F$701,counts!$C$2:$C$701,$A25,counts!$D$2:$D$701,$B25,counts!$E$2:$E$701,"remaining_day3")))</f>
        <v>17</v>
      </c>
      <c r="AF25" s="30" t="n">
        <f aca="false">IF($A25="","",IF(COUNTIFS(counts!$C$2:$C$701,$A25,counts!$D$2:$D$701,$B25,counts!$E$2:$E$701,"remaining_day5")=0,"",SUMIFS(counts!$F$2:$F$701,counts!$C$2:$C$701,$A25,counts!$D$2:$D$701,$B25,counts!$E$2:$E$701,"remaining_day5")))</f>
        <v>6</v>
      </c>
      <c r="AG25" s="30" t="n">
        <f aca="false">IF(OR($A25="",$AF25=""),"",MAX(0,$AA25+$AD25-$AF25))</f>
        <v>44</v>
      </c>
      <c r="AH25" s="30" t="str">
        <f aca="false">IF(OR($A25="",$AI25=""),"",IFERROR(IF(INDEX(photos!$H$2:$H$701,MATCH($A25&amp;"|"&amp;$B25&amp;"|later|Y|"&amp;$AI25,photos!$S$2:$S$701,0))="","",INDEX(photos!$H$2:$H$701,MATCH($A25&amp;"|"&amp;$B25&amp;"|later|Y|"&amp;$AI25,photos!$S$2:$S$701,0))),""))</f>
        <v>SAMPLE-CMP-004_SAMPLE-O-004_later_2027-02-16.jpg</v>
      </c>
      <c r="AI25" s="31" t="n">
        <f aca="false">IF($A25="","",IFERROR(1/(1/SUMPRODUCT(MAX((photos!$B$2:$B$701=$A25)*(photos!$C$2:$C$701=$B25)*(photos!$D$2:$D$701="later")*(photos!$O$2:$O$701="Y")*photos!$E$2:$E$701))),""))</f>
        <v>46434</v>
      </c>
      <c r="AJ25" s="30" t="n">
        <f aca="false">IF(OR($A25="",$AI25="",$I25=""),"",NETWORKDAYS($I25,$AI25,calendar!$A$2:$A$80))</f>
        <v>5</v>
      </c>
      <c r="AK25" s="30" t="str">
        <f aca="false">IF($A25="","",IF(AND($X25&lt;&gt;"",$AH25&lt;&gt;""),"Y","N"))</f>
        <v>Y</v>
      </c>
      <c r="AL25" s="30" t="n">
        <f aca="true">IF(OR($A25="",$I25=""),"",IF($BC25="Y",SUMIFS(survey_frozen!$C$2:$C$251,survey_frozen!$P$2:$P$251,$A25&amp;"|"&amp;$B25),IFERROR(COUNTIFS(INDIRECT("'"&amp;$A25&amp;"'!$B$2:$B$501"),$T25,INDIRECT("'"&amp;$A25&amp;"'!$A$2:$A$501"),"&gt;="&amp;$I25,INDIRECT("'"&amp;$A25&amp;"'!$A$2:$A$501"),"&lt;"&amp;($BA25+1)),0)))</f>
        <v>9</v>
      </c>
      <c r="AM25" s="30" t="n">
        <f aca="true">IF(OR($A25="",$I25=""),"",IF($BC25="Y",SUMIFS(survey_frozen!$D$2:$D$251,survey_frozen!$P$2:$P$251,$A25&amp;"|"&amp;$B25),IFERROR(COUNTIFS(INDIRECT("'"&amp;$A25&amp;"'!$B$2:$B$501"),$T25,INDIRECT("'"&amp;$A25&amp;"'!$A$2:$A$501"),"&gt;="&amp;$I25,INDIRECT("'"&amp;$A25&amp;"'!$A$2:$A$501"),"&lt;"&amp;($BA25+1),INDIRECT("'"&amp;$A25&amp;"'!$C$2:$C$501"),"Yes"),0)))</f>
        <v>7</v>
      </c>
      <c r="AN25" s="30" t="n">
        <f aca="false">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4</v>
      </c>
      <c r="AO25" s="30" t="n">
        <f aca="false">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3</v>
      </c>
      <c r="AP25" s="30" t="str">
        <f aca="true">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30" t="n">
        <f aca="true">IF(OR($A25="",$I25=""),"",IF($BC25="Y",SUMIFS(survey_frozen!$E$2:$E$251,survey_frozen!$P$2:$P$251,$A25&amp;"|"&amp;$B25),IFERROR(COUNTIFS(INDIRECT("'"&amp;$A25&amp;"'!$B$2:$B$501"),$T25,INDIRECT("'"&amp;$A25&amp;"'!$A$2:$A$501"),"&gt;="&amp;$I25,INDIRECT("'"&amp;$A25&amp;"'!$A$2:$A$501"),"&lt;"&amp;($BA25+1),INDIRECT("'"&amp;$A25&amp;"'!$F$2:$F$501"),"Didn't see it"),0)))</f>
        <v>1</v>
      </c>
      <c r="AR25" s="30" t="n">
        <f aca="true">IF(OR($A25="",$I25=""),"",IF($BC25="Y",SUMIFS(survey_frozen!$F$2:$F$251,survey_frozen!$P$2:$P$251,$A25&amp;"|"&amp;$B25),IFERROR(COUNTIFS(INDIRECT("'"&amp;$A25&amp;"'!$B$2:$B$501"),$T25,INDIRECT("'"&amp;$A25&amp;"'!$A$2:$A$501"),"&gt;="&amp;$I25,INDIRECT("'"&amp;$A25&amp;"'!$A$2:$A$501"),"&lt;"&amp;($BA25+1),INDIRECT("'"&amp;$A25&amp;"'!$F$2:$F$501"),"Not for me"),0)))</f>
        <v>1</v>
      </c>
      <c r="AS25" s="30" t="n">
        <f aca="true">IF(OR($A25="",$I25=""),"",IF($BC25="Y",SUMIFS(survey_frozen!$G$2:$G$251,survey_frozen!$P$2:$P$251,$A25&amp;"|"&amp;$B25),IFERROR(COUNTIFS(INDIRECT("'"&amp;$A25&amp;"'!$B$2:$B$501"),$T25,INDIRECT("'"&amp;$A25&amp;"'!$A$2:$A$501"),"&gt;="&amp;$I25,INDIRECT("'"&amp;$A25&amp;"'!$A$2:$A$501"),"&lt;"&amp;($BA25+1),INDIRECT("'"&amp;$A25&amp;"'!$F$2:$F$501"),"Gone by the time I looked"),0)))</f>
        <v>0</v>
      </c>
      <c r="AT25" s="30" t="n">
        <f aca="true">IF(OR($A25="",$I25=""),"",IF($BC25="Y",SUMIFS(survey_frozen!$H$2:$H$251,survey_frozen!$P$2:$P$251,$A25&amp;"|"&amp;$B25),IFERROR(COUNTIFS(INDIRECT("'"&amp;$A25&amp;"'!$B$2:$B$501"),$T25,INDIRECT("'"&amp;$A25&amp;"'!$A$2:$A$501"),"&gt;="&amp;$I25,INDIRECT("'"&amp;$A25&amp;"'!$A$2:$A$501"),"&lt;"&amp;($BA25+1),INDIRECT("'"&amp;$A25&amp;"'!$D$2:$D$501"),"&gt;=1"),0)))</f>
        <v>7</v>
      </c>
      <c r="AU25" s="30" t="n">
        <f aca="true">IF(OR($A25="",$I25=""),"",IF($BC25="Y",SUMIFS(survey_frozen!$I$2:$I$251,survey_frozen!$P$2:$P$251,$A25&amp;"|"&amp;$B25),IFERROR(SUMIFS(INDIRECT("'"&amp;$A25&amp;"'!$D$2:$D$501"),INDIRECT("'"&amp;$A25&amp;"'!$B$2:$B$501"),$T25,INDIRECT("'"&amp;$A25&amp;"'!$A$2:$A$501"),"&gt;="&amp;$I25,INDIRECT("'"&amp;$A25&amp;"'!$A$2:$A$501"),"&lt;"&amp;($BA25+1)),0)))</f>
        <v>30</v>
      </c>
      <c r="AV25" s="30" t="n">
        <f aca="true">IF(OR($A25="",$I25=""),"",IF($BC25="Y",SUMIFS(survey_frozen!$J$2:$J$251,survey_frozen!$P$2:$P$251,$A25&amp;"|"&amp;$B25),IFERROR(COUNTIFS(INDIRECT("'"&amp;$A25&amp;"'!$B$2:$B$501"),$T25,INDIRECT("'"&amp;$A25&amp;"'!$A$2:$A$501"),"&gt;="&amp;$I25,INDIRECT("'"&amp;$A25&amp;"'!$A$2:$A$501"),"&lt;"&amp;($BA25+1),INDIRECT("'"&amp;$A25&amp;"'!$E$2:$E$501"),"Yes"),0)))</f>
        <v>4</v>
      </c>
      <c r="AW25" s="30" t="n">
        <f aca="true">IF(OR($A25="",$I25=""),"",IF($BC25="Y",SUMIFS(survey_frozen!$K$2:$K$251,survey_frozen!$P$2:$P$251,$A25&amp;"|"&amp;$B25),IFERROR(COUNTIFS(INDIRECT("'"&amp;$A25&amp;"'!$B$2:$B$501"),$T25,INDIRECT("'"&amp;$A25&amp;"'!$A$2:$A$501"),"&gt;="&amp;$I25,INDIRECT("'"&amp;$A25&amp;"'!$A$2:$A$501"),"&lt;"&amp;($BA25+1),INDIRECT("'"&amp;$A25&amp;"'!$E$2:$E$501"),"Maybe"),0)))</f>
        <v>3</v>
      </c>
      <c r="AX25" s="30" t="n">
        <f aca="true">IF(OR($A25="",$I25=""),"",IF($BC25="Y",SUMIFS(survey_frozen!$L$2:$L$251,survey_frozen!$P$2:$P$251,$A25&amp;"|"&amp;$B25),IFERROR(COUNTIFS(INDIRECT("'"&amp;$A25&amp;"'!$B$2:$B$501"),$T25,INDIRECT("'"&amp;$A25&amp;"'!$A$2:$A$501"),"&gt;="&amp;$I25,INDIRECT("'"&amp;$A25&amp;"'!$A$2:$A$501"),"&lt;"&amp;($BA25+1),INDIRECT("'"&amp;$A25&amp;"'!$E$2:$E$501"),"No"),0)))</f>
        <v>0</v>
      </c>
      <c r="AY25" s="30" t="n">
        <f aca="true">IF(OR($A25="",$I25=""),"",IF($BC25="Y",SUMIFS(survey_frozen!$M$2:$M$251,survey_frozen!$P$2:$P$251,$A25&amp;"|"&amp;$B25),IFERROR(COUNTIFS(INDIRECT("'"&amp;$A25&amp;"'!$B$2:$B$501"),$T25,INDIRECT("'"&amp;$A25&amp;"'!$A$2:$A$501"),"&gt;="&amp;$I25,INDIRECT("'"&amp;$A25&amp;"'!$A$2:$A$501"),"&lt;"&amp;($BA25+1),INDIRECT("'"&amp;$A25&amp;"'!$G$2:$G$501"),"&lt;&gt;"),0)))</f>
        <v>5</v>
      </c>
      <c r="AZ25" s="30" t="str">
        <f aca="false">IF($A25="","",$A25&amp;"|"&amp;$L25)</f>
        <v>SAMPLE-CMP-004|4</v>
      </c>
      <c r="BA25" s="31" t="n">
        <f aca="false">IF($A25="","",IFERROR(IF(INDEX(drops!$R$2:$R$21,MATCH($H25,drops!$A$2:$A$21,0))="","",INDEX(drops!$R$2:$R$21,MATCH($H25,drops!$A$2:$A$21,0))),""))</f>
        <v>46434</v>
      </c>
      <c r="BB25" s="30" t="n">
        <f aca="false">IF(OR($A25="",$Q25&lt;&gt;"Y"),1000000,N($AL25))</f>
        <v>9</v>
      </c>
      <c r="BC25" s="30" t="str">
        <f aca="false">IF($A25="","",IF(COUNTIF(survey_frozen!$P$2:$P$251,$A25&amp;"|"&amp;$B25)&gt;0,"Y",""))</f>
        <v/>
      </c>
      <c r="BD25" s="30" t="str">
        <f aca="false">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ustomFormat="false" ht="15" hidden="false" customHeight="false" outlineLevel="0" collapsed="false">
      <c r="A26" s="0" t="s">
        <v>532</v>
      </c>
      <c r="B26" s="0" t="s">
        <v>688</v>
      </c>
      <c r="C26" s="11" t="n">
        <v>46393</v>
      </c>
      <c r="D26" s="10" t="s">
        <v>496</v>
      </c>
      <c r="E26" s="11" t="n">
        <v>46395</v>
      </c>
      <c r="F26" s="10" t="s">
        <v>737</v>
      </c>
      <c r="H26" s="30" t="str">
        <f aca="false">IF($A26="","",IFERROR(IF(INDEX(campaigns!$B$2:$B$51,MATCH($A26,campaigns!$A$2:$A$51,0))="","",INDEX(campaigns!$B$2:$B$51,MATCH($A26,campaigns!$A$2:$A$51,0))),""))</f>
        <v>SAMPLE-DRP-002</v>
      </c>
      <c r="I26" s="31" t="n">
        <f aca="false">IF($A26="","",IFERROR(IF(INDEX(campaigns!$BG$2:$BG$51,MATCH($A26,campaigns!$A$2:$A$51,0))="","",INDEX(campaigns!$BG$2:$BG$51,MATCH($A26,campaigns!$A$2:$A$51,0))),""))</f>
        <v>46427</v>
      </c>
      <c r="J26" s="30" t="str">
        <f aca="false">IF($A26="","",IFERROR(IF(INDEX(campaigns!$BE$2:$BE$51,MATCH($A26,campaigns!$A$2:$A$51,0))="","",INDEX(campaigns!$BE$2:$BE$51,MATCH($A26,campaigns!$A$2:$A$51,0))),""))</f>
        <v>SAMPLE Orchard Row</v>
      </c>
      <c r="K26" s="30" t="str">
        <f aca="false">IF($B26="","",IFERROR(IF(INDEX(offices!$O$2:$O$61,MATCH($B26,offices!$A$2:$A$61,0))="","",INDEX(offices!$O$2:$O$61,MATCH($B26,offices!$A$2:$A$61,0))),""))</f>
        <v>SAMPLE Studio Marlow</v>
      </c>
      <c r="L26" s="30" t="n">
        <f aca="false">IF($A26="","",IF($Q26="N","",COUNTIFS($A$2:$A26,$A26,$Q$2:$Q26,"&lt;&gt;N")))</f>
        <v>5</v>
      </c>
      <c r="M26" s="30" t="str">
        <f aca="false">IF(OR($A26="",$L26=""),"",IF(AND(config!$B$34="names_if_public",IFERROR(IF(INDEX(offices!$AG$2:$AG$61,MATCH($B26,offices!$A$2:$A$61,0))="","",INDEX(offices!$AG$2:$AG$61,MATCH($B26,offices!$A$2:$A$61,0))),"")="Y"),$K26,CHAR(64+$L26)))</f>
        <v>E</v>
      </c>
      <c r="N26" s="30" t="n">
        <f aca="false">IF(OR($A26="",$I26=""),"",COUNTIFS(stops!$B$2:$B$151,$B26,stops!$P$2:$P$151,"&lt;"&amp;$I26,stops!$L$2:$L$151,"&lt;&gt;not_delivered")+1)</f>
        <v>2</v>
      </c>
      <c r="O26" s="30" t="str">
        <f aca="false">IF($A26="","",IF(N($N26)&lt;=config!$B$29,"explicit","opt-out"))</f>
        <v>explicit</v>
      </c>
      <c r="P26" s="30" t="str">
        <f aca="false">IF($A26="","",IF($O26="explicit",IF($D26="yes","Y",IF($D26="no","N","pending")),IF($D26="no","N",IF(AND($C26&lt;&gt;"",$I26&lt;&gt;"",$C26&lt;=WORKDAY(N($I26),-5,calendar!$A$2:$A$80)),"Y","pending"))))</f>
        <v>Y</v>
      </c>
      <c r="Q26" s="30" t="str">
        <f aca="false">IF($A26="","",IF($P26="N","N",IF($P26&lt;&gt;"Y","pending",IF(AND((COUNTIFS(stops!$A$2:$A$151,$H26,stops!$B$2:$B$151,$B26,stops!$L$2:$L$151,"declined")+COUNTIFS(stops!$A$2:$A$151,$H26,stops!$B$2:$B$151,$B26,stops!$L$2:$L$151,"building_refused")+COUNTIFS(stops!$A$2:$A$151,$H26,stops!$B$2:$B$151,$B26,stops!$L$2:$L$151,"not_delivered"))&gt;0,N($U26)=0),"N","Y"))))</f>
        <v>Y</v>
      </c>
      <c r="R26" s="30" t="str">
        <f aca="false">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30" t="n">
        <f aca="false">IF($A26="","",IF($G26&lt;&gt;"",$G26,IFERROR(IF(INDEX(offices!$AM$2:$AM$61,MATCH($B26,offices!$A$2:$A$61,0))="","",INDEX(offices!$AM$2:$AM$61,MATCH($B26,offices!$A$2:$A$61,0))),"")))</f>
        <v>70</v>
      </c>
      <c r="T26" s="30" t="str">
        <f aca="false">IF($A26="","",$A26&amp;"."&amp;$B26)</f>
        <v>SAMPLE-CMP-004.SAMPLE-O-005</v>
      </c>
      <c r="U26" s="30" t="n">
        <f aca="false">IF($A26="","",SUMIFS(inventory!$G$2:$G$801,inventory!$C$2:$C$801,$A26,inventory!$D$2:$D$801,$B26,inventory!$E$2:$E$801,"delivered"))</f>
        <v>70</v>
      </c>
      <c r="V26" s="37" t="n">
        <f aca="false">IF($A26="","",IFERROR(1/(1/SUMPRODUCT(MAX((inventory!$C$2:$C$801=$A26)*(inventory!$D$2:$D$801=$B26)*(inventory!$E$2:$E$801="delivered")*(inventory!$A$2:$A$801+inventory!$B$2:$B$801)))),""))</f>
        <v>46427.4451388889</v>
      </c>
      <c r="W26" s="30" t="str">
        <f aca="false">IF($A26="","",IFERROR(IF(INDEX(inventory!$J$2:$J$801,MATCH($A26&amp;"|"&amp;$B26&amp;"|delivered",inventory!$R$2:$R$801,0))="","",INDEX(inventory!$J$2:$J$801,MATCH($A26&amp;"|"&amp;$B26&amp;"|delivered",inventory!$R$2:$R$801,0))),""))</f>
        <v>courier_count</v>
      </c>
      <c r="X26" s="30" t="str">
        <f aca="false">IF($A26="","",IFERROR(IF(INDEX(photos!$H$2:$H$701,MATCH($A26&amp;"|"&amp;$B26&amp;"|placement|Y",photos!$R$2:$R$701,0))="","",INDEX(photos!$H$2:$H$701,MATCH($A26&amp;"|"&amp;$B26&amp;"|placement|Y",photos!$R$2:$R$701,0))),""))</f>
        <v>SAMPLE-CMP-004_SAMPLE-O-005_placement_2027-02-09.jpg</v>
      </c>
      <c r="Y26" s="31" t="n">
        <f aca="false">IF($A26="","",IFERROR(IF(INDEX(photos!$E$2:$E$701,MATCH($A26&amp;"|"&amp;$B26&amp;"|placement|Y",photos!$R$2:$R$701,0))="","",INDEX(photos!$E$2:$E$701,MATCH($A26&amp;"|"&amp;$B26&amp;"|placement|Y",photos!$R$2:$R$701,0))),""))</f>
        <v>46427</v>
      </c>
      <c r="Z26" s="30" t="n">
        <f aca="false">IF($A26="","",IF(COUNTIFS(counts!$C$2:$C$701,$A26,counts!$D$2:$D$701,$B26,counts!$E$2:$E$701,"placed")=0,"",SUMIFS(counts!$F$2:$F$701,counts!$C$2:$C$701,$A26,counts!$D$2:$D$701,$B26,counts!$E$2:$E$701,"placed")))</f>
        <v>70</v>
      </c>
      <c r="AA26" s="30" t="n">
        <f aca="false">IF($A26="","",IF($Y26="",0,N($Z26)))</f>
        <v>70</v>
      </c>
      <c r="AB26" s="30" t="str">
        <f aca="false">IF($A26="","",IF(OR($Y26="",$I26=""),"N",IF($Y26&lt;=WORKDAY(N($I26),1,calendar!$A$2:$A$80),"Y","N")))</f>
        <v>Y</v>
      </c>
      <c r="AC26" s="33" t="n">
        <f aca="false">IF(OR($A26="",$V26="",$Y26=""),"",ROUND(($Y26+N(IFERROR(IF(INDEX(photos!$F$2:$F$701,MATCH($A26&amp;"|"&amp;$B26&amp;"|placement|Y",photos!$R$2:$R$701,0))="","",INDEX(photos!$F$2:$F$701,MATCH($A26&amp;"|"&amp;$B26&amp;"|placement|Y",photos!$R$2:$R$701,0))),""))-$V26)*24,1))</f>
        <v>2.3</v>
      </c>
      <c r="AD26" s="30" t="n">
        <f aca="false">IF($A26="","",SUMIFS(inventory!$G$2:$G$801,inventory!$C$2:$C$801,$A26,inventory!$D$2:$D$801,$B26,inventory!$E$2:$E$801,"topped_up"))</f>
        <v>0</v>
      </c>
      <c r="AE26" s="30" t="n">
        <f aca="false">IF($A26="","",IF(COUNTIFS(counts!$C$2:$C$701,$A26,counts!$D$2:$D$701,$B26,counts!$E$2:$E$701,"remaining_day3")=0,"",SUMIFS(counts!$F$2:$F$701,counts!$C$2:$C$701,$A26,counts!$D$2:$D$701,$B26,counts!$E$2:$E$701,"remaining_day3")))</f>
        <v>21</v>
      </c>
      <c r="AF26" s="30" t="n">
        <f aca="false">IF($A26="","",IF(COUNTIFS(counts!$C$2:$C$701,$A26,counts!$D$2:$D$701,$B26,counts!$E$2:$E$701,"remaining_day5")=0,"",SUMIFS(counts!$F$2:$F$701,counts!$C$2:$C$701,$A26,counts!$D$2:$D$701,$B26,counts!$E$2:$E$701,"remaining_day5")))</f>
        <v>6</v>
      </c>
      <c r="AG26" s="30" t="n">
        <f aca="false">IF(OR($A26="",$AF26=""),"",MAX(0,$AA26+$AD26-$AF26))</f>
        <v>64</v>
      </c>
      <c r="AH26" s="30" t="str">
        <f aca="false">IF(OR($A26="",$AI26=""),"",IFERROR(IF(INDEX(photos!$H$2:$H$701,MATCH($A26&amp;"|"&amp;$B26&amp;"|later|Y|"&amp;$AI26,photos!$S$2:$S$701,0))="","",INDEX(photos!$H$2:$H$701,MATCH($A26&amp;"|"&amp;$B26&amp;"|later|Y|"&amp;$AI26,photos!$S$2:$S$701,0))),""))</f>
        <v>SAMPLE-CMP-004_SAMPLE-O-005_later_2027-02-16.jpg</v>
      </c>
      <c r="AI26" s="31" t="n">
        <f aca="false">IF($A26="","",IFERROR(1/(1/SUMPRODUCT(MAX((photos!$B$2:$B$701=$A26)*(photos!$C$2:$C$701=$B26)*(photos!$D$2:$D$701="later")*(photos!$O$2:$O$701="Y")*photos!$E$2:$E$701))),""))</f>
        <v>46434</v>
      </c>
      <c r="AJ26" s="30" t="n">
        <f aca="false">IF(OR($A26="",$AI26="",$I26=""),"",NETWORKDAYS($I26,$AI26,calendar!$A$2:$A$80))</f>
        <v>5</v>
      </c>
      <c r="AK26" s="30" t="str">
        <f aca="false">IF($A26="","",IF(AND($X26&lt;&gt;"",$AH26&lt;&gt;""),"Y","N"))</f>
        <v>Y</v>
      </c>
      <c r="AL26" s="30" t="n">
        <f aca="true">IF(OR($A26="",$I26=""),"",IF($BC26="Y",SUMIFS(survey_frozen!$C$2:$C$251,survey_frozen!$P$2:$P$251,$A26&amp;"|"&amp;$B26),IFERROR(COUNTIFS(INDIRECT("'"&amp;$A26&amp;"'!$B$2:$B$501"),$T26,INDIRECT("'"&amp;$A26&amp;"'!$A$2:$A$501"),"&gt;="&amp;$I26,INDIRECT("'"&amp;$A26&amp;"'!$A$2:$A$501"),"&lt;"&amp;($BA26+1)),0)))</f>
        <v>6</v>
      </c>
      <c r="AM26" s="30" t="n">
        <f aca="true">IF(OR($A26="",$I26=""),"",IF($BC26="Y",SUMIFS(survey_frozen!$D$2:$D$251,survey_frozen!$P$2:$P$251,$A26&amp;"|"&amp;$B26),IFERROR(COUNTIFS(INDIRECT("'"&amp;$A26&amp;"'!$B$2:$B$501"),$T26,INDIRECT("'"&amp;$A26&amp;"'!$A$2:$A$501"),"&gt;="&amp;$I26,INDIRECT("'"&amp;$A26&amp;"'!$A$2:$A$501"),"&lt;"&amp;($BA26+1),INDIRECT("'"&amp;$A26&amp;"'!$C$2:$C$501"),"Yes"),0)))</f>
        <v>6</v>
      </c>
      <c r="AN26" s="30" t="n">
        <f aca="false">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12</v>
      </c>
      <c r="AO26" s="30" t="n">
        <f aca="false">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11</v>
      </c>
      <c r="AP26" s="30" t="str">
        <f aca="true">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30" t="n">
        <f aca="true">IF(OR($A26="",$I26=""),"",IF($BC26="Y",SUMIFS(survey_frozen!$E$2:$E$251,survey_frozen!$P$2:$P$251,$A26&amp;"|"&amp;$B26),IFERROR(COUNTIFS(INDIRECT("'"&amp;$A26&amp;"'!$B$2:$B$501"),$T26,INDIRECT("'"&amp;$A26&amp;"'!$A$2:$A$501"),"&gt;="&amp;$I26,INDIRECT("'"&amp;$A26&amp;"'!$A$2:$A$501"),"&lt;"&amp;($BA26+1),INDIRECT("'"&amp;$A26&amp;"'!$F$2:$F$501"),"Didn't see it"),0)))</f>
        <v>0</v>
      </c>
      <c r="AR26" s="30" t="n">
        <f aca="true">IF(OR($A26="",$I26=""),"",IF($BC26="Y",SUMIFS(survey_frozen!$F$2:$F$251,survey_frozen!$P$2:$P$251,$A26&amp;"|"&amp;$B26),IFERROR(COUNTIFS(INDIRECT("'"&amp;$A26&amp;"'!$B$2:$B$501"),$T26,INDIRECT("'"&amp;$A26&amp;"'!$A$2:$A$501"),"&gt;="&amp;$I26,INDIRECT("'"&amp;$A26&amp;"'!$A$2:$A$501"),"&lt;"&amp;($BA26+1),INDIRECT("'"&amp;$A26&amp;"'!$F$2:$F$501"),"Not for me"),0)))</f>
        <v>0</v>
      </c>
      <c r="AS26" s="30" t="n">
        <f aca="true">IF(OR($A26="",$I26=""),"",IF($BC26="Y",SUMIFS(survey_frozen!$G$2:$G$251,survey_frozen!$P$2:$P$251,$A26&amp;"|"&amp;$B26),IFERROR(COUNTIFS(INDIRECT("'"&amp;$A26&amp;"'!$B$2:$B$501"),$T26,INDIRECT("'"&amp;$A26&amp;"'!$A$2:$A$501"),"&gt;="&amp;$I26,INDIRECT("'"&amp;$A26&amp;"'!$A$2:$A$501"),"&lt;"&amp;($BA26+1),INDIRECT("'"&amp;$A26&amp;"'!$F$2:$F$501"),"Gone by the time I looked"),0)))</f>
        <v>0</v>
      </c>
      <c r="AT26" s="30" t="n">
        <f aca="true">IF(OR($A26="",$I26=""),"",IF($BC26="Y",SUMIFS(survey_frozen!$H$2:$H$251,survey_frozen!$P$2:$P$251,$A26&amp;"|"&amp;$B26),IFERROR(COUNTIFS(INDIRECT("'"&amp;$A26&amp;"'!$B$2:$B$501"),$T26,INDIRECT("'"&amp;$A26&amp;"'!$A$2:$A$501"),"&gt;="&amp;$I26,INDIRECT("'"&amp;$A26&amp;"'!$A$2:$A$501"),"&lt;"&amp;($BA26+1),INDIRECT("'"&amp;$A26&amp;"'!$D$2:$D$501"),"&gt;=1"),0)))</f>
        <v>6</v>
      </c>
      <c r="AU26" s="30" t="n">
        <f aca="true">IF(OR($A26="",$I26=""),"",IF($BC26="Y",SUMIFS(survey_frozen!$I$2:$I$251,survey_frozen!$P$2:$P$251,$A26&amp;"|"&amp;$B26),IFERROR(SUMIFS(INDIRECT("'"&amp;$A26&amp;"'!$D$2:$D$501"),INDIRECT("'"&amp;$A26&amp;"'!$B$2:$B$501"),$T26,INDIRECT("'"&amp;$A26&amp;"'!$A$2:$A$501"),"&gt;="&amp;$I26,INDIRECT("'"&amp;$A26&amp;"'!$A$2:$A$501"),"&lt;"&amp;($BA26+1)),0)))</f>
        <v>27</v>
      </c>
      <c r="AV26" s="30" t="n">
        <f aca="true">IF(OR($A26="",$I26=""),"",IF($BC26="Y",SUMIFS(survey_frozen!$J$2:$J$251,survey_frozen!$P$2:$P$251,$A26&amp;"|"&amp;$B26),IFERROR(COUNTIFS(INDIRECT("'"&amp;$A26&amp;"'!$B$2:$B$501"),$T26,INDIRECT("'"&amp;$A26&amp;"'!$A$2:$A$501"),"&gt;="&amp;$I26,INDIRECT("'"&amp;$A26&amp;"'!$A$2:$A$501"),"&lt;"&amp;($BA26+1),INDIRECT("'"&amp;$A26&amp;"'!$E$2:$E$501"),"Yes"),0)))</f>
        <v>3</v>
      </c>
      <c r="AW26" s="30" t="n">
        <f aca="true">IF(OR($A26="",$I26=""),"",IF($BC26="Y",SUMIFS(survey_frozen!$K$2:$K$251,survey_frozen!$P$2:$P$251,$A26&amp;"|"&amp;$B26),IFERROR(COUNTIFS(INDIRECT("'"&amp;$A26&amp;"'!$B$2:$B$501"),$T26,INDIRECT("'"&amp;$A26&amp;"'!$A$2:$A$501"),"&gt;="&amp;$I26,INDIRECT("'"&amp;$A26&amp;"'!$A$2:$A$501"),"&lt;"&amp;($BA26+1),INDIRECT("'"&amp;$A26&amp;"'!$E$2:$E$501"),"Maybe"),0)))</f>
        <v>1</v>
      </c>
      <c r="AX26" s="30" t="n">
        <f aca="true">IF(OR($A26="",$I26=""),"",IF($BC26="Y",SUMIFS(survey_frozen!$L$2:$L$251,survey_frozen!$P$2:$P$251,$A26&amp;"|"&amp;$B26),IFERROR(COUNTIFS(INDIRECT("'"&amp;$A26&amp;"'!$B$2:$B$501"),$T26,INDIRECT("'"&amp;$A26&amp;"'!$A$2:$A$501"),"&gt;="&amp;$I26,INDIRECT("'"&amp;$A26&amp;"'!$A$2:$A$501"),"&lt;"&amp;($BA26+1),INDIRECT("'"&amp;$A26&amp;"'!$E$2:$E$501"),"No"),0)))</f>
        <v>2</v>
      </c>
      <c r="AY26" s="30" t="n">
        <f aca="true">IF(OR($A26="",$I26=""),"",IF($BC26="Y",SUMIFS(survey_frozen!$M$2:$M$251,survey_frozen!$P$2:$P$251,$A26&amp;"|"&amp;$B26),IFERROR(COUNTIFS(INDIRECT("'"&amp;$A26&amp;"'!$B$2:$B$501"),$T26,INDIRECT("'"&amp;$A26&amp;"'!$A$2:$A$501"),"&gt;="&amp;$I26,INDIRECT("'"&amp;$A26&amp;"'!$A$2:$A$501"),"&lt;"&amp;($BA26+1),INDIRECT("'"&amp;$A26&amp;"'!$G$2:$G$501"),"&lt;&gt;"),0)))</f>
        <v>5</v>
      </c>
      <c r="AZ26" s="30" t="str">
        <f aca="false">IF($A26="","",$A26&amp;"|"&amp;$L26)</f>
        <v>SAMPLE-CMP-004|5</v>
      </c>
      <c r="BA26" s="31" t="n">
        <f aca="false">IF($A26="","",IFERROR(IF(INDEX(drops!$R$2:$R$21,MATCH($H26,drops!$A$2:$A$21,0))="","",INDEX(drops!$R$2:$R$21,MATCH($H26,drops!$A$2:$A$21,0))),""))</f>
        <v>46434</v>
      </c>
      <c r="BB26" s="30" t="n">
        <f aca="false">IF(OR($A26="",$Q26&lt;&gt;"Y"),1000000,N($AL26))</f>
        <v>6</v>
      </c>
      <c r="BC26" s="30" t="str">
        <f aca="false">IF($A26="","",IF(COUNTIF(survey_frozen!$P$2:$P$251,$A26&amp;"|"&amp;$B26)&gt;0,"Y",""))</f>
        <v/>
      </c>
      <c r="BD26" s="30" t="str">
        <f aca="false">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ustomFormat="false" ht="15" hidden="false" customHeight="false" outlineLevel="0" collapsed="false">
      <c r="A27" s="0" t="s">
        <v>532</v>
      </c>
      <c r="B27" s="0" t="s">
        <v>690</v>
      </c>
      <c r="C27" s="11" t="n">
        <v>46393</v>
      </c>
      <c r="D27" s="10" t="s">
        <v>496</v>
      </c>
      <c r="E27" s="11" t="n">
        <v>46396</v>
      </c>
      <c r="F27" s="10" t="s">
        <v>737</v>
      </c>
      <c r="H27" s="30" t="str">
        <f aca="false">IF($A27="","",IFERROR(IF(INDEX(campaigns!$B$2:$B$51,MATCH($A27,campaigns!$A$2:$A$51,0))="","",INDEX(campaigns!$B$2:$B$51,MATCH($A27,campaigns!$A$2:$A$51,0))),""))</f>
        <v>SAMPLE-DRP-002</v>
      </c>
      <c r="I27" s="31" t="n">
        <f aca="false">IF($A27="","",IFERROR(IF(INDEX(campaigns!$BG$2:$BG$51,MATCH($A27,campaigns!$A$2:$A$51,0))="","",INDEX(campaigns!$BG$2:$BG$51,MATCH($A27,campaigns!$A$2:$A$51,0))),""))</f>
        <v>46427</v>
      </c>
      <c r="J27" s="30" t="str">
        <f aca="false">IF($A27="","",IFERROR(IF(INDEX(campaigns!$BE$2:$BE$51,MATCH($A27,campaigns!$A$2:$A$51,0))="","",INDEX(campaigns!$BE$2:$BE$51,MATCH($A27,campaigns!$A$2:$A$51,0))),""))</f>
        <v>SAMPLE Orchard Row</v>
      </c>
      <c r="K27" s="30" t="str">
        <f aca="false">IF($B27="","",IFERROR(IF(INDEX(offices!$O$2:$O$61,MATCH($B27,offices!$A$2:$A$61,0))="","",INDEX(offices!$O$2:$O$61,MATCH($B27,offices!$A$2:$A$61,0))),""))</f>
        <v>SAMPLE Kestrel Analytics</v>
      </c>
      <c r="L27" s="30" t="n">
        <f aca="false">IF($A27="","",IF($Q27="N","",COUNTIFS($A$2:$A27,$A27,$Q$2:$Q27,"&lt;&gt;N")))</f>
        <v>6</v>
      </c>
      <c r="M27" s="30" t="str">
        <f aca="false">IF(OR($A27="",$L27=""),"",IF(AND(config!$B$34="names_if_public",IFERROR(IF(INDEX(offices!$AG$2:$AG$61,MATCH($B27,offices!$A$2:$A$61,0))="","",INDEX(offices!$AG$2:$AG$61,MATCH($B27,offices!$A$2:$A$61,0))),"")="Y"),$K27,CHAR(64+$L27)))</f>
        <v>F</v>
      </c>
      <c r="N27" s="30" t="n">
        <f aca="false">IF(OR($A27="",$I27=""),"",COUNTIFS(stops!$B$2:$B$151,$B27,stops!$P$2:$P$151,"&lt;"&amp;$I27,stops!$L$2:$L$151,"&lt;&gt;not_delivered")+1)</f>
        <v>1</v>
      </c>
      <c r="O27" s="30" t="str">
        <f aca="false">IF($A27="","",IF(N($N27)&lt;=config!$B$29,"explicit","opt-out"))</f>
        <v>explicit</v>
      </c>
      <c r="P27" s="30" t="str">
        <f aca="false">IF($A27="","",IF($O27="explicit",IF($D27="yes","Y",IF($D27="no","N","pending")),IF($D27="no","N",IF(AND($C27&lt;&gt;"",$I27&lt;&gt;"",$C27&lt;=WORKDAY(N($I27),-5,calendar!$A$2:$A$80)),"Y","pending"))))</f>
        <v>Y</v>
      </c>
      <c r="Q27" s="30" t="str">
        <f aca="false">IF($A27="","",IF($P27="N","N",IF($P27&lt;&gt;"Y","pending",IF(AND((COUNTIFS(stops!$A$2:$A$151,$H27,stops!$B$2:$B$151,$B27,stops!$L$2:$L$151,"declined")+COUNTIFS(stops!$A$2:$A$151,$H27,stops!$B$2:$B$151,$B27,stops!$L$2:$L$151,"building_refused")+COUNTIFS(stops!$A$2:$A$151,$H27,stops!$B$2:$B$151,$B27,stops!$L$2:$L$151,"not_delivered"))&gt;0,N($U27)=0),"N","Y"))))</f>
        <v>Y</v>
      </c>
      <c r="R27" s="30" t="str">
        <f aca="false">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30" t="n">
        <f aca="false">IF($A27="","",IF($G27&lt;&gt;"",$G27,IFERROR(IF(INDEX(offices!$AM$2:$AM$61,MATCH($B27,offices!$A$2:$A$61,0))="","",INDEX(offices!$AM$2:$AM$61,MATCH($B27,offices!$A$2:$A$61,0))),"")))</f>
        <v>45</v>
      </c>
      <c r="T27" s="30" t="str">
        <f aca="false">IF($A27="","",$A27&amp;"."&amp;$B27)</f>
        <v>SAMPLE-CMP-004.SAMPLE-O-006</v>
      </c>
      <c r="U27" s="30" t="n">
        <f aca="false">IF($A27="","",SUMIFS(inventory!$G$2:$G$801,inventory!$C$2:$C$801,$A27,inventory!$D$2:$D$801,$B27,inventory!$E$2:$E$801,"delivered"))</f>
        <v>45</v>
      </c>
      <c r="V27" s="37" t="n">
        <f aca="false">IF($A27="","",IFERROR(1/(1/SUMPRODUCT(MAX((inventory!$C$2:$C$801=$A27)*(inventory!$D$2:$D$801=$B27)*(inventory!$E$2:$E$801="delivered")*(inventory!$A$2:$A$801+inventory!$B$2:$B$801)))),""))</f>
        <v>46427.3493055556</v>
      </c>
      <c r="W27" s="30" t="str">
        <f aca="false">IF($A27="","",IFERROR(IF(INDEX(inventory!$J$2:$J$801,MATCH($A27&amp;"|"&amp;$B27&amp;"|delivered",inventory!$R$2:$R$801,0))="","",INDEX(inventory!$J$2:$J$801,MATCH($A27&amp;"|"&amp;$B27&amp;"|delivered",inventory!$R$2:$R$801,0))),""))</f>
        <v>courier_count</v>
      </c>
      <c r="X27" s="30" t="str">
        <f aca="false">IF($A27="","",IFERROR(IF(INDEX(photos!$H$2:$H$701,MATCH($A27&amp;"|"&amp;$B27&amp;"|placement|Y",photos!$R$2:$R$701,0))="","",INDEX(photos!$H$2:$H$701,MATCH($A27&amp;"|"&amp;$B27&amp;"|placement|Y",photos!$R$2:$R$701,0))),""))</f>
        <v>SAMPLE-CMP-004_SAMPLE-O-006_placement_2027-02-09.jpg</v>
      </c>
      <c r="Y27" s="31" t="n">
        <f aca="false">IF($A27="","",IFERROR(IF(INDEX(photos!$E$2:$E$701,MATCH($A27&amp;"|"&amp;$B27&amp;"|placement|Y",photos!$R$2:$R$701,0))="","",INDEX(photos!$E$2:$E$701,MATCH($A27&amp;"|"&amp;$B27&amp;"|placement|Y",photos!$R$2:$R$701,0))),""))</f>
        <v>46427</v>
      </c>
      <c r="Z27" s="30" t="n">
        <f aca="false">IF($A27="","",IF(COUNTIFS(counts!$C$2:$C$701,$A27,counts!$D$2:$D$701,$B27,counts!$E$2:$E$701,"placed")=0,"",SUMIFS(counts!$F$2:$F$701,counts!$C$2:$C$701,$A27,counts!$D$2:$D$701,$B27,counts!$E$2:$E$701,"placed")))</f>
        <v>45</v>
      </c>
      <c r="AA27" s="30" t="n">
        <f aca="false">IF($A27="","",IF($Y27="",0,N($Z27)))</f>
        <v>45</v>
      </c>
      <c r="AB27" s="30" t="str">
        <f aca="false">IF($A27="","",IF(OR($Y27="",$I27=""),"N",IF($Y27&lt;=WORKDAY(N($I27),1,calendar!$A$2:$A$80),"Y","N")))</f>
        <v>Y</v>
      </c>
      <c r="AC27" s="33" t="n">
        <f aca="false">IF(OR($A27="",$V27="",$Y27=""),"",ROUND(($Y27+N(IFERROR(IF(INDEX(photos!$F$2:$F$701,MATCH($A27&amp;"|"&amp;$B27&amp;"|placement|Y",photos!$R$2:$R$701,0))="","",INDEX(photos!$F$2:$F$701,MATCH($A27&amp;"|"&amp;$B27&amp;"|placement|Y",photos!$R$2:$R$701,0))),""))-$V27)*24,1))</f>
        <v>4.6</v>
      </c>
      <c r="AD27" s="30" t="n">
        <f aca="false">IF($A27="","",SUMIFS(inventory!$G$2:$G$801,inventory!$C$2:$C$801,$A27,inventory!$D$2:$D$801,$B27,inventory!$E$2:$E$801,"topped_up"))</f>
        <v>0</v>
      </c>
      <c r="AE27" s="30" t="n">
        <f aca="false">IF($A27="","",IF(COUNTIFS(counts!$C$2:$C$701,$A27,counts!$D$2:$D$701,$B27,counts!$E$2:$E$701,"remaining_day3")=0,"",SUMIFS(counts!$F$2:$F$701,counts!$C$2:$C$701,$A27,counts!$D$2:$D$701,$B27,counts!$E$2:$E$701,"remaining_day3")))</f>
        <v>21</v>
      </c>
      <c r="AF27" s="30" t="n">
        <f aca="false">IF($A27="","",IF(COUNTIFS(counts!$C$2:$C$701,$A27,counts!$D$2:$D$701,$B27,counts!$E$2:$E$701,"remaining_day5")=0,"",SUMIFS(counts!$F$2:$F$701,counts!$C$2:$C$701,$A27,counts!$D$2:$D$701,$B27,counts!$E$2:$E$701,"remaining_day5")))</f>
        <v>4</v>
      </c>
      <c r="AG27" s="30" t="n">
        <f aca="false">IF(OR($A27="",$AF27=""),"",MAX(0,$AA27+$AD27-$AF27))</f>
        <v>41</v>
      </c>
      <c r="AH27" s="30" t="str">
        <f aca="false">IF(OR($A27="",$AI27=""),"",IFERROR(IF(INDEX(photos!$H$2:$H$701,MATCH($A27&amp;"|"&amp;$B27&amp;"|later|Y|"&amp;$AI27,photos!$S$2:$S$701,0))="","",INDEX(photos!$H$2:$H$701,MATCH($A27&amp;"|"&amp;$B27&amp;"|later|Y|"&amp;$AI27,photos!$S$2:$S$701,0))),""))</f>
        <v>SAMPLE-CMP-004_SAMPLE-O-006_later_2027-02-16.jpg</v>
      </c>
      <c r="AI27" s="31" t="n">
        <f aca="false">IF($A27="","",IFERROR(1/(1/SUMPRODUCT(MAX((photos!$B$2:$B$701=$A27)*(photos!$C$2:$C$701=$B27)*(photos!$D$2:$D$701="later")*(photos!$O$2:$O$701="Y")*photos!$E$2:$E$701))),""))</f>
        <v>46434</v>
      </c>
      <c r="AJ27" s="30" t="n">
        <f aca="false">IF(OR($A27="",$AI27="",$I27=""),"",NETWORKDAYS($I27,$AI27,calendar!$A$2:$A$80))</f>
        <v>5</v>
      </c>
      <c r="AK27" s="30" t="str">
        <f aca="false">IF($A27="","",IF(AND($X27&lt;&gt;"",$AH27&lt;&gt;""),"Y","N"))</f>
        <v>Y</v>
      </c>
      <c r="AL27" s="30" t="n">
        <f aca="true">IF(OR($A27="",$I27=""),"",IF($BC27="Y",SUMIFS(survey_frozen!$C$2:$C$251,survey_frozen!$P$2:$P$251,$A27&amp;"|"&amp;$B27),IFERROR(COUNTIFS(INDIRECT("'"&amp;$A27&amp;"'!$B$2:$B$501"),$T27,INDIRECT("'"&amp;$A27&amp;"'!$A$2:$A$501"),"&gt;="&amp;$I27,INDIRECT("'"&amp;$A27&amp;"'!$A$2:$A$501"),"&lt;"&amp;($BA27+1)),0)))</f>
        <v>8</v>
      </c>
      <c r="AM27" s="30" t="n">
        <f aca="true">IF(OR($A27="",$I27=""),"",IF($BC27="Y",SUMIFS(survey_frozen!$D$2:$D$251,survey_frozen!$P$2:$P$251,$A27&amp;"|"&amp;$B27),IFERROR(COUNTIFS(INDIRECT("'"&amp;$A27&amp;"'!$B$2:$B$501"),$T27,INDIRECT("'"&amp;$A27&amp;"'!$A$2:$A$501"),"&gt;="&amp;$I27,INDIRECT("'"&amp;$A27&amp;"'!$A$2:$A$501"),"&lt;"&amp;($BA27+1),INDIRECT("'"&amp;$A27&amp;"'!$C$2:$C$501"),"Yes"),0)))</f>
        <v>6</v>
      </c>
      <c r="AN27" s="30" t="n">
        <f aca="false">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8</v>
      </c>
      <c r="AO27" s="30" t="n">
        <f aca="false">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7</v>
      </c>
      <c r="AP27" s="30" t="str">
        <f aca="true">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30" t="n">
        <f aca="true">IF(OR($A27="",$I27=""),"",IF($BC27="Y",SUMIFS(survey_frozen!$E$2:$E$251,survey_frozen!$P$2:$P$251,$A27&amp;"|"&amp;$B27),IFERROR(COUNTIFS(INDIRECT("'"&amp;$A27&amp;"'!$B$2:$B$501"),$T27,INDIRECT("'"&amp;$A27&amp;"'!$A$2:$A$501"),"&gt;="&amp;$I27,INDIRECT("'"&amp;$A27&amp;"'!$A$2:$A$501"),"&lt;"&amp;($BA27+1),INDIRECT("'"&amp;$A27&amp;"'!$F$2:$F$501"),"Didn't see it"),0)))</f>
        <v>2</v>
      </c>
      <c r="AR27" s="30" t="n">
        <f aca="true">IF(OR($A27="",$I27=""),"",IF($BC27="Y",SUMIFS(survey_frozen!$F$2:$F$251,survey_frozen!$P$2:$P$251,$A27&amp;"|"&amp;$B27),IFERROR(COUNTIFS(INDIRECT("'"&amp;$A27&amp;"'!$B$2:$B$501"),$T27,INDIRECT("'"&amp;$A27&amp;"'!$A$2:$A$501"),"&gt;="&amp;$I27,INDIRECT("'"&amp;$A27&amp;"'!$A$2:$A$501"),"&lt;"&amp;($BA27+1),INDIRECT("'"&amp;$A27&amp;"'!$F$2:$F$501"),"Not for me"),0)))</f>
        <v>0</v>
      </c>
      <c r="AS27" s="30" t="n">
        <f aca="true">IF(OR($A27="",$I27=""),"",IF($BC27="Y",SUMIFS(survey_frozen!$G$2:$G$251,survey_frozen!$P$2:$P$251,$A27&amp;"|"&amp;$B27),IFERROR(COUNTIFS(INDIRECT("'"&amp;$A27&amp;"'!$B$2:$B$501"),$T27,INDIRECT("'"&amp;$A27&amp;"'!$A$2:$A$501"),"&gt;="&amp;$I27,INDIRECT("'"&amp;$A27&amp;"'!$A$2:$A$501"),"&lt;"&amp;($BA27+1),INDIRECT("'"&amp;$A27&amp;"'!$F$2:$F$501"),"Gone by the time I looked"),0)))</f>
        <v>0</v>
      </c>
      <c r="AT27" s="30" t="n">
        <f aca="true">IF(OR($A27="",$I27=""),"",IF($BC27="Y",SUMIFS(survey_frozen!$H$2:$H$251,survey_frozen!$P$2:$P$251,$A27&amp;"|"&amp;$B27),IFERROR(COUNTIFS(INDIRECT("'"&amp;$A27&amp;"'!$B$2:$B$501"),$T27,INDIRECT("'"&amp;$A27&amp;"'!$A$2:$A$501"),"&gt;="&amp;$I27,INDIRECT("'"&amp;$A27&amp;"'!$A$2:$A$501"),"&lt;"&amp;($BA27+1),INDIRECT("'"&amp;$A27&amp;"'!$D$2:$D$501"),"&gt;=1"),0)))</f>
        <v>6</v>
      </c>
      <c r="AU27" s="30" t="n">
        <f aca="true">IF(OR($A27="",$I27=""),"",IF($BC27="Y",SUMIFS(survey_frozen!$I$2:$I$251,survey_frozen!$P$2:$P$251,$A27&amp;"|"&amp;$B27),IFERROR(SUMIFS(INDIRECT("'"&amp;$A27&amp;"'!$D$2:$D$501"),INDIRECT("'"&amp;$A27&amp;"'!$B$2:$B$501"),$T27,INDIRECT("'"&amp;$A27&amp;"'!$A$2:$A$501"),"&gt;="&amp;$I27,INDIRECT("'"&amp;$A27&amp;"'!$A$2:$A$501"),"&lt;"&amp;($BA27+1)),0)))</f>
        <v>27</v>
      </c>
      <c r="AV27" s="30" t="n">
        <f aca="true">IF(OR($A27="",$I27=""),"",IF($BC27="Y",SUMIFS(survey_frozen!$J$2:$J$251,survey_frozen!$P$2:$P$251,$A27&amp;"|"&amp;$B27),IFERROR(COUNTIFS(INDIRECT("'"&amp;$A27&amp;"'!$B$2:$B$501"),$T27,INDIRECT("'"&amp;$A27&amp;"'!$A$2:$A$501"),"&gt;="&amp;$I27,INDIRECT("'"&amp;$A27&amp;"'!$A$2:$A$501"),"&lt;"&amp;($BA27+1),INDIRECT("'"&amp;$A27&amp;"'!$E$2:$E$501"),"Yes"),0)))</f>
        <v>1</v>
      </c>
      <c r="AW27" s="30" t="n">
        <f aca="true">IF(OR($A27="",$I27=""),"",IF($BC27="Y",SUMIFS(survey_frozen!$K$2:$K$251,survey_frozen!$P$2:$P$251,$A27&amp;"|"&amp;$B27),IFERROR(COUNTIFS(INDIRECT("'"&amp;$A27&amp;"'!$B$2:$B$501"),$T27,INDIRECT("'"&amp;$A27&amp;"'!$A$2:$A$501"),"&gt;="&amp;$I27,INDIRECT("'"&amp;$A27&amp;"'!$A$2:$A$501"),"&lt;"&amp;($BA27+1),INDIRECT("'"&amp;$A27&amp;"'!$E$2:$E$501"),"Maybe"),0)))</f>
        <v>2</v>
      </c>
      <c r="AX27" s="30" t="n">
        <f aca="true">IF(OR($A27="",$I27=""),"",IF($BC27="Y",SUMIFS(survey_frozen!$L$2:$L$251,survey_frozen!$P$2:$P$251,$A27&amp;"|"&amp;$B27),IFERROR(COUNTIFS(INDIRECT("'"&amp;$A27&amp;"'!$B$2:$B$501"),$T27,INDIRECT("'"&amp;$A27&amp;"'!$A$2:$A$501"),"&gt;="&amp;$I27,INDIRECT("'"&amp;$A27&amp;"'!$A$2:$A$501"),"&lt;"&amp;($BA27+1),INDIRECT("'"&amp;$A27&amp;"'!$E$2:$E$501"),"No"),0)))</f>
        <v>3</v>
      </c>
      <c r="AY27" s="30" t="n">
        <f aca="true">IF(OR($A27="",$I27=""),"",IF($BC27="Y",SUMIFS(survey_frozen!$M$2:$M$251,survey_frozen!$P$2:$P$251,$A27&amp;"|"&amp;$B27),IFERROR(COUNTIFS(INDIRECT("'"&amp;$A27&amp;"'!$B$2:$B$501"),$T27,INDIRECT("'"&amp;$A27&amp;"'!$A$2:$A$501"),"&gt;="&amp;$I27,INDIRECT("'"&amp;$A27&amp;"'!$A$2:$A$501"),"&lt;"&amp;($BA27+1),INDIRECT("'"&amp;$A27&amp;"'!$G$2:$G$501"),"&lt;&gt;"),0)))</f>
        <v>3</v>
      </c>
      <c r="AZ27" s="30" t="str">
        <f aca="false">IF($A27="","",$A27&amp;"|"&amp;$L27)</f>
        <v>SAMPLE-CMP-004|6</v>
      </c>
      <c r="BA27" s="31" t="n">
        <f aca="false">IF($A27="","",IFERROR(IF(INDEX(drops!$R$2:$R$21,MATCH($H27,drops!$A$2:$A$21,0))="","",INDEX(drops!$R$2:$R$21,MATCH($H27,drops!$A$2:$A$21,0))),""))</f>
        <v>46434</v>
      </c>
      <c r="BB27" s="30" t="n">
        <f aca="false">IF(OR($A27="",$Q27&lt;&gt;"Y"),1000000,N($AL27))</f>
        <v>8</v>
      </c>
      <c r="BC27" s="30" t="str">
        <f aca="false">IF($A27="","",IF(COUNTIF(survey_frozen!$P$2:$P$251,$A27&amp;"|"&amp;$B27)&gt;0,"Y",""))</f>
        <v/>
      </c>
      <c r="BD27" s="30" t="str">
        <f aca="false">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ustomFormat="false" ht="15" hidden="false" customHeight="false" outlineLevel="0" collapsed="false">
      <c r="A28" s="0" t="s">
        <v>532</v>
      </c>
      <c r="B28" s="0" t="s">
        <v>692</v>
      </c>
      <c r="C28" s="11" t="n">
        <v>46393</v>
      </c>
      <c r="D28" s="10" t="s">
        <v>146</v>
      </c>
      <c r="E28" s="11" t="n">
        <v>46395</v>
      </c>
      <c r="F28" s="10" t="s">
        <v>737</v>
      </c>
      <c r="H28" s="30" t="str">
        <f aca="false">IF($A28="","",IFERROR(IF(INDEX(campaigns!$B$2:$B$51,MATCH($A28,campaigns!$A$2:$A$51,0))="","",INDEX(campaigns!$B$2:$B$51,MATCH($A28,campaigns!$A$2:$A$51,0))),""))</f>
        <v>SAMPLE-DRP-002</v>
      </c>
      <c r="I28" s="31" t="n">
        <f aca="false">IF($A28="","",IFERROR(IF(INDEX(campaigns!$BG$2:$BG$51,MATCH($A28,campaigns!$A$2:$A$51,0))="","",INDEX(campaigns!$BG$2:$BG$51,MATCH($A28,campaigns!$A$2:$A$51,0))),""))</f>
        <v>46427</v>
      </c>
      <c r="J28" s="30" t="str">
        <f aca="false">IF($A28="","",IFERROR(IF(INDEX(campaigns!$BE$2:$BE$51,MATCH($A28,campaigns!$A$2:$A$51,0))="","",INDEX(campaigns!$BE$2:$BE$51,MATCH($A28,campaigns!$A$2:$A$51,0))),""))</f>
        <v>SAMPLE Orchard Row</v>
      </c>
      <c r="K28" s="30" t="str">
        <f aca="false">IF($B28="","",IFERROR(IF(INDEX(offices!$O$2:$O$61,MATCH($B28,offices!$A$2:$A$61,0))="","",INDEX(offices!$O$2:$O$61,MATCH($B28,offices!$A$2:$A$61,0))),""))</f>
        <v>SAMPLE Brine &amp; Bell PR</v>
      </c>
      <c r="L28" s="30" t="str">
        <f aca="false">IF($A28="","",IF($Q28="N","",COUNTIFS($A$2:$A28,$A28,$Q$2:$Q28,"&lt;&gt;N")))</f>
        <v/>
      </c>
      <c r="M28" s="30" t="str">
        <f aca="false">IF(OR($A28="",$L28=""),"",IF(AND(config!$B$34="names_if_public",IFERROR(IF(INDEX(offices!$AG$2:$AG$61,MATCH($B28,offices!$A$2:$A$61,0))="","",INDEX(offices!$AG$2:$AG$61,MATCH($B28,offices!$A$2:$A$61,0))),"")="Y"),$K28,CHAR(64+$L28)))</f>
        <v/>
      </c>
      <c r="N28" s="30" t="n">
        <f aca="false">IF(OR($A28="",$I28=""),"",COUNTIFS(stops!$B$2:$B$151,$B28,stops!$P$2:$P$151,"&lt;"&amp;$I28,stops!$L$2:$L$151,"&lt;&gt;not_delivered")+1)</f>
        <v>1</v>
      </c>
      <c r="O28" s="30" t="str">
        <f aca="false">IF($A28="","",IF(N($N28)&lt;=config!$B$29,"explicit","opt-out"))</f>
        <v>explicit</v>
      </c>
      <c r="P28" s="30" t="str">
        <f aca="false">IF($A28="","",IF($O28="explicit",IF($D28="yes","Y",IF($D28="no","N","pending")),IF($D28="no","N",IF(AND($C28&lt;&gt;"",$I28&lt;&gt;"",$C28&lt;=WORKDAY(N($I28),-5,calendar!$A$2:$A$80)),"Y","pending"))))</f>
        <v>N</v>
      </c>
      <c r="Q28" s="30" t="str">
        <f aca="false">IF($A28="","",IF($P28="N","N",IF($P28&lt;&gt;"Y","pending",IF(AND((COUNTIFS(stops!$A$2:$A$151,$H28,stops!$B$2:$B$151,$B28,stops!$L$2:$L$151,"declined")+COUNTIFS(stops!$A$2:$A$151,$H28,stops!$B$2:$B$151,$B28,stops!$L$2:$L$151,"building_refused")+COUNTIFS(stops!$A$2:$A$151,$H28,stops!$B$2:$B$151,$B28,stops!$L$2:$L$151,"not_delivered"))&gt;0,N($U28)=0),"N","Y"))))</f>
        <v>N</v>
      </c>
      <c r="R28" s="30" t="str">
        <f aca="false">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info: read the vetoes against the label; </v>
      </c>
      <c r="S28" s="30" t="n">
        <f aca="false">IF($A28="","",IF($G28&lt;&gt;"",$G28,IFERROR(IF(INDEX(offices!$AM$2:$AM$61,MATCH($B28,offices!$A$2:$A$61,0))="","",INDEX(offices!$AM$2:$AM$61,MATCH($B28,offices!$A$2:$A$61,0))),"")))</f>
        <v>60</v>
      </c>
      <c r="T28" s="30" t="str">
        <f aca="false">IF($A28="","",$A28&amp;"."&amp;$B28)</f>
        <v>SAMPLE-CMP-004.SAMPLE-O-007</v>
      </c>
      <c r="U28" s="30" t="n">
        <f aca="false">IF($A28="","",SUMIFS(inventory!$G$2:$G$801,inventory!$C$2:$C$801,$A28,inventory!$D$2:$D$801,$B28,inventory!$E$2:$E$801,"delivered"))</f>
        <v>0</v>
      </c>
      <c r="V28" s="37" t="str">
        <f aca="false">IF($A28="","",IFERROR(1/(1/SUMPRODUCT(MAX((inventory!$C$2:$C$801=$A28)*(inventory!$D$2:$D$801=$B28)*(inventory!$E$2:$E$801="delivered")*(inventory!$A$2:$A$801+inventory!$B$2:$B$801)))),""))</f>
        <v/>
      </c>
      <c r="W28" s="30" t="str">
        <f aca="false">IF($A28="","",IFERROR(IF(INDEX(inventory!$J$2:$J$801,MATCH($A28&amp;"|"&amp;$B28&amp;"|delivered",inventory!$R$2:$R$801,0))="","",INDEX(inventory!$J$2:$J$801,MATCH($A28&amp;"|"&amp;$B28&amp;"|delivered",inventory!$R$2:$R$801,0))),""))</f>
        <v/>
      </c>
      <c r="X28" s="30" t="str">
        <f aca="false">IF($A28="","",IFERROR(IF(INDEX(photos!$H$2:$H$701,MATCH($A28&amp;"|"&amp;$B28&amp;"|placement|Y",photos!$R$2:$R$701,0))="","",INDEX(photos!$H$2:$H$701,MATCH($A28&amp;"|"&amp;$B28&amp;"|placement|Y",photos!$R$2:$R$701,0))),""))</f>
        <v/>
      </c>
      <c r="Y28" s="31" t="str">
        <f aca="false">IF($A28="","",IFERROR(IF(INDEX(photos!$E$2:$E$701,MATCH($A28&amp;"|"&amp;$B28&amp;"|placement|Y",photos!$R$2:$R$701,0))="","",INDEX(photos!$E$2:$E$701,MATCH($A28&amp;"|"&amp;$B28&amp;"|placement|Y",photos!$R$2:$R$701,0))),""))</f>
        <v/>
      </c>
      <c r="Z28" s="30" t="str">
        <f aca="false">IF($A28="","",IF(COUNTIFS(counts!$C$2:$C$701,$A28,counts!$D$2:$D$701,$B28,counts!$E$2:$E$701,"placed")=0,"",SUMIFS(counts!$F$2:$F$701,counts!$C$2:$C$701,$A28,counts!$D$2:$D$701,$B28,counts!$E$2:$E$701,"placed")))</f>
        <v/>
      </c>
      <c r="AA28" s="30" t="n">
        <f aca="false">IF($A28="","",IF($Y28="",0,N($Z28)))</f>
        <v>0</v>
      </c>
      <c r="AB28" s="30" t="str">
        <f aca="false">IF($A28="","",IF(OR($Y28="",$I28=""),"N",IF($Y28&lt;=WORKDAY(N($I28),1,calendar!$A$2:$A$80),"Y","N")))</f>
        <v>N</v>
      </c>
      <c r="AC28" s="33" t="str">
        <f aca="false">IF(OR($A28="",$V28="",$Y28=""),"",ROUND(($Y28+N(IFERROR(IF(INDEX(photos!$F$2:$F$701,MATCH($A28&amp;"|"&amp;$B28&amp;"|placement|Y",photos!$R$2:$R$701,0))="","",INDEX(photos!$F$2:$F$701,MATCH($A28&amp;"|"&amp;$B28&amp;"|placement|Y",photos!$R$2:$R$701,0))),""))-$V28)*24,1))</f>
        <v/>
      </c>
      <c r="AD28" s="30" t="n">
        <f aca="false">IF($A28="","",SUMIFS(inventory!$G$2:$G$801,inventory!$C$2:$C$801,$A28,inventory!$D$2:$D$801,$B28,inventory!$E$2:$E$801,"topped_up"))</f>
        <v>0</v>
      </c>
      <c r="AE28" s="30" t="str">
        <f aca="false">IF($A28="","",IF(COUNTIFS(counts!$C$2:$C$701,$A28,counts!$D$2:$D$701,$B28,counts!$E$2:$E$701,"remaining_day3")=0,"",SUMIFS(counts!$F$2:$F$701,counts!$C$2:$C$701,$A28,counts!$D$2:$D$701,$B28,counts!$E$2:$E$701,"remaining_day3")))</f>
        <v/>
      </c>
      <c r="AF28" s="30" t="str">
        <f aca="false">IF($A28="","",IF(COUNTIFS(counts!$C$2:$C$701,$A28,counts!$D$2:$D$701,$B28,counts!$E$2:$E$701,"remaining_day5")=0,"",SUMIFS(counts!$F$2:$F$701,counts!$C$2:$C$701,$A28,counts!$D$2:$D$701,$B28,counts!$E$2:$E$701,"remaining_day5")))</f>
        <v/>
      </c>
      <c r="AG28" s="30" t="str">
        <f aca="false">IF(OR($A28="",$AF28=""),"",MAX(0,$AA28+$AD28-$AF28))</f>
        <v/>
      </c>
      <c r="AH28" s="30" t="str">
        <f aca="false">IF(OR($A28="",$AI28=""),"",IFERROR(IF(INDEX(photos!$H$2:$H$701,MATCH($A28&amp;"|"&amp;$B28&amp;"|later|Y|"&amp;$AI28,photos!$S$2:$S$701,0))="","",INDEX(photos!$H$2:$H$701,MATCH($A28&amp;"|"&amp;$B28&amp;"|later|Y|"&amp;$AI28,photos!$S$2:$S$701,0))),""))</f>
        <v/>
      </c>
      <c r="AI28" s="31" t="str">
        <f aca="false">IF($A28="","",IFERROR(1/(1/SUMPRODUCT(MAX((photos!$B$2:$B$701=$A28)*(photos!$C$2:$C$701=$B28)*(photos!$D$2:$D$701="later")*(photos!$O$2:$O$701="Y")*photos!$E$2:$E$701))),""))</f>
        <v/>
      </c>
      <c r="AJ28" s="30" t="str">
        <f aca="false">IF(OR($A28="",$AI28="",$I28=""),"",NETWORKDAYS($I28,$AI28,calendar!$A$2:$A$80))</f>
        <v/>
      </c>
      <c r="AK28" s="30" t="str">
        <f aca="false">IF($A28="","",IF(AND($X28&lt;&gt;"",$AH28&lt;&gt;""),"Y","N"))</f>
        <v>N</v>
      </c>
      <c r="AL28" s="30" t="n">
        <f aca="true">IF(OR($A28="",$I28=""),"",IF($BC28="Y",SUMIFS(survey_frozen!$C$2:$C$251,survey_frozen!$P$2:$P$251,$A28&amp;"|"&amp;$B28),IFERROR(COUNTIFS(INDIRECT("'"&amp;$A28&amp;"'!$B$2:$B$501"),$T28,INDIRECT("'"&amp;$A28&amp;"'!$A$2:$A$501"),"&gt;="&amp;$I28,INDIRECT("'"&amp;$A28&amp;"'!$A$2:$A$501"),"&lt;"&amp;($BA28+1)),0)))</f>
        <v>0</v>
      </c>
      <c r="AM28" s="30" t="n">
        <f aca="true">IF(OR($A28="",$I28=""),"",IF($BC28="Y",SUMIFS(survey_frozen!$D$2:$D$251,survey_frozen!$P$2:$P$251,$A28&amp;"|"&amp;$B28),IFERROR(COUNTIFS(INDIRECT("'"&amp;$A28&amp;"'!$B$2:$B$501"),$T28,INDIRECT("'"&amp;$A28&amp;"'!$A$2:$A$501"),"&gt;="&amp;$I28,INDIRECT("'"&amp;$A28&amp;"'!$A$2:$A$501"),"&lt;"&amp;($BA28+1),INDIRECT("'"&amp;$A28&amp;"'!$C$2:$C$501"),"Yes"),0)))</f>
        <v>0</v>
      </c>
      <c r="AN28" s="30" t="str">
        <f aca="false">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30" t="str">
        <f aca="false">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30" t="str">
        <f aca="true">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info: read the vetoes against the label; info: office said no; </v>
      </c>
      <c r="AQ28" s="30" t="n">
        <f aca="true">IF(OR($A28="",$I28=""),"",IF($BC28="Y",SUMIFS(survey_frozen!$E$2:$E$251,survey_frozen!$P$2:$P$251,$A28&amp;"|"&amp;$B28),IFERROR(COUNTIFS(INDIRECT("'"&amp;$A28&amp;"'!$B$2:$B$501"),$T28,INDIRECT("'"&amp;$A28&amp;"'!$A$2:$A$501"),"&gt;="&amp;$I28,INDIRECT("'"&amp;$A28&amp;"'!$A$2:$A$501"),"&lt;"&amp;($BA28+1),INDIRECT("'"&amp;$A28&amp;"'!$F$2:$F$501"),"Didn't see it"),0)))</f>
        <v>0</v>
      </c>
      <c r="AR28" s="30" t="n">
        <f aca="true">IF(OR($A28="",$I28=""),"",IF($BC28="Y",SUMIFS(survey_frozen!$F$2:$F$251,survey_frozen!$P$2:$P$251,$A28&amp;"|"&amp;$B28),IFERROR(COUNTIFS(INDIRECT("'"&amp;$A28&amp;"'!$B$2:$B$501"),$T28,INDIRECT("'"&amp;$A28&amp;"'!$A$2:$A$501"),"&gt;="&amp;$I28,INDIRECT("'"&amp;$A28&amp;"'!$A$2:$A$501"),"&lt;"&amp;($BA28+1),INDIRECT("'"&amp;$A28&amp;"'!$F$2:$F$501"),"Not for me"),0)))</f>
        <v>0</v>
      </c>
      <c r="AS28" s="30" t="n">
        <f aca="true">IF(OR($A28="",$I28=""),"",IF($BC28="Y",SUMIFS(survey_frozen!$G$2:$G$251,survey_frozen!$P$2:$P$251,$A28&amp;"|"&amp;$B28),IFERROR(COUNTIFS(INDIRECT("'"&amp;$A28&amp;"'!$B$2:$B$501"),$T28,INDIRECT("'"&amp;$A28&amp;"'!$A$2:$A$501"),"&gt;="&amp;$I28,INDIRECT("'"&amp;$A28&amp;"'!$A$2:$A$501"),"&lt;"&amp;($BA28+1),INDIRECT("'"&amp;$A28&amp;"'!$F$2:$F$501"),"Gone by the time I looked"),0)))</f>
        <v>0</v>
      </c>
      <c r="AT28" s="30" t="n">
        <f aca="true">IF(OR($A28="",$I28=""),"",IF($BC28="Y",SUMIFS(survey_frozen!$H$2:$H$251,survey_frozen!$P$2:$P$251,$A28&amp;"|"&amp;$B28),IFERROR(COUNTIFS(INDIRECT("'"&amp;$A28&amp;"'!$B$2:$B$501"),$T28,INDIRECT("'"&amp;$A28&amp;"'!$A$2:$A$501"),"&gt;="&amp;$I28,INDIRECT("'"&amp;$A28&amp;"'!$A$2:$A$501"),"&lt;"&amp;($BA28+1),INDIRECT("'"&amp;$A28&amp;"'!$D$2:$D$501"),"&gt;=1"),0)))</f>
        <v>0</v>
      </c>
      <c r="AU28" s="30" t="n">
        <f aca="true">IF(OR($A28="",$I28=""),"",IF($BC28="Y",SUMIFS(survey_frozen!$I$2:$I$251,survey_frozen!$P$2:$P$251,$A28&amp;"|"&amp;$B28),IFERROR(SUMIFS(INDIRECT("'"&amp;$A28&amp;"'!$D$2:$D$501"),INDIRECT("'"&amp;$A28&amp;"'!$B$2:$B$501"),$T28,INDIRECT("'"&amp;$A28&amp;"'!$A$2:$A$501"),"&gt;="&amp;$I28,INDIRECT("'"&amp;$A28&amp;"'!$A$2:$A$501"),"&lt;"&amp;($BA28+1)),0)))</f>
        <v>0</v>
      </c>
      <c r="AV28" s="30" t="n">
        <f aca="true">IF(OR($A28="",$I28=""),"",IF($BC28="Y",SUMIFS(survey_frozen!$J$2:$J$251,survey_frozen!$P$2:$P$251,$A28&amp;"|"&amp;$B28),IFERROR(COUNTIFS(INDIRECT("'"&amp;$A28&amp;"'!$B$2:$B$501"),$T28,INDIRECT("'"&amp;$A28&amp;"'!$A$2:$A$501"),"&gt;="&amp;$I28,INDIRECT("'"&amp;$A28&amp;"'!$A$2:$A$501"),"&lt;"&amp;($BA28+1),INDIRECT("'"&amp;$A28&amp;"'!$E$2:$E$501"),"Yes"),0)))</f>
        <v>0</v>
      </c>
      <c r="AW28" s="30" t="n">
        <f aca="true">IF(OR($A28="",$I28=""),"",IF($BC28="Y",SUMIFS(survey_frozen!$K$2:$K$251,survey_frozen!$P$2:$P$251,$A28&amp;"|"&amp;$B28),IFERROR(COUNTIFS(INDIRECT("'"&amp;$A28&amp;"'!$B$2:$B$501"),$T28,INDIRECT("'"&amp;$A28&amp;"'!$A$2:$A$501"),"&gt;="&amp;$I28,INDIRECT("'"&amp;$A28&amp;"'!$A$2:$A$501"),"&lt;"&amp;($BA28+1),INDIRECT("'"&amp;$A28&amp;"'!$E$2:$E$501"),"Maybe"),0)))</f>
        <v>0</v>
      </c>
      <c r="AX28" s="30" t="n">
        <f aca="true">IF(OR($A28="",$I28=""),"",IF($BC28="Y",SUMIFS(survey_frozen!$L$2:$L$251,survey_frozen!$P$2:$P$251,$A28&amp;"|"&amp;$B28),IFERROR(COUNTIFS(INDIRECT("'"&amp;$A28&amp;"'!$B$2:$B$501"),$T28,INDIRECT("'"&amp;$A28&amp;"'!$A$2:$A$501"),"&gt;="&amp;$I28,INDIRECT("'"&amp;$A28&amp;"'!$A$2:$A$501"),"&lt;"&amp;($BA28+1),INDIRECT("'"&amp;$A28&amp;"'!$E$2:$E$501"),"No"),0)))</f>
        <v>0</v>
      </c>
      <c r="AY28" s="30" t="n">
        <f aca="true">IF(OR($A28="",$I28=""),"",IF($BC28="Y",SUMIFS(survey_frozen!$M$2:$M$251,survey_frozen!$P$2:$P$251,$A28&amp;"|"&amp;$B28),IFERROR(COUNTIFS(INDIRECT("'"&amp;$A28&amp;"'!$B$2:$B$501"),$T28,INDIRECT("'"&amp;$A28&amp;"'!$A$2:$A$501"),"&gt;="&amp;$I28,INDIRECT("'"&amp;$A28&amp;"'!$A$2:$A$501"),"&lt;"&amp;($BA28+1),INDIRECT("'"&amp;$A28&amp;"'!$G$2:$G$501"),"&lt;&gt;"),0)))</f>
        <v>0</v>
      </c>
      <c r="AZ28" s="30" t="str">
        <f aca="false">IF($A28="","",$A28&amp;"|"&amp;$L28)</f>
        <v>SAMPLE-CMP-004|</v>
      </c>
      <c r="BA28" s="31" t="n">
        <f aca="false">IF($A28="","",IFERROR(IF(INDEX(drops!$R$2:$R$21,MATCH($H28,drops!$A$2:$A$21,0))="","",INDEX(drops!$R$2:$R$21,MATCH($H28,drops!$A$2:$A$21,0))),""))</f>
        <v>46434</v>
      </c>
      <c r="BB28" s="30" t="n">
        <f aca="false">IF(OR($A28="",$Q28&lt;&gt;"Y"),1000000,N($AL28))</f>
        <v>1000000</v>
      </c>
      <c r="BC28" s="30" t="str">
        <f aca="false">IF($A28="","",IF(COUNTIF(survey_frozen!$P$2:$P$251,$A28&amp;"|"&amp;$B28)&gt;0,"Y",""))</f>
        <v/>
      </c>
      <c r="BD28" s="30" t="str">
        <f aca="false">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ustomFormat="false" ht="15" hidden="false" customHeight="false" outlineLevel="0" collapsed="false">
      <c r="A29" s="0" t="s">
        <v>532</v>
      </c>
      <c r="B29" s="0" t="s">
        <v>694</v>
      </c>
      <c r="C29" s="11" t="n">
        <v>46394</v>
      </c>
      <c r="D29" s="10" t="s">
        <v>496</v>
      </c>
      <c r="E29" s="11" t="n">
        <v>46396</v>
      </c>
      <c r="F29" s="10" t="s">
        <v>737</v>
      </c>
      <c r="H29" s="30" t="str">
        <f aca="false">IF($A29="","",IFERROR(IF(INDEX(campaigns!$B$2:$B$51,MATCH($A29,campaigns!$A$2:$A$51,0))="","",INDEX(campaigns!$B$2:$B$51,MATCH($A29,campaigns!$A$2:$A$51,0))),""))</f>
        <v>SAMPLE-DRP-002</v>
      </c>
      <c r="I29" s="31" t="n">
        <f aca="false">IF($A29="","",IFERROR(IF(INDEX(campaigns!$BG$2:$BG$51,MATCH($A29,campaigns!$A$2:$A$51,0))="","",INDEX(campaigns!$BG$2:$BG$51,MATCH($A29,campaigns!$A$2:$A$51,0))),""))</f>
        <v>46427</v>
      </c>
      <c r="J29" s="30" t="str">
        <f aca="false">IF($A29="","",IFERROR(IF(INDEX(campaigns!$BE$2:$BE$51,MATCH($A29,campaigns!$A$2:$A$51,0))="","",INDEX(campaigns!$BE$2:$BE$51,MATCH($A29,campaigns!$A$2:$A$51,0))),""))</f>
        <v>SAMPLE Orchard Row</v>
      </c>
      <c r="K29" s="30" t="str">
        <f aca="false">IF($B29="","",IFERROR(IF(INDEX(offices!$O$2:$O$61,MATCH($B29,offices!$A$2:$A$61,0))="","",INDEX(offices!$O$2:$O$61,MATCH($B29,offices!$A$2:$A$61,0))),""))</f>
        <v>SAMPLE Larch Legal</v>
      </c>
      <c r="L29" s="30" t="n">
        <f aca="false">IF($A29="","",IF($Q29="N","",COUNTIFS($A$2:$A29,$A29,$Q$2:$Q29,"&lt;&gt;N")))</f>
        <v>7</v>
      </c>
      <c r="M29" s="30" t="str">
        <f aca="false">IF(OR($A29="",$L29=""),"",IF(AND(config!$B$34="names_if_public",IFERROR(IF(INDEX(offices!$AG$2:$AG$61,MATCH($B29,offices!$A$2:$A$61,0))="","",INDEX(offices!$AG$2:$AG$61,MATCH($B29,offices!$A$2:$A$61,0))),"")="Y"),$K29,CHAR(64+$L29)))</f>
        <v>G</v>
      </c>
      <c r="N29" s="30" t="n">
        <f aca="false">IF(OR($A29="",$I29=""),"",COUNTIFS(stops!$B$2:$B$151,$B29,stops!$P$2:$P$151,"&lt;"&amp;$I29,stops!$L$2:$L$151,"&lt;&gt;not_delivered")+1)</f>
        <v>1</v>
      </c>
      <c r="O29" s="30" t="str">
        <f aca="false">IF($A29="","",IF(N($N29)&lt;=config!$B$29,"explicit","opt-out"))</f>
        <v>explicit</v>
      </c>
      <c r="P29" s="30" t="str">
        <f aca="false">IF($A29="","",IF($O29="explicit",IF($D29="yes","Y",IF($D29="no","N","pending")),IF($D29="no","N",IF(AND($C29&lt;&gt;"",$I29&lt;&gt;"",$C29&lt;=WORKDAY(N($I29),-5,calendar!$A$2:$A$80)),"Y","pending"))))</f>
        <v>Y</v>
      </c>
      <c r="Q29" s="30" t="str">
        <f aca="false">IF($A29="","",IF($P29="N","N",IF($P29&lt;&gt;"Y","pending",IF(AND((COUNTIFS(stops!$A$2:$A$151,$H29,stops!$B$2:$B$151,$B29,stops!$L$2:$L$151,"declined")+COUNTIFS(stops!$A$2:$A$151,$H29,stops!$B$2:$B$151,$B29,stops!$L$2:$L$151,"building_refused")+COUNTIFS(stops!$A$2:$A$151,$H29,stops!$B$2:$B$151,$B29,stops!$L$2:$L$151,"not_delivered"))&gt;0,N($U29)=0),"N","Y"))))</f>
        <v>Y</v>
      </c>
      <c r="R29" s="30" t="str">
        <f aca="false">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30" t="n">
        <f aca="false">IF($A29="","",IF($G29&lt;&gt;"",$G29,IFERROR(IF(INDEX(offices!$AM$2:$AM$61,MATCH($B29,offices!$A$2:$A$61,0))="","",INDEX(offices!$AM$2:$AM$61,MATCH($B29,offices!$A$2:$A$61,0))),"")))</f>
        <v>45</v>
      </c>
      <c r="T29" s="30" t="str">
        <f aca="false">IF($A29="","",$A29&amp;"."&amp;$B29)</f>
        <v>SAMPLE-CMP-004.SAMPLE-O-008</v>
      </c>
      <c r="U29" s="30" t="n">
        <f aca="false">IF($A29="","",SUMIFS(inventory!$G$2:$G$801,inventory!$C$2:$C$801,$A29,inventory!$D$2:$D$801,$B29,inventory!$E$2:$E$801,"delivered"))</f>
        <v>45</v>
      </c>
      <c r="V29" s="37" t="n">
        <f aca="false">IF($A29="","",IFERROR(1/(1/SUMPRODUCT(MAX((inventory!$C$2:$C$801=$A29)*(inventory!$D$2:$D$801=$B29)*(inventory!$E$2:$E$801="delivered")*(inventory!$A$2:$A$801+inventory!$B$2:$B$801)))),""))</f>
        <v>46427.4159722222</v>
      </c>
      <c r="W29" s="30" t="str">
        <f aca="false">IF($A29="","",IFERROR(IF(INDEX(inventory!$J$2:$J$801,MATCH($A29&amp;"|"&amp;$B29&amp;"|delivered",inventory!$R$2:$R$801,0))="","",INDEX(inventory!$J$2:$J$801,MATCH($A29&amp;"|"&amp;$B29&amp;"|delivered",inventory!$R$2:$R$801,0))),""))</f>
        <v>courier_count</v>
      </c>
      <c r="X29" s="30" t="str">
        <f aca="false">IF($A29="","",IFERROR(IF(INDEX(photos!$H$2:$H$701,MATCH($A29&amp;"|"&amp;$B29&amp;"|placement|Y",photos!$R$2:$R$701,0))="","",INDEX(photos!$H$2:$H$701,MATCH($A29&amp;"|"&amp;$B29&amp;"|placement|Y",photos!$R$2:$R$701,0))),""))</f>
        <v>SAMPLE-CMP-004_SAMPLE-O-008_placement_2027-02-09.jpg</v>
      </c>
      <c r="Y29" s="31" t="n">
        <f aca="false">IF($A29="","",IFERROR(IF(INDEX(photos!$E$2:$E$701,MATCH($A29&amp;"|"&amp;$B29&amp;"|placement|Y",photos!$R$2:$R$701,0))="","",INDEX(photos!$E$2:$E$701,MATCH($A29&amp;"|"&amp;$B29&amp;"|placement|Y",photos!$R$2:$R$701,0))),""))</f>
        <v>46427</v>
      </c>
      <c r="Z29" s="30" t="n">
        <f aca="false">IF($A29="","",IF(COUNTIFS(counts!$C$2:$C$701,$A29,counts!$D$2:$D$701,$B29,counts!$E$2:$E$701,"placed")=0,"",SUMIFS(counts!$F$2:$F$701,counts!$C$2:$C$701,$A29,counts!$D$2:$D$701,$B29,counts!$E$2:$E$701,"placed")))</f>
        <v>45</v>
      </c>
      <c r="AA29" s="30" t="n">
        <f aca="false">IF($A29="","",IF($Y29="",0,N($Z29)))</f>
        <v>45</v>
      </c>
      <c r="AB29" s="30" t="str">
        <f aca="false">IF($A29="","",IF(OR($Y29="",$I29=""),"N",IF($Y29&lt;=WORKDAY(N($I29),1,calendar!$A$2:$A$80),"Y","N")))</f>
        <v>Y</v>
      </c>
      <c r="AC29" s="33" t="n">
        <f aca="false">IF(OR($A29="",$V29="",$Y29=""),"",ROUND(($Y29+N(IFERROR(IF(INDEX(photos!$F$2:$F$701,MATCH($A29&amp;"|"&amp;$B29&amp;"|placement|Y",photos!$R$2:$R$701,0))="","",INDEX(photos!$F$2:$F$701,MATCH($A29&amp;"|"&amp;$B29&amp;"|placement|Y",photos!$R$2:$R$701,0))),""))-$V29)*24,1))</f>
        <v>3</v>
      </c>
      <c r="AD29" s="30" t="n">
        <f aca="false">IF($A29="","",SUMIFS(inventory!$G$2:$G$801,inventory!$C$2:$C$801,$A29,inventory!$D$2:$D$801,$B29,inventory!$E$2:$E$801,"topped_up"))</f>
        <v>0</v>
      </c>
      <c r="AE29" s="30" t="n">
        <f aca="false">IF($A29="","",IF(COUNTIFS(counts!$C$2:$C$701,$A29,counts!$D$2:$D$701,$B29,counts!$E$2:$E$701,"remaining_day3")=0,"",SUMIFS(counts!$F$2:$F$701,counts!$C$2:$C$701,$A29,counts!$D$2:$D$701,$B29,counts!$E$2:$E$701,"remaining_day3")))</f>
        <v>19</v>
      </c>
      <c r="AF29" s="30" t="n">
        <f aca="false">IF($A29="","",IF(COUNTIFS(counts!$C$2:$C$701,$A29,counts!$D$2:$D$701,$B29,counts!$E$2:$E$701,"remaining_day5")=0,"",SUMIFS(counts!$F$2:$F$701,counts!$C$2:$C$701,$A29,counts!$D$2:$D$701,$B29,counts!$E$2:$E$701,"remaining_day5")))</f>
        <v>2</v>
      </c>
      <c r="AG29" s="30" t="n">
        <f aca="false">IF(OR($A29="",$AF29=""),"",MAX(0,$AA29+$AD29-$AF29))</f>
        <v>43</v>
      </c>
      <c r="AH29" s="30" t="str">
        <f aca="false">IF(OR($A29="",$AI29=""),"",IFERROR(IF(INDEX(photos!$H$2:$H$701,MATCH($A29&amp;"|"&amp;$B29&amp;"|later|Y|"&amp;$AI29,photos!$S$2:$S$701,0))="","",INDEX(photos!$H$2:$H$701,MATCH($A29&amp;"|"&amp;$B29&amp;"|later|Y|"&amp;$AI29,photos!$S$2:$S$701,0))),""))</f>
        <v>SAMPLE-CMP-004_SAMPLE-O-008_later_2027-02-16.jpg</v>
      </c>
      <c r="AI29" s="31" t="n">
        <f aca="false">IF($A29="","",IFERROR(1/(1/SUMPRODUCT(MAX((photos!$B$2:$B$701=$A29)*(photos!$C$2:$C$701=$B29)*(photos!$D$2:$D$701="later")*(photos!$O$2:$O$701="Y")*photos!$E$2:$E$701))),""))</f>
        <v>46434</v>
      </c>
      <c r="AJ29" s="30" t="n">
        <f aca="false">IF(OR($A29="",$AI29="",$I29=""),"",NETWORKDAYS($I29,$AI29,calendar!$A$2:$A$80))</f>
        <v>5</v>
      </c>
      <c r="AK29" s="30" t="str">
        <f aca="false">IF($A29="","",IF(AND($X29&lt;&gt;"",$AH29&lt;&gt;""),"Y","N"))</f>
        <v>Y</v>
      </c>
      <c r="AL29" s="30" t="n">
        <f aca="true">IF(OR($A29="",$I29=""),"",IF($BC29="Y",SUMIFS(survey_frozen!$C$2:$C$251,survey_frozen!$P$2:$P$251,$A29&amp;"|"&amp;$B29),IFERROR(COUNTIFS(INDIRECT("'"&amp;$A29&amp;"'!$B$2:$B$501"),$T29,INDIRECT("'"&amp;$A29&amp;"'!$A$2:$A$501"),"&gt;="&amp;$I29,INDIRECT("'"&amp;$A29&amp;"'!$A$2:$A$501"),"&lt;"&amp;($BA29+1)),0)))</f>
        <v>7</v>
      </c>
      <c r="AM29" s="30" t="n">
        <f aca="true">IF(OR($A29="",$I29=""),"",IF($BC29="Y",SUMIFS(survey_frozen!$D$2:$D$251,survey_frozen!$P$2:$P$251,$A29&amp;"|"&amp;$B29),IFERROR(COUNTIFS(INDIRECT("'"&amp;$A29&amp;"'!$B$2:$B$501"),$T29,INDIRECT("'"&amp;$A29&amp;"'!$A$2:$A$501"),"&gt;="&amp;$I29,INDIRECT("'"&amp;$A29&amp;"'!$A$2:$A$501"),"&lt;"&amp;($BA29+1),INDIRECT("'"&amp;$A29&amp;"'!$C$2:$C$501"),"Yes"),0)))</f>
        <v>4</v>
      </c>
      <c r="AN29" s="30" t="n">
        <f aca="false">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12</v>
      </c>
      <c r="AO29" s="30" t="n">
        <f aca="false">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11</v>
      </c>
      <c r="AP29" s="30" t="str">
        <f aca="true">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30" t="n">
        <f aca="true">IF(OR($A29="",$I29=""),"",IF($BC29="Y",SUMIFS(survey_frozen!$E$2:$E$251,survey_frozen!$P$2:$P$251,$A29&amp;"|"&amp;$B29),IFERROR(COUNTIFS(INDIRECT("'"&amp;$A29&amp;"'!$B$2:$B$501"),$T29,INDIRECT("'"&amp;$A29&amp;"'!$A$2:$A$501"),"&gt;="&amp;$I29,INDIRECT("'"&amp;$A29&amp;"'!$A$2:$A$501"),"&lt;"&amp;($BA29+1),INDIRECT("'"&amp;$A29&amp;"'!$F$2:$F$501"),"Didn't see it"),0)))</f>
        <v>2</v>
      </c>
      <c r="AR29" s="30" t="n">
        <f aca="true">IF(OR($A29="",$I29=""),"",IF($BC29="Y",SUMIFS(survey_frozen!$F$2:$F$251,survey_frozen!$P$2:$P$251,$A29&amp;"|"&amp;$B29),IFERROR(COUNTIFS(INDIRECT("'"&amp;$A29&amp;"'!$B$2:$B$501"),$T29,INDIRECT("'"&amp;$A29&amp;"'!$A$2:$A$501"),"&gt;="&amp;$I29,INDIRECT("'"&amp;$A29&amp;"'!$A$2:$A$501"),"&lt;"&amp;($BA29+1),INDIRECT("'"&amp;$A29&amp;"'!$F$2:$F$501"),"Not for me"),0)))</f>
        <v>1</v>
      </c>
      <c r="AS29" s="30" t="n">
        <f aca="true">IF(OR($A29="",$I29=""),"",IF($BC29="Y",SUMIFS(survey_frozen!$G$2:$G$251,survey_frozen!$P$2:$P$251,$A29&amp;"|"&amp;$B29),IFERROR(COUNTIFS(INDIRECT("'"&amp;$A29&amp;"'!$B$2:$B$501"),$T29,INDIRECT("'"&amp;$A29&amp;"'!$A$2:$A$501"),"&gt;="&amp;$I29,INDIRECT("'"&amp;$A29&amp;"'!$A$2:$A$501"),"&lt;"&amp;($BA29+1),INDIRECT("'"&amp;$A29&amp;"'!$F$2:$F$501"),"Gone by the time I looked"),0)))</f>
        <v>0</v>
      </c>
      <c r="AT29" s="30" t="n">
        <f aca="true">IF(OR($A29="",$I29=""),"",IF($BC29="Y",SUMIFS(survey_frozen!$H$2:$H$251,survey_frozen!$P$2:$P$251,$A29&amp;"|"&amp;$B29),IFERROR(COUNTIFS(INDIRECT("'"&amp;$A29&amp;"'!$B$2:$B$501"),$T29,INDIRECT("'"&amp;$A29&amp;"'!$A$2:$A$501"),"&gt;="&amp;$I29,INDIRECT("'"&amp;$A29&amp;"'!$A$2:$A$501"),"&lt;"&amp;($BA29+1),INDIRECT("'"&amp;$A29&amp;"'!$D$2:$D$501"),"&gt;=1"),0)))</f>
        <v>4</v>
      </c>
      <c r="AU29" s="30" t="n">
        <f aca="true">IF(OR($A29="",$I29=""),"",IF($BC29="Y",SUMIFS(survey_frozen!$I$2:$I$251,survey_frozen!$P$2:$P$251,$A29&amp;"|"&amp;$B29),IFERROR(SUMIFS(INDIRECT("'"&amp;$A29&amp;"'!$D$2:$D$501"),INDIRECT("'"&amp;$A29&amp;"'!$B$2:$B$501"),$T29,INDIRECT("'"&amp;$A29&amp;"'!$A$2:$A$501"),"&gt;="&amp;$I29,INDIRECT("'"&amp;$A29&amp;"'!$A$2:$A$501"),"&lt;"&amp;($BA29+1)),0)))</f>
        <v>18</v>
      </c>
      <c r="AV29" s="30" t="n">
        <f aca="true">IF(OR($A29="",$I29=""),"",IF($BC29="Y",SUMIFS(survey_frozen!$J$2:$J$251,survey_frozen!$P$2:$P$251,$A29&amp;"|"&amp;$B29),IFERROR(COUNTIFS(INDIRECT("'"&amp;$A29&amp;"'!$B$2:$B$501"),$T29,INDIRECT("'"&amp;$A29&amp;"'!$A$2:$A$501"),"&gt;="&amp;$I29,INDIRECT("'"&amp;$A29&amp;"'!$A$2:$A$501"),"&lt;"&amp;($BA29+1),INDIRECT("'"&amp;$A29&amp;"'!$E$2:$E$501"),"Yes"),0)))</f>
        <v>4</v>
      </c>
      <c r="AW29" s="30" t="n">
        <f aca="true">IF(OR($A29="",$I29=""),"",IF($BC29="Y",SUMIFS(survey_frozen!$K$2:$K$251,survey_frozen!$P$2:$P$251,$A29&amp;"|"&amp;$B29),IFERROR(COUNTIFS(INDIRECT("'"&amp;$A29&amp;"'!$B$2:$B$501"),$T29,INDIRECT("'"&amp;$A29&amp;"'!$A$2:$A$501"),"&gt;="&amp;$I29,INDIRECT("'"&amp;$A29&amp;"'!$A$2:$A$501"),"&lt;"&amp;($BA29+1),INDIRECT("'"&amp;$A29&amp;"'!$E$2:$E$501"),"Maybe"),0)))</f>
        <v>0</v>
      </c>
      <c r="AX29" s="30" t="n">
        <f aca="true">IF(OR($A29="",$I29=""),"",IF($BC29="Y",SUMIFS(survey_frozen!$L$2:$L$251,survey_frozen!$P$2:$P$251,$A29&amp;"|"&amp;$B29),IFERROR(COUNTIFS(INDIRECT("'"&amp;$A29&amp;"'!$B$2:$B$501"),$T29,INDIRECT("'"&amp;$A29&amp;"'!$A$2:$A$501"),"&gt;="&amp;$I29,INDIRECT("'"&amp;$A29&amp;"'!$A$2:$A$501"),"&lt;"&amp;($BA29+1),INDIRECT("'"&amp;$A29&amp;"'!$E$2:$E$501"),"No"),0)))</f>
        <v>0</v>
      </c>
      <c r="AY29" s="30" t="n">
        <f aca="true">IF(OR($A29="",$I29=""),"",IF($BC29="Y",SUMIFS(survey_frozen!$M$2:$M$251,survey_frozen!$P$2:$P$251,$A29&amp;"|"&amp;$B29),IFERROR(COUNTIFS(INDIRECT("'"&amp;$A29&amp;"'!$B$2:$B$501"),$T29,INDIRECT("'"&amp;$A29&amp;"'!$A$2:$A$501"),"&gt;="&amp;$I29,INDIRECT("'"&amp;$A29&amp;"'!$A$2:$A$501"),"&lt;"&amp;($BA29+1),INDIRECT("'"&amp;$A29&amp;"'!$G$2:$G$501"),"&lt;&gt;"),0)))</f>
        <v>2</v>
      </c>
      <c r="AZ29" s="30" t="str">
        <f aca="false">IF($A29="","",$A29&amp;"|"&amp;$L29)</f>
        <v>SAMPLE-CMP-004|7</v>
      </c>
      <c r="BA29" s="31" t="n">
        <f aca="false">IF($A29="","",IFERROR(IF(INDEX(drops!$R$2:$R$21,MATCH($H29,drops!$A$2:$A$21,0))="","",INDEX(drops!$R$2:$R$21,MATCH($H29,drops!$A$2:$A$21,0))),""))</f>
        <v>46434</v>
      </c>
      <c r="BB29" s="30" t="n">
        <f aca="false">IF(OR($A29="",$Q29&lt;&gt;"Y"),1000000,N($AL29))</f>
        <v>7</v>
      </c>
      <c r="BC29" s="30" t="str">
        <f aca="false">IF($A29="","",IF(COUNTIF(survey_frozen!$P$2:$P$251,$A29&amp;"|"&amp;$B29)&gt;0,"Y",""))</f>
        <v/>
      </c>
      <c r="BD29" s="30" t="str">
        <f aca="false">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ustomFormat="false" ht="15" hidden="false" customHeight="false" outlineLevel="0" collapsed="false">
      <c r="A30" s="0" t="s">
        <v>532</v>
      </c>
      <c r="B30" s="0" t="s">
        <v>696</v>
      </c>
      <c r="C30" s="11" t="n">
        <v>46395</v>
      </c>
      <c r="D30" s="10" t="s">
        <v>496</v>
      </c>
      <c r="E30" s="11" t="n">
        <v>46398</v>
      </c>
      <c r="F30" s="10" t="s">
        <v>737</v>
      </c>
      <c r="H30" s="30" t="str">
        <f aca="false">IF($A30="","",IFERROR(IF(INDEX(campaigns!$B$2:$B$51,MATCH($A30,campaigns!$A$2:$A$51,0))="","",INDEX(campaigns!$B$2:$B$51,MATCH($A30,campaigns!$A$2:$A$51,0))),""))</f>
        <v>SAMPLE-DRP-002</v>
      </c>
      <c r="I30" s="31" t="n">
        <f aca="false">IF($A30="","",IFERROR(IF(INDEX(campaigns!$BG$2:$BG$51,MATCH($A30,campaigns!$A$2:$A$51,0))="","",INDEX(campaigns!$BG$2:$BG$51,MATCH($A30,campaigns!$A$2:$A$51,0))),""))</f>
        <v>46427</v>
      </c>
      <c r="J30" s="30" t="str">
        <f aca="false">IF($A30="","",IFERROR(IF(INDEX(campaigns!$BE$2:$BE$51,MATCH($A30,campaigns!$A$2:$A$51,0))="","",INDEX(campaigns!$BE$2:$BE$51,MATCH($A30,campaigns!$A$2:$A$51,0))),""))</f>
        <v>SAMPLE Orchard Row</v>
      </c>
      <c r="K30" s="30" t="str">
        <f aca="false">IF($B30="","",IFERROR(IF(INDEX(offices!$O$2:$O$61,MATCH($B30,offices!$A$2:$A$61,0))="","",INDEX(offices!$O$2:$O$61,MATCH($B30,offices!$A$2:$A$61,0))),""))</f>
        <v>SAMPLE Overlook Games</v>
      </c>
      <c r="L30" s="30" t="n">
        <f aca="false">IF($A30="","",IF($Q30="N","",COUNTIFS($A$2:$A30,$A30,$Q$2:$Q30,"&lt;&gt;N")))</f>
        <v>8</v>
      </c>
      <c r="M30" s="30" t="str">
        <f aca="false">IF(OR($A30="",$L30=""),"",IF(AND(config!$B$34="names_if_public",IFERROR(IF(INDEX(offices!$AG$2:$AG$61,MATCH($B30,offices!$A$2:$A$61,0))="","",INDEX(offices!$AG$2:$AG$61,MATCH($B30,offices!$A$2:$A$61,0))),"")="Y"),$K30,CHAR(64+$L30)))</f>
        <v>H</v>
      </c>
      <c r="N30" s="30" t="n">
        <f aca="false">IF(OR($A30="",$I30=""),"",COUNTIFS(stops!$B$2:$B$151,$B30,stops!$P$2:$P$151,"&lt;"&amp;$I30,stops!$L$2:$L$151,"&lt;&gt;not_delivered")+1)</f>
        <v>1</v>
      </c>
      <c r="O30" s="30" t="str">
        <f aca="false">IF($A30="","",IF(N($N30)&lt;=config!$B$29,"explicit","opt-out"))</f>
        <v>explicit</v>
      </c>
      <c r="P30" s="30" t="str">
        <f aca="false">IF($A30="","",IF($O30="explicit",IF($D30="yes","Y",IF($D30="no","N","pending")),IF($D30="no","N",IF(AND($C30&lt;&gt;"",$I30&lt;&gt;"",$C30&lt;=WORKDAY(N($I30),-5,calendar!$A$2:$A$80)),"Y","pending"))))</f>
        <v>Y</v>
      </c>
      <c r="Q30" s="30" t="str">
        <f aca="false">IF($A30="","",IF($P30="N","N",IF($P30&lt;&gt;"Y","pending",IF(AND((COUNTIFS(stops!$A$2:$A$151,$H30,stops!$B$2:$B$151,$B30,stops!$L$2:$L$151,"declined")+COUNTIFS(stops!$A$2:$A$151,$H30,stops!$B$2:$B$151,$B30,stops!$L$2:$L$151,"building_refused")+COUNTIFS(stops!$A$2:$A$151,$H30,stops!$B$2:$B$151,$B30,stops!$L$2:$L$151,"not_delivered"))&gt;0,N($U30)=0),"N","Y"))))</f>
        <v>Y</v>
      </c>
      <c r="R30" s="30" t="str">
        <f aca="false">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30" t="n">
        <f aca="false">IF($A30="","",IF($G30&lt;&gt;"",$G30,IFERROR(IF(INDEX(offices!$AM$2:$AM$61,MATCH($B30,offices!$A$2:$A$61,0))="","",INDEX(offices!$AM$2:$AM$61,MATCH($B30,offices!$A$2:$A$61,0))),"")))</f>
        <v>75</v>
      </c>
      <c r="T30" s="30" t="str">
        <f aca="false">IF($A30="","",$A30&amp;"."&amp;$B30)</f>
        <v>SAMPLE-CMP-004.SAMPLE-O-009</v>
      </c>
      <c r="U30" s="30" t="n">
        <f aca="false">IF($A30="","",SUMIFS(inventory!$G$2:$G$801,inventory!$C$2:$C$801,$A30,inventory!$D$2:$D$801,$B30,inventory!$E$2:$E$801,"delivered"))</f>
        <v>75</v>
      </c>
      <c r="V30" s="37" t="n">
        <f aca="false">IF($A30="","",IFERROR(1/(1/SUMPRODUCT(MAX((inventory!$C$2:$C$801=$A30)*(inventory!$D$2:$D$801=$B30)*(inventory!$E$2:$E$801="delivered")*(inventory!$A$2:$A$801+inventory!$B$2:$B$801)))),""))</f>
        <v>46428.3611111111</v>
      </c>
      <c r="W30" s="30" t="str">
        <f aca="false">IF($A30="","",IFERROR(IF(INDEX(inventory!$J$2:$J$801,MATCH($A30&amp;"|"&amp;$B30&amp;"|delivered",inventory!$R$2:$R$801,0))="","",INDEX(inventory!$J$2:$J$801,MATCH($A30&amp;"|"&amp;$B30&amp;"|delivered",inventory!$R$2:$R$801,0))),""))</f>
        <v>founder_count</v>
      </c>
      <c r="X30" s="30" t="str">
        <f aca="false">IF($A30="","",IFERROR(IF(INDEX(photos!$H$2:$H$701,MATCH($A30&amp;"|"&amp;$B30&amp;"|placement|Y",photos!$R$2:$R$701,0))="","",INDEX(photos!$H$2:$H$701,MATCH($A30&amp;"|"&amp;$B30&amp;"|placement|Y",photos!$R$2:$R$701,0))),""))</f>
        <v>SAMPLE-CMP-004_SAMPLE-O-009_placement_2027-02-10.jpg</v>
      </c>
      <c r="Y30" s="31" t="n">
        <f aca="false">IF($A30="","",IFERROR(IF(INDEX(photos!$E$2:$E$701,MATCH($A30&amp;"|"&amp;$B30&amp;"|placement|Y",photos!$R$2:$R$701,0))="","",INDEX(photos!$E$2:$E$701,MATCH($A30&amp;"|"&amp;$B30&amp;"|placement|Y",photos!$R$2:$R$701,0))),""))</f>
        <v>46428</v>
      </c>
      <c r="Z30" s="30" t="n">
        <f aca="false">IF($A30="","",IF(COUNTIFS(counts!$C$2:$C$701,$A30,counts!$D$2:$D$701,$B30,counts!$E$2:$E$701,"placed")=0,"",SUMIFS(counts!$F$2:$F$701,counts!$C$2:$C$701,$A30,counts!$D$2:$D$701,$B30,counts!$E$2:$E$701,"placed")))</f>
        <v>75</v>
      </c>
      <c r="AA30" s="30" t="n">
        <f aca="false">IF($A30="","",IF($Y30="",0,N($Z30)))</f>
        <v>75</v>
      </c>
      <c r="AB30" s="30" t="str">
        <f aca="false">IF($A30="","",IF(OR($Y30="",$I30=""),"N",IF($Y30&lt;=WORKDAY(N($I30),1,calendar!$A$2:$A$80),"Y","N")))</f>
        <v>Y</v>
      </c>
      <c r="AC30" s="33" t="n">
        <f aca="false">IF(OR($A30="",$V30="",$Y30=""),"",ROUND(($Y30+N(IFERROR(IF(INDEX(photos!$F$2:$F$701,MATCH($A30&amp;"|"&amp;$B30&amp;"|placement|Y",photos!$R$2:$R$701,0))="","",INDEX(photos!$F$2:$F$701,MATCH($A30&amp;"|"&amp;$B30&amp;"|placement|Y",photos!$R$2:$R$701,0))),""))-$V30)*24,1))</f>
        <v>0.5</v>
      </c>
      <c r="AD30" s="30" t="n">
        <f aca="false">IF($A30="","",SUMIFS(inventory!$G$2:$G$801,inventory!$C$2:$C$801,$A30,inventory!$D$2:$D$801,$B30,inventory!$E$2:$E$801,"topped_up"))</f>
        <v>6</v>
      </c>
      <c r="AE30" s="30" t="n">
        <f aca="false">IF($A30="","",IF(COUNTIFS(counts!$C$2:$C$701,$A30,counts!$D$2:$D$701,$B30,counts!$E$2:$E$701,"remaining_day3")=0,"",SUMIFS(counts!$F$2:$F$701,counts!$C$2:$C$701,$A30,counts!$D$2:$D$701,$B30,counts!$E$2:$E$701,"remaining_day3")))</f>
        <v>20</v>
      </c>
      <c r="AF30" s="30" t="n">
        <f aca="false">IF($A30="","",IF(COUNTIFS(counts!$C$2:$C$701,$A30,counts!$D$2:$D$701,$B30,counts!$E$2:$E$701,"remaining_day5")=0,"",SUMIFS(counts!$F$2:$F$701,counts!$C$2:$C$701,$A30,counts!$D$2:$D$701,$B30,counts!$E$2:$E$701,"remaining_day5")))</f>
        <v>3</v>
      </c>
      <c r="AG30" s="30" t="n">
        <f aca="false">IF(OR($A30="",$AF30=""),"",MAX(0,$AA30+$AD30-$AF30))</f>
        <v>78</v>
      </c>
      <c r="AH30" s="30" t="str">
        <f aca="false">IF(OR($A30="",$AI30=""),"",IFERROR(IF(INDEX(photos!$H$2:$H$701,MATCH($A30&amp;"|"&amp;$B30&amp;"|later|Y|"&amp;$AI30,photos!$S$2:$S$701,0))="","",INDEX(photos!$H$2:$H$701,MATCH($A30&amp;"|"&amp;$B30&amp;"|later|Y|"&amp;$AI30,photos!$S$2:$S$701,0))),""))</f>
        <v>SAMPLE-CMP-004_SAMPLE-O-009_later_2027-02-16.jpg</v>
      </c>
      <c r="AI30" s="31" t="n">
        <f aca="false">IF($A30="","",IFERROR(1/(1/SUMPRODUCT(MAX((photos!$B$2:$B$701=$A30)*(photos!$C$2:$C$701=$B30)*(photos!$D$2:$D$701="later")*(photos!$O$2:$O$701="Y")*photos!$E$2:$E$701))),""))</f>
        <v>46434</v>
      </c>
      <c r="AJ30" s="30" t="n">
        <f aca="false">IF(OR($A30="",$AI30="",$I30=""),"",NETWORKDAYS($I30,$AI30,calendar!$A$2:$A$80))</f>
        <v>5</v>
      </c>
      <c r="AK30" s="30" t="str">
        <f aca="false">IF($A30="","",IF(AND($X30&lt;&gt;"",$AH30&lt;&gt;""),"Y","N"))</f>
        <v>Y</v>
      </c>
      <c r="AL30" s="30" t="n">
        <f aca="true">IF(OR($A30="",$I30=""),"",IF($BC30="Y",SUMIFS(survey_frozen!$C$2:$C$251,survey_frozen!$P$2:$P$251,$A30&amp;"|"&amp;$B30),IFERROR(COUNTIFS(INDIRECT("'"&amp;$A30&amp;"'!$B$2:$B$501"),$T30,INDIRECT("'"&amp;$A30&amp;"'!$A$2:$A$501"),"&gt;="&amp;$I30,INDIRECT("'"&amp;$A30&amp;"'!$A$2:$A$501"),"&lt;"&amp;($BA30+1)),0)))</f>
        <v>9</v>
      </c>
      <c r="AM30" s="30" t="n">
        <f aca="true">IF(OR($A30="",$I30=""),"",IF($BC30="Y",SUMIFS(survey_frozen!$D$2:$D$251,survey_frozen!$P$2:$P$251,$A30&amp;"|"&amp;$B30),IFERROR(COUNTIFS(INDIRECT("'"&amp;$A30&amp;"'!$B$2:$B$501"),$T30,INDIRECT("'"&amp;$A30&amp;"'!$A$2:$A$501"),"&gt;="&amp;$I30,INDIRECT("'"&amp;$A30&amp;"'!$A$2:$A$501"),"&lt;"&amp;($BA30+1),INDIRECT("'"&amp;$A30&amp;"'!$C$2:$C$501"),"Yes"),0)))</f>
        <v>7</v>
      </c>
      <c r="AN30" s="30" t="n">
        <f aca="false">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8</v>
      </c>
      <c r="AO30" s="30" t="n">
        <f aca="false">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7</v>
      </c>
      <c r="AP30" s="30" t="str">
        <f aca="true">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30" t="n">
        <f aca="true">IF(OR($A30="",$I30=""),"",IF($BC30="Y",SUMIFS(survey_frozen!$E$2:$E$251,survey_frozen!$P$2:$P$251,$A30&amp;"|"&amp;$B30),IFERROR(COUNTIFS(INDIRECT("'"&amp;$A30&amp;"'!$B$2:$B$501"),$T30,INDIRECT("'"&amp;$A30&amp;"'!$A$2:$A$501"),"&gt;="&amp;$I30,INDIRECT("'"&amp;$A30&amp;"'!$A$2:$A$501"),"&lt;"&amp;($BA30+1),INDIRECT("'"&amp;$A30&amp;"'!$F$2:$F$501"),"Didn't see it"),0)))</f>
        <v>1</v>
      </c>
      <c r="AR30" s="30" t="n">
        <f aca="true">IF(OR($A30="",$I30=""),"",IF($BC30="Y",SUMIFS(survey_frozen!$F$2:$F$251,survey_frozen!$P$2:$P$251,$A30&amp;"|"&amp;$B30),IFERROR(COUNTIFS(INDIRECT("'"&amp;$A30&amp;"'!$B$2:$B$501"),$T30,INDIRECT("'"&amp;$A30&amp;"'!$A$2:$A$501"),"&gt;="&amp;$I30,INDIRECT("'"&amp;$A30&amp;"'!$A$2:$A$501"),"&lt;"&amp;($BA30+1),INDIRECT("'"&amp;$A30&amp;"'!$F$2:$F$501"),"Not for me"),0)))</f>
        <v>1</v>
      </c>
      <c r="AS30" s="30" t="n">
        <f aca="true">IF(OR($A30="",$I30=""),"",IF($BC30="Y",SUMIFS(survey_frozen!$G$2:$G$251,survey_frozen!$P$2:$P$251,$A30&amp;"|"&amp;$B30),IFERROR(COUNTIFS(INDIRECT("'"&amp;$A30&amp;"'!$B$2:$B$501"),$T30,INDIRECT("'"&amp;$A30&amp;"'!$A$2:$A$501"),"&gt;="&amp;$I30,INDIRECT("'"&amp;$A30&amp;"'!$A$2:$A$501"),"&lt;"&amp;($BA30+1),INDIRECT("'"&amp;$A30&amp;"'!$F$2:$F$501"),"Gone by the time I looked"),0)))</f>
        <v>0</v>
      </c>
      <c r="AT30" s="30" t="n">
        <f aca="true">IF(OR($A30="",$I30=""),"",IF($BC30="Y",SUMIFS(survey_frozen!$H$2:$H$251,survey_frozen!$P$2:$P$251,$A30&amp;"|"&amp;$B30),IFERROR(COUNTIFS(INDIRECT("'"&amp;$A30&amp;"'!$B$2:$B$501"),$T30,INDIRECT("'"&amp;$A30&amp;"'!$A$2:$A$501"),"&gt;="&amp;$I30,INDIRECT("'"&amp;$A30&amp;"'!$A$2:$A$501"),"&lt;"&amp;($BA30+1),INDIRECT("'"&amp;$A30&amp;"'!$D$2:$D$501"),"&gt;=1"),0)))</f>
        <v>7</v>
      </c>
      <c r="AU30" s="30" t="n">
        <f aca="true">IF(OR($A30="",$I30=""),"",IF($BC30="Y",SUMIFS(survey_frozen!$I$2:$I$251,survey_frozen!$P$2:$P$251,$A30&amp;"|"&amp;$B30),IFERROR(SUMIFS(INDIRECT("'"&amp;$A30&amp;"'!$D$2:$D$501"),INDIRECT("'"&amp;$A30&amp;"'!$B$2:$B$501"),$T30,INDIRECT("'"&amp;$A30&amp;"'!$A$2:$A$501"),"&gt;="&amp;$I30,INDIRECT("'"&amp;$A30&amp;"'!$A$2:$A$501"),"&lt;"&amp;($BA30+1)),0)))</f>
        <v>28</v>
      </c>
      <c r="AV30" s="30" t="n">
        <f aca="true">IF(OR($A30="",$I30=""),"",IF($BC30="Y",SUMIFS(survey_frozen!$J$2:$J$251,survey_frozen!$P$2:$P$251,$A30&amp;"|"&amp;$B30),IFERROR(COUNTIFS(INDIRECT("'"&amp;$A30&amp;"'!$B$2:$B$501"),$T30,INDIRECT("'"&amp;$A30&amp;"'!$A$2:$A$501"),"&gt;="&amp;$I30,INDIRECT("'"&amp;$A30&amp;"'!$A$2:$A$501"),"&lt;"&amp;($BA30+1),INDIRECT("'"&amp;$A30&amp;"'!$E$2:$E$501"),"Yes"),0)))</f>
        <v>2</v>
      </c>
      <c r="AW30" s="30" t="n">
        <f aca="true">IF(OR($A30="",$I30=""),"",IF($BC30="Y",SUMIFS(survey_frozen!$K$2:$K$251,survey_frozen!$P$2:$P$251,$A30&amp;"|"&amp;$B30),IFERROR(COUNTIFS(INDIRECT("'"&amp;$A30&amp;"'!$B$2:$B$501"),$T30,INDIRECT("'"&amp;$A30&amp;"'!$A$2:$A$501"),"&gt;="&amp;$I30,INDIRECT("'"&amp;$A30&amp;"'!$A$2:$A$501"),"&lt;"&amp;($BA30+1),INDIRECT("'"&amp;$A30&amp;"'!$E$2:$E$501"),"Maybe"),0)))</f>
        <v>5</v>
      </c>
      <c r="AX30" s="30" t="n">
        <f aca="true">IF(OR($A30="",$I30=""),"",IF($BC30="Y",SUMIFS(survey_frozen!$L$2:$L$251,survey_frozen!$P$2:$P$251,$A30&amp;"|"&amp;$B30),IFERROR(COUNTIFS(INDIRECT("'"&amp;$A30&amp;"'!$B$2:$B$501"),$T30,INDIRECT("'"&amp;$A30&amp;"'!$A$2:$A$501"),"&gt;="&amp;$I30,INDIRECT("'"&amp;$A30&amp;"'!$A$2:$A$501"),"&lt;"&amp;($BA30+1),INDIRECT("'"&amp;$A30&amp;"'!$E$2:$E$501"),"No"),0)))</f>
        <v>0</v>
      </c>
      <c r="AY30" s="30" t="n">
        <f aca="true">IF(OR($A30="",$I30=""),"",IF($BC30="Y",SUMIFS(survey_frozen!$M$2:$M$251,survey_frozen!$P$2:$P$251,$A30&amp;"|"&amp;$B30),IFERROR(COUNTIFS(INDIRECT("'"&amp;$A30&amp;"'!$B$2:$B$501"),$T30,INDIRECT("'"&amp;$A30&amp;"'!$A$2:$A$501"),"&gt;="&amp;$I30,INDIRECT("'"&amp;$A30&amp;"'!$A$2:$A$501"),"&lt;"&amp;($BA30+1),INDIRECT("'"&amp;$A30&amp;"'!$G$2:$G$501"),"&lt;&gt;"),0)))</f>
        <v>5</v>
      </c>
      <c r="AZ30" s="30" t="str">
        <f aca="false">IF($A30="","",$A30&amp;"|"&amp;$L30)</f>
        <v>SAMPLE-CMP-004|8</v>
      </c>
      <c r="BA30" s="31" t="n">
        <f aca="false">IF($A30="","",IFERROR(IF(INDEX(drops!$R$2:$R$21,MATCH($H30,drops!$A$2:$A$21,0))="","",INDEX(drops!$R$2:$R$21,MATCH($H30,drops!$A$2:$A$21,0))),""))</f>
        <v>46434</v>
      </c>
      <c r="BB30" s="30" t="n">
        <f aca="false">IF(OR($A30="",$Q30&lt;&gt;"Y"),1000000,N($AL30))</f>
        <v>9</v>
      </c>
      <c r="BC30" s="30" t="str">
        <f aca="false">IF($A30="","",IF(COUNTIF(survey_frozen!$P$2:$P$251,$A30&amp;"|"&amp;$B30)&gt;0,"Y",""))</f>
        <v/>
      </c>
      <c r="BD30" s="30" t="str">
        <f aca="false">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ustomFormat="false" ht="15" hidden="false" customHeight="false" outlineLevel="0" collapsed="false">
      <c r="A31" s="0" t="s">
        <v>532</v>
      </c>
      <c r="B31" s="0" t="s">
        <v>698</v>
      </c>
      <c r="C31" s="11" t="n">
        <v>46400</v>
      </c>
      <c r="D31" s="10" t="s">
        <v>496</v>
      </c>
      <c r="E31" s="11" t="n">
        <v>46401</v>
      </c>
      <c r="F31" s="10" t="s">
        <v>737</v>
      </c>
      <c r="H31" s="30" t="str">
        <f aca="false">IF($A31="","",IFERROR(IF(INDEX(campaigns!$B$2:$B$51,MATCH($A31,campaigns!$A$2:$A$51,0))="","",INDEX(campaigns!$B$2:$B$51,MATCH($A31,campaigns!$A$2:$A$51,0))),""))</f>
        <v>SAMPLE-DRP-002</v>
      </c>
      <c r="I31" s="31" t="n">
        <f aca="false">IF($A31="","",IFERROR(IF(INDEX(campaigns!$BG$2:$BG$51,MATCH($A31,campaigns!$A$2:$A$51,0))="","",INDEX(campaigns!$BG$2:$BG$51,MATCH($A31,campaigns!$A$2:$A$51,0))),""))</f>
        <v>46427</v>
      </c>
      <c r="J31" s="30" t="str">
        <f aca="false">IF($A31="","",IFERROR(IF(INDEX(campaigns!$BE$2:$BE$51,MATCH($A31,campaigns!$A$2:$A$51,0))="","",INDEX(campaigns!$BE$2:$BE$51,MATCH($A31,campaigns!$A$2:$A$51,0))),""))</f>
        <v>SAMPLE Orchard Row</v>
      </c>
      <c r="K31" s="30" t="str">
        <f aca="false">IF($B31="","",IFERROR(IF(INDEX(offices!$O$2:$O$61,MATCH($B31,offices!$A$2:$A$61,0))="","",INDEX(offices!$O$2:$O$61,MATCH($B31,offices!$A$2:$A$61,0))),""))</f>
        <v>SAMPLE Quill Nonprofit Press</v>
      </c>
      <c r="L31" s="30" t="n">
        <f aca="false">IF($A31="","",IF($Q31="N","",COUNTIFS($A$2:$A31,$A31,$Q$2:$Q31,"&lt;&gt;N")))</f>
        <v>9</v>
      </c>
      <c r="M31" s="30" t="str">
        <f aca="false">IF(OR($A31="",$L31=""),"",IF(AND(config!$B$34="names_if_public",IFERROR(IF(INDEX(offices!$AG$2:$AG$61,MATCH($B31,offices!$A$2:$A$61,0))="","",INDEX(offices!$AG$2:$AG$61,MATCH($B31,offices!$A$2:$A$61,0))),"")="Y"),$K31,CHAR(64+$L31)))</f>
        <v>I</v>
      </c>
      <c r="N31" s="30" t="n">
        <f aca="false">IF(OR($A31="",$I31=""),"",COUNTIFS(stops!$B$2:$B$151,$B31,stops!$P$2:$P$151,"&lt;"&amp;$I31,stops!$L$2:$L$151,"&lt;&gt;not_delivered")+1)</f>
        <v>1</v>
      </c>
      <c r="O31" s="30" t="str">
        <f aca="false">IF($A31="","",IF(N($N31)&lt;=config!$B$29,"explicit","opt-out"))</f>
        <v>explicit</v>
      </c>
      <c r="P31" s="30" t="str">
        <f aca="false">IF($A31="","",IF($O31="explicit",IF($D31="yes","Y",IF($D31="no","N","pending")),IF($D31="no","N",IF(AND($C31&lt;&gt;"",$I31&lt;&gt;"",$C31&lt;=WORKDAY(N($I31),-5,calendar!$A$2:$A$80)),"Y","pending"))))</f>
        <v>Y</v>
      </c>
      <c r="Q31" s="30" t="str">
        <f aca="false">IF($A31="","",IF($P31="N","N",IF($P31&lt;&gt;"Y","pending",IF(AND((COUNTIFS(stops!$A$2:$A$151,$H31,stops!$B$2:$B$151,$B31,stops!$L$2:$L$151,"declined")+COUNTIFS(stops!$A$2:$A$151,$H31,stops!$B$2:$B$151,$B31,stops!$L$2:$L$151,"building_refused")+COUNTIFS(stops!$A$2:$A$151,$H31,stops!$B$2:$B$151,$B31,stops!$L$2:$L$151,"not_delivered"))&gt;0,N($U31)=0),"N","Y"))))</f>
        <v>Y</v>
      </c>
      <c r="R31" s="30" t="str">
        <f aca="false">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30" t="n">
        <f aca="false">IF($A31="","",IF($G31&lt;&gt;"",$G31,IFERROR(IF(INDEX(offices!$AM$2:$AM$61,MATCH($B31,offices!$A$2:$A$61,0))="","",INDEX(offices!$AM$2:$AM$61,MATCH($B31,offices!$A$2:$A$61,0))),"")))</f>
        <v>40</v>
      </c>
      <c r="T31" s="30" t="str">
        <f aca="false">IF($A31="","",$A31&amp;"."&amp;$B31)</f>
        <v>SAMPLE-CMP-004.SAMPLE-O-010</v>
      </c>
      <c r="U31" s="30" t="n">
        <f aca="false">IF($A31="","",SUMIFS(inventory!$G$2:$G$801,inventory!$C$2:$C$801,$A31,inventory!$D$2:$D$801,$B31,inventory!$E$2:$E$801,"delivered"))</f>
        <v>40</v>
      </c>
      <c r="V31" s="37" t="n">
        <f aca="false">IF($A31="","",IFERROR(1/(1/SUMPRODUCT(MAX((inventory!$C$2:$C$801=$A31)*(inventory!$D$2:$D$801=$B31)*(inventory!$E$2:$E$801="delivered")*(inventory!$A$2:$A$801+inventory!$B$2:$B$801)))),""))</f>
        <v>46427.3618055556</v>
      </c>
      <c r="W31" s="30" t="str">
        <f aca="false">IF($A31="","",IFERROR(IF(INDEX(inventory!$J$2:$J$801,MATCH($A31&amp;"|"&amp;$B31&amp;"|delivered",inventory!$R$2:$R$801,0))="","",INDEX(inventory!$J$2:$J$801,MATCH($A31&amp;"|"&amp;$B31&amp;"|delivered",inventory!$R$2:$R$801,0))),""))</f>
        <v>courier_count</v>
      </c>
      <c r="X31" s="30" t="str">
        <f aca="false">IF($A31="","",IFERROR(IF(INDEX(photos!$H$2:$H$701,MATCH($A31&amp;"|"&amp;$B31&amp;"|placement|Y",photos!$R$2:$R$701,0))="","",INDEX(photos!$H$2:$H$701,MATCH($A31&amp;"|"&amp;$B31&amp;"|placement|Y",photos!$R$2:$R$701,0))),""))</f>
        <v>SAMPLE-CMP-004_SAMPLE-O-010_placement_2027-02-09.jpg</v>
      </c>
      <c r="Y31" s="31" t="n">
        <f aca="false">IF($A31="","",IFERROR(IF(INDEX(photos!$E$2:$E$701,MATCH($A31&amp;"|"&amp;$B31&amp;"|placement|Y",photos!$R$2:$R$701,0))="","",INDEX(photos!$E$2:$E$701,MATCH($A31&amp;"|"&amp;$B31&amp;"|placement|Y",photos!$R$2:$R$701,0))),""))</f>
        <v>46427</v>
      </c>
      <c r="Z31" s="30" t="n">
        <f aca="false">IF($A31="","",IF(COUNTIFS(counts!$C$2:$C$701,$A31,counts!$D$2:$D$701,$B31,counts!$E$2:$E$701,"placed")=0,"",SUMIFS(counts!$F$2:$F$701,counts!$C$2:$C$701,$A31,counts!$D$2:$D$701,$B31,counts!$E$2:$E$701,"placed")))</f>
        <v>40</v>
      </c>
      <c r="AA31" s="30" t="n">
        <f aca="false">IF($A31="","",IF($Y31="",0,N($Z31)))</f>
        <v>40</v>
      </c>
      <c r="AB31" s="30" t="str">
        <f aca="false">IF($A31="","",IF(OR($Y31="",$I31=""),"N",IF($Y31&lt;=WORKDAY(N($I31),1,calendar!$A$2:$A$80),"Y","N")))</f>
        <v>Y</v>
      </c>
      <c r="AC31" s="33" t="n">
        <f aca="false">IF(OR($A31="",$V31="",$Y31=""),"",ROUND(($Y31+N(IFERROR(IF(INDEX(photos!$F$2:$F$701,MATCH($A31&amp;"|"&amp;$B31&amp;"|placement|Y",photos!$R$2:$R$701,0))="","",INDEX(photos!$F$2:$F$701,MATCH($A31&amp;"|"&amp;$B31&amp;"|placement|Y",photos!$R$2:$R$701,0))),""))-$V31)*24,1))</f>
        <v>4.3</v>
      </c>
      <c r="AD31" s="30" t="n">
        <f aca="false">IF($A31="","",SUMIFS(inventory!$G$2:$G$801,inventory!$C$2:$C$801,$A31,inventory!$D$2:$D$801,$B31,inventory!$E$2:$E$801,"topped_up"))</f>
        <v>0</v>
      </c>
      <c r="AE31" s="30" t="n">
        <f aca="false">IF($A31="","",IF(COUNTIFS(counts!$C$2:$C$701,$A31,counts!$D$2:$D$701,$B31,counts!$E$2:$E$701,"remaining_day3")=0,"",SUMIFS(counts!$F$2:$F$701,counts!$C$2:$C$701,$A31,counts!$D$2:$D$701,$B31,counts!$E$2:$E$701,"remaining_day3")))</f>
        <v>19</v>
      </c>
      <c r="AF31" s="30" t="n">
        <f aca="false">IF($A31="","",IF(COUNTIFS(counts!$C$2:$C$701,$A31,counts!$D$2:$D$701,$B31,counts!$E$2:$E$701,"remaining_day5")=0,"",SUMIFS(counts!$F$2:$F$701,counts!$C$2:$C$701,$A31,counts!$D$2:$D$701,$B31,counts!$E$2:$E$701,"remaining_day5")))</f>
        <v>4</v>
      </c>
      <c r="AG31" s="30" t="n">
        <f aca="false">IF(OR($A31="",$AF31=""),"",MAX(0,$AA31+$AD31-$AF31))</f>
        <v>36</v>
      </c>
      <c r="AH31" s="30" t="str">
        <f aca="false">IF(OR($A31="",$AI31=""),"",IFERROR(IF(INDEX(photos!$H$2:$H$701,MATCH($A31&amp;"|"&amp;$B31&amp;"|later|Y|"&amp;$AI31,photos!$S$2:$S$701,0))="","",INDEX(photos!$H$2:$H$701,MATCH($A31&amp;"|"&amp;$B31&amp;"|later|Y|"&amp;$AI31,photos!$S$2:$S$701,0))),""))</f>
        <v>SAMPLE-CMP-004_SAMPLE-O-010_later_2027-02-16.jpg</v>
      </c>
      <c r="AI31" s="31" t="n">
        <f aca="false">IF($A31="","",IFERROR(1/(1/SUMPRODUCT(MAX((photos!$B$2:$B$701=$A31)*(photos!$C$2:$C$701=$B31)*(photos!$D$2:$D$701="later")*(photos!$O$2:$O$701="Y")*photos!$E$2:$E$701))),""))</f>
        <v>46434</v>
      </c>
      <c r="AJ31" s="30" t="n">
        <f aca="false">IF(OR($A31="",$AI31="",$I31=""),"",NETWORKDAYS($I31,$AI31,calendar!$A$2:$A$80))</f>
        <v>5</v>
      </c>
      <c r="AK31" s="30" t="str">
        <f aca="false">IF($A31="","",IF(AND($X31&lt;&gt;"",$AH31&lt;&gt;""),"Y","N"))</f>
        <v>Y</v>
      </c>
      <c r="AL31" s="30" t="n">
        <f aca="true">IF(OR($A31="",$I31=""),"",IF($BC31="Y",SUMIFS(survey_frozen!$C$2:$C$251,survey_frozen!$P$2:$P$251,$A31&amp;"|"&amp;$B31),IFERROR(COUNTIFS(INDIRECT("'"&amp;$A31&amp;"'!$B$2:$B$501"),$T31,INDIRECT("'"&amp;$A31&amp;"'!$A$2:$A$501"),"&gt;="&amp;$I31,INDIRECT("'"&amp;$A31&amp;"'!$A$2:$A$501"),"&lt;"&amp;($BA31+1)),0)))</f>
        <v>7</v>
      </c>
      <c r="AM31" s="30" t="n">
        <f aca="true">IF(OR($A31="",$I31=""),"",IF($BC31="Y",SUMIFS(survey_frozen!$D$2:$D$251,survey_frozen!$P$2:$P$251,$A31&amp;"|"&amp;$B31),IFERROR(COUNTIFS(INDIRECT("'"&amp;$A31&amp;"'!$B$2:$B$501"),$T31,INDIRECT("'"&amp;$A31&amp;"'!$A$2:$A$501"),"&gt;="&amp;$I31,INDIRECT("'"&amp;$A31&amp;"'!$A$2:$A$501"),"&lt;"&amp;($BA31+1),INDIRECT("'"&amp;$A31&amp;"'!$C$2:$C$501"),"Yes"),0)))</f>
        <v>4</v>
      </c>
      <c r="AN31" s="30" t="n">
        <f aca="false">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3</v>
      </c>
      <c r="AO31" s="30" t="n">
        <f aca="false">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14</v>
      </c>
      <c r="AP31" s="30" t="str">
        <f aca="true">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30" t="n">
        <f aca="true">IF(OR($A31="",$I31=""),"",IF($BC31="Y",SUMIFS(survey_frozen!$E$2:$E$251,survey_frozen!$P$2:$P$251,$A31&amp;"|"&amp;$B31),IFERROR(COUNTIFS(INDIRECT("'"&amp;$A31&amp;"'!$B$2:$B$501"),$T31,INDIRECT("'"&amp;$A31&amp;"'!$A$2:$A$501"),"&gt;="&amp;$I31,INDIRECT("'"&amp;$A31&amp;"'!$A$2:$A$501"),"&lt;"&amp;($BA31+1),INDIRECT("'"&amp;$A31&amp;"'!$F$2:$F$501"),"Didn't see it"),0)))</f>
        <v>1</v>
      </c>
      <c r="AR31" s="30" t="n">
        <f aca="true">IF(OR($A31="",$I31=""),"",IF($BC31="Y",SUMIFS(survey_frozen!$F$2:$F$251,survey_frozen!$P$2:$P$251,$A31&amp;"|"&amp;$B31),IFERROR(COUNTIFS(INDIRECT("'"&amp;$A31&amp;"'!$B$2:$B$501"),$T31,INDIRECT("'"&amp;$A31&amp;"'!$A$2:$A$501"),"&gt;="&amp;$I31,INDIRECT("'"&amp;$A31&amp;"'!$A$2:$A$501"),"&lt;"&amp;($BA31+1),INDIRECT("'"&amp;$A31&amp;"'!$F$2:$F$501"),"Not for me"),0)))</f>
        <v>0</v>
      </c>
      <c r="AS31" s="30" t="n">
        <f aca="true">IF(OR($A31="",$I31=""),"",IF($BC31="Y",SUMIFS(survey_frozen!$G$2:$G$251,survey_frozen!$P$2:$P$251,$A31&amp;"|"&amp;$B31),IFERROR(COUNTIFS(INDIRECT("'"&amp;$A31&amp;"'!$B$2:$B$501"),$T31,INDIRECT("'"&amp;$A31&amp;"'!$A$2:$A$501"),"&gt;="&amp;$I31,INDIRECT("'"&amp;$A31&amp;"'!$A$2:$A$501"),"&lt;"&amp;($BA31+1),INDIRECT("'"&amp;$A31&amp;"'!$F$2:$F$501"),"Gone by the time I looked"),0)))</f>
        <v>2</v>
      </c>
      <c r="AT31" s="30" t="n">
        <f aca="true">IF(OR($A31="",$I31=""),"",IF($BC31="Y",SUMIFS(survey_frozen!$H$2:$H$251,survey_frozen!$P$2:$P$251,$A31&amp;"|"&amp;$B31),IFERROR(COUNTIFS(INDIRECT("'"&amp;$A31&amp;"'!$B$2:$B$501"),$T31,INDIRECT("'"&amp;$A31&amp;"'!$A$2:$A$501"),"&gt;="&amp;$I31,INDIRECT("'"&amp;$A31&amp;"'!$A$2:$A$501"),"&lt;"&amp;($BA31+1),INDIRECT("'"&amp;$A31&amp;"'!$D$2:$D$501"),"&gt;=1"),0)))</f>
        <v>4</v>
      </c>
      <c r="AU31" s="30" t="n">
        <f aca="true">IF(OR($A31="",$I31=""),"",IF($BC31="Y",SUMIFS(survey_frozen!$I$2:$I$251,survey_frozen!$P$2:$P$251,$A31&amp;"|"&amp;$B31),IFERROR(SUMIFS(INDIRECT("'"&amp;$A31&amp;"'!$D$2:$D$501"),INDIRECT("'"&amp;$A31&amp;"'!$B$2:$B$501"),$T31,INDIRECT("'"&amp;$A31&amp;"'!$A$2:$A$501"),"&gt;="&amp;$I31,INDIRECT("'"&amp;$A31&amp;"'!$A$2:$A$501"),"&lt;"&amp;($BA31+1)),0)))</f>
        <v>18</v>
      </c>
      <c r="AV31" s="30" t="n">
        <f aca="true">IF(OR($A31="",$I31=""),"",IF($BC31="Y",SUMIFS(survey_frozen!$J$2:$J$251,survey_frozen!$P$2:$P$251,$A31&amp;"|"&amp;$B31),IFERROR(COUNTIFS(INDIRECT("'"&amp;$A31&amp;"'!$B$2:$B$501"),$T31,INDIRECT("'"&amp;$A31&amp;"'!$A$2:$A$501"),"&gt;="&amp;$I31,INDIRECT("'"&amp;$A31&amp;"'!$A$2:$A$501"),"&lt;"&amp;($BA31+1),INDIRECT("'"&amp;$A31&amp;"'!$E$2:$E$501"),"Yes"),0)))</f>
        <v>0</v>
      </c>
      <c r="AW31" s="30" t="n">
        <f aca="true">IF(OR($A31="",$I31=""),"",IF($BC31="Y",SUMIFS(survey_frozen!$K$2:$K$251,survey_frozen!$P$2:$P$251,$A31&amp;"|"&amp;$B31),IFERROR(COUNTIFS(INDIRECT("'"&amp;$A31&amp;"'!$B$2:$B$501"),$T31,INDIRECT("'"&amp;$A31&amp;"'!$A$2:$A$501"),"&gt;="&amp;$I31,INDIRECT("'"&amp;$A31&amp;"'!$A$2:$A$501"),"&lt;"&amp;($BA31+1),INDIRECT("'"&amp;$A31&amp;"'!$E$2:$E$501"),"Maybe"),0)))</f>
        <v>3</v>
      </c>
      <c r="AX31" s="30" t="n">
        <f aca="true">IF(OR($A31="",$I31=""),"",IF($BC31="Y",SUMIFS(survey_frozen!$L$2:$L$251,survey_frozen!$P$2:$P$251,$A31&amp;"|"&amp;$B31),IFERROR(COUNTIFS(INDIRECT("'"&amp;$A31&amp;"'!$B$2:$B$501"),$T31,INDIRECT("'"&amp;$A31&amp;"'!$A$2:$A$501"),"&gt;="&amp;$I31,INDIRECT("'"&amp;$A31&amp;"'!$A$2:$A$501"),"&lt;"&amp;($BA31+1),INDIRECT("'"&amp;$A31&amp;"'!$E$2:$E$501"),"No"),0)))</f>
        <v>1</v>
      </c>
      <c r="AY31" s="30" t="n">
        <f aca="true">IF(OR($A31="",$I31=""),"",IF($BC31="Y",SUMIFS(survey_frozen!$M$2:$M$251,survey_frozen!$P$2:$P$251,$A31&amp;"|"&amp;$B31),IFERROR(COUNTIFS(INDIRECT("'"&amp;$A31&amp;"'!$B$2:$B$501"),$T31,INDIRECT("'"&amp;$A31&amp;"'!$A$2:$A$501"),"&gt;="&amp;$I31,INDIRECT("'"&amp;$A31&amp;"'!$A$2:$A$501"),"&lt;"&amp;($BA31+1),INDIRECT("'"&amp;$A31&amp;"'!$G$2:$G$501"),"&lt;&gt;"),0)))</f>
        <v>2</v>
      </c>
      <c r="AZ31" s="30" t="str">
        <f aca="false">IF($A31="","",$A31&amp;"|"&amp;$L31)</f>
        <v>SAMPLE-CMP-004|9</v>
      </c>
      <c r="BA31" s="31" t="n">
        <f aca="false">IF($A31="","",IFERROR(IF(INDEX(drops!$R$2:$R$21,MATCH($H31,drops!$A$2:$A$21,0))="","",INDEX(drops!$R$2:$R$21,MATCH($H31,drops!$A$2:$A$21,0))),""))</f>
        <v>46434</v>
      </c>
      <c r="BB31" s="30" t="n">
        <f aca="false">IF(OR($A31="",$Q31&lt;&gt;"Y"),1000000,N($AL31))</f>
        <v>7</v>
      </c>
      <c r="BC31" s="30" t="str">
        <f aca="false">IF($A31="","",IF(COUNTIF(survey_frozen!$P$2:$P$251,$A31&amp;"|"&amp;$B31)&gt;0,"Y",""))</f>
        <v/>
      </c>
      <c r="BD31" s="30" t="str">
        <f aca="false">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ustomFormat="false" ht="15" hidden="false" customHeight="false" outlineLevel="0" collapsed="false">
      <c r="A32" s="0" t="s">
        <v>549</v>
      </c>
      <c r="B32" s="0" t="s">
        <v>678</v>
      </c>
      <c r="C32" s="11" t="n">
        <v>46395</v>
      </c>
      <c r="D32" s="10" t="s">
        <v>496</v>
      </c>
      <c r="E32" s="11" t="n">
        <v>46396</v>
      </c>
      <c r="F32" s="10" t="s">
        <v>737</v>
      </c>
      <c r="H32" s="30" t="str">
        <f aca="false">IF($A32="","",IFERROR(IF(INDEX(campaigns!$B$2:$B$51,MATCH($A32,campaigns!$A$2:$A$51,0))="","",INDEX(campaigns!$B$2:$B$51,MATCH($A32,campaigns!$A$2:$A$51,0))),""))</f>
        <v>SAMPLE-DRP-002</v>
      </c>
      <c r="I32" s="31" t="n">
        <f aca="false">IF($A32="","",IFERROR(IF(INDEX(campaigns!$BG$2:$BG$51,MATCH($A32,campaigns!$A$2:$A$51,0))="","",INDEX(campaigns!$BG$2:$BG$51,MATCH($A32,campaigns!$A$2:$A$51,0))),""))</f>
        <v>46427</v>
      </c>
      <c r="J32" s="30" t="str">
        <f aca="false">IF($A32="","",IFERROR(IF(INDEX(campaigns!$BE$2:$BE$51,MATCH($A32,campaigns!$A$2:$A$51,0))="","",INDEX(campaigns!$BE$2:$BE$51,MATCH($A32,campaigns!$A$2:$A$51,0))),""))</f>
        <v>SAMPLE Kettle Ridge</v>
      </c>
      <c r="K32" s="30" t="str">
        <f aca="false">IF($B32="","",IFERROR(IF(INDEX(offices!$O$2:$O$61,MATCH($B32,offices!$A$2:$A$61,0))="","",INDEX(offices!$O$2:$O$61,MATCH($B32,offices!$A$2:$A$61,0))),""))</f>
        <v>SAMPLE Northpoint Software</v>
      </c>
      <c r="L32" s="30" t="n">
        <f aca="false">IF($A32="","",IF($Q32="N","",COUNTIFS($A$2:$A32,$A32,$Q$2:$Q32,"&lt;&gt;N")))</f>
        <v>1</v>
      </c>
      <c r="M32" s="30" t="str">
        <f aca="false">IF(OR($A32="",$L32=""),"",IF(AND(config!$B$34="names_if_public",IFERROR(IF(INDEX(offices!$AG$2:$AG$61,MATCH($B32,offices!$A$2:$A$61,0))="","",INDEX(offices!$AG$2:$AG$61,MATCH($B32,offices!$A$2:$A$61,0))),"")="Y"),$K32,CHAR(64+$L32)))</f>
        <v>A</v>
      </c>
      <c r="N32" s="30" t="n">
        <f aca="false">IF(OR($A32="",$I32=""),"",COUNTIFS(stops!$B$2:$B$151,$B32,stops!$P$2:$P$151,"&lt;"&amp;$I32,stops!$L$2:$L$151,"&lt;&gt;not_delivered")+1)</f>
        <v>2</v>
      </c>
      <c r="O32" s="30" t="str">
        <f aca="false">IF($A32="","",IF(N($N32)&lt;=config!$B$29,"explicit","opt-out"))</f>
        <v>explicit</v>
      </c>
      <c r="P32" s="30" t="str">
        <f aca="false">IF($A32="","",IF($O32="explicit",IF($D32="yes","Y",IF($D32="no","N","pending")),IF($D32="no","N",IF(AND($C32&lt;&gt;"",$I32&lt;&gt;"",$C32&lt;=WORKDAY(N($I32),-5,calendar!$A$2:$A$80)),"Y","pending"))))</f>
        <v>Y</v>
      </c>
      <c r="Q32" s="30" t="str">
        <f aca="false">IF($A32="","",IF($P32="N","N",IF($P32&lt;&gt;"Y","pending",IF(AND((COUNTIFS(stops!$A$2:$A$151,$H32,stops!$B$2:$B$151,$B32,stops!$L$2:$L$151,"declined")+COUNTIFS(stops!$A$2:$A$151,$H32,stops!$B$2:$B$151,$B32,stops!$L$2:$L$151,"building_refused")+COUNTIFS(stops!$A$2:$A$151,$H32,stops!$B$2:$B$151,$B32,stops!$L$2:$L$151,"not_delivered"))&gt;0,N($U32)=0),"N","Y"))))</f>
        <v>Y</v>
      </c>
      <c r="R32" s="30" t="str">
        <f aca="false">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30" t="n">
        <f aca="false">IF($A32="","",IF($G32&lt;&gt;"",$G32,IFERROR(IF(INDEX(offices!$AM$2:$AM$61,MATCH($B32,offices!$A$2:$A$61,0))="","",INDEX(offices!$AM$2:$AM$61,MATCH($B32,offices!$A$2:$A$61,0))),"")))</f>
        <v>40</v>
      </c>
      <c r="T32" s="30" t="str">
        <f aca="false">IF($A32="","",$A32&amp;"."&amp;$B32)</f>
        <v>SAMPLE-CMP-005.SAMPLE-O-001</v>
      </c>
      <c r="U32" s="30" t="n">
        <f aca="false">IF($A32="","",SUMIFS(inventory!$G$2:$G$801,inventory!$C$2:$C$801,$A32,inventory!$D$2:$D$801,$B32,inventory!$E$2:$E$801,"delivered"))</f>
        <v>40</v>
      </c>
      <c r="V32" s="37" t="n">
        <f aca="false">IF($A32="","",IFERROR(1/(1/SUMPRODUCT(MAX((inventory!$C$2:$C$801=$A32)*(inventory!$D$2:$D$801=$B32)*(inventory!$E$2:$E$801="delivered")*(inventory!$A$2:$A$801+inventory!$B$2:$B$801)))),""))</f>
        <v>46427.3375</v>
      </c>
      <c r="W32" s="30" t="str">
        <f aca="false">IF($A32="","",IFERROR(IF(INDEX(inventory!$J$2:$J$801,MATCH($A32&amp;"|"&amp;$B32&amp;"|delivered",inventory!$R$2:$R$801,0))="","",INDEX(inventory!$J$2:$J$801,MATCH($A32&amp;"|"&amp;$B32&amp;"|delivered",inventory!$R$2:$R$801,0))),""))</f>
        <v>courier_count</v>
      </c>
      <c r="X32" s="30" t="str">
        <f aca="false">IF($A32="","",IFERROR(IF(INDEX(photos!$H$2:$H$701,MATCH($A32&amp;"|"&amp;$B32&amp;"|placement|Y",photos!$R$2:$R$701,0))="","",INDEX(photos!$H$2:$H$701,MATCH($A32&amp;"|"&amp;$B32&amp;"|placement|Y",photos!$R$2:$R$701,0))),""))</f>
        <v>SAMPLE-CMP-005_SAMPLE-O-001_placement_2027-02-09.jpg</v>
      </c>
      <c r="Y32" s="31" t="n">
        <f aca="false">IF($A32="","",IFERROR(IF(INDEX(photos!$E$2:$E$701,MATCH($A32&amp;"|"&amp;$B32&amp;"|placement|Y",photos!$R$2:$R$701,0))="","",INDEX(photos!$E$2:$E$701,MATCH($A32&amp;"|"&amp;$B32&amp;"|placement|Y",photos!$R$2:$R$701,0))),""))</f>
        <v>46427</v>
      </c>
      <c r="Z32" s="30" t="n">
        <f aca="false">IF($A32="","",IF(COUNTIFS(counts!$C$2:$C$701,$A32,counts!$D$2:$D$701,$B32,counts!$E$2:$E$701,"placed")=0,"",SUMIFS(counts!$F$2:$F$701,counts!$C$2:$C$701,$A32,counts!$D$2:$D$701,$B32,counts!$E$2:$E$701,"placed")))</f>
        <v>40</v>
      </c>
      <c r="AA32" s="30" t="n">
        <f aca="false">IF($A32="","",IF($Y32="",0,N($Z32)))</f>
        <v>40</v>
      </c>
      <c r="AB32" s="30" t="str">
        <f aca="false">IF($A32="","",IF(OR($Y32="",$I32=""),"N",IF($Y32&lt;=WORKDAY(N($I32),1,calendar!$A$2:$A$80),"Y","N")))</f>
        <v>Y</v>
      </c>
      <c r="AC32" s="33" t="n">
        <f aca="false">IF(OR($A32="",$V32="",$Y32=""),"",ROUND(($Y32+N(IFERROR(IF(INDEX(photos!$F$2:$F$701,MATCH($A32&amp;"|"&amp;$B32&amp;"|placement|Y",photos!$R$2:$R$701,0))="","",INDEX(photos!$F$2:$F$701,MATCH($A32&amp;"|"&amp;$B32&amp;"|placement|Y",photos!$R$2:$R$701,0))),""))-$V32)*24,1))</f>
        <v>4.9</v>
      </c>
      <c r="AD32" s="30" t="n">
        <f aca="false">IF($A32="","",SUMIFS(inventory!$G$2:$G$801,inventory!$C$2:$C$801,$A32,inventory!$D$2:$D$801,$B32,inventory!$E$2:$E$801,"topped_up"))</f>
        <v>0</v>
      </c>
      <c r="AE32" s="30" t="n">
        <f aca="false">IF($A32="","",IF(COUNTIFS(counts!$C$2:$C$701,$A32,counts!$D$2:$D$701,$B32,counts!$E$2:$E$701,"remaining_day3")=0,"",SUMIFS(counts!$F$2:$F$701,counts!$C$2:$C$701,$A32,counts!$D$2:$D$701,$B32,counts!$E$2:$E$701,"remaining_day3")))</f>
        <v>14</v>
      </c>
      <c r="AF32" s="30" t="n">
        <f aca="false">IF($A32="","",IF(COUNTIFS(counts!$C$2:$C$701,$A32,counts!$D$2:$D$701,$B32,counts!$E$2:$E$701,"remaining_day5")=0,"",SUMIFS(counts!$F$2:$F$701,counts!$C$2:$C$701,$A32,counts!$D$2:$D$701,$B32,counts!$E$2:$E$701,"remaining_day5")))</f>
        <v>4</v>
      </c>
      <c r="AG32" s="30" t="n">
        <f aca="false">IF(OR($A32="",$AF32=""),"",MAX(0,$AA32+$AD32-$AF32))</f>
        <v>36</v>
      </c>
      <c r="AH32" s="30" t="str">
        <f aca="false">IF(OR($A32="",$AI32=""),"",IFERROR(IF(INDEX(photos!$H$2:$H$701,MATCH($A32&amp;"|"&amp;$B32&amp;"|later|Y|"&amp;$AI32,photos!$S$2:$S$701,0))="","",INDEX(photos!$H$2:$H$701,MATCH($A32&amp;"|"&amp;$B32&amp;"|later|Y|"&amp;$AI32,photos!$S$2:$S$701,0))),""))</f>
        <v>SAMPLE-CMP-005_SAMPLE-O-001_later_2027-02-16.jpg</v>
      </c>
      <c r="AI32" s="31" t="n">
        <f aca="false">IF($A32="","",IFERROR(1/(1/SUMPRODUCT(MAX((photos!$B$2:$B$701=$A32)*(photos!$C$2:$C$701=$B32)*(photos!$D$2:$D$701="later")*(photos!$O$2:$O$701="Y")*photos!$E$2:$E$701))),""))</f>
        <v>46434</v>
      </c>
      <c r="AJ32" s="30" t="n">
        <f aca="false">IF(OR($A32="",$AI32="",$I32=""),"",NETWORKDAYS($I32,$AI32,calendar!$A$2:$A$80))</f>
        <v>5</v>
      </c>
      <c r="AK32" s="30" t="str">
        <f aca="false">IF($A32="","",IF(AND($X32&lt;&gt;"",$AH32&lt;&gt;""),"Y","N"))</f>
        <v>Y</v>
      </c>
      <c r="AL32" s="30" t="n">
        <f aca="true">IF(OR($A32="",$I32=""),"",IF($BC32="Y",SUMIFS(survey_frozen!$C$2:$C$251,survey_frozen!$P$2:$P$251,$A32&amp;"|"&amp;$B32),IFERROR(COUNTIFS(INDIRECT("'"&amp;$A32&amp;"'!$B$2:$B$501"),$T32,INDIRECT("'"&amp;$A32&amp;"'!$A$2:$A$501"),"&gt;="&amp;$I32,INDIRECT("'"&amp;$A32&amp;"'!$A$2:$A$501"),"&lt;"&amp;($BA32+1)),0)))</f>
        <v>9</v>
      </c>
      <c r="AM32" s="30" t="n">
        <f aca="true">IF(OR($A32="",$I32=""),"",IF($BC32="Y",SUMIFS(survey_frozen!$D$2:$D$251,survey_frozen!$P$2:$P$251,$A32&amp;"|"&amp;$B32),IFERROR(COUNTIFS(INDIRECT("'"&amp;$A32&amp;"'!$B$2:$B$501"),$T32,INDIRECT("'"&amp;$A32&amp;"'!$A$2:$A$501"),"&gt;="&amp;$I32,INDIRECT("'"&amp;$A32&amp;"'!$A$2:$A$501"),"&lt;"&amp;($BA32+1),INDIRECT("'"&amp;$A32&amp;"'!$C$2:$C$501"),"Yes"),0)))</f>
        <v>6</v>
      </c>
      <c r="AN32" s="30" t="n">
        <f aca="false">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8</v>
      </c>
      <c r="AO32" s="30" t="n">
        <f aca="false">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7</v>
      </c>
      <c r="AP32" s="30" t="str">
        <f aca="true">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30" t="n">
        <f aca="true">IF(OR($A32="",$I32=""),"",IF($BC32="Y",SUMIFS(survey_frozen!$E$2:$E$251,survey_frozen!$P$2:$P$251,$A32&amp;"|"&amp;$B32),IFERROR(COUNTIFS(INDIRECT("'"&amp;$A32&amp;"'!$B$2:$B$501"),$T32,INDIRECT("'"&amp;$A32&amp;"'!$A$2:$A$501"),"&gt;="&amp;$I32,INDIRECT("'"&amp;$A32&amp;"'!$A$2:$A$501"),"&lt;"&amp;($BA32+1),INDIRECT("'"&amp;$A32&amp;"'!$F$2:$F$501"),"Didn't see it"),0)))</f>
        <v>0</v>
      </c>
      <c r="AR32" s="30" t="n">
        <f aca="true">IF(OR($A32="",$I32=""),"",IF($BC32="Y",SUMIFS(survey_frozen!$F$2:$F$251,survey_frozen!$P$2:$P$251,$A32&amp;"|"&amp;$B32),IFERROR(COUNTIFS(INDIRECT("'"&amp;$A32&amp;"'!$B$2:$B$501"),$T32,INDIRECT("'"&amp;$A32&amp;"'!$A$2:$A$501"),"&gt;="&amp;$I32,INDIRECT("'"&amp;$A32&amp;"'!$A$2:$A$501"),"&lt;"&amp;($BA32+1),INDIRECT("'"&amp;$A32&amp;"'!$F$2:$F$501"),"Not for me"),0)))</f>
        <v>1</v>
      </c>
      <c r="AS32" s="30" t="n">
        <f aca="true">IF(OR($A32="",$I32=""),"",IF($BC32="Y",SUMIFS(survey_frozen!$G$2:$G$251,survey_frozen!$P$2:$P$251,$A32&amp;"|"&amp;$B32),IFERROR(COUNTIFS(INDIRECT("'"&amp;$A32&amp;"'!$B$2:$B$501"),$T32,INDIRECT("'"&amp;$A32&amp;"'!$A$2:$A$501"),"&gt;="&amp;$I32,INDIRECT("'"&amp;$A32&amp;"'!$A$2:$A$501"),"&lt;"&amp;($BA32+1),INDIRECT("'"&amp;$A32&amp;"'!$F$2:$F$501"),"Gone by the time I looked"),0)))</f>
        <v>2</v>
      </c>
      <c r="AT32" s="30" t="n">
        <f aca="true">IF(OR($A32="",$I32=""),"",IF($BC32="Y",SUMIFS(survey_frozen!$H$2:$H$251,survey_frozen!$P$2:$P$251,$A32&amp;"|"&amp;$B32),IFERROR(COUNTIFS(INDIRECT("'"&amp;$A32&amp;"'!$B$2:$B$501"),$T32,INDIRECT("'"&amp;$A32&amp;"'!$A$2:$A$501"),"&gt;="&amp;$I32,INDIRECT("'"&amp;$A32&amp;"'!$A$2:$A$501"),"&lt;"&amp;($BA32+1),INDIRECT("'"&amp;$A32&amp;"'!$D$2:$D$501"),"&gt;=1"),0)))</f>
        <v>6</v>
      </c>
      <c r="AU32" s="30" t="n">
        <f aca="true">IF(OR($A32="",$I32=""),"",IF($BC32="Y",SUMIFS(survey_frozen!$I$2:$I$251,survey_frozen!$P$2:$P$251,$A32&amp;"|"&amp;$B32),IFERROR(SUMIFS(INDIRECT("'"&amp;$A32&amp;"'!$D$2:$D$501"),INDIRECT("'"&amp;$A32&amp;"'!$B$2:$B$501"),$T32,INDIRECT("'"&amp;$A32&amp;"'!$A$2:$A$501"),"&gt;="&amp;$I32,INDIRECT("'"&amp;$A32&amp;"'!$A$2:$A$501"),"&lt;"&amp;($BA32+1)),0)))</f>
        <v>27</v>
      </c>
      <c r="AV32" s="30" t="n">
        <f aca="true">IF(OR($A32="",$I32=""),"",IF($BC32="Y",SUMIFS(survey_frozen!$J$2:$J$251,survey_frozen!$P$2:$P$251,$A32&amp;"|"&amp;$B32),IFERROR(COUNTIFS(INDIRECT("'"&amp;$A32&amp;"'!$B$2:$B$501"),$T32,INDIRECT("'"&amp;$A32&amp;"'!$A$2:$A$501"),"&gt;="&amp;$I32,INDIRECT("'"&amp;$A32&amp;"'!$A$2:$A$501"),"&lt;"&amp;($BA32+1),INDIRECT("'"&amp;$A32&amp;"'!$E$2:$E$501"),"Yes"),0)))</f>
        <v>3</v>
      </c>
      <c r="AW32" s="30" t="n">
        <f aca="true">IF(OR($A32="",$I32=""),"",IF($BC32="Y",SUMIFS(survey_frozen!$K$2:$K$251,survey_frozen!$P$2:$P$251,$A32&amp;"|"&amp;$B32),IFERROR(COUNTIFS(INDIRECT("'"&amp;$A32&amp;"'!$B$2:$B$501"),$T32,INDIRECT("'"&amp;$A32&amp;"'!$A$2:$A$501"),"&gt;="&amp;$I32,INDIRECT("'"&amp;$A32&amp;"'!$A$2:$A$501"),"&lt;"&amp;($BA32+1),INDIRECT("'"&amp;$A32&amp;"'!$E$2:$E$501"),"Maybe"),0)))</f>
        <v>3</v>
      </c>
      <c r="AX32" s="30" t="n">
        <f aca="true">IF(OR($A32="",$I32=""),"",IF($BC32="Y",SUMIFS(survey_frozen!$L$2:$L$251,survey_frozen!$P$2:$P$251,$A32&amp;"|"&amp;$B32),IFERROR(COUNTIFS(INDIRECT("'"&amp;$A32&amp;"'!$B$2:$B$501"),$T32,INDIRECT("'"&amp;$A32&amp;"'!$A$2:$A$501"),"&gt;="&amp;$I32,INDIRECT("'"&amp;$A32&amp;"'!$A$2:$A$501"),"&lt;"&amp;($BA32+1),INDIRECT("'"&amp;$A32&amp;"'!$E$2:$E$501"),"No"),0)))</f>
        <v>0</v>
      </c>
      <c r="AY32" s="30" t="n">
        <f aca="true">IF(OR($A32="",$I32=""),"",IF($BC32="Y",SUMIFS(survey_frozen!$M$2:$M$251,survey_frozen!$P$2:$P$251,$A32&amp;"|"&amp;$B32),IFERROR(COUNTIFS(INDIRECT("'"&amp;$A32&amp;"'!$B$2:$B$501"),$T32,INDIRECT("'"&amp;$A32&amp;"'!$A$2:$A$501"),"&gt;="&amp;$I32,INDIRECT("'"&amp;$A32&amp;"'!$A$2:$A$501"),"&lt;"&amp;($BA32+1),INDIRECT("'"&amp;$A32&amp;"'!$G$2:$G$501"),"&lt;&gt;"),0)))</f>
        <v>5</v>
      </c>
      <c r="AZ32" s="30" t="str">
        <f aca="false">IF($A32="","",$A32&amp;"|"&amp;$L32)</f>
        <v>SAMPLE-CMP-005|1</v>
      </c>
      <c r="BA32" s="31" t="n">
        <f aca="false">IF($A32="","",IFERROR(IF(INDEX(drops!$R$2:$R$21,MATCH($H32,drops!$A$2:$A$21,0))="","",INDEX(drops!$R$2:$R$21,MATCH($H32,drops!$A$2:$A$21,0))),""))</f>
        <v>46434</v>
      </c>
      <c r="BB32" s="30" t="n">
        <f aca="false">IF(OR($A32="",$Q32&lt;&gt;"Y"),1000000,N($AL32))</f>
        <v>9</v>
      </c>
      <c r="BC32" s="30" t="str">
        <f aca="false">IF($A32="","",IF(COUNTIF(survey_frozen!$P$2:$P$251,$A32&amp;"|"&amp;$B32)&gt;0,"Y",""))</f>
        <v/>
      </c>
      <c r="BD32" s="30" t="str">
        <f aca="false">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ustomFormat="false" ht="15" hidden="false" customHeight="false" outlineLevel="0" collapsed="false">
      <c r="A33" s="0" t="s">
        <v>549</v>
      </c>
      <c r="B33" s="0" t="s">
        <v>681</v>
      </c>
      <c r="C33" s="11" t="n">
        <v>46395</v>
      </c>
      <c r="D33" s="10" t="s">
        <v>496</v>
      </c>
      <c r="E33" s="11" t="n">
        <v>46397</v>
      </c>
      <c r="F33" s="10" t="s">
        <v>737</v>
      </c>
      <c r="H33" s="30" t="str">
        <f aca="false">IF($A33="","",IFERROR(IF(INDEX(campaigns!$B$2:$B$51,MATCH($A33,campaigns!$A$2:$A$51,0))="","",INDEX(campaigns!$B$2:$B$51,MATCH($A33,campaigns!$A$2:$A$51,0))),""))</f>
        <v>SAMPLE-DRP-002</v>
      </c>
      <c r="I33" s="31" t="n">
        <f aca="false">IF($A33="","",IFERROR(IF(INDEX(campaigns!$BG$2:$BG$51,MATCH($A33,campaigns!$A$2:$A$51,0))="","",INDEX(campaigns!$BG$2:$BG$51,MATCH($A33,campaigns!$A$2:$A$51,0))),""))</f>
        <v>46427</v>
      </c>
      <c r="J33" s="30" t="str">
        <f aca="false">IF($A33="","",IFERROR(IF(INDEX(campaigns!$BE$2:$BE$51,MATCH($A33,campaigns!$A$2:$A$51,0))="","",INDEX(campaigns!$BE$2:$BE$51,MATCH($A33,campaigns!$A$2:$A$51,0))),""))</f>
        <v>SAMPLE Kettle Ridge</v>
      </c>
      <c r="K33" s="30" t="str">
        <f aca="false">IF($B33="","",IFERROR(IF(INDEX(offices!$O$2:$O$61,MATCH($B33,offices!$A$2:$A$61,0))="","",INDEX(offices!$O$2:$O$61,MATCH($B33,offices!$A$2:$A$61,0))),""))</f>
        <v>SAMPLE Ferro Architecture</v>
      </c>
      <c r="L33" s="30" t="n">
        <f aca="false">IF($A33="","",IF($Q33="N","",COUNTIFS($A$2:$A33,$A33,$Q$2:$Q33,"&lt;&gt;N")))</f>
        <v>2</v>
      </c>
      <c r="M33" s="30" t="str">
        <f aca="false">IF(OR($A33="",$L33=""),"",IF(AND(config!$B$34="names_if_public",IFERROR(IF(INDEX(offices!$AG$2:$AG$61,MATCH($B33,offices!$A$2:$A$61,0))="","",INDEX(offices!$AG$2:$AG$61,MATCH($B33,offices!$A$2:$A$61,0))),"")="Y"),$K33,CHAR(64+$L33)))</f>
        <v>B</v>
      </c>
      <c r="N33" s="30" t="n">
        <f aca="false">IF(OR($A33="",$I33=""),"",COUNTIFS(stops!$B$2:$B$151,$B33,stops!$P$2:$P$151,"&lt;"&amp;$I33,stops!$L$2:$L$151,"&lt;&gt;not_delivered")+1)</f>
        <v>2</v>
      </c>
      <c r="O33" s="30" t="str">
        <f aca="false">IF($A33="","",IF(N($N33)&lt;=config!$B$29,"explicit","opt-out"))</f>
        <v>explicit</v>
      </c>
      <c r="P33" s="30" t="str">
        <f aca="false">IF($A33="","",IF($O33="explicit",IF($D33="yes","Y",IF($D33="no","N","pending")),IF($D33="no","N",IF(AND($C33&lt;&gt;"",$I33&lt;&gt;"",$C33&lt;=WORKDAY(N($I33),-5,calendar!$A$2:$A$80)),"Y","pending"))))</f>
        <v>Y</v>
      </c>
      <c r="Q33" s="30" t="str">
        <f aca="false">IF($A33="","",IF($P33="N","N",IF($P33&lt;&gt;"Y","pending",IF(AND((COUNTIFS(stops!$A$2:$A$151,$H33,stops!$B$2:$B$151,$B33,stops!$L$2:$L$151,"declined")+COUNTIFS(stops!$A$2:$A$151,$H33,stops!$B$2:$B$151,$B33,stops!$L$2:$L$151,"building_refused")+COUNTIFS(stops!$A$2:$A$151,$H33,stops!$B$2:$B$151,$B33,stops!$L$2:$L$151,"not_delivered"))&gt;0,N($U33)=0),"N","Y"))))</f>
        <v>Y</v>
      </c>
      <c r="R33" s="30" t="str">
        <f aca="false">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30" t="n">
        <f aca="false">IF($A33="","",IF($G33&lt;&gt;"",$G33,IFERROR(IF(INDEX(offices!$AM$2:$AM$61,MATCH($B33,offices!$A$2:$A$61,0))="","",INDEX(offices!$AM$2:$AM$61,MATCH($B33,offices!$A$2:$A$61,0))),"")))</f>
        <v>40</v>
      </c>
      <c r="T33" s="30" t="str">
        <f aca="false">IF($A33="","",$A33&amp;"."&amp;$B33)</f>
        <v>SAMPLE-CMP-005.SAMPLE-O-002</v>
      </c>
      <c r="U33" s="30" t="n">
        <f aca="false">IF($A33="","",SUMIFS(inventory!$G$2:$G$801,inventory!$C$2:$C$801,$A33,inventory!$D$2:$D$801,$B33,inventory!$E$2:$E$801,"delivered"))</f>
        <v>40</v>
      </c>
      <c r="V33" s="37" t="n">
        <f aca="false">IF($A33="","",IFERROR(1/(1/SUMPRODUCT(MAX((inventory!$C$2:$C$801=$A33)*(inventory!$D$2:$D$801=$B33)*(inventory!$E$2:$E$801="delivered")*(inventory!$A$2:$A$801+inventory!$B$2:$B$801)))),""))</f>
        <v>46427.3895833333</v>
      </c>
      <c r="W33" s="30" t="str">
        <f aca="false">IF($A33="","",IFERROR(IF(INDEX(inventory!$J$2:$J$801,MATCH($A33&amp;"|"&amp;$B33&amp;"|delivered",inventory!$R$2:$R$801,0))="","",INDEX(inventory!$J$2:$J$801,MATCH($A33&amp;"|"&amp;$B33&amp;"|delivered",inventory!$R$2:$R$801,0))),""))</f>
        <v>courier_count</v>
      </c>
      <c r="X33" s="30" t="str">
        <f aca="false">IF($A33="","",IFERROR(IF(INDEX(photos!$H$2:$H$701,MATCH($A33&amp;"|"&amp;$B33&amp;"|placement|Y",photos!$R$2:$R$701,0))="","",INDEX(photos!$H$2:$H$701,MATCH($A33&amp;"|"&amp;$B33&amp;"|placement|Y",photos!$R$2:$R$701,0))),""))</f>
        <v>SAMPLE-CMP-005_SAMPLE-O-002_placement_2027-02-09.jpg</v>
      </c>
      <c r="Y33" s="31" t="n">
        <f aca="false">IF($A33="","",IFERROR(IF(INDEX(photos!$E$2:$E$701,MATCH($A33&amp;"|"&amp;$B33&amp;"|placement|Y",photos!$R$2:$R$701,0))="","",INDEX(photos!$E$2:$E$701,MATCH($A33&amp;"|"&amp;$B33&amp;"|placement|Y",photos!$R$2:$R$701,0))),""))</f>
        <v>46427</v>
      </c>
      <c r="Z33" s="30" t="n">
        <f aca="false">IF($A33="","",IF(COUNTIFS(counts!$C$2:$C$701,$A33,counts!$D$2:$D$701,$B33,counts!$E$2:$E$701,"placed")=0,"",SUMIFS(counts!$F$2:$F$701,counts!$C$2:$C$701,$A33,counts!$D$2:$D$701,$B33,counts!$E$2:$E$701,"placed")))</f>
        <v>40</v>
      </c>
      <c r="AA33" s="30" t="n">
        <f aca="false">IF($A33="","",IF($Y33="",0,N($Z33)))</f>
        <v>40</v>
      </c>
      <c r="AB33" s="30" t="str">
        <f aca="false">IF($A33="","",IF(OR($Y33="",$I33=""),"N",IF($Y33&lt;=WORKDAY(N($I33),1,calendar!$A$2:$A$80),"Y","N")))</f>
        <v>Y</v>
      </c>
      <c r="AC33" s="33" t="n">
        <f aca="false">IF(OR($A33="",$V33="",$Y33=""),"",ROUND(($Y33+N(IFERROR(IF(INDEX(photos!$F$2:$F$701,MATCH($A33&amp;"|"&amp;$B33&amp;"|placement|Y",photos!$R$2:$R$701,0))="","",INDEX(photos!$F$2:$F$701,MATCH($A33&amp;"|"&amp;$B33&amp;"|placement|Y",photos!$R$2:$R$701,0))),""))-$V33)*24,1))</f>
        <v>3.7</v>
      </c>
      <c r="AD33" s="30" t="n">
        <f aca="false">IF($A33="","",SUMIFS(inventory!$G$2:$G$801,inventory!$C$2:$C$801,$A33,inventory!$D$2:$D$801,$B33,inventory!$E$2:$E$801,"topped_up"))</f>
        <v>0</v>
      </c>
      <c r="AE33" s="30" t="n">
        <f aca="false">IF($A33="","",IF(COUNTIFS(counts!$C$2:$C$701,$A33,counts!$D$2:$D$701,$B33,counts!$E$2:$E$701,"remaining_day3")=0,"",SUMIFS(counts!$F$2:$F$701,counts!$C$2:$C$701,$A33,counts!$D$2:$D$701,$B33,counts!$E$2:$E$701,"remaining_day3")))</f>
        <v>16</v>
      </c>
      <c r="AF33" s="30" t="n">
        <f aca="false">IF($A33="","",IF(COUNTIFS(counts!$C$2:$C$701,$A33,counts!$D$2:$D$701,$B33,counts!$E$2:$E$701,"remaining_day5")=0,"",SUMIFS(counts!$F$2:$F$701,counts!$C$2:$C$701,$A33,counts!$D$2:$D$701,$B33,counts!$E$2:$E$701,"remaining_day5")))</f>
        <v>3</v>
      </c>
      <c r="AG33" s="30" t="n">
        <f aca="false">IF(OR($A33="",$AF33=""),"",MAX(0,$AA33+$AD33-$AF33))</f>
        <v>37</v>
      </c>
      <c r="AH33" s="30" t="str">
        <f aca="false">IF(OR($A33="",$AI33=""),"",IFERROR(IF(INDEX(photos!$H$2:$H$701,MATCH($A33&amp;"|"&amp;$B33&amp;"|later|Y|"&amp;$AI33,photos!$S$2:$S$701,0))="","",INDEX(photos!$H$2:$H$701,MATCH($A33&amp;"|"&amp;$B33&amp;"|later|Y|"&amp;$AI33,photos!$S$2:$S$701,0))),""))</f>
        <v>SAMPLE-CMP-005_SAMPLE-O-002_later_2027-02-16.jpg</v>
      </c>
      <c r="AI33" s="31" t="n">
        <f aca="false">IF($A33="","",IFERROR(1/(1/SUMPRODUCT(MAX((photos!$B$2:$B$701=$A33)*(photos!$C$2:$C$701=$B33)*(photos!$D$2:$D$701="later")*(photos!$O$2:$O$701="Y")*photos!$E$2:$E$701))),""))</f>
        <v>46434</v>
      </c>
      <c r="AJ33" s="30" t="n">
        <f aca="false">IF(OR($A33="",$AI33="",$I33=""),"",NETWORKDAYS($I33,$AI33,calendar!$A$2:$A$80))</f>
        <v>5</v>
      </c>
      <c r="AK33" s="30" t="str">
        <f aca="false">IF($A33="","",IF(AND($X33&lt;&gt;"",$AH33&lt;&gt;""),"Y","N"))</f>
        <v>Y</v>
      </c>
      <c r="AL33" s="30" t="n">
        <f aca="true">IF(OR($A33="",$I33=""),"",IF($BC33="Y",SUMIFS(survey_frozen!$C$2:$C$251,survey_frozen!$P$2:$P$251,$A33&amp;"|"&amp;$B33),IFERROR(COUNTIFS(INDIRECT("'"&amp;$A33&amp;"'!$B$2:$B$501"),$T33,INDIRECT("'"&amp;$A33&amp;"'!$A$2:$A$501"),"&gt;="&amp;$I33,INDIRECT("'"&amp;$A33&amp;"'!$A$2:$A$501"),"&lt;"&amp;($BA33+1)),0)))</f>
        <v>6</v>
      </c>
      <c r="AM33" s="30" t="n">
        <f aca="true">IF(OR($A33="",$I33=""),"",IF($BC33="Y",SUMIFS(survey_frozen!$D$2:$D$251,survey_frozen!$P$2:$P$251,$A33&amp;"|"&amp;$B33),IFERROR(COUNTIFS(INDIRECT("'"&amp;$A33&amp;"'!$B$2:$B$501"),$T33,INDIRECT("'"&amp;$A33&amp;"'!$A$2:$A$501"),"&gt;="&amp;$I33,INDIRECT("'"&amp;$A33&amp;"'!$A$2:$A$501"),"&lt;"&amp;($BA33+1),INDIRECT("'"&amp;$A33&amp;"'!$C$2:$C$501"),"Yes"),0)))</f>
        <v>4</v>
      </c>
      <c r="AN33" s="30" t="n">
        <f aca="false">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4</v>
      </c>
      <c r="AO33" s="30" t="n">
        <f aca="false">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3</v>
      </c>
      <c r="AP33" s="30" t="str">
        <f aca="true">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30" t="n">
        <f aca="true">IF(OR($A33="",$I33=""),"",IF($BC33="Y",SUMIFS(survey_frozen!$E$2:$E$251,survey_frozen!$P$2:$P$251,$A33&amp;"|"&amp;$B33),IFERROR(COUNTIFS(INDIRECT("'"&amp;$A33&amp;"'!$B$2:$B$501"),$T33,INDIRECT("'"&amp;$A33&amp;"'!$A$2:$A$501"),"&gt;="&amp;$I33,INDIRECT("'"&amp;$A33&amp;"'!$A$2:$A$501"),"&lt;"&amp;($BA33+1),INDIRECT("'"&amp;$A33&amp;"'!$F$2:$F$501"),"Didn't see it"),0)))</f>
        <v>0</v>
      </c>
      <c r="AR33" s="30" t="n">
        <f aca="true">IF(OR($A33="",$I33=""),"",IF($BC33="Y",SUMIFS(survey_frozen!$F$2:$F$251,survey_frozen!$P$2:$P$251,$A33&amp;"|"&amp;$B33),IFERROR(COUNTIFS(INDIRECT("'"&amp;$A33&amp;"'!$B$2:$B$501"),$T33,INDIRECT("'"&amp;$A33&amp;"'!$A$2:$A$501"),"&gt;="&amp;$I33,INDIRECT("'"&amp;$A33&amp;"'!$A$2:$A$501"),"&lt;"&amp;($BA33+1),INDIRECT("'"&amp;$A33&amp;"'!$F$2:$F$501"),"Not for me"),0)))</f>
        <v>1</v>
      </c>
      <c r="AS33" s="30" t="n">
        <f aca="true">IF(OR($A33="",$I33=""),"",IF($BC33="Y",SUMIFS(survey_frozen!$G$2:$G$251,survey_frozen!$P$2:$P$251,$A33&amp;"|"&amp;$B33),IFERROR(COUNTIFS(INDIRECT("'"&amp;$A33&amp;"'!$B$2:$B$501"),$T33,INDIRECT("'"&amp;$A33&amp;"'!$A$2:$A$501"),"&gt;="&amp;$I33,INDIRECT("'"&amp;$A33&amp;"'!$A$2:$A$501"),"&lt;"&amp;($BA33+1),INDIRECT("'"&amp;$A33&amp;"'!$F$2:$F$501"),"Gone by the time I looked"),0)))</f>
        <v>1</v>
      </c>
      <c r="AT33" s="30" t="n">
        <f aca="true">IF(OR($A33="",$I33=""),"",IF($BC33="Y",SUMIFS(survey_frozen!$H$2:$H$251,survey_frozen!$P$2:$P$251,$A33&amp;"|"&amp;$B33),IFERROR(COUNTIFS(INDIRECT("'"&amp;$A33&amp;"'!$B$2:$B$501"),$T33,INDIRECT("'"&amp;$A33&amp;"'!$A$2:$A$501"),"&gt;="&amp;$I33,INDIRECT("'"&amp;$A33&amp;"'!$A$2:$A$501"),"&lt;"&amp;($BA33+1),INDIRECT("'"&amp;$A33&amp;"'!$D$2:$D$501"),"&gt;=1"),0)))</f>
        <v>4</v>
      </c>
      <c r="AU33" s="30" t="n">
        <f aca="true">IF(OR($A33="",$I33=""),"",IF($BC33="Y",SUMIFS(survey_frozen!$I$2:$I$251,survey_frozen!$P$2:$P$251,$A33&amp;"|"&amp;$B33),IFERROR(SUMIFS(INDIRECT("'"&amp;$A33&amp;"'!$D$2:$D$501"),INDIRECT("'"&amp;$A33&amp;"'!$B$2:$B$501"),$T33,INDIRECT("'"&amp;$A33&amp;"'!$A$2:$A$501"),"&gt;="&amp;$I33,INDIRECT("'"&amp;$A33&amp;"'!$A$2:$A$501"),"&lt;"&amp;($BA33+1)),0)))</f>
        <v>19</v>
      </c>
      <c r="AV33" s="30" t="n">
        <f aca="true">IF(OR($A33="",$I33=""),"",IF($BC33="Y",SUMIFS(survey_frozen!$J$2:$J$251,survey_frozen!$P$2:$P$251,$A33&amp;"|"&amp;$B33),IFERROR(COUNTIFS(INDIRECT("'"&amp;$A33&amp;"'!$B$2:$B$501"),$T33,INDIRECT("'"&amp;$A33&amp;"'!$A$2:$A$501"),"&gt;="&amp;$I33,INDIRECT("'"&amp;$A33&amp;"'!$A$2:$A$501"),"&lt;"&amp;($BA33+1),INDIRECT("'"&amp;$A33&amp;"'!$E$2:$E$501"),"Yes"),0)))</f>
        <v>1</v>
      </c>
      <c r="AW33" s="30" t="n">
        <f aca="true">IF(OR($A33="",$I33=""),"",IF($BC33="Y",SUMIFS(survey_frozen!$K$2:$K$251,survey_frozen!$P$2:$P$251,$A33&amp;"|"&amp;$B33),IFERROR(COUNTIFS(INDIRECT("'"&amp;$A33&amp;"'!$B$2:$B$501"),$T33,INDIRECT("'"&amp;$A33&amp;"'!$A$2:$A$501"),"&gt;="&amp;$I33,INDIRECT("'"&amp;$A33&amp;"'!$A$2:$A$501"),"&lt;"&amp;($BA33+1),INDIRECT("'"&amp;$A33&amp;"'!$E$2:$E$501"),"Maybe"),0)))</f>
        <v>2</v>
      </c>
      <c r="AX33" s="30" t="n">
        <f aca="true">IF(OR($A33="",$I33=""),"",IF($BC33="Y",SUMIFS(survey_frozen!$L$2:$L$251,survey_frozen!$P$2:$P$251,$A33&amp;"|"&amp;$B33),IFERROR(COUNTIFS(INDIRECT("'"&amp;$A33&amp;"'!$B$2:$B$501"),$T33,INDIRECT("'"&amp;$A33&amp;"'!$A$2:$A$501"),"&gt;="&amp;$I33,INDIRECT("'"&amp;$A33&amp;"'!$A$2:$A$501"),"&lt;"&amp;($BA33+1),INDIRECT("'"&amp;$A33&amp;"'!$E$2:$E$501"),"No"),0)))</f>
        <v>1</v>
      </c>
      <c r="AY33" s="30" t="n">
        <f aca="true">IF(OR($A33="",$I33=""),"",IF($BC33="Y",SUMIFS(survey_frozen!$M$2:$M$251,survey_frozen!$P$2:$P$251,$A33&amp;"|"&amp;$B33),IFERROR(COUNTIFS(INDIRECT("'"&amp;$A33&amp;"'!$B$2:$B$501"),$T33,INDIRECT("'"&amp;$A33&amp;"'!$A$2:$A$501"),"&gt;="&amp;$I33,INDIRECT("'"&amp;$A33&amp;"'!$A$2:$A$501"),"&lt;"&amp;($BA33+1),INDIRECT("'"&amp;$A33&amp;"'!$G$2:$G$501"),"&lt;&gt;"),0)))</f>
        <v>2</v>
      </c>
      <c r="AZ33" s="30" t="str">
        <f aca="false">IF($A33="","",$A33&amp;"|"&amp;$L33)</f>
        <v>SAMPLE-CMP-005|2</v>
      </c>
      <c r="BA33" s="31" t="n">
        <f aca="false">IF($A33="","",IFERROR(IF(INDEX(drops!$R$2:$R$21,MATCH($H33,drops!$A$2:$A$21,0))="","",INDEX(drops!$R$2:$R$21,MATCH($H33,drops!$A$2:$A$21,0))),""))</f>
        <v>46434</v>
      </c>
      <c r="BB33" s="30" t="n">
        <f aca="false">IF(OR($A33="",$Q33&lt;&gt;"Y"),1000000,N($AL33))</f>
        <v>6</v>
      </c>
      <c r="BC33" s="30" t="str">
        <f aca="false">IF($A33="","",IF(COUNTIF(survey_frozen!$P$2:$P$251,$A33&amp;"|"&amp;$B33)&gt;0,"Y",""))</f>
        <v/>
      </c>
      <c r="BD33" s="30" t="str">
        <f aca="false">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ustomFormat="false" ht="15" hidden="false" customHeight="false" outlineLevel="0" collapsed="false">
      <c r="A34" s="0" t="s">
        <v>549</v>
      </c>
      <c r="B34" s="0" t="s">
        <v>683</v>
      </c>
      <c r="C34" s="11" t="n">
        <v>46395</v>
      </c>
      <c r="D34" s="10" t="s">
        <v>496</v>
      </c>
      <c r="E34" s="11" t="n">
        <v>46398</v>
      </c>
      <c r="F34" s="10" t="s">
        <v>737</v>
      </c>
      <c r="H34" s="30" t="str">
        <f aca="false">IF($A34="","",IFERROR(IF(INDEX(campaigns!$B$2:$B$51,MATCH($A34,campaigns!$A$2:$A$51,0))="","",INDEX(campaigns!$B$2:$B$51,MATCH($A34,campaigns!$A$2:$A$51,0))),""))</f>
        <v>SAMPLE-DRP-002</v>
      </c>
      <c r="I34" s="31" t="n">
        <f aca="false">IF($A34="","",IFERROR(IF(INDEX(campaigns!$BG$2:$BG$51,MATCH($A34,campaigns!$A$2:$A$51,0))="","",INDEX(campaigns!$BG$2:$BG$51,MATCH($A34,campaigns!$A$2:$A$51,0))),""))</f>
        <v>46427</v>
      </c>
      <c r="J34" s="30" t="str">
        <f aca="false">IF($A34="","",IFERROR(IF(INDEX(campaigns!$BE$2:$BE$51,MATCH($A34,campaigns!$A$2:$A$51,0))="","",INDEX(campaigns!$BE$2:$BE$51,MATCH($A34,campaigns!$A$2:$A$51,0))),""))</f>
        <v>SAMPLE Kettle Ridge</v>
      </c>
      <c r="K34" s="30" t="str">
        <f aca="false">IF($B34="","",IFERROR(IF(INDEX(offices!$O$2:$O$61,MATCH($B34,offices!$A$2:$A$61,0))="","",INDEX(offices!$O$2:$O$61,MATCH($B34,offices!$A$2:$A$61,0))),""))</f>
        <v>SAMPLE Halcyon Media</v>
      </c>
      <c r="L34" s="30" t="n">
        <f aca="false">IF($A34="","",IF($Q34="N","",COUNTIFS($A$2:$A34,$A34,$Q$2:$Q34,"&lt;&gt;N")))</f>
        <v>3</v>
      </c>
      <c r="M34" s="30" t="str">
        <f aca="false">IF(OR($A34="",$L34=""),"",IF(AND(config!$B$34="names_if_public",IFERROR(IF(INDEX(offices!$AG$2:$AG$61,MATCH($B34,offices!$A$2:$A$61,0))="","",INDEX(offices!$AG$2:$AG$61,MATCH($B34,offices!$A$2:$A$61,0))),"")="Y"),$K34,CHAR(64+$L34)))</f>
        <v>C</v>
      </c>
      <c r="N34" s="30" t="n">
        <f aca="false">IF(OR($A34="",$I34=""),"",COUNTIFS(stops!$B$2:$B$151,$B34,stops!$P$2:$P$151,"&lt;"&amp;$I34,stops!$L$2:$L$151,"&lt;&gt;not_delivered")+1)</f>
        <v>2</v>
      </c>
      <c r="O34" s="30" t="str">
        <f aca="false">IF($A34="","",IF(N($N34)&lt;=config!$B$29,"explicit","opt-out"))</f>
        <v>explicit</v>
      </c>
      <c r="P34" s="30" t="str">
        <f aca="false">IF($A34="","",IF($O34="explicit",IF($D34="yes","Y",IF($D34="no","N","pending")),IF($D34="no","N",IF(AND($C34&lt;&gt;"",$I34&lt;&gt;"",$C34&lt;=WORKDAY(N($I34),-5,calendar!$A$2:$A$80)),"Y","pending"))))</f>
        <v>Y</v>
      </c>
      <c r="Q34" s="30" t="str">
        <f aca="false">IF($A34="","",IF($P34="N","N",IF($P34&lt;&gt;"Y","pending",IF(AND((COUNTIFS(stops!$A$2:$A$151,$H34,stops!$B$2:$B$151,$B34,stops!$L$2:$L$151,"declined")+COUNTIFS(stops!$A$2:$A$151,$H34,stops!$B$2:$B$151,$B34,stops!$L$2:$L$151,"building_refused")+COUNTIFS(stops!$A$2:$A$151,$H34,stops!$B$2:$B$151,$B34,stops!$L$2:$L$151,"not_delivered"))&gt;0,N($U34)=0),"N","Y"))))</f>
        <v>Y</v>
      </c>
      <c r="R34" s="30" t="str">
        <f aca="false">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30" t="n">
        <f aca="false">IF($A34="","",IF($G34&lt;&gt;"",$G34,IFERROR(IF(INDEX(offices!$AM$2:$AM$61,MATCH($B34,offices!$A$2:$A$61,0))="","",INDEX(offices!$AM$2:$AM$61,MATCH($B34,offices!$A$2:$A$61,0))),"")))</f>
        <v>50</v>
      </c>
      <c r="T34" s="30" t="str">
        <f aca="false">IF($A34="","",$A34&amp;"."&amp;$B34)</f>
        <v>SAMPLE-CMP-005.SAMPLE-O-003</v>
      </c>
      <c r="U34" s="30" t="n">
        <f aca="false">IF($A34="","",SUMIFS(inventory!$G$2:$G$801,inventory!$C$2:$C$801,$A34,inventory!$D$2:$D$801,$B34,inventory!$E$2:$E$801,"delivered"))</f>
        <v>50</v>
      </c>
      <c r="V34" s="37" t="n">
        <f aca="false">IF($A34="","",IFERROR(1/(1/SUMPRODUCT(MAX((inventory!$C$2:$C$801=$A34)*(inventory!$D$2:$D$801=$B34)*(inventory!$E$2:$E$801="delivered")*(inventory!$A$2:$A$801+inventory!$B$2:$B$801)))),""))</f>
        <v>46427.3770833333</v>
      </c>
      <c r="W34" s="30" t="str">
        <f aca="false">IF($A34="","",IFERROR(IF(INDEX(inventory!$J$2:$J$801,MATCH($A34&amp;"|"&amp;$B34&amp;"|delivered",inventory!$R$2:$R$801,0))="","",INDEX(inventory!$J$2:$J$801,MATCH($A34&amp;"|"&amp;$B34&amp;"|delivered",inventory!$R$2:$R$801,0))),""))</f>
        <v>courier_count</v>
      </c>
      <c r="X34" s="30" t="str">
        <f aca="false">IF($A34="","",IFERROR(IF(INDEX(photos!$H$2:$H$701,MATCH($A34&amp;"|"&amp;$B34&amp;"|placement|Y",photos!$R$2:$R$701,0))="","",INDEX(photos!$H$2:$H$701,MATCH($A34&amp;"|"&amp;$B34&amp;"|placement|Y",photos!$R$2:$R$701,0))),""))</f>
        <v>SAMPLE-CMP-005_SAMPLE-O-003_placement_2027-02-09.jpg</v>
      </c>
      <c r="Y34" s="31" t="n">
        <f aca="false">IF($A34="","",IFERROR(IF(INDEX(photos!$E$2:$E$701,MATCH($A34&amp;"|"&amp;$B34&amp;"|placement|Y",photos!$R$2:$R$701,0))="","",INDEX(photos!$E$2:$E$701,MATCH($A34&amp;"|"&amp;$B34&amp;"|placement|Y",photos!$R$2:$R$701,0))),""))</f>
        <v>46427</v>
      </c>
      <c r="Z34" s="30" t="n">
        <f aca="false">IF($A34="","",IF(COUNTIFS(counts!$C$2:$C$701,$A34,counts!$D$2:$D$701,$B34,counts!$E$2:$E$701,"placed")=0,"",SUMIFS(counts!$F$2:$F$701,counts!$C$2:$C$701,$A34,counts!$D$2:$D$701,$B34,counts!$E$2:$E$701,"placed")))</f>
        <v>50</v>
      </c>
      <c r="AA34" s="30" t="n">
        <f aca="false">IF($A34="","",IF($Y34="",0,N($Z34)))</f>
        <v>50</v>
      </c>
      <c r="AB34" s="30" t="str">
        <f aca="false">IF($A34="","",IF(OR($Y34="",$I34=""),"N",IF($Y34&lt;=WORKDAY(N($I34),1,calendar!$A$2:$A$80),"Y","N")))</f>
        <v>Y</v>
      </c>
      <c r="AC34" s="33" t="n">
        <f aca="false">IF(OR($A34="",$V34="",$Y34=""),"",ROUND(($Y34+N(IFERROR(IF(INDEX(photos!$F$2:$F$701,MATCH($A34&amp;"|"&amp;$B34&amp;"|placement|Y",photos!$R$2:$R$701,0))="","",INDEX(photos!$F$2:$F$701,MATCH($A34&amp;"|"&amp;$B34&amp;"|placement|Y",photos!$R$2:$R$701,0))),""))-$V34)*24,1))</f>
        <v>4</v>
      </c>
      <c r="AD34" s="30" t="n">
        <f aca="false">IF($A34="","",SUMIFS(inventory!$G$2:$G$801,inventory!$C$2:$C$801,$A34,inventory!$D$2:$D$801,$B34,inventory!$E$2:$E$801,"topped_up"))</f>
        <v>0</v>
      </c>
      <c r="AE34" s="30" t="n">
        <f aca="false">IF($A34="","",IF(COUNTIFS(counts!$C$2:$C$701,$A34,counts!$D$2:$D$701,$B34,counts!$E$2:$E$701,"remaining_day3")=0,"",SUMIFS(counts!$F$2:$F$701,counts!$C$2:$C$701,$A34,counts!$D$2:$D$701,$B34,counts!$E$2:$E$701,"remaining_day3")))</f>
        <v>26</v>
      </c>
      <c r="AF34" s="30" t="n">
        <f aca="false">IF($A34="","",IF(COUNTIFS(counts!$C$2:$C$701,$A34,counts!$D$2:$D$701,$B34,counts!$E$2:$E$701,"remaining_day5")=0,"",SUMIFS(counts!$F$2:$F$701,counts!$C$2:$C$701,$A34,counts!$D$2:$D$701,$B34,counts!$E$2:$E$701,"remaining_day5")))</f>
        <v>8</v>
      </c>
      <c r="AG34" s="30" t="n">
        <f aca="false">IF(OR($A34="",$AF34=""),"",MAX(0,$AA34+$AD34-$AF34))</f>
        <v>42</v>
      </c>
      <c r="AH34" s="30" t="str">
        <f aca="false">IF(OR($A34="",$AI34=""),"",IFERROR(IF(INDEX(photos!$H$2:$H$701,MATCH($A34&amp;"|"&amp;$B34&amp;"|later|Y|"&amp;$AI34,photos!$S$2:$S$701,0))="","",INDEX(photos!$H$2:$H$701,MATCH($A34&amp;"|"&amp;$B34&amp;"|later|Y|"&amp;$AI34,photos!$S$2:$S$701,0))),""))</f>
        <v>SAMPLE-CMP-005_SAMPLE-O-003_later_2027-02-16.jpg</v>
      </c>
      <c r="AI34" s="31" t="n">
        <f aca="false">IF($A34="","",IFERROR(1/(1/SUMPRODUCT(MAX((photos!$B$2:$B$701=$A34)*(photos!$C$2:$C$701=$B34)*(photos!$D$2:$D$701="later")*(photos!$O$2:$O$701="Y")*photos!$E$2:$E$701))),""))</f>
        <v>46434</v>
      </c>
      <c r="AJ34" s="30" t="n">
        <f aca="false">IF(OR($A34="",$AI34="",$I34=""),"",NETWORKDAYS($I34,$AI34,calendar!$A$2:$A$80))</f>
        <v>5</v>
      </c>
      <c r="AK34" s="30" t="str">
        <f aca="false">IF($A34="","",IF(AND($X34&lt;&gt;"",$AH34&lt;&gt;""),"Y","N"))</f>
        <v>Y</v>
      </c>
      <c r="AL34" s="30" t="n">
        <f aca="true">IF(OR($A34="",$I34=""),"",IF($BC34="Y",SUMIFS(survey_frozen!$C$2:$C$251,survey_frozen!$P$2:$P$251,$A34&amp;"|"&amp;$B34),IFERROR(COUNTIFS(INDIRECT("'"&amp;$A34&amp;"'!$B$2:$B$501"),$T34,INDIRECT("'"&amp;$A34&amp;"'!$A$2:$A$501"),"&gt;="&amp;$I34,INDIRECT("'"&amp;$A34&amp;"'!$A$2:$A$501"),"&lt;"&amp;($BA34+1)),0)))</f>
        <v>8</v>
      </c>
      <c r="AM34" s="30" t="n">
        <f aca="true">IF(OR($A34="",$I34=""),"",IF($BC34="Y",SUMIFS(survey_frozen!$D$2:$D$251,survey_frozen!$P$2:$P$251,$A34&amp;"|"&amp;$B34),IFERROR(COUNTIFS(INDIRECT("'"&amp;$A34&amp;"'!$B$2:$B$501"),$T34,INDIRECT("'"&amp;$A34&amp;"'!$A$2:$A$501"),"&gt;="&amp;$I34,INDIRECT("'"&amp;$A34&amp;"'!$A$2:$A$501"),"&lt;"&amp;($BA34+1),INDIRECT("'"&amp;$A34&amp;"'!$C$2:$C$501"),"Yes"),0)))</f>
        <v>3</v>
      </c>
      <c r="AN34" s="30" t="n">
        <f aca="false">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12</v>
      </c>
      <c r="AO34" s="30" t="n">
        <f aca="false">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11</v>
      </c>
      <c r="AP34" s="30" t="str">
        <f aca="true">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30" t="n">
        <f aca="true">IF(OR($A34="",$I34=""),"",IF($BC34="Y",SUMIFS(survey_frozen!$E$2:$E$251,survey_frozen!$P$2:$P$251,$A34&amp;"|"&amp;$B34),IFERROR(COUNTIFS(INDIRECT("'"&amp;$A34&amp;"'!$B$2:$B$501"),$T34,INDIRECT("'"&amp;$A34&amp;"'!$A$2:$A$501"),"&gt;="&amp;$I34,INDIRECT("'"&amp;$A34&amp;"'!$A$2:$A$501"),"&lt;"&amp;($BA34+1),INDIRECT("'"&amp;$A34&amp;"'!$F$2:$F$501"),"Didn't see it"),0)))</f>
        <v>3</v>
      </c>
      <c r="AR34" s="30" t="n">
        <f aca="true">IF(OR($A34="",$I34=""),"",IF($BC34="Y",SUMIFS(survey_frozen!$F$2:$F$251,survey_frozen!$P$2:$P$251,$A34&amp;"|"&amp;$B34),IFERROR(COUNTIFS(INDIRECT("'"&amp;$A34&amp;"'!$B$2:$B$501"),$T34,INDIRECT("'"&amp;$A34&amp;"'!$A$2:$A$501"),"&gt;="&amp;$I34,INDIRECT("'"&amp;$A34&amp;"'!$A$2:$A$501"),"&lt;"&amp;($BA34+1),INDIRECT("'"&amp;$A34&amp;"'!$F$2:$F$501"),"Not for me"),0)))</f>
        <v>2</v>
      </c>
      <c r="AS34" s="30" t="n">
        <f aca="true">IF(OR($A34="",$I34=""),"",IF($BC34="Y",SUMIFS(survey_frozen!$G$2:$G$251,survey_frozen!$P$2:$P$251,$A34&amp;"|"&amp;$B34),IFERROR(COUNTIFS(INDIRECT("'"&amp;$A34&amp;"'!$B$2:$B$501"),$T34,INDIRECT("'"&amp;$A34&amp;"'!$A$2:$A$501"),"&gt;="&amp;$I34,INDIRECT("'"&amp;$A34&amp;"'!$A$2:$A$501"),"&lt;"&amp;($BA34+1),INDIRECT("'"&amp;$A34&amp;"'!$F$2:$F$501"),"Gone by the time I looked"),0)))</f>
        <v>0</v>
      </c>
      <c r="AT34" s="30" t="n">
        <f aca="true">IF(OR($A34="",$I34=""),"",IF($BC34="Y",SUMIFS(survey_frozen!$H$2:$H$251,survey_frozen!$P$2:$P$251,$A34&amp;"|"&amp;$B34),IFERROR(COUNTIFS(INDIRECT("'"&amp;$A34&amp;"'!$B$2:$B$501"),$T34,INDIRECT("'"&amp;$A34&amp;"'!$A$2:$A$501"),"&gt;="&amp;$I34,INDIRECT("'"&amp;$A34&amp;"'!$A$2:$A$501"),"&lt;"&amp;($BA34+1),INDIRECT("'"&amp;$A34&amp;"'!$D$2:$D$501"),"&gt;=1"),0)))</f>
        <v>3</v>
      </c>
      <c r="AU34" s="30" t="n">
        <f aca="true">IF(OR($A34="",$I34=""),"",IF($BC34="Y",SUMIFS(survey_frozen!$I$2:$I$251,survey_frozen!$P$2:$P$251,$A34&amp;"|"&amp;$B34),IFERROR(SUMIFS(INDIRECT("'"&amp;$A34&amp;"'!$D$2:$D$501"),INDIRECT("'"&amp;$A34&amp;"'!$B$2:$B$501"),$T34,INDIRECT("'"&amp;$A34&amp;"'!$A$2:$A$501"),"&gt;="&amp;$I34,INDIRECT("'"&amp;$A34&amp;"'!$A$2:$A$501"),"&lt;"&amp;($BA34+1)),0)))</f>
        <v>12</v>
      </c>
      <c r="AV34" s="30" t="n">
        <f aca="true">IF(OR($A34="",$I34=""),"",IF($BC34="Y",SUMIFS(survey_frozen!$J$2:$J$251,survey_frozen!$P$2:$P$251,$A34&amp;"|"&amp;$B34),IFERROR(COUNTIFS(INDIRECT("'"&amp;$A34&amp;"'!$B$2:$B$501"),$T34,INDIRECT("'"&amp;$A34&amp;"'!$A$2:$A$501"),"&gt;="&amp;$I34,INDIRECT("'"&amp;$A34&amp;"'!$A$2:$A$501"),"&lt;"&amp;($BA34+1),INDIRECT("'"&amp;$A34&amp;"'!$E$2:$E$501"),"Yes"),0)))</f>
        <v>2</v>
      </c>
      <c r="AW34" s="30" t="n">
        <f aca="true">IF(OR($A34="",$I34=""),"",IF($BC34="Y",SUMIFS(survey_frozen!$K$2:$K$251,survey_frozen!$P$2:$P$251,$A34&amp;"|"&amp;$B34),IFERROR(COUNTIFS(INDIRECT("'"&amp;$A34&amp;"'!$B$2:$B$501"),$T34,INDIRECT("'"&amp;$A34&amp;"'!$A$2:$A$501"),"&gt;="&amp;$I34,INDIRECT("'"&amp;$A34&amp;"'!$A$2:$A$501"),"&lt;"&amp;($BA34+1),INDIRECT("'"&amp;$A34&amp;"'!$E$2:$E$501"),"Maybe"),0)))</f>
        <v>1</v>
      </c>
      <c r="AX34" s="30" t="n">
        <f aca="true">IF(OR($A34="",$I34=""),"",IF($BC34="Y",SUMIFS(survey_frozen!$L$2:$L$251,survey_frozen!$P$2:$P$251,$A34&amp;"|"&amp;$B34),IFERROR(COUNTIFS(INDIRECT("'"&amp;$A34&amp;"'!$B$2:$B$501"),$T34,INDIRECT("'"&amp;$A34&amp;"'!$A$2:$A$501"),"&gt;="&amp;$I34,INDIRECT("'"&amp;$A34&amp;"'!$A$2:$A$501"),"&lt;"&amp;($BA34+1),INDIRECT("'"&amp;$A34&amp;"'!$E$2:$E$501"),"No"),0)))</f>
        <v>0</v>
      </c>
      <c r="AY34" s="30" t="n">
        <f aca="true">IF(OR($A34="",$I34=""),"",IF($BC34="Y",SUMIFS(survey_frozen!$M$2:$M$251,survey_frozen!$P$2:$P$251,$A34&amp;"|"&amp;$B34),IFERROR(COUNTIFS(INDIRECT("'"&amp;$A34&amp;"'!$B$2:$B$501"),$T34,INDIRECT("'"&amp;$A34&amp;"'!$A$2:$A$501"),"&gt;="&amp;$I34,INDIRECT("'"&amp;$A34&amp;"'!$A$2:$A$501"),"&lt;"&amp;($BA34+1),INDIRECT("'"&amp;$A34&amp;"'!$G$2:$G$501"),"&lt;&gt;"),0)))</f>
        <v>3</v>
      </c>
      <c r="AZ34" s="30" t="str">
        <f aca="false">IF($A34="","",$A34&amp;"|"&amp;$L34)</f>
        <v>SAMPLE-CMP-005|3</v>
      </c>
      <c r="BA34" s="31" t="n">
        <f aca="false">IF($A34="","",IFERROR(IF(INDEX(drops!$R$2:$R$21,MATCH($H34,drops!$A$2:$A$21,0))="","",INDEX(drops!$R$2:$R$21,MATCH($H34,drops!$A$2:$A$21,0))),""))</f>
        <v>46434</v>
      </c>
      <c r="BB34" s="30" t="n">
        <f aca="false">IF(OR($A34="",$Q34&lt;&gt;"Y"),1000000,N($AL34))</f>
        <v>8</v>
      </c>
      <c r="BC34" s="30" t="str">
        <f aca="false">IF($A34="","",IF(COUNTIF(survey_frozen!$P$2:$P$251,$A34&amp;"|"&amp;$B34)&gt;0,"Y",""))</f>
        <v/>
      </c>
      <c r="BD34" s="30" t="str">
        <f aca="false">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ustomFormat="false" ht="15" hidden="false" customHeight="false" outlineLevel="0" collapsed="false">
      <c r="A35" s="0" t="s">
        <v>549</v>
      </c>
      <c r="B35" s="0" t="s">
        <v>686</v>
      </c>
      <c r="C35" s="11" t="n">
        <v>46395</v>
      </c>
      <c r="D35" s="10" t="s">
        <v>496</v>
      </c>
      <c r="E35" s="11" t="n">
        <v>46396</v>
      </c>
      <c r="F35" s="10" t="s">
        <v>737</v>
      </c>
      <c r="H35" s="30" t="str">
        <f aca="false">IF($A35="","",IFERROR(IF(INDEX(campaigns!$B$2:$B$51,MATCH($A35,campaigns!$A$2:$A$51,0))="","",INDEX(campaigns!$B$2:$B$51,MATCH($A35,campaigns!$A$2:$A$51,0))),""))</f>
        <v>SAMPLE-DRP-002</v>
      </c>
      <c r="I35" s="31" t="n">
        <f aca="false">IF($A35="","",IFERROR(IF(INDEX(campaigns!$BG$2:$BG$51,MATCH($A35,campaigns!$A$2:$A$51,0))="","",INDEX(campaigns!$BG$2:$BG$51,MATCH($A35,campaigns!$A$2:$A$51,0))),""))</f>
        <v>46427</v>
      </c>
      <c r="J35" s="30" t="str">
        <f aca="false">IF($A35="","",IFERROR(IF(INDEX(campaigns!$BE$2:$BE$51,MATCH($A35,campaigns!$A$2:$A$51,0))="","",INDEX(campaigns!$BE$2:$BE$51,MATCH($A35,campaigns!$A$2:$A$51,0))),""))</f>
        <v>SAMPLE Kettle Ridge</v>
      </c>
      <c r="K35" s="30" t="str">
        <f aca="false">IF($B35="","",IFERROR(IF(INDEX(offices!$O$2:$O$61,MATCH($B35,offices!$A$2:$A$61,0))="","",INDEX(offices!$O$2:$O$61,MATCH($B35,offices!$A$2:$A$61,0))),""))</f>
        <v>SAMPLE Union Food Fund</v>
      </c>
      <c r="L35" s="30" t="n">
        <f aca="false">IF($A35="","",IF($Q35="N","",COUNTIFS($A$2:$A35,$A35,$Q$2:$Q35,"&lt;&gt;N")))</f>
        <v>4</v>
      </c>
      <c r="M35" s="30" t="str">
        <f aca="false">IF(OR($A35="",$L35=""),"",IF(AND(config!$B$34="names_if_public",IFERROR(IF(INDEX(offices!$AG$2:$AG$61,MATCH($B35,offices!$A$2:$A$61,0))="","",INDEX(offices!$AG$2:$AG$61,MATCH($B35,offices!$A$2:$A$61,0))),"")="Y"),$K35,CHAR(64+$L35)))</f>
        <v>D</v>
      </c>
      <c r="N35" s="30" t="n">
        <f aca="false">IF(OR($A35="",$I35=""),"",COUNTIFS(stops!$B$2:$B$151,$B35,stops!$P$2:$P$151,"&lt;"&amp;$I35,stops!$L$2:$L$151,"&lt;&gt;not_delivered")+1)</f>
        <v>2</v>
      </c>
      <c r="O35" s="30" t="str">
        <f aca="false">IF($A35="","",IF(N($N35)&lt;=config!$B$29,"explicit","opt-out"))</f>
        <v>explicit</v>
      </c>
      <c r="P35" s="30" t="str">
        <f aca="false">IF($A35="","",IF($O35="explicit",IF($D35="yes","Y",IF($D35="no","N","pending")),IF($D35="no","N",IF(AND($C35&lt;&gt;"",$I35&lt;&gt;"",$C35&lt;=WORKDAY(N($I35),-5,calendar!$A$2:$A$80)),"Y","pending"))))</f>
        <v>Y</v>
      </c>
      <c r="Q35" s="30" t="str">
        <f aca="false">IF($A35="","",IF($P35="N","N",IF($P35&lt;&gt;"Y","pending",IF(AND((COUNTIFS(stops!$A$2:$A$151,$H35,stops!$B$2:$B$151,$B35,stops!$L$2:$L$151,"declined")+COUNTIFS(stops!$A$2:$A$151,$H35,stops!$B$2:$B$151,$B35,stops!$L$2:$L$151,"building_refused")+COUNTIFS(stops!$A$2:$A$151,$H35,stops!$B$2:$B$151,$B35,stops!$L$2:$L$151,"not_delivered"))&gt;0,N($U35)=0),"N","Y"))))</f>
        <v>Y</v>
      </c>
      <c r="R35" s="30" t="str">
        <f aca="false">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30" t="n">
        <f aca="false">IF($A35="","",IF($G35&lt;&gt;"",$G35,IFERROR(IF(INDEX(offices!$AM$2:$AM$61,MATCH($B35,offices!$A$2:$A$61,0))="","",INDEX(offices!$AM$2:$AM$61,MATCH($B35,offices!$A$2:$A$61,0))),"")))</f>
        <v>50</v>
      </c>
      <c r="T35" s="30" t="str">
        <f aca="false">IF($A35="","",$A35&amp;"."&amp;$B35)</f>
        <v>SAMPLE-CMP-005.SAMPLE-O-004</v>
      </c>
      <c r="U35" s="30" t="n">
        <f aca="false">IF($A35="","",SUMIFS(inventory!$G$2:$G$801,inventory!$C$2:$C$801,$A35,inventory!$D$2:$D$801,$B35,inventory!$E$2:$E$801,"delivered"))</f>
        <v>50</v>
      </c>
      <c r="V35" s="37" t="n">
        <f aca="false">IF($A35="","",IFERROR(1/(1/SUMPRODUCT(MAX((inventory!$C$2:$C$801=$A35)*(inventory!$D$2:$D$801=$B35)*(inventory!$E$2:$E$801="delivered")*(inventory!$A$2:$A$801+inventory!$B$2:$B$801)))),""))</f>
        <v>46427.4298611111</v>
      </c>
      <c r="W35" s="30" t="str">
        <f aca="false">IF($A35="","",IFERROR(IF(INDEX(inventory!$J$2:$J$801,MATCH($A35&amp;"|"&amp;$B35&amp;"|delivered",inventory!$R$2:$R$801,0))="","",INDEX(inventory!$J$2:$J$801,MATCH($A35&amp;"|"&amp;$B35&amp;"|delivered",inventory!$R$2:$R$801,0))),""))</f>
        <v>courier_count</v>
      </c>
      <c r="X35" s="30" t="str">
        <f aca="false">IF($A35="","",IFERROR(IF(INDEX(photos!$H$2:$H$701,MATCH($A35&amp;"|"&amp;$B35&amp;"|placement|Y",photos!$R$2:$R$701,0))="","",INDEX(photos!$H$2:$H$701,MATCH($A35&amp;"|"&amp;$B35&amp;"|placement|Y",photos!$R$2:$R$701,0))),""))</f>
        <v>SAMPLE-CMP-005_SAMPLE-O-004_placement_2027-02-10.jpg</v>
      </c>
      <c r="Y35" s="31" t="n">
        <f aca="false">IF($A35="","",IFERROR(IF(INDEX(photos!$E$2:$E$701,MATCH($A35&amp;"|"&amp;$B35&amp;"|placement|Y",photos!$R$2:$R$701,0))="","",INDEX(photos!$E$2:$E$701,MATCH($A35&amp;"|"&amp;$B35&amp;"|placement|Y",photos!$R$2:$R$701,0))),""))</f>
        <v>46428</v>
      </c>
      <c r="Z35" s="30" t="n">
        <f aca="false">IF($A35="","",IF(COUNTIFS(counts!$C$2:$C$701,$A35,counts!$D$2:$D$701,$B35,counts!$E$2:$E$701,"placed")=0,"",SUMIFS(counts!$F$2:$F$701,counts!$C$2:$C$701,$A35,counts!$D$2:$D$701,$B35,counts!$E$2:$E$701,"placed")))</f>
        <v>50</v>
      </c>
      <c r="AA35" s="30" t="n">
        <f aca="false">IF($A35="","",IF($Y35="",0,N($Z35)))</f>
        <v>50</v>
      </c>
      <c r="AB35" s="30" t="str">
        <f aca="false">IF($A35="","",IF(OR($Y35="",$I35=""),"N",IF($Y35&lt;=WORKDAY(N($I35),1,calendar!$A$2:$A$80),"Y","N")))</f>
        <v>Y</v>
      </c>
      <c r="AC35" s="33" t="n">
        <f aca="false">IF(OR($A35="",$V35="",$Y35=""),"",ROUND(($Y35+N(IFERROR(IF(INDEX(photos!$F$2:$F$701,MATCH($A35&amp;"|"&amp;$B35&amp;"|placement|Y",photos!$R$2:$R$701,0))="","",INDEX(photos!$F$2:$F$701,MATCH($A35&amp;"|"&amp;$B35&amp;"|placement|Y",photos!$R$2:$R$701,0))),""))-$V35)*24,1))</f>
        <v>23.2</v>
      </c>
      <c r="AD35" s="30" t="n">
        <f aca="false">IF($A35="","",SUMIFS(inventory!$G$2:$G$801,inventory!$C$2:$C$801,$A35,inventory!$D$2:$D$801,$B35,inventory!$E$2:$E$801,"topped_up"))</f>
        <v>0</v>
      </c>
      <c r="AE35" s="30" t="n">
        <f aca="false">IF($A35="","",IF(COUNTIFS(counts!$C$2:$C$701,$A35,counts!$D$2:$D$701,$B35,counts!$E$2:$E$701,"remaining_day3")=0,"",SUMIFS(counts!$F$2:$F$701,counts!$C$2:$C$701,$A35,counts!$D$2:$D$701,$B35,counts!$E$2:$E$701,"remaining_day3")))</f>
        <v>16</v>
      </c>
      <c r="AF35" s="30" t="n">
        <f aca="false">IF($A35="","",IF(COUNTIFS(counts!$C$2:$C$701,$A35,counts!$D$2:$D$701,$B35,counts!$E$2:$E$701,"remaining_day5")=0,"",SUMIFS(counts!$F$2:$F$701,counts!$C$2:$C$701,$A35,counts!$D$2:$D$701,$B35,counts!$E$2:$E$701,"remaining_day5")))</f>
        <v>4</v>
      </c>
      <c r="AG35" s="30" t="n">
        <f aca="false">IF(OR($A35="",$AF35=""),"",MAX(0,$AA35+$AD35-$AF35))</f>
        <v>46</v>
      </c>
      <c r="AH35" s="30" t="str">
        <f aca="false">IF(OR($A35="",$AI35=""),"",IFERROR(IF(INDEX(photos!$H$2:$H$701,MATCH($A35&amp;"|"&amp;$B35&amp;"|later|Y|"&amp;$AI35,photos!$S$2:$S$701,0))="","",INDEX(photos!$H$2:$H$701,MATCH($A35&amp;"|"&amp;$B35&amp;"|later|Y|"&amp;$AI35,photos!$S$2:$S$701,0))),""))</f>
        <v>SAMPLE-CMP-005_SAMPLE-O-004_later_2027-02-16.jpg</v>
      </c>
      <c r="AI35" s="31" t="n">
        <f aca="false">IF($A35="","",IFERROR(1/(1/SUMPRODUCT(MAX((photos!$B$2:$B$701=$A35)*(photos!$C$2:$C$701=$B35)*(photos!$D$2:$D$701="later")*(photos!$O$2:$O$701="Y")*photos!$E$2:$E$701))),""))</f>
        <v>46434</v>
      </c>
      <c r="AJ35" s="30" t="n">
        <f aca="false">IF(OR($A35="",$AI35="",$I35=""),"",NETWORKDAYS($I35,$AI35,calendar!$A$2:$A$80))</f>
        <v>5</v>
      </c>
      <c r="AK35" s="30" t="str">
        <f aca="false">IF($A35="","",IF(AND($X35&lt;&gt;"",$AH35&lt;&gt;""),"Y","N"))</f>
        <v>Y</v>
      </c>
      <c r="AL35" s="30" t="n">
        <f aca="true">IF(OR($A35="",$I35=""),"",IF($BC35="Y",SUMIFS(survey_frozen!$C$2:$C$251,survey_frozen!$P$2:$P$251,$A35&amp;"|"&amp;$B35),IFERROR(COUNTIFS(INDIRECT("'"&amp;$A35&amp;"'!$B$2:$B$501"),$T35,INDIRECT("'"&amp;$A35&amp;"'!$A$2:$A$501"),"&gt;="&amp;$I35,INDIRECT("'"&amp;$A35&amp;"'!$A$2:$A$501"),"&lt;"&amp;($BA35+1)),0)))</f>
        <v>10</v>
      </c>
      <c r="AM35" s="30" t="n">
        <f aca="true">IF(OR($A35="",$I35=""),"",IF($BC35="Y",SUMIFS(survey_frozen!$D$2:$D$251,survey_frozen!$P$2:$P$251,$A35&amp;"|"&amp;$B35),IFERROR(COUNTIFS(INDIRECT("'"&amp;$A35&amp;"'!$B$2:$B$501"),$T35,INDIRECT("'"&amp;$A35&amp;"'!$A$2:$A$501"),"&gt;="&amp;$I35,INDIRECT("'"&amp;$A35&amp;"'!$A$2:$A$501"),"&lt;"&amp;($BA35+1),INDIRECT("'"&amp;$A35&amp;"'!$C$2:$C$501"),"Yes"),0)))</f>
        <v>6</v>
      </c>
      <c r="AN35" s="30" t="n">
        <f aca="false">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8</v>
      </c>
      <c r="AO35" s="30" t="n">
        <f aca="false">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7</v>
      </c>
      <c r="AP35" s="30" t="str">
        <f aca="true">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30" t="n">
        <f aca="true">IF(OR($A35="",$I35=""),"",IF($BC35="Y",SUMIFS(survey_frozen!$E$2:$E$251,survey_frozen!$P$2:$P$251,$A35&amp;"|"&amp;$B35),IFERROR(COUNTIFS(INDIRECT("'"&amp;$A35&amp;"'!$B$2:$B$501"),$T35,INDIRECT("'"&amp;$A35&amp;"'!$A$2:$A$501"),"&gt;="&amp;$I35,INDIRECT("'"&amp;$A35&amp;"'!$A$2:$A$501"),"&lt;"&amp;($BA35+1),INDIRECT("'"&amp;$A35&amp;"'!$F$2:$F$501"),"Didn't see it"),0)))</f>
        <v>3</v>
      </c>
      <c r="AR35" s="30" t="n">
        <f aca="true">IF(OR($A35="",$I35=""),"",IF($BC35="Y",SUMIFS(survey_frozen!$F$2:$F$251,survey_frozen!$P$2:$P$251,$A35&amp;"|"&amp;$B35),IFERROR(COUNTIFS(INDIRECT("'"&amp;$A35&amp;"'!$B$2:$B$501"),$T35,INDIRECT("'"&amp;$A35&amp;"'!$A$2:$A$501"),"&gt;="&amp;$I35,INDIRECT("'"&amp;$A35&amp;"'!$A$2:$A$501"),"&lt;"&amp;($BA35+1),INDIRECT("'"&amp;$A35&amp;"'!$F$2:$F$501"),"Not for me"),0)))</f>
        <v>0</v>
      </c>
      <c r="AS35" s="30" t="n">
        <f aca="true">IF(OR($A35="",$I35=""),"",IF($BC35="Y",SUMIFS(survey_frozen!$G$2:$G$251,survey_frozen!$P$2:$P$251,$A35&amp;"|"&amp;$B35),IFERROR(COUNTIFS(INDIRECT("'"&amp;$A35&amp;"'!$B$2:$B$501"),$T35,INDIRECT("'"&amp;$A35&amp;"'!$A$2:$A$501"),"&gt;="&amp;$I35,INDIRECT("'"&amp;$A35&amp;"'!$A$2:$A$501"),"&lt;"&amp;($BA35+1),INDIRECT("'"&amp;$A35&amp;"'!$F$2:$F$501"),"Gone by the time I looked"),0)))</f>
        <v>1</v>
      </c>
      <c r="AT35" s="30" t="n">
        <f aca="true">IF(OR($A35="",$I35=""),"",IF($BC35="Y",SUMIFS(survey_frozen!$H$2:$H$251,survey_frozen!$P$2:$P$251,$A35&amp;"|"&amp;$B35),IFERROR(COUNTIFS(INDIRECT("'"&amp;$A35&amp;"'!$B$2:$B$501"),$T35,INDIRECT("'"&amp;$A35&amp;"'!$A$2:$A$501"),"&gt;="&amp;$I35,INDIRECT("'"&amp;$A35&amp;"'!$A$2:$A$501"),"&lt;"&amp;($BA35+1),INDIRECT("'"&amp;$A35&amp;"'!$D$2:$D$501"),"&gt;=1"),0)))</f>
        <v>6</v>
      </c>
      <c r="AU35" s="30" t="n">
        <f aca="true">IF(OR($A35="",$I35=""),"",IF($BC35="Y",SUMIFS(survey_frozen!$I$2:$I$251,survey_frozen!$P$2:$P$251,$A35&amp;"|"&amp;$B35),IFERROR(SUMIFS(INDIRECT("'"&amp;$A35&amp;"'!$D$2:$D$501"),INDIRECT("'"&amp;$A35&amp;"'!$B$2:$B$501"),$T35,INDIRECT("'"&amp;$A35&amp;"'!$A$2:$A$501"),"&gt;="&amp;$I35,INDIRECT("'"&amp;$A35&amp;"'!$A$2:$A$501"),"&lt;"&amp;($BA35+1)),0)))</f>
        <v>26</v>
      </c>
      <c r="AV35" s="30" t="n">
        <f aca="true">IF(OR($A35="",$I35=""),"",IF($BC35="Y",SUMIFS(survey_frozen!$J$2:$J$251,survey_frozen!$P$2:$P$251,$A35&amp;"|"&amp;$B35),IFERROR(COUNTIFS(INDIRECT("'"&amp;$A35&amp;"'!$B$2:$B$501"),$T35,INDIRECT("'"&amp;$A35&amp;"'!$A$2:$A$501"),"&gt;="&amp;$I35,INDIRECT("'"&amp;$A35&amp;"'!$A$2:$A$501"),"&lt;"&amp;($BA35+1),INDIRECT("'"&amp;$A35&amp;"'!$E$2:$E$501"),"Yes"),0)))</f>
        <v>2</v>
      </c>
      <c r="AW35" s="30" t="n">
        <f aca="true">IF(OR($A35="",$I35=""),"",IF($BC35="Y",SUMIFS(survey_frozen!$K$2:$K$251,survey_frozen!$P$2:$P$251,$A35&amp;"|"&amp;$B35),IFERROR(COUNTIFS(INDIRECT("'"&amp;$A35&amp;"'!$B$2:$B$501"),$T35,INDIRECT("'"&amp;$A35&amp;"'!$A$2:$A$501"),"&gt;="&amp;$I35,INDIRECT("'"&amp;$A35&amp;"'!$A$2:$A$501"),"&lt;"&amp;($BA35+1),INDIRECT("'"&amp;$A35&amp;"'!$E$2:$E$501"),"Maybe"),0)))</f>
        <v>3</v>
      </c>
      <c r="AX35" s="30" t="n">
        <f aca="true">IF(OR($A35="",$I35=""),"",IF($BC35="Y",SUMIFS(survey_frozen!$L$2:$L$251,survey_frozen!$P$2:$P$251,$A35&amp;"|"&amp;$B35),IFERROR(COUNTIFS(INDIRECT("'"&amp;$A35&amp;"'!$B$2:$B$501"),$T35,INDIRECT("'"&amp;$A35&amp;"'!$A$2:$A$501"),"&gt;="&amp;$I35,INDIRECT("'"&amp;$A35&amp;"'!$A$2:$A$501"),"&lt;"&amp;($BA35+1),INDIRECT("'"&amp;$A35&amp;"'!$E$2:$E$501"),"No"),0)))</f>
        <v>1</v>
      </c>
      <c r="AY35" s="30" t="n">
        <f aca="true">IF(OR($A35="",$I35=""),"",IF($BC35="Y",SUMIFS(survey_frozen!$M$2:$M$251,survey_frozen!$P$2:$P$251,$A35&amp;"|"&amp;$B35),IFERROR(COUNTIFS(INDIRECT("'"&amp;$A35&amp;"'!$B$2:$B$501"),$T35,INDIRECT("'"&amp;$A35&amp;"'!$A$2:$A$501"),"&gt;="&amp;$I35,INDIRECT("'"&amp;$A35&amp;"'!$A$2:$A$501"),"&lt;"&amp;($BA35+1),INDIRECT("'"&amp;$A35&amp;"'!$G$2:$G$501"),"&lt;&gt;"),0)))</f>
        <v>4</v>
      </c>
      <c r="AZ35" s="30" t="str">
        <f aca="false">IF($A35="","",$A35&amp;"|"&amp;$L35)</f>
        <v>SAMPLE-CMP-005|4</v>
      </c>
      <c r="BA35" s="31" t="n">
        <f aca="false">IF($A35="","",IFERROR(IF(INDEX(drops!$R$2:$R$21,MATCH($H35,drops!$A$2:$A$21,0))="","",INDEX(drops!$R$2:$R$21,MATCH($H35,drops!$A$2:$A$21,0))),""))</f>
        <v>46434</v>
      </c>
      <c r="BB35" s="30" t="n">
        <f aca="false">IF(OR($A35="",$Q35&lt;&gt;"Y"),1000000,N($AL35))</f>
        <v>10</v>
      </c>
      <c r="BC35" s="30" t="str">
        <f aca="false">IF($A35="","",IF(COUNTIF(survey_frozen!$P$2:$P$251,$A35&amp;"|"&amp;$B35)&gt;0,"Y",""))</f>
        <v/>
      </c>
      <c r="BD35" s="30" t="str">
        <f aca="false">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ustomFormat="false" ht="15" hidden="false" customHeight="false" outlineLevel="0" collapsed="false">
      <c r="A36" s="0" t="s">
        <v>549</v>
      </c>
      <c r="B36" s="0" t="s">
        <v>688</v>
      </c>
      <c r="C36" s="11" t="n">
        <v>46395</v>
      </c>
      <c r="D36" s="10" t="s">
        <v>496</v>
      </c>
      <c r="E36" s="11" t="n">
        <v>46397</v>
      </c>
      <c r="F36" s="10" t="s">
        <v>737</v>
      </c>
      <c r="H36" s="30" t="str">
        <f aca="false">IF($A36="","",IFERROR(IF(INDEX(campaigns!$B$2:$B$51,MATCH($A36,campaigns!$A$2:$A$51,0))="","",INDEX(campaigns!$B$2:$B$51,MATCH($A36,campaigns!$A$2:$A$51,0))),""))</f>
        <v>SAMPLE-DRP-002</v>
      </c>
      <c r="I36" s="31" t="n">
        <f aca="false">IF($A36="","",IFERROR(IF(INDEX(campaigns!$BG$2:$BG$51,MATCH($A36,campaigns!$A$2:$A$51,0))="","",INDEX(campaigns!$BG$2:$BG$51,MATCH($A36,campaigns!$A$2:$A$51,0))),""))</f>
        <v>46427</v>
      </c>
      <c r="J36" s="30" t="str">
        <f aca="false">IF($A36="","",IFERROR(IF(INDEX(campaigns!$BE$2:$BE$51,MATCH($A36,campaigns!$A$2:$A$51,0))="","",INDEX(campaigns!$BE$2:$BE$51,MATCH($A36,campaigns!$A$2:$A$51,0))),""))</f>
        <v>SAMPLE Kettle Ridge</v>
      </c>
      <c r="K36" s="30" t="str">
        <f aca="false">IF($B36="","",IFERROR(IF(INDEX(offices!$O$2:$O$61,MATCH($B36,offices!$A$2:$A$61,0))="","",INDEX(offices!$O$2:$O$61,MATCH($B36,offices!$A$2:$A$61,0))),""))</f>
        <v>SAMPLE Studio Marlow</v>
      </c>
      <c r="L36" s="30" t="n">
        <f aca="false">IF($A36="","",IF($Q36="N","",COUNTIFS($A$2:$A36,$A36,$Q$2:$Q36,"&lt;&gt;N")))</f>
        <v>5</v>
      </c>
      <c r="M36" s="30" t="str">
        <f aca="false">IF(OR($A36="",$L36=""),"",IF(AND(config!$B$34="names_if_public",IFERROR(IF(INDEX(offices!$AG$2:$AG$61,MATCH($B36,offices!$A$2:$A$61,0))="","",INDEX(offices!$AG$2:$AG$61,MATCH($B36,offices!$A$2:$A$61,0))),"")="Y"),$K36,CHAR(64+$L36)))</f>
        <v>E</v>
      </c>
      <c r="N36" s="30" t="n">
        <f aca="false">IF(OR($A36="",$I36=""),"",COUNTIFS(stops!$B$2:$B$151,$B36,stops!$P$2:$P$151,"&lt;"&amp;$I36,stops!$L$2:$L$151,"&lt;&gt;not_delivered")+1)</f>
        <v>2</v>
      </c>
      <c r="O36" s="30" t="str">
        <f aca="false">IF($A36="","",IF(N($N36)&lt;=config!$B$29,"explicit","opt-out"))</f>
        <v>explicit</v>
      </c>
      <c r="P36" s="30" t="str">
        <f aca="false">IF($A36="","",IF($O36="explicit",IF($D36="yes","Y",IF($D36="no","N","pending")),IF($D36="no","N",IF(AND($C36&lt;&gt;"",$I36&lt;&gt;"",$C36&lt;=WORKDAY(N($I36),-5,calendar!$A$2:$A$80)),"Y","pending"))))</f>
        <v>Y</v>
      </c>
      <c r="Q36" s="30" t="str">
        <f aca="false">IF($A36="","",IF($P36="N","N",IF($P36&lt;&gt;"Y","pending",IF(AND((COUNTIFS(stops!$A$2:$A$151,$H36,stops!$B$2:$B$151,$B36,stops!$L$2:$L$151,"declined")+COUNTIFS(stops!$A$2:$A$151,$H36,stops!$B$2:$B$151,$B36,stops!$L$2:$L$151,"building_refused")+COUNTIFS(stops!$A$2:$A$151,$H36,stops!$B$2:$B$151,$B36,stops!$L$2:$L$151,"not_delivered"))&gt;0,N($U36)=0),"N","Y"))))</f>
        <v>Y</v>
      </c>
      <c r="R36" s="30" t="str">
        <f aca="false">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30" t="n">
        <f aca="false">IF($A36="","",IF($G36&lt;&gt;"",$G36,IFERROR(IF(INDEX(offices!$AM$2:$AM$61,MATCH($B36,offices!$A$2:$A$61,0))="","",INDEX(offices!$AM$2:$AM$61,MATCH($B36,offices!$A$2:$A$61,0))),"")))</f>
        <v>70</v>
      </c>
      <c r="T36" s="30" t="str">
        <f aca="false">IF($A36="","",$A36&amp;"."&amp;$B36)</f>
        <v>SAMPLE-CMP-005.SAMPLE-O-005</v>
      </c>
      <c r="U36" s="30" t="n">
        <f aca="false">IF($A36="","",SUMIFS(inventory!$G$2:$G$801,inventory!$C$2:$C$801,$A36,inventory!$D$2:$D$801,$B36,inventory!$E$2:$E$801,"delivered"))</f>
        <v>70</v>
      </c>
      <c r="V36" s="37" t="n">
        <f aca="false">IF($A36="","",IFERROR(1/(1/SUMPRODUCT(MAX((inventory!$C$2:$C$801=$A36)*(inventory!$D$2:$D$801=$B36)*(inventory!$E$2:$E$801="delivered")*(inventory!$A$2:$A$801+inventory!$B$2:$B$801)))),""))</f>
        <v>46427.4451388889</v>
      </c>
      <c r="W36" s="30" t="str">
        <f aca="false">IF($A36="","",IFERROR(IF(INDEX(inventory!$J$2:$J$801,MATCH($A36&amp;"|"&amp;$B36&amp;"|delivered",inventory!$R$2:$R$801,0))="","",INDEX(inventory!$J$2:$J$801,MATCH($A36&amp;"|"&amp;$B36&amp;"|delivered",inventory!$R$2:$R$801,0))),""))</f>
        <v>courier_count</v>
      </c>
      <c r="X36" s="30" t="str">
        <f aca="false">IF($A36="","",IFERROR(IF(INDEX(photos!$H$2:$H$701,MATCH($A36&amp;"|"&amp;$B36&amp;"|placement|Y",photos!$R$2:$R$701,0))="","",INDEX(photos!$H$2:$H$701,MATCH($A36&amp;"|"&amp;$B36&amp;"|placement|Y",photos!$R$2:$R$701,0))),""))</f>
        <v>SAMPLE-CMP-005_SAMPLE-O-005_placement_2027-02-09.jpg</v>
      </c>
      <c r="Y36" s="31" t="n">
        <f aca="false">IF($A36="","",IFERROR(IF(INDEX(photos!$E$2:$E$701,MATCH($A36&amp;"|"&amp;$B36&amp;"|placement|Y",photos!$R$2:$R$701,0))="","",INDEX(photos!$E$2:$E$701,MATCH($A36&amp;"|"&amp;$B36&amp;"|placement|Y",photos!$R$2:$R$701,0))),""))</f>
        <v>46427</v>
      </c>
      <c r="Z36" s="30" t="n">
        <f aca="false">IF($A36="","",IF(COUNTIFS(counts!$C$2:$C$701,$A36,counts!$D$2:$D$701,$B36,counts!$E$2:$E$701,"placed")=0,"",SUMIFS(counts!$F$2:$F$701,counts!$C$2:$C$701,$A36,counts!$D$2:$D$701,$B36,counts!$E$2:$E$701,"placed")))</f>
        <v>70</v>
      </c>
      <c r="AA36" s="30" t="n">
        <f aca="false">IF($A36="","",IF($Y36="",0,N($Z36)))</f>
        <v>70</v>
      </c>
      <c r="AB36" s="30" t="str">
        <f aca="false">IF($A36="","",IF(OR($Y36="",$I36=""),"N",IF($Y36&lt;=WORKDAY(N($I36),1,calendar!$A$2:$A$80),"Y","N")))</f>
        <v>Y</v>
      </c>
      <c r="AC36" s="33" t="n">
        <f aca="false">IF(OR($A36="",$V36="",$Y36=""),"",ROUND(($Y36+N(IFERROR(IF(INDEX(photos!$F$2:$F$701,MATCH($A36&amp;"|"&amp;$B36&amp;"|placement|Y",photos!$R$2:$R$701,0))="","",INDEX(photos!$F$2:$F$701,MATCH($A36&amp;"|"&amp;$B36&amp;"|placement|Y",photos!$R$2:$R$701,0))),""))-$V36)*24,1))</f>
        <v>2.3</v>
      </c>
      <c r="AD36" s="30" t="n">
        <f aca="false">IF($A36="","",SUMIFS(inventory!$G$2:$G$801,inventory!$C$2:$C$801,$A36,inventory!$D$2:$D$801,$B36,inventory!$E$2:$E$801,"topped_up"))</f>
        <v>0</v>
      </c>
      <c r="AE36" s="30" t="n">
        <f aca="false">IF($A36="","",IF(COUNTIFS(counts!$C$2:$C$701,$A36,counts!$D$2:$D$701,$B36,counts!$E$2:$E$701,"remaining_day3")=0,"",SUMIFS(counts!$F$2:$F$701,counts!$C$2:$C$701,$A36,counts!$D$2:$D$701,$B36,counts!$E$2:$E$701,"remaining_day3")))</f>
        <v>30</v>
      </c>
      <c r="AF36" s="30" t="n">
        <f aca="false">IF($A36="","",IF(COUNTIFS(counts!$C$2:$C$701,$A36,counts!$D$2:$D$701,$B36,counts!$E$2:$E$701,"remaining_day5")=0,"",SUMIFS(counts!$F$2:$F$701,counts!$C$2:$C$701,$A36,counts!$D$2:$D$701,$B36,counts!$E$2:$E$701,"remaining_day5")))</f>
        <v>12</v>
      </c>
      <c r="AG36" s="30" t="n">
        <f aca="false">IF(OR($A36="",$AF36=""),"",MAX(0,$AA36+$AD36-$AF36))</f>
        <v>58</v>
      </c>
      <c r="AH36" s="30" t="str">
        <f aca="false">IF(OR($A36="",$AI36=""),"",IFERROR(IF(INDEX(photos!$H$2:$H$701,MATCH($A36&amp;"|"&amp;$B36&amp;"|later|Y|"&amp;$AI36,photos!$S$2:$S$701,0))="","",INDEX(photos!$H$2:$H$701,MATCH($A36&amp;"|"&amp;$B36&amp;"|later|Y|"&amp;$AI36,photos!$S$2:$S$701,0))),""))</f>
        <v>SAMPLE-CMP-005_SAMPLE-O-005_later_2027-02-16.jpg</v>
      </c>
      <c r="AI36" s="31" t="n">
        <f aca="false">IF($A36="","",IFERROR(1/(1/SUMPRODUCT(MAX((photos!$B$2:$B$701=$A36)*(photos!$C$2:$C$701=$B36)*(photos!$D$2:$D$701="later")*(photos!$O$2:$O$701="Y")*photos!$E$2:$E$701))),""))</f>
        <v>46434</v>
      </c>
      <c r="AJ36" s="30" t="n">
        <f aca="false">IF(OR($A36="",$AI36="",$I36=""),"",NETWORKDAYS($I36,$AI36,calendar!$A$2:$A$80))</f>
        <v>5</v>
      </c>
      <c r="AK36" s="30" t="str">
        <f aca="false">IF($A36="","",IF(AND($X36&lt;&gt;"",$AH36&lt;&gt;""),"Y","N"))</f>
        <v>Y</v>
      </c>
      <c r="AL36" s="30" t="n">
        <f aca="true">IF(OR($A36="",$I36=""),"",IF($BC36="Y",SUMIFS(survey_frozen!$C$2:$C$251,survey_frozen!$P$2:$P$251,$A36&amp;"|"&amp;$B36),IFERROR(COUNTIFS(INDIRECT("'"&amp;$A36&amp;"'!$B$2:$B$501"),$T36,INDIRECT("'"&amp;$A36&amp;"'!$A$2:$A$501"),"&gt;="&amp;$I36,INDIRECT("'"&amp;$A36&amp;"'!$A$2:$A$501"),"&lt;"&amp;($BA36+1)),0)))</f>
        <v>7</v>
      </c>
      <c r="AM36" s="30" t="n">
        <f aca="true">IF(OR($A36="",$I36=""),"",IF($BC36="Y",SUMIFS(survey_frozen!$D$2:$D$251,survey_frozen!$P$2:$P$251,$A36&amp;"|"&amp;$B36),IFERROR(COUNTIFS(INDIRECT("'"&amp;$A36&amp;"'!$B$2:$B$501"),$T36,INDIRECT("'"&amp;$A36&amp;"'!$A$2:$A$501"),"&gt;="&amp;$I36,INDIRECT("'"&amp;$A36&amp;"'!$A$2:$A$501"),"&lt;"&amp;($BA36+1),INDIRECT("'"&amp;$A36&amp;"'!$C$2:$C$501"),"Yes"),0)))</f>
        <v>5</v>
      </c>
      <c r="AN36" s="30" t="n">
        <f aca="false">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4</v>
      </c>
      <c r="AO36" s="30" t="n">
        <f aca="false">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3</v>
      </c>
      <c r="AP36" s="30" t="str">
        <f aca="true">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30" t="n">
        <f aca="true">IF(OR($A36="",$I36=""),"",IF($BC36="Y",SUMIFS(survey_frozen!$E$2:$E$251,survey_frozen!$P$2:$P$251,$A36&amp;"|"&amp;$B36),IFERROR(COUNTIFS(INDIRECT("'"&amp;$A36&amp;"'!$B$2:$B$501"),$T36,INDIRECT("'"&amp;$A36&amp;"'!$A$2:$A$501"),"&gt;="&amp;$I36,INDIRECT("'"&amp;$A36&amp;"'!$A$2:$A$501"),"&lt;"&amp;($BA36+1),INDIRECT("'"&amp;$A36&amp;"'!$F$2:$F$501"),"Didn't see it"),0)))</f>
        <v>0</v>
      </c>
      <c r="AR36" s="30" t="n">
        <f aca="true">IF(OR($A36="",$I36=""),"",IF($BC36="Y",SUMIFS(survey_frozen!$F$2:$F$251,survey_frozen!$P$2:$P$251,$A36&amp;"|"&amp;$B36),IFERROR(COUNTIFS(INDIRECT("'"&amp;$A36&amp;"'!$B$2:$B$501"),$T36,INDIRECT("'"&amp;$A36&amp;"'!$A$2:$A$501"),"&gt;="&amp;$I36,INDIRECT("'"&amp;$A36&amp;"'!$A$2:$A$501"),"&lt;"&amp;($BA36+1),INDIRECT("'"&amp;$A36&amp;"'!$F$2:$F$501"),"Not for me"),0)))</f>
        <v>1</v>
      </c>
      <c r="AS36" s="30" t="n">
        <f aca="true">IF(OR($A36="",$I36=""),"",IF($BC36="Y",SUMIFS(survey_frozen!$G$2:$G$251,survey_frozen!$P$2:$P$251,$A36&amp;"|"&amp;$B36),IFERROR(COUNTIFS(INDIRECT("'"&amp;$A36&amp;"'!$B$2:$B$501"),$T36,INDIRECT("'"&amp;$A36&amp;"'!$A$2:$A$501"),"&gt;="&amp;$I36,INDIRECT("'"&amp;$A36&amp;"'!$A$2:$A$501"),"&lt;"&amp;($BA36+1),INDIRECT("'"&amp;$A36&amp;"'!$F$2:$F$501"),"Gone by the time I looked"),0)))</f>
        <v>1</v>
      </c>
      <c r="AT36" s="30" t="n">
        <f aca="true">IF(OR($A36="",$I36=""),"",IF($BC36="Y",SUMIFS(survey_frozen!$H$2:$H$251,survey_frozen!$P$2:$P$251,$A36&amp;"|"&amp;$B36),IFERROR(COUNTIFS(INDIRECT("'"&amp;$A36&amp;"'!$B$2:$B$501"),$T36,INDIRECT("'"&amp;$A36&amp;"'!$A$2:$A$501"),"&gt;="&amp;$I36,INDIRECT("'"&amp;$A36&amp;"'!$A$2:$A$501"),"&lt;"&amp;($BA36+1),INDIRECT("'"&amp;$A36&amp;"'!$D$2:$D$501"),"&gt;=1"),0)))</f>
        <v>5</v>
      </c>
      <c r="AU36" s="30" t="n">
        <f aca="true">IF(OR($A36="",$I36=""),"",IF($BC36="Y",SUMIFS(survey_frozen!$I$2:$I$251,survey_frozen!$P$2:$P$251,$A36&amp;"|"&amp;$B36),IFERROR(SUMIFS(INDIRECT("'"&amp;$A36&amp;"'!$D$2:$D$501"),INDIRECT("'"&amp;$A36&amp;"'!$B$2:$B$501"),$T36,INDIRECT("'"&amp;$A36&amp;"'!$A$2:$A$501"),"&gt;="&amp;$I36,INDIRECT("'"&amp;$A36&amp;"'!$A$2:$A$501"),"&lt;"&amp;($BA36+1)),0)))</f>
        <v>23</v>
      </c>
      <c r="AV36" s="30" t="n">
        <f aca="true">IF(OR($A36="",$I36=""),"",IF($BC36="Y",SUMIFS(survey_frozen!$J$2:$J$251,survey_frozen!$P$2:$P$251,$A36&amp;"|"&amp;$B36),IFERROR(COUNTIFS(INDIRECT("'"&amp;$A36&amp;"'!$B$2:$B$501"),$T36,INDIRECT("'"&amp;$A36&amp;"'!$A$2:$A$501"),"&gt;="&amp;$I36,INDIRECT("'"&amp;$A36&amp;"'!$A$2:$A$501"),"&lt;"&amp;($BA36+1),INDIRECT("'"&amp;$A36&amp;"'!$E$2:$E$501"),"Yes"),0)))</f>
        <v>2</v>
      </c>
      <c r="AW36" s="30" t="n">
        <f aca="true">IF(OR($A36="",$I36=""),"",IF($BC36="Y",SUMIFS(survey_frozen!$K$2:$K$251,survey_frozen!$P$2:$P$251,$A36&amp;"|"&amp;$B36),IFERROR(COUNTIFS(INDIRECT("'"&amp;$A36&amp;"'!$B$2:$B$501"),$T36,INDIRECT("'"&amp;$A36&amp;"'!$A$2:$A$501"),"&gt;="&amp;$I36,INDIRECT("'"&amp;$A36&amp;"'!$A$2:$A$501"),"&lt;"&amp;($BA36+1),INDIRECT("'"&amp;$A36&amp;"'!$E$2:$E$501"),"Maybe"),0)))</f>
        <v>3</v>
      </c>
      <c r="AX36" s="30" t="n">
        <f aca="true">IF(OR($A36="",$I36=""),"",IF($BC36="Y",SUMIFS(survey_frozen!$L$2:$L$251,survey_frozen!$P$2:$P$251,$A36&amp;"|"&amp;$B36),IFERROR(COUNTIFS(INDIRECT("'"&amp;$A36&amp;"'!$B$2:$B$501"),$T36,INDIRECT("'"&amp;$A36&amp;"'!$A$2:$A$501"),"&gt;="&amp;$I36,INDIRECT("'"&amp;$A36&amp;"'!$A$2:$A$501"),"&lt;"&amp;($BA36+1),INDIRECT("'"&amp;$A36&amp;"'!$E$2:$E$501"),"No"),0)))</f>
        <v>0</v>
      </c>
      <c r="AY36" s="30" t="n">
        <f aca="true">IF(OR($A36="",$I36=""),"",IF($BC36="Y",SUMIFS(survey_frozen!$M$2:$M$251,survey_frozen!$P$2:$P$251,$A36&amp;"|"&amp;$B36),IFERROR(COUNTIFS(INDIRECT("'"&amp;$A36&amp;"'!$B$2:$B$501"),$T36,INDIRECT("'"&amp;$A36&amp;"'!$A$2:$A$501"),"&gt;="&amp;$I36,INDIRECT("'"&amp;$A36&amp;"'!$A$2:$A$501"),"&lt;"&amp;($BA36+1),INDIRECT("'"&amp;$A36&amp;"'!$G$2:$G$501"),"&lt;&gt;"),0)))</f>
        <v>2</v>
      </c>
      <c r="AZ36" s="30" t="str">
        <f aca="false">IF($A36="","",$A36&amp;"|"&amp;$L36)</f>
        <v>SAMPLE-CMP-005|5</v>
      </c>
      <c r="BA36" s="31" t="n">
        <f aca="false">IF($A36="","",IFERROR(IF(INDEX(drops!$R$2:$R$21,MATCH($H36,drops!$A$2:$A$21,0))="","",INDEX(drops!$R$2:$R$21,MATCH($H36,drops!$A$2:$A$21,0))),""))</f>
        <v>46434</v>
      </c>
      <c r="BB36" s="30" t="n">
        <f aca="false">IF(OR($A36="",$Q36&lt;&gt;"Y"),1000000,N($AL36))</f>
        <v>7</v>
      </c>
      <c r="BC36" s="30" t="str">
        <f aca="false">IF($A36="","",IF(COUNTIF(survey_frozen!$P$2:$P$251,$A36&amp;"|"&amp;$B36)&gt;0,"Y",""))</f>
        <v/>
      </c>
      <c r="BD36" s="30" t="str">
        <f aca="false">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ustomFormat="false" ht="15" hidden="false" customHeight="false" outlineLevel="0" collapsed="false">
      <c r="A37" s="0" t="s">
        <v>549</v>
      </c>
      <c r="B37" s="0" t="s">
        <v>690</v>
      </c>
      <c r="C37" s="11" t="n">
        <v>46395</v>
      </c>
      <c r="D37" s="10" t="s">
        <v>496</v>
      </c>
      <c r="E37" s="11" t="n">
        <v>46398</v>
      </c>
      <c r="F37" s="10" t="s">
        <v>737</v>
      </c>
      <c r="H37" s="30" t="str">
        <f aca="false">IF($A37="","",IFERROR(IF(INDEX(campaigns!$B$2:$B$51,MATCH($A37,campaigns!$A$2:$A$51,0))="","",INDEX(campaigns!$B$2:$B$51,MATCH($A37,campaigns!$A$2:$A$51,0))),""))</f>
        <v>SAMPLE-DRP-002</v>
      </c>
      <c r="I37" s="31" t="n">
        <f aca="false">IF($A37="","",IFERROR(IF(INDEX(campaigns!$BG$2:$BG$51,MATCH($A37,campaigns!$A$2:$A$51,0))="","",INDEX(campaigns!$BG$2:$BG$51,MATCH($A37,campaigns!$A$2:$A$51,0))),""))</f>
        <v>46427</v>
      </c>
      <c r="J37" s="30" t="str">
        <f aca="false">IF($A37="","",IFERROR(IF(INDEX(campaigns!$BE$2:$BE$51,MATCH($A37,campaigns!$A$2:$A$51,0))="","",INDEX(campaigns!$BE$2:$BE$51,MATCH($A37,campaigns!$A$2:$A$51,0))),""))</f>
        <v>SAMPLE Kettle Ridge</v>
      </c>
      <c r="K37" s="30" t="str">
        <f aca="false">IF($B37="","",IFERROR(IF(INDEX(offices!$O$2:$O$61,MATCH($B37,offices!$A$2:$A$61,0))="","",INDEX(offices!$O$2:$O$61,MATCH($B37,offices!$A$2:$A$61,0))),""))</f>
        <v>SAMPLE Kestrel Analytics</v>
      </c>
      <c r="L37" s="30" t="n">
        <f aca="false">IF($A37="","",IF($Q37="N","",COUNTIFS($A$2:$A37,$A37,$Q$2:$Q37,"&lt;&gt;N")))</f>
        <v>6</v>
      </c>
      <c r="M37" s="30" t="str">
        <f aca="false">IF(OR($A37="",$L37=""),"",IF(AND(config!$B$34="names_if_public",IFERROR(IF(INDEX(offices!$AG$2:$AG$61,MATCH($B37,offices!$A$2:$A$61,0))="","",INDEX(offices!$AG$2:$AG$61,MATCH($B37,offices!$A$2:$A$61,0))),"")="Y"),$K37,CHAR(64+$L37)))</f>
        <v>F</v>
      </c>
      <c r="N37" s="30" t="n">
        <f aca="false">IF(OR($A37="",$I37=""),"",COUNTIFS(stops!$B$2:$B$151,$B37,stops!$P$2:$P$151,"&lt;"&amp;$I37,stops!$L$2:$L$151,"&lt;&gt;not_delivered")+1)</f>
        <v>1</v>
      </c>
      <c r="O37" s="30" t="str">
        <f aca="false">IF($A37="","",IF(N($N37)&lt;=config!$B$29,"explicit","opt-out"))</f>
        <v>explicit</v>
      </c>
      <c r="P37" s="30" t="str">
        <f aca="false">IF($A37="","",IF($O37="explicit",IF($D37="yes","Y",IF($D37="no","N","pending")),IF($D37="no","N",IF(AND($C37&lt;&gt;"",$I37&lt;&gt;"",$C37&lt;=WORKDAY(N($I37),-5,calendar!$A$2:$A$80)),"Y","pending"))))</f>
        <v>Y</v>
      </c>
      <c r="Q37" s="30" t="str">
        <f aca="false">IF($A37="","",IF($P37="N","N",IF($P37&lt;&gt;"Y","pending",IF(AND((COUNTIFS(stops!$A$2:$A$151,$H37,stops!$B$2:$B$151,$B37,stops!$L$2:$L$151,"declined")+COUNTIFS(stops!$A$2:$A$151,$H37,stops!$B$2:$B$151,$B37,stops!$L$2:$L$151,"building_refused")+COUNTIFS(stops!$A$2:$A$151,$H37,stops!$B$2:$B$151,$B37,stops!$L$2:$L$151,"not_delivered"))&gt;0,N($U37)=0),"N","Y"))))</f>
        <v>Y</v>
      </c>
      <c r="R37" s="30" t="str">
        <f aca="false">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30" t="n">
        <f aca="false">IF($A37="","",IF($G37&lt;&gt;"",$G37,IFERROR(IF(INDEX(offices!$AM$2:$AM$61,MATCH($B37,offices!$A$2:$A$61,0))="","",INDEX(offices!$AM$2:$AM$61,MATCH($B37,offices!$A$2:$A$61,0))),"")))</f>
        <v>45</v>
      </c>
      <c r="T37" s="30" t="str">
        <f aca="false">IF($A37="","",$A37&amp;"."&amp;$B37)</f>
        <v>SAMPLE-CMP-005.SAMPLE-O-006</v>
      </c>
      <c r="U37" s="30" t="n">
        <f aca="false">IF($A37="","",SUMIFS(inventory!$G$2:$G$801,inventory!$C$2:$C$801,$A37,inventory!$D$2:$D$801,$B37,inventory!$E$2:$E$801,"delivered"))</f>
        <v>45</v>
      </c>
      <c r="V37" s="37" t="n">
        <f aca="false">IF($A37="","",IFERROR(1/(1/SUMPRODUCT(MAX((inventory!$C$2:$C$801=$A37)*(inventory!$D$2:$D$801=$B37)*(inventory!$E$2:$E$801="delivered")*(inventory!$A$2:$A$801+inventory!$B$2:$B$801)))),""))</f>
        <v>46427.3493055556</v>
      </c>
      <c r="W37" s="30" t="str">
        <f aca="false">IF($A37="","",IFERROR(IF(INDEX(inventory!$J$2:$J$801,MATCH($A37&amp;"|"&amp;$B37&amp;"|delivered",inventory!$R$2:$R$801,0))="","",INDEX(inventory!$J$2:$J$801,MATCH($A37&amp;"|"&amp;$B37&amp;"|delivered",inventory!$R$2:$R$801,0))),""))</f>
        <v>courier_count</v>
      </c>
      <c r="X37" s="30" t="str">
        <f aca="false">IF($A37="","",IFERROR(IF(INDEX(photos!$H$2:$H$701,MATCH($A37&amp;"|"&amp;$B37&amp;"|placement|Y",photos!$R$2:$R$701,0))="","",INDEX(photos!$H$2:$H$701,MATCH($A37&amp;"|"&amp;$B37&amp;"|placement|Y",photos!$R$2:$R$701,0))),""))</f>
        <v>SAMPLE-CMP-005_SAMPLE-O-006_placement_2027-02-09.jpg</v>
      </c>
      <c r="Y37" s="31" t="n">
        <f aca="false">IF($A37="","",IFERROR(IF(INDEX(photos!$E$2:$E$701,MATCH($A37&amp;"|"&amp;$B37&amp;"|placement|Y",photos!$R$2:$R$701,0))="","",INDEX(photos!$E$2:$E$701,MATCH($A37&amp;"|"&amp;$B37&amp;"|placement|Y",photos!$R$2:$R$701,0))),""))</f>
        <v>46427</v>
      </c>
      <c r="Z37" s="30" t="n">
        <f aca="false">IF($A37="","",IF(COUNTIFS(counts!$C$2:$C$701,$A37,counts!$D$2:$D$701,$B37,counts!$E$2:$E$701,"placed")=0,"",SUMIFS(counts!$F$2:$F$701,counts!$C$2:$C$701,$A37,counts!$D$2:$D$701,$B37,counts!$E$2:$E$701,"placed")))</f>
        <v>45</v>
      </c>
      <c r="AA37" s="30" t="n">
        <f aca="false">IF($A37="","",IF($Y37="",0,N($Z37)))</f>
        <v>45</v>
      </c>
      <c r="AB37" s="30" t="str">
        <f aca="false">IF($A37="","",IF(OR($Y37="",$I37=""),"N",IF($Y37&lt;=WORKDAY(N($I37),1,calendar!$A$2:$A$80),"Y","N")))</f>
        <v>Y</v>
      </c>
      <c r="AC37" s="33" t="n">
        <f aca="false">IF(OR($A37="",$V37="",$Y37=""),"",ROUND(($Y37+N(IFERROR(IF(INDEX(photos!$F$2:$F$701,MATCH($A37&amp;"|"&amp;$B37&amp;"|placement|Y",photos!$R$2:$R$701,0))="","",INDEX(photos!$F$2:$F$701,MATCH($A37&amp;"|"&amp;$B37&amp;"|placement|Y",photos!$R$2:$R$701,0))),""))-$V37)*24,1))</f>
        <v>4.6</v>
      </c>
      <c r="AD37" s="30" t="n">
        <f aca="false">IF($A37="","",SUMIFS(inventory!$G$2:$G$801,inventory!$C$2:$C$801,$A37,inventory!$D$2:$D$801,$B37,inventory!$E$2:$E$801,"topped_up"))</f>
        <v>0</v>
      </c>
      <c r="AE37" s="30" t="n">
        <f aca="false">IF($A37="","",IF(COUNTIFS(counts!$C$2:$C$701,$A37,counts!$D$2:$D$701,$B37,counts!$E$2:$E$701,"remaining_day3")=0,"",SUMIFS(counts!$F$2:$F$701,counts!$C$2:$C$701,$A37,counts!$D$2:$D$701,$B37,counts!$E$2:$E$701,"remaining_day3")))</f>
        <v>22</v>
      </c>
      <c r="AF37" s="30" t="n">
        <f aca="false">IF($A37="","",IF(COUNTIFS(counts!$C$2:$C$701,$A37,counts!$D$2:$D$701,$B37,counts!$E$2:$E$701,"remaining_day5")=0,"",SUMIFS(counts!$F$2:$F$701,counts!$C$2:$C$701,$A37,counts!$D$2:$D$701,$B37,counts!$E$2:$E$701,"remaining_day5")))</f>
        <v>4</v>
      </c>
      <c r="AG37" s="30" t="n">
        <f aca="false">IF(OR($A37="",$AF37=""),"",MAX(0,$AA37+$AD37-$AF37))</f>
        <v>41</v>
      </c>
      <c r="AH37" s="30" t="str">
        <f aca="false">IF(OR($A37="",$AI37=""),"",IFERROR(IF(INDEX(photos!$H$2:$H$701,MATCH($A37&amp;"|"&amp;$B37&amp;"|later|Y|"&amp;$AI37,photos!$S$2:$S$701,0))="","",INDEX(photos!$H$2:$H$701,MATCH($A37&amp;"|"&amp;$B37&amp;"|later|Y|"&amp;$AI37,photos!$S$2:$S$701,0))),""))</f>
        <v>SAMPLE-CMP-005_SAMPLE-O-006_later_2027-02-16.jpg</v>
      </c>
      <c r="AI37" s="31" t="n">
        <f aca="false">IF($A37="","",IFERROR(1/(1/SUMPRODUCT(MAX((photos!$B$2:$B$701=$A37)*(photos!$C$2:$C$701=$B37)*(photos!$D$2:$D$701="later")*(photos!$O$2:$O$701="Y")*photos!$E$2:$E$701))),""))</f>
        <v>46434</v>
      </c>
      <c r="AJ37" s="30" t="n">
        <f aca="false">IF(OR($A37="",$AI37="",$I37=""),"",NETWORKDAYS($I37,$AI37,calendar!$A$2:$A$80))</f>
        <v>5</v>
      </c>
      <c r="AK37" s="30" t="str">
        <f aca="false">IF($A37="","",IF(AND($X37&lt;&gt;"",$AH37&lt;&gt;""),"Y","N"))</f>
        <v>Y</v>
      </c>
      <c r="AL37" s="30" t="n">
        <f aca="true">IF(OR($A37="",$I37=""),"",IF($BC37="Y",SUMIFS(survey_frozen!$C$2:$C$251,survey_frozen!$P$2:$P$251,$A37&amp;"|"&amp;$B37),IFERROR(COUNTIFS(INDIRECT("'"&amp;$A37&amp;"'!$B$2:$B$501"),$T37,INDIRECT("'"&amp;$A37&amp;"'!$A$2:$A$501"),"&gt;="&amp;$I37,INDIRECT("'"&amp;$A37&amp;"'!$A$2:$A$501"),"&lt;"&amp;($BA37+1)),0)))</f>
        <v>9</v>
      </c>
      <c r="AM37" s="30" t="n">
        <f aca="true">IF(OR($A37="",$I37=""),"",IF($BC37="Y",SUMIFS(survey_frozen!$D$2:$D$251,survey_frozen!$P$2:$P$251,$A37&amp;"|"&amp;$B37),IFERROR(COUNTIFS(INDIRECT("'"&amp;$A37&amp;"'!$B$2:$B$501"),$T37,INDIRECT("'"&amp;$A37&amp;"'!$A$2:$A$501"),"&gt;="&amp;$I37,INDIRECT("'"&amp;$A37&amp;"'!$A$2:$A$501"),"&lt;"&amp;($BA37+1),INDIRECT("'"&amp;$A37&amp;"'!$C$2:$C$501"),"Yes"),0)))</f>
        <v>5</v>
      </c>
      <c r="AN37" s="30" t="n">
        <f aca="false">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12</v>
      </c>
      <c r="AO37" s="30" t="n">
        <f aca="false">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11</v>
      </c>
      <c r="AP37" s="30" t="str">
        <f aca="true">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30" t="n">
        <f aca="true">IF(OR($A37="",$I37=""),"",IF($BC37="Y",SUMIFS(survey_frozen!$E$2:$E$251,survey_frozen!$P$2:$P$251,$A37&amp;"|"&amp;$B37),IFERROR(COUNTIFS(INDIRECT("'"&amp;$A37&amp;"'!$B$2:$B$501"),$T37,INDIRECT("'"&amp;$A37&amp;"'!$A$2:$A$501"),"&gt;="&amp;$I37,INDIRECT("'"&amp;$A37&amp;"'!$A$2:$A$501"),"&lt;"&amp;($BA37+1),INDIRECT("'"&amp;$A37&amp;"'!$F$2:$F$501"),"Didn't see it"),0)))</f>
        <v>0</v>
      </c>
      <c r="AR37" s="30" t="n">
        <f aca="true">IF(OR($A37="",$I37=""),"",IF($BC37="Y",SUMIFS(survey_frozen!$F$2:$F$251,survey_frozen!$P$2:$P$251,$A37&amp;"|"&amp;$B37),IFERROR(COUNTIFS(INDIRECT("'"&amp;$A37&amp;"'!$B$2:$B$501"),$T37,INDIRECT("'"&amp;$A37&amp;"'!$A$2:$A$501"),"&gt;="&amp;$I37,INDIRECT("'"&amp;$A37&amp;"'!$A$2:$A$501"),"&lt;"&amp;($BA37+1),INDIRECT("'"&amp;$A37&amp;"'!$F$2:$F$501"),"Not for me"),0)))</f>
        <v>3</v>
      </c>
      <c r="AS37" s="30" t="n">
        <f aca="true">IF(OR($A37="",$I37=""),"",IF($BC37="Y",SUMIFS(survey_frozen!$G$2:$G$251,survey_frozen!$P$2:$P$251,$A37&amp;"|"&amp;$B37),IFERROR(COUNTIFS(INDIRECT("'"&amp;$A37&amp;"'!$B$2:$B$501"),$T37,INDIRECT("'"&amp;$A37&amp;"'!$A$2:$A$501"),"&gt;="&amp;$I37,INDIRECT("'"&amp;$A37&amp;"'!$A$2:$A$501"),"&lt;"&amp;($BA37+1),INDIRECT("'"&amp;$A37&amp;"'!$F$2:$F$501"),"Gone by the time I looked"),0)))</f>
        <v>1</v>
      </c>
      <c r="AT37" s="30" t="n">
        <f aca="true">IF(OR($A37="",$I37=""),"",IF($BC37="Y",SUMIFS(survey_frozen!$H$2:$H$251,survey_frozen!$P$2:$P$251,$A37&amp;"|"&amp;$B37),IFERROR(COUNTIFS(INDIRECT("'"&amp;$A37&amp;"'!$B$2:$B$501"),$T37,INDIRECT("'"&amp;$A37&amp;"'!$A$2:$A$501"),"&gt;="&amp;$I37,INDIRECT("'"&amp;$A37&amp;"'!$A$2:$A$501"),"&lt;"&amp;($BA37+1),INDIRECT("'"&amp;$A37&amp;"'!$D$2:$D$501"),"&gt;=1"),0)))</f>
        <v>5</v>
      </c>
      <c r="AU37" s="30" t="n">
        <f aca="true">IF(OR($A37="",$I37=""),"",IF($BC37="Y",SUMIFS(survey_frozen!$I$2:$I$251,survey_frozen!$P$2:$P$251,$A37&amp;"|"&amp;$B37),IFERROR(SUMIFS(INDIRECT("'"&amp;$A37&amp;"'!$D$2:$D$501"),INDIRECT("'"&amp;$A37&amp;"'!$B$2:$B$501"),$T37,INDIRECT("'"&amp;$A37&amp;"'!$A$2:$A$501"),"&gt;="&amp;$I37,INDIRECT("'"&amp;$A37&amp;"'!$A$2:$A$501"),"&lt;"&amp;($BA37+1)),0)))</f>
        <v>20</v>
      </c>
      <c r="AV37" s="30" t="n">
        <f aca="true">IF(OR($A37="",$I37=""),"",IF($BC37="Y",SUMIFS(survey_frozen!$J$2:$J$251,survey_frozen!$P$2:$P$251,$A37&amp;"|"&amp;$B37),IFERROR(COUNTIFS(INDIRECT("'"&amp;$A37&amp;"'!$B$2:$B$501"),$T37,INDIRECT("'"&amp;$A37&amp;"'!$A$2:$A$501"),"&gt;="&amp;$I37,INDIRECT("'"&amp;$A37&amp;"'!$A$2:$A$501"),"&lt;"&amp;($BA37+1),INDIRECT("'"&amp;$A37&amp;"'!$E$2:$E$501"),"Yes"),0)))</f>
        <v>0</v>
      </c>
      <c r="AW37" s="30" t="n">
        <f aca="true">IF(OR($A37="",$I37=""),"",IF($BC37="Y",SUMIFS(survey_frozen!$K$2:$K$251,survey_frozen!$P$2:$P$251,$A37&amp;"|"&amp;$B37),IFERROR(COUNTIFS(INDIRECT("'"&amp;$A37&amp;"'!$B$2:$B$501"),$T37,INDIRECT("'"&amp;$A37&amp;"'!$A$2:$A$501"),"&gt;="&amp;$I37,INDIRECT("'"&amp;$A37&amp;"'!$A$2:$A$501"),"&lt;"&amp;($BA37+1),INDIRECT("'"&amp;$A37&amp;"'!$E$2:$E$501"),"Maybe"),0)))</f>
        <v>2</v>
      </c>
      <c r="AX37" s="30" t="n">
        <f aca="true">IF(OR($A37="",$I37=""),"",IF($BC37="Y",SUMIFS(survey_frozen!$L$2:$L$251,survey_frozen!$P$2:$P$251,$A37&amp;"|"&amp;$B37),IFERROR(COUNTIFS(INDIRECT("'"&amp;$A37&amp;"'!$B$2:$B$501"),$T37,INDIRECT("'"&amp;$A37&amp;"'!$A$2:$A$501"),"&gt;="&amp;$I37,INDIRECT("'"&amp;$A37&amp;"'!$A$2:$A$501"),"&lt;"&amp;($BA37+1),INDIRECT("'"&amp;$A37&amp;"'!$E$2:$E$501"),"No"),0)))</f>
        <v>3</v>
      </c>
      <c r="AY37" s="30" t="n">
        <f aca="true">IF(OR($A37="",$I37=""),"",IF($BC37="Y",SUMIFS(survey_frozen!$M$2:$M$251,survey_frozen!$P$2:$P$251,$A37&amp;"|"&amp;$B37),IFERROR(COUNTIFS(INDIRECT("'"&amp;$A37&amp;"'!$B$2:$B$501"),$T37,INDIRECT("'"&amp;$A37&amp;"'!$A$2:$A$501"),"&gt;="&amp;$I37,INDIRECT("'"&amp;$A37&amp;"'!$A$2:$A$501"),"&lt;"&amp;($BA37+1),INDIRECT("'"&amp;$A37&amp;"'!$G$2:$G$501"),"&lt;&gt;"),0)))</f>
        <v>3</v>
      </c>
      <c r="AZ37" s="30" t="str">
        <f aca="false">IF($A37="","",$A37&amp;"|"&amp;$L37)</f>
        <v>SAMPLE-CMP-005|6</v>
      </c>
      <c r="BA37" s="31" t="n">
        <f aca="false">IF($A37="","",IFERROR(IF(INDEX(drops!$R$2:$R$21,MATCH($H37,drops!$A$2:$A$21,0))="","",INDEX(drops!$R$2:$R$21,MATCH($H37,drops!$A$2:$A$21,0))),""))</f>
        <v>46434</v>
      </c>
      <c r="BB37" s="30" t="n">
        <f aca="false">IF(OR($A37="",$Q37&lt;&gt;"Y"),1000000,N($AL37))</f>
        <v>9</v>
      </c>
      <c r="BC37" s="30" t="str">
        <f aca="false">IF($A37="","",IF(COUNTIF(survey_frozen!$P$2:$P$251,$A37&amp;"|"&amp;$B37)&gt;0,"Y",""))</f>
        <v/>
      </c>
      <c r="BD37" s="30" t="str">
        <f aca="false">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ustomFormat="false" ht="15" hidden="false" customHeight="false" outlineLevel="0" collapsed="false">
      <c r="A38" s="0" t="s">
        <v>549</v>
      </c>
      <c r="B38" s="0" t="s">
        <v>692</v>
      </c>
      <c r="C38" s="11" t="n">
        <v>46395</v>
      </c>
      <c r="D38" s="10" t="s">
        <v>496</v>
      </c>
      <c r="E38" s="11" t="n">
        <v>46396</v>
      </c>
      <c r="F38" s="10" t="s">
        <v>737</v>
      </c>
      <c r="H38" s="30" t="str">
        <f aca="false">IF($A38="","",IFERROR(IF(INDEX(campaigns!$B$2:$B$51,MATCH($A38,campaigns!$A$2:$A$51,0))="","",INDEX(campaigns!$B$2:$B$51,MATCH($A38,campaigns!$A$2:$A$51,0))),""))</f>
        <v>SAMPLE-DRP-002</v>
      </c>
      <c r="I38" s="31" t="n">
        <f aca="false">IF($A38="","",IFERROR(IF(INDEX(campaigns!$BG$2:$BG$51,MATCH($A38,campaigns!$A$2:$A$51,0))="","",INDEX(campaigns!$BG$2:$BG$51,MATCH($A38,campaigns!$A$2:$A$51,0))),""))</f>
        <v>46427</v>
      </c>
      <c r="J38" s="30" t="str">
        <f aca="false">IF($A38="","",IFERROR(IF(INDEX(campaigns!$BE$2:$BE$51,MATCH($A38,campaigns!$A$2:$A$51,0))="","",INDEX(campaigns!$BE$2:$BE$51,MATCH($A38,campaigns!$A$2:$A$51,0))),""))</f>
        <v>SAMPLE Kettle Ridge</v>
      </c>
      <c r="K38" s="30" t="str">
        <f aca="false">IF($B38="","",IFERROR(IF(INDEX(offices!$O$2:$O$61,MATCH($B38,offices!$A$2:$A$61,0))="","",INDEX(offices!$O$2:$O$61,MATCH($B38,offices!$A$2:$A$61,0))),""))</f>
        <v>SAMPLE Brine &amp; Bell PR</v>
      </c>
      <c r="L38" s="30" t="n">
        <f aca="false">IF($A38="","",IF($Q38="N","",COUNTIFS($A$2:$A38,$A38,$Q$2:$Q38,"&lt;&gt;N")))</f>
        <v>7</v>
      </c>
      <c r="M38" s="30" t="str">
        <f aca="false">IF(OR($A38="",$L38=""),"",IF(AND(config!$B$34="names_if_public",IFERROR(IF(INDEX(offices!$AG$2:$AG$61,MATCH($B38,offices!$A$2:$A$61,0))="","",INDEX(offices!$AG$2:$AG$61,MATCH($B38,offices!$A$2:$A$61,0))),"")="Y"),$K38,CHAR(64+$L38)))</f>
        <v>G</v>
      </c>
      <c r="N38" s="30" t="n">
        <f aca="false">IF(OR($A38="",$I38=""),"",COUNTIFS(stops!$B$2:$B$151,$B38,stops!$P$2:$P$151,"&lt;"&amp;$I38,stops!$L$2:$L$151,"&lt;&gt;not_delivered")+1)</f>
        <v>1</v>
      </c>
      <c r="O38" s="30" t="str">
        <f aca="false">IF($A38="","",IF(N($N38)&lt;=config!$B$29,"explicit","opt-out"))</f>
        <v>explicit</v>
      </c>
      <c r="P38" s="30" t="str">
        <f aca="false">IF($A38="","",IF($O38="explicit",IF($D38="yes","Y",IF($D38="no","N","pending")),IF($D38="no","N",IF(AND($C38&lt;&gt;"",$I38&lt;&gt;"",$C38&lt;=WORKDAY(N($I38),-5,calendar!$A$2:$A$80)),"Y","pending"))))</f>
        <v>Y</v>
      </c>
      <c r="Q38" s="30" t="str">
        <f aca="false">IF($A38="","",IF($P38="N","N",IF($P38&lt;&gt;"Y","pending",IF(AND((COUNTIFS(stops!$A$2:$A$151,$H38,stops!$B$2:$B$151,$B38,stops!$L$2:$L$151,"declined")+COUNTIFS(stops!$A$2:$A$151,$H38,stops!$B$2:$B$151,$B38,stops!$L$2:$L$151,"building_refused")+COUNTIFS(stops!$A$2:$A$151,$H38,stops!$B$2:$B$151,$B38,stops!$L$2:$L$151,"not_delivered"))&gt;0,N($U38)=0),"N","Y"))))</f>
        <v>Y</v>
      </c>
      <c r="R38" s="30" t="str">
        <f aca="false">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info: read the vetoes against the label; </v>
      </c>
      <c r="S38" s="30" t="n">
        <f aca="false">IF($A38="","",IF($G38&lt;&gt;"",$G38,IFERROR(IF(INDEX(offices!$AM$2:$AM$61,MATCH($B38,offices!$A$2:$A$61,0))="","",INDEX(offices!$AM$2:$AM$61,MATCH($B38,offices!$A$2:$A$61,0))),"")))</f>
        <v>60</v>
      </c>
      <c r="T38" s="30" t="str">
        <f aca="false">IF($A38="","",$A38&amp;"."&amp;$B38)</f>
        <v>SAMPLE-CMP-005.SAMPLE-O-007</v>
      </c>
      <c r="U38" s="30" t="n">
        <f aca="false">IF($A38="","",SUMIFS(inventory!$G$2:$G$801,inventory!$C$2:$C$801,$A38,inventory!$D$2:$D$801,$B38,inventory!$E$2:$E$801,"delivered"))</f>
        <v>60</v>
      </c>
      <c r="V38" s="37" t="n">
        <f aca="false">IF($A38="","",IFERROR(1/(1/SUMPRODUCT(MAX((inventory!$C$2:$C$801=$A38)*(inventory!$D$2:$D$801=$B38)*(inventory!$E$2:$E$801="delivered")*(inventory!$A$2:$A$801+inventory!$B$2:$B$801)))),""))</f>
        <v>46427.4020833333</v>
      </c>
      <c r="W38" s="30" t="str">
        <f aca="false">IF($A38="","",IFERROR(IF(INDEX(inventory!$J$2:$J$801,MATCH($A38&amp;"|"&amp;$B38&amp;"|delivered",inventory!$R$2:$R$801,0))="","",INDEX(inventory!$J$2:$J$801,MATCH($A38&amp;"|"&amp;$B38&amp;"|delivered",inventory!$R$2:$R$801,0))),""))</f>
        <v>courier_count</v>
      </c>
      <c r="X38" s="30" t="str">
        <f aca="false">IF($A38="","",IFERROR(IF(INDEX(photos!$H$2:$H$701,MATCH($A38&amp;"|"&amp;$B38&amp;"|placement|Y",photos!$R$2:$R$701,0))="","",INDEX(photos!$H$2:$H$701,MATCH($A38&amp;"|"&amp;$B38&amp;"|placement|Y",photos!$R$2:$R$701,0))),""))</f>
        <v>SAMPLE-CMP-005_SAMPLE-O-007_placement_2027-02-09.jpg</v>
      </c>
      <c r="Y38" s="31" t="n">
        <f aca="false">IF($A38="","",IFERROR(IF(INDEX(photos!$E$2:$E$701,MATCH($A38&amp;"|"&amp;$B38&amp;"|placement|Y",photos!$R$2:$R$701,0))="","",INDEX(photos!$E$2:$E$701,MATCH($A38&amp;"|"&amp;$B38&amp;"|placement|Y",photos!$R$2:$R$701,0))),""))</f>
        <v>46427</v>
      </c>
      <c r="Z38" s="30" t="n">
        <f aca="false">IF($A38="","",IF(COUNTIFS(counts!$C$2:$C$701,$A38,counts!$D$2:$D$701,$B38,counts!$E$2:$E$701,"placed")=0,"",SUMIFS(counts!$F$2:$F$701,counts!$C$2:$C$701,$A38,counts!$D$2:$D$701,$B38,counts!$E$2:$E$701,"placed")))</f>
        <v>60</v>
      </c>
      <c r="AA38" s="30" t="n">
        <f aca="false">IF($A38="","",IF($Y38="",0,N($Z38)))</f>
        <v>60</v>
      </c>
      <c r="AB38" s="30" t="str">
        <f aca="false">IF($A38="","",IF(OR($Y38="",$I38=""),"N",IF($Y38&lt;=WORKDAY(N($I38),1,calendar!$A$2:$A$80),"Y","N")))</f>
        <v>Y</v>
      </c>
      <c r="AC38" s="33" t="n">
        <f aca="false">IF(OR($A38="",$V38="",$Y38=""),"",ROUND(($Y38+N(IFERROR(IF(INDEX(photos!$F$2:$F$701,MATCH($A38&amp;"|"&amp;$B38&amp;"|placement|Y",photos!$R$2:$R$701,0))="","",INDEX(photos!$F$2:$F$701,MATCH($A38&amp;"|"&amp;$B38&amp;"|placement|Y",photos!$R$2:$R$701,0))),""))-$V38)*24,1))</f>
        <v>3.4</v>
      </c>
      <c r="AD38" s="30" t="n">
        <f aca="false">IF($A38="","",SUMIFS(inventory!$G$2:$G$801,inventory!$C$2:$C$801,$A38,inventory!$D$2:$D$801,$B38,inventory!$E$2:$E$801,"topped_up"))</f>
        <v>0</v>
      </c>
      <c r="AE38" s="30" t="n">
        <f aca="false">IF($A38="","",IF(COUNTIFS(counts!$C$2:$C$701,$A38,counts!$D$2:$D$701,$B38,counts!$E$2:$E$701,"remaining_day3")=0,"",SUMIFS(counts!$F$2:$F$701,counts!$C$2:$C$701,$A38,counts!$D$2:$D$701,$B38,counts!$E$2:$E$701,"remaining_day3")))</f>
        <v>35</v>
      </c>
      <c r="AF38" s="30" t="n">
        <f aca="false">IF($A38="","",IF(COUNTIFS(counts!$C$2:$C$701,$A38,counts!$D$2:$D$701,$B38,counts!$E$2:$E$701,"remaining_day5")=0,"",SUMIFS(counts!$F$2:$F$701,counts!$C$2:$C$701,$A38,counts!$D$2:$D$701,$B38,counts!$E$2:$E$701,"remaining_day5")))</f>
        <v>4</v>
      </c>
      <c r="AG38" s="30" t="n">
        <f aca="false">IF(OR($A38="",$AF38=""),"",MAX(0,$AA38+$AD38-$AF38))</f>
        <v>56</v>
      </c>
      <c r="AH38" s="30" t="str">
        <f aca="false">IF(OR($A38="",$AI38=""),"",IFERROR(IF(INDEX(photos!$H$2:$H$701,MATCH($A38&amp;"|"&amp;$B38&amp;"|later|Y|"&amp;$AI38,photos!$S$2:$S$701,0))="","",INDEX(photos!$H$2:$H$701,MATCH($A38&amp;"|"&amp;$B38&amp;"|later|Y|"&amp;$AI38,photos!$S$2:$S$701,0))),""))</f>
        <v>SAMPLE-CMP-005_SAMPLE-O-007_later_2027-02-16.jpg</v>
      </c>
      <c r="AI38" s="31" t="n">
        <f aca="false">IF($A38="","",IFERROR(1/(1/SUMPRODUCT(MAX((photos!$B$2:$B$701=$A38)*(photos!$C$2:$C$701=$B38)*(photos!$D$2:$D$701="later")*(photos!$O$2:$O$701="Y")*photos!$E$2:$E$701))),""))</f>
        <v>46434</v>
      </c>
      <c r="AJ38" s="30" t="n">
        <f aca="false">IF(OR($A38="",$AI38="",$I38=""),"",NETWORKDAYS($I38,$AI38,calendar!$A$2:$A$80))</f>
        <v>5</v>
      </c>
      <c r="AK38" s="30" t="str">
        <f aca="false">IF($A38="","",IF(AND($X38&lt;&gt;"",$AH38&lt;&gt;""),"Y","N"))</f>
        <v>Y</v>
      </c>
      <c r="AL38" s="30" t="n">
        <f aca="true">IF(OR($A38="",$I38=""),"",IF($BC38="Y",SUMIFS(survey_frozen!$C$2:$C$251,survey_frozen!$P$2:$P$251,$A38&amp;"|"&amp;$B38),IFERROR(COUNTIFS(INDIRECT("'"&amp;$A38&amp;"'!$B$2:$B$501"),$T38,INDIRECT("'"&amp;$A38&amp;"'!$A$2:$A$501"),"&gt;="&amp;$I38,INDIRECT("'"&amp;$A38&amp;"'!$A$2:$A$501"),"&lt;"&amp;($BA38+1)),0)))</f>
        <v>6</v>
      </c>
      <c r="AM38" s="30" t="n">
        <f aca="true">IF(OR($A38="",$I38=""),"",IF($BC38="Y",SUMIFS(survey_frozen!$D$2:$D$251,survey_frozen!$P$2:$P$251,$A38&amp;"|"&amp;$B38),IFERROR(COUNTIFS(INDIRECT("'"&amp;$A38&amp;"'!$B$2:$B$501"),$T38,INDIRECT("'"&amp;$A38&amp;"'!$A$2:$A$501"),"&gt;="&amp;$I38,INDIRECT("'"&amp;$A38&amp;"'!$A$2:$A$501"),"&lt;"&amp;($BA38+1),INDIRECT("'"&amp;$A38&amp;"'!$C$2:$C$501"),"Yes"),0)))</f>
        <v>5</v>
      </c>
      <c r="AN38" s="30" t="n">
        <f aca="false">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8</v>
      </c>
      <c r="AO38" s="30" t="n">
        <f aca="false">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7</v>
      </c>
      <c r="AP38" s="30" t="str">
        <f aca="true">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info: read the vetoes against the label; </v>
      </c>
      <c r="AQ38" s="30" t="n">
        <f aca="true">IF(OR($A38="",$I38=""),"",IF($BC38="Y",SUMIFS(survey_frozen!$E$2:$E$251,survey_frozen!$P$2:$P$251,$A38&amp;"|"&amp;$B38),IFERROR(COUNTIFS(INDIRECT("'"&amp;$A38&amp;"'!$B$2:$B$501"),$T38,INDIRECT("'"&amp;$A38&amp;"'!$A$2:$A$501"),"&gt;="&amp;$I38,INDIRECT("'"&amp;$A38&amp;"'!$A$2:$A$501"),"&lt;"&amp;($BA38+1),INDIRECT("'"&amp;$A38&amp;"'!$F$2:$F$501"),"Didn't see it"),0)))</f>
        <v>0</v>
      </c>
      <c r="AR38" s="30" t="n">
        <f aca="true">IF(OR($A38="",$I38=""),"",IF($BC38="Y",SUMIFS(survey_frozen!$F$2:$F$251,survey_frozen!$P$2:$P$251,$A38&amp;"|"&amp;$B38),IFERROR(COUNTIFS(INDIRECT("'"&amp;$A38&amp;"'!$B$2:$B$501"),$T38,INDIRECT("'"&amp;$A38&amp;"'!$A$2:$A$501"),"&gt;="&amp;$I38,INDIRECT("'"&amp;$A38&amp;"'!$A$2:$A$501"),"&lt;"&amp;($BA38+1),INDIRECT("'"&amp;$A38&amp;"'!$F$2:$F$501"),"Not for me"),0)))</f>
        <v>1</v>
      </c>
      <c r="AS38" s="30" t="n">
        <f aca="true">IF(OR($A38="",$I38=""),"",IF($BC38="Y",SUMIFS(survey_frozen!$G$2:$G$251,survey_frozen!$P$2:$P$251,$A38&amp;"|"&amp;$B38),IFERROR(COUNTIFS(INDIRECT("'"&amp;$A38&amp;"'!$B$2:$B$501"),$T38,INDIRECT("'"&amp;$A38&amp;"'!$A$2:$A$501"),"&gt;="&amp;$I38,INDIRECT("'"&amp;$A38&amp;"'!$A$2:$A$501"),"&lt;"&amp;($BA38+1),INDIRECT("'"&amp;$A38&amp;"'!$F$2:$F$501"),"Gone by the time I looked"),0)))</f>
        <v>0</v>
      </c>
      <c r="AT38" s="30" t="n">
        <f aca="true">IF(OR($A38="",$I38=""),"",IF($BC38="Y",SUMIFS(survey_frozen!$H$2:$H$251,survey_frozen!$P$2:$P$251,$A38&amp;"|"&amp;$B38),IFERROR(COUNTIFS(INDIRECT("'"&amp;$A38&amp;"'!$B$2:$B$501"),$T38,INDIRECT("'"&amp;$A38&amp;"'!$A$2:$A$501"),"&gt;="&amp;$I38,INDIRECT("'"&amp;$A38&amp;"'!$A$2:$A$501"),"&lt;"&amp;($BA38+1),INDIRECT("'"&amp;$A38&amp;"'!$D$2:$D$501"),"&gt;=1"),0)))</f>
        <v>5</v>
      </c>
      <c r="AU38" s="30" t="n">
        <f aca="true">IF(OR($A38="",$I38=""),"",IF($BC38="Y",SUMIFS(survey_frozen!$I$2:$I$251,survey_frozen!$P$2:$P$251,$A38&amp;"|"&amp;$B38),IFERROR(SUMIFS(INDIRECT("'"&amp;$A38&amp;"'!$D$2:$D$501"),INDIRECT("'"&amp;$A38&amp;"'!$B$2:$B$501"),$T38,INDIRECT("'"&amp;$A38&amp;"'!$A$2:$A$501"),"&gt;="&amp;$I38,INDIRECT("'"&amp;$A38&amp;"'!$A$2:$A$501"),"&lt;"&amp;($BA38+1)),0)))</f>
        <v>21</v>
      </c>
      <c r="AV38" s="30" t="n">
        <f aca="true">IF(OR($A38="",$I38=""),"",IF($BC38="Y",SUMIFS(survey_frozen!$J$2:$J$251,survey_frozen!$P$2:$P$251,$A38&amp;"|"&amp;$B38),IFERROR(COUNTIFS(INDIRECT("'"&amp;$A38&amp;"'!$B$2:$B$501"),$T38,INDIRECT("'"&amp;$A38&amp;"'!$A$2:$A$501"),"&gt;="&amp;$I38,INDIRECT("'"&amp;$A38&amp;"'!$A$2:$A$501"),"&lt;"&amp;($BA38+1),INDIRECT("'"&amp;$A38&amp;"'!$E$2:$E$501"),"Yes"),0)))</f>
        <v>1</v>
      </c>
      <c r="AW38" s="30" t="n">
        <f aca="true">IF(OR($A38="",$I38=""),"",IF($BC38="Y",SUMIFS(survey_frozen!$K$2:$K$251,survey_frozen!$P$2:$P$251,$A38&amp;"|"&amp;$B38),IFERROR(COUNTIFS(INDIRECT("'"&amp;$A38&amp;"'!$B$2:$B$501"),$T38,INDIRECT("'"&amp;$A38&amp;"'!$A$2:$A$501"),"&gt;="&amp;$I38,INDIRECT("'"&amp;$A38&amp;"'!$A$2:$A$501"),"&lt;"&amp;($BA38+1),INDIRECT("'"&amp;$A38&amp;"'!$E$2:$E$501"),"Maybe"),0)))</f>
        <v>3</v>
      </c>
      <c r="AX38" s="30" t="n">
        <f aca="true">IF(OR($A38="",$I38=""),"",IF($BC38="Y",SUMIFS(survey_frozen!$L$2:$L$251,survey_frozen!$P$2:$P$251,$A38&amp;"|"&amp;$B38),IFERROR(COUNTIFS(INDIRECT("'"&amp;$A38&amp;"'!$B$2:$B$501"),$T38,INDIRECT("'"&amp;$A38&amp;"'!$A$2:$A$501"),"&gt;="&amp;$I38,INDIRECT("'"&amp;$A38&amp;"'!$A$2:$A$501"),"&lt;"&amp;($BA38+1),INDIRECT("'"&amp;$A38&amp;"'!$E$2:$E$501"),"No"),0)))</f>
        <v>1</v>
      </c>
      <c r="AY38" s="30" t="n">
        <f aca="true">IF(OR($A38="",$I38=""),"",IF($BC38="Y",SUMIFS(survey_frozen!$M$2:$M$251,survey_frozen!$P$2:$P$251,$A38&amp;"|"&amp;$B38),IFERROR(COUNTIFS(INDIRECT("'"&amp;$A38&amp;"'!$B$2:$B$501"),$T38,INDIRECT("'"&amp;$A38&amp;"'!$A$2:$A$501"),"&gt;="&amp;$I38,INDIRECT("'"&amp;$A38&amp;"'!$A$2:$A$501"),"&lt;"&amp;($BA38+1),INDIRECT("'"&amp;$A38&amp;"'!$G$2:$G$501"),"&lt;&gt;"),0)))</f>
        <v>3</v>
      </c>
      <c r="AZ38" s="30" t="str">
        <f aca="false">IF($A38="","",$A38&amp;"|"&amp;$L38)</f>
        <v>SAMPLE-CMP-005|7</v>
      </c>
      <c r="BA38" s="31" t="n">
        <f aca="false">IF($A38="","",IFERROR(IF(INDEX(drops!$R$2:$R$21,MATCH($H38,drops!$A$2:$A$21,0))="","",INDEX(drops!$R$2:$R$21,MATCH($H38,drops!$A$2:$A$21,0))),""))</f>
        <v>46434</v>
      </c>
      <c r="BB38" s="30" t="n">
        <f aca="false">IF(OR($A38="",$Q38&lt;&gt;"Y"),1000000,N($AL38))</f>
        <v>6</v>
      </c>
      <c r="BC38" s="30" t="str">
        <f aca="false">IF($A38="","",IF(COUNTIF(survey_frozen!$P$2:$P$251,$A38&amp;"|"&amp;$B38)&gt;0,"Y",""))</f>
        <v/>
      </c>
      <c r="BD38" s="30" t="str">
        <f aca="false">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ustomFormat="false" ht="15" hidden="false" customHeight="false" outlineLevel="0" collapsed="false">
      <c r="A39" s="0" t="s">
        <v>549</v>
      </c>
      <c r="B39" s="0" t="s">
        <v>694</v>
      </c>
      <c r="C39" s="11" t="n">
        <v>46395</v>
      </c>
      <c r="D39" s="10" t="s">
        <v>496</v>
      </c>
      <c r="E39" s="11" t="n">
        <v>46397</v>
      </c>
      <c r="F39" s="10" t="s">
        <v>737</v>
      </c>
      <c r="H39" s="30" t="str">
        <f aca="false">IF($A39="","",IFERROR(IF(INDEX(campaigns!$B$2:$B$51,MATCH($A39,campaigns!$A$2:$A$51,0))="","",INDEX(campaigns!$B$2:$B$51,MATCH($A39,campaigns!$A$2:$A$51,0))),""))</f>
        <v>SAMPLE-DRP-002</v>
      </c>
      <c r="I39" s="31" t="n">
        <f aca="false">IF($A39="","",IFERROR(IF(INDEX(campaigns!$BG$2:$BG$51,MATCH($A39,campaigns!$A$2:$A$51,0))="","",INDEX(campaigns!$BG$2:$BG$51,MATCH($A39,campaigns!$A$2:$A$51,0))),""))</f>
        <v>46427</v>
      </c>
      <c r="J39" s="30" t="str">
        <f aca="false">IF($A39="","",IFERROR(IF(INDEX(campaigns!$BE$2:$BE$51,MATCH($A39,campaigns!$A$2:$A$51,0))="","",INDEX(campaigns!$BE$2:$BE$51,MATCH($A39,campaigns!$A$2:$A$51,0))),""))</f>
        <v>SAMPLE Kettle Ridge</v>
      </c>
      <c r="K39" s="30" t="str">
        <f aca="false">IF($B39="","",IFERROR(IF(INDEX(offices!$O$2:$O$61,MATCH($B39,offices!$A$2:$A$61,0))="","",INDEX(offices!$O$2:$O$61,MATCH($B39,offices!$A$2:$A$61,0))),""))</f>
        <v>SAMPLE Larch Legal</v>
      </c>
      <c r="L39" s="30" t="n">
        <f aca="false">IF($A39="","",IF($Q39="N","",COUNTIFS($A$2:$A39,$A39,$Q$2:$Q39,"&lt;&gt;N")))</f>
        <v>8</v>
      </c>
      <c r="M39" s="30" t="str">
        <f aca="false">IF(OR($A39="",$L39=""),"",IF(AND(config!$B$34="names_if_public",IFERROR(IF(INDEX(offices!$AG$2:$AG$61,MATCH($B39,offices!$A$2:$A$61,0))="","",INDEX(offices!$AG$2:$AG$61,MATCH($B39,offices!$A$2:$A$61,0))),"")="Y"),$K39,CHAR(64+$L39)))</f>
        <v>H</v>
      </c>
      <c r="N39" s="30" t="n">
        <f aca="false">IF(OR($A39="",$I39=""),"",COUNTIFS(stops!$B$2:$B$151,$B39,stops!$P$2:$P$151,"&lt;"&amp;$I39,stops!$L$2:$L$151,"&lt;&gt;not_delivered")+1)</f>
        <v>1</v>
      </c>
      <c r="O39" s="30" t="str">
        <f aca="false">IF($A39="","",IF(N($N39)&lt;=config!$B$29,"explicit","opt-out"))</f>
        <v>explicit</v>
      </c>
      <c r="P39" s="30" t="str">
        <f aca="false">IF($A39="","",IF($O39="explicit",IF($D39="yes","Y",IF($D39="no","N","pending")),IF($D39="no","N",IF(AND($C39&lt;&gt;"",$I39&lt;&gt;"",$C39&lt;=WORKDAY(N($I39),-5,calendar!$A$2:$A$80)),"Y","pending"))))</f>
        <v>Y</v>
      </c>
      <c r="Q39" s="30" t="str">
        <f aca="false">IF($A39="","",IF($P39="N","N",IF($P39&lt;&gt;"Y","pending",IF(AND((COUNTIFS(stops!$A$2:$A$151,$H39,stops!$B$2:$B$151,$B39,stops!$L$2:$L$151,"declined")+COUNTIFS(stops!$A$2:$A$151,$H39,stops!$B$2:$B$151,$B39,stops!$L$2:$L$151,"building_refused")+COUNTIFS(stops!$A$2:$A$151,$H39,stops!$B$2:$B$151,$B39,stops!$L$2:$L$151,"not_delivered"))&gt;0,N($U39)=0),"N","Y"))))</f>
        <v>Y</v>
      </c>
      <c r="R39" s="30" t="str">
        <f aca="false">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30" t="n">
        <f aca="false">IF($A39="","",IF($G39&lt;&gt;"",$G39,IFERROR(IF(INDEX(offices!$AM$2:$AM$61,MATCH($B39,offices!$A$2:$A$61,0))="","",INDEX(offices!$AM$2:$AM$61,MATCH($B39,offices!$A$2:$A$61,0))),"")))</f>
        <v>45</v>
      </c>
      <c r="T39" s="30" t="str">
        <f aca="false">IF($A39="","",$A39&amp;"."&amp;$B39)</f>
        <v>SAMPLE-CMP-005.SAMPLE-O-008</v>
      </c>
      <c r="U39" s="30" t="n">
        <f aca="false">IF($A39="","",SUMIFS(inventory!$G$2:$G$801,inventory!$C$2:$C$801,$A39,inventory!$D$2:$D$801,$B39,inventory!$E$2:$E$801,"delivered"))</f>
        <v>45</v>
      </c>
      <c r="V39" s="37" t="n">
        <f aca="false">IF($A39="","",IFERROR(1/(1/SUMPRODUCT(MAX((inventory!$C$2:$C$801=$A39)*(inventory!$D$2:$D$801=$B39)*(inventory!$E$2:$E$801="delivered")*(inventory!$A$2:$A$801+inventory!$B$2:$B$801)))),""))</f>
        <v>46427.4159722222</v>
      </c>
      <c r="W39" s="30" t="str">
        <f aca="false">IF($A39="","",IFERROR(IF(INDEX(inventory!$J$2:$J$801,MATCH($A39&amp;"|"&amp;$B39&amp;"|delivered",inventory!$R$2:$R$801,0))="","",INDEX(inventory!$J$2:$J$801,MATCH($A39&amp;"|"&amp;$B39&amp;"|delivered",inventory!$R$2:$R$801,0))),""))</f>
        <v>courier_count</v>
      </c>
      <c r="X39" s="30" t="str">
        <f aca="false">IF($A39="","",IFERROR(IF(INDEX(photos!$H$2:$H$701,MATCH($A39&amp;"|"&amp;$B39&amp;"|placement|Y",photos!$R$2:$R$701,0))="","",INDEX(photos!$H$2:$H$701,MATCH($A39&amp;"|"&amp;$B39&amp;"|placement|Y",photos!$R$2:$R$701,0))),""))</f>
        <v>SAMPLE-CMP-005_SAMPLE-O-008_placement_2027-02-09.jpg</v>
      </c>
      <c r="Y39" s="31" t="n">
        <f aca="false">IF($A39="","",IFERROR(IF(INDEX(photos!$E$2:$E$701,MATCH($A39&amp;"|"&amp;$B39&amp;"|placement|Y",photos!$R$2:$R$701,0))="","",INDEX(photos!$E$2:$E$701,MATCH($A39&amp;"|"&amp;$B39&amp;"|placement|Y",photos!$R$2:$R$701,0))),""))</f>
        <v>46427</v>
      </c>
      <c r="Z39" s="30" t="n">
        <f aca="false">IF($A39="","",IF(COUNTIFS(counts!$C$2:$C$701,$A39,counts!$D$2:$D$701,$B39,counts!$E$2:$E$701,"placed")=0,"",SUMIFS(counts!$F$2:$F$701,counts!$C$2:$C$701,$A39,counts!$D$2:$D$701,$B39,counts!$E$2:$E$701,"placed")))</f>
        <v>45</v>
      </c>
      <c r="AA39" s="30" t="n">
        <f aca="false">IF($A39="","",IF($Y39="",0,N($Z39)))</f>
        <v>45</v>
      </c>
      <c r="AB39" s="30" t="str">
        <f aca="false">IF($A39="","",IF(OR($Y39="",$I39=""),"N",IF($Y39&lt;=WORKDAY(N($I39),1,calendar!$A$2:$A$80),"Y","N")))</f>
        <v>Y</v>
      </c>
      <c r="AC39" s="33" t="n">
        <f aca="false">IF(OR($A39="",$V39="",$Y39=""),"",ROUND(($Y39+N(IFERROR(IF(INDEX(photos!$F$2:$F$701,MATCH($A39&amp;"|"&amp;$B39&amp;"|placement|Y",photos!$R$2:$R$701,0))="","",INDEX(photos!$F$2:$F$701,MATCH($A39&amp;"|"&amp;$B39&amp;"|placement|Y",photos!$R$2:$R$701,0))),""))-$V39)*24,1))</f>
        <v>3</v>
      </c>
      <c r="AD39" s="30" t="n">
        <f aca="false">IF($A39="","",SUMIFS(inventory!$G$2:$G$801,inventory!$C$2:$C$801,$A39,inventory!$D$2:$D$801,$B39,inventory!$E$2:$E$801,"topped_up"))</f>
        <v>0</v>
      </c>
      <c r="AE39" s="30" t="n">
        <f aca="false">IF($A39="","",IF(COUNTIFS(counts!$C$2:$C$701,$A39,counts!$D$2:$D$701,$B39,counts!$E$2:$E$701,"remaining_day3")=0,"",SUMIFS(counts!$F$2:$F$701,counts!$C$2:$C$701,$A39,counts!$D$2:$D$701,$B39,counts!$E$2:$E$701,"remaining_day3")))</f>
        <v>17</v>
      </c>
      <c r="AF39" s="30" t="n">
        <f aca="false">IF($A39="","",IF(COUNTIFS(counts!$C$2:$C$701,$A39,counts!$D$2:$D$701,$B39,counts!$E$2:$E$701,"remaining_day5")=0,"",SUMIFS(counts!$F$2:$F$701,counts!$C$2:$C$701,$A39,counts!$D$2:$D$701,$B39,counts!$E$2:$E$701,"remaining_day5")))</f>
        <v>6</v>
      </c>
      <c r="AG39" s="30" t="n">
        <f aca="false">IF(OR($A39="",$AF39=""),"",MAX(0,$AA39+$AD39-$AF39))</f>
        <v>39</v>
      </c>
      <c r="AH39" s="30" t="str">
        <f aca="false">IF(OR($A39="",$AI39=""),"",IFERROR(IF(INDEX(photos!$H$2:$H$701,MATCH($A39&amp;"|"&amp;$B39&amp;"|later|Y|"&amp;$AI39,photos!$S$2:$S$701,0))="","",INDEX(photos!$H$2:$H$701,MATCH($A39&amp;"|"&amp;$B39&amp;"|later|Y|"&amp;$AI39,photos!$S$2:$S$701,0))),""))</f>
        <v>SAMPLE-CMP-005_SAMPLE-O-008_later_2027-02-16.jpg</v>
      </c>
      <c r="AI39" s="31" t="n">
        <f aca="false">IF($A39="","",IFERROR(1/(1/SUMPRODUCT(MAX((photos!$B$2:$B$701=$A39)*(photos!$C$2:$C$701=$B39)*(photos!$D$2:$D$701="later")*(photos!$O$2:$O$701="Y")*photos!$E$2:$E$701))),""))</f>
        <v>46434</v>
      </c>
      <c r="AJ39" s="30" t="n">
        <f aca="false">IF(OR($A39="",$AI39="",$I39=""),"",NETWORKDAYS($I39,$AI39,calendar!$A$2:$A$80))</f>
        <v>5</v>
      </c>
      <c r="AK39" s="30" t="str">
        <f aca="false">IF($A39="","",IF(AND($X39&lt;&gt;"",$AH39&lt;&gt;""),"Y","N"))</f>
        <v>Y</v>
      </c>
      <c r="AL39" s="30" t="n">
        <f aca="true">IF(OR($A39="",$I39=""),"",IF($BC39="Y",SUMIFS(survey_frozen!$C$2:$C$251,survey_frozen!$P$2:$P$251,$A39&amp;"|"&amp;$B39),IFERROR(COUNTIFS(INDIRECT("'"&amp;$A39&amp;"'!$B$2:$B$501"),$T39,INDIRECT("'"&amp;$A39&amp;"'!$A$2:$A$501"),"&gt;="&amp;$I39,INDIRECT("'"&amp;$A39&amp;"'!$A$2:$A$501"),"&lt;"&amp;($BA39+1)),0)))</f>
        <v>8</v>
      </c>
      <c r="AM39" s="30" t="n">
        <f aca="true">IF(OR($A39="",$I39=""),"",IF($BC39="Y",SUMIFS(survey_frozen!$D$2:$D$251,survey_frozen!$P$2:$P$251,$A39&amp;"|"&amp;$B39),IFERROR(COUNTIFS(INDIRECT("'"&amp;$A39&amp;"'!$B$2:$B$501"),$T39,INDIRECT("'"&amp;$A39&amp;"'!$A$2:$A$501"),"&gt;="&amp;$I39,INDIRECT("'"&amp;$A39&amp;"'!$A$2:$A$501"),"&lt;"&amp;($BA39+1),INDIRECT("'"&amp;$A39&amp;"'!$C$2:$C$501"),"Yes"),0)))</f>
        <v>6</v>
      </c>
      <c r="AN39" s="30" t="n">
        <f aca="false">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4</v>
      </c>
      <c r="AO39" s="30" t="n">
        <f aca="false">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3</v>
      </c>
      <c r="AP39" s="30" t="str">
        <f aca="true">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30" t="n">
        <f aca="true">IF(OR($A39="",$I39=""),"",IF($BC39="Y",SUMIFS(survey_frozen!$E$2:$E$251,survey_frozen!$P$2:$P$251,$A39&amp;"|"&amp;$B39),IFERROR(COUNTIFS(INDIRECT("'"&amp;$A39&amp;"'!$B$2:$B$501"),$T39,INDIRECT("'"&amp;$A39&amp;"'!$A$2:$A$501"),"&gt;="&amp;$I39,INDIRECT("'"&amp;$A39&amp;"'!$A$2:$A$501"),"&lt;"&amp;($BA39+1),INDIRECT("'"&amp;$A39&amp;"'!$F$2:$F$501"),"Didn't see it"),0)))</f>
        <v>0</v>
      </c>
      <c r="AR39" s="30" t="n">
        <f aca="true">IF(OR($A39="",$I39=""),"",IF($BC39="Y",SUMIFS(survey_frozen!$F$2:$F$251,survey_frozen!$P$2:$P$251,$A39&amp;"|"&amp;$B39),IFERROR(COUNTIFS(INDIRECT("'"&amp;$A39&amp;"'!$B$2:$B$501"),$T39,INDIRECT("'"&amp;$A39&amp;"'!$A$2:$A$501"),"&gt;="&amp;$I39,INDIRECT("'"&amp;$A39&amp;"'!$A$2:$A$501"),"&lt;"&amp;($BA39+1),INDIRECT("'"&amp;$A39&amp;"'!$F$2:$F$501"),"Not for me"),0)))</f>
        <v>0</v>
      </c>
      <c r="AS39" s="30" t="n">
        <f aca="true">IF(OR($A39="",$I39=""),"",IF($BC39="Y",SUMIFS(survey_frozen!$G$2:$G$251,survey_frozen!$P$2:$P$251,$A39&amp;"|"&amp;$B39),IFERROR(COUNTIFS(INDIRECT("'"&amp;$A39&amp;"'!$B$2:$B$501"),$T39,INDIRECT("'"&amp;$A39&amp;"'!$A$2:$A$501"),"&gt;="&amp;$I39,INDIRECT("'"&amp;$A39&amp;"'!$A$2:$A$501"),"&lt;"&amp;($BA39+1),INDIRECT("'"&amp;$A39&amp;"'!$F$2:$F$501"),"Gone by the time I looked"),0)))</f>
        <v>2</v>
      </c>
      <c r="AT39" s="30" t="n">
        <f aca="true">IF(OR($A39="",$I39=""),"",IF($BC39="Y",SUMIFS(survey_frozen!$H$2:$H$251,survey_frozen!$P$2:$P$251,$A39&amp;"|"&amp;$B39),IFERROR(COUNTIFS(INDIRECT("'"&amp;$A39&amp;"'!$B$2:$B$501"),$T39,INDIRECT("'"&amp;$A39&amp;"'!$A$2:$A$501"),"&gt;="&amp;$I39,INDIRECT("'"&amp;$A39&amp;"'!$A$2:$A$501"),"&lt;"&amp;($BA39+1),INDIRECT("'"&amp;$A39&amp;"'!$D$2:$D$501"),"&gt;=1"),0)))</f>
        <v>6</v>
      </c>
      <c r="AU39" s="30" t="n">
        <f aca="true">IF(OR($A39="",$I39=""),"",IF($BC39="Y",SUMIFS(survey_frozen!$I$2:$I$251,survey_frozen!$P$2:$P$251,$A39&amp;"|"&amp;$B39),IFERROR(SUMIFS(INDIRECT("'"&amp;$A39&amp;"'!$D$2:$D$501"),INDIRECT("'"&amp;$A39&amp;"'!$B$2:$B$501"),$T39,INDIRECT("'"&amp;$A39&amp;"'!$A$2:$A$501"),"&gt;="&amp;$I39,INDIRECT("'"&amp;$A39&amp;"'!$A$2:$A$501"),"&lt;"&amp;($BA39+1)),0)))</f>
        <v>25</v>
      </c>
      <c r="AV39" s="30" t="n">
        <f aca="true">IF(OR($A39="",$I39=""),"",IF($BC39="Y",SUMIFS(survey_frozen!$J$2:$J$251,survey_frozen!$P$2:$P$251,$A39&amp;"|"&amp;$B39),IFERROR(COUNTIFS(INDIRECT("'"&amp;$A39&amp;"'!$B$2:$B$501"),$T39,INDIRECT("'"&amp;$A39&amp;"'!$A$2:$A$501"),"&gt;="&amp;$I39,INDIRECT("'"&amp;$A39&amp;"'!$A$2:$A$501"),"&lt;"&amp;($BA39+1),INDIRECT("'"&amp;$A39&amp;"'!$E$2:$E$501"),"Yes"),0)))</f>
        <v>0</v>
      </c>
      <c r="AW39" s="30" t="n">
        <f aca="true">IF(OR($A39="",$I39=""),"",IF($BC39="Y",SUMIFS(survey_frozen!$K$2:$K$251,survey_frozen!$P$2:$P$251,$A39&amp;"|"&amp;$B39),IFERROR(COUNTIFS(INDIRECT("'"&amp;$A39&amp;"'!$B$2:$B$501"),$T39,INDIRECT("'"&amp;$A39&amp;"'!$A$2:$A$501"),"&gt;="&amp;$I39,INDIRECT("'"&amp;$A39&amp;"'!$A$2:$A$501"),"&lt;"&amp;($BA39+1),INDIRECT("'"&amp;$A39&amp;"'!$E$2:$E$501"),"Maybe"),0)))</f>
        <v>3</v>
      </c>
      <c r="AX39" s="30" t="n">
        <f aca="true">IF(OR($A39="",$I39=""),"",IF($BC39="Y",SUMIFS(survey_frozen!$L$2:$L$251,survey_frozen!$P$2:$P$251,$A39&amp;"|"&amp;$B39),IFERROR(COUNTIFS(INDIRECT("'"&amp;$A39&amp;"'!$B$2:$B$501"),$T39,INDIRECT("'"&amp;$A39&amp;"'!$A$2:$A$501"),"&gt;="&amp;$I39,INDIRECT("'"&amp;$A39&amp;"'!$A$2:$A$501"),"&lt;"&amp;($BA39+1),INDIRECT("'"&amp;$A39&amp;"'!$E$2:$E$501"),"No"),0)))</f>
        <v>3</v>
      </c>
      <c r="AY39" s="30" t="n">
        <f aca="true">IF(OR($A39="",$I39=""),"",IF($BC39="Y",SUMIFS(survey_frozen!$M$2:$M$251,survey_frozen!$P$2:$P$251,$A39&amp;"|"&amp;$B39),IFERROR(COUNTIFS(INDIRECT("'"&amp;$A39&amp;"'!$B$2:$B$501"),$T39,INDIRECT("'"&amp;$A39&amp;"'!$A$2:$A$501"),"&gt;="&amp;$I39,INDIRECT("'"&amp;$A39&amp;"'!$A$2:$A$501"),"&lt;"&amp;($BA39+1),INDIRECT("'"&amp;$A39&amp;"'!$G$2:$G$501"),"&lt;&gt;"),0)))</f>
        <v>2</v>
      </c>
      <c r="AZ39" s="30" t="str">
        <f aca="false">IF($A39="","",$A39&amp;"|"&amp;$L39)</f>
        <v>SAMPLE-CMP-005|8</v>
      </c>
      <c r="BA39" s="31" t="n">
        <f aca="false">IF($A39="","",IFERROR(IF(INDEX(drops!$R$2:$R$21,MATCH($H39,drops!$A$2:$A$21,0))="","",INDEX(drops!$R$2:$R$21,MATCH($H39,drops!$A$2:$A$21,0))),""))</f>
        <v>46434</v>
      </c>
      <c r="BB39" s="30" t="n">
        <f aca="false">IF(OR($A39="",$Q39&lt;&gt;"Y"),1000000,N($AL39))</f>
        <v>8</v>
      </c>
      <c r="BC39" s="30" t="str">
        <f aca="false">IF($A39="","",IF(COUNTIF(survey_frozen!$P$2:$P$251,$A39&amp;"|"&amp;$B39)&gt;0,"Y",""))</f>
        <v/>
      </c>
      <c r="BD39" s="30" t="str">
        <f aca="false">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ustomFormat="false" ht="15" hidden="false" customHeight="false" outlineLevel="0" collapsed="false">
      <c r="A40" s="0" t="s">
        <v>549</v>
      </c>
      <c r="B40" s="0" t="s">
        <v>696</v>
      </c>
      <c r="C40" s="11" t="n">
        <v>46395</v>
      </c>
      <c r="D40" s="10" t="s">
        <v>496</v>
      </c>
      <c r="E40" s="11" t="n">
        <v>46398</v>
      </c>
      <c r="F40" s="10" t="s">
        <v>737</v>
      </c>
      <c r="H40" s="30" t="str">
        <f aca="false">IF($A40="","",IFERROR(IF(INDEX(campaigns!$B$2:$B$51,MATCH($A40,campaigns!$A$2:$A$51,0))="","",INDEX(campaigns!$B$2:$B$51,MATCH($A40,campaigns!$A$2:$A$51,0))),""))</f>
        <v>SAMPLE-DRP-002</v>
      </c>
      <c r="I40" s="31" t="n">
        <f aca="false">IF($A40="","",IFERROR(IF(INDEX(campaigns!$BG$2:$BG$51,MATCH($A40,campaigns!$A$2:$A$51,0))="","",INDEX(campaigns!$BG$2:$BG$51,MATCH($A40,campaigns!$A$2:$A$51,0))),""))</f>
        <v>46427</v>
      </c>
      <c r="J40" s="30" t="str">
        <f aca="false">IF($A40="","",IFERROR(IF(INDEX(campaigns!$BE$2:$BE$51,MATCH($A40,campaigns!$A$2:$A$51,0))="","",INDEX(campaigns!$BE$2:$BE$51,MATCH($A40,campaigns!$A$2:$A$51,0))),""))</f>
        <v>SAMPLE Kettle Ridge</v>
      </c>
      <c r="K40" s="30" t="str">
        <f aca="false">IF($B40="","",IFERROR(IF(INDEX(offices!$O$2:$O$61,MATCH($B40,offices!$A$2:$A$61,0))="","",INDEX(offices!$O$2:$O$61,MATCH($B40,offices!$A$2:$A$61,0))),""))</f>
        <v>SAMPLE Overlook Games</v>
      </c>
      <c r="L40" s="30" t="n">
        <f aca="false">IF($A40="","",IF($Q40="N","",COUNTIFS($A$2:$A40,$A40,$Q$2:$Q40,"&lt;&gt;N")))</f>
        <v>9</v>
      </c>
      <c r="M40" s="30" t="str">
        <f aca="false">IF(OR($A40="",$L40=""),"",IF(AND(config!$B$34="names_if_public",IFERROR(IF(INDEX(offices!$AG$2:$AG$61,MATCH($B40,offices!$A$2:$A$61,0))="","",INDEX(offices!$AG$2:$AG$61,MATCH($B40,offices!$A$2:$A$61,0))),"")="Y"),$K40,CHAR(64+$L40)))</f>
        <v>I</v>
      </c>
      <c r="N40" s="30" t="n">
        <f aca="false">IF(OR($A40="",$I40=""),"",COUNTIFS(stops!$B$2:$B$151,$B40,stops!$P$2:$P$151,"&lt;"&amp;$I40,stops!$L$2:$L$151,"&lt;&gt;not_delivered")+1)</f>
        <v>1</v>
      </c>
      <c r="O40" s="30" t="str">
        <f aca="false">IF($A40="","",IF(N($N40)&lt;=config!$B$29,"explicit","opt-out"))</f>
        <v>explicit</v>
      </c>
      <c r="P40" s="30" t="str">
        <f aca="false">IF($A40="","",IF($O40="explicit",IF($D40="yes","Y",IF($D40="no","N","pending")),IF($D40="no","N",IF(AND($C40&lt;&gt;"",$I40&lt;&gt;"",$C40&lt;=WORKDAY(N($I40),-5,calendar!$A$2:$A$80)),"Y","pending"))))</f>
        <v>Y</v>
      </c>
      <c r="Q40" s="30" t="str">
        <f aca="false">IF($A40="","",IF($P40="N","N",IF($P40&lt;&gt;"Y","pending",IF(AND((COUNTIFS(stops!$A$2:$A$151,$H40,stops!$B$2:$B$151,$B40,stops!$L$2:$L$151,"declined")+COUNTIFS(stops!$A$2:$A$151,$H40,stops!$B$2:$B$151,$B40,stops!$L$2:$L$151,"building_refused")+COUNTIFS(stops!$A$2:$A$151,$H40,stops!$B$2:$B$151,$B40,stops!$L$2:$L$151,"not_delivered"))&gt;0,N($U40)=0),"N","Y"))))</f>
        <v>Y</v>
      </c>
      <c r="R40" s="30" t="str">
        <f aca="false">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30" t="n">
        <f aca="false">IF($A40="","",IF($G40&lt;&gt;"",$G40,IFERROR(IF(INDEX(offices!$AM$2:$AM$61,MATCH($B40,offices!$A$2:$A$61,0))="","",INDEX(offices!$AM$2:$AM$61,MATCH($B40,offices!$A$2:$A$61,0))),"")))</f>
        <v>75</v>
      </c>
      <c r="T40" s="30" t="str">
        <f aca="false">IF($A40="","",$A40&amp;"."&amp;$B40)</f>
        <v>SAMPLE-CMP-005.SAMPLE-O-009</v>
      </c>
      <c r="U40" s="30" t="n">
        <f aca="false">IF($A40="","",SUMIFS(inventory!$G$2:$G$801,inventory!$C$2:$C$801,$A40,inventory!$D$2:$D$801,$B40,inventory!$E$2:$E$801,"delivered"))</f>
        <v>75</v>
      </c>
      <c r="V40" s="37" t="n">
        <f aca="false">IF($A40="","",IFERROR(1/(1/SUMPRODUCT(MAX((inventory!$C$2:$C$801=$A40)*(inventory!$D$2:$D$801=$B40)*(inventory!$E$2:$E$801="delivered")*(inventory!$A$2:$A$801+inventory!$B$2:$B$801)))),""))</f>
        <v>46428.3611111111</v>
      </c>
      <c r="W40" s="30" t="str">
        <f aca="false">IF($A40="","",IFERROR(IF(INDEX(inventory!$J$2:$J$801,MATCH($A40&amp;"|"&amp;$B40&amp;"|delivered",inventory!$R$2:$R$801,0))="","",INDEX(inventory!$J$2:$J$801,MATCH($A40&amp;"|"&amp;$B40&amp;"|delivered",inventory!$R$2:$R$801,0))),""))</f>
        <v>founder_count</v>
      </c>
      <c r="X40" s="30" t="str">
        <f aca="false">IF($A40="","",IFERROR(IF(INDEX(photos!$H$2:$H$701,MATCH($A40&amp;"|"&amp;$B40&amp;"|placement|Y",photos!$R$2:$R$701,0))="","",INDEX(photos!$H$2:$H$701,MATCH($A40&amp;"|"&amp;$B40&amp;"|placement|Y",photos!$R$2:$R$701,0))),""))</f>
        <v>SAMPLE-CMP-005_SAMPLE-O-009_placement_2027-02-10.jpg</v>
      </c>
      <c r="Y40" s="31" t="n">
        <f aca="false">IF($A40="","",IFERROR(IF(INDEX(photos!$E$2:$E$701,MATCH($A40&amp;"|"&amp;$B40&amp;"|placement|Y",photos!$R$2:$R$701,0))="","",INDEX(photos!$E$2:$E$701,MATCH($A40&amp;"|"&amp;$B40&amp;"|placement|Y",photos!$R$2:$R$701,0))),""))</f>
        <v>46428</v>
      </c>
      <c r="Z40" s="30" t="n">
        <f aca="false">IF($A40="","",IF(COUNTIFS(counts!$C$2:$C$701,$A40,counts!$D$2:$D$701,$B40,counts!$E$2:$E$701,"placed")=0,"",SUMIFS(counts!$F$2:$F$701,counts!$C$2:$C$701,$A40,counts!$D$2:$D$701,$B40,counts!$E$2:$E$701,"placed")))</f>
        <v>75</v>
      </c>
      <c r="AA40" s="30" t="n">
        <f aca="false">IF($A40="","",IF($Y40="",0,N($Z40)))</f>
        <v>75</v>
      </c>
      <c r="AB40" s="30" t="str">
        <f aca="false">IF($A40="","",IF(OR($Y40="",$I40=""),"N",IF($Y40&lt;=WORKDAY(N($I40),1,calendar!$A$2:$A$80),"Y","N")))</f>
        <v>Y</v>
      </c>
      <c r="AC40" s="33" t="n">
        <f aca="false">IF(OR($A40="",$V40="",$Y40=""),"",ROUND(($Y40+N(IFERROR(IF(INDEX(photos!$F$2:$F$701,MATCH($A40&amp;"|"&amp;$B40&amp;"|placement|Y",photos!$R$2:$R$701,0))="","",INDEX(photos!$F$2:$F$701,MATCH($A40&amp;"|"&amp;$B40&amp;"|placement|Y",photos!$R$2:$R$701,0))),""))-$V40)*24,1))</f>
        <v>0.5</v>
      </c>
      <c r="AD40" s="30" t="n">
        <f aca="false">IF($A40="","",SUMIFS(inventory!$G$2:$G$801,inventory!$C$2:$C$801,$A40,inventory!$D$2:$D$801,$B40,inventory!$E$2:$E$801,"topped_up"))</f>
        <v>6</v>
      </c>
      <c r="AE40" s="30" t="n">
        <f aca="false">IF($A40="","",IF(COUNTIFS(counts!$C$2:$C$701,$A40,counts!$D$2:$D$701,$B40,counts!$E$2:$E$701,"remaining_day3")=0,"",SUMIFS(counts!$F$2:$F$701,counts!$C$2:$C$701,$A40,counts!$D$2:$D$701,$B40,counts!$E$2:$E$701,"remaining_day3")))</f>
        <v>22</v>
      </c>
      <c r="AF40" s="30" t="n">
        <f aca="false">IF($A40="","",IF(COUNTIFS(counts!$C$2:$C$701,$A40,counts!$D$2:$D$701,$B40,counts!$E$2:$E$701,"remaining_day5")=0,"",SUMIFS(counts!$F$2:$F$701,counts!$C$2:$C$701,$A40,counts!$D$2:$D$701,$B40,counts!$E$2:$E$701,"remaining_day5")))</f>
        <v>5</v>
      </c>
      <c r="AG40" s="30" t="n">
        <f aca="false">IF(OR($A40="",$AF40=""),"",MAX(0,$AA40+$AD40-$AF40))</f>
        <v>76</v>
      </c>
      <c r="AH40" s="30" t="str">
        <f aca="false">IF(OR($A40="",$AI40=""),"",IFERROR(IF(INDEX(photos!$H$2:$H$701,MATCH($A40&amp;"|"&amp;$B40&amp;"|later|Y|"&amp;$AI40,photos!$S$2:$S$701,0))="","",INDEX(photos!$H$2:$H$701,MATCH($A40&amp;"|"&amp;$B40&amp;"|later|Y|"&amp;$AI40,photos!$S$2:$S$701,0))),""))</f>
        <v>SAMPLE-CMP-005_SAMPLE-O-009_later_2027-02-16.jpg</v>
      </c>
      <c r="AI40" s="31" t="n">
        <f aca="false">IF($A40="","",IFERROR(1/(1/SUMPRODUCT(MAX((photos!$B$2:$B$701=$A40)*(photos!$C$2:$C$701=$B40)*(photos!$D$2:$D$701="later")*(photos!$O$2:$O$701="Y")*photos!$E$2:$E$701))),""))</f>
        <v>46434</v>
      </c>
      <c r="AJ40" s="30" t="n">
        <f aca="false">IF(OR($A40="",$AI40="",$I40=""),"",NETWORKDAYS($I40,$AI40,calendar!$A$2:$A$80))</f>
        <v>5</v>
      </c>
      <c r="AK40" s="30" t="str">
        <f aca="false">IF($A40="","",IF(AND($X40&lt;&gt;"",$AH40&lt;&gt;""),"Y","N"))</f>
        <v>Y</v>
      </c>
      <c r="AL40" s="30" t="n">
        <f aca="true">IF(OR($A40="",$I40=""),"",IF($BC40="Y",SUMIFS(survey_frozen!$C$2:$C$251,survey_frozen!$P$2:$P$251,$A40&amp;"|"&amp;$B40),IFERROR(COUNTIFS(INDIRECT("'"&amp;$A40&amp;"'!$B$2:$B$501"),$T40,INDIRECT("'"&amp;$A40&amp;"'!$A$2:$A$501"),"&gt;="&amp;$I40,INDIRECT("'"&amp;$A40&amp;"'!$A$2:$A$501"),"&lt;"&amp;($BA40+1)),0)))</f>
        <v>10</v>
      </c>
      <c r="AM40" s="30" t="n">
        <f aca="true">IF(OR($A40="",$I40=""),"",IF($BC40="Y",SUMIFS(survey_frozen!$D$2:$D$251,survey_frozen!$P$2:$P$251,$A40&amp;"|"&amp;$B40),IFERROR(COUNTIFS(INDIRECT("'"&amp;$A40&amp;"'!$B$2:$B$501"),$T40,INDIRECT("'"&amp;$A40&amp;"'!$A$2:$A$501"),"&gt;="&amp;$I40,INDIRECT("'"&amp;$A40&amp;"'!$A$2:$A$501"),"&lt;"&amp;($BA40+1),INDIRECT("'"&amp;$A40&amp;"'!$C$2:$C$501"),"Yes"),0)))</f>
        <v>7</v>
      </c>
      <c r="AN40" s="30" t="n">
        <f aca="false">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12</v>
      </c>
      <c r="AO40" s="30" t="n">
        <f aca="false">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11</v>
      </c>
      <c r="AP40" s="30" t="str">
        <f aca="true">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30" t="n">
        <f aca="true">IF(OR($A40="",$I40=""),"",IF($BC40="Y",SUMIFS(survey_frozen!$E$2:$E$251,survey_frozen!$P$2:$P$251,$A40&amp;"|"&amp;$B40),IFERROR(COUNTIFS(INDIRECT("'"&amp;$A40&amp;"'!$B$2:$B$501"),$T40,INDIRECT("'"&amp;$A40&amp;"'!$A$2:$A$501"),"&gt;="&amp;$I40,INDIRECT("'"&amp;$A40&amp;"'!$A$2:$A$501"),"&lt;"&amp;($BA40+1),INDIRECT("'"&amp;$A40&amp;"'!$F$2:$F$501"),"Didn't see it"),0)))</f>
        <v>1</v>
      </c>
      <c r="AR40" s="30" t="n">
        <f aca="true">IF(OR($A40="",$I40=""),"",IF($BC40="Y",SUMIFS(survey_frozen!$F$2:$F$251,survey_frozen!$P$2:$P$251,$A40&amp;"|"&amp;$B40),IFERROR(COUNTIFS(INDIRECT("'"&amp;$A40&amp;"'!$B$2:$B$501"),$T40,INDIRECT("'"&amp;$A40&amp;"'!$A$2:$A$501"),"&gt;="&amp;$I40,INDIRECT("'"&amp;$A40&amp;"'!$A$2:$A$501"),"&lt;"&amp;($BA40+1),INDIRECT("'"&amp;$A40&amp;"'!$F$2:$F$501"),"Not for me"),0)))</f>
        <v>1</v>
      </c>
      <c r="AS40" s="30" t="n">
        <f aca="true">IF(OR($A40="",$I40=""),"",IF($BC40="Y",SUMIFS(survey_frozen!$G$2:$G$251,survey_frozen!$P$2:$P$251,$A40&amp;"|"&amp;$B40),IFERROR(COUNTIFS(INDIRECT("'"&amp;$A40&amp;"'!$B$2:$B$501"),$T40,INDIRECT("'"&amp;$A40&amp;"'!$A$2:$A$501"),"&gt;="&amp;$I40,INDIRECT("'"&amp;$A40&amp;"'!$A$2:$A$501"),"&lt;"&amp;($BA40+1),INDIRECT("'"&amp;$A40&amp;"'!$F$2:$F$501"),"Gone by the time I looked"),0)))</f>
        <v>1</v>
      </c>
      <c r="AT40" s="30" t="n">
        <f aca="true">IF(OR($A40="",$I40=""),"",IF($BC40="Y",SUMIFS(survey_frozen!$H$2:$H$251,survey_frozen!$P$2:$P$251,$A40&amp;"|"&amp;$B40),IFERROR(COUNTIFS(INDIRECT("'"&amp;$A40&amp;"'!$B$2:$B$501"),$T40,INDIRECT("'"&amp;$A40&amp;"'!$A$2:$A$501"),"&gt;="&amp;$I40,INDIRECT("'"&amp;$A40&amp;"'!$A$2:$A$501"),"&lt;"&amp;($BA40+1),INDIRECT("'"&amp;$A40&amp;"'!$D$2:$D$501"),"&gt;=1"),0)))</f>
        <v>7</v>
      </c>
      <c r="AU40" s="30" t="n">
        <f aca="true">IF(OR($A40="",$I40=""),"",IF($BC40="Y",SUMIFS(survey_frozen!$I$2:$I$251,survey_frozen!$P$2:$P$251,$A40&amp;"|"&amp;$B40),IFERROR(SUMIFS(INDIRECT("'"&amp;$A40&amp;"'!$D$2:$D$501"),INDIRECT("'"&amp;$A40&amp;"'!$B$2:$B$501"),$T40,INDIRECT("'"&amp;$A40&amp;"'!$A$2:$A$501"),"&gt;="&amp;$I40,INDIRECT("'"&amp;$A40&amp;"'!$A$2:$A$501"),"&lt;"&amp;($BA40+1)),0)))</f>
        <v>31</v>
      </c>
      <c r="AV40" s="30" t="n">
        <f aca="true">IF(OR($A40="",$I40=""),"",IF($BC40="Y",SUMIFS(survey_frozen!$J$2:$J$251,survey_frozen!$P$2:$P$251,$A40&amp;"|"&amp;$B40),IFERROR(COUNTIFS(INDIRECT("'"&amp;$A40&amp;"'!$B$2:$B$501"),$T40,INDIRECT("'"&amp;$A40&amp;"'!$A$2:$A$501"),"&gt;="&amp;$I40,INDIRECT("'"&amp;$A40&amp;"'!$A$2:$A$501"),"&lt;"&amp;($BA40+1),INDIRECT("'"&amp;$A40&amp;"'!$E$2:$E$501"),"Yes"),0)))</f>
        <v>3</v>
      </c>
      <c r="AW40" s="30" t="n">
        <f aca="true">IF(OR($A40="",$I40=""),"",IF($BC40="Y",SUMIFS(survey_frozen!$K$2:$K$251,survey_frozen!$P$2:$P$251,$A40&amp;"|"&amp;$B40),IFERROR(COUNTIFS(INDIRECT("'"&amp;$A40&amp;"'!$B$2:$B$501"),$T40,INDIRECT("'"&amp;$A40&amp;"'!$A$2:$A$501"),"&gt;="&amp;$I40,INDIRECT("'"&amp;$A40&amp;"'!$A$2:$A$501"),"&lt;"&amp;($BA40+1),INDIRECT("'"&amp;$A40&amp;"'!$E$2:$E$501"),"Maybe"),0)))</f>
        <v>4</v>
      </c>
      <c r="AX40" s="30" t="n">
        <f aca="true">IF(OR($A40="",$I40=""),"",IF($BC40="Y",SUMIFS(survey_frozen!$L$2:$L$251,survey_frozen!$P$2:$P$251,$A40&amp;"|"&amp;$B40),IFERROR(COUNTIFS(INDIRECT("'"&amp;$A40&amp;"'!$B$2:$B$501"),$T40,INDIRECT("'"&amp;$A40&amp;"'!$A$2:$A$501"),"&gt;="&amp;$I40,INDIRECT("'"&amp;$A40&amp;"'!$A$2:$A$501"),"&lt;"&amp;($BA40+1),INDIRECT("'"&amp;$A40&amp;"'!$E$2:$E$501"),"No"),0)))</f>
        <v>0</v>
      </c>
      <c r="AY40" s="30" t="n">
        <f aca="true">IF(OR($A40="",$I40=""),"",IF($BC40="Y",SUMIFS(survey_frozen!$M$2:$M$251,survey_frozen!$P$2:$P$251,$A40&amp;"|"&amp;$B40),IFERROR(COUNTIFS(INDIRECT("'"&amp;$A40&amp;"'!$B$2:$B$501"),$T40,INDIRECT("'"&amp;$A40&amp;"'!$A$2:$A$501"),"&gt;="&amp;$I40,INDIRECT("'"&amp;$A40&amp;"'!$A$2:$A$501"),"&lt;"&amp;($BA40+1),INDIRECT("'"&amp;$A40&amp;"'!$G$2:$G$501"),"&lt;&gt;"),0)))</f>
        <v>3</v>
      </c>
      <c r="AZ40" s="30" t="str">
        <f aca="false">IF($A40="","",$A40&amp;"|"&amp;$L40)</f>
        <v>SAMPLE-CMP-005|9</v>
      </c>
      <c r="BA40" s="31" t="n">
        <f aca="false">IF($A40="","",IFERROR(IF(INDEX(drops!$R$2:$R$21,MATCH($H40,drops!$A$2:$A$21,0))="","",INDEX(drops!$R$2:$R$21,MATCH($H40,drops!$A$2:$A$21,0))),""))</f>
        <v>46434</v>
      </c>
      <c r="BB40" s="30" t="n">
        <f aca="false">IF(OR($A40="",$Q40&lt;&gt;"Y"),1000000,N($AL40))</f>
        <v>10</v>
      </c>
      <c r="BC40" s="30" t="str">
        <f aca="false">IF($A40="","",IF(COUNTIF(survey_frozen!$P$2:$P$251,$A40&amp;"|"&amp;$B40)&gt;0,"Y",""))</f>
        <v/>
      </c>
      <c r="BD40" s="30" t="str">
        <f aca="false">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ustomFormat="false" ht="15" hidden="false" customHeight="false" outlineLevel="0" collapsed="false">
      <c r="A41" s="0" t="s">
        <v>549</v>
      </c>
      <c r="B41" s="0" t="s">
        <v>698</v>
      </c>
      <c r="C41" s="11" t="n">
        <v>46400</v>
      </c>
      <c r="D41" s="10" t="s">
        <v>496</v>
      </c>
      <c r="E41" s="11" t="n">
        <v>46401</v>
      </c>
      <c r="F41" s="10" t="s">
        <v>737</v>
      </c>
      <c r="H41" s="30" t="str">
        <f aca="false">IF($A41="","",IFERROR(IF(INDEX(campaigns!$B$2:$B$51,MATCH($A41,campaigns!$A$2:$A$51,0))="","",INDEX(campaigns!$B$2:$B$51,MATCH($A41,campaigns!$A$2:$A$51,0))),""))</f>
        <v>SAMPLE-DRP-002</v>
      </c>
      <c r="I41" s="31" t="n">
        <f aca="false">IF($A41="","",IFERROR(IF(INDEX(campaigns!$BG$2:$BG$51,MATCH($A41,campaigns!$A$2:$A$51,0))="","",INDEX(campaigns!$BG$2:$BG$51,MATCH($A41,campaigns!$A$2:$A$51,0))),""))</f>
        <v>46427</v>
      </c>
      <c r="J41" s="30" t="str">
        <f aca="false">IF($A41="","",IFERROR(IF(INDEX(campaigns!$BE$2:$BE$51,MATCH($A41,campaigns!$A$2:$A$51,0))="","",INDEX(campaigns!$BE$2:$BE$51,MATCH($A41,campaigns!$A$2:$A$51,0))),""))</f>
        <v>SAMPLE Kettle Ridge</v>
      </c>
      <c r="K41" s="30" t="str">
        <f aca="false">IF($B41="","",IFERROR(IF(INDEX(offices!$O$2:$O$61,MATCH($B41,offices!$A$2:$A$61,0))="","",INDEX(offices!$O$2:$O$61,MATCH($B41,offices!$A$2:$A$61,0))),""))</f>
        <v>SAMPLE Quill Nonprofit Press</v>
      </c>
      <c r="L41" s="30" t="n">
        <f aca="false">IF($A41="","",IF($Q41="N","",COUNTIFS($A$2:$A41,$A41,$Q$2:$Q41,"&lt;&gt;N")))</f>
        <v>10</v>
      </c>
      <c r="M41" s="30" t="str">
        <f aca="false">IF(OR($A41="",$L41=""),"",IF(AND(config!$B$34="names_if_public",IFERROR(IF(INDEX(offices!$AG$2:$AG$61,MATCH($B41,offices!$A$2:$A$61,0))="","",INDEX(offices!$AG$2:$AG$61,MATCH($B41,offices!$A$2:$A$61,0))),"")="Y"),$K41,CHAR(64+$L41)))</f>
        <v>J</v>
      </c>
      <c r="N41" s="30" t="n">
        <f aca="false">IF(OR($A41="",$I41=""),"",COUNTIFS(stops!$B$2:$B$151,$B41,stops!$P$2:$P$151,"&lt;"&amp;$I41,stops!$L$2:$L$151,"&lt;&gt;not_delivered")+1)</f>
        <v>1</v>
      </c>
      <c r="O41" s="30" t="str">
        <f aca="false">IF($A41="","",IF(N($N41)&lt;=config!$B$29,"explicit","opt-out"))</f>
        <v>explicit</v>
      </c>
      <c r="P41" s="30" t="str">
        <f aca="false">IF($A41="","",IF($O41="explicit",IF($D41="yes","Y",IF($D41="no","N","pending")),IF($D41="no","N",IF(AND($C41&lt;&gt;"",$I41&lt;&gt;"",$C41&lt;=WORKDAY(N($I41),-5,calendar!$A$2:$A$80)),"Y","pending"))))</f>
        <v>Y</v>
      </c>
      <c r="Q41" s="30" t="str">
        <f aca="false">IF($A41="","",IF($P41="N","N",IF($P41&lt;&gt;"Y","pending",IF(AND((COUNTIFS(stops!$A$2:$A$151,$H41,stops!$B$2:$B$151,$B41,stops!$L$2:$L$151,"declined")+COUNTIFS(stops!$A$2:$A$151,$H41,stops!$B$2:$B$151,$B41,stops!$L$2:$L$151,"building_refused")+COUNTIFS(stops!$A$2:$A$151,$H41,stops!$B$2:$B$151,$B41,stops!$L$2:$L$151,"not_delivered"))&gt;0,N($U41)=0),"N","Y"))))</f>
        <v>Y</v>
      </c>
      <c r="R41" s="30" t="str">
        <f aca="false">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30" t="n">
        <f aca="false">IF($A41="","",IF($G41&lt;&gt;"",$G41,IFERROR(IF(INDEX(offices!$AM$2:$AM$61,MATCH($B41,offices!$A$2:$A$61,0))="","",INDEX(offices!$AM$2:$AM$61,MATCH($B41,offices!$A$2:$A$61,0))),"")))</f>
        <v>40</v>
      </c>
      <c r="T41" s="30" t="str">
        <f aca="false">IF($A41="","",$A41&amp;"."&amp;$B41)</f>
        <v>SAMPLE-CMP-005.SAMPLE-O-010</v>
      </c>
      <c r="U41" s="30" t="n">
        <f aca="false">IF($A41="","",SUMIFS(inventory!$G$2:$G$801,inventory!$C$2:$C$801,$A41,inventory!$D$2:$D$801,$B41,inventory!$E$2:$E$801,"delivered"))</f>
        <v>40</v>
      </c>
      <c r="V41" s="37" t="n">
        <f aca="false">IF($A41="","",IFERROR(1/(1/SUMPRODUCT(MAX((inventory!$C$2:$C$801=$A41)*(inventory!$D$2:$D$801=$B41)*(inventory!$E$2:$E$801="delivered")*(inventory!$A$2:$A$801+inventory!$B$2:$B$801)))),""))</f>
        <v>46427.3618055556</v>
      </c>
      <c r="W41" s="30" t="str">
        <f aca="false">IF($A41="","",IFERROR(IF(INDEX(inventory!$J$2:$J$801,MATCH($A41&amp;"|"&amp;$B41&amp;"|delivered",inventory!$R$2:$R$801,0))="","",INDEX(inventory!$J$2:$J$801,MATCH($A41&amp;"|"&amp;$B41&amp;"|delivered",inventory!$R$2:$R$801,0))),""))</f>
        <v>courier_count</v>
      </c>
      <c r="X41" s="30" t="str">
        <f aca="false">IF($A41="","",IFERROR(IF(INDEX(photos!$H$2:$H$701,MATCH($A41&amp;"|"&amp;$B41&amp;"|placement|Y",photos!$R$2:$R$701,0))="","",INDEX(photos!$H$2:$H$701,MATCH($A41&amp;"|"&amp;$B41&amp;"|placement|Y",photos!$R$2:$R$701,0))),""))</f>
        <v>SAMPLE-CMP-005_SAMPLE-O-010_placement_2027-02-09.jpg</v>
      </c>
      <c r="Y41" s="31" t="n">
        <f aca="false">IF($A41="","",IFERROR(IF(INDEX(photos!$E$2:$E$701,MATCH($A41&amp;"|"&amp;$B41&amp;"|placement|Y",photos!$R$2:$R$701,0))="","",INDEX(photos!$E$2:$E$701,MATCH($A41&amp;"|"&amp;$B41&amp;"|placement|Y",photos!$R$2:$R$701,0))),""))</f>
        <v>46427</v>
      </c>
      <c r="Z41" s="30" t="n">
        <f aca="false">IF($A41="","",IF(COUNTIFS(counts!$C$2:$C$701,$A41,counts!$D$2:$D$701,$B41,counts!$E$2:$E$701,"placed")=0,"",SUMIFS(counts!$F$2:$F$701,counts!$C$2:$C$701,$A41,counts!$D$2:$D$701,$B41,counts!$E$2:$E$701,"placed")))</f>
        <v>40</v>
      </c>
      <c r="AA41" s="30" t="n">
        <f aca="false">IF($A41="","",IF($Y41="",0,N($Z41)))</f>
        <v>40</v>
      </c>
      <c r="AB41" s="30" t="str">
        <f aca="false">IF($A41="","",IF(OR($Y41="",$I41=""),"N",IF($Y41&lt;=WORKDAY(N($I41),1,calendar!$A$2:$A$80),"Y","N")))</f>
        <v>Y</v>
      </c>
      <c r="AC41" s="33" t="n">
        <f aca="false">IF(OR($A41="",$V41="",$Y41=""),"",ROUND(($Y41+N(IFERROR(IF(INDEX(photos!$F$2:$F$701,MATCH($A41&amp;"|"&amp;$B41&amp;"|placement|Y",photos!$R$2:$R$701,0))="","",INDEX(photos!$F$2:$F$701,MATCH($A41&amp;"|"&amp;$B41&amp;"|placement|Y",photos!$R$2:$R$701,0))),""))-$V41)*24,1))</f>
        <v>4.3</v>
      </c>
      <c r="AD41" s="30" t="n">
        <f aca="false">IF($A41="","",SUMIFS(inventory!$G$2:$G$801,inventory!$C$2:$C$801,$A41,inventory!$D$2:$D$801,$B41,inventory!$E$2:$E$801,"topped_up"))</f>
        <v>6</v>
      </c>
      <c r="AE41" s="30" t="n">
        <f aca="false">IF($A41="","",IF(COUNTIFS(counts!$C$2:$C$701,$A41,counts!$D$2:$D$701,$B41,counts!$E$2:$E$701,"remaining_day3")=0,"",SUMIFS(counts!$F$2:$F$701,counts!$C$2:$C$701,$A41,counts!$D$2:$D$701,$B41,counts!$E$2:$E$701,"remaining_day3")))</f>
        <v>10</v>
      </c>
      <c r="AF41" s="30" t="n">
        <f aca="false">IF($A41="","",IF(COUNTIFS(counts!$C$2:$C$701,$A41,counts!$D$2:$D$701,$B41,counts!$E$2:$E$701,"remaining_day5")=0,"",SUMIFS(counts!$F$2:$F$701,counts!$C$2:$C$701,$A41,counts!$D$2:$D$701,$B41,counts!$E$2:$E$701,"remaining_day5")))</f>
        <v>3</v>
      </c>
      <c r="AG41" s="30" t="n">
        <f aca="false">IF(OR($A41="",$AF41=""),"",MAX(0,$AA41+$AD41-$AF41))</f>
        <v>43</v>
      </c>
      <c r="AH41" s="30" t="str">
        <f aca="false">IF(OR($A41="",$AI41=""),"",IFERROR(IF(INDEX(photos!$H$2:$H$701,MATCH($A41&amp;"|"&amp;$B41&amp;"|later|Y|"&amp;$AI41,photos!$S$2:$S$701,0))="","",INDEX(photos!$H$2:$H$701,MATCH($A41&amp;"|"&amp;$B41&amp;"|later|Y|"&amp;$AI41,photos!$S$2:$S$701,0))),""))</f>
        <v>SAMPLE-CMP-005_SAMPLE-O-010_later_2027-02-16.jpg</v>
      </c>
      <c r="AI41" s="31" t="n">
        <f aca="false">IF($A41="","",IFERROR(1/(1/SUMPRODUCT(MAX((photos!$B$2:$B$701=$A41)*(photos!$C$2:$C$701=$B41)*(photos!$D$2:$D$701="later")*(photos!$O$2:$O$701="Y")*photos!$E$2:$E$701))),""))</f>
        <v>46434</v>
      </c>
      <c r="AJ41" s="30" t="n">
        <f aca="false">IF(OR($A41="",$AI41="",$I41=""),"",NETWORKDAYS($I41,$AI41,calendar!$A$2:$A$80))</f>
        <v>5</v>
      </c>
      <c r="AK41" s="30" t="str">
        <f aca="false">IF($A41="","",IF(AND($X41&lt;&gt;"",$AH41&lt;&gt;""),"Y","N"))</f>
        <v>Y</v>
      </c>
      <c r="AL41" s="30" t="n">
        <f aca="true">IF(OR($A41="",$I41=""),"",IF($BC41="Y",SUMIFS(survey_frozen!$C$2:$C$251,survey_frozen!$P$2:$P$251,$A41&amp;"|"&amp;$B41),IFERROR(COUNTIFS(INDIRECT("'"&amp;$A41&amp;"'!$B$2:$B$501"),$T41,INDIRECT("'"&amp;$A41&amp;"'!$A$2:$A$501"),"&gt;="&amp;$I41,INDIRECT("'"&amp;$A41&amp;"'!$A$2:$A$501"),"&lt;"&amp;($BA41+1)),0)))</f>
        <v>4</v>
      </c>
      <c r="AM41" s="30" t="n">
        <f aca="true">IF(OR($A41="",$I41=""),"",IF($BC41="Y",SUMIFS(survey_frozen!$D$2:$D$251,survey_frozen!$P$2:$P$251,$A41&amp;"|"&amp;$B41),IFERROR(COUNTIFS(INDIRECT("'"&amp;$A41&amp;"'!$B$2:$B$501"),$T41,INDIRECT("'"&amp;$A41&amp;"'!$A$2:$A$501"),"&gt;="&amp;$I41,INDIRECT("'"&amp;$A41&amp;"'!$A$2:$A$501"),"&lt;"&amp;($BA41+1),INDIRECT("'"&amp;$A41&amp;"'!$C$2:$C$501"),"Yes"),0)))</f>
        <v>4</v>
      </c>
      <c r="AN41" s="30" t="n">
        <f aca="false">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7</v>
      </c>
      <c r="AO41" s="30" t="n">
        <f aca="false">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6</v>
      </c>
      <c r="AP41" s="30" t="str">
        <f aca="true">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info: under 5 responses; </v>
      </c>
      <c r="AQ41" s="30" t="n">
        <f aca="true">IF(OR($A41="",$I41=""),"",IF($BC41="Y",SUMIFS(survey_frozen!$E$2:$E$251,survey_frozen!$P$2:$P$251,$A41&amp;"|"&amp;$B41),IFERROR(COUNTIFS(INDIRECT("'"&amp;$A41&amp;"'!$B$2:$B$501"),$T41,INDIRECT("'"&amp;$A41&amp;"'!$A$2:$A$501"),"&gt;="&amp;$I41,INDIRECT("'"&amp;$A41&amp;"'!$A$2:$A$501"),"&lt;"&amp;($BA41+1),INDIRECT("'"&amp;$A41&amp;"'!$F$2:$F$501"),"Didn't see it"),0)))</f>
        <v>0</v>
      </c>
      <c r="AR41" s="30" t="n">
        <f aca="true">IF(OR($A41="",$I41=""),"",IF($BC41="Y",SUMIFS(survey_frozen!$F$2:$F$251,survey_frozen!$P$2:$P$251,$A41&amp;"|"&amp;$B41),IFERROR(COUNTIFS(INDIRECT("'"&amp;$A41&amp;"'!$B$2:$B$501"),$T41,INDIRECT("'"&amp;$A41&amp;"'!$A$2:$A$501"),"&gt;="&amp;$I41,INDIRECT("'"&amp;$A41&amp;"'!$A$2:$A$501"),"&lt;"&amp;($BA41+1),INDIRECT("'"&amp;$A41&amp;"'!$F$2:$F$501"),"Not for me"),0)))</f>
        <v>0</v>
      </c>
      <c r="AS41" s="30" t="n">
        <f aca="true">IF(OR($A41="",$I41=""),"",IF($BC41="Y",SUMIFS(survey_frozen!$G$2:$G$251,survey_frozen!$P$2:$P$251,$A41&amp;"|"&amp;$B41),IFERROR(COUNTIFS(INDIRECT("'"&amp;$A41&amp;"'!$B$2:$B$501"),$T41,INDIRECT("'"&amp;$A41&amp;"'!$A$2:$A$501"),"&gt;="&amp;$I41,INDIRECT("'"&amp;$A41&amp;"'!$A$2:$A$501"),"&lt;"&amp;($BA41+1),INDIRECT("'"&amp;$A41&amp;"'!$F$2:$F$501"),"Gone by the time I looked"),0)))</f>
        <v>0</v>
      </c>
      <c r="AT41" s="30" t="n">
        <f aca="true">IF(OR($A41="",$I41=""),"",IF($BC41="Y",SUMIFS(survey_frozen!$H$2:$H$251,survey_frozen!$P$2:$P$251,$A41&amp;"|"&amp;$B41),IFERROR(COUNTIFS(INDIRECT("'"&amp;$A41&amp;"'!$B$2:$B$501"),$T41,INDIRECT("'"&amp;$A41&amp;"'!$A$2:$A$501"),"&gt;="&amp;$I41,INDIRECT("'"&amp;$A41&amp;"'!$A$2:$A$501"),"&lt;"&amp;($BA41+1),INDIRECT("'"&amp;$A41&amp;"'!$D$2:$D$501"),"&gt;=1"),0)))</f>
        <v>4</v>
      </c>
      <c r="AU41" s="30" t="n">
        <f aca="true">IF(OR($A41="",$I41=""),"",IF($BC41="Y",SUMIFS(survey_frozen!$I$2:$I$251,survey_frozen!$P$2:$P$251,$A41&amp;"|"&amp;$B41),IFERROR(SUMIFS(INDIRECT("'"&amp;$A41&amp;"'!$D$2:$D$501"),INDIRECT("'"&amp;$A41&amp;"'!$B$2:$B$501"),$T41,INDIRECT("'"&amp;$A41&amp;"'!$A$2:$A$501"),"&gt;="&amp;$I41,INDIRECT("'"&amp;$A41&amp;"'!$A$2:$A$501"),"&lt;"&amp;($BA41+1)),0)))</f>
        <v>15</v>
      </c>
      <c r="AV41" s="30" t="n">
        <f aca="true">IF(OR($A41="",$I41=""),"",IF($BC41="Y",SUMIFS(survey_frozen!$J$2:$J$251,survey_frozen!$P$2:$P$251,$A41&amp;"|"&amp;$B41),IFERROR(COUNTIFS(INDIRECT("'"&amp;$A41&amp;"'!$B$2:$B$501"),$T41,INDIRECT("'"&amp;$A41&amp;"'!$A$2:$A$501"),"&gt;="&amp;$I41,INDIRECT("'"&amp;$A41&amp;"'!$A$2:$A$501"),"&lt;"&amp;($BA41+1),INDIRECT("'"&amp;$A41&amp;"'!$E$2:$E$501"),"Yes"),0)))</f>
        <v>1</v>
      </c>
      <c r="AW41" s="30" t="n">
        <f aca="true">IF(OR($A41="",$I41=""),"",IF($BC41="Y",SUMIFS(survey_frozen!$K$2:$K$251,survey_frozen!$P$2:$P$251,$A41&amp;"|"&amp;$B41),IFERROR(COUNTIFS(INDIRECT("'"&amp;$A41&amp;"'!$B$2:$B$501"),$T41,INDIRECT("'"&amp;$A41&amp;"'!$A$2:$A$501"),"&gt;="&amp;$I41,INDIRECT("'"&amp;$A41&amp;"'!$A$2:$A$501"),"&lt;"&amp;($BA41+1),INDIRECT("'"&amp;$A41&amp;"'!$E$2:$E$501"),"Maybe"),0)))</f>
        <v>1</v>
      </c>
      <c r="AX41" s="30" t="n">
        <f aca="true">IF(OR($A41="",$I41=""),"",IF($BC41="Y",SUMIFS(survey_frozen!$L$2:$L$251,survey_frozen!$P$2:$P$251,$A41&amp;"|"&amp;$B41),IFERROR(COUNTIFS(INDIRECT("'"&amp;$A41&amp;"'!$B$2:$B$501"),$T41,INDIRECT("'"&amp;$A41&amp;"'!$A$2:$A$501"),"&gt;="&amp;$I41,INDIRECT("'"&amp;$A41&amp;"'!$A$2:$A$501"),"&lt;"&amp;($BA41+1),INDIRECT("'"&amp;$A41&amp;"'!$E$2:$E$501"),"No"),0)))</f>
        <v>2</v>
      </c>
      <c r="AY41" s="30" t="n">
        <f aca="true">IF(OR($A41="",$I41=""),"",IF($BC41="Y",SUMIFS(survey_frozen!$M$2:$M$251,survey_frozen!$P$2:$P$251,$A41&amp;"|"&amp;$B41),IFERROR(COUNTIFS(INDIRECT("'"&amp;$A41&amp;"'!$B$2:$B$501"),$T41,INDIRECT("'"&amp;$A41&amp;"'!$A$2:$A$501"),"&gt;="&amp;$I41,INDIRECT("'"&amp;$A41&amp;"'!$A$2:$A$501"),"&lt;"&amp;($BA41+1),INDIRECT("'"&amp;$A41&amp;"'!$G$2:$G$501"),"&lt;&gt;"),0)))</f>
        <v>1</v>
      </c>
      <c r="AZ41" s="30" t="str">
        <f aca="false">IF($A41="","",$A41&amp;"|"&amp;$L41)</f>
        <v>SAMPLE-CMP-005|10</v>
      </c>
      <c r="BA41" s="31" t="n">
        <f aca="false">IF($A41="","",IFERROR(IF(INDEX(drops!$R$2:$R$21,MATCH($H41,drops!$A$2:$A$21,0))="","",INDEX(drops!$R$2:$R$21,MATCH($H41,drops!$A$2:$A$21,0))),""))</f>
        <v>46434</v>
      </c>
      <c r="BB41" s="30" t="n">
        <f aca="false">IF(OR($A41="",$Q41&lt;&gt;"Y"),1000000,N($AL41))</f>
        <v>4</v>
      </c>
      <c r="BC41" s="30" t="str">
        <f aca="false">IF($A41="","",IF(COUNTIF(survey_frozen!$P$2:$P$251,$A41&amp;"|"&amp;$B41)&gt;0,"Y",""))</f>
        <v/>
      </c>
      <c r="BD41" s="30" t="str">
        <f aca="false">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ustomFormat="false" ht="15" hidden="false" customHeight="false" outlineLevel="0" collapsed="false">
      <c r="A42" s="0" t="s">
        <v>563</v>
      </c>
      <c r="B42" s="0" t="s">
        <v>678</v>
      </c>
      <c r="C42" s="11" t="n">
        <v>46412</v>
      </c>
      <c r="D42" s="10" t="s">
        <v>496</v>
      </c>
      <c r="E42" s="11" t="n">
        <v>46414</v>
      </c>
      <c r="F42" s="10" t="s">
        <v>737</v>
      </c>
      <c r="G42" s="0" t="n">
        <v>35</v>
      </c>
      <c r="H42" s="30" t="str">
        <f aca="false">IF($A42="","",IFERROR(IF(INDEX(campaigns!$B$2:$B$51,MATCH($A42,campaigns!$A$2:$A$51,0))="","",INDEX(campaigns!$B$2:$B$51,MATCH($A42,campaigns!$A$2:$A$51,0))),""))</f>
        <v>SAMPLE-DRP-003</v>
      </c>
      <c r="I42" s="31" t="n">
        <f aca="false">IF($A42="","",IFERROR(IF(INDEX(campaigns!$BG$2:$BG$51,MATCH($A42,campaigns!$A$2:$A$51,0))="","",INDEX(campaigns!$BG$2:$BG$51,MATCH($A42,campaigns!$A$2:$A$51,0))),""))</f>
        <v>46441</v>
      </c>
      <c r="J42" s="30" t="str">
        <f aca="false">IF($A42="","",IFERROR(IF(INDEX(campaigns!$BE$2:$BE$51,MATCH($A42,campaigns!$A$2:$A$51,0))="","",INDEX(campaigns!$BE$2:$BE$51,MATCH($A42,campaigns!$A$2:$A$51,0))),""))</f>
        <v>SAMPLE Saltmarsh</v>
      </c>
      <c r="K42" s="30" t="str">
        <f aca="false">IF($B42="","",IFERROR(IF(INDEX(offices!$O$2:$O$61,MATCH($B42,offices!$A$2:$A$61,0))="","",INDEX(offices!$O$2:$O$61,MATCH($B42,offices!$A$2:$A$61,0))),""))</f>
        <v>SAMPLE Northpoint Software</v>
      </c>
      <c r="L42" s="30" t="n">
        <f aca="false">IF($A42="","",IF($Q42="N","",COUNTIFS($A$2:$A42,$A42,$Q$2:$Q42,"&lt;&gt;N")))</f>
        <v>1</v>
      </c>
      <c r="M42" s="30" t="str">
        <f aca="false">IF(OR($A42="",$L42=""),"",IF(AND(config!$B$34="names_if_public",IFERROR(IF(INDEX(offices!$AG$2:$AG$61,MATCH($B42,offices!$A$2:$A$61,0))="","",INDEX(offices!$AG$2:$AG$61,MATCH($B42,offices!$A$2:$A$61,0))),"")="Y"),$K42,CHAR(64+$L42)))</f>
        <v>A</v>
      </c>
      <c r="N42" s="30" t="n">
        <f aca="false">IF(OR($A42="",$I42=""),"",COUNTIFS(stops!$B$2:$B$151,$B42,stops!$P$2:$P$151,"&lt;"&amp;$I42,stops!$L$2:$L$151,"&lt;&gt;not_delivered")+1)</f>
        <v>3</v>
      </c>
      <c r="O42" s="30" t="str">
        <f aca="false">IF($A42="","",IF(N($N42)&lt;=config!$B$29,"explicit","opt-out"))</f>
        <v>explicit</v>
      </c>
      <c r="P42" s="30" t="str">
        <f aca="false">IF($A42="","",IF($O42="explicit",IF($D42="yes","Y",IF($D42="no","N","pending")),IF($D42="no","N",IF(AND($C42&lt;&gt;"",$I42&lt;&gt;"",$C42&lt;=WORKDAY(N($I42),-5,calendar!$A$2:$A$80)),"Y","pending"))))</f>
        <v>Y</v>
      </c>
      <c r="Q42" s="30" t="str">
        <f aca="false">IF($A42="","",IF($P42="N","N",IF($P42&lt;&gt;"Y","pending",IF(AND((COUNTIFS(stops!$A$2:$A$151,$H42,stops!$B$2:$B$151,$B42,stops!$L$2:$L$151,"declined")+COUNTIFS(stops!$A$2:$A$151,$H42,stops!$B$2:$B$151,$B42,stops!$L$2:$L$151,"building_refused")+COUNTIFS(stops!$A$2:$A$151,$H42,stops!$B$2:$B$151,$B42,stops!$L$2:$L$151,"not_delivered"))&gt;0,N($U42)=0),"N","Y"))))</f>
        <v>Y</v>
      </c>
      <c r="R42" s="30" t="str">
        <f aca="false">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30" t="n">
        <f aca="false">IF($A42="","",IF($G42&lt;&gt;"",$G42,IFERROR(IF(INDEX(offices!$AM$2:$AM$61,MATCH($B42,offices!$A$2:$A$61,0))="","",INDEX(offices!$AM$2:$AM$61,MATCH($B42,offices!$A$2:$A$61,0))),"")))</f>
        <v>35</v>
      </c>
      <c r="T42" s="30" t="str">
        <f aca="false">IF($A42="","",$A42&amp;"."&amp;$B42)</f>
        <v>SAMPLE-CMP-006.SAMPLE-O-001</v>
      </c>
      <c r="U42" s="30" t="n">
        <f aca="false">IF($A42="","",SUMIFS(inventory!$G$2:$G$801,inventory!$C$2:$C$801,$A42,inventory!$D$2:$D$801,$B42,inventory!$E$2:$E$801,"delivered"))</f>
        <v>35</v>
      </c>
      <c r="V42" s="37" t="n">
        <f aca="false">IF($A42="","",IFERROR(1/(1/SUMPRODUCT(MAX((inventory!$C$2:$C$801=$A42)*(inventory!$D$2:$D$801=$B42)*(inventory!$E$2:$E$801="delivered")*(inventory!$A$2:$A$801+inventory!$B$2:$B$801)))),""))</f>
        <v>46441.3375</v>
      </c>
      <c r="W42" s="30" t="str">
        <f aca="false">IF($A42="","",IFERROR(IF(INDEX(inventory!$J$2:$J$801,MATCH($A42&amp;"|"&amp;$B42&amp;"|delivered",inventory!$R$2:$R$801,0))="","",INDEX(inventory!$J$2:$J$801,MATCH($A42&amp;"|"&amp;$B42&amp;"|delivered",inventory!$R$2:$R$801,0))),""))</f>
        <v>courier_count</v>
      </c>
      <c r="X42" s="30" t="str">
        <f aca="false">IF($A42="","",IFERROR(IF(INDEX(photos!$H$2:$H$701,MATCH($A42&amp;"|"&amp;$B42&amp;"|placement|Y",photos!$R$2:$R$701,0))="","",INDEX(photos!$H$2:$H$701,MATCH($A42&amp;"|"&amp;$B42&amp;"|placement|Y",photos!$R$2:$R$701,0))),""))</f>
        <v>SAMPLE-CMP-006_SAMPLE-O-001_placement_2027-02-23.jpg</v>
      </c>
      <c r="Y42" s="31" t="n">
        <f aca="false">IF($A42="","",IFERROR(IF(INDEX(photos!$E$2:$E$701,MATCH($A42&amp;"|"&amp;$B42&amp;"|placement|Y",photos!$R$2:$R$701,0))="","",INDEX(photos!$E$2:$E$701,MATCH($A42&amp;"|"&amp;$B42&amp;"|placement|Y",photos!$R$2:$R$701,0))),""))</f>
        <v>46441</v>
      </c>
      <c r="Z42" s="30" t="n">
        <f aca="false">IF($A42="","",IF(COUNTIFS(counts!$C$2:$C$701,$A42,counts!$D$2:$D$701,$B42,counts!$E$2:$E$701,"placed")=0,"",SUMIFS(counts!$F$2:$F$701,counts!$C$2:$C$701,$A42,counts!$D$2:$D$701,$B42,counts!$E$2:$E$701,"placed")))</f>
        <v>35</v>
      </c>
      <c r="AA42" s="30" t="n">
        <f aca="false">IF($A42="","",IF($Y42="",0,N($Z42)))</f>
        <v>35</v>
      </c>
      <c r="AB42" s="30" t="str">
        <f aca="false">IF($A42="","",IF(OR($Y42="",$I42=""),"N",IF($Y42&lt;=WORKDAY(N($I42),1,calendar!$A$2:$A$80),"Y","N")))</f>
        <v>Y</v>
      </c>
      <c r="AC42" s="33" t="n">
        <f aca="false">IF(OR($A42="",$V42="",$Y42=""),"",ROUND(($Y42+N(IFERROR(IF(INDEX(photos!$F$2:$F$701,MATCH($A42&amp;"|"&amp;$B42&amp;"|placement|Y",photos!$R$2:$R$701,0))="","",INDEX(photos!$F$2:$F$701,MATCH($A42&amp;"|"&amp;$B42&amp;"|placement|Y",photos!$R$2:$R$701,0))),""))-$V42)*24,1))</f>
        <v>4.9</v>
      </c>
      <c r="AD42" s="30" t="n">
        <f aca="false">IF($A42="","",SUMIFS(inventory!$G$2:$G$801,inventory!$C$2:$C$801,$A42,inventory!$D$2:$D$801,$B42,inventory!$E$2:$E$801,"topped_up"))</f>
        <v>0</v>
      </c>
      <c r="AE42" s="30" t="n">
        <f aca="false">IF($A42="","",IF(COUNTIFS(counts!$C$2:$C$701,$A42,counts!$D$2:$D$701,$B42,counts!$E$2:$E$701,"remaining_day3")=0,"",SUMIFS(counts!$F$2:$F$701,counts!$C$2:$C$701,$A42,counts!$D$2:$D$701,$B42,counts!$E$2:$E$701,"remaining_day3")))</f>
        <v>7</v>
      </c>
      <c r="AF42" s="30" t="n">
        <f aca="false">IF($A42="","",IF(COUNTIFS(counts!$C$2:$C$701,$A42,counts!$D$2:$D$701,$B42,counts!$E$2:$E$701,"remaining_day5")=0,"",SUMIFS(counts!$F$2:$F$701,counts!$C$2:$C$701,$A42,counts!$D$2:$D$701,$B42,counts!$E$2:$E$701,"remaining_day5")))</f>
        <v>1</v>
      </c>
      <c r="AG42" s="30" t="n">
        <f aca="false">IF(OR($A42="",$AF42=""),"",MAX(0,$AA42+$AD42-$AF42))</f>
        <v>34</v>
      </c>
      <c r="AH42" s="30" t="str">
        <f aca="false">IF(OR($A42="",$AI42=""),"",IFERROR(IF(INDEX(photos!$H$2:$H$701,MATCH($A42&amp;"|"&amp;$B42&amp;"|later|Y|"&amp;$AI42,photos!$S$2:$S$701,0))="","",INDEX(photos!$H$2:$H$701,MATCH($A42&amp;"|"&amp;$B42&amp;"|later|Y|"&amp;$AI42,photos!$S$2:$S$701,0))),""))</f>
        <v>SAMPLE-CMP-006_SAMPLE-O-001_later_2027-03-01.jpg</v>
      </c>
      <c r="AI42" s="31" t="n">
        <f aca="false">IF($A42="","",IFERROR(1/(1/SUMPRODUCT(MAX((photos!$B$2:$B$701=$A42)*(photos!$C$2:$C$701=$B42)*(photos!$D$2:$D$701="later")*(photos!$O$2:$O$701="Y")*photos!$E$2:$E$701))),""))</f>
        <v>46447</v>
      </c>
      <c r="AJ42" s="30" t="n">
        <f aca="false">IF(OR($A42="",$AI42="",$I42=""),"",NETWORKDAYS($I42,$AI42,calendar!$A$2:$A$80))</f>
        <v>5</v>
      </c>
      <c r="AK42" s="30" t="str">
        <f aca="false">IF($A42="","",IF(AND($X42&lt;&gt;"",$AH42&lt;&gt;""),"Y","N"))</f>
        <v>Y</v>
      </c>
      <c r="AL42" s="30" t="n">
        <f aca="true">IF(OR($A42="",$I42=""),"",IF($BC42="Y",SUMIFS(survey_frozen!$C$2:$C$251,survey_frozen!$P$2:$P$251,$A42&amp;"|"&amp;$B42),IFERROR(COUNTIFS(INDIRECT("'"&amp;$A42&amp;"'!$B$2:$B$501"),$T42,INDIRECT("'"&amp;$A42&amp;"'!$A$2:$A$501"),"&gt;="&amp;$I42,INDIRECT("'"&amp;$A42&amp;"'!$A$2:$A$501"),"&lt;"&amp;($BA42+1)),0)))</f>
        <v>9</v>
      </c>
      <c r="AM42" s="30" t="n">
        <f aca="true">IF(OR($A42="",$I42=""),"",IF($BC42="Y",SUMIFS(survey_frozen!$D$2:$D$251,survey_frozen!$P$2:$P$251,$A42&amp;"|"&amp;$B42),IFERROR(COUNTIFS(INDIRECT("'"&amp;$A42&amp;"'!$B$2:$B$501"),$T42,INDIRECT("'"&amp;$A42&amp;"'!$A$2:$A$501"),"&gt;="&amp;$I42,INDIRECT("'"&amp;$A42&amp;"'!$A$2:$A$501"),"&lt;"&amp;($BA42+1),INDIRECT("'"&amp;$A42&amp;"'!$C$2:$C$501"),"Yes"),0)))</f>
        <v>8</v>
      </c>
      <c r="AN42" s="30" t="n">
        <f aca="false">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10</v>
      </c>
      <c r="AO42" s="30" t="n">
        <f aca="false">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3</v>
      </c>
      <c r="AP42" s="30" t="str">
        <f aca="true">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30" t="n">
        <f aca="true">IF(OR($A42="",$I42=""),"",IF($BC42="Y",SUMIFS(survey_frozen!$E$2:$E$251,survey_frozen!$P$2:$P$251,$A42&amp;"|"&amp;$B42),IFERROR(COUNTIFS(INDIRECT("'"&amp;$A42&amp;"'!$B$2:$B$501"),$T42,INDIRECT("'"&amp;$A42&amp;"'!$A$2:$A$501"),"&gt;="&amp;$I42,INDIRECT("'"&amp;$A42&amp;"'!$A$2:$A$501"),"&lt;"&amp;($BA42+1),INDIRECT("'"&amp;$A42&amp;"'!$F$2:$F$501"),"Didn't see it"),0)))</f>
        <v>0</v>
      </c>
      <c r="AR42" s="30" t="n">
        <f aca="true">IF(OR($A42="",$I42=""),"",IF($BC42="Y",SUMIFS(survey_frozen!$F$2:$F$251,survey_frozen!$P$2:$P$251,$A42&amp;"|"&amp;$B42),IFERROR(COUNTIFS(INDIRECT("'"&amp;$A42&amp;"'!$B$2:$B$501"),$T42,INDIRECT("'"&amp;$A42&amp;"'!$A$2:$A$501"),"&gt;="&amp;$I42,INDIRECT("'"&amp;$A42&amp;"'!$A$2:$A$501"),"&lt;"&amp;($BA42+1),INDIRECT("'"&amp;$A42&amp;"'!$F$2:$F$501"),"Not for me"),0)))</f>
        <v>0</v>
      </c>
      <c r="AS42" s="30" t="n">
        <f aca="true">IF(OR($A42="",$I42=""),"",IF($BC42="Y",SUMIFS(survey_frozen!$G$2:$G$251,survey_frozen!$P$2:$P$251,$A42&amp;"|"&amp;$B42),IFERROR(COUNTIFS(INDIRECT("'"&amp;$A42&amp;"'!$B$2:$B$501"),$T42,INDIRECT("'"&amp;$A42&amp;"'!$A$2:$A$501"),"&gt;="&amp;$I42,INDIRECT("'"&amp;$A42&amp;"'!$A$2:$A$501"),"&lt;"&amp;($BA42+1),INDIRECT("'"&amp;$A42&amp;"'!$F$2:$F$501"),"Gone by the time I looked"),0)))</f>
        <v>1</v>
      </c>
      <c r="AT42" s="30" t="n">
        <f aca="true">IF(OR($A42="",$I42=""),"",IF($BC42="Y",SUMIFS(survey_frozen!$H$2:$H$251,survey_frozen!$P$2:$P$251,$A42&amp;"|"&amp;$B42),IFERROR(COUNTIFS(INDIRECT("'"&amp;$A42&amp;"'!$B$2:$B$501"),$T42,INDIRECT("'"&amp;$A42&amp;"'!$A$2:$A$501"),"&gt;="&amp;$I42,INDIRECT("'"&amp;$A42&amp;"'!$A$2:$A$501"),"&lt;"&amp;($BA42+1),INDIRECT("'"&amp;$A42&amp;"'!$D$2:$D$501"),"&gt;=1"),0)))</f>
        <v>8</v>
      </c>
      <c r="AU42" s="30" t="n">
        <f aca="true">IF(OR($A42="",$I42=""),"",IF($BC42="Y",SUMIFS(survey_frozen!$I$2:$I$251,survey_frozen!$P$2:$P$251,$A42&amp;"|"&amp;$B42),IFERROR(SUMIFS(INDIRECT("'"&amp;$A42&amp;"'!$D$2:$D$501"),INDIRECT("'"&amp;$A42&amp;"'!$B$2:$B$501"),$T42,INDIRECT("'"&amp;$A42&amp;"'!$A$2:$A$501"),"&gt;="&amp;$I42,INDIRECT("'"&amp;$A42&amp;"'!$A$2:$A$501"),"&lt;"&amp;($BA42+1)),0)))</f>
        <v>33</v>
      </c>
      <c r="AV42" s="30" t="n">
        <f aca="true">IF(OR($A42="",$I42=""),"",IF($BC42="Y",SUMIFS(survey_frozen!$J$2:$J$251,survey_frozen!$P$2:$P$251,$A42&amp;"|"&amp;$B42),IFERROR(COUNTIFS(INDIRECT("'"&amp;$A42&amp;"'!$B$2:$B$501"),$T42,INDIRECT("'"&amp;$A42&amp;"'!$A$2:$A$501"),"&gt;="&amp;$I42,INDIRECT("'"&amp;$A42&amp;"'!$A$2:$A$501"),"&lt;"&amp;($BA42+1),INDIRECT("'"&amp;$A42&amp;"'!$E$2:$E$501"),"Yes"),0)))</f>
        <v>4</v>
      </c>
      <c r="AW42" s="30" t="n">
        <f aca="true">IF(OR($A42="",$I42=""),"",IF($BC42="Y",SUMIFS(survey_frozen!$K$2:$K$251,survey_frozen!$P$2:$P$251,$A42&amp;"|"&amp;$B42),IFERROR(COUNTIFS(INDIRECT("'"&amp;$A42&amp;"'!$B$2:$B$501"),$T42,INDIRECT("'"&amp;$A42&amp;"'!$A$2:$A$501"),"&gt;="&amp;$I42,INDIRECT("'"&amp;$A42&amp;"'!$A$2:$A$501"),"&lt;"&amp;($BA42+1),INDIRECT("'"&amp;$A42&amp;"'!$E$2:$E$501"),"Maybe"),0)))</f>
        <v>3</v>
      </c>
      <c r="AX42" s="30" t="n">
        <f aca="true">IF(OR($A42="",$I42=""),"",IF($BC42="Y",SUMIFS(survey_frozen!$L$2:$L$251,survey_frozen!$P$2:$P$251,$A42&amp;"|"&amp;$B42),IFERROR(COUNTIFS(INDIRECT("'"&amp;$A42&amp;"'!$B$2:$B$501"),$T42,INDIRECT("'"&amp;$A42&amp;"'!$A$2:$A$501"),"&gt;="&amp;$I42,INDIRECT("'"&amp;$A42&amp;"'!$A$2:$A$501"),"&lt;"&amp;($BA42+1),INDIRECT("'"&amp;$A42&amp;"'!$E$2:$E$501"),"No"),0)))</f>
        <v>1</v>
      </c>
      <c r="AY42" s="30" t="n">
        <f aca="true">IF(OR($A42="",$I42=""),"",IF($BC42="Y",SUMIFS(survey_frozen!$M$2:$M$251,survey_frozen!$P$2:$P$251,$A42&amp;"|"&amp;$B42),IFERROR(COUNTIFS(INDIRECT("'"&amp;$A42&amp;"'!$B$2:$B$501"),$T42,INDIRECT("'"&amp;$A42&amp;"'!$A$2:$A$501"),"&gt;="&amp;$I42,INDIRECT("'"&amp;$A42&amp;"'!$A$2:$A$501"),"&lt;"&amp;($BA42+1),INDIRECT("'"&amp;$A42&amp;"'!$G$2:$G$501"),"&lt;&gt;"),0)))</f>
        <v>2</v>
      </c>
      <c r="AZ42" s="30" t="str">
        <f aca="false">IF($A42="","",$A42&amp;"|"&amp;$L42)</f>
        <v>SAMPLE-CMP-006|1</v>
      </c>
      <c r="BA42" s="31" t="n">
        <f aca="false">IF($A42="","",IFERROR(IF(INDEX(drops!$R$2:$R$21,MATCH($H42,drops!$A$2:$A$21,0))="","",INDEX(drops!$R$2:$R$21,MATCH($H42,drops!$A$2:$A$21,0))),""))</f>
        <v>46447</v>
      </c>
      <c r="BB42" s="30" t="n">
        <f aca="false">IF(OR($A42="",$Q42&lt;&gt;"Y"),1000000,N($AL42))</f>
        <v>9</v>
      </c>
      <c r="BC42" s="30" t="str">
        <f aca="false">IF($A42="","",IF(COUNTIF(survey_frozen!$P$2:$P$251,$A42&amp;"|"&amp;$B42)&gt;0,"Y",""))</f>
        <v/>
      </c>
      <c r="BD42" s="30" t="str">
        <f aca="false">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ustomFormat="false" ht="15" hidden="false" customHeight="false" outlineLevel="0" collapsed="false">
      <c r="A43" s="0" t="s">
        <v>563</v>
      </c>
      <c r="B43" s="0" t="s">
        <v>681</v>
      </c>
      <c r="C43" s="11" t="n">
        <v>46412</v>
      </c>
      <c r="D43" s="10" t="s">
        <v>496</v>
      </c>
      <c r="E43" s="11" t="n">
        <v>46414</v>
      </c>
      <c r="F43" s="10" t="s">
        <v>737</v>
      </c>
      <c r="G43" s="0" t="n">
        <v>35</v>
      </c>
      <c r="H43" s="30" t="str">
        <f aca="false">IF($A43="","",IFERROR(IF(INDEX(campaigns!$B$2:$B$51,MATCH($A43,campaigns!$A$2:$A$51,0))="","",INDEX(campaigns!$B$2:$B$51,MATCH($A43,campaigns!$A$2:$A$51,0))),""))</f>
        <v>SAMPLE-DRP-003</v>
      </c>
      <c r="I43" s="31" t="n">
        <f aca="false">IF($A43="","",IFERROR(IF(INDEX(campaigns!$BG$2:$BG$51,MATCH($A43,campaigns!$A$2:$A$51,0))="","",INDEX(campaigns!$BG$2:$BG$51,MATCH($A43,campaigns!$A$2:$A$51,0))),""))</f>
        <v>46441</v>
      </c>
      <c r="J43" s="30" t="str">
        <f aca="false">IF($A43="","",IFERROR(IF(INDEX(campaigns!$BE$2:$BE$51,MATCH($A43,campaigns!$A$2:$A$51,0))="","",INDEX(campaigns!$BE$2:$BE$51,MATCH($A43,campaigns!$A$2:$A$51,0))),""))</f>
        <v>SAMPLE Saltmarsh</v>
      </c>
      <c r="K43" s="30" t="str">
        <f aca="false">IF($B43="","",IFERROR(IF(INDEX(offices!$O$2:$O$61,MATCH($B43,offices!$A$2:$A$61,0))="","",INDEX(offices!$O$2:$O$61,MATCH($B43,offices!$A$2:$A$61,0))),""))</f>
        <v>SAMPLE Ferro Architecture</v>
      </c>
      <c r="L43" s="30" t="n">
        <f aca="false">IF($A43="","",IF($Q43="N","",COUNTIFS($A$2:$A43,$A43,$Q$2:$Q43,"&lt;&gt;N")))</f>
        <v>2</v>
      </c>
      <c r="M43" s="30" t="str">
        <f aca="false">IF(OR($A43="",$L43=""),"",IF(AND(config!$B$34="names_if_public",IFERROR(IF(INDEX(offices!$AG$2:$AG$61,MATCH($B43,offices!$A$2:$A$61,0))="","",INDEX(offices!$AG$2:$AG$61,MATCH($B43,offices!$A$2:$A$61,0))),"")="Y"),$K43,CHAR(64+$L43)))</f>
        <v>B</v>
      </c>
      <c r="N43" s="30" t="n">
        <f aca="false">IF(OR($A43="",$I43=""),"",COUNTIFS(stops!$B$2:$B$151,$B43,stops!$P$2:$P$151,"&lt;"&amp;$I43,stops!$L$2:$L$151,"&lt;&gt;not_delivered")+1)</f>
        <v>3</v>
      </c>
      <c r="O43" s="30" t="str">
        <f aca="false">IF($A43="","",IF(N($N43)&lt;=config!$B$29,"explicit","opt-out"))</f>
        <v>explicit</v>
      </c>
      <c r="P43" s="30" t="str">
        <f aca="false">IF($A43="","",IF($O43="explicit",IF($D43="yes","Y",IF($D43="no","N","pending")),IF($D43="no","N",IF(AND($C43&lt;&gt;"",$I43&lt;&gt;"",$C43&lt;=WORKDAY(N($I43),-5,calendar!$A$2:$A$80)),"Y","pending"))))</f>
        <v>Y</v>
      </c>
      <c r="Q43" s="30" t="str">
        <f aca="false">IF($A43="","",IF($P43="N","N",IF($P43&lt;&gt;"Y","pending",IF(AND((COUNTIFS(stops!$A$2:$A$151,$H43,stops!$B$2:$B$151,$B43,stops!$L$2:$L$151,"declined")+COUNTIFS(stops!$A$2:$A$151,$H43,stops!$B$2:$B$151,$B43,stops!$L$2:$L$151,"building_refused")+COUNTIFS(stops!$A$2:$A$151,$H43,stops!$B$2:$B$151,$B43,stops!$L$2:$L$151,"not_delivered"))&gt;0,N($U43)=0),"N","Y"))))</f>
        <v>Y</v>
      </c>
      <c r="R43" s="30" t="str">
        <f aca="false">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30" t="n">
        <f aca="false">IF($A43="","",IF($G43&lt;&gt;"",$G43,IFERROR(IF(INDEX(offices!$AM$2:$AM$61,MATCH($B43,offices!$A$2:$A$61,0))="","",INDEX(offices!$AM$2:$AM$61,MATCH($B43,offices!$A$2:$A$61,0))),"")))</f>
        <v>35</v>
      </c>
      <c r="T43" s="30" t="str">
        <f aca="false">IF($A43="","",$A43&amp;"."&amp;$B43)</f>
        <v>SAMPLE-CMP-006.SAMPLE-O-002</v>
      </c>
      <c r="U43" s="30" t="n">
        <f aca="false">IF($A43="","",SUMIFS(inventory!$G$2:$G$801,inventory!$C$2:$C$801,$A43,inventory!$D$2:$D$801,$B43,inventory!$E$2:$E$801,"delivered"))</f>
        <v>35</v>
      </c>
      <c r="V43" s="37" t="n">
        <f aca="false">IF($A43="","",IFERROR(1/(1/SUMPRODUCT(MAX((inventory!$C$2:$C$801=$A43)*(inventory!$D$2:$D$801=$B43)*(inventory!$E$2:$E$801="delivered")*(inventory!$A$2:$A$801+inventory!$B$2:$B$801)))),""))</f>
        <v>46441.3895833333</v>
      </c>
      <c r="W43" s="30" t="str">
        <f aca="false">IF($A43="","",IFERROR(IF(INDEX(inventory!$J$2:$J$801,MATCH($A43&amp;"|"&amp;$B43&amp;"|delivered",inventory!$R$2:$R$801,0))="","",INDEX(inventory!$J$2:$J$801,MATCH($A43&amp;"|"&amp;$B43&amp;"|delivered",inventory!$R$2:$R$801,0))),""))</f>
        <v>courier_count</v>
      </c>
      <c r="X43" s="30" t="str">
        <f aca="false">IF($A43="","",IFERROR(IF(INDEX(photos!$H$2:$H$701,MATCH($A43&amp;"|"&amp;$B43&amp;"|placement|Y",photos!$R$2:$R$701,0))="","",INDEX(photos!$H$2:$H$701,MATCH($A43&amp;"|"&amp;$B43&amp;"|placement|Y",photos!$R$2:$R$701,0))),""))</f>
        <v>SAMPLE-CMP-006_SAMPLE-O-002_placement_2027-02-23.jpg</v>
      </c>
      <c r="Y43" s="31" t="n">
        <f aca="false">IF($A43="","",IFERROR(IF(INDEX(photos!$E$2:$E$701,MATCH($A43&amp;"|"&amp;$B43&amp;"|placement|Y",photos!$R$2:$R$701,0))="","",INDEX(photos!$E$2:$E$701,MATCH($A43&amp;"|"&amp;$B43&amp;"|placement|Y",photos!$R$2:$R$701,0))),""))</f>
        <v>46441</v>
      </c>
      <c r="Z43" s="30" t="n">
        <f aca="false">IF($A43="","",IF(COUNTIFS(counts!$C$2:$C$701,$A43,counts!$D$2:$D$701,$B43,counts!$E$2:$E$701,"placed")=0,"",SUMIFS(counts!$F$2:$F$701,counts!$C$2:$C$701,$A43,counts!$D$2:$D$701,$B43,counts!$E$2:$E$701,"placed")))</f>
        <v>35</v>
      </c>
      <c r="AA43" s="30" t="n">
        <f aca="false">IF($A43="","",IF($Y43="",0,N($Z43)))</f>
        <v>35</v>
      </c>
      <c r="AB43" s="30" t="str">
        <f aca="false">IF($A43="","",IF(OR($Y43="",$I43=""),"N",IF($Y43&lt;=WORKDAY(N($I43),1,calendar!$A$2:$A$80),"Y","N")))</f>
        <v>Y</v>
      </c>
      <c r="AC43" s="33" t="n">
        <f aca="false">IF(OR($A43="",$V43="",$Y43=""),"",ROUND(($Y43+N(IFERROR(IF(INDEX(photos!$F$2:$F$701,MATCH($A43&amp;"|"&amp;$B43&amp;"|placement|Y",photos!$R$2:$R$701,0))="","",INDEX(photos!$F$2:$F$701,MATCH($A43&amp;"|"&amp;$B43&amp;"|placement|Y",photos!$R$2:$R$701,0))),""))-$V43)*24,1))</f>
        <v>3.7</v>
      </c>
      <c r="AD43" s="30" t="n">
        <f aca="false">IF($A43="","",SUMIFS(inventory!$G$2:$G$801,inventory!$C$2:$C$801,$A43,inventory!$D$2:$D$801,$B43,inventory!$E$2:$E$801,"topped_up"))</f>
        <v>0</v>
      </c>
      <c r="AE43" s="30" t="n">
        <f aca="false">IF($A43="","",IF(COUNTIFS(counts!$C$2:$C$701,$A43,counts!$D$2:$D$701,$B43,counts!$E$2:$E$701,"remaining_day3")=0,"",SUMIFS(counts!$F$2:$F$701,counts!$C$2:$C$701,$A43,counts!$D$2:$D$701,$B43,counts!$E$2:$E$701,"remaining_day3")))</f>
        <v>9</v>
      </c>
      <c r="AF43" s="30" t="n">
        <f aca="false">IF($A43="","",IF(COUNTIFS(counts!$C$2:$C$701,$A43,counts!$D$2:$D$701,$B43,counts!$E$2:$E$701,"remaining_day5")=0,"",SUMIFS(counts!$F$2:$F$701,counts!$C$2:$C$701,$A43,counts!$D$2:$D$701,$B43,counts!$E$2:$E$701,"remaining_day5")))</f>
        <v>2</v>
      </c>
      <c r="AG43" s="30" t="n">
        <f aca="false">IF(OR($A43="",$AF43=""),"",MAX(0,$AA43+$AD43-$AF43))</f>
        <v>33</v>
      </c>
      <c r="AH43" s="30" t="str">
        <f aca="false">IF(OR($A43="",$AI43=""),"",IFERROR(IF(INDEX(photos!$H$2:$H$701,MATCH($A43&amp;"|"&amp;$B43&amp;"|later|Y|"&amp;$AI43,photos!$S$2:$S$701,0))="","",INDEX(photos!$H$2:$H$701,MATCH($A43&amp;"|"&amp;$B43&amp;"|later|Y|"&amp;$AI43,photos!$S$2:$S$701,0))),""))</f>
        <v>SAMPLE-CMP-006_SAMPLE-O-002_later_2027-03-01.jpg</v>
      </c>
      <c r="AI43" s="31" t="n">
        <f aca="false">IF($A43="","",IFERROR(1/(1/SUMPRODUCT(MAX((photos!$B$2:$B$701=$A43)*(photos!$C$2:$C$701=$B43)*(photos!$D$2:$D$701="later")*(photos!$O$2:$O$701="Y")*photos!$E$2:$E$701))),""))</f>
        <v>46447</v>
      </c>
      <c r="AJ43" s="30" t="n">
        <f aca="false">IF(OR($A43="",$AI43="",$I43=""),"",NETWORKDAYS($I43,$AI43,calendar!$A$2:$A$80))</f>
        <v>5</v>
      </c>
      <c r="AK43" s="30" t="str">
        <f aca="false">IF($A43="","",IF(AND($X43&lt;&gt;"",$AH43&lt;&gt;""),"Y","N"))</f>
        <v>Y</v>
      </c>
      <c r="AL43" s="30" t="n">
        <f aca="true">IF(OR($A43="",$I43=""),"",IF($BC43="Y",SUMIFS(survey_frozen!$C$2:$C$251,survey_frozen!$P$2:$P$251,$A43&amp;"|"&amp;$B43),IFERROR(COUNTIFS(INDIRECT("'"&amp;$A43&amp;"'!$B$2:$B$501"),$T43,INDIRECT("'"&amp;$A43&amp;"'!$A$2:$A$501"),"&gt;="&amp;$I43,INDIRECT("'"&amp;$A43&amp;"'!$A$2:$A$501"),"&lt;"&amp;($BA43+1)),0)))</f>
        <v>6</v>
      </c>
      <c r="AM43" s="30" t="n">
        <f aca="true">IF(OR($A43="",$I43=""),"",IF($BC43="Y",SUMIFS(survey_frozen!$D$2:$D$251,survey_frozen!$P$2:$P$251,$A43&amp;"|"&amp;$B43),IFERROR(COUNTIFS(INDIRECT("'"&amp;$A43&amp;"'!$B$2:$B$501"),$T43,INDIRECT("'"&amp;$A43&amp;"'!$A$2:$A$501"),"&gt;="&amp;$I43,INDIRECT("'"&amp;$A43&amp;"'!$A$2:$A$501"),"&lt;"&amp;($BA43+1),INDIRECT("'"&amp;$A43&amp;"'!$C$2:$C$501"),"Yes"),0)))</f>
        <v>5</v>
      </c>
      <c r="AN43" s="30" t="n">
        <f aca="false">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12</v>
      </c>
      <c r="AO43" s="30" t="n">
        <f aca="false">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5</v>
      </c>
      <c r="AP43" s="30" t="str">
        <f aca="true">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30" t="n">
        <f aca="true">IF(OR($A43="",$I43=""),"",IF($BC43="Y",SUMIFS(survey_frozen!$E$2:$E$251,survey_frozen!$P$2:$P$251,$A43&amp;"|"&amp;$B43),IFERROR(COUNTIFS(INDIRECT("'"&amp;$A43&amp;"'!$B$2:$B$501"),$T43,INDIRECT("'"&amp;$A43&amp;"'!$A$2:$A$501"),"&gt;="&amp;$I43,INDIRECT("'"&amp;$A43&amp;"'!$A$2:$A$501"),"&lt;"&amp;($BA43+1),INDIRECT("'"&amp;$A43&amp;"'!$F$2:$F$501"),"Didn't see it"),0)))</f>
        <v>0</v>
      </c>
      <c r="AR43" s="30" t="n">
        <f aca="true">IF(OR($A43="",$I43=""),"",IF($BC43="Y",SUMIFS(survey_frozen!$F$2:$F$251,survey_frozen!$P$2:$P$251,$A43&amp;"|"&amp;$B43),IFERROR(COUNTIFS(INDIRECT("'"&amp;$A43&amp;"'!$B$2:$B$501"),$T43,INDIRECT("'"&amp;$A43&amp;"'!$A$2:$A$501"),"&gt;="&amp;$I43,INDIRECT("'"&amp;$A43&amp;"'!$A$2:$A$501"),"&lt;"&amp;($BA43+1),INDIRECT("'"&amp;$A43&amp;"'!$F$2:$F$501"),"Not for me"),0)))</f>
        <v>0</v>
      </c>
      <c r="AS43" s="30" t="n">
        <f aca="true">IF(OR($A43="",$I43=""),"",IF($BC43="Y",SUMIFS(survey_frozen!$G$2:$G$251,survey_frozen!$P$2:$P$251,$A43&amp;"|"&amp;$B43),IFERROR(COUNTIFS(INDIRECT("'"&amp;$A43&amp;"'!$B$2:$B$501"),$T43,INDIRECT("'"&amp;$A43&amp;"'!$A$2:$A$501"),"&gt;="&amp;$I43,INDIRECT("'"&amp;$A43&amp;"'!$A$2:$A$501"),"&lt;"&amp;($BA43+1),INDIRECT("'"&amp;$A43&amp;"'!$F$2:$F$501"),"Gone by the time I looked"),0)))</f>
        <v>1</v>
      </c>
      <c r="AT43" s="30" t="n">
        <f aca="true">IF(OR($A43="",$I43=""),"",IF($BC43="Y",SUMIFS(survey_frozen!$H$2:$H$251,survey_frozen!$P$2:$P$251,$A43&amp;"|"&amp;$B43),IFERROR(COUNTIFS(INDIRECT("'"&amp;$A43&amp;"'!$B$2:$B$501"),$T43,INDIRECT("'"&amp;$A43&amp;"'!$A$2:$A$501"),"&gt;="&amp;$I43,INDIRECT("'"&amp;$A43&amp;"'!$A$2:$A$501"),"&lt;"&amp;($BA43+1),INDIRECT("'"&amp;$A43&amp;"'!$D$2:$D$501"),"&gt;=1"),0)))</f>
        <v>5</v>
      </c>
      <c r="AU43" s="30" t="n">
        <f aca="true">IF(OR($A43="",$I43=""),"",IF($BC43="Y",SUMIFS(survey_frozen!$I$2:$I$251,survey_frozen!$P$2:$P$251,$A43&amp;"|"&amp;$B43),IFERROR(SUMIFS(INDIRECT("'"&amp;$A43&amp;"'!$D$2:$D$501"),INDIRECT("'"&amp;$A43&amp;"'!$B$2:$B$501"),$T43,INDIRECT("'"&amp;$A43&amp;"'!$A$2:$A$501"),"&gt;="&amp;$I43,INDIRECT("'"&amp;$A43&amp;"'!$A$2:$A$501"),"&lt;"&amp;($BA43+1)),0)))</f>
        <v>22</v>
      </c>
      <c r="AV43" s="30" t="n">
        <f aca="true">IF(OR($A43="",$I43=""),"",IF($BC43="Y",SUMIFS(survey_frozen!$J$2:$J$251,survey_frozen!$P$2:$P$251,$A43&amp;"|"&amp;$B43),IFERROR(COUNTIFS(INDIRECT("'"&amp;$A43&amp;"'!$B$2:$B$501"),$T43,INDIRECT("'"&amp;$A43&amp;"'!$A$2:$A$501"),"&gt;="&amp;$I43,INDIRECT("'"&amp;$A43&amp;"'!$A$2:$A$501"),"&lt;"&amp;($BA43+1),INDIRECT("'"&amp;$A43&amp;"'!$E$2:$E$501"),"Yes"),0)))</f>
        <v>2</v>
      </c>
      <c r="AW43" s="30" t="n">
        <f aca="true">IF(OR($A43="",$I43=""),"",IF($BC43="Y",SUMIFS(survey_frozen!$K$2:$K$251,survey_frozen!$P$2:$P$251,$A43&amp;"|"&amp;$B43),IFERROR(COUNTIFS(INDIRECT("'"&amp;$A43&amp;"'!$B$2:$B$501"),$T43,INDIRECT("'"&amp;$A43&amp;"'!$A$2:$A$501"),"&gt;="&amp;$I43,INDIRECT("'"&amp;$A43&amp;"'!$A$2:$A$501"),"&lt;"&amp;($BA43+1),INDIRECT("'"&amp;$A43&amp;"'!$E$2:$E$501"),"Maybe"),0)))</f>
        <v>0</v>
      </c>
      <c r="AX43" s="30" t="n">
        <f aca="true">IF(OR($A43="",$I43=""),"",IF($BC43="Y",SUMIFS(survey_frozen!$L$2:$L$251,survey_frozen!$P$2:$P$251,$A43&amp;"|"&amp;$B43),IFERROR(COUNTIFS(INDIRECT("'"&amp;$A43&amp;"'!$B$2:$B$501"),$T43,INDIRECT("'"&amp;$A43&amp;"'!$A$2:$A$501"),"&gt;="&amp;$I43,INDIRECT("'"&amp;$A43&amp;"'!$A$2:$A$501"),"&lt;"&amp;($BA43+1),INDIRECT("'"&amp;$A43&amp;"'!$E$2:$E$501"),"No"),0)))</f>
        <v>3</v>
      </c>
      <c r="AY43" s="30" t="n">
        <f aca="true">IF(OR($A43="",$I43=""),"",IF($BC43="Y",SUMIFS(survey_frozen!$M$2:$M$251,survey_frozen!$P$2:$P$251,$A43&amp;"|"&amp;$B43),IFERROR(COUNTIFS(INDIRECT("'"&amp;$A43&amp;"'!$B$2:$B$501"),$T43,INDIRECT("'"&amp;$A43&amp;"'!$A$2:$A$501"),"&gt;="&amp;$I43,INDIRECT("'"&amp;$A43&amp;"'!$A$2:$A$501"),"&lt;"&amp;($BA43+1),INDIRECT("'"&amp;$A43&amp;"'!$G$2:$G$501"),"&lt;&gt;"),0)))</f>
        <v>4</v>
      </c>
      <c r="AZ43" s="30" t="str">
        <f aca="false">IF($A43="","",$A43&amp;"|"&amp;$L43)</f>
        <v>SAMPLE-CMP-006|2</v>
      </c>
      <c r="BA43" s="31" t="n">
        <f aca="false">IF($A43="","",IFERROR(IF(INDEX(drops!$R$2:$R$21,MATCH($H43,drops!$A$2:$A$21,0))="","",INDEX(drops!$R$2:$R$21,MATCH($H43,drops!$A$2:$A$21,0))),""))</f>
        <v>46447</v>
      </c>
      <c r="BB43" s="30" t="n">
        <f aca="false">IF(OR($A43="",$Q43&lt;&gt;"Y"),1000000,N($AL43))</f>
        <v>6</v>
      </c>
      <c r="BC43" s="30" t="str">
        <f aca="false">IF($A43="","",IF(COUNTIF(survey_frozen!$P$2:$P$251,$A43&amp;"|"&amp;$B43)&gt;0,"Y",""))</f>
        <v/>
      </c>
      <c r="BD43" s="30" t="str">
        <f aca="false">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ustomFormat="false" ht="15" hidden="false" customHeight="false" outlineLevel="0" collapsed="false">
      <c r="A44" s="0" t="s">
        <v>563</v>
      </c>
      <c r="B44" s="0" t="s">
        <v>683</v>
      </c>
      <c r="C44" s="11" t="n">
        <v>46412</v>
      </c>
      <c r="D44" s="10" t="s">
        <v>496</v>
      </c>
      <c r="E44" s="11" t="n">
        <v>46414</v>
      </c>
      <c r="F44" s="10" t="s">
        <v>737</v>
      </c>
      <c r="G44" s="0" t="n">
        <v>45</v>
      </c>
      <c r="H44" s="30" t="str">
        <f aca="false">IF($A44="","",IFERROR(IF(INDEX(campaigns!$B$2:$B$51,MATCH($A44,campaigns!$A$2:$A$51,0))="","",INDEX(campaigns!$B$2:$B$51,MATCH($A44,campaigns!$A$2:$A$51,0))),""))</f>
        <v>SAMPLE-DRP-003</v>
      </c>
      <c r="I44" s="31" t="n">
        <f aca="false">IF($A44="","",IFERROR(IF(INDEX(campaigns!$BG$2:$BG$51,MATCH($A44,campaigns!$A$2:$A$51,0))="","",INDEX(campaigns!$BG$2:$BG$51,MATCH($A44,campaigns!$A$2:$A$51,0))),""))</f>
        <v>46441</v>
      </c>
      <c r="J44" s="30" t="str">
        <f aca="false">IF($A44="","",IFERROR(IF(INDEX(campaigns!$BE$2:$BE$51,MATCH($A44,campaigns!$A$2:$A$51,0))="","",INDEX(campaigns!$BE$2:$BE$51,MATCH($A44,campaigns!$A$2:$A$51,0))),""))</f>
        <v>SAMPLE Saltmarsh</v>
      </c>
      <c r="K44" s="30" t="str">
        <f aca="false">IF($B44="","",IFERROR(IF(INDEX(offices!$O$2:$O$61,MATCH($B44,offices!$A$2:$A$61,0))="","",INDEX(offices!$O$2:$O$61,MATCH($B44,offices!$A$2:$A$61,0))),""))</f>
        <v>SAMPLE Halcyon Media</v>
      </c>
      <c r="L44" s="30" t="n">
        <f aca="false">IF($A44="","",IF($Q44="N","",COUNTIFS($A$2:$A44,$A44,$Q$2:$Q44,"&lt;&gt;N")))</f>
        <v>3</v>
      </c>
      <c r="M44" s="30" t="str">
        <f aca="false">IF(OR($A44="",$L44=""),"",IF(AND(config!$B$34="names_if_public",IFERROR(IF(INDEX(offices!$AG$2:$AG$61,MATCH($B44,offices!$A$2:$A$61,0))="","",INDEX(offices!$AG$2:$AG$61,MATCH($B44,offices!$A$2:$A$61,0))),"")="Y"),$K44,CHAR(64+$L44)))</f>
        <v>C</v>
      </c>
      <c r="N44" s="30" t="n">
        <f aca="false">IF(OR($A44="",$I44=""),"",COUNTIFS(stops!$B$2:$B$151,$B44,stops!$P$2:$P$151,"&lt;"&amp;$I44,stops!$L$2:$L$151,"&lt;&gt;not_delivered")+1)</f>
        <v>3</v>
      </c>
      <c r="O44" s="30" t="str">
        <f aca="false">IF($A44="","",IF(N($N44)&lt;=config!$B$29,"explicit","opt-out"))</f>
        <v>explicit</v>
      </c>
      <c r="P44" s="30" t="str">
        <f aca="false">IF($A44="","",IF($O44="explicit",IF($D44="yes","Y",IF($D44="no","N","pending")),IF($D44="no","N",IF(AND($C44&lt;&gt;"",$I44&lt;&gt;"",$C44&lt;=WORKDAY(N($I44),-5,calendar!$A$2:$A$80)),"Y","pending"))))</f>
        <v>Y</v>
      </c>
      <c r="Q44" s="30" t="str">
        <f aca="false">IF($A44="","",IF($P44="N","N",IF($P44&lt;&gt;"Y","pending",IF(AND((COUNTIFS(stops!$A$2:$A$151,$H44,stops!$B$2:$B$151,$B44,stops!$L$2:$L$151,"declined")+COUNTIFS(stops!$A$2:$A$151,$H44,stops!$B$2:$B$151,$B44,stops!$L$2:$L$151,"building_refused")+COUNTIFS(stops!$A$2:$A$151,$H44,stops!$B$2:$B$151,$B44,stops!$L$2:$L$151,"not_delivered"))&gt;0,N($U44)=0),"N","Y"))))</f>
        <v>Y</v>
      </c>
      <c r="R44" s="30" t="str">
        <f aca="false">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30" t="n">
        <f aca="false">IF($A44="","",IF($G44&lt;&gt;"",$G44,IFERROR(IF(INDEX(offices!$AM$2:$AM$61,MATCH($B44,offices!$A$2:$A$61,0))="","",INDEX(offices!$AM$2:$AM$61,MATCH($B44,offices!$A$2:$A$61,0))),"")))</f>
        <v>45</v>
      </c>
      <c r="T44" s="30" t="str">
        <f aca="false">IF($A44="","",$A44&amp;"."&amp;$B44)</f>
        <v>SAMPLE-CMP-006.SAMPLE-O-003</v>
      </c>
      <c r="U44" s="30" t="n">
        <f aca="false">IF($A44="","",SUMIFS(inventory!$G$2:$G$801,inventory!$C$2:$C$801,$A44,inventory!$D$2:$D$801,$B44,inventory!$E$2:$E$801,"delivered"))</f>
        <v>45</v>
      </c>
      <c r="V44" s="37" t="n">
        <f aca="false">IF($A44="","",IFERROR(1/(1/SUMPRODUCT(MAX((inventory!$C$2:$C$801=$A44)*(inventory!$D$2:$D$801=$B44)*(inventory!$E$2:$E$801="delivered")*(inventory!$A$2:$A$801+inventory!$B$2:$B$801)))),""))</f>
        <v>46441.3770833333</v>
      </c>
      <c r="W44" s="30" t="str">
        <f aca="false">IF($A44="","",IFERROR(IF(INDEX(inventory!$J$2:$J$801,MATCH($A44&amp;"|"&amp;$B44&amp;"|delivered",inventory!$R$2:$R$801,0))="","",INDEX(inventory!$J$2:$J$801,MATCH($A44&amp;"|"&amp;$B44&amp;"|delivered",inventory!$R$2:$R$801,0))),""))</f>
        <v>courier_count</v>
      </c>
      <c r="X44" s="30" t="str">
        <f aca="false">IF($A44="","",IFERROR(IF(INDEX(photos!$H$2:$H$701,MATCH($A44&amp;"|"&amp;$B44&amp;"|placement|Y",photos!$R$2:$R$701,0))="","",INDEX(photos!$H$2:$H$701,MATCH($A44&amp;"|"&amp;$B44&amp;"|placement|Y",photos!$R$2:$R$701,0))),""))</f>
        <v>SAMPLE-CMP-006_SAMPLE-O-003_placement_2027-02-23.jpg</v>
      </c>
      <c r="Y44" s="31" t="n">
        <f aca="false">IF($A44="","",IFERROR(IF(INDEX(photos!$E$2:$E$701,MATCH($A44&amp;"|"&amp;$B44&amp;"|placement|Y",photos!$R$2:$R$701,0))="","",INDEX(photos!$E$2:$E$701,MATCH($A44&amp;"|"&amp;$B44&amp;"|placement|Y",photos!$R$2:$R$701,0))),""))</f>
        <v>46441</v>
      </c>
      <c r="Z44" s="30" t="n">
        <f aca="false">IF($A44="","",IF(COUNTIFS(counts!$C$2:$C$701,$A44,counts!$D$2:$D$701,$B44,counts!$E$2:$E$701,"placed")=0,"",SUMIFS(counts!$F$2:$F$701,counts!$C$2:$C$701,$A44,counts!$D$2:$D$701,$B44,counts!$E$2:$E$701,"placed")))</f>
        <v>45</v>
      </c>
      <c r="AA44" s="30" t="n">
        <f aca="false">IF($A44="","",IF($Y44="",0,N($Z44)))</f>
        <v>45</v>
      </c>
      <c r="AB44" s="30" t="str">
        <f aca="false">IF($A44="","",IF(OR($Y44="",$I44=""),"N",IF($Y44&lt;=WORKDAY(N($I44),1,calendar!$A$2:$A$80),"Y","N")))</f>
        <v>Y</v>
      </c>
      <c r="AC44" s="33" t="n">
        <f aca="false">IF(OR($A44="",$V44="",$Y44=""),"",ROUND(($Y44+N(IFERROR(IF(INDEX(photos!$F$2:$F$701,MATCH($A44&amp;"|"&amp;$B44&amp;"|placement|Y",photos!$R$2:$R$701,0))="","",INDEX(photos!$F$2:$F$701,MATCH($A44&amp;"|"&amp;$B44&amp;"|placement|Y",photos!$R$2:$R$701,0))),""))-$V44)*24,1))</f>
        <v>4</v>
      </c>
      <c r="AD44" s="30" t="n">
        <f aca="false">IF($A44="","",SUMIFS(inventory!$G$2:$G$801,inventory!$C$2:$C$801,$A44,inventory!$D$2:$D$801,$B44,inventory!$E$2:$E$801,"topped_up"))</f>
        <v>0</v>
      </c>
      <c r="AE44" s="30" t="n">
        <f aca="false">IF($A44="","",IF(COUNTIFS(counts!$C$2:$C$701,$A44,counts!$D$2:$D$701,$B44,counts!$E$2:$E$701,"remaining_day3")=0,"",SUMIFS(counts!$F$2:$F$701,counts!$C$2:$C$701,$A44,counts!$D$2:$D$701,$B44,counts!$E$2:$E$701,"remaining_day3")))</f>
        <v>12</v>
      </c>
      <c r="AF44" s="30" t="n">
        <f aca="false">IF($A44="","",IF(COUNTIFS(counts!$C$2:$C$701,$A44,counts!$D$2:$D$701,$B44,counts!$E$2:$E$701,"remaining_day5")=0,"",SUMIFS(counts!$F$2:$F$701,counts!$C$2:$C$701,$A44,counts!$D$2:$D$701,$B44,counts!$E$2:$E$701,"remaining_day5")))</f>
        <v>4</v>
      </c>
      <c r="AG44" s="30" t="n">
        <f aca="false">IF(OR($A44="",$AF44=""),"",MAX(0,$AA44+$AD44-$AF44))</f>
        <v>41</v>
      </c>
      <c r="AH44" s="30" t="str">
        <f aca="false">IF(OR($A44="",$AI44=""),"",IFERROR(IF(INDEX(photos!$H$2:$H$701,MATCH($A44&amp;"|"&amp;$B44&amp;"|later|Y|"&amp;$AI44,photos!$S$2:$S$701,0))="","",INDEX(photos!$H$2:$H$701,MATCH($A44&amp;"|"&amp;$B44&amp;"|later|Y|"&amp;$AI44,photos!$S$2:$S$701,0))),""))</f>
        <v>SAMPLE-CMP-006_SAMPLE-O-003_later_2027-03-01.jpg</v>
      </c>
      <c r="AI44" s="31" t="n">
        <f aca="false">IF($A44="","",IFERROR(1/(1/SUMPRODUCT(MAX((photos!$B$2:$B$701=$A44)*(photos!$C$2:$C$701=$B44)*(photos!$D$2:$D$701="later")*(photos!$O$2:$O$701="Y")*photos!$E$2:$E$701))),""))</f>
        <v>46447</v>
      </c>
      <c r="AJ44" s="30" t="n">
        <f aca="false">IF(OR($A44="",$AI44="",$I44=""),"",NETWORKDAYS($I44,$AI44,calendar!$A$2:$A$80))</f>
        <v>5</v>
      </c>
      <c r="AK44" s="30" t="str">
        <f aca="false">IF($A44="","",IF(AND($X44&lt;&gt;"",$AH44&lt;&gt;""),"Y","N"))</f>
        <v>Y</v>
      </c>
      <c r="AL44" s="30" t="n">
        <f aca="true">IF(OR($A44="",$I44=""),"",IF($BC44="Y",SUMIFS(survey_frozen!$C$2:$C$251,survey_frozen!$P$2:$P$251,$A44&amp;"|"&amp;$B44),IFERROR(COUNTIFS(INDIRECT("'"&amp;$A44&amp;"'!$B$2:$B$501"),$T44,INDIRECT("'"&amp;$A44&amp;"'!$A$2:$A$501"),"&gt;="&amp;$I44,INDIRECT("'"&amp;$A44&amp;"'!$A$2:$A$501"),"&lt;"&amp;($BA44+1)),0)))</f>
        <v>8</v>
      </c>
      <c r="AM44" s="30" t="n">
        <f aca="true">IF(OR($A44="",$I44=""),"",IF($BC44="Y",SUMIFS(survey_frozen!$D$2:$D$251,survey_frozen!$P$2:$P$251,$A44&amp;"|"&amp;$B44),IFERROR(COUNTIFS(INDIRECT("'"&amp;$A44&amp;"'!$B$2:$B$501"),$T44,INDIRECT("'"&amp;$A44&amp;"'!$A$2:$A$501"),"&gt;="&amp;$I44,INDIRECT("'"&amp;$A44&amp;"'!$A$2:$A$501"),"&lt;"&amp;($BA44+1),INDIRECT("'"&amp;$A44&amp;"'!$C$2:$C$501"),"Yes"),0)))</f>
        <v>8</v>
      </c>
      <c r="AN44" s="30" t="n">
        <f aca="false">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4</v>
      </c>
      <c r="AO44" s="30" t="n">
        <f aca="false">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7</v>
      </c>
      <c r="AP44" s="30" t="str">
        <f aca="true">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30" t="n">
        <f aca="true">IF(OR($A44="",$I44=""),"",IF($BC44="Y",SUMIFS(survey_frozen!$E$2:$E$251,survey_frozen!$P$2:$P$251,$A44&amp;"|"&amp;$B44),IFERROR(COUNTIFS(INDIRECT("'"&amp;$A44&amp;"'!$B$2:$B$501"),$T44,INDIRECT("'"&amp;$A44&amp;"'!$A$2:$A$501"),"&gt;="&amp;$I44,INDIRECT("'"&amp;$A44&amp;"'!$A$2:$A$501"),"&lt;"&amp;($BA44+1),INDIRECT("'"&amp;$A44&amp;"'!$F$2:$F$501"),"Didn't see it"),0)))</f>
        <v>0</v>
      </c>
      <c r="AR44" s="30" t="n">
        <f aca="true">IF(OR($A44="",$I44=""),"",IF($BC44="Y",SUMIFS(survey_frozen!$F$2:$F$251,survey_frozen!$P$2:$P$251,$A44&amp;"|"&amp;$B44),IFERROR(COUNTIFS(INDIRECT("'"&amp;$A44&amp;"'!$B$2:$B$501"),$T44,INDIRECT("'"&amp;$A44&amp;"'!$A$2:$A$501"),"&gt;="&amp;$I44,INDIRECT("'"&amp;$A44&amp;"'!$A$2:$A$501"),"&lt;"&amp;($BA44+1),INDIRECT("'"&amp;$A44&amp;"'!$F$2:$F$501"),"Not for me"),0)))</f>
        <v>0</v>
      </c>
      <c r="AS44" s="30" t="n">
        <f aca="true">IF(OR($A44="",$I44=""),"",IF($BC44="Y",SUMIFS(survey_frozen!$G$2:$G$251,survey_frozen!$P$2:$P$251,$A44&amp;"|"&amp;$B44),IFERROR(COUNTIFS(INDIRECT("'"&amp;$A44&amp;"'!$B$2:$B$501"),$T44,INDIRECT("'"&amp;$A44&amp;"'!$A$2:$A$501"),"&gt;="&amp;$I44,INDIRECT("'"&amp;$A44&amp;"'!$A$2:$A$501"),"&lt;"&amp;($BA44+1),INDIRECT("'"&amp;$A44&amp;"'!$F$2:$F$501"),"Gone by the time I looked"),0)))</f>
        <v>0</v>
      </c>
      <c r="AT44" s="30" t="n">
        <f aca="true">IF(OR($A44="",$I44=""),"",IF($BC44="Y",SUMIFS(survey_frozen!$H$2:$H$251,survey_frozen!$P$2:$P$251,$A44&amp;"|"&amp;$B44),IFERROR(COUNTIFS(INDIRECT("'"&amp;$A44&amp;"'!$B$2:$B$501"),$T44,INDIRECT("'"&amp;$A44&amp;"'!$A$2:$A$501"),"&gt;="&amp;$I44,INDIRECT("'"&amp;$A44&amp;"'!$A$2:$A$501"),"&lt;"&amp;($BA44+1),INDIRECT("'"&amp;$A44&amp;"'!$D$2:$D$501"),"&gt;=1"),0)))</f>
        <v>8</v>
      </c>
      <c r="AU44" s="30" t="n">
        <f aca="true">IF(OR($A44="",$I44=""),"",IF($BC44="Y",SUMIFS(survey_frozen!$I$2:$I$251,survey_frozen!$P$2:$P$251,$A44&amp;"|"&amp;$B44),IFERROR(SUMIFS(INDIRECT("'"&amp;$A44&amp;"'!$D$2:$D$501"),INDIRECT("'"&amp;$A44&amp;"'!$B$2:$B$501"),$T44,INDIRECT("'"&amp;$A44&amp;"'!$A$2:$A$501"),"&gt;="&amp;$I44,INDIRECT("'"&amp;$A44&amp;"'!$A$2:$A$501"),"&lt;"&amp;($BA44+1)),0)))</f>
        <v>36</v>
      </c>
      <c r="AV44" s="30" t="n">
        <f aca="true">IF(OR($A44="",$I44=""),"",IF($BC44="Y",SUMIFS(survey_frozen!$J$2:$J$251,survey_frozen!$P$2:$P$251,$A44&amp;"|"&amp;$B44),IFERROR(COUNTIFS(INDIRECT("'"&amp;$A44&amp;"'!$B$2:$B$501"),$T44,INDIRECT("'"&amp;$A44&amp;"'!$A$2:$A$501"),"&gt;="&amp;$I44,INDIRECT("'"&amp;$A44&amp;"'!$A$2:$A$501"),"&lt;"&amp;($BA44+1),INDIRECT("'"&amp;$A44&amp;"'!$E$2:$E$501"),"Yes"),0)))</f>
        <v>1</v>
      </c>
      <c r="AW44" s="30" t="n">
        <f aca="true">IF(OR($A44="",$I44=""),"",IF($BC44="Y",SUMIFS(survey_frozen!$K$2:$K$251,survey_frozen!$P$2:$P$251,$A44&amp;"|"&amp;$B44),IFERROR(COUNTIFS(INDIRECT("'"&amp;$A44&amp;"'!$B$2:$B$501"),$T44,INDIRECT("'"&amp;$A44&amp;"'!$A$2:$A$501"),"&gt;="&amp;$I44,INDIRECT("'"&amp;$A44&amp;"'!$A$2:$A$501"),"&lt;"&amp;($BA44+1),INDIRECT("'"&amp;$A44&amp;"'!$E$2:$E$501"),"Maybe"),0)))</f>
        <v>5</v>
      </c>
      <c r="AX44" s="30" t="n">
        <f aca="true">IF(OR($A44="",$I44=""),"",IF($BC44="Y",SUMIFS(survey_frozen!$L$2:$L$251,survey_frozen!$P$2:$P$251,$A44&amp;"|"&amp;$B44),IFERROR(COUNTIFS(INDIRECT("'"&amp;$A44&amp;"'!$B$2:$B$501"),$T44,INDIRECT("'"&amp;$A44&amp;"'!$A$2:$A$501"),"&gt;="&amp;$I44,INDIRECT("'"&amp;$A44&amp;"'!$A$2:$A$501"),"&lt;"&amp;($BA44+1),INDIRECT("'"&amp;$A44&amp;"'!$E$2:$E$501"),"No"),0)))</f>
        <v>2</v>
      </c>
      <c r="AY44" s="30" t="n">
        <f aca="true">IF(OR($A44="",$I44=""),"",IF($BC44="Y",SUMIFS(survey_frozen!$M$2:$M$251,survey_frozen!$P$2:$P$251,$A44&amp;"|"&amp;$B44),IFERROR(COUNTIFS(INDIRECT("'"&amp;$A44&amp;"'!$B$2:$B$501"),$T44,INDIRECT("'"&amp;$A44&amp;"'!$A$2:$A$501"),"&gt;="&amp;$I44,INDIRECT("'"&amp;$A44&amp;"'!$A$2:$A$501"),"&lt;"&amp;($BA44+1),INDIRECT("'"&amp;$A44&amp;"'!$G$2:$G$501"),"&lt;&gt;"),0)))</f>
        <v>4</v>
      </c>
      <c r="AZ44" s="30" t="str">
        <f aca="false">IF($A44="","",$A44&amp;"|"&amp;$L44)</f>
        <v>SAMPLE-CMP-006|3</v>
      </c>
      <c r="BA44" s="31" t="n">
        <f aca="false">IF($A44="","",IFERROR(IF(INDEX(drops!$R$2:$R$21,MATCH($H44,drops!$A$2:$A$21,0))="","",INDEX(drops!$R$2:$R$21,MATCH($H44,drops!$A$2:$A$21,0))),""))</f>
        <v>46447</v>
      </c>
      <c r="BB44" s="30" t="n">
        <f aca="false">IF(OR($A44="",$Q44&lt;&gt;"Y"),1000000,N($AL44))</f>
        <v>8</v>
      </c>
      <c r="BC44" s="30" t="str">
        <f aca="false">IF($A44="","",IF(COUNTIF(survey_frozen!$P$2:$P$251,$A44&amp;"|"&amp;$B44)&gt;0,"Y",""))</f>
        <v/>
      </c>
      <c r="BD44" s="30" t="str">
        <f aca="false">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ustomFormat="false" ht="15" hidden="false" customHeight="false" outlineLevel="0" collapsed="false">
      <c r="A45" s="0" t="s">
        <v>563</v>
      </c>
      <c r="B45" s="0" t="s">
        <v>686</v>
      </c>
      <c r="C45" s="11" t="n">
        <v>46412</v>
      </c>
      <c r="D45" s="10" t="s">
        <v>496</v>
      </c>
      <c r="E45" s="11" t="n">
        <v>46414</v>
      </c>
      <c r="F45" s="10" t="s">
        <v>737</v>
      </c>
      <c r="G45" s="0" t="n">
        <v>45</v>
      </c>
      <c r="H45" s="30" t="str">
        <f aca="false">IF($A45="","",IFERROR(IF(INDEX(campaigns!$B$2:$B$51,MATCH($A45,campaigns!$A$2:$A$51,0))="","",INDEX(campaigns!$B$2:$B$51,MATCH($A45,campaigns!$A$2:$A$51,0))),""))</f>
        <v>SAMPLE-DRP-003</v>
      </c>
      <c r="I45" s="31" t="n">
        <f aca="false">IF($A45="","",IFERROR(IF(INDEX(campaigns!$BG$2:$BG$51,MATCH($A45,campaigns!$A$2:$A$51,0))="","",INDEX(campaigns!$BG$2:$BG$51,MATCH($A45,campaigns!$A$2:$A$51,0))),""))</f>
        <v>46441</v>
      </c>
      <c r="J45" s="30" t="str">
        <f aca="false">IF($A45="","",IFERROR(IF(INDEX(campaigns!$BE$2:$BE$51,MATCH($A45,campaigns!$A$2:$A$51,0))="","",INDEX(campaigns!$BE$2:$BE$51,MATCH($A45,campaigns!$A$2:$A$51,0))),""))</f>
        <v>SAMPLE Saltmarsh</v>
      </c>
      <c r="K45" s="30" t="str">
        <f aca="false">IF($B45="","",IFERROR(IF(INDEX(offices!$O$2:$O$61,MATCH($B45,offices!$A$2:$A$61,0))="","",INDEX(offices!$O$2:$O$61,MATCH($B45,offices!$A$2:$A$61,0))),""))</f>
        <v>SAMPLE Union Food Fund</v>
      </c>
      <c r="L45" s="30" t="n">
        <f aca="false">IF($A45="","",IF($Q45="N","",COUNTIFS($A$2:$A45,$A45,$Q$2:$Q45,"&lt;&gt;N")))</f>
        <v>4</v>
      </c>
      <c r="M45" s="30" t="str">
        <f aca="false">IF(OR($A45="",$L45=""),"",IF(AND(config!$B$34="names_if_public",IFERROR(IF(INDEX(offices!$AG$2:$AG$61,MATCH($B45,offices!$A$2:$A$61,0))="","",INDEX(offices!$AG$2:$AG$61,MATCH($B45,offices!$A$2:$A$61,0))),"")="Y"),$K45,CHAR(64+$L45)))</f>
        <v>D</v>
      </c>
      <c r="N45" s="30" t="n">
        <f aca="false">IF(OR($A45="",$I45=""),"",COUNTIFS(stops!$B$2:$B$151,$B45,stops!$P$2:$P$151,"&lt;"&amp;$I45,stops!$L$2:$L$151,"&lt;&gt;not_delivered")+1)</f>
        <v>3</v>
      </c>
      <c r="O45" s="30" t="str">
        <f aca="false">IF($A45="","",IF(N($N45)&lt;=config!$B$29,"explicit","opt-out"))</f>
        <v>explicit</v>
      </c>
      <c r="P45" s="30" t="str">
        <f aca="false">IF($A45="","",IF($O45="explicit",IF($D45="yes","Y",IF($D45="no","N","pending")),IF($D45="no","N",IF(AND($C45&lt;&gt;"",$I45&lt;&gt;"",$C45&lt;=WORKDAY(N($I45),-5,calendar!$A$2:$A$80)),"Y","pending"))))</f>
        <v>Y</v>
      </c>
      <c r="Q45" s="30" t="str">
        <f aca="false">IF($A45="","",IF($P45="N","N",IF($P45&lt;&gt;"Y","pending",IF(AND((COUNTIFS(stops!$A$2:$A$151,$H45,stops!$B$2:$B$151,$B45,stops!$L$2:$L$151,"declined")+COUNTIFS(stops!$A$2:$A$151,$H45,stops!$B$2:$B$151,$B45,stops!$L$2:$L$151,"building_refused")+COUNTIFS(stops!$A$2:$A$151,$H45,stops!$B$2:$B$151,$B45,stops!$L$2:$L$151,"not_delivered"))&gt;0,N($U45)=0),"N","Y"))))</f>
        <v>Y</v>
      </c>
      <c r="R45" s="30" t="str">
        <f aca="false">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30" t="n">
        <f aca="false">IF($A45="","",IF($G45&lt;&gt;"",$G45,IFERROR(IF(INDEX(offices!$AM$2:$AM$61,MATCH($B45,offices!$A$2:$A$61,0))="","",INDEX(offices!$AM$2:$AM$61,MATCH($B45,offices!$A$2:$A$61,0))),"")))</f>
        <v>45</v>
      </c>
      <c r="T45" s="30" t="str">
        <f aca="false">IF($A45="","",$A45&amp;"."&amp;$B45)</f>
        <v>SAMPLE-CMP-006.SAMPLE-O-004</v>
      </c>
      <c r="U45" s="30" t="n">
        <f aca="false">IF($A45="","",SUMIFS(inventory!$G$2:$G$801,inventory!$C$2:$C$801,$A45,inventory!$D$2:$D$801,$B45,inventory!$E$2:$E$801,"delivered"))</f>
        <v>45</v>
      </c>
      <c r="V45" s="37" t="n">
        <f aca="false">IF($A45="","",IFERROR(1/(1/SUMPRODUCT(MAX((inventory!$C$2:$C$801=$A45)*(inventory!$D$2:$D$801=$B45)*(inventory!$E$2:$E$801="delivered")*(inventory!$A$2:$A$801+inventory!$B$2:$B$801)))),""))</f>
        <v>46441.4298611111</v>
      </c>
      <c r="W45" s="30" t="str">
        <f aca="false">IF($A45="","",IFERROR(IF(INDEX(inventory!$J$2:$J$801,MATCH($A45&amp;"|"&amp;$B45&amp;"|delivered",inventory!$R$2:$R$801,0))="","",INDEX(inventory!$J$2:$J$801,MATCH($A45&amp;"|"&amp;$B45&amp;"|delivered",inventory!$R$2:$R$801,0))),""))</f>
        <v>courier_count</v>
      </c>
      <c r="X45" s="30" t="str">
        <f aca="false">IF($A45="","",IFERROR(IF(INDEX(photos!$H$2:$H$701,MATCH($A45&amp;"|"&amp;$B45&amp;"|placement|Y",photos!$R$2:$R$701,0))="","",INDEX(photos!$H$2:$H$701,MATCH($A45&amp;"|"&amp;$B45&amp;"|placement|Y",photos!$R$2:$R$701,0))),""))</f>
        <v>SAMPLE-CMP-006_SAMPLE-O-004_placement_2027-02-23.jpg</v>
      </c>
      <c r="Y45" s="31" t="n">
        <f aca="false">IF($A45="","",IFERROR(IF(INDEX(photos!$E$2:$E$701,MATCH($A45&amp;"|"&amp;$B45&amp;"|placement|Y",photos!$R$2:$R$701,0))="","",INDEX(photos!$E$2:$E$701,MATCH($A45&amp;"|"&amp;$B45&amp;"|placement|Y",photos!$R$2:$R$701,0))),""))</f>
        <v>46441</v>
      </c>
      <c r="Z45" s="30" t="n">
        <f aca="false">IF($A45="","",IF(COUNTIFS(counts!$C$2:$C$701,$A45,counts!$D$2:$D$701,$B45,counts!$E$2:$E$701,"placed")=0,"",SUMIFS(counts!$F$2:$F$701,counts!$C$2:$C$701,$A45,counts!$D$2:$D$701,$B45,counts!$E$2:$E$701,"placed")))</f>
        <v>45</v>
      </c>
      <c r="AA45" s="30" t="n">
        <f aca="false">IF($A45="","",IF($Y45="",0,N($Z45)))</f>
        <v>45</v>
      </c>
      <c r="AB45" s="30" t="str">
        <f aca="false">IF($A45="","",IF(OR($Y45="",$I45=""),"N",IF($Y45&lt;=WORKDAY(N($I45),1,calendar!$A$2:$A$80),"Y","N")))</f>
        <v>Y</v>
      </c>
      <c r="AC45" s="33" t="n">
        <f aca="false">IF(OR($A45="",$V45="",$Y45=""),"",ROUND(($Y45+N(IFERROR(IF(INDEX(photos!$F$2:$F$701,MATCH($A45&amp;"|"&amp;$B45&amp;"|placement|Y",photos!$R$2:$R$701,0))="","",INDEX(photos!$F$2:$F$701,MATCH($A45&amp;"|"&amp;$B45&amp;"|placement|Y",photos!$R$2:$R$701,0))),""))-$V45)*24,1))</f>
        <v>2.7</v>
      </c>
      <c r="AD45" s="30" t="n">
        <f aca="false">IF($A45="","",SUMIFS(inventory!$G$2:$G$801,inventory!$C$2:$C$801,$A45,inventory!$D$2:$D$801,$B45,inventory!$E$2:$E$801,"topped_up"))</f>
        <v>0</v>
      </c>
      <c r="AE45" s="30" t="n">
        <f aca="false">IF($A45="","",IF(COUNTIFS(counts!$C$2:$C$701,$A45,counts!$D$2:$D$701,$B45,counts!$E$2:$E$701,"remaining_day3")=0,"",SUMIFS(counts!$F$2:$F$701,counts!$C$2:$C$701,$A45,counts!$D$2:$D$701,$B45,counts!$E$2:$E$701,"remaining_day3")))</f>
        <v>16</v>
      </c>
      <c r="AF45" s="30" t="n">
        <f aca="false">IF($A45="","",IF(COUNTIFS(counts!$C$2:$C$701,$A45,counts!$D$2:$D$701,$B45,counts!$E$2:$E$701,"remaining_day5")=0,"",SUMIFS(counts!$F$2:$F$701,counts!$C$2:$C$701,$A45,counts!$D$2:$D$701,$B45,counts!$E$2:$E$701,"remaining_day5")))</f>
        <v>5</v>
      </c>
      <c r="AG45" s="30" t="n">
        <f aca="false">IF(OR($A45="",$AF45=""),"",MAX(0,$AA45+$AD45-$AF45))</f>
        <v>40</v>
      </c>
      <c r="AH45" s="30" t="str">
        <f aca="false">IF(OR($A45="",$AI45=""),"",IFERROR(IF(INDEX(photos!$H$2:$H$701,MATCH($A45&amp;"|"&amp;$B45&amp;"|later|Y|"&amp;$AI45,photos!$S$2:$S$701,0))="","",INDEX(photos!$H$2:$H$701,MATCH($A45&amp;"|"&amp;$B45&amp;"|later|Y|"&amp;$AI45,photos!$S$2:$S$701,0))),""))</f>
        <v>SAMPLE-CMP-006_SAMPLE-O-004_later_2027-03-01.jpg</v>
      </c>
      <c r="AI45" s="31" t="n">
        <f aca="false">IF($A45="","",IFERROR(1/(1/SUMPRODUCT(MAX((photos!$B$2:$B$701=$A45)*(photos!$C$2:$C$701=$B45)*(photos!$D$2:$D$701="later")*(photos!$O$2:$O$701="Y")*photos!$E$2:$E$701))),""))</f>
        <v>46447</v>
      </c>
      <c r="AJ45" s="30" t="n">
        <f aca="false">IF(OR($A45="",$AI45="",$I45=""),"",NETWORKDAYS($I45,$AI45,calendar!$A$2:$A$80))</f>
        <v>5</v>
      </c>
      <c r="AK45" s="30" t="str">
        <f aca="false">IF($A45="","",IF(AND($X45&lt;&gt;"",$AH45&lt;&gt;""),"Y","N"))</f>
        <v>Y</v>
      </c>
      <c r="AL45" s="30" t="n">
        <f aca="true">IF(OR($A45="",$I45=""),"",IF($BC45="Y",SUMIFS(survey_frozen!$C$2:$C$251,survey_frozen!$P$2:$P$251,$A45&amp;"|"&amp;$B45),IFERROR(COUNTIFS(INDIRECT("'"&amp;$A45&amp;"'!$B$2:$B$501"),$T45,INDIRECT("'"&amp;$A45&amp;"'!$A$2:$A$501"),"&gt;="&amp;$I45,INDIRECT("'"&amp;$A45&amp;"'!$A$2:$A$501"),"&lt;"&amp;($BA45+1)),0)))</f>
        <v>5</v>
      </c>
      <c r="AM45" s="30" t="n">
        <f aca="true">IF(OR($A45="",$I45=""),"",IF($BC45="Y",SUMIFS(survey_frozen!$D$2:$D$251,survey_frozen!$P$2:$P$251,$A45&amp;"|"&amp;$B45),IFERROR(COUNTIFS(INDIRECT("'"&amp;$A45&amp;"'!$B$2:$B$501"),$T45,INDIRECT("'"&amp;$A45&amp;"'!$A$2:$A$501"),"&gt;="&amp;$I45,INDIRECT("'"&amp;$A45&amp;"'!$A$2:$A$501"),"&lt;"&amp;($BA45+1),INDIRECT("'"&amp;$A45&amp;"'!$C$2:$C$501"),"Yes"),0)))</f>
        <v>3</v>
      </c>
      <c r="AN45" s="30" t="n">
        <f aca="false">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6</v>
      </c>
      <c r="AO45" s="30" t="n">
        <f aca="false">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9</v>
      </c>
      <c r="AP45" s="30" t="str">
        <f aca="true">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30" t="n">
        <f aca="true">IF(OR($A45="",$I45=""),"",IF($BC45="Y",SUMIFS(survey_frozen!$E$2:$E$251,survey_frozen!$P$2:$P$251,$A45&amp;"|"&amp;$B45),IFERROR(COUNTIFS(INDIRECT("'"&amp;$A45&amp;"'!$B$2:$B$501"),$T45,INDIRECT("'"&amp;$A45&amp;"'!$A$2:$A$501"),"&gt;="&amp;$I45,INDIRECT("'"&amp;$A45&amp;"'!$A$2:$A$501"),"&lt;"&amp;($BA45+1),INDIRECT("'"&amp;$A45&amp;"'!$F$2:$F$501"),"Didn't see it"),0)))</f>
        <v>1</v>
      </c>
      <c r="AR45" s="30" t="n">
        <f aca="true">IF(OR($A45="",$I45=""),"",IF($BC45="Y",SUMIFS(survey_frozen!$F$2:$F$251,survey_frozen!$P$2:$P$251,$A45&amp;"|"&amp;$B45),IFERROR(COUNTIFS(INDIRECT("'"&amp;$A45&amp;"'!$B$2:$B$501"),$T45,INDIRECT("'"&amp;$A45&amp;"'!$A$2:$A$501"),"&gt;="&amp;$I45,INDIRECT("'"&amp;$A45&amp;"'!$A$2:$A$501"),"&lt;"&amp;($BA45+1),INDIRECT("'"&amp;$A45&amp;"'!$F$2:$F$501"),"Not for me"),0)))</f>
        <v>1</v>
      </c>
      <c r="AS45" s="30" t="n">
        <f aca="true">IF(OR($A45="",$I45=""),"",IF($BC45="Y",SUMIFS(survey_frozen!$G$2:$G$251,survey_frozen!$P$2:$P$251,$A45&amp;"|"&amp;$B45),IFERROR(COUNTIFS(INDIRECT("'"&amp;$A45&amp;"'!$B$2:$B$501"),$T45,INDIRECT("'"&amp;$A45&amp;"'!$A$2:$A$501"),"&gt;="&amp;$I45,INDIRECT("'"&amp;$A45&amp;"'!$A$2:$A$501"),"&lt;"&amp;($BA45+1),INDIRECT("'"&amp;$A45&amp;"'!$F$2:$F$501"),"Gone by the time I looked"),0)))</f>
        <v>0</v>
      </c>
      <c r="AT45" s="30" t="n">
        <f aca="true">IF(OR($A45="",$I45=""),"",IF($BC45="Y",SUMIFS(survey_frozen!$H$2:$H$251,survey_frozen!$P$2:$P$251,$A45&amp;"|"&amp;$B45),IFERROR(COUNTIFS(INDIRECT("'"&amp;$A45&amp;"'!$B$2:$B$501"),$T45,INDIRECT("'"&amp;$A45&amp;"'!$A$2:$A$501"),"&gt;="&amp;$I45,INDIRECT("'"&amp;$A45&amp;"'!$A$2:$A$501"),"&lt;"&amp;($BA45+1),INDIRECT("'"&amp;$A45&amp;"'!$D$2:$D$501"),"&gt;=1"),0)))</f>
        <v>3</v>
      </c>
      <c r="AU45" s="30" t="n">
        <f aca="true">IF(OR($A45="",$I45=""),"",IF($BC45="Y",SUMIFS(survey_frozen!$I$2:$I$251,survey_frozen!$P$2:$P$251,$A45&amp;"|"&amp;$B45),IFERROR(SUMIFS(INDIRECT("'"&amp;$A45&amp;"'!$D$2:$D$501"),INDIRECT("'"&amp;$A45&amp;"'!$B$2:$B$501"),$T45,INDIRECT("'"&amp;$A45&amp;"'!$A$2:$A$501"),"&gt;="&amp;$I45,INDIRECT("'"&amp;$A45&amp;"'!$A$2:$A$501"),"&lt;"&amp;($BA45+1)),0)))</f>
        <v>14</v>
      </c>
      <c r="AV45" s="30" t="n">
        <f aca="true">IF(OR($A45="",$I45=""),"",IF($BC45="Y",SUMIFS(survey_frozen!$J$2:$J$251,survey_frozen!$P$2:$P$251,$A45&amp;"|"&amp;$B45),IFERROR(COUNTIFS(INDIRECT("'"&amp;$A45&amp;"'!$B$2:$B$501"),$T45,INDIRECT("'"&amp;$A45&amp;"'!$A$2:$A$501"),"&gt;="&amp;$I45,INDIRECT("'"&amp;$A45&amp;"'!$A$2:$A$501"),"&lt;"&amp;($BA45+1),INDIRECT("'"&amp;$A45&amp;"'!$E$2:$E$501"),"Yes"),0)))</f>
        <v>1</v>
      </c>
      <c r="AW45" s="30" t="n">
        <f aca="true">IF(OR($A45="",$I45=""),"",IF($BC45="Y",SUMIFS(survey_frozen!$K$2:$K$251,survey_frozen!$P$2:$P$251,$A45&amp;"|"&amp;$B45),IFERROR(COUNTIFS(INDIRECT("'"&amp;$A45&amp;"'!$B$2:$B$501"),$T45,INDIRECT("'"&amp;$A45&amp;"'!$A$2:$A$501"),"&gt;="&amp;$I45,INDIRECT("'"&amp;$A45&amp;"'!$A$2:$A$501"),"&lt;"&amp;($BA45+1),INDIRECT("'"&amp;$A45&amp;"'!$E$2:$E$501"),"Maybe"),0)))</f>
        <v>1</v>
      </c>
      <c r="AX45" s="30" t="n">
        <f aca="true">IF(OR($A45="",$I45=""),"",IF($BC45="Y",SUMIFS(survey_frozen!$L$2:$L$251,survey_frozen!$P$2:$P$251,$A45&amp;"|"&amp;$B45),IFERROR(COUNTIFS(INDIRECT("'"&amp;$A45&amp;"'!$B$2:$B$501"),$T45,INDIRECT("'"&amp;$A45&amp;"'!$A$2:$A$501"),"&gt;="&amp;$I45,INDIRECT("'"&amp;$A45&amp;"'!$A$2:$A$501"),"&lt;"&amp;($BA45+1),INDIRECT("'"&amp;$A45&amp;"'!$E$2:$E$501"),"No"),0)))</f>
        <v>1</v>
      </c>
      <c r="AY45" s="30" t="n">
        <f aca="true">IF(OR($A45="",$I45=""),"",IF($BC45="Y",SUMIFS(survey_frozen!$M$2:$M$251,survey_frozen!$P$2:$P$251,$A45&amp;"|"&amp;$B45),IFERROR(COUNTIFS(INDIRECT("'"&amp;$A45&amp;"'!$B$2:$B$501"),$T45,INDIRECT("'"&amp;$A45&amp;"'!$A$2:$A$501"),"&gt;="&amp;$I45,INDIRECT("'"&amp;$A45&amp;"'!$A$2:$A$501"),"&lt;"&amp;($BA45+1),INDIRECT("'"&amp;$A45&amp;"'!$G$2:$G$501"),"&lt;&gt;"),0)))</f>
        <v>2</v>
      </c>
      <c r="AZ45" s="30" t="str">
        <f aca="false">IF($A45="","",$A45&amp;"|"&amp;$L45)</f>
        <v>SAMPLE-CMP-006|4</v>
      </c>
      <c r="BA45" s="31" t="n">
        <f aca="false">IF($A45="","",IFERROR(IF(INDEX(drops!$R$2:$R$21,MATCH($H45,drops!$A$2:$A$21,0))="","",INDEX(drops!$R$2:$R$21,MATCH($H45,drops!$A$2:$A$21,0))),""))</f>
        <v>46447</v>
      </c>
      <c r="BB45" s="30" t="n">
        <f aca="false">IF(OR($A45="",$Q45&lt;&gt;"Y"),1000000,N($AL45))</f>
        <v>5</v>
      </c>
      <c r="BC45" s="30" t="str">
        <f aca="false">IF($A45="","",IF(COUNTIF(survey_frozen!$P$2:$P$251,$A45&amp;"|"&amp;$B45)&gt;0,"Y",""))</f>
        <v/>
      </c>
      <c r="BD45" s="30" t="str">
        <f aca="false">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ustomFormat="false" ht="15" hidden="false" customHeight="false" outlineLevel="0" collapsed="false">
      <c r="A46" s="0" t="s">
        <v>563</v>
      </c>
      <c r="B46" s="0" t="s">
        <v>688</v>
      </c>
      <c r="C46" s="11" t="n">
        <v>46412</v>
      </c>
      <c r="D46" s="10" t="s">
        <v>496</v>
      </c>
      <c r="E46" s="11" t="n">
        <v>46414</v>
      </c>
      <c r="F46" s="10" t="s">
        <v>737</v>
      </c>
      <c r="G46" s="0" t="n">
        <v>65</v>
      </c>
      <c r="H46" s="30" t="str">
        <f aca="false">IF($A46="","",IFERROR(IF(INDEX(campaigns!$B$2:$B$51,MATCH($A46,campaigns!$A$2:$A$51,0))="","",INDEX(campaigns!$B$2:$B$51,MATCH($A46,campaigns!$A$2:$A$51,0))),""))</f>
        <v>SAMPLE-DRP-003</v>
      </c>
      <c r="I46" s="31" t="n">
        <f aca="false">IF($A46="","",IFERROR(IF(INDEX(campaigns!$BG$2:$BG$51,MATCH($A46,campaigns!$A$2:$A$51,0))="","",INDEX(campaigns!$BG$2:$BG$51,MATCH($A46,campaigns!$A$2:$A$51,0))),""))</f>
        <v>46441</v>
      </c>
      <c r="J46" s="30" t="str">
        <f aca="false">IF($A46="","",IFERROR(IF(INDEX(campaigns!$BE$2:$BE$51,MATCH($A46,campaigns!$A$2:$A$51,0))="","",INDEX(campaigns!$BE$2:$BE$51,MATCH($A46,campaigns!$A$2:$A$51,0))),""))</f>
        <v>SAMPLE Saltmarsh</v>
      </c>
      <c r="K46" s="30" t="str">
        <f aca="false">IF($B46="","",IFERROR(IF(INDEX(offices!$O$2:$O$61,MATCH($B46,offices!$A$2:$A$61,0))="","",INDEX(offices!$O$2:$O$61,MATCH($B46,offices!$A$2:$A$61,0))),""))</f>
        <v>SAMPLE Studio Marlow</v>
      </c>
      <c r="L46" s="30" t="n">
        <f aca="false">IF($A46="","",IF($Q46="N","",COUNTIFS($A$2:$A46,$A46,$Q$2:$Q46,"&lt;&gt;N")))</f>
        <v>5</v>
      </c>
      <c r="M46" s="30" t="str">
        <f aca="false">IF(OR($A46="",$L46=""),"",IF(AND(config!$B$34="names_if_public",IFERROR(IF(INDEX(offices!$AG$2:$AG$61,MATCH($B46,offices!$A$2:$A$61,0))="","",INDEX(offices!$AG$2:$AG$61,MATCH($B46,offices!$A$2:$A$61,0))),"")="Y"),$K46,CHAR(64+$L46)))</f>
        <v>E</v>
      </c>
      <c r="N46" s="30" t="n">
        <f aca="false">IF(OR($A46="",$I46=""),"",COUNTIFS(stops!$B$2:$B$151,$B46,stops!$P$2:$P$151,"&lt;"&amp;$I46,stops!$L$2:$L$151,"&lt;&gt;not_delivered")+1)</f>
        <v>3</v>
      </c>
      <c r="O46" s="30" t="str">
        <f aca="false">IF($A46="","",IF(N($N46)&lt;=config!$B$29,"explicit","opt-out"))</f>
        <v>explicit</v>
      </c>
      <c r="P46" s="30" t="str">
        <f aca="false">IF($A46="","",IF($O46="explicit",IF($D46="yes","Y",IF($D46="no","N","pending")),IF($D46="no","N",IF(AND($C46&lt;&gt;"",$I46&lt;&gt;"",$C46&lt;=WORKDAY(N($I46),-5,calendar!$A$2:$A$80)),"Y","pending"))))</f>
        <v>Y</v>
      </c>
      <c r="Q46" s="30" t="str">
        <f aca="false">IF($A46="","",IF($P46="N","N",IF($P46&lt;&gt;"Y","pending",IF(AND((COUNTIFS(stops!$A$2:$A$151,$H46,stops!$B$2:$B$151,$B46,stops!$L$2:$L$151,"declined")+COUNTIFS(stops!$A$2:$A$151,$H46,stops!$B$2:$B$151,$B46,stops!$L$2:$L$151,"building_refused")+COUNTIFS(stops!$A$2:$A$151,$H46,stops!$B$2:$B$151,$B46,stops!$L$2:$L$151,"not_delivered"))&gt;0,N($U46)=0),"N","Y"))))</f>
        <v>Y</v>
      </c>
      <c r="R46" s="30" t="str">
        <f aca="false">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30" t="n">
        <f aca="false">IF($A46="","",IF($G46&lt;&gt;"",$G46,IFERROR(IF(INDEX(offices!$AM$2:$AM$61,MATCH($B46,offices!$A$2:$A$61,0))="","",INDEX(offices!$AM$2:$AM$61,MATCH($B46,offices!$A$2:$A$61,0))),"")))</f>
        <v>65</v>
      </c>
      <c r="T46" s="30" t="str">
        <f aca="false">IF($A46="","",$A46&amp;"."&amp;$B46)</f>
        <v>SAMPLE-CMP-006.SAMPLE-O-005</v>
      </c>
      <c r="U46" s="30" t="n">
        <f aca="false">IF($A46="","",SUMIFS(inventory!$G$2:$G$801,inventory!$C$2:$C$801,$A46,inventory!$D$2:$D$801,$B46,inventory!$E$2:$E$801,"delivered"))</f>
        <v>65</v>
      </c>
      <c r="V46" s="37" t="n">
        <f aca="false">IF($A46="","",IFERROR(1/(1/SUMPRODUCT(MAX((inventory!$C$2:$C$801=$A46)*(inventory!$D$2:$D$801=$B46)*(inventory!$E$2:$E$801="delivered")*(inventory!$A$2:$A$801+inventory!$B$2:$B$801)))),""))</f>
        <v>46441.4451388889</v>
      </c>
      <c r="W46" s="30" t="str">
        <f aca="false">IF($A46="","",IFERROR(IF(INDEX(inventory!$J$2:$J$801,MATCH($A46&amp;"|"&amp;$B46&amp;"|delivered",inventory!$R$2:$R$801,0))="","",INDEX(inventory!$J$2:$J$801,MATCH($A46&amp;"|"&amp;$B46&amp;"|delivered",inventory!$R$2:$R$801,0))),""))</f>
        <v>courier_count</v>
      </c>
      <c r="X46" s="30" t="str">
        <f aca="false">IF($A46="","",IFERROR(IF(INDEX(photos!$H$2:$H$701,MATCH($A46&amp;"|"&amp;$B46&amp;"|placement|Y",photos!$R$2:$R$701,0))="","",INDEX(photos!$H$2:$H$701,MATCH($A46&amp;"|"&amp;$B46&amp;"|placement|Y",photos!$R$2:$R$701,0))),""))</f>
        <v>SAMPLE-CMP-006_SAMPLE-O-005_placement_2027-02-23.jpg</v>
      </c>
      <c r="Y46" s="31" t="n">
        <f aca="false">IF($A46="","",IFERROR(IF(INDEX(photos!$E$2:$E$701,MATCH($A46&amp;"|"&amp;$B46&amp;"|placement|Y",photos!$R$2:$R$701,0))="","",INDEX(photos!$E$2:$E$701,MATCH($A46&amp;"|"&amp;$B46&amp;"|placement|Y",photos!$R$2:$R$701,0))),""))</f>
        <v>46441</v>
      </c>
      <c r="Z46" s="30" t="n">
        <f aca="false">IF($A46="","",IF(COUNTIFS(counts!$C$2:$C$701,$A46,counts!$D$2:$D$701,$B46,counts!$E$2:$E$701,"placed")=0,"",SUMIFS(counts!$F$2:$F$701,counts!$C$2:$C$701,$A46,counts!$D$2:$D$701,$B46,counts!$E$2:$E$701,"placed")))</f>
        <v>65</v>
      </c>
      <c r="AA46" s="30" t="n">
        <f aca="false">IF($A46="","",IF($Y46="",0,N($Z46)))</f>
        <v>65</v>
      </c>
      <c r="AB46" s="30" t="str">
        <f aca="false">IF($A46="","",IF(OR($Y46="",$I46=""),"N",IF($Y46&lt;=WORKDAY(N($I46),1,calendar!$A$2:$A$80),"Y","N")))</f>
        <v>Y</v>
      </c>
      <c r="AC46" s="33" t="n">
        <f aca="false">IF(OR($A46="",$V46="",$Y46=""),"",ROUND(($Y46+N(IFERROR(IF(INDEX(photos!$F$2:$F$701,MATCH($A46&amp;"|"&amp;$B46&amp;"|placement|Y",photos!$R$2:$R$701,0))="","",INDEX(photos!$F$2:$F$701,MATCH($A46&amp;"|"&amp;$B46&amp;"|placement|Y",photos!$R$2:$R$701,0))),""))-$V46)*24,1))</f>
        <v>2.3</v>
      </c>
      <c r="AD46" s="30" t="n">
        <f aca="false">IF($A46="","",SUMIFS(inventory!$G$2:$G$801,inventory!$C$2:$C$801,$A46,inventory!$D$2:$D$801,$B46,inventory!$E$2:$E$801,"topped_up"))</f>
        <v>6</v>
      </c>
      <c r="AE46" s="30" t="n">
        <f aca="false">IF($A46="","",IF(COUNTIFS(counts!$C$2:$C$701,$A46,counts!$D$2:$D$701,$B46,counts!$E$2:$E$701,"remaining_day3")=0,"",SUMIFS(counts!$F$2:$F$701,counts!$C$2:$C$701,$A46,counts!$D$2:$D$701,$B46,counts!$E$2:$E$701,"remaining_day3")))</f>
        <v>31</v>
      </c>
      <c r="AF46" s="30" t="n">
        <f aca="false">IF($A46="","",IF(COUNTIFS(counts!$C$2:$C$701,$A46,counts!$D$2:$D$701,$B46,counts!$E$2:$E$701,"remaining_day5")=0,"",SUMIFS(counts!$F$2:$F$701,counts!$C$2:$C$701,$A46,counts!$D$2:$D$701,$B46,counts!$E$2:$E$701,"remaining_day5")))</f>
        <v>7</v>
      </c>
      <c r="AG46" s="30" t="n">
        <f aca="false">IF(OR($A46="",$AF46=""),"",MAX(0,$AA46+$AD46-$AF46))</f>
        <v>64</v>
      </c>
      <c r="AH46" s="30" t="str">
        <f aca="false">IF(OR($A46="",$AI46=""),"",IFERROR(IF(INDEX(photos!$H$2:$H$701,MATCH($A46&amp;"|"&amp;$B46&amp;"|later|Y|"&amp;$AI46,photos!$S$2:$S$701,0))="","",INDEX(photos!$H$2:$H$701,MATCH($A46&amp;"|"&amp;$B46&amp;"|later|Y|"&amp;$AI46,photos!$S$2:$S$701,0))),""))</f>
        <v>SAMPLE-CMP-006_SAMPLE-O-005_later_2027-03-01.jpg</v>
      </c>
      <c r="AI46" s="31" t="n">
        <f aca="false">IF($A46="","",IFERROR(1/(1/SUMPRODUCT(MAX((photos!$B$2:$B$701=$A46)*(photos!$C$2:$C$701=$B46)*(photos!$D$2:$D$701="later")*(photos!$O$2:$O$701="Y")*photos!$E$2:$E$701))),""))</f>
        <v>46447</v>
      </c>
      <c r="AJ46" s="30" t="n">
        <f aca="false">IF(OR($A46="",$AI46="",$I46=""),"",NETWORKDAYS($I46,$AI46,calendar!$A$2:$A$80))</f>
        <v>5</v>
      </c>
      <c r="AK46" s="30" t="str">
        <f aca="false">IF($A46="","",IF(AND($X46&lt;&gt;"",$AH46&lt;&gt;""),"Y","N"))</f>
        <v>Y</v>
      </c>
      <c r="AL46" s="30" t="n">
        <f aca="true">IF(OR($A46="",$I46=""),"",IF($BC46="Y",SUMIFS(survey_frozen!$C$2:$C$251,survey_frozen!$P$2:$P$251,$A46&amp;"|"&amp;$B46),IFERROR(COUNTIFS(INDIRECT("'"&amp;$A46&amp;"'!$B$2:$B$501"),$T46,INDIRECT("'"&amp;$A46&amp;"'!$A$2:$A$501"),"&gt;="&amp;$I46,INDIRECT("'"&amp;$A46&amp;"'!$A$2:$A$501"),"&lt;"&amp;($BA46+1)),0)))</f>
        <v>7</v>
      </c>
      <c r="AM46" s="30" t="n">
        <f aca="true">IF(OR($A46="",$I46=""),"",IF($BC46="Y",SUMIFS(survey_frozen!$D$2:$D$251,survey_frozen!$P$2:$P$251,$A46&amp;"|"&amp;$B46),IFERROR(COUNTIFS(INDIRECT("'"&amp;$A46&amp;"'!$B$2:$B$501"),$T46,INDIRECT("'"&amp;$A46&amp;"'!$A$2:$A$501"),"&gt;="&amp;$I46,INDIRECT("'"&amp;$A46&amp;"'!$A$2:$A$501"),"&lt;"&amp;($BA46+1),INDIRECT("'"&amp;$A46&amp;"'!$C$2:$C$501"),"Yes"),0)))</f>
        <v>6</v>
      </c>
      <c r="AN46" s="30" t="n">
        <f aca="false">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8</v>
      </c>
      <c r="AO46" s="30" t="n">
        <f aca="false">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11</v>
      </c>
      <c r="AP46" s="30" t="str">
        <f aca="true">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30" t="n">
        <f aca="true">IF(OR($A46="",$I46=""),"",IF($BC46="Y",SUMIFS(survey_frozen!$E$2:$E$251,survey_frozen!$P$2:$P$251,$A46&amp;"|"&amp;$B46),IFERROR(COUNTIFS(INDIRECT("'"&amp;$A46&amp;"'!$B$2:$B$501"),$T46,INDIRECT("'"&amp;$A46&amp;"'!$A$2:$A$501"),"&gt;="&amp;$I46,INDIRECT("'"&amp;$A46&amp;"'!$A$2:$A$501"),"&lt;"&amp;($BA46+1),INDIRECT("'"&amp;$A46&amp;"'!$F$2:$F$501"),"Didn't see it"),0)))</f>
        <v>0</v>
      </c>
      <c r="AR46" s="30" t="n">
        <f aca="true">IF(OR($A46="",$I46=""),"",IF($BC46="Y",SUMIFS(survey_frozen!$F$2:$F$251,survey_frozen!$P$2:$P$251,$A46&amp;"|"&amp;$B46),IFERROR(COUNTIFS(INDIRECT("'"&amp;$A46&amp;"'!$B$2:$B$501"),$T46,INDIRECT("'"&amp;$A46&amp;"'!$A$2:$A$501"),"&gt;="&amp;$I46,INDIRECT("'"&amp;$A46&amp;"'!$A$2:$A$501"),"&lt;"&amp;($BA46+1),INDIRECT("'"&amp;$A46&amp;"'!$F$2:$F$501"),"Not for me"),0)))</f>
        <v>0</v>
      </c>
      <c r="AS46" s="30" t="n">
        <f aca="true">IF(OR($A46="",$I46=""),"",IF($BC46="Y",SUMIFS(survey_frozen!$G$2:$G$251,survey_frozen!$P$2:$P$251,$A46&amp;"|"&amp;$B46),IFERROR(COUNTIFS(INDIRECT("'"&amp;$A46&amp;"'!$B$2:$B$501"),$T46,INDIRECT("'"&amp;$A46&amp;"'!$A$2:$A$501"),"&gt;="&amp;$I46,INDIRECT("'"&amp;$A46&amp;"'!$A$2:$A$501"),"&lt;"&amp;($BA46+1),INDIRECT("'"&amp;$A46&amp;"'!$F$2:$F$501"),"Gone by the time I looked"),0)))</f>
        <v>1</v>
      </c>
      <c r="AT46" s="30" t="n">
        <f aca="true">IF(OR($A46="",$I46=""),"",IF($BC46="Y",SUMIFS(survey_frozen!$H$2:$H$251,survey_frozen!$P$2:$P$251,$A46&amp;"|"&amp;$B46),IFERROR(COUNTIFS(INDIRECT("'"&amp;$A46&amp;"'!$B$2:$B$501"),$T46,INDIRECT("'"&amp;$A46&amp;"'!$A$2:$A$501"),"&gt;="&amp;$I46,INDIRECT("'"&amp;$A46&amp;"'!$A$2:$A$501"),"&lt;"&amp;($BA46+1),INDIRECT("'"&amp;$A46&amp;"'!$D$2:$D$501"),"&gt;=1"),0)))</f>
        <v>6</v>
      </c>
      <c r="AU46" s="30" t="n">
        <f aca="true">IF(OR($A46="",$I46=""),"",IF($BC46="Y",SUMIFS(survey_frozen!$I$2:$I$251,survey_frozen!$P$2:$P$251,$A46&amp;"|"&amp;$B46),IFERROR(SUMIFS(INDIRECT("'"&amp;$A46&amp;"'!$D$2:$D$501"),INDIRECT("'"&amp;$A46&amp;"'!$B$2:$B$501"),$T46,INDIRECT("'"&amp;$A46&amp;"'!$A$2:$A$501"),"&gt;="&amp;$I46,INDIRECT("'"&amp;$A46&amp;"'!$A$2:$A$501"),"&lt;"&amp;($BA46+1)),0)))</f>
        <v>26</v>
      </c>
      <c r="AV46" s="30" t="n">
        <f aca="true">IF(OR($A46="",$I46=""),"",IF($BC46="Y",SUMIFS(survey_frozen!$J$2:$J$251,survey_frozen!$P$2:$P$251,$A46&amp;"|"&amp;$B46),IFERROR(COUNTIFS(INDIRECT("'"&amp;$A46&amp;"'!$B$2:$B$501"),$T46,INDIRECT("'"&amp;$A46&amp;"'!$A$2:$A$501"),"&gt;="&amp;$I46,INDIRECT("'"&amp;$A46&amp;"'!$A$2:$A$501"),"&lt;"&amp;($BA46+1),INDIRECT("'"&amp;$A46&amp;"'!$E$2:$E$501"),"Yes"),0)))</f>
        <v>1</v>
      </c>
      <c r="AW46" s="30" t="n">
        <f aca="true">IF(OR($A46="",$I46=""),"",IF($BC46="Y",SUMIFS(survey_frozen!$K$2:$K$251,survey_frozen!$P$2:$P$251,$A46&amp;"|"&amp;$B46),IFERROR(COUNTIFS(INDIRECT("'"&amp;$A46&amp;"'!$B$2:$B$501"),$T46,INDIRECT("'"&amp;$A46&amp;"'!$A$2:$A$501"),"&gt;="&amp;$I46,INDIRECT("'"&amp;$A46&amp;"'!$A$2:$A$501"),"&lt;"&amp;($BA46+1),INDIRECT("'"&amp;$A46&amp;"'!$E$2:$E$501"),"Maybe"),0)))</f>
        <v>3</v>
      </c>
      <c r="AX46" s="30" t="n">
        <f aca="true">IF(OR($A46="",$I46=""),"",IF($BC46="Y",SUMIFS(survey_frozen!$L$2:$L$251,survey_frozen!$P$2:$P$251,$A46&amp;"|"&amp;$B46),IFERROR(COUNTIFS(INDIRECT("'"&amp;$A46&amp;"'!$B$2:$B$501"),$T46,INDIRECT("'"&amp;$A46&amp;"'!$A$2:$A$501"),"&gt;="&amp;$I46,INDIRECT("'"&amp;$A46&amp;"'!$A$2:$A$501"),"&lt;"&amp;($BA46+1),INDIRECT("'"&amp;$A46&amp;"'!$E$2:$E$501"),"No"),0)))</f>
        <v>2</v>
      </c>
      <c r="AY46" s="30" t="n">
        <f aca="true">IF(OR($A46="",$I46=""),"",IF($BC46="Y",SUMIFS(survey_frozen!$M$2:$M$251,survey_frozen!$P$2:$P$251,$A46&amp;"|"&amp;$B46),IFERROR(COUNTIFS(INDIRECT("'"&amp;$A46&amp;"'!$B$2:$B$501"),$T46,INDIRECT("'"&amp;$A46&amp;"'!$A$2:$A$501"),"&gt;="&amp;$I46,INDIRECT("'"&amp;$A46&amp;"'!$A$2:$A$501"),"&lt;"&amp;($BA46+1),INDIRECT("'"&amp;$A46&amp;"'!$G$2:$G$501"),"&lt;&gt;"),0)))</f>
        <v>3</v>
      </c>
      <c r="AZ46" s="30" t="str">
        <f aca="false">IF($A46="","",$A46&amp;"|"&amp;$L46)</f>
        <v>SAMPLE-CMP-006|5</v>
      </c>
      <c r="BA46" s="31" t="n">
        <f aca="false">IF($A46="","",IFERROR(IF(INDEX(drops!$R$2:$R$21,MATCH($H46,drops!$A$2:$A$21,0))="","",INDEX(drops!$R$2:$R$21,MATCH($H46,drops!$A$2:$A$21,0))),""))</f>
        <v>46447</v>
      </c>
      <c r="BB46" s="30" t="n">
        <f aca="false">IF(OR($A46="",$Q46&lt;&gt;"Y"),1000000,N($AL46))</f>
        <v>7</v>
      </c>
      <c r="BC46" s="30" t="str">
        <f aca="false">IF($A46="","",IF(COUNTIF(survey_frozen!$P$2:$P$251,$A46&amp;"|"&amp;$B46)&gt;0,"Y",""))</f>
        <v/>
      </c>
      <c r="BD46" s="30" t="str">
        <f aca="false">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ustomFormat="false" ht="15" hidden="false" customHeight="false" outlineLevel="0" collapsed="false">
      <c r="A47" s="0" t="s">
        <v>563</v>
      </c>
      <c r="B47" s="0" t="s">
        <v>690</v>
      </c>
      <c r="C47" s="11" t="n">
        <v>46412</v>
      </c>
      <c r="D47" s="10" t="s">
        <v>496</v>
      </c>
      <c r="E47" s="11" t="n">
        <v>46414</v>
      </c>
      <c r="F47" s="10" t="s">
        <v>737</v>
      </c>
      <c r="G47" s="0" t="n">
        <v>40</v>
      </c>
      <c r="H47" s="30" t="str">
        <f aca="false">IF($A47="","",IFERROR(IF(INDEX(campaigns!$B$2:$B$51,MATCH($A47,campaigns!$A$2:$A$51,0))="","",INDEX(campaigns!$B$2:$B$51,MATCH($A47,campaigns!$A$2:$A$51,0))),""))</f>
        <v>SAMPLE-DRP-003</v>
      </c>
      <c r="I47" s="31" t="n">
        <f aca="false">IF($A47="","",IFERROR(IF(INDEX(campaigns!$BG$2:$BG$51,MATCH($A47,campaigns!$A$2:$A$51,0))="","",INDEX(campaigns!$BG$2:$BG$51,MATCH($A47,campaigns!$A$2:$A$51,0))),""))</f>
        <v>46441</v>
      </c>
      <c r="J47" s="30" t="str">
        <f aca="false">IF($A47="","",IFERROR(IF(INDEX(campaigns!$BE$2:$BE$51,MATCH($A47,campaigns!$A$2:$A$51,0))="","",INDEX(campaigns!$BE$2:$BE$51,MATCH($A47,campaigns!$A$2:$A$51,0))),""))</f>
        <v>SAMPLE Saltmarsh</v>
      </c>
      <c r="K47" s="30" t="str">
        <f aca="false">IF($B47="","",IFERROR(IF(INDEX(offices!$O$2:$O$61,MATCH($B47,offices!$A$2:$A$61,0))="","",INDEX(offices!$O$2:$O$61,MATCH($B47,offices!$A$2:$A$61,0))),""))</f>
        <v>SAMPLE Kestrel Analytics</v>
      </c>
      <c r="L47" s="30" t="str">
        <f aca="false">IF($A47="","",IF($Q47="N","",COUNTIFS($A$2:$A47,$A47,$Q$2:$Q47,"&lt;&gt;N")))</f>
        <v/>
      </c>
      <c r="M47" s="30" t="str">
        <f aca="false">IF(OR($A47="",$L47=""),"",IF(AND(config!$B$34="names_if_public",IFERROR(IF(INDEX(offices!$AG$2:$AG$61,MATCH($B47,offices!$A$2:$A$61,0))="","",INDEX(offices!$AG$2:$AG$61,MATCH($B47,offices!$A$2:$A$61,0))),"")="Y"),$K47,CHAR(64+$L47)))</f>
        <v/>
      </c>
      <c r="N47" s="30" t="n">
        <f aca="false">IF(OR($A47="",$I47=""),"",COUNTIFS(stops!$B$2:$B$151,$B47,stops!$P$2:$P$151,"&lt;"&amp;$I47,stops!$L$2:$L$151,"&lt;&gt;not_delivered")+1)</f>
        <v>2</v>
      </c>
      <c r="O47" s="30" t="str">
        <f aca="false">IF($A47="","",IF(N($N47)&lt;=config!$B$29,"explicit","opt-out"))</f>
        <v>explicit</v>
      </c>
      <c r="P47" s="30" t="str">
        <f aca="false">IF($A47="","",IF($O47="explicit",IF($D47="yes","Y",IF($D47="no","N","pending")),IF($D47="no","N",IF(AND($C47&lt;&gt;"",$I47&lt;&gt;"",$C47&lt;=WORKDAY(N($I47),-5,calendar!$A$2:$A$80)),"Y","pending"))))</f>
        <v>Y</v>
      </c>
      <c r="Q47" s="30" t="str">
        <f aca="false">IF($A47="","",IF($P47="N","N",IF($P47&lt;&gt;"Y","pending",IF(AND((COUNTIFS(stops!$A$2:$A$151,$H47,stops!$B$2:$B$151,$B47,stops!$L$2:$L$151,"declined")+COUNTIFS(stops!$A$2:$A$151,$H47,stops!$B$2:$B$151,$B47,stops!$L$2:$L$151,"building_refused")+COUNTIFS(stops!$A$2:$A$151,$H47,stops!$B$2:$B$151,$B47,stops!$L$2:$L$151,"not_delivered"))&gt;0,N($U47)=0),"N","Y"))))</f>
        <v>N</v>
      </c>
      <c r="R47" s="30" t="str">
        <f aca="false">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30" t="n">
        <f aca="false">IF($A47="","",IF($G47&lt;&gt;"",$G47,IFERROR(IF(INDEX(offices!$AM$2:$AM$61,MATCH($B47,offices!$A$2:$A$61,0))="","",INDEX(offices!$AM$2:$AM$61,MATCH($B47,offices!$A$2:$A$61,0))),"")))</f>
        <v>40</v>
      </c>
      <c r="T47" s="30" t="str">
        <f aca="false">IF($A47="","",$A47&amp;"."&amp;$B47)</f>
        <v>SAMPLE-CMP-006.SAMPLE-O-006</v>
      </c>
      <c r="U47" s="30" t="n">
        <f aca="false">IF($A47="","",SUMIFS(inventory!$G$2:$G$801,inventory!$C$2:$C$801,$A47,inventory!$D$2:$D$801,$B47,inventory!$E$2:$E$801,"delivered"))</f>
        <v>0</v>
      </c>
      <c r="V47" s="37" t="str">
        <f aca="false">IF($A47="","",IFERROR(1/(1/SUMPRODUCT(MAX((inventory!$C$2:$C$801=$A47)*(inventory!$D$2:$D$801=$B47)*(inventory!$E$2:$E$801="delivered")*(inventory!$A$2:$A$801+inventory!$B$2:$B$801)))),""))</f>
        <v/>
      </c>
      <c r="W47" s="30" t="str">
        <f aca="false">IF($A47="","",IFERROR(IF(INDEX(inventory!$J$2:$J$801,MATCH($A47&amp;"|"&amp;$B47&amp;"|delivered",inventory!$R$2:$R$801,0))="","",INDEX(inventory!$J$2:$J$801,MATCH($A47&amp;"|"&amp;$B47&amp;"|delivered",inventory!$R$2:$R$801,0))),""))</f>
        <v/>
      </c>
      <c r="X47" s="30" t="str">
        <f aca="false">IF($A47="","",IFERROR(IF(INDEX(photos!$H$2:$H$701,MATCH($A47&amp;"|"&amp;$B47&amp;"|placement|Y",photos!$R$2:$R$701,0))="","",INDEX(photos!$H$2:$H$701,MATCH($A47&amp;"|"&amp;$B47&amp;"|placement|Y",photos!$R$2:$R$701,0))),""))</f>
        <v/>
      </c>
      <c r="Y47" s="31" t="str">
        <f aca="false">IF($A47="","",IFERROR(IF(INDEX(photos!$E$2:$E$701,MATCH($A47&amp;"|"&amp;$B47&amp;"|placement|Y",photos!$R$2:$R$701,0))="","",INDEX(photos!$E$2:$E$701,MATCH($A47&amp;"|"&amp;$B47&amp;"|placement|Y",photos!$R$2:$R$701,0))),""))</f>
        <v/>
      </c>
      <c r="Z47" s="30" t="str">
        <f aca="false">IF($A47="","",IF(COUNTIFS(counts!$C$2:$C$701,$A47,counts!$D$2:$D$701,$B47,counts!$E$2:$E$701,"placed")=0,"",SUMIFS(counts!$F$2:$F$701,counts!$C$2:$C$701,$A47,counts!$D$2:$D$701,$B47,counts!$E$2:$E$701,"placed")))</f>
        <v/>
      </c>
      <c r="AA47" s="30" t="n">
        <f aca="false">IF($A47="","",IF($Y47="",0,N($Z47)))</f>
        <v>0</v>
      </c>
      <c r="AB47" s="30" t="str">
        <f aca="false">IF($A47="","",IF(OR($Y47="",$I47=""),"N",IF($Y47&lt;=WORKDAY(N($I47),1,calendar!$A$2:$A$80),"Y","N")))</f>
        <v>N</v>
      </c>
      <c r="AC47" s="33" t="str">
        <f aca="false">IF(OR($A47="",$V47="",$Y47=""),"",ROUND(($Y47+N(IFERROR(IF(INDEX(photos!$F$2:$F$701,MATCH($A47&amp;"|"&amp;$B47&amp;"|placement|Y",photos!$R$2:$R$701,0))="","",INDEX(photos!$F$2:$F$701,MATCH($A47&amp;"|"&amp;$B47&amp;"|placement|Y",photos!$R$2:$R$701,0))),""))-$V47)*24,1))</f>
        <v/>
      </c>
      <c r="AD47" s="30" t="n">
        <f aca="false">IF($A47="","",SUMIFS(inventory!$G$2:$G$801,inventory!$C$2:$C$801,$A47,inventory!$D$2:$D$801,$B47,inventory!$E$2:$E$801,"topped_up"))</f>
        <v>0</v>
      </c>
      <c r="AE47" s="30" t="str">
        <f aca="false">IF($A47="","",IF(COUNTIFS(counts!$C$2:$C$701,$A47,counts!$D$2:$D$701,$B47,counts!$E$2:$E$701,"remaining_day3")=0,"",SUMIFS(counts!$F$2:$F$701,counts!$C$2:$C$701,$A47,counts!$D$2:$D$701,$B47,counts!$E$2:$E$701,"remaining_day3")))</f>
        <v/>
      </c>
      <c r="AF47" s="30" t="str">
        <f aca="false">IF($A47="","",IF(COUNTIFS(counts!$C$2:$C$701,$A47,counts!$D$2:$D$701,$B47,counts!$E$2:$E$701,"remaining_day5")=0,"",SUMIFS(counts!$F$2:$F$701,counts!$C$2:$C$701,$A47,counts!$D$2:$D$701,$B47,counts!$E$2:$E$701,"remaining_day5")))</f>
        <v/>
      </c>
      <c r="AG47" s="30" t="str">
        <f aca="false">IF(OR($A47="",$AF47=""),"",MAX(0,$AA47+$AD47-$AF47))</f>
        <v/>
      </c>
      <c r="AH47" s="30" t="str">
        <f aca="false">IF(OR($A47="",$AI47=""),"",IFERROR(IF(INDEX(photos!$H$2:$H$701,MATCH($A47&amp;"|"&amp;$B47&amp;"|later|Y|"&amp;$AI47,photos!$S$2:$S$701,0))="","",INDEX(photos!$H$2:$H$701,MATCH($A47&amp;"|"&amp;$B47&amp;"|later|Y|"&amp;$AI47,photos!$S$2:$S$701,0))),""))</f>
        <v/>
      </c>
      <c r="AI47" s="31" t="str">
        <f aca="false">IF($A47="","",IFERROR(1/(1/SUMPRODUCT(MAX((photos!$B$2:$B$701=$A47)*(photos!$C$2:$C$701=$B47)*(photos!$D$2:$D$701="later")*(photos!$O$2:$O$701="Y")*photos!$E$2:$E$701))),""))</f>
        <v/>
      </c>
      <c r="AJ47" s="30" t="str">
        <f aca="false">IF(OR($A47="",$AI47="",$I47=""),"",NETWORKDAYS($I47,$AI47,calendar!$A$2:$A$80))</f>
        <v/>
      </c>
      <c r="AK47" s="30" t="str">
        <f aca="false">IF($A47="","",IF(AND($X47&lt;&gt;"",$AH47&lt;&gt;""),"Y","N"))</f>
        <v>N</v>
      </c>
      <c r="AL47" s="30" t="n">
        <f aca="true">IF(OR($A47="",$I47=""),"",IF($BC47="Y",SUMIFS(survey_frozen!$C$2:$C$251,survey_frozen!$P$2:$P$251,$A47&amp;"|"&amp;$B47),IFERROR(COUNTIFS(INDIRECT("'"&amp;$A47&amp;"'!$B$2:$B$501"),$T47,INDIRECT("'"&amp;$A47&amp;"'!$A$2:$A$501"),"&gt;="&amp;$I47,INDIRECT("'"&amp;$A47&amp;"'!$A$2:$A$501"),"&lt;"&amp;($BA47+1)),0)))</f>
        <v>0</v>
      </c>
      <c r="AM47" s="30" t="n">
        <f aca="true">IF(OR($A47="",$I47=""),"",IF($BC47="Y",SUMIFS(survey_frozen!$D$2:$D$251,survey_frozen!$P$2:$P$251,$A47&amp;"|"&amp;$B47),IFERROR(COUNTIFS(INDIRECT("'"&amp;$A47&amp;"'!$B$2:$B$501"),$T47,INDIRECT("'"&amp;$A47&amp;"'!$A$2:$A$501"),"&gt;="&amp;$I47,INDIRECT("'"&amp;$A47&amp;"'!$A$2:$A$501"),"&lt;"&amp;($BA47+1),INDIRECT("'"&amp;$A47&amp;"'!$C$2:$C$501"),"Yes"),0)))</f>
        <v>0</v>
      </c>
      <c r="AN47" s="30" t="n">
        <f aca="false">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0</v>
      </c>
      <c r="AO47" s="30" t="n">
        <f aca="false">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0</v>
      </c>
      <c r="AP47" s="30" t="str">
        <f aca="true">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info: turned away at the door, so not on the drop (no letter, not in the report or Gate 2; the credit check is on campaigns); </v>
      </c>
      <c r="AQ47" s="30" t="n">
        <f aca="true">IF(OR($A47="",$I47=""),"",IF($BC47="Y",SUMIFS(survey_frozen!$E$2:$E$251,survey_frozen!$P$2:$P$251,$A47&amp;"|"&amp;$B47),IFERROR(COUNTIFS(INDIRECT("'"&amp;$A47&amp;"'!$B$2:$B$501"),$T47,INDIRECT("'"&amp;$A47&amp;"'!$A$2:$A$501"),"&gt;="&amp;$I47,INDIRECT("'"&amp;$A47&amp;"'!$A$2:$A$501"),"&lt;"&amp;($BA47+1),INDIRECT("'"&amp;$A47&amp;"'!$F$2:$F$501"),"Didn't see it"),0)))</f>
        <v>0</v>
      </c>
      <c r="AR47" s="30" t="n">
        <f aca="true">IF(OR($A47="",$I47=""),"",IF($BC47="Y",SUMIFS(survey_frozen!$F$2:$F$251,survey_frozen!$P$2:$P$251,$A47&amp;"|"&amp;$B47),IFERROR(COUNTIFS(INDIRECT("'"&amp;$A47&amp;"'!$B$2:$B$501"),$T47,INDIRECT("'"&amp;$A47&amp;"'!$A$2:$A$501"),"&gt;="&amp;$I47,INDIRECT("'"&amp;$A47&amp;"'!$A$2:$A$501"),"&lt;"&amp;($BA47+1),INDIRECT("'"&amp;$A47&amp;"'!$F$2:$F$501"),"Not for me"),0)))</f>
        <v>0</v>
      </c>
      <c r="AS47" s="30" t="n">
        <f aca="true">IF(OR($A47="",$I47=""),"",IF($BC47="Y",SUMIFS(survey_frozen!$G$2:$G$251,survey_frozen!$P$2:$P$251,$A47&amp;"|"&amp;$B47),IFERROR(COUNTIFS(INDIRECT("'"&amp;$A47&amp;"'!$B$2:$B$501"),$T47,INDIRECT("'"&amp;$A47&amp;"'!$A$2:$A$501"),"&gt;="&amp;$I47,INDIRECT("'"&amp;$A47&amp;"'!$A$2:$A$501"),"&lt;"&amp;($BA47+1),INDIRECT("'"&amp;$A47&amp;"'!$F$2:$F$501"),"Gone by the time I looked"),0)))</f>
        <v>0</v>
      </c>
      <c r="AT47" s="30" t="n">
        <f aca="true">IF(OR($A47="",$I47=""),"",IF($BC47="Y",SUMIFS(survey_frozen!$H$2:$H$251,survey_frozen!$P$2:$P$251,$A47&amp;"|"&amp;$B47),IFERROR(COUNTIFS(INDIRECT("'"&amp;$A47&amp;"'!$B$2:$B$501"),$T47,INDIRECT("'"&amp;$A47&amp;"'!$A$2:$A$501"),"&gt;="&amp;$I47,INDIRECT("'"&amp;$A47&amp;"'!$A$2:$A$501"),"&lt;"&amp;($BA47+1),INDIRECT("'"&amp;$A47&amp;"'!$D$2:$D$501"),"&gt;=1"),0)))</f>
        <v>0</v>
      </c>
      <c r="AU47" s="30" t="n">
        <f aca="true">IF(OR($A47="",$I47=""),"",IF($BC47="Y",SUMIFS(survey_frozen!$I$2:$I$251,survey_frozen!$P$2:$P$251,$A47&amp;"|"&amp;$B47),IFERROR(SUMIFS(INDIRECT("'"&amp;$A47&amp;"'!$D$2:$D$501"),INDIRECT("'"&amp;$A47&amp;"'!$B$2:$B$501"),$T47,INDIRECT("'"&amp;$A47&amp;"'!$A$2:$A$501"),"&gt;="&amp;$I47,INDIRECT("'"&amp;$A47&amp;"'!$A$2:$A$501"),"&lt;"&amp;($BA47+1)),0)))</f>
        <v>0</v>
      </c>
      <c r="AV47" s="30" t="n">
        <f aca="true">IF(OR($A47="",$I47=""),"",IF($BC47="Y",SUMIFS(survey_frozen!$J$2:$J$251,survey_frozen!$P$2:$P$251,$A47&amp;"|"&amp;$B47),IFERROR(COUNTIFS(INDIRECT("'"&amp;$A47&amp;"'!$B$2:$B$501"),$T47,INDIRECT("'"&amp;$A47&amp;"'!$A$2:$A$501"),"&gt;="&amp;$I47,INDIRECT("'"&amp;$A47&amp;"'!$A$2:$A$501"),"&lt;"&amp;($BA47+1),INDIRECT("'"&amp;$A47&amp;"'!$E$2:$E$501"),"Yes"),0)))</f>
        <v>0</v>
      </c>
      <c r="AW47" s="30" t="n">
        <f aca="true">IF(OR($A47="",$I47=""),"",IF($BC47="Y",SUMIFS(survey_frozen!$K$2:$K$251,survey_frozen!$P$2:$P$251,$A47&amp;"|"&amp;$B47),IFERROR(COUNTIFS(INDIRECT("'"&amp;$A47&amp;"'!$B$2:$B$501"),$T47,INDIRECT("'"&amp;$A47&amp;"'!$A$2:$A$501"),"&gt;="&amp;$I47,INDIRECT("'"&amp;$A47&amp;"'!$A$2:$A$501"),"&lt;"&amp;($BA47+1),INDIRECT("'"&amp;$A47&amp;"'!$E$2:$E$501"),"Maybe"),0)))</f>
        <v>0</v>
      </c>
      <c r="AX47" s="30" t="n">
        <f aca="true">IF(OR($A47="",$I47=""),"",IF($BC47="Y",SUMIFS(survey_frozen!$L$2:$L$251,survey_frozen!$P$2:$P$251,$A47&amp;"|"&amp;$B47),IFERROR(COUNTIFS(INDIRECT("'"&amp;$A47&amp;"'!$B$2:$B$501"),$T47,INDIRECT("'"&amp;$A47&amp;"'!$A$2:$A$501"),"&gt;="&amp;$I47,INDIRECT("'"&amp;$A47&amp;"'!$A$2:$A$501"),"&lt;"&amp;($BA47+1),INDIRECT("'"&amp;$A47&amp;"'!$E$2:$E$501"),"No"),0)))</f>
        <v>0</v>
      </c>
      <c r="AY47" s="30" t="n">
        <f aca="true">IF(OR($A47="",$I47=""),"",IF($BC47="Y",SUMIFS(survey_frozen!$M$2:$M$251,survey_frozen!$P$2:$P$251,$A47&amp;"|"&amp;$B47),IFERROR(COUNTIFS(INDIRECT("'"&amp;$A47&amp;"'!$B$2:$B$501"),$T47,INDIRECT("'"&amp;$A47&amp;"'!$A$2:$A$501"),"&gt;="&amp;$I47,INDIRECT("'"&amp;$A47&amp;"'!$A$2:$A$501"),"&lt;"&amp;($BA47+1),INDIRECT("'"&amp;$A47&amp;"'!$G$2:$G$501"),"&lt;&gt;"),0)))</f>
        <v>0</v>
      </c>
      <c r="AZ47" s="30" t="str">
        <f aca="false">IF($A47="","",$A47&amp;"|"&amp;$L47)</f>
        <v>SAMPLE-CMP-006|</v>
      </c>
      <c r="BA47" s="31" t="n">
        <f aca="false">IF($A47="","",IFERROR(IF(INDEX(drops!$R$2:$R$21,MATCH($H47,drops!$A$2:$A$21,0))="","",INDEX(drops!$R$2:$R$21,MATCH($H47,drops!$A$2:$A$21,0))),""))</f>
        <v>46447</v>
      </c>
      <c r="BB47" s="30" t="n">
        <f aca="false">IF(OR($A47="",$Q47&lt;&gt;"Y"),1000000,N($AL47))</f>
        <v>1000000</v>
      </c>
      <c r="BC47" s="30" t="str">
        <f aca="false">IF($A47="","",IF(COUNTIF(survey_frozen!$P$2:$P$251,$A47&amp;"|"&amp;$B47)&gt;0,"Y",""))</f>
        <v/>
      </c>
      <c r="BD47" s="30" t="str">
        <f aca="false">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ustomFormat="false" ht="15" hidden="false" customHeight="false" outlineLevel="0" collapsed="false">
      <c r="A48" s="0" t="s">
        <v>563</v>
      </c>
      <c r="B48" s="0" t="s">
        <v>692</v>
      </c>
      <c r="C48" s="11" t="n">
        <v>46412</v>
      </c>
      <c r="D48" s="10" t="s">
        <v>496</v>
      </c>
      <c r="E48" s="11" t="n">
        <v>46414</v>
      </c>
      <c r="F48" s="10" t="s">
        <v>737</v>
      </c>
      <c r="G48" s="0" t="n">
        <v>55</v>
      </c>
      <c r="H48" s="30" t="str">
        <f aca="false">IF($A48="","",IFERROR(IF(INDEX(campaigns!$B$2:$B$51,MATCH($A48,campaigns!$A$2:$A$51,0))="","",INDEX(campaigns!$B$2:$B$51,MATCH($A48,campaigns!$A$2:$A$51,0))),""))</f>
        <v>SAMPLE-DRP-003</v>
      </c>
      <c r="I48" s="31" t="n">
        <f aca="false">IF($A48="","",IFERROR(IF(INDEX(campaigns!$BG$2:$BG$51,MATCH($A48,campaigns!$A$2:$A$51,0))="","",INDEX(campaigns!$BG$2:$BG$51,MATCH($A48,campaigns!$A$2:$A$51,0))),""))</f>
        <v>46441</v>
      </c>
      <c r="J48" s="30" t="str">
        <f aca="false">IF($A48="","",IFERROR(IF(INDEX(campaigns!$BE$2:$BE$51,MATCH($A48,campaigns!$A$2:$A$51,0))="","",INDEX(campaigns!$BE$2:$BE$51,MATCH($A48,campaigns!$A$2:$A$51,0))),""))</f>
        <v>SAMPLE Saltmarsh</v>
      </c>
      <c r="K48" s="30" t="str">
        <f aca="false">IF($B48="","",IFERROR(IF(INDEX(offices!$O$2:$O$61,MATCH($B48,offices!$A$2:$A$61,0))="","",INDEX(offices!$O$2:$O$61,MATCH($B48,offices!$A$2:$A$61,0))),""))</f>
        <v>SAMPLE Brine &amp; Bell PR</v>
      </c>
      <c r="L48" s="30" t="n">
        <f aca="false">IF($A48="","",IF($Q48="N","",COUNTIFS($A$2:$A48,$A48,$Q$2:$Q48,"&lt;&gt;N")))</f>
        <v>6</v>
      </c>
      <c r="M48" s="30" t="str">
        <f aca="false">IF(OR($A48="",$L48=""),"",IF(AND(config!$B$34="names_if_public",IFERROR(IF(INDEX(offices!$AG$2:$AG$61,MATCH($B48,offices!$A$2:$A$61,0))="","",INDEX(offices!$AG$2:$AG$61,MATCH($B48,offices!$A$2:$A$61,0))),"")="Y"),$K48,CHAR(64+$L48)))</f>
        <v>F</v>
      </c>
      <c r="N48" s="30" t="n">
        <f aca="false">IF(OR($A48="",$I48=""),"",COUNTIFS(stops!$B$2:$B$151,$B48,stops!$P$2:$P$151,"&lt;"&amp;$I48,stops!$L$2:$L$151,"&lt;&gt;not_delivered")+1)</f>
        <v>2</v>
      </c>
      <c r="O48" s="30" t="str">
        <f aca="false">IF($A48="","",IF(N($N48)&lt;=config!$B$29,"explicit","opt-out"))</f>
        <v>explicit</v>
      </c>
      <c r="P48" s="30" t="str">
        <f aca="false">IF($A48="","",IF($O48="explicit",IF($D48="yes","Y",IF($D48="no","N","pending")),IF($D48="no","N",IF(AND($C48&lt;&gt;"",$I48&lt;&gt;"",$C48&lt;=WORKDAY(N($I48),-5,calendar!$A$2:$A$80)),"Y","pending"))))</f>
        <v>Y</v>
      </c>
      <c r="Q48" s="30" t="str">
        <f aca="false">IF($A48="","",IF($P48="N","N",IF($P48&lt;&gt;"Y","pending",IF(AND((COUNTIFS(stops!$A$2:$A$151,$H48,stops!$B$2:$B$151,$B48,stops!$L$2:$L$151,"declined")+COUNTIFS(stops!$A$2:$A$151,$H48,stops!$B$2:$B$151,$B48,stops!$L$2:$L$151,"building_refused")+COUNTIFS(stops!$A$2:$A$151,$H48,stops!$B$2:$B$151,$B48,stops!$L$2:$L$151,"not_delivered"))&gt;0,N($U48)=0),"N","Y"))))</f>
        <v>Y</v>
      </c>
      <c r="R48" s="30" t="str">
        <f aca="false">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info: read the vetoes against the label; </v>
      </c>
      <c r="S48" s="30" t="n">
        <f aca="false">IF($A48="","",IF($G48&lt;&gt;"",$G48,IFERROR(IF(INDEX(offices!$AM$2:$AM$61,MATCH($B48,offices!$A$2:$A$61,0))="","",INDEX(offices!$AM$2:$AM$61,MATCH($B48,offices!$A$2:$A$61,0))),"")))</f>
        <v>55</v>
      </c>
      <c r="T48" s="30" t="str">
        <f aca="false">IF($A48="","",$A48&amp;"."&amp;$B48)</f>
        <v>SAMPLE-CMP-006.SAMPLE-O-007</v>
      </c>
      <c r="U48" s="30" t="n">
        <f aca="false">IF($A48="","",SUMIFS(inventory!$G$2:$G$801,inventory!$C$2:$C$801,$A48,inventory!$D$2:$D$801,$B48,inventory!$E$2:$E$801,"delivered"))</f>
        <v>55</v>
      </c>
      <c r="V48" s="37" t="n">
        <f aca="false">IF($A48="","",IFERROR(1/(1/SUMPRODUCT(MAX((inventory!$C$2:$C$801=$A48)*(inventory!$D$2:$D$801=$B48)*(inventory!$E$2:$E$801="delivered")*(inventory!$A$2:$A$801+inventory!$B$2:$B$801)))),""))</f>
        <v>46441.4020833333</v>
      </c>
      <c r="W48" s="30" t="str">
        <f aca="false">IF($A48="","",IFERROR(IF(INDEX(inventory!$J$2:$J$801,MATCH($A48&amp;"|"&amp;$B48&amp;"|delivered",inventory!$R$2:$R$801,0))="","",INDEX(inventory!$J$2:$J$801,MATCH($A48&amp;"|"&amp;$B48&amp;"|delivered",inventory!$R$2:$R$801,0))),""))</f>
        <v>courier_count</v>
      </c>
      <c r="X48" s="30" t="str">
        <f aca="false">IF($A48="","",IFERROR(IF(INDEX(photos!$H$2:$H$701,MATCH($A48&amp;"|"&amp;$B48&amp;"|placement|Y",photos!$R$2:$R$701,0))="","",INDEX(photos!$H$2:$H$701,MATCH($A48&amp;"|"&amp;$B48&amp;"|placement|Y",photos!$R$2:$R$701,0))),""))</f>
        <v>SAMPLE-CMP-006_SAMPLE-O-007_placement_2027-02-23.jpg</v>
      </c>
      <c r="Y48" s="31" t="n">
        <f aca="false">IF($A48="","",IFERROR(IF(INDEX(photos!$E$2:$E$701,MATCH($A48&amp;"|"&amp;$B48&amp;"|placement|Y",photos!$R$2:$R$701,0))="","",INDEX(photos!$E$2:$E$701,MATCH($A48&amp;"|"&amp;$B48&amp;"|placement|Y",photos!$R$2:$R$701,0))),""))</f>
        <v>46441</v>
      </c>
      <c r="Z48" s="30" t="n">
        <f aca="false">IF($A48="","",IF(COUNTIFS(counts!$C$2:$C$701,$A48,counts!$D$2:$D$701,$B48,counts!$E$2:$E$701,"placed")=0,"",SUMIFS(counts!$F$2:$F$701,counts!$C$2:$C$701,$A48,counts!$D$2:$D$701,$B48,counts!$E$2:$E$701,"placed")))</f>
        <v>55</v>
      </c>
      <c r="AA48" s="30" t="n">
        <f aca="false">IF($A48="","",IF($Y48="",0,N($Z48)))</f>
        <v>55</v>
      </c>
      <c r="AB48" s="30" t="str">
        <f aca="false">IF($A48="","",IF(OR($Y48="",$I48=""),"N",IF($Y48&lt;=WORKDAY(N($I48),1,calendar!$A$2:$A$80),"Y","N")))</f>
        <v>Y</v>
      </c>
      <c r="AC48" s="33" t="n">
        <f aca="false">IF(OR($A48="",$V48="",$Y48=""),"",ROUND(($Y48+N(IFERROR(IF(INDEX(photos!$F$2:$F$701,MATCH($A48&amp;"|"&amp;$B48&amp;"|placement|Y",photos!$R$2:$R$701,0))="","",INDEX(photos!$F$2:$F$701,MATCH($A48&amp;"|"&amp;$B48&amp;"|placement|Y",photos!$R$2:$R$701,0))),""))-$V48)*24,1))</f>
        <v>3.4</v>
      </c>
      <c r="AD48" s="30" t="n">
        <f aca="false">IF($A48="","",SUMIFS(inventory!$G$2:$G$801,inventory!$C$2:$C$801,$A48,inventory!$D$2:$D$801,$B48,inventory!$E$2:$E$801,"topped_up"))</f>
        <v>0</v>
      </c>
      <c r="AE48" s="30" t="n">
        <f aca="false">IF($A48="","",IF(COUNTIFS(counts!$C$2:$C$701,$A48,counts!$D$2:$D$701,$B48,counts!$E$2:$E$701,"remaining_day3")=0,"",SUMIFS(counts!$F$2:$F$701,counts!$C$2:$C$701,$A48,counts!$D$2:$D$701,$B48,counts!$E$2:$E$701,"remaining_day3")))</f>
        <v>18</v>
      </c>
      <c r="AF48" s="30" t="n">
        <f aca="false">IF($A48="","",IF(COUNTIFS(counts!$C$2:$C$701,$A48,counts!$D$2:$D$701,$B48,counts!$E$2:$E$701,"remaining_day5")=0,"",SUMIFS(counts!$F$2:$F$701,counts!$C$2:$C$701,$A48,counts!$D$2:$D$701,$B48,counts!$E$2:$E$701,"remaining_day5")))</f>
        <v>2</v>
      </c>
      <c r="AG48" s="30" t="n">
        <f aca="false">IF(OR($A48="",$AF48=""),"",MAX(0,$AA48+$AD48-$AF48))</f>
        <v>53</v>
      </c>
      <c r="AH48" s="30" t="str">
        <f aca="false">IF(OR($A48="",$AI48=""),"",IFERROR(IF(INDEX(photos!$H$2:$H$701,MATCH($A48&amp;"|"&amp;$B48&amp;"|later|Y|"&amp;$AI48,photos!$S$2:$S$701,0))="","",INDEX(photos!$H$2:$H$701,MATCH($A48&amp;"|"&amp;$B48&amp;"|later|Y|"&amp;$AI48,photos!$S$2:$S$701,0))),""))</f>
        <v>SAMPLE-CMP-006_SAMPLE-O-007_later_2027-03-01.jpg</v>
      </c>
      <c r="AI48" s="31" t="n">
        <f aca="false">IF($A48="","",IFERROR(1/(1/SUMPRODUCT(MAX((photos!$B$2:$B$701=$A48)*(photos!$C$2:$C$701=$B48)*(photos!$D$2:$D$701="later")*(photos!$O$2:$O$701="Y")*photos!$E$2:$E$701))),""))</f>
        <v>46447</v>
      </c>
      <c r="AJ48" s="30" t="n">
        <f aca="false">IF(OR($A48="",$AI48="",$I48=""),"",NETWORKDAYS($I48,$AI48,calendar!$A$2:$A$80))</f>
        <v>5</v>
      </c>
      <c r="AK48" s="30" t="str">
        <f aca="false">IF($A48="","",IF(AND($X48&lt;&gt;"",$AH48&lt;&gt;""),"Y","N"))</f>
        <v>Y</v>
      </c>
      <c r="AL48" s="30" t="n">
        <f aca="true">IF(OR($A48="",$I48=""),"",IF($BC48="Y",SUMIFS(survey_frozen!$C$2:$C$251,survey_frozen!$P$2:$P$251,$A48&amp;"|"&amp;$B48),IFERROR(COUNTIFS(INDIRECT("'"&amp;$A48&amp;"'!$B$2:$B$501"),$T48,INDIRECT("'"&amp;$A48&amp;"'!$A$2:$A$501"),"&gt;="&amp;$I48,INDIRECT("'"&amp;$A48&amp;"'!$A$2:$A$501"),"&lt;"&amp;($BA48+1)),0)))</f>
        <v>6</v>
      </c>
      <c r="AM48" s="30" t="n">
        <f aca="true">IF(OR($A48="",$I48=""),"",IF($BC48="Y",SUMIFS(survey_frozen!$D$2:$D$251,survey_frozen!$P$2:$P$251,$A48&amp;"|"&amp;$B48),IFERROR(COUNTIFS(INDIRECT("'"&amp;$A48&amp;"'!$B$2:$B$501"),$T48,INDIRECT("'"&amp;$A48&amp;"'!$A$2:$A$501"),"&gt;="&amp;$I48,INDIRECT("'"&amp;$A48&amp;"'!$A$2:$A$501"),"&lt;"&amp;($BA48+1),INDIRECT("'"&amp;$A48&amp;"'!$C$2:$C$501"),"Yes"),0)))</f>
        <v>4</v>
      </c>
      <c r="AN48" s="30" t="n">
        <f aca="false">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12</v>
      </c>
      <c r="AO48" s="30" t="n">
        <f aca="false">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5</v>
      </c>
      <c r="AP48" s="30" t="str">
        <f aca="true">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info: read the vetoes against the label; </v>
      </c>
      <c r="AQ48" s="30" t="n">
        <f aca="true">IF(OR($A48="",$I48=""),"",IF($BC48="Y",SUMIFS(survey_frozen!$E$2:$E$251,survey_frozen!$P$2:$P$251,$A48&amp;"|"&amp;$B48),IFERROR(COUNTIFS(INDIRECT("'"&amp;$A48&amp;"'!$B$2:$B$501"),$T48,INDIRECT("'"&amp;$A48&amp;"'!$A$2:$A$501"),"&gt;="&amp;$I48,INDIRECT("'"&amp;$A48&amp;"'!$A$2:$A$501"),"&lt;"&amp;($BA48+1),INDIRECT("'"&amp;$A48&amp;"'!$F$2:$F$501"),"Didn't see it"),0)))</f>
        <v>0</v>
      </c>
      <c r="AR48" s="30" t="n">
        <f aca="true">IF(OR($A48="",$I48=""),"",IF($BC48="Y",SUMIFS(survey_frozen!$F$2:$F$251,survey_frozen!$P$2:$P$251,$A48&amp;"|"&amp;$B48),IFERROR(COUNTIFS(INDIRECT("'"&amp;$A48&amp;"'!$B$2:$B$501"),$T48,INDIRECT("'"&amp;$A48&amp;"'!$A$2:$A$501"),"&gt;="&amp;$I48,INDIRECT("'"&amp;$A48&amp;"'!$A$2:$A$501"),"&lt;"&amp;($BA48+1),INDIRECT("'"&amp;$A48&amp;"'!$F$2:$F$501"),"Not for me"),0)))</f>
        <v>1</v>
      </c>
      <c r="AS48" s="30" t="n">
        <f aca="true">IF(OR($A48="",$I48=""),"",IF($BC48="Y",SUMIFS(survey_frozen!$G$2:$G$251,survey_frozen!$P$2:$P$251,$A48&amp;"|"&amp;$B48),IFERROR(COUNTIFS(INDIRECT("'"&amp;$A48&amp;"'!$B$2:$B$501"),$T48,INDIRECT("'"&amp;$A48&amp;"'!$A$2:$A$501"),"&gt;="&amp;$I48,INDIRECT("'"&amp;$A48&amp;"'!$A$2:$A$501"),"&lt;"&amp;($BA48+1),INDIRECT("'"&amp;$A48&amp;"'!$F$2:$F$501"),"Gone by the time I looked"),0)))</f>
        <v>1</v>
      </c>
      <c r="AT48" s="30" t="n">
        <f aca="true">IF(OR($A48="",$I48=""),"",IF($BC48="Y",SUMIFS(survey_frozen!$H$2:$H$251,survey_frozen!$P$2:$P$251,$A48&amp;"|"&amp;$B48),IFERROR(COUNTIFS(INDIRECT("'"&amp;$A48&amp;"'!$B$2:$B$501"),$T48,INDIRECT("'"&amp;$A48&amp;"'!$A$2:$A$501"),"&gt;="&amp;$I48,INDIRECT("'"&amp;$A48&amp;"'!$A$2:$A$501"),"&lt;"&amp;($BA48+1),INDIRECT("'"&amp;$A48&amp;"'!$D$2:$D$501"),"&gt;=1"),0)))</f>
        <v>4</v>
      </c>
      <c r="AU48" s="30" t="n">
        <f aca="true">IF(OR($A48="",$I48=""),"",IF($BC48="Y",SUMIFS(survey_frozen!$I$2:$I$251,survey_frozen!$P$2:$P$251,$A48&amp;"|"&amp;$B48),IFERROR(SUMIFS(INDIRECT("'"&amp;$A48&amp;"'!$D$2:$D$501"),INDIRECT("'"&amp;$A48&amp;"'!$B$2:$B$501"),$T48,INDIRECT("'"&amp;$A48&amp;"'!$A$2:$A$501"),"&gt;="&amp;$I48,INDIRECT("'"&amp;$A48&amp;"'!$A$2:$A$501"),"&lt;"&amp;($BA48+1)),0)))</f>
        <v>17</v>
      </c>
      <c r="AV48" s="30" t="n">
        <f aca="true">IF(OR($A48="",$I48=""),"",IF($BC48="Y",SUMIFS(survey_frozen!$J$2:$J$251,survey_frozen!$P$2:$P$251,$A48&amp;"|"&amp;$B48),IFERROR(COUNTIFS(INDIRECT("'"&amp;$A48&amp;"'!$B$2:$B$501"),$T48,INDIRECT("'"&amp;$A48&amp;"'!$A$2:$A$501"),"&gt;="&amp;$I48,INDIRECT("'"&amp;$A48&amp;"'!$A$2:$A$501"),"&lt;"&amp;($BA48+1),INDIRECT("'"&amp;$A48&amp;"'!$E$2:$E$501"),"Yes"),0)))</f>
        <v>1</v>
      </c>
      <c r="AW48" s="30" t="n">
        <f aca="true">IF(OR($A48="",$I48=""),"",IF($BC48="Y",SUMIFS(survey_frozen!$K$2:$K$251,survey_frozen!$P$2:$P$251,$A48&amp;"|"&amp;$B48),IFERROR(COUNTIFS(INDIRECT("'"&amp;$A48&amp;"'!$B$2:$B$501"),$T48,INDIRECT("'"&amp;$A48&amp;"'!$A$2:$A$501"),"&gt;="&amp;$I48,INDIRECT("'"&amp;$A48&amp;"'!$A$2:$A$501"),"&lt;"&amp;($BA48+1),INDIRECT("'"&amp;$A48&amp;"'!$E$2:$E$501"),"Maybe"),0)))</f>
        <v>2</v>
      </c>
      <c r="AX48" s="30" t="n">
        <f aca="true">IF(OR($A48="",$I48=""),"",IF($BC48="Y",SUMIFS(survey_frozen!$L$2:$L$251,survey_frozen!$P$2:$P$251,$A48&amp;"|"&amp;$B48),IFERROR(COUNTIFS(INDIRECT("'"&amp;$A48&amp;"'!$B$2:$B$501"),$T48,INDIRECT("'"&amp;$A48&amp;"'!$A$2:$A$501"),"&gt;="&amp;$I48,INDIRECT("'"&amp;$A48&amp;"'!$A$2:$A$501"),"&lt;"&amp;($BA48+1),INDIRECT("'"&amp;$A48&amp;"'!$E$2:$E$501"),"No"),0)))</f>
        <v>1</v>
      </c>
      <c r="AY48" s="30" t="n">
        <f aca="true">IF(OR($A48="",$I48=""),"",IF($BC48="Y",SUMIFS(survey_frozen!$M$2:$M$251,survey_frozen!$P$2:$P$251,$A48&amp;"|"&amp;$B48),IFERROR(COUNTIFS(INDIRECT("'"&amp;$A48&amp;"'!$B$2:$B$501"),$T48,INDIRECT("'"&amp;$A48&amp;"'!$A$2:$A$501"),"&gt;="&amp;$I48,INDIRECT("'"&amp;$A48&amp;"'!$A$2:$A$501"),"&lt;"&amp;($BA48+1),INDIRECT("'"&amp;$A48&amp;"'!$G$2:$G$501"),"&lt;&gt;"),0)))</f>
        <v>3</v>
      </c>
      <c r="AZ48" s="30" t="str">
        <f aca="false">IF($A48="","",$A48&amp;"|"&amp;$L48)</f>
        <v>SAMPLE-CMP-006|6</v>
      </c>
      <c r="BA48" s="31" t="n">
        <f aca="false">IF($A48="","",IFERROR(IF(INDEX(drops!$R$2:$R$21,MATCH($H48,drops!$A$2:$A$21,0))="","",INDEX(drops!$R$2:$R$21,MATCH($H48,drops!$A$2:$A$21,0))),""))</f>
        <v>46447</v>
      </c>
      <c r="BB48" s="30" t="n">
        <f aca="false">IF(OR($A48="",$Q48&lt;&gt;"Y"),1000000,N($AL48))</f>
        <v>6</v>
      </c>
      <c r="BC48" s="30" t="str">
        <f aca="false">IF($A48="","",IF(COUNTIF(survey_frozen!$P$2:$P$251,$A48&amp;"|"&amp;$B48)&gt;0,"Y",""))</f>
        <v/>
      </c>
      <c r="BD48" s="30" t="str">
        <f aca="false">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ustomFormat="false" ht="15" hidden="false" customHeight="false" outlineLevel="0" collapsed="false">
      <c r="A49" s="0" t="s">
        <v>563</v>
      </c>
      <c r="B49" s="0" t="s">
        <v>694</v>
      </c>
      <c r="C49" s="11" t="n">
        <v>46412</v>
      </c>
      <c r="D49" s="10" t="s">
        <v>496</v>
      </c>
      <c r="E49" s="11" t="n">
        <v>46414</v>
      </c>
      <c r="F49" s="10" t="s">
        <v>737</v>
      </c>
      <c r="G49" s="0" t="n">
        <v>40</v>
      </c>
      <c r="H49" s="30" t="str">
        <f aca="false">IF($A49="","",IFERROR(IF(INDEX(campaigns!$B$2:$B$51,MATCH($A49,campaigns!$A$2:$A$51,0))="","",INDEX(campaigns!$B$2:$B$51,MATCH($A49,campaigns!$A$2:$A$51,0))),""))</f>
        <v>SAMPLE-DRP-003</v>
      </c>
      <c r="I49" s="31" t="n">
        <f aca="false">IF($A49="","",IFERROR(IF(INDEX(campaigns!$BG$2:$BG$51,MATCH($A49,campaigns!$A$2:$A$51,0))="","",INDEX(campaigns!$BG$2:$BG$51,MATCH($A49,campaigns!$A$2:$A$51,0))),""))</f>
        <v>46441</v>
      </c>
      <c r="J49" s="30" t="str">
        <f aca="false">IF($A49="","",IFERROR(IF(INDEX(campaigns!$BE$2:$BE$51,MATCH($A49,campaigns!$A$2:$A$51,0))="","",INDEX(campaigns!$BE$2:$BE$51,MATCH($A49,campaigns!$A$2:$A$51,0))),""))</f>
        <v>SAMPLE Saltmarsh</v>
      </c>
      <c r="K49" s="30" t="str">
        <f aca="false">IF($B49="","",IFERROR(IF(INDEX(offices!$O$2:$O$61,MATCH($B49,offices!$A$2:$A$61,0))="","",INDEX(offices!$O$2:$O$61,MATCH($B49,offices!$A$2:$A$61,0))),""))</f>
        <v>SAMPLE Larch Legal</v>
      </c>
      <c r="L49" s="30" t="n">
        <f aca="false">IF($A49="","",IF($Q49="N","",COUNTIFS($A$2:$A49,$A49,$Q$2:$Q49,"&lt;&gt;N")))</f>
        <v>7</v>
      </c>
      <c r="M49" s="30" t="str">
        <f aca="false">IF(OR($A49="",$L49=""),"",IF(AND(config!$B$34="names_if_public",IFERROR(IF(INDEX(offices!$AG$2:$AG$61,MATCH($B49,offices!$A$2:$A$61,0))="","",INDEX(offices!$AG$2:$AG$61,MATCH($B49,offices!$A$2:$A$61,0))),"")="Y"),$K49,CHAR(64+$L49)))</f>
        <v>G</v>
      </c>
      <c r="N49" s="30" t="n">
        <f aca="false">IF(OR($A49="",$I49=""),"",COUNTIFS(stops!$B$2:$B$151,$B49,stops!$P$2:$P$151,"&lt;"&amp;$I49,stops!$L$2:$L$151,"&lt;&gt;not_delivered")+1)</f>
        <v>2</v>
      </c>
      <c r="O49" s="30" t="str">
        <f aca="false">IF($A49="","",IF(N($N49)&lt;=config!$B$29,"explicit","opt-out"))</f>
        <v>explicit</v>
      </c>
      <c r="P49" s="30" t="str">
        <f aca="false">IF($A49="","",IF($O49="explicit",IF($D49="yes","Y",IF($D49="no","N","pending")),IF($D49="no","N",IF(AND($C49&lt;&gt;"",$I49&lt;&gt;"",$C49&lt;=WORKDAY(N($I49),-5,calendar!$A$2:$A$80)),"Y","pending"))))</f>
        <v>Y</v>
      </c>
      <c r="Q49" s="30" t="str">
        <f aca="false">IF($A49="","",IF($P49="N","N",IF($P49&lt;&gt;"Y","pending",IF(AND((COUNTIFS(stops!$A$2:$A$151,$H49,stops!$B$2:$B$151,$B49,stops!$L$2:$L$151,"declined")+COUNTIFS(stops!$A$2:$A$151,$H49,stops!$B$2:$B$151,$B49,stops!$L$2:$L$151,"building_refused")+COUNTIFS(stops!$A$2:$A$151,$H49,stops!$B$2:$B$151,$B49,stops!$L$2:$L$151,"not_delivered"))&gt;0,N($U49)=0),"N","Y"))))</f>
        <v>Y</v>
      </c>
      <c r="R49" s="30" t="str">
        <f aca="false">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30" t="n">
        <f aca="false">IF($A49="","",IF($G49&lt;&gt;"",$G49,IFERROR(IF(INDEX(offices!$AM$2:$AM$61,MATCH($B49,offices!$A$2:$A$61,0))="","",INDEX(offices!$AM$2:$AM$61,MATCH($B49,offices!$A$2:$A$61,0))),"")))</f>
        <v>40</v>
      </c>
      <c r="T49" s="30" t="str">
        <f aca="false">IF($A49="","",$A49&amp;"."&amp;$B49)</f>
        <v>SAMPLE-CMP-006.SAMPLE-O-008</v>
      </c>
      <c r="U49" s="30" t="n">
        <f aca="false">IF($A49="","",SUMIFS(inventory!$G$2:$G$801,inventory!$C$2:$C$801,$A49,inventory!$D$2:$D$801,$B49,inventory!$E$2:$E$801,"delivered"))</f>
        <v>40</v>
      </c>
      <c r="V49" s="37" t="n">
        <f aca="false">IF($A49="","",IFERROR(1/(1/SUMPRODUCT(MAX((inventory!$C$2:$C$801=$A49)*(inventory!$D$2:$D$801=$B49)*(inventory!$E$2:$E$801="delivered")*(inventory!$A$2:$A$801+inventory!$B$2:$B$801)))),""))</f>
        <v>46441.4159722222</v>
      </c>
      <c r="W49" s="30" t="str">
        <f aca="false">IF($A49="","",IFERROR(IF(INDEX(inventory!$J$2:$J$801,MATCH($A49&amp;"|"&amp;$B49&amp;"|delivered",inventory!$R$2:$R$801,0))="","",INDEX(inventory!$J$2:$J$801,MATCH($A49&amp;"|"&amp;$B49&amp;"|delivered",inventory!$R$2:$R$801,0))),""))</f>
        <v>courier_count</v>
      </c>
      <c r="X49" s="30" t="str">
        <f aca="false">IF($A49="","",IFERROR(IF(INDEX(photos!$H$2:$H$701,MATCH($A49&amp;"|"&amp;$B49&amp;"|placement|Y",photos!$R$2:$R$701,0))="","",INDEX(photos!$H$2:$H$701,MATCH($A49&amp;"|"&amp;$B49&amp;"|placement|Y",photos!$R$2:$R$701,0))),""))</f>
        <v>SAMPLE-CMP-006_SAMPLE-O-008_placement_2027-02-23.jpg</v>
      </c>
      <c r="Y49" s="31" t="n">
        <f aca="false">IF($A49="","",IFERROR(IF(INDEX(photos!$E$2:$E$701,MATCH($A49&amp;"|"&amp;$B49&amp;"|placement|Y",photos!$R$2:$R$701,0))="","",INDEX(photos!$E$2:$E$701,MATCH($A49&amp;"|"&amp;$B49&amp;"|placement|Y",photos!$R$2:$R$701,0))),""))</f>
        <v>46441</v>
      </c>
      <c r="Z49" s="30" t="n">
        <f aca="false">IF($A49="","",IF(COUNTIFS(counts!$C$2:$C$701,$A49,counts!$D$2:$D$701,$B49,counts!$E$2:$E$701,"placed")=0,"",SUMIFS(counts!$F$2:$F$701,counts!$C$2:$C$701,$A49,counts!$D$2:$D$701,$B49,counts!$E$2:$E$701,"placed")))</f>
        <v>40</v>
      </c>
      <c r="AA49" s="30" t="n">
        <f aca="false">IF($A49="","",IF($Y49="",0,N($Z49)))</f>
        <v>40</v>
      </c>
      <c r="AB49" s="30" t="str">
        <f aca="false">IF($A49="","",IF(OR($Y49="",$I49=""),"N",IF($Y49&lt;=WORKDAY(N($I49),1,calendar!$A$2:$A$80),"Y","N")))</f>
        <v>Y</v>
      </c>
      <c r="AC49" s="33" t="n">
        <f aca="false">IF(OR($A49="",$V49="",$Y49=""),"",ROUND(($Y49+N(IFERROR(IF(INDEX(photos!$F$2:$F$701,MATCH($A49&amp;"|"&amp;$B49&amp;"|placement|Y",photos!$R$2:$R$701,0))="","",INDEX(photos!$F$2:$F$701,MATCH($A49&amp;"|"&amp;$B49&amp;"|placement|Y",photos!$R$2:$R$701,0))),""))-$V49)*24,1))</f>
        <v>3</v>
      </c>
      <c r="AD49" s="30" t="n">
        <f aca="false">IF($A49="","",SUMIFS(inventory!$G$2:$G$801,inventory!$C$2:$C$801,$A49,inventory!$D$2:$D$801,$B49,inventory!$E$2:$E$801,"topped_up"))</f>
        <v>0</v>
      </c>
      <c r="AE49" s="30" t="n">
        <f aca="false">IF($A49="","",IF(COUNTIFS(counts!$C$2:$C$701,$A49,counts!$D$2:$D$701,$B49,counts!$E$2:$E$701,"remaining_day3")=0,"",SUMIFS(counts!$F$2:$F$701,counts!$C$2:$C$701,$A49,counts!$D$2:$D$701,$B49,counts!$E$2:$E$701,"remaining_day3")))</f>
        <v>17</v>
      </c>
      <c r="AF49" s="30" t="n">
        <f aca="false">IF($A49="","",IF(COUNTIFS(counts!$C$2:$C$701,$A49,counts!$D$2:$D$701,$B49,counts!$E$2:$E$701,"remaining_day5")=0,"",SUMIFS(counts!$F$2:$F$701,counts!$C$2:$C$701,$A49,counts!$D$2:$D$701,$B49,counts!$E$2:$E$701,"remaining_day5")))</f>
        <v>2</v>
      </c>
      <c r="AG49" s="30" t="n">
        <f aca="false">IF(OR($A49="",$AF49=""),"",MAX(0,$AA49+$AD49-$AF49))</f>
        <v>38</v>
      </c>
      <c r="AH49" s="30" t="str">
        <f aca="false">IF(OR($A49="",$AI49=""),"",IFERROR(IF(INDEX(photos!$H$2:$H$701,MATCH($A49&amp;"|"&amp;$B49&amp;"|later|Y|"&amp;$AI49,photos!$S$2:$S$701,0))="","",INDEX(photos!$H$2:$H$701,MATCH($A49&amp;"|"&amp;$B49&amp;"|later|Y|"&amp;$AI49,photos!$S$2:$S$701,0))),""))</f>
        <v>SAMPLE-CMP-006_SAMPLE-O-008_later_2027-03-01.jpg</v>
      </c>
      <c r="AI49" s="31" t="n">
        <f aca="false">IF($A49="","",IFERROR(1/(1/SUMPRODUCT(MAX((photos!$B$2:$B$701=$A49)*(photos!$C$2:$C$701=$B49)*(photos!$D$2:$D$701="later")*(photos!$O$2:$O$701="Y")*photos!$E$2:$E$701))),""))</f>
        <v>46447</v>
      </c>
      <c r="AJ49" s="30" t="n">
        <f aca="false">IF(OR($A49="",$AI49="",$I49=""),"",NETWORKDAYS($I49,$AI49,calendar!$A$2:$A$80))</f>
        <v>5</v>
      </c>
      <c r="AK49" s="30" t="str">
        <f aca="false">IF($A49="","",IF(AND($X49&lt;&gt;"",$AH49&lt;&gt;""),"Y","N"))</f>
        <v>Y</v>
      </c>
      <c r="AL49" s="30" t="n">
        <f aca="true">IF(OR($A49="",$I49=""),"",IF($BC49="Y",SUMIFS(survey_frozen!$C$2:$C$251,survey_frozen!$P$2:$P$251,$A49&amp;"|"&amp;$B49),IFERROR(COUNTIFS(INDIRECT("'"&amp;$A49&amp;"'!$B$2:$B$501"),$T49,INDIRECT("'"&amp;$A49&amp;"'!$A$2:$A$501"),"&gt;="&amp;$I49,INDIRECT("'"&amp;$A49&amp;"'!$A$2:$A$501"),"&lt;"&amp;($BA49+1)),0)))</f>
        <v>8</v>
      </c>
      <c r="AM49" s="30" t="n">
        <f aca="true">IF(OR($A49="",$I49=""),"",IF($BC49="Y",SUMIFS(survey_frozen!$D$2:$D$251,survey_frozen!$P$2:$P$251,$A49&amp;"|"&amp;$B49),IFERROR(COUNTIFS(INDIRECT("'"&amp;$A49&amp;"'!$B$2:$B$501"),$T49,INDIRECT("'"&amp;$A49&amp;"'!$A$2:$A$501"),"&gt;="&amp;$I49,INDIRECT("'"&amp;$A49&amp;"'!$A$2:$A$501"),"&lt;"&amp;($BA49+1),INDIRECT("'"&amp;$A49&amp;"'!$C$2:$C$501"),"Yes"),0)))</f>
        <v>4</v>
      </c>
      <c r="AN49" s="30" t="n">
        <f aca="false">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4</v>
      </c>
      <c r="AO49" s="30" t="n">
        <f aca="false">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7</v>
      </c>
      <c r="AP49" s="30" t="str">
        <f aca="true">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30" t="n">
        <f aca="true">IF(OR($A49="",$I49=""),"",IF($BC49="Y",SUMIFS(survey_frozen!$E$2:$E$251,survey_frozen!$P$2:$P$251,$A49&amp;"|"&amp;$B49),IFERROR(COUNTIFS(INDIRECT("'"&amp;$A49&amp;"'!$B$2:$B$501"),$T49,INDIRECT("'"&amp;$A49&amp;"'!$A$2:$A$501"),"&gt;="&amp;$I49,INDIRECT("'"&amp;$A49&amp;"'!$A$2:$A$501"),"&lt;"&amp;($BA49+1),INDIRECT("'"&amp;$A49&amp;"'!$F$2:$F$501"),"Didn't see it"),0)))</f>
        <v>3</v>
      </c>
      <c r="AR49" s="30" t="n">
        <f aca="true">IF(OR($A49="",$I49=""),"",IF($BC49="Y",SUMIFS(survey_frozen!$F$2:$F$251,survey_frozen!$P$2:$P$251,$A49&amp;"|"&amp;$B49),IFERROR(COUNTIFS(INDIRECT("'"&amp;$A49&amp;"'!$B$2:$B$501"),$T49,INDIRECT("'"&amp;$A49&amp;"'!$A$2:$A$501"),"&gt;="&amp;$I49,INDIRECT("'"&amp;$A49&amp;"'!$A$2:$A$501"),"&lt;"&amp;($BA49+1),INDIRECT("'"&amp;$A49&amp;"'!$F$2:$F$501"),"Not for me"),0)))</f>
        <v>1</v>
      </c>
      <c r="AS49" s="30" t="n">
        <f aca="true">IF(OR($A49="",$I49=""),"",IF($BC49="Y",SUMIFS(survey_frozen!$G$2:$G$251,survey_frozen!$P$2:$P$251,$A49&amp;"|"&amp;$B49),IFERROR(COUNTIFS(INDIRECT("'"&amp;$A49&amp;"'!$B$2:$B$501"),$T49,INDIRECT("'"&amp;$A49&amp;"'!$A$2:$A$501"),"&gt;="&amp;$I49,INDIRECT("'"&amp;$A49&amp;"'!$A$2:$A$501"),"&lt;"&amp;($BA49+1),INDIRECT("'"&amp;$A49&amp;"'!$F$2:$F$501"),"Gone by the time I looked"),0)))</f>
        <v>0</v>
      </c>
      <c r="AT49" s="30" t="n">
        <f aca="true">IF(OR($A49="",$I49=""),"",IF($BC49="Y",SUMIFS(survey_frozen!$H$2:$H$251,survey_frozen!$P$2:$P$251,$A49&amp;"|"&amp;$B49),IFERROR(COUNTIFS(INDIRECT("'"&amp;$A49&amp;"'!$B$2:$B$501"),$T49,INDIRECT("'"&amp;$A49&amp;"'!$A$2:$A$501"),"&gt;="&amp;$I49,INDIRECT("'"&amp;$A49&amp;"'!$A$2:$A$501"),"&lt;"&amp;($BA49+1),INDIRECT("'"&amp;$A49&amp;"'!$D$2:$D$501"),"&gt;=1"),0)))</f>
        <v>4</v>
      </c>
      <c r="AU49" s="30" t="n">
        <f aca="true">IF(OR($A49="",$I49=""),"",IF($BC49="Y",SUMIFS(survey_frozen!$I$2:$I$251,survey_frozen!$P$2:$P$251,$A49&amp;"|"&amp;$B49),IFERROR(SUMIFS(INDIRECT("'"&amp;$A49&amp;"'!$D$2:$D$501"),INDIRECT("'"&amp;$A49&amp;"'!$B$2:$B$501"),$T49,INDIRECT("'"&amp;$A49&amp;"'!$A$2:$A$501"),"&gt;="&amp;$I49,INDIRECT("'"&amp;$A49&amp;"'!$A$2:$A$501"),"&lt;"&amp;($BA49+1)),0)))</f>
        <v>17</v>
      </c>
      <c r="AV49" s="30" t="n">
        <f aca="true">IF(OR($A49="",$I49=""),"",IF($BC49="Y",SUMIFS(survey_frozen!$J$2:$J$251,survey_frozen!$P$2:$P$251,$A49&amp;"|"&amp;$B49),IFERROR(COUNTIFS(INDIRECT("'"&amp;$A49&amp;"'!$B$2:$B$501"),$T49,INDIRECT("'"&amp;$A49&amp;"'!$A$2:$A$501"),"&gt;="&amp;$I49,INDIRECT("'"&amp;$A49&amp;"'!$A$2:$A$501"),"&lt;"&amp;($BA49+1),INDIRECT("'"&amp;$A49&amp;"'!$E$2:$E$501"),"Yes"),0)))</f>
        <v>1</v>
      </c>
      <c r="AW49" s="30" t="n">
        <f aca="true">IF(OR($A49="",$I49=""),"",IF($BC49="Y",SUMIFS(survey_frozen!$K$2:$K$251,survey_frozen!$P$2:$P$251,$A49&amp;"|"&amp;$B49),IFERROR(COUNTIFS(INDIRECT("'"&amp;$A49&amp;"'!$B$2:$B$501"),$T49,INDIRECT("'"&amp;$A49&amp;"'!$A$2:$A$501"),"&gt;="&amp;$I49,INDIRECT("'"&amp;$A49&amp;"'!$A$2:$A$501"),"&lt;"&amp;($BA49+1),INDIRECT("'"&amp;$A49&amp;"'!$E$2:$E$501"),"Maybe"),0)))</f>
        <v>2</v>
      </c>
      <c r="AX49" s="30" t="n">
        <f aca="true">IF(OR($A49="",$I49=""),"",IF($BC49="Y",SUMIFS(survey_frozen!$L$2:$L$251,survey_frozen!$P$2:$P$251,$A49&amp;"|"&amp;$B49),IFERROR(COUNTIFS(INDIRECT("'"&amp;$A49&amp;"'!$B$2:$B$501"),$T49,INDIRECT("'"&amp;$A49&amp;"'!$A$2:$A$501"),"&gt;="&amp;$I49,INDIRECT("'"&amp;$A49&amp;"'!$A$2:$A$501"),"&lt;"&amp;($BA49+1),INDIRECT("'"&amp;$A49&amp;"'!$E$2:$E$501"),"No"),0)))</f>
        <v>1</v>
      </c>
      <c r="AY49" s="30" t="n">
        <f aca="true">IF(OR($A49="",$I49=""),"",IF($BC49="Y",SUMIFS(survey_frozen!$M$2:$M$251,survey_frozen!$P$2:$P$251,$A49&amp;"|"&amp;$B49),IFERROR(COUNTIFS(INDIRECT("'"&amp;$A49&amp;"'!$B$2:$B$501"),$T49,INDIRECT("'"&amp;$A49&amp;"'!$A$2:$A$501"),"&gt;="&amp;$I49,INDIRECT("'"&amp;$A49&amp;"'!$A$2:$A$501"),"&lt;"&amp;($BA49+1),INDIRECT("'"&amp;$A49&amp;"'!$G$2:$G$501"),"&lt;&gt;"),0)))</f>
        <v>3</v>
      </c>
      <c r="AZ49" s="30" t="str">
        <f aca="false">IF($A49="","",$A49&amp;"|"&amp;$L49)</f>
        <v>SAMPLE-CMP-006|7</v>
      </c>
      <c r="BA49" s="31" t="n">
        <f aca="false">IF($A49="","",IFERROR(IF(INDEX(drops!$R$2:$R$21,MATCH($H49,drops!$A$2:$A$21,0))="","",INDEX(drops!$R$2:$R$21,MATCH($H49,drops!$A$2:$A$21,0))),""))</f>
        <v>46447</v>
      </c>
      <c r="BB49" s="30" t="n">
        <f aca="false">IF(OR($A49="",$Q49&lt;&gt;"Y"),1000000,N($AL49))</f>
        <v>8</v>
      </c>
      <c r="BC49" s="30" t="str">
        <f aca="false">IF($A49="","",IF(COUNTIF(survey_frozen!$P$2:$P$251,$A49&amp;"|"&amp;$B49)&gt;0,"Y",""))</f>
        <v/>
      </c>
      <c r="BD49" s="30" t="str">
        <f aca="false">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ustomFormat="false" ht="15" hidden="false" customHeight="false" outlineLevel="0" collapsed="false">
      <c r="A50" s="0" t="s">
        <v>563</v>
      </c>
      <c r="B50" s="0" t="s">
        <v>696</v>
      </c>
      <c r="C50" s="11" t="n">
        <v>46412</v>
      </c>
      <c r="D50" s="10" t="s">
        <v>496</v>
      </c>
      <c r="E50" s="11" t="n">
        <v>46414</v>
      </c>
      <c r="F50" s="10" t="s">
        <v>737</v>
      </c>
      <c r="G50" s="0" t="n">
        <v>70</v>
      </c>
      <c r="H50" s="30" t="str">
        <f aca="false">IF($A50="","",IFERROR(IF(INDEX(campaigns!$B$2:$B$51,MATCH($A50,campaigns!$A$2:$A$51,0))="","",INDEX(campaigns!$B$2:$B$51,MATCH($A50,campaigns!$A$2:$A$51,0))),""))</f>
        <v>SAMPLE-DRP-003</v>
      </c>
      <c r="I50" s="31" t="n">
        <f aca="false">IF($A50="","",IFERROR(IF(INDEX(campaigns!$BG$2:$BG$51,MATCH($A50,campaigns!$A$2:$A$51,0))="","",INDEX(campaigns!$BG$2:$BG$51,MATCH($A50,campaigns!$A$2:$A$51,0))),""))</f>
        <v>46441</v>
      </c>
      <c r="J50" s="30" t="str">
        <f aca="false">IF($A50="","",IFERROR(IF(INDEX(campaigns!$BE$2:$BE$51,MATCH($A50,campaigns!$A$2:$A$51,0))="","",INDEX(campaigns!$BE$2:$BE$51,MATCH($A50,campaigns!$A$2:$A$51,0))),""))</f>
        <v>SAMPLE Saltmarsh</v>
      </c>
      <c r="K50" s="30" t="str">
        <f aca="false">IF($B50="","",IFERROR(IF(INDEX(offices!$O$2:$O$61,MATCH($B50,offices!$A$2:$A$61,0))="","",INDEX(offices!$O$2:$O$61,MATCH($B50,offices!$A$2:$A$61,0))),""))</f>
        <v>SAMPLE Overlook Games</v>
      </c>
      <c r="L50" s="30" t="n">
        <f aca="false">IF($A50="","",IF($Q50="N","",COUNTIFS($A$2:$A50,$A50,$Q$2:$Q50,"&lt;&gt;N")))</f>
        <v>8</v>
      </c>
      <c r="M50" s="30" t="str">
        <f aca="false">IF(OR($A50="",$L50=""),"",IF(AND(config!$B$34="names_if_public",IFERROR(IF(INDEX(offices!$AG$2:$AG$61,MATCH($B50,offices!$A$2:$A$61,0))="","",INDEX(offices!$AG$2:$AG$61,MATCH($B50,offices!$A$2:$A$61,0))),"")="Y"),$K50,CHAR(64+$L50)))</f>
        <v>H</v>
      </c>
      <c r="N50" s="30" t="n">
        <f aca="false">IF(OR($A50="",$I50=""),"",COUNTIFS(stops!$B$2:$B$151,$B50,stops!$P$2:$P$151,"&lt;"&amp;$I50,stops!$L$2:$L$151,"&lt;&gt;not_delivered")+1)</f>
        <v>2</v>
      </c>
      <c r="O50" s="30" t="str">
        <f aca="false">IF($A50="","",IF(N($N50)&lt;=config!$B$29,"explicit","opt-out"))</f>
        <v>explicit</v>
      </c>
      <c r="P50" s="30" t="str">
        <f aca="false">IF($A50="","",IF($O50="explicit",IF($D50="yes","Y",IF($D50="no","N","pending")),IF($D50="no","N",IF(AND($C50&lt;&gt;"",$I50&lt;&gt;"",$C50&lt;=WORKDAY(N($I50),-5,calendar!$A$2:$A$80)),"Y","pending"))))</f>
        <v>Y</v>
      </c>
      <c r="Q50" s="30" t="str">
        <f aca="false">IF($A50="","",IF($P50="N","N",IF($P50&lt;&gt;"Y","pending",IF(AND((COUNTIFS(stops!$A$2:$A$151,$H50,stops!$B$2:$B$151,$B50,stops!$L$2:$L$151,"declined")+COUNTIFS(stops!$A$2:$A$151,$H50,stops!$B$2:$B$151,$B50,stops!$L$2:$L$151,"building_refused")+COUNTIFS(stops!$A$2:$A$151,$H50,stops!$B$2:$B$151,$B50,stops!$L$2:$L$151,"not_delivered"))&gt;0,N($U50)=0),"N","Y"))))</f>
        <v>Y</v>
      </c>
      <c r="R50" s="30" t="str">
        <f aca="false">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30" t="n">
        <f aca="false">IF($A50="","",IF($G50&lt;&gt;"",$G50,IFERROR(IF(INDEX(offices!$AM$2:$AM$61,MATCH($B50,offices!$A$2:$A$61,0))="","",INDEX(offices!$AM$2:$AM$61,MATCH($B50,offices!$A$2:$A$61,0))),"")))</f>
        <v>70</v>
      </c>
      <c r="T50" s="30" t="str">
        <f aca="false">IF($A50="","",$A50&amp;"."&amp;$B50)</f>
        <v>SAMPLE-CMP-006.SAMPLE-O-009</v>
      </c>
      <c r="U50" s="30" t="n">
        <f aca="false">IF($A50="","",SUMIFS(inventory!$G$2:$G$801,inventory!$C$2:$C$801,$A50,inventory!$D$2:$D$801,$B50,inventory!$E$2:$E$801,"delivered"))</f>
        <v>70</v>
      </c>
      <c r="V50" s="37" t="n">
        <f aca="false">IF($A50="","",IFERROR(1/(1/SUMPRODUCT(MAX((inventory!$C$2:$C$801=$A50)*(inventory!$D$2:$D$801=$B50)*(inventory!$E$2:$E$801="delivered")*(inventory!$A$2:$A$801+inventory!$B$2:$B$801)))),""))</f>
        <v>46441.4604166667</v>
      </c>
      <c r="W50" s="30" t="str">
        <f aca="false">IF($A50="","",IFERROR(IF(INDEX(inventory!$J$2:$J$801,MATCH($A50&amp;"|"&amp;$B50&amp;"|delivered",inventory!$R$2:$R$801,0))="","",INDEX(inventory!$J$2:$J$801,MATCH($A50&amp;"|"&amp;$B50&amp;"|delivered",inventory!$R$2:$R$801,0))),""))</f>
        <v>courier_count</v>
      </c>
      <c r="X50" s="30" t="str">
        <f aca="false">IF($A50="","",IFERROR(IF(INDEX(photos!$H$2:$H$701,MATCH($A50&amp;"|"&amp;$B50&amp;"|placement|Y",photos!$R$2:$R$701,0))="","",INDEX(photos!$H$2:$H$701,MATCH($A50&amp;"|"&amp;$B50&amp;"|placement|Y",photos!$R$2:$R$701,0))),""))</f>
        <v>SAMPLE-CMP-006_SAMPLE-O-009_placement_2027-02-23.jpg</v>
      </c>
      <c r="Y50" s="31" t="n">
        <f aca="false">IF($A50="","",IFERROR(IF(INDEX(photos!$E$2:$E$701,MATCH($A50&amp;"|"&amp;$B50&amp;"|placement|Y",photos!$R$2:$R$701,0))="","",INDEX(photos!$E$2:$E$701,MATCH($A50&amp;"|"&amp;$B50&amp;"|placement|Y",photos!$R$2:$R$701,0))),""))</f>
        <v>46441</v>
      </c>
      <c r="Z50" s="30" t="n">
        <f aca="false">IF($A50="","",IF(COUNTIFS(counts!$C$2:$C$701,$A50,counts!$D$2:$D$701,$B50,counts!$E$2:$E$701,"placed")=0,"",SUMIFS(counts!$F$2:$F$701,counts!$C$2:$C$701,$A50,counts!$D$2:$D$701,$B50,counts!$E$2:$E$701,"placed")))</f>
        <v>70</v>
      </c>
      <c r="AA50" s="30" t="n">
        <f aca="false">IF($A50="","",IF($Y50="",0,N($Z50)))</f>
        <v>70</v>
      </c>
      <c r="AB50" s="30" t="str">
        <f aca="false">IF($A50="","",IF(OR($Y50="",$I50=""),"N",IF($Y50&lt;=WORKDAY(N($I50),1,calendar!$A$2:$A$80),"Y","N")))</f>
        <v>Y</v>
      </c>
      <c r="AC50" s="33" t="n">
        <f aca="false">IF(OR($A50="",$V50="",$Y50=""),"",ROUND(($Y50+N(IFERROR(IF(INDEX(photos!$F$2:$F$701,MATCH($A50&amp;"|"&amp;$B50&amp;"|placement|Y",photos!$R$2:$R$701,0))="","",INDEX(photos!$F$2:$F$701,MATCH($A50&amp;"|"&amp;$B50&amp;"|placement|Y",photos!$R$2:$R$701,0))),""))-$V50)*24,1))</f>
        <v>2</v>
      </c>
      <c r="AD50" s="30" t="n">
        <f aca="false">IF($A50="","",SUMIFS(inventory!$G$2:$G$801,inventory!$C$2:$C$801,$A50,inventory!$D$2:$D$801,$B50,inventory!$E$2:$E$801,"topped_up"))</f>
        <v>6</v>
      </c>
      <c r="AE50" s="30" t="n">
        <f aca="false">IF($A50="","",IF(COUNTIFS(counts!$C$2:$C$701,$A50,counts!$D$2:$D$701,$B50,counts!$E$2:$E$701,"remaining_day3")=0,"",SUMIFS(counts!$F$2:$F$701,counts!$C$2:$C$701,$A50,counts!$D$2:$D$701,$B50,counts!$E$2:$E$701,"remaining_day3")))</f>
        <v>21</v>
      </c>
      <c r="AF50" s="30" t="n">
        <f aca="false">IF($A50="","",IF(COUNTIFS(counts!$C$2:$C$701,$A50,counts!$D$2:$D$701,$B50,counts!$E$2:$E$701,"remaining_day5")=0,"",SUMIFS(counts!$F$2:$F$701,counts!$C$2:$C$701,$A50,counts!$D$2:$D$701,$B50,counts!$E$2:$E$701,"remaining_day5")))</f>
        <v>3</v>
      </c>
      <c r="AG50" s="30" t="n">
        <f aca="false">IF(OR($A50="",$AF50=""),"",MAX(0,$AA50+$AD50-$AF50))</f>
        <v>73</v>
      </c>
      <c r="AH50" s="30" t="str">
        <f aca="false">IF(OR($A50="",$AI50=""),"",IFERROR(IF(INDEX(photos!$H$2:$H$701,MATCH($A50&amp;"|"&amp;$B50&amp;"|later|Y|"&amp;$AI50,photos!$S$2:$S$701,0))="","",INDEX(photos!$H$2:$H$701,MATCH($A50&amp;"|"&amp;$B50&amp;"|later|Y|"&amp;$AI50,photos!$S$2:$S$701,0))),""))</f>
        <v>SAMPLE-CMP-006_SAMPLE-O-009_later_2027-03-01.jpg</v>
      </c>
      <c r="AI50" s="31" t="n">
        <f aca="false">IF($A50="","",IFERROR(1/(1/SUMPRODUCT(MAX((photos!$B$2:$B$701=$A50)*(photos!$C$2:$C$701=$B50)*(photos!$D$2:$D$701="later")*(photos!$O$2:$O$701="Y")*photos!$E$2:$E$701))),""))</f>
        <v>46447</v>
      </c>
      <c r="AJ50" s="30" t="n">
        <f aca="false">IF(OR($A50="",$AI50="",$I50=""),"",NETWORKDAYS($I50,$AI50,calendar!$A$2:$A$80))</f>
        <v>5</v>
      </c>
      <c r="AK50" s="30" t="str">
        <f aca="false">IF($A50="","",IF(AND($X50&lt;&gt;"",$AH50&lt;&gt;""),"Y","N"))</f>
        <v>Y</v>
      </c>
      <c r="AL50" s="30" t="n">
        <f aca="true">IF(OR($A50="",$I50=""),"",IF($BC50="Y",SUMIFS(survey_frozen!$C$2:$C$251,survey_frozen!$P$2:$P$251,$A50&amp;"|"&amp;$B50),IFERROR(COUNTIFS(INDIRECT("'"&amp;$A50&amp;"'!$B$2:$B$501"),$T50,INDIRECT("'"&amp;$A50&amp;"'!$A$2:$A$501"),"&gt;="&amp;$I50,INDIRECT("'"&amp;$A50&amp;"'!$A$2:$A$501"),"&lt;"&amp;($BA50+1)),0)))</f>
        <v>5</v>
      </c>
      <c r="AM50" s="30" t="n">
        <f aca="true">IF(OR($A50="",$I50=""),"",IF($BC50="Y",SUMIFS(survey_frozen!$D$2:$D$251,survey_frozen!$P$2:$P$251,$A50&amp;"|"&amp;$B50),IFERROR(COUNTIFS(INDIRECT("'"&amp;$A50&amp;"'!$B$2:$B$501"),$T50,INDIRECT("'"&amp;$A50&amp;"'!$A$2:$A$501"),"&gt;="&amp;$I50,INDIRECT("'"&amp;$A50&amp;"'!$A$2:$A$501"),"&lt;"&amp;($BA50+1),INDIRECT("'"&amp;$A50&amp;"'!$C$2:$C$501"),"Yes"),0)))</f>
        <v>4</v>
      </c>
      <c r="AN50" s="30" t="n">
        <f aca="false">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6</v>
      </c>
      <c r="AO50" s="30" t="n">
        <f aca="false">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9</v>
      </c>
      <c r="AP50" s="30" t="str">
        <f aca="true">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30" t="n">
        <f aca="true">IF(OR($A50="",$I50=""),"",IF($BC50="Y",SUMIFS(survey_frozen!$E$2:$E$251,survey_frozen!$P$2:$P$251,$A50&amp;"|"&amp;$B50),IFERROR(COUNTIFS(INDIRECT("'"&amp;$A50&amp;"'!$B$2:$B$501"),$T50,INDIRECT("'"&amp;$A50&amp;"'!$A$2:$A$501"),"&gt;="&amp;$I50,INDIRECT("'"&amp;$A50&amp;"'!$A$2:$A$501"),"&lt;"&amp;($BA50+1),INDIRECT("'"&amp;$A50&amp;"'!$F$2:$F$501"),"Didn't see it"),0)))</f>
        <v>0</v>
      </c>
      <c r="AR50" s="30" t="n">
        <f aca="true">IF(OR($A50="",$I50=""),"",IF($BC50="Y",SUMIFS(survey_frozen!$F$2:$F$251,survey_frozen!$P$2:$P$251,$A50&amp;"|"&amp;$B50),IFERROR(COUNTIFS(INDIRECT("'"&amp;$A50&amp;"'!$B$2:$B$501"),$T50,INDIRECT("'"&amp;$A50&amp;"'!$A$2:$A$501"),"&gt;="&amp;$I50,INDIRECT("'"&amp;$A50&amp;"'!$A$2:$A$501"),"&lt;"&amp;($BA50+1),INDIRECT("'"&amp;$A50&amp;"'!$F$2:$F$501"),"Not for me"),0)))</f>
        <v>0</v>
      </c>
      <c r="AS50" s="30" t="n">
        <f aca="true">IF(OR($A50="",$I50=""),"",IF($BC50="Y",SUMIFS(survey_frozen!$G$2:$G$251,survey_frozen!$P$2:$P$251,$A50&amp;"|"&amp;$B50),IFERROR(COUNTIFS(INDIRECT("'"&amp;$A50&amp;"'!$B$2:$B$501"),$T50,INDIRECT("'"&amp;$A50&amp;"'!$A$2:$A$501"),"&gt;="&amp;$I50,INDIRECT("'"&amp;$A50&amp;"'!$A$2:$A$501"),"&lt;"&amp;($BA50+1),INDIRECT("'"&amp;$A50&amp;"'!$F$2:$F$501"),"Gone by the time I looked"),0)))</f>
        <v>1</v>
      </c>
      <c r="AT50" s="30" t="n">
        <f aca="true">IF(OR($A50="",$I50=""),"",IF($BC50="Y",SUMIFS(survey_frozen!$H$2:$H$251,survey_frozen!$P$2:$P$251,$A50&amp;"|"&amp;$B50),IFERROR(COUNTIFS(INDIRECT("'"&amp;$A50&amp;"'!$B$2:$B$501"),$T50,INDIRECT("'"&amp;$A50&amp;"'!$A$2:$A$501"),"&gt;="&amp;$I50,INDIRECT("'"&amp;$A50&amp;"'!$A$2:$A$501"),"&lt;"&amp;($BA50+1),INDIRECT("'"&amp;$A50&amp;"'!$D$2:$D$501"),"&gt;=1"),0)))</f>
        <v>4</v>
      </c>
      <c r="AU50" s="30" t="n">
        <f aca="true">IF(OR($A50="",$I50=""),"",IF($BC50="Y",SUMIFS(survey_frozen!$I$2:$I$251,survey_frozen!$P$2:$P$251,$A50&amp;"|"&amp;$B50),IFERROR(SUMIFS(INDIRECT("'"&amp;$A50&amp;"'!$D$2:$D$501"),INDIRECT("'"&amp;$A50&amp;"'!$B$2:$B$501"),$T50,INDIRECT("'"&amp;$A50&amp;"'!$A$2:$A$501"),"&gt;="&amp;$I50,INDIRECT("'"&amp;$A50&amp;"'!$A$2:$A$501"),"&lt;"&amp;($BA50+1)),0)))</f>
        <v>18</v>
      </c>
      <c r="AV50" s="30" t="n">
        <f aca="true">IF(OR($A50="",$I50=""),"",IF($BC50="Y",SUMIFS(survey_frozen!$J$2:$J$251,survey_frozen!$P$2:$P$251,$A50&amp;"|"&amp;$B50),IFERROR(COUNTIFS(INDIRECT("'"&amp;$A50&amp;"'!$B$2:$B$501"),$T50,INDIRECT("'"&amp;$A50&amp;"'!$A$2:$A$501"),"&gt;="&amp;$I50,INDIRECT("'"&amp;$A50&amp;"'!$A$2:$A$501"),"&lt;"&amp;($BA50+1),INDIRECT("'"&amp;$A50&amp;"'!$E$2:$E$501"),"Yes"),0)))</f>
        <v>0</v>
      </c>
      <c r="AW50" s="30" t="n">
        <f aca="true">IF(OR($A50="",$I50=""),"",IF($BC50="Y",SUMIFS(survey_frozen!$K$2:$K$251,survey_frozen!$P$2:$P$251,$A50&amp;"|"&amp;$B50),IFERROR(COUNTIFS(INDIRECT("'"&amp;$A50&amp;"'!$B$2:$B$501"),$T50,INDIRECT("'"&amp;$A50&amp;"'!$A$2:$A$501"),"&gt;="&amp;$I50,INDIRECT("'"&amp;$A50&amp;"'!$A$2:$A$501"),"&lt;"&amp;($BA50+1),INDIRECT("'"&amp;$A50&amp;"'!$E$2:$E$501"),"Maybe"),0)))</f>
        <v>2</v>
      </c>
      <c r="AX50" s="30" t="n">
        <f aca="true">IF(OR($A50="",$I50=""),"",IF($BC50="Y",SUMIFS(survey_frozen!$L$2:$L$251,survey_frozen!$P$2:$P$251,$A50&amp;"|"&amp;$B50),IFERROR(COUNTIFS(INDIRECT("'"&amp;$A50&amp;"'!$B$2:$B$501"),$T50,INDIRECT("'"&amp;$A50&amp;"'!$A$2:$A$501"),"&gt;="&amp;$I50,INDIRECT("'"&amp;$A50&amp;"'!$A$2:$A$501"),"&lt;"&amp;($BA50+1),INDIRECT("'"&amp;$A50&amp;"'!$E$2:$E$501"),"No"),0)))</f>
        <v>2</v>
      </c>
      <c r="AY50" s="30" t="n">
        <f aca="true">IF(OR($A50="",$I50=""),"",IF($BC50="Y",SUMIFS(survey_frozen!$M$2:$M$251,survey_frozen!$P$2:$P$251,$A50&amp;"|"&amp;$B50),IFERROR(COUNTIFS(INDIRECT("'"&amp;$A50&amp;"'!$B$2:$B$501"),$T50,INDIRECT("'"&amp;$A50&amp;"'!$A$2:$A$501"),"&gt;="&amp;$I50,INDIRECT("'"&amp;$A50&amp;"'!$A$2:$A$501"),"&lt;"&amp;($BA50+1),INDIRECT("'"&amp;$A50&amp;"'!$G$2:$G$501"),"&lt;&gt;"),0)))</f>
        <v>0</v>
      </c>
      <c r="AZ50" s="30" t="str">
        <f aca="false">IF($A50="","",$A50&amp;"|"&amp;$L50)</f>
        <v>SAMPLE-CMP-006|8</v>
      </c>
      <c r="BA50" s="31" t="n">
        <f aca="false">IF($A50="","",IFERROR(IF(INDEX(drops!$R$2:$R$21,MATCH($H50,drops!$A$2:$A$21,0))="","",INDEX(drops!$R$2:$R$21,MATCH($H50,drops!$A$2:$A$21,0))),""))</f>
        <v>46447</v>
      </c>
      <c r="BB50" s="30" t="n">
        <f aca="false">IF(OR($A50="",$Q50&lt;&gt;"Y"),1000000,N($AL50))</f>
        <v>5</v>
      </c>
      <c r="BC50" s="30" t="str">
        <f aca="false">IF($A50="","",IF(COUNTIF(survey_frozen!$P$2:$P$251,$A50&amp;"|"&amp;$B50)&gt;0,"Y",""))</f>
        <v/>
      </c>
      <c r="BD50" s="30" t="str">
        <f aca="false">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ustomFormat="false" ht="15" hidden="false" customHeight="false" outlineLevel="0" collapsed="false">
      <c r="A51" s="0" t="s">
        <v>563</v>
      </c>
      <c r="B51" s="0" t="s">
        <v>698</v>
      </c>
      <c r="C51" s="11" t="n">
        <v>46412</v>
      </c>
      <c r="D51" s="10" t="s">
        <v>496</v>
      </c>
      <c r="E51" s="11" t="n">
        <v>46414</v>
      </c>
      <c r="F51" s="10" t="s">
        <v>737</v>
      </c>
      <c r="G51" s="0" t="n">
        <v>35</v>
      </c>
      <c r="H51" s="30" t="str">
        <f aca="false">IF($A51="","",IFERROR(IF(INDEX(campaigns!$B$2:$B$51,MATCH($A51,campaigns!$A$2:$A$51,0))="","",INDEX(campaigns!$B$2:$B$51,MATCH($A51,campaigns!$A$2:$A$51,0))),""))</f>
        <v>SAMPLE-DRP-003</v>
      </c>
      <c r="I51" s="31" t="n">
        <f aca="false">IF($A51="","",IFERROR(IF(INDEX(campaigns!$BG$2:$BG$51,MATCH($A51,campaigns!$A$2:$A$51,0))="","",INDEX(campaigns!$BG$2:$BG$51,MATCH($A51,campaigns!$A$2:$A$51,0))),""))</f>
        <v>46441</v>
      </c>
      <c r="J51" s="30" t="str">
        <f aca="false">IF($A51="","",IFERROR(IF(INDEX(campaigns!$BE$2:$BE$51,MATCH($A51,campaigns!$A$2:$A$51,0))="","",INDEX(campaigns!$BE$2:$BE$51,MATCH($A51,campaigns!$A$2:$A$51,0))),""))</f>
        <v>SAMPLE Saltmarsh</v>
      </c>
      <c r="K51" s="30" t="str">
        <f aca="false">IF($B51="","",IFERROR(IF(INDEX(offices!$O$2:$O$61,MATCH($B51,offices!$A$2:$A$61,0))="","",INDEX(offices!$O$2:$O$61,MATCH($B51,offices!$A$2:$A$61,0))),""))</f>
        <v>SAMPLE Quill Nonprofit Press</v>
      </c>
      <c r="L51" s="30" t="n">
        <f aca="false">IF($A51="","",IF($Q51="N","",COUNTIFS($A$2:$A51,$A51,$Q$2:$Q51,"&lt;&gt;N")))</f>
        <v>9</v>
      </c>
      <c r="M51" s="30" t="str">
        <f aca="false">IF(OR($A51="",$L51=""),"",IF(AND(config!$B$34="names_if_public",IFERROR(IF(INDEX(offices!$AG$2:$AG$61,MATCH($B51,offices!$A$2:$A$61,0))="","",INDEX(offices!$AG$2:$AG$61,MATCH($B51,offices!$A$2:$A$61,0))),"")="Y"),$K51,CHAR(64+$L51)))</f>
        <v>I</v>
      </c>
      <c r="N51" s="30" t="n">
        <f aca="false">IF(OR($A51="",$I51=""),"",COUNTIFS(stops!$B$2:$B$151,$B51,stops!$P$2:$P$151,"&lt;"&amp;$I51,stops!$L$2:$L$151,"&lt;&gt;not_delivered")+1)</f>
        <v>2</v>
      </c>
      <c r="O51" s="30" t="str">
        <f aca="false">IF($A51="","",IF(N($N51)&lt;=config!$B$29,"explicit","opt-out"))</f>
        <v>explicit</v>
      </c>
      <c r="P51" s="30" t="str">
        <f aca="false">IF($A51="","",IF($O51="explicit",IF($D51="yes","Y",IF($D51="no","N","pending")),IF($D51="no","N",IF(AND($C51&lt;&gt;"",$I51&lt;&gt;"",$C51&lt;=WORKDAY(N($I51),-5,calendar!$A$2:$A$80)),"Y","pending"))))</f>
        <v>Y</v>
      </c>
      <c r="Q51" s="30" t="str">
        <f aca="false">IF($A51="","",IF($P51="N","N",IF($P51&lt;&gt;"Y","pending",IF(AND((COUNTIFS(stops!$A$2:$A$151,$H51,stops!$B$2:$B$151,$B51,stops!$L$2:$L$151,"declined")+COUNTIFS(stops!$A$2:$A$151,$H51,stops!$B$2:$B$151,$B51,stops!$L$2:$L$151,"building_refused")+COUNTIFS(stops!$A$2:$A$151,$H51,stops!$B$2:$B$151,$B51,stops!$L$2:$L$151,"not_delivered"))&gt;0,N($U51)=0),"N","Y"))))</f>
        <v>Y</v>
      </c>
      <c r="R51" s="30" t="str">
        <f aca="false">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30" t="n">
        <f aca="false">IF($A51="","",IF($G51&lt;&gt;"",$G51,IFERROR(IF(INDEX(offices!$AM$2:$AM$61,MATCH($B51,offices!$A$2:$A$61,0))="","",INDEX(offices!$AM$2:$AM$61,MATCH($B51,offices!$A$2:$A$61,0))),"")))</f>
        <v>35</v>
      </c>
      <c r="T51" s="30" t="str">
        <f aca="false">IF($A51="","",$A51&amp;"."&amp;$B51)</f>
        <v>SAMPLE-CMP-006.SAMPLE-O-010</v>
      </c>
      <c r="U51" s="30" t="n">
        <f aca="false">IF($A51="","",SUMIFS(inventory!$G$2:$G$801,inventory!$C$2:$C$801,$A51,inventory!$D$2:$D$801,$B51,inventory!$E$2:$E$801,"delivered"))</f>
        <v>35</v>
      </c>
      <c r="V51" s="37" t="n">
        <f aca="false">IF($A51="","",IFERROR(1/(1/SUMPRODUCT(MAX((inventory!$C$2:$C$801=$A51)*(inventory!$D$2:$D$801=$B51)*(inventory!$E$2:$E$801="delivered")*(inventory!$A$2:$A$801+inventory!$B$2:$B$801)))),""))</f>
        <v>46441.3618055556</v>
      </c>
      <c r="W51" s="30" t="str">
        <f aca="false">IF($A51="","",IFERROR(IF(INDEX(inventory!$J$2:$J$801,MATCH($A51&amp;"|"&amp;$B51&amp;"|delivered",inventory!$R$2:$R$801,0))="","",INDEX(inventory!$J$2:$J$801,MATCH($A51&amp;"|"&amp;$B51&amp;"|delivered",inventory!$R$2:$R$801,0))),""))</f>
        <v>courier_count</v>
      </c>
      <c r="X51" s="30" t="str">
        <f aca="false">IF($A51="","",IFERROR(IF(INDEX(photos!$H$2:$H$701,MATCH($A51&amp;"|"&amp;$B51&amp;"|placement|Y",photos!$R$2:$R$701,0))="","",INDEX(photos!$H$2:$H$701,MATCH($A51&amp;"|"&amp;$B51&amp;"|placement|Y",photos!$R$2:$R$701,0))),""))</f>
        <v>SAMPLE-CMP-006_SAMPLE-O-010_placement_2027-02-23.jpg</v>
      </c>
      <c r="Y51" s="31" t="n">
        <f aca="false">IF($A51="","",IFERROR(IF(INDEX(photos!$E$2:$E$701,MATCH($A51&amp;"|"&amp;$B51&amp;"|placement|Y",photos!$R$2:$R$701,0))="","",INDEX(photos!$E$2:$E$701,MATCH($A51&amp;"|"&amp;$B51&amp;"|placement|Y",photos!$R$2:$R$701,0))),""))</f>
        <v>46441</v>
      </c>
      <c r="Z51" s="30" t="n">
        <f aca="false">IF($A51="","",IF(COUNTIFS(counts!$C$2:$C$701,$A51,counts!$D$2:$D$701,$B51,counts!$E$2:$E$701,"placed")=0,"",SUMIFS(counts!$F$2:$F$701,counts!$C$2:$C$701,$A51,counts!$D$2:$D$701,$B51,counts!$E$2:$E$701,"placed")))</f>
        <v>35</v>
      </c>
      <c r="AA51" s="30" t="n">
        <f aca="false">IF($A51="","",IF($Y51="",0,N($Z51)))</f>
        <v>35</v>
      </c>
      <c r="AB51" s="30" t="str">
        <f aca="false">IF($A51="","",IF(OR($Y51="",$I51=""),"N",IF($Y51&lt;=WORKDAY(N($I51),1,calendar!$A$2:$A$80),"Y","N")))</f>
        <v>Y</v>
      </c>
      <c r="AC51" s="33" t="n">
        <f aca="false">IF(OR($A51="",$V51="",$Y51=""),"",ROUND(($Y51+N(IFERROR(IF(INDEX(photos!$F$2:$F$701,MATCH($A51&amp;"|"&amp;$B51&amp;"|placement|Y",photos!$R$2:$R$701,0))="","",INDEX(photos!$F$2:$F$701,MATCH($A51&amp;"|"&amp;$B51&amp;"|placement|Y",photos!$R$2:$R$701,0))),""))-$V51)*24,1))</f>
        <v>4.3</v>
      </c>
      <c r="AD51" s="30" t="n">
        <f aca="false">IF($A51="","",SUMIFS(inventory!$G$2:$G$801,inventory!$C$2:$C$801,$A51,inventory!$D$2:$D$801,$B51,inventory!$E$2:$E$801,"topped_up"))</f>
        <v>0</v>
      </c>
      <c r="AE51" s="30" t="n">
        <f aca="false">IF($A51="","",IF(COUNTIFS(counts!$C$2:$C$701,$A51,counts!$D$2:$D$701,$B51,counts!$E$2:$E$701,"remaining_day3")=0,"",SUMIFS(counts!$F$2:$F$701,counts!$C$2:$C$701,$A51,counts!$D$2:$D$701,$B51,counts!$E$2:$E$701,"remaining_day3")))</f>
        <v>14</v>
      </c>
      <c r="AF51" s="30" t="n">
        <f aca="false">IF($A51="","",IF(COUNTIFS(counts!$C$2:$C$701,$A51,counts!$D$2:$D$701,$B51,counts!$E$2:$E$701,"remaining_day5")=0,"",SUMIFS(counts!$F$2:$F$701,counts!$C$2:$C$701,$A51,counts!$D$2:$D$701,$B51,counts!$E$2:$E$701,"remaining_day5")))</f>
        <v>3</v>
      </c>
      <c r="AG51" s="30" t="n">
        <f aca="false">IF(OR($A51="",$AF51=""),"",MAX(0,$AA51+$AD51-$AF51))</f>
        <v>32</v>
      </c>
      <c r="AH51" s="30" t="str">
        <f aca="false">IF(OR($A51="",$AI51=""),"",IFERROR(IF(INDEX(photos!$H$2:$H$701,MATCH($A51&amp;"|"&amp;$B51&amp;"|later|Y|"&amp;$AI51,photos!$S$2:$S$701,0))="","",INDEX(photos!$H$2:$H$701,MATCH($A51&amp;"|"&amp;$B51&amp;"|later|Y|"&amp;$AI51,photos!$S$2:$S$701,0))),""))</f>
        <v>SAMPLE-CMP-006_SAMPLE-O-010_later_2027-03-01.jpg</v>
      </c>
      <c r="AI51" s="31" t="n">
        <f aca="false">IF($A51="","",IFERROR(1/(1/SUMPRODUCT(MAX((photos!$B$2:$B$701=$A51)*(photos!$C$2:$C$701=$B51)*(photos!$D$2:$D$701="later")*(photos!$O$2:$O$701="Y")*photos!$E$2:$E$701))),""))</f>
        <v>46447</v>
      </c>
      <c r="AJ51" s="30" t="n">
        <f aca="false">IF(OR($A51="",$AI51="",$I51=""),"",NETWORKDAYS($I51,$AI51,calendar!$A$2:$A$80))</f>
        <v>5</v>
      </c>
      <c r="AK51" s="30" t="str">
        <f aca="false">IF($A51="","",IF(AND($X51&lt;&gt;"",$AH51&lt;&gt;""),"Y","N"))</f>
        <v>Y</v>
      </c>
      <c r="AL51" s="30" t="n">
        <f aca="true">IF(OR($A51="",$I51=""),"",IF($BC51="Y",SUMIFS(survey_frozen!$C$2:$C$251,survey_frozen!$P$2:$P$251,$A51&amp;"|"&amp;$B51),IFERROR(COUNTIFS(INDIRECT("'"&amp;$A51&amp;"'!$B$2:$B$501"),$T51,INDIRECT("'"&amp;$A51&amp;"'!$A$2:$A$501"),"&gt;="&amp;$I51,INDIRECT("'"&amp;$A51&amp;"'!$A$2:$A$501"),"&lt;"&amp;($BA51+1)),0)))</f>
        <v>8</v>
      </c>
      <c r="AM51" s="30" t="n">
        <f aca="true">IF(OR($A51="",$I51=""),"",IF($BC51="Y",SUMIFS(survey_frozen!$D$2:$D$251,survey_frozen!$P$2:$P$251,$A51&amp;"|"&amp;$B51),IFERROR(COUNTIFS(INDIRECT("'"&amp;$A51&amp;"'!$B$2:$B$501"),$T51,INDIRECT("'"&amp;$A51&amp;"'!$A$2:$A$501"),"&gt;="&amp;$I51,INDIRECT("'"&amp;$A51&amp;"'!$A$2:$A$501"),"&lt;"&amp;($BA51+1),INDIRECT("'"&amp;$A51&amp;"'!$C$2:$C$501"),"Yes"),0)))</f>
        <v>7</v>
      </c>
      <c r="AN51" s="30" t="n">
        <f aca="false">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9</v>
      </c>
      <c r="AO51" s="30" t="n">
        <f aca="false">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12</v>
      </c>
      <c r="AP51" s="30" t="str">
        <f aca="true">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30" t="n">
        <f aca="true">IF(OR($A51="",$I51=""),"",IF($BC51="Y",SUMIFS(survey_frozen!$E$2:$E$251,survey_frozen!$P$2:$P$251,$A51&amp;"|"&amp;$B51),IFERROR(COUNTIFS(INDIRECT("'"&amp;$A51&amp;"'!$B$2:$B$501"),$T51,INDIRECT("'"&amp;$A51&amp;"'!$A$2:$A$501"),"&gt;="&amp;$I51,INDIRECT("'"&amp;$A51&amp;"'!$A$2:$A$501"),"&lt;"&amp;($BA51+1),INDIRECT("'"&amp;$A51&amp;"'!$F$2:$F$501"),"Didn't see it"),0)))</f>
        <v>1</v>
      </c>
      <c r="AR51" s="30" t="n">
        <f aca="true">IF(OR($A51="",$I51=""),"",IF($BC51="Y",SUMIFS(survey_frozen!$F$2:$F$251,survey_frozen!$P$2:$P$251,$A51&amp;"|"&amp;$B51),IFERROR(COUNTIFS(INDIRECT("'"&amp;$A51&amp;"'!$B$2:$B$501"),$T51,INDIRECT("'"&amp;$A51&amp;"'!$A$2:$A$501"),"&gt;="&amp;$I51,INDIRECT("'"&amp;$A51&amp;"'!$A$2:$A$501"),"&lt;"&amp;($BA51+1),INDIRECT("'"&amp;$A51&amp;"'!$F$2:$F$501"),"Not for me"),0)))</f>
        <v>0</v>
      </c>
      <c r="AS51" s="30" t="n">
        <f aca="true">IF(OR($A51="",$I51=""),"",IF($BC51="Y",SUMIFS(survey_frozen!$G$2:$G$251,survey_frozen!$P$2:$P$251,$A51&amp;"|"&amp;$B51),IFERROR(COUNTIFS(INDIRECT("'"&amp;$A51&amp;"'!$B$2:$B$501"),$T51,INDIRECT("'"&amp;$A51&amp;"'!$A$2:$A$501"),"&gt;="&amp;$I51,INDIRECT("'"&amp;$A51&amp;"'!$A$2:$A$501"),"&lt;"&amp;($BA51+1),INDIRECT("'"&amp;$A51&amp;"'!$F$2:$F$501"),"Gone by the time I looked"),0)))</f>
        <v>0</v>
      </c>
      <c r="AT51" s="30" t="n">
        <f aca="true">IF(OR($A51="",$I51=""),"",IF($BC51="Y",SUMIFS(survey_frozen!$H$2:$H$251,survey_frozen!$P$2:$P$251,$A51&amp;"|"&amp;$B51),IFERROR(COUNTIFS(INDIRECT("'"&amp;$A51&amp;"'!$B$2:$B$501"),$T51,INDIRECT("'"&amp;$A51&amp;"'!$A$2:$A$501"),"&gt;="&amp;$I51,INDIRECT("'"&amp;$A51&amp;"'!$A$2:$A$501"),"&lt;"&amp;($BA51+1),INDIRECT("'"&amp;$A51&amp;"'!$D$2:$D$501"),"&gt;=1"),0)))</f>
        <v>7</v>
      </c>
      <c r="AU51" s="30" t="n">
        <f aca="true">IF(OR($A51="",$I51=""),"",IF($BC51="Y",SUMIFS(survey_frozen!$I$2:$I$251,survey_frozen!$P$2:$P$251,$A51&amp;"|"&amp;$B51),IFERROR(SUMIFS(INDIRECT("'"&amp;$A51&amp;"'!$D$2:$D$501"),INDIRECT("'"&amp;$A51&amp;"'!$B$2:$B$501"),$T51,INDIRECT("'"&amp;$A51&amp;"'!$A$2:$A$501"),"&gt;="&amp;$I51,INDIRECT("'"&amp;$A51&amp;"'!$A$2:$A$501"),"&lt;"&amp;($BA51+1)),0)))</f>
        <v>31</v>
      </c>
      <c r="AV51" s="30" t="n">
        <f aca="true">IF(OR($A51="",$I51=""),"",IF($BC51="Y",SUMIFS(survey_frozen!$J$2:$J$251,survey_frozen!$P$2:$P$251,$A51&amp;"|"&amp;$B51),IFERROR(COUNTIFS(INDIRECT("'"&amp;$A51&amp;"'!$B$2:$B$501"),$T51,INDIRECT("'"&amp;$A51&amp;"'!$A$2:$A$501"),"&gt;="&amp;$I51,INDIRECT("'"&amp;$A51&amp;"'!$A$2:$A$501"),"&lt;"&amp;($BA51+1),INDIRECT("'"&amp;$A51&amp;"'!$E$2:$E$501"),"Yes"),0)))</f>
        <v>1</v>
      </c>
      <c r="AW51" s="30" t="n">
        <f aca="true">IF(OR($A51="",$I51=""),"",IF($BC51="Y",SUMIFS(survey_frozen!$K$2:$K$251,survey_frozen!$P$2:$P$251,$A51&amp;"|"&amp;$B51),IFERROR(COUNTIFS(INDIRECT("'"&amp;$A51&amp;"'!$B$2:$B$501"),$T51,INDIRECT("'"&amp;$A51&amp;"'!$A$2:$A$501"),"&gt;="&amp;$I51,INDIRECT("'"&amp;$A51&amp;"'!$A$2:$A$501"),"&lt;"&amp;($BA51+1),INDIRECT("'"&amp;$A51&amp;"'!$E$2:$E$501"),"Maybe"),0)))</f>
        <v>4</v>
      </c>
      <c r="AX51" s="30" t="n">
        <f aca="true">IF(OR($A51="",$I51=""),"",IF($BC51="Y",SUMIFS(survey_frozen!$L$2:$L$251,survey_frozen!$P$2:$P$251,$A51&amp;"|"&amp;$B51),IFERROR(COUNTIFS(INDIRECT("'"&amp;$A51&amp;"'!$B$2:$B$501"),$T51,INDIRECT("'"&amp;$A51&amp;"'!$A$2:$A$501"),"&gt;="&amp;$I51,INDIRECT("'"&amp;$A51&amp;"'!$A$2:$A$501"),"&lt;"&amp;($BA51+1),INDIRECT("'"&amp;$A51&amp;"'!$E$2:$E$501"),"No"),0)))</f>
        <v>2</v>
      </c>
      <c r="AY51" s="30" t="n">
        <f aca="true">IF(OR($A51="",$I51=""),"",IF($BC51="Y",SUMIFS(survey_frozen!$M$2:$M$251,survey_frozen!$P$2:$P$251,$A51&amp;"|"&amp;$B51),IFERROR(COUNTIFS(INDIRECT("'"&amp;$A51&amp;"'!$B$2:$B$501"),$T51,INDIRECT("'"&amp;$A51&amp;"'!$A$2:$A$501"),"&gt;="&amp;$I51,INDIRECT("'"&amp;$A51&amp;"'!$A$2:$A$501"),"&lt;"&amp;($BA51+1),INDIRECT("'"&amp;$A51&amp;"'!$G$2:$G$501"),"&lt;&gt;"),0)))</f>
        <v>4</v>
      </c>
      <c r="AZ51" s="30" t="str">
        <f aca="false">IF($A51="","",$A51&amp;"|"&amp;$L51)</f>
        <v>SAMPLE-CMP-006|9</v>
      </c>
      <c r="BA51" s="31" t="n">
        <f aca="false">IF($A51="","",IFERROR(IF(INDEX(drops!$R$2:$R$21,MATCH($H51,drops!$A$2:$A$21,0))="","",INDEX(drops!$R$2:$R$21,MATCH($H51,drops!$A$2:$A$21,0))),""))</f>
        <v>46447</v>
      </c>
      <c r="BB51" s="30" t="n">
        <f aca="false">IF(OR($A51="",$Q51&lt;&gt;"Y"),1000000,N($AL51))</f>
        <v>8</v>
      </c>
      <c r="BC51" s="30" t="str">
        <f aca="false">IF($A51="","",IF(COUNTIF(survey_frozen!$P$2:$P$251,$A51&amp;"|"&amp;$B51)&gt;0,"Y",""))</f>
        <v/>
      </c>
      <c r="BD51" s="30" t="str">
        <f aca="false">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ustomFormat="false" ht="15" hidden="false" customHeight="false" outlineLevel="0" collapsed="false">
      <c r="A52" s="0" t="s">
        <v>576</v>
      </c>
      <c r="B52" s="0" t="s">
        <v>678</v>
      </c>
      <c r="C52" s="11" t="n">
        <v>46442</v>
      </c>
      <c r="D52" s="10"/>
      <c r="E52" s="11"/>
      <c r="H52" s="30" t="str">
        <f aca="false">IF($A52="","",IFERROR(IF(INDEX(campaigns!$B$2:$B$51,MATCH($A52,campaigns!$A$2:$A$51,0))="","",INDEX(campaigns!$B$2:$B$51,MATCH($A52,campaigns!$A$2:$A$51,0))),""))</f>
        <v>SAMPLE-DRP-004</v>
      </c>
      <c r="I52" s="31" t="n">
        <f aca="false">IF($A52="","",IFERROR(IF(INDEX(campaigns!$BG$2:$BG$51,MATCH($A52,campaigns!$A$2:$A$51,0))="","",INDEX(campaigns!$BG$2:$BG$51,MATCH($A52,campaigns!$A$2:$A$51,0))),""))</f>
        <v>46469</v>
      </c>
      <c r="J52" s="30" t="str">
        <f aca="false">IF($A52="","",IFERROR(IF(INDEX(campaigns!$BE$2:$BE$51,MATCH($A52,campaigns!$A$2:$A$51,0))="","",INDEX(campaigns!$BE$2:$BE$51,MATCH($A52,campaigns!$A$2:$A$51,0))),""))</f>
        <v>SAMPLE Brightside</v>
      </c>
      <c r="K52" s="30" t="str">
        <f aca="false">IF($B52="","",IFERROR(IF(INDEX(offices!$O$2:$O$61,MATCH($B52,offices!$A$2:$A$61,0))="","",INDEX(offices!$O$2:$O$61,MATCH($B52,offices!$A$2:$A$61,0))),""))</f>
        <v>SAMPLE Northpoint Software</v>
      </c>
      <c r="L52" s="30" t="n">
        <f aca="false">IF($A52="","",IF($Q52="N","",COUNTIFS($A$2:$A52,$A52,$Q$2:$Q52,"&lt;&gt;N")))</f>
        <v>1</v>
      </c>
      <c r="M52" s="30" t="str">
        <f aca="false">IF(OR($A52="",$L52=""),"",IF(AND(config!$B$34="names_if_public",IFERROR(IF(INDEX(offices!$AG$2:$AG$61,MATCH($B52,offices!$A$2:$A$61,0))="","",INDEX(offices!$AG$2:$AG$61,MATCH($B52,offices!$A$2:$A$61,0))),"")="Y"),$K52,CHAR(64+$L52)))</f>
        <v>A</v>
      </c>
      <c r="N52" s="30" t="n">
        <f aca="false">IF(OR($A52="",$I52=""),"",COUNTIFS(stops!$B$2:$B$151,$B52,stops!$P$2:$P$151,"&lt;"&amp;$I52,stops!$L$2:$L$151,"&lt;&gt;not_delivered")+1)</f>
        <v>4</v>
      </c>
      <c r="O52" s="30" t="str">
        <f aca="false">IF($A52="","",IF(N($N52)&lt;=config!$B$29,"explicit","opt-out"))</f>
        <v>opt-out</v>
      </c>
      <c r="P52" s="30" t="str">
        <f aca="false">IF($A52="","",IF($O52="explicit",IF($D52="yes","Y",IF($D52="no","N","pending")),IF($D52="no","N",IF(AND($C52&lt;&gt;"",$I52&lt;&gt;"",$C52&lt;=WORKDAY(N($I52),-5,calendar!$A$2:$A$80)),"Y","pending"))))</f>
        <v>Y</v>
      </c>
      <c r="Q52" s="30" t="str">
        <f aca="false">IF($A52="","",IF($P52="N","N",IF($P52&lt;&gt;"Y","pending",IF(AND((COUNTIFS(stops!$A$2:$A$151,$H52,stops!$B$2:$B$151,$B52,stops!$L$2:$L$151,"declined")+COUNTIFS(stops!$A$2:$A$151,$H52,stops!$B$2:$B$151,$B52,stops!$L$2:$L$151,"building_refused")+COUNTIFS(stops!$A$2:$A$151,$H52,stops!$B$2:$B$151,$B52,stops!$L$2:$L$151,"not_delivered"))&gt;0,N($U52)=0),"N","Y"))))</f>
        <v>Y</v>
      </c>
      <c r="R52" s="30" t="str">
        <f aca="false">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30" t="n">
        <f aca="false">IF($A52="","",IF($G52&lt;&gt;"",$G52,IFERROR(IF(INDEX(offices!$AM$2:$AM$61,MATCH($B52,offices!$A$2:$A$61,0))="","",INDEX(offices!$AM$2:$AM$61,MATCH($B52,offices!$A$2:$A$61,0))),"")))</f>
        <v>40</v>
      </c>
      <c r="T52" s="30" t="str">
        <f aca="false">IF($A52="","",$A52&amp;"."&amp;$B52)</f>
        <v>SAMPLE-CMP-007.SAMPLE-O-001</v>
      </c>
      <c r="U52" s="30" t="n">
        <f aca="false">IF($A52="","",SUMIFS(inventory!$G$2:$G$801,inventory!$C$2:$C$801,$A52,inventory!$D$2:$D$801,$B52,inventory!$E$2:$E$801,"delivered"))</f>
        <v>40</v>
      </c>
      <c r="V52" s="37" t="n">
        <f aca="false">IF($A52="","",IFERROR(1/(1/SUMPRODUCT(MAX((inventory!$C$2:$C$801=$A52)*(inventory!$D$2:$D$801=$B52)*(inventory!$E$2:$E$801="delivered")*(inventory!$A$2:$A$801+inventory!$B$2:$B$801)))),""))</f>
        <v>46469.4243055556</v>
      </c>
      <c r="W52" s="30" t="str">
        <f aca="false">IF($A52="","",IFERROR(IF(INDEX(inventory!$J$2:$J$801,MATCH($A52&amp;"|"&amp;$B52&amp;"|delivered",inventory!$R$2:$R$801,0))="","",INDEX(inventory!$J$2:$J$801,MATCH($A52&amp;"|"&amp;$B52&amp;"|delivered",inventory!$R$2:$R$801,0))),""))</f>
        <v>office_count</v>
      </c>
      <c r="X52" s="30" t="str">
        <f aca="false">IF($A52="","",IFERROR(IF(INDEX(photos!$H$2:$H$701,MATCH($A52&amp;"|"&amp;$B52&amp;"|placement|Y",photos!$R$2:$R$701,0))="","",INDEX(photos!$H$2:$H$701,MATCH($A52&amp;"|"&amp;$B52&amp;"|placement|Y",photos!$R$2:$R$701,0))),""))</f>
        <v>SAMPLE-CMP-007_SAMPLE-O-001_placement_2027-03-23.jpg</v>
      </c>
      <c r="Y52" s="31" t="n">
        <f aca="false">IF($A52="","",IFERROR(IF(INDEX(photos!$E$2:$E$701,MATCH($A52&amp;"|"&amp;$B52&amp;"|placement|Y",photos!$R$2:$R$701,0))="","",INDEX(photos!$E$2:$E$701,MATCH($A52&amp;"|"&amp;$B52&amp;"|placement|Y",photos!$R$2:$R$701,0))),""))</f>
        <v>46469</v>
      </c>
      <c r="Z52" s="30" t="n">
        <f aca="false">IF($A52="","",IF(COUNTIFS(counts!$C$2:$C$701,$A52,counts!$D$2:$D$701,$B52,counts!$E$2:$E$701,"placed")=0,"",SUMIFS(counts!$F$2:$F$701,counts!$C$2:$C$701,$A52,counts!$D$2:$D$701,$B52,counts!$E$2:$E$701,"placed")))</f>
        <v>40</v>
      </c>
      <c r="AA52" s="30" t="n">
        <f aca="false">IF($A52="","",IF($Y52="",0,N($Z52)))</f>
        <v>40</v>
      </c>
      <c r="AB52" s="30" t="str">
        <f aca="false">IF($A52="","",IF(OR($Y52="",$I52=""),"N",IF($Y52&lt;=WORKDAY(N($I52),1,calendar!$A$2:$A$80),"Y","N")))</f>
        <v>Y</v>
      </c>
      <c r="AC52" s="33" t="n">
        <f aca="false">IF(OR($A52="",$V52="",$Y52=""),"",ROUND(($Y52+N(IFERROR(IF(INDEX(photos!$F$2:$F$701,MATCH($A52&amp;"|"&amp;$B52&amp;"|placement|Y",photos!$R$2:$R$701,0))="","",INDEX(photos!$F$2:$F$701,MATCH($A52&amp;"|"&amp;$B52&amp;"|placement|Y",photos!$R$2:$R$701,0))),""))-$V52)*24,1))</f>
        <v>2.8</v>
      </c>
      <c r="AD52" s="30" t="n">
        <f aca="false">IF($A52="","",SUMIFS(inventory!$G$2:$G$801,inventory!$C$2:$C$801,$A52,inventory!$D$2:$D$801,$B52,inventory!$E$2:$E$801,"topped_up"))</f>
        <v>0</v>
      </c>
      <c r="AE52" s="30" t="n">
        <f aca="false">IF($A52="","",IF(COUNTIFS(counts!$C$2:$C$701,$A52,counts!$D$2:$D$701,$B52,counts!$E$2:$E$701,"remaining_day3")=0,"",SUMIFS(counts!$F$2:$F$701,counts!$C$2:$C$701,$A52,counts!$D$2:$D$701,$B52,counts!$E$2:$E$701,"remaining_day3")))</f>
        <v>13</v>
      </c>
      <c r="AF52" s="30" t="n">
        <f aca="false">IF($A52="","",IF(COUNTIFS(counts!$C$2:$C$701,$A52,counts!$D$2:$D$701,$B52,counts!$E$2:$E$701,"remaining_day5")=0,"",SUMIFS(counts!$F$2:$F$701,counts!$C$2:$C$701,$A52,counts!$D$2:$D$701,$B52,counts!$E$2:$E$701,"remaining_day5")))</f>
        <v>3</v>
      </c>
      <c r="AG52" s="30" t="n">
        <f aca="false">IF(OR($A52="",$AF52=""),"",MAX(0,$AA52+$AD52-$AF52))</f>
        <v>37</v>
      </c>
      <c r="AH52" s="30" t="str">
        <f aca="false">IF(OR($A52="",$AI52=""),"",IFERROR(IF(INDEX(photos!$H$2:$H$701,MATCH($A52&amp;"|"&amp;$B52&amp;"|later|Y|"&amp;$AI52,photos!$S$2:$S$701,0))="","",INDEX(photos!$H$2:$H$701,MATCH($A52&amp;"|"&amp;$B52&amp;"|later|Y|"&amp;$AI52,photos!$S$2:$S$701,0))),""))</f>
        <v>SAMPLE-CMP-007_SAMPLE-O-001_later_2027-03-29.jpg</v>
      </c>
      <c r="AI52" s="31" t="n">
        <f aca="false">IF($A52="","",IFERROR(1/(1/SUMPRODUCT(MAX((photos!$B$2:$B$701=$A52)*(photos!$C$2:$C$701=$B52)*(photos!$D$2:$D$701="later")*(photos!$O$2:$O$701="Y")*photos!$E$2:$E$701))),""))</f>
        <v>46475</v>
      </c>
      <c r="AJ52" s="30" t="n">
        <f aca="false">IF(OR($A52="",$AI52="",$I52=""),"",NETWORKDAYS($I52,$AI52,calendar!$A$2:$A$80))</f>
        <v>5</v>
      </c>
      <c r="AK52" s="30" t="str">
        <f aca="false">IF($A52="","",IF(AND($X52&lt;&gt;"",$AH52&lt;&gt;""),"Y","N"))</f>
        <v>Y</v>
      </c>
      <c r="AL52" s="30" t="n">
        <f aca="true">IF(OR($A52="",$I52=""),"",IF($BC52="Y",SUMIFS(survey_frozen!$C$2:$C$251,survey_frozen!$P$2:$P$251,$A52&amp;"|"&amp;$B52),IFERROR(COUNTIFS(INDIRECT("'"&amp;$A52&amp;"'!$B$2:$B$501"),$T52,INDIRECT("'"&amp;$A52&amp;"'!$A$2:$A$501"),"&gt;="&amp;$I52,INDIRECT("'"&amp;$A52&amp;"'!$A$2:$A$501"),"&lt;"&amp;($BA52+1)),0)))</f>
        <v>5</v>
      </c>
      <c r="AM52" s="30" t="n">
        <f aca="true">IF(OR($A52="",$I52=""),"",IF($BC52="Y",SUMIFS(survey_frozen!$D$2:$D$251,survey_frozen!$P$2:$P$251,$A52&amp;"|"&amp;$B52),IFERROR(COUNTIFS(INDIRECT("'"&amp;$A52&amp;"'!$B$2:$B$501"),$T52,INDIRECT("'"&amp;$A52&amp;"'!$A$2:$A$501"),"&gt;="&amp;$I52,INDIRECT("'"&amp;$A52&amp;"'!$A$2:$A$501"),"&lt;"&amp;($BA52+1),INDIRECT("'"&amp;$A52&amp;"'!$C$2:$C$501"),"Yes"),0)))</f>
        <v>5</v>
      </c>
      <c r="AN52" s="30" t="n">
        <f aca="false">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6</v>
      </c>
      <c r="AO52" s="30" t="n">
        <f aca="false">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9</v>
      </c>
      <c r="AP52" s="30" t="str">
        <f aca="true">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30" t="n">
        <f aca="true">IF(OR($A52="",$I52=""),"",IF($BC52="Y",SUMIFS(survey_frozen!$E$2:$E$251,survey_frozen!$P$2:$P$251,$A52&amp;"|"&amp;$B52),IFERROR(COUNTIFS(INDIRECT("'"&amp;$A52&amp;"'!$B$2:$B$501"),$T52,INDIRECT("'"&amp;$A52&amp;"'!$A$2:$A$501"),"&gt;="&amp;$I52,INDIRECT("'"&amp;$A52&amp;"'!$A$2:$A$501"),"&lt;"&amp;($BA52+1),INDIRECT("'"&amp;$A52&amp;"'!$F$2:$F$501"),"Didn't see it"),0)))</f>
        <v>0</v>
      </c>
      <c r="AR52" s="30" t="n">
        <f aca="true">IF(OR($A52="",$I52=""),"",IF($BC52="Y",SUMIFS(survey_frozen!$F$2:$F$251,survey_frozen!$P$2:$P$251,$A52&amp;"|"&amp;$B52),IFERROR(COUNTIFS(INDIRECT("'"&amp;$A52&amp;"'!$B$2:$B$501"),$T52,INDIRECT("'"&amp;$A52&amp;"'!$A$2:$A$501"),"&gt;="&amp;$I52,INDIRECT("'"&amp;$A52&amp;"'!$A$2:$A$501"),"&lt;"&amp;($BA52+1),INDIRECT("'"&amp;$A52&amp;"'!$F$2:$F$501"),"Not for me"),0)))</f>
        <v>0</v>
      </c>
      <c r="AS52" s="30" t="n">
        <f aca="true">IF(OR($A52="",$I52=""),"",IF($BC52="Y",SUMIFS(survey_frozen!$G$2:$G$251,survey_frozen!$P$2:$P$251,$A52&amp;"|"&amp;$B52),IFERROR(COUNTIFS(INDIRECT("'"&amp;$A52&amp;"'!$B$2:$B$501"),$T52,INDIRECT("'"&amp;$A52&amp;"'!$A$2:$A$501"),"&gt;="&amp;$I52,INDIRECT("'"&amp;$A52&amp;"'!$A$2:$A$501"),"&lt;"&amp;($BA52+1),INDIRECT("'"&amp;$A52&amp;"'!$F$2:$F$501"),"Gone by the time I looked"),0)))</f>
        <v>0</v>
      </c>
      <c r="AT52" s="30" t="n">
        <f aca="true">IF(OR($A52="",$I52=""),"",IF($BC52="Y",SUMIFS(survey_frozen!$H$2:$H$251,survey_frozen!$P$2:$P$251,$A52&amp;"|"&amp;$B52),IFERROR(COUNTIFS(INDIRECT("'"&amp;$A52&amp;"'!$B$2:$B$501"),$T52,INDIRECT("'"&amp;$A52&amp;"'!$A$2:$A$501"),"&gt;="&amp;$I52,INDIRECT("'"&amp;$A52&amp;"'!$A$2:$A$501"),"&lt;"&amp;($BA52+1),INDIRECT("'"&amp;$A52&amp;"'!$D$2:$D$501"),"&gt;=1"),0)))</f>
        <v>5</v>
      </c>
      <c r="AU52" s="30" t="n">
        <f aca="true">IF(OR($A52="",$I52=""),"",IF($BC52="Y",SUMIFS(survey_frozen!$I$2:$I$251,survey_frozen!$P$2:$P$251,$A52&amp;"|"&amp;$B52),IFERROR(SUMIFS(INDIRECT("'"&amp;$A52&amp;"'!$D$2:$D$501"),INDIRECT("'"&amp;$A52&amp;"'!$B$2:$B$501"),$T52,INDIRECT("'"&amp;$A52&amp;"'!$A$2:$A$501"),"&gt;="&amp;$I52,INDIRECT("'"&amp;$A52&amp;"'!$A$2:$A$501"),"&lt;"&amp;($BA52+1)),0)))</f>
        <v>20</v>
      </c>
      <c r="AV52" s="30" t="n">
        <f aca="true">IF(OR($A52="",$I52=""),"",IF($BC52="Y",SUMIFS(survey_frozen!$J$2:$J$251,survey_frozen!$P$2:$P$251,$A52&amp;"|"&amp;$B52),IFERROR(COUNTIFS(INDIRECT("'"&amp;$A52&amp;"'!$B$2:$B$501"),$T52,INDIRECT("'"&amp;$A52&amp;"'!$A$2:$A$501"),"&gt;="&amp;$I52,INDIRECT("'"&amp;$A52&amp;"'!$A$2:$A$501"),"&lt;"&amp;($BA52+1),INDIRECT("'"&amp;$A52&amp;"'!$E$2:$E$501"),"Yes"),0)))</f>
        <v>3</v>
      </c>
      <c r="AW52" s="30" t="n">
        <f aca="true">IF(OR($A52="",$I52=""),"",IF($BC52="Y",SUMIFS(survey_frozen!$K$2:$K$251,survey_frozen!$P$2:$P$251,$A52&amp;"|"&amp;$B52),IFERROR(COUNTIFS(INDIRECT("'"&amp;$A52&amp;"'!$B$2:$B$501"),$T52,INDIRECT("'"&amp;$A52&amp;"'!$A$2:$A$501"),"&gt;="&amp;$I52,INDIRECT("'"&amp;$A52&amp;"'!$A$2:$A$501"),"&lt;"&amp;($BA52+1),INDIRECT("'"&amp;$A52&amp;"'!$E$2:$E$501"),"Maybe"),0)))</f>
        <v>2</v>
      </c>
      <c r="AX52" s="30" t="n">
        <f aca="true">IF(OR($A52="",$I52=""),"",IF($BC52="Y",SUMIFS(survey_frozen!$L$2:$L$251,survey_frozen!$P$2:$P$251,$A52&amp;"|"&amp;$B52),IFERROR(COUNTIFS(INDIRECT("'"&amp;$A52&amp;"'!$B$2:$B$501"),$T52,INDIRECT("'"&amp;$A52&amp;"'!$A$2:$A$501"),"&gt;="&amp;$I52,INDIRECT("'"&amp;$A52&amp;"'!$A$2:$A$501"),"&lt;"&amp;($BA52+1),INDIRECT("'"&amp;$A52&amp;"'!$E$2:$E$501"),"No"),0)))</f>
        <v>0</v>
      </c>
      <c r="AY52" s="30" t="n">
        <f aca="true">IF(OR($A52="",$I52=""),"",IF($BC52="Y",SUMIFS(survey_frozen!$M$2:$M$251,survey_frozen!$P$2:$P$251,$A52&amp;"|"&amp;$B52),IFERROR(COUNTIFS(INDIRECT("'"&amp;$A52&amp;"'!$B$2:$B$501"),$T52,INDIRECT("'"&amp;$A52&amp;"'!$A$2:$A$501"),"&gt;="&amp;$I52,INDIRECT("'"&amp;$A52&amp;"'!$A$2:$A$501"),"&lt;"&amp;($BA52+1),INDIRECT("'"&amp;$A52&amp;"'!$G$2:$G$501"),"&lt;&gt;"),0)))</f>
        <v>0</v>
      </c>
      <c r="AZ52" s="30" t="str">
        <f aca="false">IF($A52="","",$A52&amp;"|"&amp;$L52)</f>
        <v>SAMPLE-CMP-007|1</v>
      </c>
      <c r="BA52" s="31" t="n">
        <f aca="false">IF($A52="","",IFERROR(IF(INDEX(drops!$R$2:$R$21,MATCH($H52,drops!$A$2:$A$21,0))="","",INDEX(drops!$R$2:$R$21,MATCH($H52,drops!$A$2:$A$21,0))),""))</f>
        <v>46475</v>
      </c>
      <c r="BB52" s="30" t="n">
        <f aca="false">IF(OR($A52="",$Q52&lt;&gt;"Y"),1000000,N($AL52))</f>
        <v>5</v>
      </c>
      <c r="BC52" s="30" t="str">
        <f aca="false">IF($A52="","",IF(COUNTIF(survey_frozen!$P$2:$P$251,$A52&amp;"|"&amp;$B52)&gt;0,"Y",""))</f>
        <v/>
      </c>
      <c r="BD52" s="30" t="str">
        <f aca="false">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ustomFormat="false" ht="15" hidden="false" customHeight="false" outlineLevel="0" collapsed="false">
      <c r="A53" s="0" t="s">
        <v>576</v>
      </c>
      <c r="B53" s="0" t="s">
        <v>681</v>
      </c>
      <c r="C53" s="11" t="n">
        <v>46442</v>
      </c>
      <c r="D53" s="10"/>
      <c r="E53" s="11"/>
      <c r="H53" s="30" t="str">
        <f aca="false">IF($A53="","",IFERROR(IF(INDEX(campaigns!$B$2:$B$51,MATCH($A53,campaigns!$A$2:$A$51,0))="","",INDEX(campaigns!$B$2:$B$51,MATCH($A53,campaigns!$A$2:$A$51,0))),""))</f>
        <v>SAMPLE-DRP-004</v>
      </c>
      <c r="I53" s="31" t="n">
        <f aca="false">IF($A53="","",IFERROR(IF(INDEX(campaigns!$BG$2:$BG$51,MATCH($A53,campaigns!$A$2:$A$51,0))="","",INDEX(campaigns!$BG$2:$BG$51,MATCH($A53,campaigns!$A$2:$A$51,0))),""))</f>
        <v>46469</v>
      </c>
      <c r="J53" s="30" t="str">
        <f aca="false">IF($A53="","",IFERROR(IF(INDEX(campaigns!$BE$2:$BE$51,MATCH($A53,campaigns!$A$2:$A$51,0))="","",INDEX(campaigns!$BE$2:$BE$51,MATCH($A53,campaigns!$A$2:$A$51,0))),""))</f>
        <v>SAMPLE Brightside</v>
      </c>
      <c r="K53" s="30" t="str">
        <f aca="false">IF($B53="","",IFERROR(IF(INDEX(offices!$O$2:$O$61,MATCH($B53,offices!$A$2:$A$61,0))="","",INDEX(offices!$O$2:$O$61,MATCH($B53,offices!$A$2:$A$61,0))),""))</f>
        <v>SAMPLE Ferro Architecture</v>
      </c>
      <c r="L53" s="30" t="n">
        <f aca="false">IF($A53="","",IF($Q53="N","",COUNTIFS($A$2:$A53,$A53,$Q$2:$Q53,"&lt;&gt;N")))</f>
        <v>2</v>
      </c>
      <c r="M53" s="30" t="str">
        <f aca="false">IF(OR($A53="",$L53=""),"",IF(AND(config!$B$34="names_if_public",IFERROR(IF(INDEX(offices!$AG$2:$AG$61,MATCH($B53,offices!$A$2:$A$61,0))="","",INDEX(offices!$AG$2:$AG$61,MATCH($B53,offices!$A$2:$A$61,0))),"")="Y"),$K53,CHAR(64+$L53)))</f>
        <v>B</v>
      </c>
      <c r="N53" s="30" t="n">
        <f aca="false">IF(OR($A53="",$I53=""),"",COUNTIFS(stops!$B$2:$B$151,$B53,stops!$P$2:$P$151,"&lt;"&amp;$I53,stops!$L$2:$L$151,"&lt;&gt;not_delivered")+1)</f>
        <v>4</v>
      </c>
      <c r="O53" s="30" t="str">
        <f aca="false">IF($A53="","",IF(N($N53)&lt;=config!$B$29,"explicit","opt-out"))</f>
        <v>opt-out</v>
      </c>
      <c r="P53" s="30" t="str">
        <f aca="false">IF($A53="","",IF($O53="explicit",IF($D53="yes","Y",IF($D53="no","N","pending")),IF($D53="no","N",IF(AND($C53&lt;&gt;"",$I53&lt;&gt;"",$C53&lt;=WORKDAY(N($I53),-5,calendar!$A$2:$A$80)),"Y","pending"))))</f>
        <v>Y</v>
      </c>
      <c r="Q53" s="30" t="str">
        <f aca="false">IF($A53="","",IF($P53="N","N",IF($P53&lt;&gt;"Y","pending",IF(AND((COUNTIFS(stops!$A$2:$A$151,$H53,stops!$B$2:$B$151,$B53,stops!$L$2:$L$151,"declined")+COUNTIFS(stops!$A$2:$A$151,$H53,stops!$B$2:$B$151,$B53,stops!$L$2:$L$151,"building_refused")+COUNTIFS(stops!$A$2:$A$151,$H53,stops!$B$2:$B$151,$B53,stops!$L$2:$L$151,"not_delivered"))&gt;0,N($U53)=0),"N","Y"))))</f>
        <v>Y</v>
      </c>
      <c r="R53" s="30" t="str">
        <f aca="false">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30" t="n">
        <f aca="false">IF($A53="","",IF($G53&lt;&gt;"",$G53,IFERROR(IF(INDEX(offices!$AM$2:$AM$61,MATCH($B53,offices!$A$2:$A$61,0))="","",INDEX(offices!$AM$2:$AM$61,MATCH($B53,offices!$A$2:$A$61,0))),"")))</f>
        <v>40</v>
      </c>
      <c r="T53" s="30" t="str">
        <f aca="false">IF($A53="","",$A53&amp;"."&amp;$B53)</f>
        <v>SAMPLE-CMP-007.SAMPLE-O-002</v>
      </c>
      <c r="U53" s="30" t="n">
        <f aca="false">IF($A53="","",SUMIFS(inventory!$G$2:$G$801,inventory!$C$2:$C$801,$A53,inventory!$D$2:$D$801,$B53,inventory!$E$2:$E$801,"delivered"))</f>
        <v>40</v>
      </c>
      <c r="V53" s="37" t="n">
        <f aca="false">IF($A53="","",IFERROR(1/(1/SUMPRODUCT(MAX((inventory!$C$2:$C$801=$A53)*(inventory!$D$2:$D$801=$B53)*(inventory!$E$2:$E$801="delivered")*(inventory!$A$2:$A$801+inventory!$B$2:$B$801)))),""))</f>
        <v>46469.425</v>
      </c>
      <c r="W53" s="30" t="str">
        <f aca="false">IF($A53="","",IFERROR(IF(INDEX(inventory!$J$2:$J$801,MATCH($A53&amp;"|"&amp;$B53&amp;"|delivered",inventory!$R$2:$R$801,0))="","",INDEX(inventory!$J$2:$J$801,MATCH($A53&amp;"|"&amp;$B53&amp;"|delivered",inventory!$R$2:$R$801,0))),""))</f>
        <v>office_count</v>
      </c>
      <c r="X53" s="30" t="str">
        <f aca="false">IF($A53="","",IFERROR(IF(INDEX(photos!$H$2:$H$701,MATCH($A53&amp;"|"&amp;$B53&amp;"|placement|Y",photos!$R$2:$R$701,0))="","",INDEX(photos!$H$2:$H$701,MATCH($A53&amp;"|"&amp;$B53&amp;"|placement|Y",photos!$R$2:$R$701,0))),""))</f>
        <v>SAMPLE-CMP-007_SAMPLE-O-002_placement_2027-03-23.jpg</v>
      </c>
      <c r="Y53" s="31" t="n">
        <f aca="false">IF($A53="","",IFERROR(IF(INDEX(photos!$E$2:$E$701,MATCH($A53&amp;"|"&amp;$B53&amp;"|placement|Y",photos!$R$2:$R$701,0))="","",INDEX(photos!$E$2:$E$701,MATCH($A53&amp;"|"&amp;$B53&amp;"|placement|Y",photos!$R$2:$R$701,0))),""))</f>
        <v>46469</v>
      </c>
      <c r="Z53" s="30" t="n">
        <f aca="false">IF($A53="","",IF(COUNTIFS(counts!$C$2:$C$701,$A53,counts!$D$2:$D$701,$B53,counts!$E$2:$E$701,"placed")=0,"",SUMIFS(counts!$F$2:$F$701,counts!$C$2:$C$701,$A53,counts!$D$2:$D$701,$B53,counts!$E$2:$E$701,"placed")))</f>
        <v>40</v>
      </c>
      <c r="AA53" s="30" t="n">
        <f aca="false">IF($A53="","",IF($Y53="",0,N($Z53)))</f>
        <v>40</v>
      </c>
      <c r="AB53" s="30" t="str">
        <f aca="false">IF($A53="","",IF(OR($Y53="",$I53=""),"N",IF($Y53&lt;=WORKDAY(N($I53),1,calendar!$A$2:$A$80),"Y","N")))</f>
        <v>Y</v>
      </c>
      <c r="AC53" s="33" t="n">
        <f aca="false">IF(OR($A53="",$V53="",$Y53=""),"",ROUND(($Y53+N(IFERROR(IF(INDEX(photos!$F$2:$F$701,MATCH($A53&amp;"|"&amp;$B53&amp;"|placement|Y",photos!$R$2:$R$701,0))="","",INDEX(photos!$F$2:$F$701,MATCH($A53&amp;"|"&amp;$B53&amp;"|placement|Y",photos!$R$2:$R$701,0))),""))-$V53)*24,1))</f>
        <v>2.8</v>
      </c>
      <c r="AD53" s="30" t="n">
        <f aca="false">IF($A53="","",SUMIFS(inventory!$G$2:$G$801,inventory!$C$2:$C$801,$A53,inventory!$D$2:$D$801,$B53,inventory!$E$2:$E$801,"topped_up"))</f>
        <v>0</v>
      </c>
      <c r="AE53" s="30" t="n">
        <f aca="false">IF($A53="","",IF(COUNTIFS(counts!$C$2:$C$701,$A53,counts!$D$2:$D$701,$B53,counts!$E$2:$E$701,"remaining_day3")=0,"",SUMIFS(counts!$F$2:$F$701,counts!$C$2:$C$701,$A53,counts!$D$2:$D$701,$B53,counts!$E$2:$E$701,"remaining_day3")))</f>
        <v>11</v>
      </c>
      <c r="AF53" s="30" t="n">
        <f aca="false">IF($A53="","",IF(COUNTIFS(counts!$C$2:$C$701,$A53,counts!$D$2:$D$701,$B53,counts!$E$2:$E$701,"remaining_day5")=0,"",SUMIFS(counts!$F$2:$F$701,counts!$C$2:$C$701,$A53,counts!$D$2:$D$701,$B53,counts!$E$2:$E$701,"remaining_day5")))</f>
        <v>2</v>
      </c>
      <c r="AG53" s="30" t="n">
        <f aca="false">IF(OR($A53="",$AF53=""),"",MAX(0,$AA53+$AD53-$AF53))</f>
        <v>38</v>
      </c>
      <c r="AH53" s="30" t="str">
        <f aca="false">IF(OR($A53="",$AI53=""),"",IFERROR(IF(INDEX(photos!$H$2:$H$701,MATCH($A53&amp;"|"&amp;$B53&amp;"|later|Y|"&amp;$AI53,photos!$S$2:$S$701,0))="","",INDEX(photos!$H$2:$H$701,MATCH($A53&amp;"|"&amp;$B53&amp;"|later|Y|"&amp;$AI53,photos!$S$2:$S$701,0))),""))</f>
        <v>SAMPLE-CMP-007_SAMPLE-O-002_later_2027-03-29.jpg</v>
      </c>
      <c r="AI53" s="31" t="n">
        <f aca="false">IF($A53="","",IFERROR(1/(1/SUMPRODUCT(MAX((photos!$B$2:$B$701=$A53)*(photos!$C$2:$C$701=$B53)*(photos!$D$2:$D$701="later")*(photos!$O$2:$O$701="Y")*photos!$E$2:$E$701))),""))</f>
        <v>46475</v>
      </c>
      <c r="AJ53" s="30" t="n">
        <f aca="false">IF(OR($A53="",$AI53="",$I53=""),"",NETWORKDAYS($I53,$AI53,calendar!$A$2:$A$80))</f>
        <v>5</v>
      </c>
      <c r="AK53" s="30" t="str">
        <f aca="false">IF($A53="","",IF(AND($X53&lt;&gt;"",$AH53&lt;&gt;""),"Y","N"))</f>
        <v>Y</v>
      </c>
      <c r="AL53" s="30" t="n">
        <f aca="true">IF(OR($A53="",$I53=""),"",IF($BC53="Y",SUMIFS(survey_frozen!$C$2:$C$251,survey_frozen!$P$2:$P$251,$A53&amp;"|"&amp;$B53),IFERROR(COUNTIFS(INDIRECT("'"&amp;$A53&amp;"'!$B$2:$B$501"),$T53,INDIRECT("'"&amp;$A53&amp;"'!$A$2:$A$501"),"&gt;="&amp;$I53,INDIRECT("'"&amp;$A53&amp;"'!$A$2:$A$501"),"&lt;"&amp;($BA53+1)),0)))</f>
        <v>7</v>
      </c>
      <c r="AM53" s="30" t="n">
        <f aca="true">IF(OR($A53="",$I53=""),"",IF($BC53="Y",SUMIFS(survey_frozen!$D$2:$D$251,survey_frozen!$P$2:$P$251,$A53&amp;"|"&amp;$B53),IFERROR(COUNTIFS(INDIRECT("'"&amp;$A53&amp;"'!$B$2:$B$501"),$T53,INDIRECT("'"&amp;$A53&amp;"'!$A$2:$A$501"),"&gt;="&amp;$I53,INDIRECT("'"&amp;$A53&amp;"'!$A$2:$A$501"),"&lt;"&amp;($BA53+1),INDIRECT("'"&amp;$A53&amp;"'!$C$2:$C$501"),"Yes"),0)))</f>
        <v>5</v>
      </c>
      <c r="AN53" s="30" t="n">
        <f aca="false">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8</v>
      </c>
      <c r="AO53" s="30" t="n">
        <f aca="false">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11</v>
      </c>
      <c r="AP53" s="30" t="str">
        <f aca="true">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30" t="n">
        <f aca="true">IF(OR($A53="",$I53=""),"",IF($BC53="Y",SUMIFS(survey_frozen!$E$2:$E$251,survey_frozen!$P$2:$P$251,$A53&amp;"|"&amp;$B53),IFERROR(COUNTIFS(INDIRECT("'"&amp;$A53&amp;"'!$B$2:$B$501"),$T53,INDIRECT("'"&amp;$A53&amp;"'!$A$2:$A$501"),"&gt;="&amp;$I53,INDIRECT("'"&amp;$A53&amp;"'!$A$2:$A$501"),"&lt;"&amp;($BA53+1),INDIRECT("'"&amp;$A53&amp;"'!$F$2:$F$501"),"Didn't see it"),0)))</f>
        <v>2</v>
      </c>
      <c r="AR53" s="30" t="n">
        <f aca="true">IF(OR($A53="",$I53=""),"",IF($BC53="Y",SUMIFS(survey_frozen!$F$2:$F$251,survey_frozen!$P$2:$P$251,$A53&amp;"|"&amp;$B53),IFERROR(COUNTIFS(INDIRECT("'"&amp;$A53&amp;"'!$B$2:$B$501"),$T53,INDIRECT("'"&amp;$A53&amp;"'!$A$2:$A$501"),"&gt;="&amp;$I53,INDIRECT("'"&amp;$A53&amp;"'!$A$2:$A$501"),"&lt;"&amp;($BA53+1),INDIRECT("'"&amp;$A53&amp;"'!$F$2:$F$501"),"Not for me"),0)))</f>
        <v>0</v>
      </c>
      <c r="AS53" s="30" t="n">
        <f aca="true">IF(OR($A53="",$I53=""),"",IF($BC53="Y",SUMIFS(survey_frozen!$G$2:$G$251,survey_frozen!$P$2:$P$251,$A53&amp;"|"&amp;$B53),IFERROR(COUNTIFS(INDIRECT("'"&amp;$A53&amp;"'!$B$2:$B$501"),$T53,INDIRECT("'"&amp;$A53&amp;"'!$A$2:$A$501"),"&gt;="&amp;$I53,INDIRECT("'"&amp;$A53&amp;"'!$A$2:$A$501"),"&lt;"&amp;($BA53+1),INDIRECT("'"&amp;$A53&amp;"'!$F$2:$F$501"),"Gone by the time I looked"),0)))</f>
        <v>0</v>
      </c>
      <c r="AT53" s="30" t="n">
        <f aca="true">IF(OR($A53="",$I53=""),"",IF($BC53="Y",SUMIFS(survey_frozen!$H$2:$H$251,survey_frozen!$P$2:$P$251,$A53&amp;"|"&amp;$B53),IFERROR(COUNTIFS(INDIRECT("'"&amp;$A53&amp;"'!$B$2:$B$501"),$T53,INDIRECT("'"&amp;$A53&amp;"'!$A$2:$A$501"),"&gt;="&amp;$I53,INDIRECT("'"&amp;$A53&amp;"'!$A$2:$A$501"),"&lt;"&amp;($BA53+1),INDIRECT("'"&amp;$A53&amp;"'!$D$2:$D$501"),"&gt;=1"),0)))</f>
        <v>5</v>
      </c>
      <c r="AU53" s="30" t="n">
        <f aca="true">IF(OR($A53="",$I53=""),"",IF($BC53="Y",SUMIFS(survey_frozen!$I$2:$I$251,survey_frozen!$P$2:$P$251,$A53&amp;"|"&amp;$B53),IFERROR(SUMIFS(INDIRECT("'"&amp;$A53&amp;"'!$D$2:$D$501"),INDIRECT("'"&amp;$A53&amp;"'!$B$2:$B$501"),$T53,INDIRECT("'"&amp;$A53&amp;"'!$A$2:$A$501"),"&gt;="&amp;$I53,INDIRECT("'"&amp;$A53&amp;"'!$A$2:$A$501"),"&lt;"&amp;($BA53+1)),0)))</f>
        <v>19</v>
      </c>
      <c r="AV53" s="30" t="n">
        <f aca="true">IF(OR($A53="",$I53=""),"",IF($BC53="Y",SUMIFS(survey_frozen!$J$2:$J$251,survey_frozen!$P$2:$P$251,$A53&amp;"|"&amp;$B53),IFERROR(COUNTIFS(INDIRECT("'"&amp;$A53&amp;"'!$B$2:$B$501"),$T53,INDIRECT("'"&amp;$A53&amp;"'!$A$2:$A$501"),"&gt;="&amp;$I53,INDIRECT("'"&amp;$A53&amp;"'!$A$2:$A$501"),"&lt;"&amp;($BA53+1),INDIRECT("'"&amp;$A53&amp;"'!$E$2:$E$501"),"Yes"),0)))</f>
        <v>1</v>
      </c>
      <c r="AW53" s="30" t="n">
        <f aca="true">IF(OR($A53="",$I53=""),"",IF($BC53="Y",SUMIFS(survey_frozen!$K$2:$K$251,survey_frozen!$P$2:$P$251,$A53&amp;"|"&amp;$B53),IFERROR(COUNTIFS(INDIRECT("'"&amp;$A53&amp;"'!$B$2:$B$501"),$T53,INDIRECT("'"&amp;$A53&amp;"'!$A$2:$A$501"),"&gt;="&amp;$I53,INDIRECT("'"&amp;$A53&amp;"'!$A$2:$A$501"),"&lt;"&amp;($BA53+1),INDIRECT("'"&amp;$A53&amp;"'!$E$2:$E$501"),"Maybe"),0)))</f>
        <v>4</v>
      </c>
      <c r="AX53" s="30" t="n">
        <f aca="true">IF(OR($A53="",$I53=""),"",IF($BC53="Y",SUMIFS(survey_frozen!$L$2:$L$251,survey_frozen!$P$2:$P$251,$A53&amp;"|"&amp;$B53),IFERROR(COUNTIFS(INDIRECT("'"&amp;$A53&amp;"'!$B$2:$B$501"),$T53,INDIRECT("'"&amp;$A53&amp;"'!$A$2:$A$501"),"&gt;="&amp;$I53,INDIRECT("'"&amp;$A53&amp;"'!$A$2:$A$501"),"&lt;"&amp;($BA53+1),INDIRECT("'"&amp;$A53&amp;"'!$E$2:$E$501"),"No"),0)))</f>
        <v>0</v>
      </c>
      <c r="AY53" s="30" t="n">
        <f aca="true">IF(OR($A53="",$I53=""),"",IF($BC53="Y",SUMIFS(survey_frozen!$M$2:$M$251,survey_frozen!$P$2:$P$251,$A53&amp;"|"&amp;$B53),IFERROR(COUNTIFS(INDIRECT("'"&amp;$A53&amp;"'!$B$2:$B$501"),$T53,INDIRECT("'"&amp;$A53&amp;"'!$A$2:$A$501"),"&gt;="&amp;$I53,INDIRECT("'"&amp;$A53&amp;"'!$A$2:$A$501"),"&lt;"&amp;($BA53+1),INDIRECT("'"&amp;$A53&amp;"'!$G$2:$G$501"),"&lt;&gt;"),0)))</f>
        <v>5</v>
      </c>
      <c r="AZ53" s="30" t="str">
        <f aca="false">IF($A53="","",$A53&amp;"|"&amp;$L53)</f>
        <v>SAMPLE-CMP-007|2</v>
      </c>
      <c r="BA53" s="31" t="n">
        <f aca="false">IF($A53="","",IFERROR(IF(INDEX(drops!$R$2:$R$21,MATCH($H53,drops!$A$2:$A$21,0))="","",INDEX(drops!$R$2:$R$21,MATCH($H53,drops!$A$2:$A$21,0))),""))</f>
        <v>46475</v>
      </c>
      <c r="BB53" s="30" t="n">
        <f aca="false">IF(OR($A53="",$Q53&lt;&gt;"Y"),1000000,N($AL53))</f>
        <v>7</v>
      </c>
      <c r="BC53" s="30" t="str">
        <f aca="false">IF($A53="","",IF(COUNTIF(survey_frozen!$P$2:$P$251,$A53&amp;"|"&amp;$B53)&gt;0,"Y",""))</f>
        <v/>
      </c>
      <c r="BD53" s="30" t="str">
        <f aca="false">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ustomFormat="false" ht="15" hidden="false" customHeight="false" outlineLevel="0" collapsed="false">
      <c r="A54" s="0" t="s">
        <v>576</v>
      </c>
      <c r="B54" s="0" t="s">
        <v>683</v>
      </c>
      <c r="C54" s="11" t="n">
        <v>46442</v>
      </c>
      <c r="D54" s="10"/>
      <c r="E54" s="11"/>
      <c r="H54" s="30" t="str">
        <f aca="false">IF($A54="","",IFERROR(IF(INDEX(campaigns!$B$2:$B$51,MATCH($A54,campaigns!$A$2:$A$51,0))="","",INDEX(campaigns!$B$2:$B$51,MATCH($A54,campaigns!$A$2:$A$51,0))),""))</f>
        <v>SAMPLE-DRP-004</v>
      </c>
      <c r="I54" s="31" t="n">
        <f aca="false">IF($A54="","",IFERROR(IF(INDEX(campaigns!$BG$2:$BG$51,MATCH($A54,campaigns!$A$2:$A$51,0))="","",INDEX(campaigns!$BG$2:$BG$51,MATCH($A54,campaigns!$A$2:$A$51,0))),""))</f>
        <v>46469</v>
      </c>
      <c r="J54" s="30" t="str">
        <f aca="false">IF($A54="","",IFERROR(IF(INDEX(campaigns!$BE$2:$BE$51,MATCH($A54,campaigns!$A$2:$A$51,0))="","",INDEX(campaigns!$BE$2:$BE$51,MATCH($A54,campaigns!$A$2:$A$51,0))),""))</f>
        <v>SAMPLE Brightside</v>
      </c>
      <c r="K54" s="30" t="str">
        <f aca="false">IF($B54="","",IFERROR(IF(INDEX(offices!$O$2:$O$61,MATCH($B54,offices!$A$2:$A$61,0))="","",INDEX(offices!$O$2:$O$61,MATCH($B54,offices!$A$2:$A$61,0))),""))</f>
        <v>SAMPLE Halcyon Media</v>
      </c>
      <c r="L54" s="30" t="n">
        <f aca="false">IF($A54="","",IF($Q54="N","",COUNTIFS($A$2:$A54,$A54,$Q$2:$Q54,"&lt;&gt;N")))</f>
        <v>3</v>
      </c>
      <c r="M54" s="30" t="str">
        <f aca="false">IF(OR($A54="",$L54=""),"",IF(AND(config!$B$34="names_if_public",IFERROR(IF(INDEX(offices!$AG$2:$AG$61,MATCH($B54,offices!$A$2:$A$61,0))="","",INDEX(offices!$AG$2:$AG$61,MATCH($B54,offices!$A$2:$A$61,0))),"")="Y"),$K54,CHAR(64+$L54)))</f>
        <v>C</v>
      </c>
      <c r="N54" s="30" t="n">
        <f aca="false">IF(OR($A54="",$I54=""),"",COUNTIFS(stops!$B$2:$B$151,$B54,stops!$P$2:$P$151,"&lt;"&amp;$I54,stops!$L$2:$L$151,"&lt;&gt;not_delivered")+1)</f>
        <v>4</v>
      </c>
      <c r="O54" s="30" t="str">
        <f aca="false">IF($A54="","",IF(N($N54)&lt;=config!$B$29,"explicit","opt-out"))</f>
        <v>opt-out</v>
      </c>
      <c r="P54" s="30" t="str">
        <f aca="false">IF($A54="","",IF($O54="explicit",IF($D54="yes","Y",IF($D54="no","N","pending")),IF($D54="no","N",IF(AND($C54&lt;&gt;"",$I54&lt;&gt;"",$C54&lt;=WORKDAY(N($I54),-5,calendar!$A$2:$A$80)),"Y","pending"))))</f>
        <v>Y</v>
      </c>
      <c r="Q54" s="30" t="str">
        <f aca="false">IF($A54="","",IF($P54="N","N",IF($P54&lt;&gt;"Y","pending",IF(AND((COUNTIFS(stops!$A$2:$A$151,$H54,stops!$B$2:$B$151,$B54,stops!$L$2:$L$151,"declined")+COUNTIFS(stops!$A$2:$A$151,$H54,stops!$B$2:$B$151,$B54,stops!$L$2:$L$151,"building_refused")+COUNTIFS(stops!$A$2:$A$151,$H54,stops!$B$2:$B$151,$B54,stops!$L$2:$L$151,"not_delivered"))&gt;0,N($U54)=0),"N","Y"))))</f>
        <v>Y</v>
      </c>
      <c r="R54" s="30" t="str">
        <f aca="false">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30" t="n">
        <f aca="false">IF($A54="","",IF($G54&lt;&gt;"",$G54,IFERROR(IF(INDEX(offices!$AM$2:$AM$61,MATCH($B54,offices!$A$2:$A$61,0))="","",INDEX(offices!$AM$2:$AM$61,MATCH($B54,offices!$A$2:$A$61,0))),"")))</f>
        <v>50</v>
      </c>
      <c r="T54" s="30" t="str">
        <f aca="false">IF($A54="","",$A54&amp;"."&amp;$B54)</f>
        <v>SAMPLE-CMP-007.SAMPLE-O-003</v>
      </c>
      <c r="U54" s="30" t="n">
        <f aca="false">IF($A54="","",SUMIFS(inventory!$G$2:$G$801,inventory!$C$2:$C$801,$A54,inventory!$D$2:$D$801,$B54,inventory!$E$2:$E$801,"delivered"))</f>
        <v>26</v>
      </c>
      <c r="V54" s="37" t="n">
        <f aca="false">IF($A54="","",IFERROR(1/(1/SUMPRODUCT(MAX((inventory!$C$2:$C$801=$A54)*(inventory!$D$2:$D$801=$B54)*(inventory!$E$2:$E$801="delivered")*(inventory!$A$2:$A$801+inventory!$B$2:$B$801)))),""))</f>
        <v>46469.4256944444</v>
      </c>
      <c r="W54" s="30" t="str">
        <f aca="false">IF($A54="","",IFERROR(IF(INDEX(inventory!$J$2:$J$801,MATCH($A54&amp;"|"&amp;$B54&amp;"|delivered",inventory!$R$2:$R$801,0))="","",INDEX(inventory!$J$2:$J$801,MATCH($A54&amp;"|"&amp;$B54&amp;"|delivered",inventory!$R$2:$R$801,0))),""))</f>
        <v>office_count</v>
      </c>
      <c r="X54" s="30" t="str">
        <f aca="false">IF($A54="","",IFERROR(IF(INDEX(photos!$H$2:$H$701,MATCH($A54&amp;"|"&amp;$B54&amp;"|placement|Y",photos!$R$2:$R$701,0))="","",INDEX(photos!$H$2:$H$701,MATCH($A54&amp;"|"&amp;$B54&amp;"|placement|Y",photos!$R$2:$R$701,0))),""))</f>
        <v>SAMPLE-CMP-007_SAMPLE-O-003_placement_2027-03-23.jpg</v>
      </c>
      <c r="Y54" s="31" t="n">
        <f aca="false">IF($A54="","",IFERROR(IF(INDEX(photos!$E$2:$E$701,MATCH($A54&amp;"|"&amp;$B54&amp;"|placement|Y",photos!$R$2:$R$701,0))="","",INDEX(photos!$E$2:$E$701,MATCH($A54&amp;"|"&amp;$B54&amp;"|placement|Y",photos!$R$2:$R$701,0))),""))</f>
        <v>46469</v>
      </c>
      <c r="Z54" s="30" t="n">
        <f aca="false">IF($A54="","",IF(COUNTIFS(counts!$C$2:$C$701,$A54,counts!$D$2:$D$701,$B54,counts!$E$2:$E$701,"placed")=0,"",SUMIFS(counts!$F$2:$F$701,counts!$C$2:$C$701,$A54,counts!$D$2:$D$701,$B54,counts!$E$2:$E$701,"placed")))</f>
        <v>26</v>
      </c>
      <c r="AA54" s="30" t="n">
        <f aca="false">IF($A54="","",IF($Y54="",0,N($Z54)))</f>
        <v>26</v>
      </c>
      <c r="AB54" s="30" t="str">
        <f aca="false">IF($A54="","",IF(OR($Y54="",$I54=""),"N",IF($Y54&lt;=WORKDAY(N($I54),1,calendar!$A$2:$A$80),"Y","N")))</f>
        <v>Y</v>
      </c>
      <c r="AC54" s="33" t="n">
        <f aca="false">IF(OR($A54="",$V54="",$Y54=""),"",ROUND(($Y54+N(IFERROR(IF(INDEX(photos!$F$2:$F$701,MATCH($A54&amp;"|"&amp;$B54&amp;"|placement|Y",photos!$R$2:$R$701,0))="","",INDEX(photos!$F$2:$F$701,MATCH($A54&amp;"|"&amp;$B54&amp;"|placement|Y",photos!$R$2:$R$701,0))),""))-$V54)*24,1))</f>
        <v>2.8</v>
      </c>
      <c r="AD54" s="30" t="n">
        <f aca="false">IF($A54="","",SUMIFS(inventory!$G$2:$G$801,inventory!$C$2:$C$801,$A54,inventory!$D$2:$D$801,$B54,inventory!$E$2:$E$801,"topped_up"))</f>
        <v>20</v>
      </c>
      <c r="AE54" s="30" t="n">
        <f aca="false">IF($A54="","",IF(COUNTIFS(counts!$C$2:$C$701,$A54,counts!$D$2:$D$701,$B54,counts!$E$2:$E$701,"remaining_day3")=0,"",SUMIFS(counts!$F$2:$F$701,counts!$C$2:$C$701,$A54,counts!$D$2:$D$701,$B54,counts!$E$2:$E$701,"remaining_day3")))</f>
        <v>8</v>
      </c>
      <c r="AF54" s="30" t="n">
        <f aca="false">IF($A54="","",IF(COUNTIFS(counts!$C$2:$C$701,$A54,counts!$D$2:$D$701,$B54,counts!$E$2:$E$701,"remaining_day5")=0,"",SUMIFS(counts!$F$2:$F$701,counts!$C$2:$C$701,$A54,counts!$D$2:$D$701,$B54,counts!$E$2:$E$701,"remaining_day5")))</f>
        <v>6</v>
      </c>
      <c r="AG54" s="30" t="n">
        <f aca="false">IF(OR($A54="",$AF54=""),"",MAX(0,$AA54+$AD54-$AF54))</f>
        <v>40</v>
      </c>
      <c r="AH54" s="30" t="str">
        <f aca="false">IF(OR($A54="",$AI54=""),"",IFERROR(IF(INDEX(photos!$H$2:$H$701,MATCH($A54&amp;"|"&amp;$B54&amp;"|later|Y|"&amp;$AI54,photos!$S$2:$S$701,0))="","",INDEX(photos!$H$2:$H$701,MATCH($A54&amp;"|"&amp;$B54&amp;"|later|Y|"&amp;$AI54,photos!$S$2:$S$701,0))),""))</f>
        <v>SAMPLE-CMP-007_SAMPLE-O-003_later_2027-03-29.jpg</v>
      </c>
      <c r="AI54" s="31" t="n">
        <f aca="false">IF($A54="","",IFERROR(1/(1/SUMPRODUCT(MAX((photos!$B$2:$B$701=$A54)*(photos!$C$2:$C$701=$B54)*(photos!$D$2:$D$701="later")*(photos!$O$2:$O$701="Y")*photos!$E$2:$E$701))),""))</f>
        <v>46475</v>
      </c>
      <c r="AJ54" s="30" t="n">
        <f aca="false">IF(OR($A54="",$AI54="",$I54=""),"",NETWORKDAYS($I54,$AI54,calendar!$A$2:$A$80))</f>
        <v>5</v>
      </c>
      <c r="AK54" s="30" t="str">
        <f aca="false">IF($A54="","",IF(AND($X54&lt;&gt;"",$AH54&lt;&gt;""),"Y","N"))</f>
        <v>Y</v>
      </c>
      <c r="AL54" s="30" t="n">
        <f aca="true">IF(OR($A54="",$I54=""),"",IF($BC54="Y",SUMIFS(survey_frozen!$C$2:$C$251,survey_frozen!$P$2:$P$251,$A54&amp;"|"&amp;$B54),IFERROR(COUNTIFS(INDIRECT("'"&amp;$A54&amp;"'!$B$2:$B$501"),$T54,INDIRECT("'"&amp;$A54&amp;"'!$A$2:$A$501"),"&gt;="&amp;$I54,INDIRECT("'"&amp;$A54&amp;"'!$A$2:$A$501"),"&lt;"&amp;($BA54+1)),0)))</f>
        <v>9</v>
      </c>
      <c r="AM54" s="30" t="n">
        <f aca="true">IF(OR($A54="",$I54=""),"",IF($BC54="Y",SUMIFS(survey_frozen!$D$2:$D$251,survey_frozen!$P$2:$P$251,$A54&amp;"|"&amp;$B54),IFERROR(COUNTIFS(INDIRECT("'"&amp;$A54&amp;"'!$B$2:$B$501"),$T54,INDIRECT("'"&amp;$A54&amp;"'!$A$2:$A$501"),"&gt;="&amp;$I54,INDIRECT("'"&amp;$A54&amp;"'!$A$2:$A$501"),"&lt;"&amp;($BA54+1),INDIRECT("'"&amp;$A54&amp;"'!$C$2:$C$501"),"Yes"),0)))</f>
        <v>4</v>
      </c>
      <c r="AN54" s="30" t="n">
        <f aca="false">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10</v>
      </c>
      <c r="AO54" s="30" t="n">
        <f aca="false">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3</v>
      </c>
      <c r="AP54" s="30" t="str">
        <f aca="true">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info: delivered 26 of 50 allocated (issue logged); </v>
      </c>
      <c r="AQ54" s="30" t="n">
        <f aca="true">IF(OR($A54="",$I54=""),"",IF($BC54="Y",SUMIFS(survey_frozen!$E$2:$E$251,survey_frozen!$P$2:$P$251,$A54&amp;"|"&amp;$B54),IFERROR(COUNTIFS(INDIRECT("'"&amp;$A54&amp;"'!$B$2:$B$501"),$T54,INDIRECT("'"&amp;$A54&amp;"'!$A$2:$A$501"),"&gt;="&amp;$I54,INDIRECT("'"&amp;$A54&amp;"'!$A$2:$A$501"),"&lt;"&amp;($BA54+1),INDIRECT("'"&amp;$A54&amp;"'!$F$2:$F$501"),"Didn't see it"),0)))</f>
        <v>1</v>
      </c>
      <c r="AR54" s="30" t="n">
        <f aca="true">IF(OR($A54="",$I54=""),"",IF($BC54="Y",SUMIFS(survey_frozen!$F$2:$F$251,survey_frozen!$P$2:$P$251,$A54&amp;"|"&amp;$B54),IFERROR(COUNTIFS(INDIRECT("'"&amp;$A54&amp;"'!$B$2:$B$501"),$T54,INDIRECT("'"&amp;$A54&amp;"'!$A$2:$A$501"),"&gt;="&amp;$I54,INDIRECT("'"&amp;$A54&amp;"'!$A$2:$A$501"),"&lt;"&amp;($BA54+1),INDIRECT("'"&amp;$A54&amp;"'!$F$2:$F$501"),"Not for me"),0)))</f>
        <v>4</v>
      </c>
      <c r="AS54" s="30" t="n">
        <f aca="true">IF(OR($A54="",$I54=""),"",IF($BC54="Y",SUMIFS(survey_frozen!$G$2:$G$251,survey_frozen!$P$2:$P$251,$A54&amp;"|"&amp;$B54),IFERROR(COUNTIFS(INDIRECT("'"&amp;$A54&amp;"'!$B$2:$B$501"),$T54,INDIRECT("'"&amp;$A54&amp;"'!$A$2:$A$501"),"&gt;="&amp;$I54,INDIRECT("'"&amp;$A54&amp;"'!$A$2:$A$501"),"&lt;"&amp;($BA54+1),INDIRECT("'"&amp;$A54&amp;"'!$F$2:$F$501"),"Gone by the time I looked"),0)))</f>
        <v>0</v>
      </c>
      <c r="AT54" s="30" t="n">
        <f aca="true">IF(OR($A54="",$I54=""),"",IF($BC54="Y",SUMIFS(survey_frozen!$H$2:$H$251,survey_frozen!$P$2:$P$251,$A54&amp;"|"&amp;$B54),IFERROR(COUNTIFS(INDIRECT("'"&amp;$A54&amp;"'!$B$2:$B$501"),$T54,INDIRECT("'"&amp;$A54&amp;"'!$A$2:$A$501"),"&gt;="&amp;$I54,INDIRECT("'"&amp;$A54&amp;"'!$A$2:$A$501"),"&lt;"&amp;($BA54+1),INDIRECT("'"&amp;$A54&amp;"'!$D$2:$D$501"),"&gt;=1"),0)))</f>
        <v>4</v>
      </c>
      <c r="AU54" s="30" t="n">
        <f aca="true">IF(OR($A54="",$I54=""),"",IF($BC54="Y",SUMIFS(survey_frozen!$I$2:$I$251,survey_frozen!$P$2:$P$251,$A54&amp;"|"&amp;$B54),IFERROR(SUMIFS(INDIRECT("'"&amp;$A54&amp;"'!$D$2:$D$501"),INDIRECT("'"&amp;$A54&amp;"'!$B$2:$B$501"),$T54,INDIRECT("'"&amp;$A54&amp;"'!$A$2:$A$501"),"&gt;="&amp;$I54,INDIRECT("'"&amp;$A54&amp;"'!$A$2:$A$501"),"&lt;"&amp;($BA54+1)),0)))</f>
        <v>17</v>
      </c>
      <c r="AV54" s="30" t="n">
        <f aca="true">IF(OR($A54="",$I54=""),"",IF($BC54="Y",SUMIFS(survey_frozen!$J$2:$J$251,survey_frozen!$P$2:$P$251,$A54&amp;"|"&amp;$B54),IFERROR(COUNTIFS(INDIRECT("'"&amp;$A54&amp;"'!$B$2:$B$501"),$T54,INDIRECT("'"&amp;$A54&amp;"'!$A$2:$A$501"),"&gt;="&amp;$I54,INDIRECT("'"&amp;$A54&amp;"'!$A$2:$A$501"),"&lt;"&amp;($BA54+1),INDIRECT("'"&amp;$A54&amp;"'!$E$2:$E$501"),"Yes"),0)))</f>
        <v>3</v>
      </c>
      <c r="AW54" s="30" t="n">
        <f aca="true">IF(OR($A54="",$I54=""),"",IF($BC54="Y",SUMIFS(survey_frozen!$K$2:$K$251,survey_frozen!$P$2:$P$251,$A54&amp;"|"&amp;$B54),IFERROR(COUNTIFS(INDIRECT("'"&amp;$A54&amp;"'!$B$2:$B$501"),$T54,INDIRECT("'"&amp;$A54&amp;"'!$A$2:$A$501"),"&gt;="&amp;$I54,INDIRECT("'"&amp;$A54&amp;"'!$A$2:$A$501"),"&lt;"&amp;($BA54+1),INDIRECT("'"&amp;$A54&amp;"'!$E$2:$E$501"),"Maybe"),0)))</f>
        <v>0</v>
      </c>
      <c r="AX54" s="30" t="n">
        <f aca="true">IF(OR($A54="",$I54=""),"",IF($BC54="Y",SUMIFS(survey_frozen!$L$2:$L$251,survey_frozen!$P$2:$P$251,$A54&amp;"|"&amp;$B54),IFERROR(COUNTIFS(INDIRECT("'"&amp;$A54&amp;"'!$B$2:$B$501"),$T54,INDIRECT("'"&amp;$A54&amp;"'!$A$2:$A$501"),"&gt;="&amp;$I54,INDIRECT("'"&amp;$A54&amp;"'!$A$2:$A$501"),"&lt;"&amp;($BA54+1),INDIRECT("'"&amp;$A54&amp;"'!$E$2:$E$501"),"No"),0)))</f>
        <v>1</v>
      </c>
      <c r="AY54" s="30" t="n">
        <f aca="true">IF(OR($A54="",$I54=""),"",IF($BC54="Y",SUMIFS(survey_frozen!$M$2:$M$251,survey_frozen!$P$2:$P$251,$A54&amp;"|"&amp;$B54),IFERROR(COUNTIFS(INDIRECT("'"&amp;$A54&amp;"'!$B$2:$B$501"),$T54,INDIRECT("'"&amp;$A54&amp;"'!$A$2:$A$501"),"&gt;="&amp;$I54,INDIRECT("'"&amp;$A54&amp;"'!$A$2:$A$501"),"&lt;"&amp;($BA54+1),INDIRECT("'"&amp;$A54&amp;"'!$G$2:$G$501"),"&lt;&gt;"),0)))</f>
        <v>2</v>
      </c>
      <c r="AZ54" s="30" t="str">
        <f aca="false">IF($A54="","",$A54&amp;"|"&amp;$L54)</f>
        <v>SAMPLE-CMP-007|3</v>
      </c>
      <c r="BA54" s="31" t="n">
        <f aca="false">IF($A54="","",IFERROR(IF(INDEX(drops!$R$2:$R$21,MATCH($H54,drops!$A$2:$A$21,0))="","",INDEX(drops!$R$2:$R$21,MATCH($H54,drops!$A$2:$A$21,0))),""))</f>
        <v>46475</v>
      </c>
      <c r="BB54" s="30" t="n">
        <f aca="false">IF(OR($A54="",$Q54&lt;&gt;"Y"),1000000,N($AL54))</f>
        <v>9</v>
      </c>
      <c r="BC54" s="30" t="str">
        <f aca="false">IF($A54="","",IF(COUNTIF(survey_frozen!$P$2:$P$251,$A54&amp;"|"&amp;$B54)&gt;0,"Y",""))</f>
        <v/>
      </c>
      <c r="BD54" s="30" t="str">
        <f aca="false">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ustomFormat="false" ht="15" hidden="false" customHeight="false" outlineLevel="0" collapsed="false">
      <c r="A55" s="0" t="s">
        <v>576</v>
      </c>
      <c r="B55" s="0" t="s">
        <v>686</v>
      </c>
      <c r="C55" s="11" t="n">
        <v>46442</v>
      </c>
      <c r="D55" s="10"/>
      <c r="E55" s="11"/>
      <c r="H55" s="30" t="str">
        <f aca="false">IF($A55="","",IFERROR(IF(INDEX(campaigns!$B$2:$B$51,MATCH($A55,campaigns!$A$2:$A$51,0))="","",INDEX(campaigns!$B$2:$B$51,MATCH($A55,campaigns!$A$2:$A$51,0))),""))</f>
        <v>SAMPLE-DRP-004</v>
      </c>
      <c r="I55" s="31" t="n">
        <f aca="false">IF($A55="","",IFERROR(IF(INDEX(campaigns!$BG$2:$BG$51,MATCH($A55,campaigns!$A$2:$A$51,0))="","",INDEX(campaigns!$BG$2:$BG$51,MATCH($A55,campaigns!$A$2:$A$51,0))),""))</f>
        <v>46469</v>
      </c>
      <c r="J55" s="30" t="str">
        <f aca="false">IF($A55="","",IFERROR(IF(INDEX(campaigns!$BE$2:$BE$51,MATCH($A55,campaigns!$A$2:$A$51,0))="","",INDEX(campaigns!$BE$2:$BE$51,MATCH($A55,campaigns!$A$2:$A$51,0))),""))</f>
        <v>SAMPLE Brightside</v>
      </c>
      <c r="K55" s="30" t="str">
        <f aca="false">IF($B55="","",IFERROR(IF(INDEX(offices!$O$2:$O$61,MATCH($B55,offices!$A$2:$A$61,0))="","",INDEX(offices!$O$2:$O$61,MATCH($B55,offices!$A$2:$A$61,0))),""))</f>
        <v>SAMPLE Union Food Fund</v>
      </c>
      <c r="L55" s="30" t="n">
        <f aca="false">IF($A55="","",IF($Q55="N","",COUNTIFS($A$2:$A55,$A55,$Q$2:$Q55,"&lt;&gt;N")))</f>
        <v>4</v>
      </c>
      <c r="M55" s="30" t="str">
        <f aca="false">IF(OR($A55="",$L55=""),"",IF(AND(config!$B$34="names_if_public",IFERROR(IF(INDEX(offices!$AG$2:$AG$61,MATCH($B55,offices!$A$2:$A$61,0))="","",INDEX(offices!$AG$2:$AG$61,MATCH($B55,offices!$A$2:$A$61,0))),"")="Y"),$K55,CHAR(64+$L55)))</f>
        <v>D</v>
      </c>
      <c r="N55" s="30" t="n">
        <f aca="false">IF(OR($A55="",$I55=""),"",COUNTIFS(stops!$B$2:$B$151,$B55,stops!$P$2:$P$151,"&lt;"&amp;$I55,stops!$L$2:$L$151,"&lt;&gt;not_delivered")+1)</f>
        <v>4</v>
      </c>
      <c r="O55" s="30" t="str">
        <f aca="false">IF($A55="","",IF(N($N55)&lt;=config!$B$29,"explicit","opt-out"))</f>
        <v>opt-out</v>
      </c>
      <c r="P55" s="30" t="str">
        <f aca="false">IF($A55="","",IF($O55="explicit",IF($D55="yes","Y",IF($D55="no","N","pending")),IF($D55="no","N",IF(AND($C55&lt;&gt;"",$I55&lt;&gt;"",$C55&lt;=WORKDAY(N($I55),-5,calendar!$A$2:$A$80)),"Y","pending"))))</f>
        <v>Y</v>
      </c>
      <c r="Q55" s="30" t="str">
        <f aca="false">IF($A55="","",IF($P55="N","N",IF($P55&lt;&gt;"Y","pending",IF(AND((COUNTIFS(stops!$A$2:$A$151,$H55,stops!$B$2:$B$151,$B55,stops!$L$2:$L$151,"declined")+COUNTIFS(stops!$A$2:$A$151,$H55,stops!$B$2:$B$151,$B55,stops!$L$2:$L$151,"building_refused")+COUNTIFS(stops!$A$2:$A$151,$H55,stops!$B$2:$B$151,$B55,stops!$L$2:$L$151,"not_delivered"))&gt;0,N($U55)=0),"N","Y"))))</f>
        <v>Y</v>
      </c>
      <c r="R55" s="30" t="str">
        <f aca="false">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30" t="n">
        <f aca="false">IF($A55="","",IF($G55&lt;&gt;"",$G55,IFERROR(IF(INDEX(offices!$AM$2:$AM$61,MATCH($B55,offices!$A$2:$A$61,0))="","",INDEX(offices!$AM$2:$AM$61,MATCH($B55,offices!$A$2:$A$61,0))),"")))</f>
        <v>50</v>
      </c>
      <c r="T55" s="30" t="str">
        <f aca="false">IF($A55="","",$A55&amp;"."&amp;$B55)</f>
        <v>SAMPLE-CMP-007.SAMPLE-O-004</v>
      </c>
      <c r="U55" s="30" t="n">
        <f aca="false">IF($A55="","",SUMIFS(inventory!$G$2:$G$801,inventory!$C$2:$C$801,$A55,inventory!$D$2:$D$801,$B55,inventory!$E$2:$E$801,"delivered"))</f>
        <v>50</v>
      </c>
      <c r="V55" s="37" t="n">
        <f aca="false">IF($A55="","",IFERROR(1/(1/SUMPRODUCT(MAX((inventory!$C$2:$C$801=$A55)*(inventory!$D$2:$D$801=$B55)*(inventory!$E$2:$E$801="delivered")*(inventory!$A$2:$A$801+inventory!$B$2:$B$801)))),""))</f>
        <v>46469.4263888889</v>
      </c>
      <c r="W55" s="30" t="str">
        <f aca="false">IF($A55="","",IFERROR(IF(INDEX(inventory!$J$2:$J$801,MATCH($A55&amp;"|"&amp;$B55&amp;"|delivered",inventory!$R$2:$R$801,0))="","",INDEX(inventory!$J$2:$J$801,MATCH($A55&amp;"|"&amp;$B55&amp;"|delivered",inventory!$R$2:$R$801,0))),""))</f>
        <v>office_count</v>
      </c>
      <c r="X55" s="30" t="str">
        <f aca="false">IF($A55="","",IFERROR(IF(INDEX(photos!$H$2:$H$701,MATCH($A55&amp;"|"&amp;$B55&amp;"|placement|Y",photos!$R$2:$R$701,0))="","",INDEX(photos!$H$2:$H$701,MATCH($A55&amp;"|"&amp;$B55&amp;"|placement|Y",photos!$R$2:$R$701,0))),""))</f>
        <v>SAMPLE-CMP-007_SAMPLE-O-004_placement_2027-03-23.jpg</v>
      </c>
      <c r="Y55" s="31" t="n">
        <f aca="false">IF($A55="","",IFERROR(IF(INDEX(photos!$E$2:$E$701,MATCH($A55&amp;"|"&amp;$B55&amp;"|placement|Y",photos!$R$2:$R$701,0))="","",INDEX(photos!$E$2:$E$701,MATCH($A55&amp;"|"&amp;$B55&amp;"|placement|Y",photos!$R$2:$R$701,0))),""))</f>
        <v>46469</v>
      </c>
      <c r="Z55" s="30" t="n">
        <f aca="false">IF($A55="","",IF(COUNTIFS(counts!$C$2:$C$701,$A55,counts!$D$2:$D$701,$B55,counts!$E$2:$E$701,"placed")=0,"",SUMIFS(counts!$F$2:$F$701,counts!$C$2:$C$701,$A55,counts!$D$2:$D$701,$B55,counts!$E$2:$E$701,"placed")))</f>
        <v>50</v>
      </c>
      <c r="AA55" s="30" t="n">
        <f aca="false">IF($A55="","",IF($Y55="",0,N($Z55)))</f>
        <v>50</v>
      </c>
      <c r="AB55" s="30" t="str">
        <f aca="false">IF($A55="","",IF(OR($Y55="",$I55=""),"N",IF($Y55&lt;=WORKDAY(N($I55),1,calendar!$A$2:$A$80),"Y","N")))</f>
        <v>Y</v>
      </c>
      <c r="AC55" s="33" t="n">
        <f aca="false">IF(OR($A55="",$V55="",$Y55=""),"",ROUND(($Y55+N(IFERROR(IF(INDEX(photos!$F$2:$F$701,MATCH($A55&amp;"|"&amp;$B55&amp;"|placement|Y",photos!$R$2:$R$701,0))="","",INDEX(photos!$F$2:$F$701,MATCH($A55&amp;"|"&amp;$B55&amp;"|placement|Y",photos!$R$2:$R$701,0))),""))-$V55)*24,1))</f>
        <v>2.8</v>
      </c>
      <c r="AD55" s="30" t="n">
        <f aca="false">IF($A55="","",SUMIFS(inventory!$G$2:$G$801,inventory!$C$2:$C$801,$A55,inventory!$D$2:$D$801,$B55,inventory!$E$2:$E$801,"topped_up"))</f>
        <v>0</v>
      </c>
      <c r="AE55" s="30" t="n">
        <f aca="false">IF($A55="","",IF(COUNTIFS(counts!$C$2:$C$701,$A55,counts!$D$2:$D$701,$B55,counts!$E$2:$E$701,"remaining_day3")=0,"",SUMIFS(counts!$F$2:$F$701,counts!$C$2:$C$701,$A55,counts!$D$2:$D$701,$B55,counts!$E$2:$E$701,"remaining_day3")))</f>
        <v>13</v>
      </c>
      <c r="AF55" s="30" t="n">
        <f aca="false">IF($A55="","",IF(COUNTIFS(counts!$C$2:$C$701,$A55,counts!$D$2:$D$701,$B55,counts!$E$2:$E$701,"remaining_day5")=0,"",SUMIFS(counts!$F$2:$F$701,counts!$C$2:$C$701,$A55,counts!$D$2:$D$701,$B55,counts!$E$2:$E$701,"remaining_day5")))</f>
        <v>1</v>
      </c>
      <c r="AG55" s="30" t="n">
        <f aca="false">IF(OR($A55="",$AF55=""),"",MAX(0,$AA55+$AD55-$AF55))</f>
        <v>49</v>
      </c>
      <c r="AH55" s="30" t="str">
        <f aca="false">IF(OR($A55="",$AI55=""),"",IFERROR(IF(INDEX(photos!$H$2:$H$701,MATCH($A55&amp;"|"&amp;$B55&amp;"|later|Y|"&amp;$AI55,photos!$S$2:$S$701,0))="","",INDEX(photos!$H$2:$H$701,MATCH($A55&amp;"|"&amp;$B55&amp;"|later|Y|"&amp;$AI55,photos!$S$2:$S$701,0))),""))</f>
        <v>SAMPLE-CMP-007_SAMPLE-O-004_later_2027-03-29.jpg</v>
      </c>
      <c r="AI55" s="31" t="n">
        <f aca="false">IF($A55="","",IFERROR(1/(1/SUMPRODUCT(MAX((photos!$B$2:$B$701=$A55)*(photos!$C$2:$C$701=$B55)*(photos!$D$2:$D$701="later")*(photos!$O$2:$O$701="Y")*photos!$E$2:$E$701))),""))</f>
        <v>46475</v>
      </c>
      <c r="AJ55" s="30" t="n">
        <f aca="false">IF(OR($A55="",$AI55="",$I55=""),"",NETWORKDAYS($I55,$AI55,calendar!$A$2:$A$80))</f>
        <v>5</v>
      </c>
      <c r="AK55" s="30" t="str">
        <f aca="false">IF($A55="","",IF(AND($X55&lt;&gt;"",$AH55&lt;&gt;""),"Y","N"))</f>
        <v>Y</v>
      </c>
      <c r="AL55" s="30" t="n">
        <f aca="true">IF(OR($A55="",$I55=""),"",IF($BC55="Y",SUMIFS(survey_frozen!$C$2:$C$251,survey_frozen!$P$2:$P$251,$A55&amp;"|"&amp;$B55),IFERROR(COUNTIFS(INDIRECT("'"&amp;$A55&amp;"'!$B$2:$B$501"),$T55,INDIRECT("'"&amp;$A55&amp;"'!$A$2:$A$501"),"&gt;="&amp;$I55,INDIRECT("'"&amp;$A55&amp;"'!$A$2:$A$501"),"&lt;"&amp;($BA55+1)),0)))</f>
        <v>6</v>
      </c>
      <c r="AM55" s="30" t="n">
        <f aca="true">IF(OR($A55="",$I55=""),"",IF($BC55="Y",SUMIFS(survey_frozen!$D$2:$D$251,survey_frozen!$P$2:$P$251,$A55&amp;"|"&amp;$B55),IFERROR(COUNTIFS(INDIRECT("'"&amp;$A55&amp;"'!$B$2:$B$501"),$T55,INDIRECT("'"&amp;$A55&amp;"'!$A$2:$A$501"),"&gt;="&amp;$I55,INDIRECT("'"&amp;$A55&amp;"'!$A$2:$A$501"),"&lt;"&amp;($BA55+1),INDIRECT("'"&amp;$A55&amp;"'!$C$2:$C$501"),"Yes"),0)))</f>
        <v>5</v>
      </c>
      <c r="AN55" s="30" t="n">
        <f aca="false">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12</v>
      </c>
      <c r="AO55" s="30" t="n">
        <f aca="false">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5</v>
      </c>
      <c r="AP55" s="30" t="str">
        <f aca="true">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30" t="n">
        <f aca="true">IF(OR($A55="",$I55=""),"",IF($BC55="Y",SUMIFS(survey_frozen!$E$2:$E$251,survey_frozen!$P$2:$P$251,$A55&amp;"|"&amp;$B55),IFERROR(COUNTIFS(INDIRECT("'"&amp;$A55&amp;"'!$B$2:$B$501"),$T55,INDIRECT("'"&amp;$A55&amp;"'!$A$2:$A$501"),"&gt;="&amp;$I55,INDIRECT("'"&amp;$A55&amp;"'!$A$2:$A$501"),"&lt;"&amp;($BA55+1),INDIRECT("'"&amp;$A55&amp;"'!$F$2:$F$501"),"Didn't see it"),0)))</f>
        <v>1</v>
      </c>
      <c r="AR55" s="30" t="n">
        <f aca="true">IF(OR($A55="",$I55=""),"",IF($BC55="Y",SUMIFS(survey_frozen!$F$2:$F$251,survey_frozen!$P$2:$P$251,$A55&amp;"|"&amp;$B55),IFERROR(COUNTIFS(INDIRECT("'"&amp;$A55&amp;"'!$B$2:$B$501"),$T55,INDIRECT("'"&amp;$A55&amp;"'!$A$2:$A$501"),"&gt;="&amp;$I55,INDIRECT("'"&amp;$A55&amp;"'!$A$2:$A$501"),"&lt;"&amp;($BA55+1),INDIRECT("'"&amp;$A55&amp;"'!$F$2:$F$501"),"Not for me"),0)))</f>
        <v>0</v>
      </c>
      <c r="AS55" s="30" t="n">
        <f aca="true">IF(OR($A55="",$I55=""),"",IF($BC55="Y",SUMIFS(survey_frozen!$G$2:$G$251,survey_frozen!$P$2:$P$251,$A55&amp;"|"&amp;$B55),IFERROR(COUNTIFS(INDIRECT("'"&amp;$A55&amp;"'!$B$2:$B$501"),$T55,INDIRECT("'"&amp;$A55&amp;"'!$A$2:$A$501"),"&gt;="&amp;$I55,INDIRECT("'"&amp;$A55&amp;"'!$A$2:$A$501"),"&lt;"&amp;($BA55+1),INDIRECT("'"&amp;$A55&amp;"'!$F$2:$F$501"),"Gone by the time I looked"),0)))</f>
        <v>0</v>
      </c>
      <c r="AT55" s="30" t="n">
        <f aca="true">IF(OR($A55="",$I55=""),"",IF($BC55="Y",SUMIFS(survey_frozen!$H$2:$H$251,survey_frozen!$P$2:$P$251,$A55&amp;"|"&amp;$B55),IFERROR(COUNTIFS(INDIRECT("'"&amp;$A55&amp;"'!$B$2:$B$501"),$T55,INDIRECT("'"&amp;$A55&amp;"'!$A$2:$A$501"),"&gt;="&amp;$I55,INDIRECT("'"&amp;$A55&amp;"'!$A$2:$A$501"),"&lt;"&amp;($BA55+1),INDIRECT("'"&amp;$A55&amp;"'!$D$2:$D$501"),"&gt;=1"),0)))</f>
        <v>5</v>
      </c>
      <c r="AU55" s="30" t="n">
        <f aca="true">IF(OR($A55="",$I55=""),"",IF($BC55="Y",SUMIFS(survey_frozen!$I$2:$I$251,survey_frozen!$P$2:$P$251,$A55&amp;"|"&amp;$B55),IFERROR(SUMIFS(INDIRECT("'"&amp;$A55&amp;"'!$D$2:$D$501"),INDIRECT("'"&amp;$A55&amp;"'!$B$2:$B$501"),$T55,INDIRECT("'"&amp;$A55&amp;"'!$A$2:$A$501"),"&gt;="&amp;$I55,INDIRECT("'"&amp;$A55&amp;"'!$A$2:$A$501"),"&lt;"&amp;($BA55+1)),0)))</f>
        <v>22</v>
      </c>
      <c r="AV55" s="30" t="n">
        <f aca="true">IF(OR($A55="",$I55=""),"",IF($BC55="Y",SUMIFS(survey_frozen!$J$2:$J$251,survey_frozen!$P$2:$P$251,$A55&amp;"|"&amp;$B55),IFERROR(COUNTIFS(INDIRECT("'"&amp;$A55&amp;"'!$B$2:$B$501"),$T55,INDIRECT("'"&amp;$A55&amp;"'!$A$2:$A$501"),"&gt;="&amp;$I55,INDIRECT("'"&amp;$A55&amp;"'!$A$2:$A$501"),"&lt;"&amp;($BA55+1),INDIRECT("'"&amp;$A55&amp;"'!$E$2:$E$501"),"Yes"),0)))</f>
        <v>2</v>
      </c>
      <c r="AW55" s="30" t="n">
        <f aca="true">IF(OR($A55="",$I55=""),"",IF($BC55="Y",SUMIFS(survey_frozen!$K$2:$K$251,survey_frozen!$P$2:$P$251,$A55&amp;"|"&amp;$B55),IFERROR(COUNTIFS(INDIRECT("'"&amp;$A55&amp;"'!$B$2:$B$501"),$T55,INDIRECT("'"&amp;$A55&amp;"'!$A$2:$A$501"),"&gt;="&amp;$I55,INDIRECT("'"&amp;$A55&amp;"'!$A$2:$A$501"),"&lt;"&amp;($BA55+1),INDIRECT("'"&amp;$A55&amp;"'!$E$2:$E$501"),"Maybe"),0)))</f>
        <v>1</v>
      </c>
      <c r="AX55" s="30" t="n">
        <f aca="true">IF(OR($A55="",$I55=""),"",IF($BC55="Y",SUMIFS(survey_frozen!$L$2:$L$251,survey_frozen!$P$2:$P$251,$A55&amp;"|"&amp;$B55),IFERROR(COUNTIFS(INDIRECT("'"&amp;$A55&amp;"'!$B$2:$B$501"),$T55,INDIRECT("'"&amp;$A55&amp;"'!$A$2:$A$501"),"&gt;="&amp;$I55,INDIRECT("'"&amp;$A55&amp;"'!$A$2:$A$501"),"&lt;"&amp;($BA55+1),INDIRECT("'"&amp;$A55&amp;"'!$E$2:$E$501"),"No"),0)))</f>
        <v>2</v>
      </c>
      <c r="AY55" s="30" t="n">
        <f aca="true">IF(OR($A55="",$I55=""),"",IF($BC55="Y",SUMIFS(survey_frozen!$M$2:$M$251,survey_frozen!$P$2:$P$251,$A55&amp;"|"&amp;$B55),IFERROR(COUNTIFS(INDIRECT("'"&amp;$A55&amp;"'!$B$2:$B$501"),$T55,INDIRECT("'"&amp;$A55&amp;"'!$A$2:$A$501"),"&gt;="&amp;$I55,INDIRECT("'"&amp;$A55&amp;"'!$A$2:$A$501"),"&lt;"&amp;($BA55+1),INDIRECT("'"&amp;$A55&amp;"'!$G$2:$G$501"),"&lt;&gt;"),0)))</f>
        <v>4</v>
      </c>
      <c r="AZ55" s="30" t="str">
        <f aca="false">IF($A55="","",$A55&amp;"|"&amp;$L55)</f>
        <v>SAMPLE-CMP-007|4</v>
      </c>
      <c r="BA55" s="31" t="n">
        <f aca="false">IF($A55="","",IFERROR(IF(INDEX(drops!$R$2:$R$21,MATCH($H55,drops!$A$2:$A$21,0))="","",INDEX(drops!$R$2:$R$21,MATCH($H55,drops!$A$2:$A$21,0))),""))</f>
        <v>46475</v>
      </c>
      <c r="BB55" s="30" t="n">
        <f aca="false">IF(OR($A55="",$Q55&lt;&gt;"Y"),1000000,N($AL55))</f>
        <v>6</v>
      </c>
      <c r="BC55" s="30" t="str">
        <f aca="false">IF($A55="","",IF(COUNTIF(survey_frozen!$P$2:$P$251,$A55&amp;"|"&amp;$B55)&gt;0,"Y",""))</f>
        <v/>
      </c>
      <c r="BD55" s="30" t="str">
        <f aca="false">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ustomFormat="false" ht="15" hidden="false" customHeight="false" outlineLevel="0" collapsed="false">
      <c r="A56" s="0" t="s">
        <v>576</v>
      </c>
      <c r="B56" s="0" t="s">
        <v>688</v>
      </c>
      <c r="C56" s="11" t="n">
        <v>46442</v>
      </c>
      <c r="D56" s="10"/>
      <c r="E56" s="11"/>
      <c r="H56" s="30" t="str">
        <f aca="false">IF($A56="","",IFERROR(IF(INDEX(campaigns!$B$2:$B$51,MATCH($A56,campaigns!$A$2:$A$51,0))="","",INDEX(campaigns!$B$2:$B$51,MATCH($A56,campaigns!$A$2:$A$51,0))),""))</f>
        <v>SAMPLE-DRP-004</v>
      </c>
      <c r="I56" s="31" t="n">
        <f aca="false">IF($A56="","",IFERROR(IF(INDEX(campaigns!$BG$2:$BG$51,MATCH($A56,campaigns!$A$2:$A$51,0))="","",INDEX(campaigns!$BG$2:$BG$51,MATCH($A56,campaigns!$A$2:$A$51,0))),""))</f>
        <v>46469</v>
      </c>
      <c r="J56" s="30" t="str">
        <f aca="false">IF($A56="","",IFERROR(IF(INDEX(campaigns!$BE$2:$BE$51,MATCH($A56,campaigns!$A$2:$A$51,0))="","",INDEX(campaigns!$BE$2:$BE$51,MATCH($A56,campaigns!$A$2:$A$51,0))),""))</f>
        <v>SAMPLE Brightside</v>
      </c>
      <c r="K56" s="30" t="str">
        <f aca="false">IF($B56="","",IFERROR(IF(INDEX(offices!$O$2:$O$61,MATCH($B56,offices!$A$2:$A$61,0))="","",INDEX(offices!$O$2:$O$61,MATCH($B56,offices!$A$2:$A$61,0))),""))</f>
        <v>SAMPLE Studio Marlow</v>
      </c>
      <c r="L56" s="30" t="n">
        <f aca="false">IF($A56="","",IF($Q56="N","",COUNTIFS($A$2:$A56,$A56,$Q$2:$Q56,"&lt;&gt;N")))</f>
        <v>5</v>
      </c>
      <c r="M56" s="30" t="str">
        <f aca="false">IF(OR($A56="",$L56=""),"",IF(AND(config!$B$34="names_if_public",IFERROR(IF(INDEX(offices!$AG$2:$AG$61,MATCH($B56,offices!$A$2:$A$61,0))="","",INDEX(offices!$AG$2:$AG$61,MATCH($B56,offices!$A$2:$A$61,0))),"")="Y"),$K56,CHAR(64+$L56)))</f>
        <v>E</v>
      </c>
      <c r="N56" s="30" t="n">
        <f aca="false">IF(OR($A56="",$I56=""),"",COUNTIFS(stops!$B$2:$B$151,$B56,stops!$P$2:$P$151,"&lt;"&amp;$I56,stops!$L$2:$L$151,"&lt;&gt;not_delivered")+1)</f>
        <v>4</v>
      </c>
      <c r="O56" s="30" t="str">
        <f aca="false">IF($A56="","",IF(N($N56)&lt;=config!$B$29,"explicit","opt-out"))</f>
        <v>opt-out</v>
      </c>
      <c r="P56" s="30" t="str">
        <f aca="false">IF($A56="","",IF($O56="explicit",IF($D56="yes","Y",IF($D56="no","N","pending")),IF($D56="no","N",IF(AND($C56&lt;&gt;"",$I56&lt;&gt;"",$C56&lt;=WORKDAY(N($I56),-5,calendar!$A$2:$A$80)),"Y","pending"))))</f>
        <v>Y</v>
      </c>
      <c r="Q56" s="30" t="str">
        <f aca="false">IF($A56="","",IF($P56="N","N",IF($P56&lt;&gt;"Y","pending",IF(AND((COUNTIFS(stops!$A$2:$A$151,$H56,stops!$B$2:$B$151,$B56,stops!$L$2:$L$151,"declined")+COUNTIFS(stops!$A$2:$A$151,$H56,stops!$B$2:$B$151,$B56,stops!$L$2:$L$151,"building_refused")+COUNTIFS(stops!$A$2:$A$151,$H56,stops!$B$2:$B$151,$B56,stops!$L$2:$L$151,"not_delivered"))&gt;0,N($U56)=0),"N","Y"))))</f>
        <v>Y</v>
      </c>
      <c r="R56" s="30" t="str">
        <f aca="false">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30" t="n">
        <f aca="false">IF($A56="","",IF($G56&lt;&gt;"",$G56,IFERROR(IF(INDEX(offices!$AM$2:$AM$61,MATCH($B56,offices!$A$2:$A$61,0))="","",INDEX(offices!$AM$2:$AM$61,MATCH($B56,offices!$A$2:$A$61,0))),"")))</f>
        <v>70</v>
      </c>
      <c r="T56" s="30" t="str">
        <f aca="false">IF($A56="","",$A56&amp;"."&amp;$B56)</f>
        <v>SAMPLE-CMP-007.SAMPLE-O-005</v>
      </c>
      <c r="U56" s="30" t="n">
        <f aca="false">IF($A56="","",SUMIFS(inventory!$G$2:$G$801,inventory!$C$2:$C$801,$A56,inventory!$D$2:$D$801,$B56,inventory!$E$2:$E$801,"delivered"))</f>
        <v>70</v>
      </c>
      <c r="V56" s="37" t="n">
        <f aca="false">IF($A56="","",IFERROR(1/(1/SUMPRODUCT(MAX((inventory!$C$2:$C$801=$A56)*(inventory!$D$2:$D$801=$B56)*(inventory!$E$2:$E$801="delivered")*(inventory!$A$2:$A$801+inventory!$B$2:$B$801)))),""))</f>
        <v>46469.4270833333</v>
      </c>
      <c r="W56" s="30" t="str">
        <f aca="false">IF($A56="","",IFERROR(IF(INDEX(inventory!$J$2:$J$801,MATCH($A56&amp;"|"&amp;$B56&amp;"|delivered",inventory!$R$2:$R$801,0))="","",INDEX(inventory!$J$2:$J$801,MATCH($A56&amp;"|"&amp;$B56&amp;"|delivered",inventory!$R$2:$R$801,0))),""))</f>
        <v>office_count</v>
      </c>
      <c r="X56" s="30" t="str">
        <f aca="false">IF($A56="","",IFERROR(IF(INDEX(photos!$H$2:$H$701,MATCH($A56&amp;"|"&amp;$B56&amp;"|placement|Y",photos!$R$2:$R$701,0))="","",INDEX(photos!$H$2:$H$701,MATCH($A56&amp;"|"&amp;$B56&amp;"|placement|Y",photos!$R$2:$R$701,0))),""))</f>
        <v>SAMPLE-CMP-007_SAMPLE-O-005_placement_2027-03-23.jpg</v>
      </c>
      <c r="Y56" s="31" t="n">
        <f aca="false">IF($A56="","",IFERROR(IF(INDEX(photos!$E$2:$E$701,MATCH($A56&amp;"|"&amp;$B56&amp;"|placement|Y",photos!$R$2:$R$701,0))="","",INDEX(photos!$E$2:$E$701,MATCH($A56&amp;"|"&amp;$B56&amp;"|placement|Y",photos!$R$2:$R$701,0))),""))</f>
        <v>46469</v>
      </c>
      <c r="Z56" s="30" t="n">
        <f aca="false">IF($A56="","",IF(COUNTIFS(counts!$C$2:$C$701,$A56,counts!$D$2:$D$701,$B56,counts!$E$2:$E$701,"placed")=0,"",SUMIFS(counts!$F$2:$F$701,counts!$C$2:$C$701,$A56,counts!$D$2:$D$701,$B56,counts!$E$2:$E$701,"placed")))</f>
        <v>70</v>
      </c>
      <c r="AA56" s="30" t="n">
        <f aca="false">IF($A56="","",IF($Y56="",0,N($Z56)))</f>
        <v>70</v>
      </c>
      <c r="AB56" s="30" t="str">
        <f aca="false">IF($A56="","",IF(OR($Y56="",$I56=""),"N",IF($Y56&lt;=WORKDAY(N($I56),1,calendar!$A$2:$A$80),"Y","N")))</f>
        <v>Y</v>
      </c>
      <c r="AC56" s="33" t="n">
        <f aca="false">IF(OR($A56="",$V56="",$Y56=""),"",ROUND(($Y56+N(IFERROR(IF(INDEX(photos!$F$2:$F$701,MATCH($A56&amp;"|"&amp;$B56&amp;"|placement|Y",photos!$R$2:$R$701,0))="","",INDEX(photos!$F$2:$F$701,MATCH($A56&amp;"|"&amp;$B56&amp;"|placement|Y",photos!$R$2:$R$701,0))),""))-$V56)*24,1))</f>
        <v>2.8</v>
      </c>
      <c r="AD56" s="30" t="n">
        <f aca="false">IF($A56="","",SUMIFS(inventory!$G$2:$G$801,inventory!$C$2:$C$801,$A56,inventory!$D$2:$D$801,$B56,inventory!$E$2:$E$801,"topped_up"))</f>
        <v>0</v>
      </c>
      <c r="AE56" s="30" t="n">
        <f aca="false">IF($A56="","",IF(COUNTIFS(counts!$C$2:$C$701,$A56,counts!$D$2:$D$701,$B56,counts!$E$2:$E$701,"remaining_day3")=0,"",SUMIFS(counts!$F$2:$F$701,counts!$C$2:$C$701,$A56,counts!$D$2:$D$701,$B56,counts!$E$2:$E$701,"remaining_day3")))</f>
        <v>31</v>
      </c>
      <c r="AF56" s="30" t="n">
        <f aca="false">IF($A56="","",IF(COUNTIFS(counts!$C$2:$C$701,$A56,counts!$D$2:$D$701,$B56,counts!$E$2:$E$701,"remaining_day5")=0,"",SUMIFS(counts!$F$2:$F$701,counts!$C$2:$C$701,$A56,counts!$D$2:$D$701,$B56,counts!$E$2:$E$701,"remaining_day5")))</f>
        <v>5</v>
      </c>
      <c r="AG56" s="30" t="n">
        <f aca="false">IF(OR($A56="",$AF56=""),"",MAX(0,$AA56+$AD56-$AF56))</f>
        <v>65</v>
      </c>
      <c r="AH56" s="30" t="str">
        <f aca="false">IF(OR($A56="",$AI56=""),"",IFERROR(IF(INDEX(photos!$H$2:$H$701,MATCH($A56&amp;"|"&amp;$B56&amp;"|later|Y|"&amp;$AI56,photos!$S$2:$S$701,0))="","",INDEX(photos!$H$2:$H$701,MATCH($A56&amp;"|"&amp;$B56&amp;"|later|Y|"&amp;$AI56,photos!$S$2:$S$701,0))),""))</f>
        <v>SAMPLE-CMP-007_SAMPLE-O-005_later_2027-03-29.jpg</v>
      </c>
      <c r="AI56" s="31" t="n">
        <f aca="false">IF($A56="","",IFERROR(1/(1/SUMPRODUCT(MAX((photos!$B$2:$B$701=$A56)*(photos!$C$2:$C$701=$B56)*(photos!$D$2:$D$701="later")*(photos!$O$2:$O$701="Y")*photos!$E$2:$E$701))),""))</f>
        <v>46475</v>
      </c>
      <c r="AJ56" s="30" t="n">
        <f aca="false">IF(OR($A56="",$AI56="",$I56=""),"",NETWORKDAYS($I56,$AI56,calendar!$A$2:$A$80))</f>
        <v>5</v>
      </c>
      <c r="AK56" s="30" t="str">
        <f aca="false">IF($A56="","",IF(AND($X56&lt;&gt;"",$AH56&lt;&gt;""),"Y","N"))</f>
        <v>Y</v>
      </c>
      <c r="AL56" s="30" t="n">
        <f aca="true">IF(OR($A56="",$I56=""),"",IF($BC56="Y",SUMIFS(survey_frozen!$C$2:$C$251,survey_frozen!$P$2:$P$251,$A56&amp;"|"&amp;$B56),IFERROR(COUNTIFS(INDIRECT("'"&amp;$A56&amp;"'!$B$2:$B$501"),$T56,INDIRECT("'"&amp;$A56&amp;"'!$A$2:$A$501"),"&gt;="&amp;$I56,INDIRECT("'"&amp;$A56&amp;"'!$A$2:$A$501"),"&lt;"&amp;($BA56+1)),0)))</f>
        <v>8</v>
      </c>
      <c r="AM56" s="30" t="n">
        <f aca="true">IF(OR($A56="",$I56=""),"",IF($BC56="Y",SUMIFS(survey_frozen!$D$2:$D$251,survey_frozen!$P$2:$P$251,$A56&amp;"|"&amp;$B56),IFERROR(COUNTIFS(INDIRECT("'"&amp;$A56&amp;"'!$B$2:$B$501"),$T56,INDIRECT("'"&amp;$A56&amp;"'!$A$2:$A$501"),"&gt;="&amp;$I56,INDIRECT("'"&amp;$A56&amp;"'!$A$2:$A$501"),"&lt;"&amp;($BA56+1),INDIRECT("'"&amp;$A56&amp;"'!$C$2:$C$501"),"Yes"),0)))</f>
        <v>4</v>
      </c>
      <c r="AN56" s="30" t="n">
        <f aca="false">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4</v>
      </c>
      <c r="AO56" s="30" t="n">
        <f aca="false">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7</v>
      </c>
      <c r="AP56" s="30" t="str">
        <f aca="true">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30" t="n">
        <f aca="true">IF(OR($A56="",$I56=""),"",IF($BC56="Y",SUMIFS(survey_frozen!$E$2:$E$251,survey_frozen!$P$2:$P$251,$A56&amp;"|"&amp;$B56),IFERROR(COUNTIFS(INDIRECT("'"&amp;$A56&amp;"'!$B$2:$B$501"),$T56,INDIRECT("'"&amp;$A56&amp;"'!$A$2:$A$501"),"&gt;="&amp;$I56,INDIRECT("'"&amp;$A56&amp;"'!$A$2:$A$501"),"&lt;"&amp;($BA56+1),INDIRECT("'"&amp;$A56&amp;"'!$F$2:$F$501"),"Didn't see it"),0)))</f>
        <v>0</v>
      </c>
      <c r="AR56" s="30" t="n">
        <f aca="true">IF(OR($A56="",$I56=""),"",IF($BC56="Y",SUMIFS(survey_frozen!$F$2:$F$251,survey_frozen!$P$2:$P$251,$A56&amp;"|"&amp;$B56),IFERROR(COUNTIFS(INDIRECT("'"&amp;$A56&amp;"'!$B$2:$B$501"),$T56,INDIRECT("'"&amp;$A56&amp;"'!$A$2:$A$501"),"&gt;="&amp;$I56,INDIRECT("'"&amp;$A56&amp;"'!$A$2:$A$501"),"&lt;"&amp;($BA56+1),INDIRECT("'"&amp;$A56&amp;"'!$F$2:$F$501"),"Not for me"),0)))</f>
        <v>2</v>
      </c>
      <c r="AS56" s="30" t="n">
        <f aca="true">IF(OR($A56="",$I56=""),"",IF($BC56="Y",SUMIFS(survey_frozen!$G$2:$G$251,survey_frozen!$P$2:$P$251,$A56&amp;"|"&amp;$B56),IFERROR(COUNTIFS(INDIRECT("'"&amp;$A56&amp;"'!$B$2:$B$501"),$T56,INDIRECT("'"&amp;$A56&amp;"'!$A$2:$A$501"),"&gt;="&amp;$I56,INDIRECT("'"&amp;$A56&amp;"'!$A$2:$A$501"),"&lt;"&amp;($BA56+1),INDIRECT("'"&amp;$A56&amp;"'!$F$2:$F$501"),"Gone by the time I looked"),0)))</f>
        <v>2</v>
      </c>
      <c r="AT56" s="30" t="n">
        <f aca="true">IF(OR($A56="",$I56=""),"",IF($BC56="Y",SUMIFS(survey_frozen!$H$2:$H$251,survey_frozen!$P$2:$P$251,$A56&amp;"|"&amp;$B56),IFERROR(COUNTIFS(INDIRECT("'"&amp;$A56&amp;"'!$B$2:$B$501"),$T56,INDIRECT("'"&amp;$A56&amp;"'!$A$2:$A$501"),"&gt;="&amp;$I56,INDIRECT("'"&amp;$A56&amp;"'!$A$2:$A$501"),"&lt;"&amp;($BA56+1),INDIRECT("'"&amp;$A56&amp;"'!$D$2:$D$501"),"&gt;=1"),0)))</f>
        <v>4</v>
      </c>
      <c r="AU56" s="30" t="n">
        <f aca="true">IF(OR($A56="",$I56=""),"",IF($BC56="Y",SUMIFS(survey_frozen!$I$2:$I$251,survey_frozen!$P$2:$P$251,$A56&amp;"|"&amp;$B56),IFERROR(SUMIFS(INDIRECT("'"&amp;$A56&amp;"'!$D$2:$D$501"),INDIRECT("'"&amp;$A56&amp;"'!$B$2:$B$501"),$T56,INDIRECT("'"&amp;$A56&amp;"'!$A$2:$A$501"),"&gt;="&amp;$I56,INDIRECT("'"&amp;$A56&amp;"'!$A$2:$A$501"),"&lt;"&amp;($BA56+1)),0)))</f>
        <v>14</v>
      </c>
      <c r="AV56" s="30" t="n">
        <f aca="true">IF(OR($A56="",$I56=""),"",IF($BC56="Y",SUMIFS(survey_frozen!$J$2:$J$251,survey_frozen!$P$2:$P$251,$A56&amp;"|"&amp;$B56),IFERROR(COUNTIFS(INDIRECT("'"&amp;$A56&amp;"'!$B$2:$B$501"),$T56,INDIRECT("'"&amp;$A56&amp;"'!$A$2:$A$501"),"&gt;="&amp;$I56,INDIRECT("'"&amp;$A56&amp;"'!$A$2:$A$501"),"&lt;"&amp;($BA56+1),INDIRECT("'"&amp;$A56&amp;"'!$E$2:$E$501"),"Yes"),0)))</f>
        <v>3</v>
      </c>
      <c r="AW56" s="30" t="n">
        <f aca="true">IF(OR($A56="",$I56=""),"",IF($BC56="Y",SUMIFS(survey_frozen!$K$2:$K$251,survey_frozen!$P$2:$P$251,$A56&amp;"|"&amp;$B56),IFERROR(COUNTIFS(INDIRECT("'"&amp;$A56&amp;"'!$B$2:$B$501"),$T56,INDIRECT("'"&amp;$A56&amp;"'!$A$2:$A$501"),"&gt;="&amp;$I56,INDIRECT("'"&amp;$A56&amp;"'!$A$2:$A$501"),"&lt;"&amp;($BA56+1),INDIRECT("'"&amp;$A56&amp;"'!$E$2:$E$501"),"Maybe"),0)))</f>
        <v>1</v>
      </c>
      <c r="AX56" s="30" t="n">
        <f aca="true">IF(OR($A56="",$I56=""),"",IF($BC56="Y",SUMIFS(survey_frozen!$L$2:$L$251,survey_frozen!$P$2:$P$251,$A56&amp;"|"&amp;$B56),IFERROR(COUNTIFS(INDIRECT("'"&amp;$A56&amp;"'!$B$2:$B$501"),$T56,INDIRECT("'"&amp;$A56&amp;"'!$A$2:$A$501"),"&gt;="&amp;$I56,INDIRECT("'"&amp;$A56&amp;"'!$A$2:$A$501"),"&lt;"&amp;($BA56+1),INDIRECT("'"&amp;$A56&amp;"'!$E$2:$E$501"),"No"),0)))</f>
        <v>0</v>
      </c>
      <c r="AY56" s="30" t="n">
        <f aca="true">IF(OR($A56="",$I56=""),"",IF($BC56="Y",SUMIFS(survey_frozen!$M$2:$M$251,survey_frozen!$P$2:$P$251,$A56&amp;"|"&amp;$B56),IFERROR(COUNTIFS(INDIRECT("'"&amp;$A56&amp;"'!$B$2:$B$501"),$T56,INDIRECT("'"&amp;$A56&amp;"'!$A$2:$A$501"),"&gt;="&amp;$I56,INDIRECT("'"&amp;$A56&amp;"'!$A$2:$A$501"),"&lt;"&amp;($BA56+1),INDIRECT("'"&amp;$A56&amp;"'!$G$2:$G$501"),"&lt;&gt;"),0)))</f>
        <v>1</v>
      </c>
      <c r="AZ56" s="30" t="str">
        <f aca="false">IF($A56="","",$A56&amp;"|"&amp;$L56)</f>
        <v>SAMPLE-CMP-007|5</v>
      </c>
      <c r="BA56" s="31" t="n">
        <f aca="false">IF($A56="","",IFERROR(IF(INDEX(drops!$R$2:$R$21,MATCH($H56,drops!$A$2:$A$21,0))="","",INDEX(drops!$R$2:$R$21,MATCH($H56,drops!$A$2:$A$21,0))),""))</f>
        <v>46475</v>
      </c>
      <c r="BB56" s="30" t="n">
        <f aca="false">IF(OR($A56="",$Q56&lt;&gt;"Y"),1000000,N($AL56))</f>
        <v>8</v>
      </c>
      <c r="BC56" s="30" t="str">
        <f aca="false">IF($A56="","",IF(COUNTIF(survey_frozen!$P$2:$P$251,$A56&amp;"|"&amp;$B56)&gt;0,"Y",""))</f>
        <v/>
      </c>
      <c r="BD56" s="30" t="str">
        <f aca="false">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ustomFormat="false" ht="15" hidden="false" customHeight="false" outlineLevel="0" collapsed="false">
      <c r="A57" s="0" t="s">
        <v>576</v>
      </c>
      <c r="B57" s="0" t="s">
        <v>690</v>
      </c>
      <c r="C57" s="11" t="n">
        <v>46442</v>
      </c>
      <c r="D57" s="10" t="s">
        <v>496</v>
      </c>
      <c r="E57" s="11" t="n">
        <v>46443</v>
      </c>
      <c r="F57" s="10" t="s">
        <v>737</v>
      </c>
      <c r="H57" s="30" t="str">
        <f aca="false">IF($A57="","",IFERROR(IF(INDEX(campaigns!$B$2:$B$51,MATCH($A57,campaigns!$A$2:$A$51,0))="","",INDEX(campaigns!$B$2:$B$51,MATCH($A57,campaigns!$A$2:$A$51,0))),""))</f>
        <v>SAMPLE-DRP-004</v>
      </c>
      <c r="I57" s="31" t="n">
        <f aca="false">IF($A57="","",IFERROR(IF(INDEX(campaigns!$BG$2:$BG$51,MATCH($A57,campaigns!$A$2:$A$51,0))="","",INDEX(campaigns!$BG$2:$BG$51,MATCH($A57,campaigns!$A$2:$A$51,0))),""))</f>
        <v>46469</v>
      </c>
      <c r="J57" s="30" t="str">
        <f aca="false">IF($A57="","",IFERROR(IF(INDEX(campaigns!$BE$2:$BE$51,MATCH($A57,campaigns!$A$2:$A$51,0))="","",INDEX(campaigns!$BE$2:$BE$51,MATCH($A57,campaigns!$A$2:$A$51,0))),""))</f>
        <v>SAMPLE Brightside</v>
      </c>
      <c r="K57" s="30" t="str">
        <f aca="false">IF($B57="","",IFERROR(IF(INDEX(offices!$O$2:$O$61,MATCH($B57,offices!$A$2:$A$61,0))="","",INDEX(offices!$O$2:$O$61,MATCH($B57,offices!$A$2:$A$61,0))),""))</f>
        <v>SAMPLE Kestrel Analytics</v>
      </c>
      <c r="L57" s="30" t="n">
        <f aca="false">IF($A57="","",IF($Q57="N","",COUNTIFS($A$2:$A57,$A57,$Q$2:$Q57,"&lt;&gt;N")))</f>
        <v>6</v>
      </c>
      <c r="M57" s="30" t="str">
        <f aca="false">IF(OR($A57="",$L57=""),"",IF(AND(config!$B$34="names_if_public",IFERROR(IF(INDEX(offices!$AG$2:$AG$61,MATCH($B57,offices!$A$2:$A$61,0))="","",INDEX(offices!$AG$2:$AG$61,MATCH($B57,offices!$A$2:$A$61,0))),"")="Y"),$K57,CHAR(64+$L57)))</f>
        <v>F</v>
      </c>
      <c r="N57" s="30" t="n">
        <f aca="false">IF(OR($A57="",$I57=""),"",COUNTIFS(stops!$B$2:$B$151,$B57,stops!$P$2:$P$151,"&lt;"&amp;$I57,stops!$L$2:$L$151,"&lt;&gt;not_delivered")+1)</f>
        <v>3</v>
      </c>
      <c r="O57" s="30" t="str">
        <f aca="false">IF($A57="","",IF(N($N57)&lt;=config!$B$29,"explicit","opt-out"))</f>
        <v>explicit</v>
      </c>
      <c r="P57" s="30" t="str">
        <f aca="false">IF($A57="","",IF($O57="explicit",IF($D57="yes","Y",IF($D57="no","N","pending")),IF($D57="no","N",IF(AND($C57&lt;&gt;"",$I57&lt;&gt;"",$C57&lt;=WORKDAY(N($I57),-5,calendar!$A$2:$A$80)),"Y","pending"))))</f>
        <v>Y</v>
      </c>
      <c r="Q57" s="30" t="str">
        <f aca="false">IF($A57="","",IF($P57="N","N",IF($P57&lt;&gt;"Y","pending",IF(AND((COUNTIFS(stops!$A$2:$A$151,$H57,stops!$B$2:$B$151,$B57,stops!$L$2:$L$151,"declined")+COUNTIFS(stops!$A$2:$A$151,$H57,stops!$B$2:$B$151,$B57,stops!$L$2:$L$151,"building_refused")+COUNTIFS(stops!$A$2:$A$151,$H57,stops!$B$2:$B$151,$B57,stops!$L$2:$L$151,"not_delivered"))&gt;0,N($U57)=0),"N","Y"))))</f>
        <v>Y</v>
      </c>
      <c r="R57" s="30" t="str">
        <f aca="false">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30" t="n">
        <f aca="false">IF($A57="","",IF($G57&lt;&gt;"",$G57,IFERROR(IF(INDEX(offices!$AM$2:$AM$61,MATCH($B57,offices!$A$2:$A$61,0))="","",INDEX(offices!$AM$2:$AM$61,MATCH($B57,offices!$A$2:$A$61,0))),"")))</f>
        <v>45</v>
      </c>
      <c r="T57" s="30" t="str">
        <f aca="false">IF($A57="","",$A57&amp;"."&amp;$B57)</f>
        <v>SAMPLE-CMP-007.SAMPLE-O-006</v>
      </c>
      <c r="U57" s="30" t="n">
        <f aca="false">IF($A57="","",SUMIFS(inventory!$G$2:$G$801,inventory!$C$2:$C$801,$A57,inventory!$D$2:$D$801,$B57,inventory!$E$2:$E$801,"delivered"))</f>
        <v>45</v>
      </c>
      <c r="V57" s="37" t="n">
        <f aca="false">IF($A57="","",IFERROR(1/(1/SUMPRODUCT(MAX((inventory!$C$2:$C$801=$A57)*(inventory!$D$2:$D$801=$B57)*(inventory!$E$2:$E$801="delivered")*(inventory!$A$2:$A$801+inventory!$B$2:$B$801)))),""))</f>
        <v>46469.4277777778</v>
      </c>
      <c r="W57" s="30" t="str">
        <f aca="false">IF($A57="","",IFERROR(IF(INDEX(inventory!$J$2:$J$801,MATCH($A57&amp;"|"&amp;$B57&amp;"|delivered",inventory!$R$2:$R$801,0))="","",INDEX(inventory!$J$2:$J$801,MATCH($A57&amp;"|"&amp;$B57&amp;"|delivered",inventory!$R$2:$R$801,0))),""))</f>
        <v>office_count</v>
      </c>
      <c r="X57" s="30" t="str">
        <f aca="false">IF($A57="","",IFERROR(IF(INDEX(photos!$H$2:$H$701,MATCH($A57&amp;"|"&amp;$B57&amp;"|placement|Y",photos!$R$2:$R$701,0))="","",INDEX(photos!$H$2:$H$701,MATCH($A57&amp;"|"&amp;$B57&amp;"|placement|Y",photos!$R$2:$R$701,0))),""))</f>
        <v>SAMPLE-CMP-007_SAMPLE-O-006_placement_2027-03-23.jpg</v>
      </c>
      <c r="Y57" s="31" t="n">
        <f aca="false">IF($A57="","",IFERROR(IF(INDEX(photos!$E$2:$E$701,MATCH($A57&amp;"|"&amp;$B57&amp;"|placement|Y",photos!$R$2:$R$701,0))="","",INDEX(photos!$E$2:$E$701,MATCH($A57&amp;"|"&amp;$B57&amp;"|placement|Y",photos!$R$2:$R$701,0))),""))</f>
        <v>46469</v>
      </c>
      <c r="Z57" s="30" t="n">
        <f aca="false">IF($A57="","",IF(COUNTIFS(counts!$C$2:$C$701,$A57,counts!$D$2:$D$701,$B57,counts!$E$2:$E$701,"placed")=0,"",SUMIFS(counts!$F$2:$F$701,counts!$C$2:$C$701,$A57,counts!$D$2:$D$701,$B57,counts!$E$2:$E$701,"placed")))</f>
        <v>45</v>
      </c>
      <c r="AA57" s="30" t="n">
        <f aca="false">IF($A57="","",IF($Y57="",0,N($Z57)))</f>
        <v>45</v>
      </c>
      <c r="AB57" s="30" t="str">
        <f aca="false">IF($A57="","",IF(OR($Y57="",$I57=""),"N",IF($Y57&lt;=WORKDAY(N($I57),1,calendar!$A$2:$A$80),"Y","N")))</f>
        <v>Y</v>
      </c>
      <c r="AC57" s="33" t="n">
        <f aca="false">IF(OR($A57="",$V57="",$Y57=""),"",ROUND(($Y57+N(IFERROR(IF(INDEX(photos!$F$2:$F$701,MATCH($A57&amp;"|"&amp;$B57&amp;"|placement|Y",photos!$R$2:$R$701,0))="","",INDEX(photos!$F$2:$F$701,MATCH($A57&amp;"|"&amp;$B57&amp;"|placement|Y",photos!$R$2:$R$701,0))),""))-$V57)*24,1))</f>
        <v>2.7</v>
      </c>
      <c r="AD57" s="30" t="n">
        <f aca="false">IF($A57="","",SUMIFS(inventory!$G$2:$G$801,inventory!$C$2:$C$801,$A57,inventory!$D$2:$D$801,$B57,inventory!$E$2:$E$801,"topped_up"))</f>
        <v>0</v>
      </c>
      <c r="AE57" s="30" t="n">
        <f aca="false">IF($A57="","",IF(COUNTIFS(counts!$C$2:$C$701,$A57,counts!$D$2:$D$701,$B57,counts!$E$2:$E$701,"remaining_day3")=0,"",SUMIFS(counts!$F$2:$F$701,counts!$C$2:$C$701,$A57,counts!$D$2:$D$701,$B57,counts!$E$2:$E$701,"remaining_day3")))</f>
        <v>14</v>
      </c>
      <c r="AF57" s="30" t="n">
        <f aca="false">IF($A57="","",IF(COUNTIFS(counts!$C$2:$C$701,$A57,counts!$D$2:$D$701,$B57,counts!$E$2:$E$701,"remaining_day5")=0,"",SUMIFS(counts!$F$2:$F$701,counts!$C$2:$C$701,$A57,counts!$D$2:$D$701,$B57,counts!$E$2:$E$701,"remaining_day5")))</f>
        <v>3</v>
      </c>
      <c r="AG57" s="30" t="n">
        <f aca="false">IF(OR($A57="",$AF57=""),"",MAX(0,$AA57+$AD57-$AF57))</f>
        <v>42</v>
      </c>
      <c r="AH57" s="30" t="str">
        <f aca="false">IF(OR($A57="",$AI57=""),"",IFERROR(IF(INDEX(photos!$H$2:$H$701,MATCH($A57&amp;"|"&amp;$B57&amp;"|later|Y|"&amp;$AI57,photos!$S$2:$S$701,0))="","",INDEX(photos!$H$2:$H$701,MATCH($A57&amp;"|"&amp;$B57&amp;"|later|Y|"&amp;$AI57,photos!$S$2:$S$701,0))),""))</f>
        <v>SAMPLE-CMP-007_SAMPLE-O-006_later_2027-03-29.jpg</v>
      </c>
      <c r="AI57" s="31" t="n">
        <f aca="false">IF($A57="","",IFERROR(1/(1/SUMPRODUCT(MAX((photos!$B$2:$B$701=$A57)*(photos!$C$2:$C$701=$B57)*(photos!$D$2:$D$701="later")*(photos!$O$2:$O$701="Y")*photos!$E$2:$E$701))),""))</f>
        <v>46475</v>
      </c>
      <c r="AJ57" s="30" t="n">
        <f aca="false">IF(OR($A57="",$AI57="",$I57=""),"",NETWORKDAYS($I57,$AI57,calendar!$A$2:$A$80))</f>
        <v>5</v>
      </c>
      <c r="AK57" s="30" t="str">
        <f aca="false">IF($A57="","",IF(AND($X57&lt;&gt;"",$AH57&lt;&gt;""),"Y","N"))</f>
        <v>Y</v>
      </c>
      <c r="AL57" s="30" t="n">
        <f aca="true">IF(OR($A57="",$I57=""),"",IF($BC57="Y",SUMIFS(survey_frozen!$C$2:$C$251,survey_frozen!$P$2:$P$251,$A57&amp;"|"&amp;$B57),IFERROR(COUNTIFS(INDIRECT("'"&amp;$A57&amp;"'!$B$2:$B$501"),$T57,INDIRECT("'"&amp;$A57&amp;"'!$A$2:$A$501"),"&gt;="&amp;$I57,INDIRECT("'"&amp;$A57&amp;"'!$A$2:$A$501"),"&lt;"&amp;($BA57+1)),0)))</f>
        <v>5</v>
      </c>
      <c r="AM57" s="30" t="n">
        <f aca="true">IF(OR($A57="",$I57=""),"",IF($BC57="Y",SUMIFS(survey_frozen!$D$2:$D$251,survey_frozen!$P$2:$P$251,$A57&amp;"|"&amp;$B57),IFERROR(COUNTIFS(INDIRECT("'"&amp;$A57&amp;"'!$B$2:$B$501"),$T57,INDIRECT("'"&amp;$A57&amp;"'!$A$2:$A$501"),"&gt;="&amp;$I57,INDIRECT("'"&amp;$A57&amp;"'!$A$2:$A$501"),"&lt;"&amp;($BA57+1),INDIRECT("'"&amp;$A57&amp;"'!$C$2:$C$501"),"Yes"),0)))</f>
        <v>4</v>
      </c>
      <c r="AN57" s="30" t="n">
        <f aca="false">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6</v>
      </c>
      <c r="AO57" s="30" t="n">
        <f aca="false">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9</v>
      </c>
      <c r="AP57" s="30" t="str">
        <f aca="true">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30" t="n">
        <f aca="true">IF(OR($A57="",$I57=""),"",IF($BC57="Y",SUMIFS(survey_frozen!$E$2:$E$251,survey_frozen!$P$2:$P$251,$A57&amp;"|"&amp;$B57),IFERROR(COUNTIFS(INDIRECT("'"&amp;$A57&amp;"'!$B$2:$B$501"),$T57,INDIRECT("'"&amp;$A57&amp;"'!$A$2:$A$501"),"&gt;="&amp;$I57,INDIRECT("'"&amp;$A57&amp;"'!$A$2:$A$501"),"&lt;"&amp;($BA57+1),INDIRECT("'"&amp;$A57&amp;"'!$F$2:$F$501"),"Didn't see it"),0)))</f>
        <v>0</v>
      </c>
      <c r="AR57" s="30" t="n">
        <f aca="true">IF(OR($A57="",$I57=""),"",IF($BC57="Y",SUMIFS(survey_frozen!$F$2:$F$251,survey_frozen!$P$2:$P$251,$A57&amp;"|"&amp;$B57),IFERROR(COUNTIFS(INDIRECT("'"&amp;$A57&amp;"'!$B$2:$B$501"),$T57,INDIRECT("'"&amp;$A57&amp;"'!$A$2:$A$501"),"&gt;="&amp;$I57,INDIRECT("'"&amp;$A57&amp;"'!$A$2:$A$501"),"&lt;"&amp;($BA57+1),INDIRECT("'"&amp;$A57&amp;"'!$F$2:$F$501"),"Not for me"),0)))</f>
        <v>1</v>
      </c>
      <c r="AS57" s="30" t="n">
        <f aca="true">IF(OR($A57="",$I57=""),"",IF($BC57="Y",SUMIFS(survey_frozen!$G$2:$G$251,survey_frozen!$P$2:$P$251,$A57&amp;"|"&amp;$B57),IFERROR(COUNTIFS(INDIRECT("'"&amp;$A57&amp;"'!$B$2:$B$501"),$T57,INDIRECT("'"&amp;$A57&amp;"'!$A$2:$A$501"),"&gt;="&amp;$I57,INDIRECT("'"&amp;$A57&amp;"'!$A$2:$A$501"),"&lt;"&amp;($BA57+1),INDIRECT("'"&amp;$A57&amp;"'!$F$2:$F$501"),"Gone by the time I looked"),0)))</f>
        <v>0</v>
      </c>
      <c r="AT57" s="30" t="n">
        <f aca="true">IF(OR($A57="",$I57=""),"",IF($BC57="Y",SUMIFS(survey_frozen!$H$2:$H$251,survey_frozen!$P$2:$P$251,$A57&amp;"|"&amp;$B57),IFERROR(COUNTIFS(INDIRECT("'"&amp;$A57&amp;"'!$B$2:$B$501"),$T57,INDIRECT("'"&amp;$A57&amp;"'!$A$2:$A$501"),"&gt;="&amp;$I57,INDIRECT("'"&amp;$A57&amp;"'!$A$2:$A$501"),"&lt;"&amp;($BA57+1),INDIRECT("'"&amp;$A57&amp;"'!$D$2:$D$501"),"&gt;=1"),0)))</f>
        <v>4</v>
      </c>
      <c r="AU57" s="30" t="n">
        <f aca="true">IF(OR($A57="",$I57=""),"",IF($BC57="Y",SUMIFS(survey_frozen!$I$2:$I$251,survey_frozen!$P$2:$P$251,$A57&amp;"|"&amp;$B57),IFERROR(SUMIFS(INDIRECT("'"&amp;$A57&amp;"'!$D$2:$D$501"),INDIRECT("'"&amp;$A57&amp;"'!$B$2:$B$501"),$T57,INDIRECT("'"&amp;$A57&amp;"'!$A$2:$A$501"),"&gt;="&amp;$I57,INDIRECT("'"&amp;$A57&amp;"'!$A$2:$A$501"),"&lt;"&amp;($BA57+1)),0)))</f>
        <v>18</v>
      </c>
      <c r="AV57" s="30" t="n">
        <f aca="true">IF(OR($A57="",$I57=""),"",IF($BC57="Y",SUMIFS(survey_frozen!$J$2:$J$251,survey_frozen!$P$2:$P$251,$A57&amp;"|"&amp;$B57),IFERROR(COUNTIFS(INDIRECT("'"&amp;$A57&amp;"'!$B$2:$B$501"),$T57,INDIRECT("'"&amp;$A57&amp;"'!$A$2:$A$501"),"&gt;="&amp;$I57,INDIRECT("'"&amp;$A57&amp;"'!$A$2:$A$501"),"&lt;"&amp;($BA57+1),INDIRECT("'"&amp;$A57&amp;"'!$E$2:$E$501"),"Yes"),0)))</f>
        <v>0</v>
      </c>
      <c r="AW57" s="30" t="n">
        <f aca="true">IF(OR($A57="",$I57=""),"",IF($BC57="Y",SUMIFS(survey_frozen!$K$2:$K$251,survey_frozen!$P$2:$P$251,$A57&amp;"|"&amp;$B57),IFERROR(COUNTIFS(INDIRECT("'"&amp;$A57&amp;"'!$B$2:$B$501"),$T57,INDIRECT("'"&amp;$A57&amp;"'!$A$2:$A$501"),"&gt;="&amp;$I57,INDIRECT("'"&amp;$A57&amp;"'!$A$2:$A$501"),"&lt;"&amp;($BA57+1),INDIRECT("'"&amp;$A57&amp;"'!$E$2:$E$501"),"Maybe"),0)))</f>
        <v>4</v>
      </c>
      <c r="AX57" s="30" t="n">
        <f aca="true">IF(OR($A57="",$I57=""),"",IF($BC57="Y",SUMIFS(survey_frozen!$L$2:$L$251,survey_frozen!$P$2:$P$251,$A57&amp;"|"&amp;$B57),IFERROR(COUNTIFS(INDIRECT("'"&amp;$A57&amp;"'!$B$2:$B$501"),$T57,INDIRECT("'"&amp;$A57&amp;"'!$A$2:$A$501"),"&gt;="&amp;$I57,INDIRECT("'"&amp;$A57&amp;"'!$A$2:$A$501"),"&lt;"&amp;($BA57+1),INDIRECT("'"&amp;$A57&amp;"'!$E$2:$E$501"),"No"),0)))</f>
        <v>0</v>
      </c>
      <c r="AY57" s="30" t="n">
        <f aca="true">IF(OR($A57="",$I57=""),"",IF($BC57="Y",SUMIFS(survey_frozen!$M$2:$M$251,survey_frozen!$P$2:$P$251,$A57&amp;"|"&amp;$B57),IFERROR(COUNTIFS(INDIRECT("'"&amp;$A57&amp;"'!$B$2:$B$501"),$T57,INDIRECT("'"&amp;$A57&amp;"'!$A$2:$A$501"),"&gt;="&amp;$I57,INDIRECT("'"&amp;$A57&amp;"'!$A$2:$A$501"),"&lt;"&amp;($BA57+1),INDIRECT("'"&amp;$A57&amp;"'!$G$2:$G$501"),"&lt;&gt;"),0)))</f>
        <v>1</v>
      </c>
      <c r="AZ57" s="30" t="str">
        <f aca="false">IF($A57="","",$A57&amp;"|"&amp;$L57)</f>
        <v>SAMPLE-CMP-007|6</v>
      </c>
      <c r="BA57" s="31" t="n">
        <f aca="false">IF($A57="","",IFERROR(IF(INDEX(drops!$R$2:$R$21,MATCH($H57,drops!$A$2:$A$21,0))="","",INDEX(drops!$R$2:$R$21,MATCH($H57,drops!$A$2:$A$21,0))),""))</f>
        <v>46475</v>
      </c>
      <c r="BB57" s="30" t="n">
        <f aca="false">IF(OR($A57="",$Q57&lt;&gt;"Y"),1000000,N($AL57))</f>
        <v>5</v>
      </c>
      <c r="BC57" s="30" t="str">
        <f aca="false">IF($A57="","",IF(COUNTIF(survey_frozen!$P$2:$P$251,$A57&amp;"|"&amp;$B57)&gt;0,"Y",""))</f>
        <v/>
      </c>
      <c r="BD57" s="30" t="str">
        <f aca="false">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ustomFormat="false" ht="15" hidden="false" customHeight="false" outlineLevel="0" collapsed="false">
      <c r="A58" s="0" t="s">
        <v>576</v>
      </c>
      <c r="B58" s="0" t="s">
        <v>692</v>
      </c>
      <c r="C58" s="11" t="n">
        <v>46442</v>
      </c>
      <c r="D58" s="10" t="s">
        <v>496</v>
      </c>
      <c r="E58" s="11" t="n">
        <v>46443</v>
      </c>
      <c r="F58" s="10" t="s">
        <v>737</v>
      </c>
      <c r="H58" s="30" t="str">
        <f aca="false">IF($A58="","",IFERROR(IF(INDEX(campaigns!$B$2:$B$51,MATCH($A58,campaigns!$A$2:$A$51,0))="","",INDEX(campaigns!$B$2:$B$51,MATCH($A58,campaigns!$A$2:$A$51,0))),""))</f>
        <v>SAMPLE-DRP-004</v>
      </c>
      <c r="I58" s="31" t="n">
        <f aca="false">IF($A58="","",IFERROR(IF(INDEX(campaigns!$BG$2:$BG$51,MATCH($A58,campaigns!$A$2:$A$51,0))="","",INDEX(campaigns!$BG$2:$BG$51,MATCH($A58,campaigns!$A$2:$A$51,0))),""))</f>
        <v>46469</v>
      </c>
      <c r="J58" s="30" t="str">
        <f aca="false">IF($A58="","",IFERROR(IF(INDEX(campaigns!$BE$2:$BE$51,MATCH($A58,campaigns!$A$2:$A$51,0))="","",INDEX(campaigns!$BE$2:$BE$51,MATCH($A58,campaigns!$A$2:$A$51,0))),""))</f>
        <v>SAMPLE Brightside</v>
      </c>
      <c r="K58" s="30" t="str">
        <f aca="false">IF($B58="","",IFERROR(IF(INDEX(offices!$O$2:$O$61,MATCH($B58,offices!$A$2:$A$61,0))="","",INDEX(offices!$O$2:$O$61,MATCH($B58,offices!$A$2:$A$61,0))),""))</f>
        <v>SAMPLE Brine &amp; Bell PR</v>
      </c>
      <c r="L58" s="30" t="n">
        <f aca="false">IF($A58="","",IF($Q58="N","",COUNTIFS($A$2:$A58,$A58,$Q$2:$Q58,"&lt;&gt;N")))</f>
        <v>7</v>
      </c>
      <c r="M58" s="30" t="str">
        <f aca="false">IF(OR($A58="",$L58=""),"",IF(AND(config!$B$34="names_if_public",IFERROR(IF(INDEX(offices!$AG$2:$AG$61,MATCH($B58,offices!$A$2:$A$61,0))="","",INDEX(offices!$AG$2:$AG$61,MATCH($B58,offices!$A$2:$A$61,0))),"")="Y"),$K58,CHAR(64+$L58)))</f>
        <v>G</v>
      </c>
      <c r="N58" s="30" t="n">
        <f aca="false">IF(OR($A58="",$I58=""),"",COUNTIFS(stops!$B$2:$B$151,$B58,stops!$P$2:$P$151,"&lt;"&amp;$I58,stops!$L$2:$L$151,"&lt;&gt;not_delivered")+1)</f>
        <v>3</v>
      </c>
      <c r="O58" s="30" t="str">
        <f aca="false">IF($A58="","",IF(N($N58)&lt;=config!$B$29,"explicit","opt-out"))</f>
        <v>explicit</v>
      </c>
      <c r="P58" s="30" t="str">
        <f aca="false">IF($A58="","",IF($O58="explicit",IF($D58="yes","Y",IF($D58="no","N","pending")),IF($D58="no","N",IF(AND($C58&lt;&gt;"",$I58&lt;&gt;"",$C58&lt;=WORKDAY(N($I58),-5,calendar!$A$2:$A$80)),"Y","pending"))))</f>
        <v>Y</v>
      </c>
      <c r="Q58" s="30" t="str">
        <f aca="false">IF($A58="","",IF($P58="N","N",IF($P58&lt;&gt;"Y","pending",IF(AND((COUNTIFS(stops!$A$2:$A$151,$H58,stops!$B$2:$B$151,$B58,stops!$L$2:$L$151,"declined")+COUNTIFS(stops!$A$2:$A$151,$H58,stops!$B$2:$B$151,$B58,stops!$L$2:$L$151,"building_refused")+COUNTIFS(stops!$A$2:$A$151,$H58,stops!$B$2:$B$151,$B58,stops!$L$2:$L$151,"not_delivered"))&gt;0,N($U58)=0),"N","Y"))))</f>
        <v>Y</v>
      </c>
      <c r="R58" s="30" t="str">
        <f aca="false">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info: read the vetoes against the label; </v>
      </c>
      <c r="S58" s="30" t="n">
        <f aca="false">IF($A58="","",IF($G58&lt;&gt;"",$G58,IFERROR(IF(INDEX(offices!$AM$2:$AM$61,MATCH($B58,offices!$A$2:$A$61,0))="","",INDEX(offices!$AM$2:$AM$61,MATCH($B58,offices!$A$2:$A$61,0))),"")))</f>
        <v>60</v>
      </c>
      <c r="T58" s="30" t="str">
        <f aca="false">IF($A58="","",$A58&amp;"."&amp;$B58)</f>
        <v>SAMPLE-CMP-007.SAMPLE-O-007</v>
      </c>
      <c r="U58" s="30" t="n">
        <f aca="false">IF($A58="","",SUMIFS(inventory!$G$2:$G$801,inventory!$C$2:$C$801,$A58,inventory!$D$2:$D$801,$B58,inventory!$E$2:$E$801,"delivered"))</f>
        <v>60</v>
      </c>
      <c r="V58" s="37" t="n">
        <f aca="false">IF($A58="","",IFERROR(1/(1/SUMPRODUCT(MAX((inventory!$C$2:$C$801=$A58)*(inventory!$D$2:$D$801=$B58)*(inventory!$E$2:$E$801="delivered")*(inventory!$A$2:$A$801+inventory!$B$2:$B$801)))),""))</f>
        <v>46469.4284722222</v>
      </c>
      <c r="W58" s="30" t="str">
        <f aca="false">IF($A58="","",IFERROR(IF(INDEX(inventory!$J$2:$J$801,MATCH($A58&amp;"|"&amp;$B58&amp;"|delivered",inventory!$R$2:$R$801,0))="","",INDEX(inventory!$J$2:$J$801,MATCH($A58&amp;"|"&amp;$B58&amp;"|delivered",inventory!$R$2:$R$801,0))),""))</f>
        <v>office_count</v>
      </c>
      <c r="X58" s="30" t="str">
        <f aca="false">IF($A58="","",IFERROR(IF(INDEX(photos!$H$2:$H$701,MATCH($A58&amp;"|"&amp;$B58&amp;"|placement|Y",photos!$R$2:$R$701,0))="","",INDEX(photos!$H$2:$H$701,MATCH($A58&amp;"|"&amp;$B58&amp;"|placement|Y",photos!$R$2:$R$701,0))),""))</f>
        <v>SAMPLE-CMP-007_SAMPLE-O-007_placement_2027-03-23.jpg</v>
      </c>
      <c r="Y58" s="31" t="n">
        <f aca="false">IF($A58="","",IFERROR(IF(INDEX(photos!$E$2:$E$701,MATCH($A58&amp;"|"&amp;$B58&amp;"|placement|Y",photos!$R$2:$R$701,0))="","",INDEX(photos!$E$2:$E$701,MATCH($A58&amp;"|"&amp;$B58&amp;"|placement|Y",photos!$R$2:$R$701,0))),""))</f>
        <v>46469</v>
      </c>
      <c r="Z58" s="30" t="n">
        <f aca="false">IF($A58="","",IF(COUNTIFS(counts!$C$2:$C$701,$A58,counts!$D$2:$D$701,$B58,counts!$E$2:$E$701,"placed")=0,"",SUMIFS(counts!$F$2:$F$701,counts!$C$2:$C$701,$A58,counts!$D$2:$D$701,$B58,counts!$E$2:$E$701,"placed")))</f>
        <v>60</v>
      </c>
      <c r="AA58" s="30" t="n">
        <f aca="false">IF($A58="","",IF($Y58="",0,N($Z58)))</f>
        <v>60</v>
      </c>
      <c r="AB58" s="30" t="str">
        <f aca="false">IF($A58="","",IF(OR($Y58="",$I58=""),"N",IF($Y58&lt;=WORKDAY(N($I58),1,calendar!$A$2:$A$80),"Y","N")))</f>
        <v>Y</v>
      </c>
      <c r="AC58" s="33" t="n">
        <f aca="false">IF(OR($A58="",$V58="",$Y58=""),"",ROUND(($Y58+N(IFERROR(IF(INDEX(photos!$F$2:$F$701,MATCH($A58&amp;"|"&amp;$B58&amp;"|placement|Y",photos!$R$2:$R$701,0))="","",INDEX(photos!$F$2:$F$701,MATCH($A58&amp;"|"&amp;$B58&amp;"|placement|Y",photos!$R$2:$R$701,0))),""))-$V58)*24,1))</f>
        <v>2.7</v>
      </c>
      <c r="AD58" s="30" t="n">
        <f aca="false">IF($A58="","",SUMIFS(inventory!$G$2:$G$801,inventory!$C$2:$C$801,$A58,inventory!$D$2:$D$801,$B58,inventory!$E$2:$E$801,"topped_up"))</f>
        <v>0</v>
      </c>
      <c r="AE58" s="30" t="n">
        <f aca="false">IF($A58="","",IF(COUNTIFS(counts!$C$2:$C$701,$A58,counts!$D$2:$D$701,$B58,counts!$E$2:$E$701,"remaining_day3")=0,"",SUMIFS(counts!$F$2:$F$701,counts!$C$2:$C$701,$A58,counts!$D$2:$D$701,$B58,counts!$E$2:$E$701,"remaining_day3")))</f>
        <v>29</v>
      </c>
      <c r="AF58" s="30" t="n">
        <f aca="false">IF($A58="","",IF(COUNTIFS(counts!$C$2:$C$701,$A58,counts!$D$2:$D$701,$B58,counts!$E$2:$E$701,"remaining_day5")=0,"",SUMIFS(counts!$F$2:$F$701,counts!$C$2:$C$701,$A58,counts!$D$2:$D$701,$B58,counts!$E$2:$E$701,"remaining_day5")))</f>
        <v>3</v>
      </c>
      <c r="AG58" s="30" t="n">
        <f aca="false">IF(OR($A58="",$AF58=""),"",MAX(0,$AA58+$AD58-$AF58))</f>
        <v>57</v>
      </c>
      <c r="AH58" s="30" t="str">
        <f aca="false">IF(OR($A58="",$AI58=""),"",IFERROR(IF(INDEX(photos!$H$2:$H$701,MATCH($A58&amp;"|"&amp;$B58&amp;"|later|Y|"&amp;$AI58,photos!$S$2:$S$701,0))="","",INDEX(photos!$H$2:$H$701,MATCH($A58&amp;"|"&amp;$B58&amp;"|later|Y|"&amp;$AI58,photos!$S$2:$S$701,0))),""))</f>
        <v>SAMPLE-CMP-007_SAMPLE-O-007_later_2027-03-29.jpg</v>
      </c>
      <c r="AI58" s="31" t="n">
        <f aca="false">IF($A58="","",IFERROR(1/(1/SUMPRODUCT(MAX((photos!$B$2:$B$701=$A58)*(photos!$C$2:$C$701=$B58)*(photos!$D$2:$D$701="later")*(photos!$O$2:$O$701="Y")*photos!$E$2:$E$701))),""))</f>
        <v>46475</v>
      </c>
      <c r="AJ58" s="30" t="n">
        <f aca="false">IF(OR($A58="",$AI58="",$I58=""),"",NETWORKDAYS($I58,$AI58,calendar!$A$2:$A$80))</f>
        <v>5</v>
      </c>
      <c r="AK58" s="30" t="str">
        <f aca="false">IF($A58="","",IF(AND($X58&lt;&gt;"",$AH58&lt;&gt;""),"Y","N"))</f>
        <v>Y</v>
      </c>
      <c r="AL58" s="30" t="n">
        <f aca="true">IF(OR($A58="",$I58=""),"",IF($BC58="Y",SUMIFS(survey_frozen!$C$2:$C$251,survey_frozen!$P$2:$P$251,$A58&amp;"|"&amp;$B58),IFERROR(COUNTIFS(INDIRECT("'"&amp;$A58&amp;"'!$B$2:$B$501"),$T58,INDIRECT("'"&amp;$A58&amp;"'!$A$2:$A$501"),"&gt;="&amp;$I58,INDIRECT("'"&amp;$A58&amp;"'!$A$2:$A$501"),"&lt;"&amp;($BA58+1)),0)))</f>
        <v>7</v>
      </c>
      <c r="AM58" s="30" t="n">
        <f aca="true">IF(OR($A58="",$I58=""),"",IF($BC58="Y",SUMIFS(survey_frozen!$D$2:$D$251,survey_frozen!$P$2:$P$251,$A58&amp;"|"&amp;$B58),IFERROR(COUNTIFS(INDIRECT("'"&amp;$A58&amp;"'!$B$2:$B$501"),$T58,INDIRECT("'"&amp;$A58&amp;"'!$A$2:$A$501"),"&gt;="&amp;$I58,INDIRECT("'"&amp;$A58&amp;"'!$A$2:$A$501"),"&lt;"&amp;($BA58+1),INDIRECT("'"&amp;$A58&amp;"'!$C$2:$C$501"),"Yes"),0)))</f>
        <v>5</v>
      </c>
      <c r="AN58" s="30" t="n">
        <f aca="false">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8</v>
      </c>
      <c r="AO58" s="30" t="n">
        <f aca="false">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11</v>
      </c>
      <c r="AP58" s="30" t="str">
        <f aca="true">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info: read the vetoes against the label; </v>
      </c>
      <c r="AQ58" s="30" t="n">
        <f aca="true">IF(OR($A58="",$I58=""),"",IF($BC58="Y",SUMIFS(survey_frozen!$E$2:$E$251,survey_frozen!$P$2:$P$251,$A58&amp;"|"&amp;$B58),IFERROR(COUNTIFS(INDIRECT("'"&amp;$A58&amp;"'!$B$2:$B$501"),$T58,INDIRECT("'"&amp;$A58&amp;"'!$A$2:$A$501"),"&gt;="&amp;$I58,INDIRECT("'"&amp;$A58&amp;"'!$A$2:$A$501"),"&lt;"&amp;($BA58+1),INDIRECT("'"&amp;$A58&amp;"'!$F$2:$F$501"),"Didn't see it"),0)))</f>
        <v>1</v>
      </c>
      <c r="AR58" s="30" t="n">
        <f aca="true">IF(OR($A58="",$I58=""),"",IF($BC58="Y",SUMIFS(survey_frozen!$F$2:$F$251,survey_frozen!$P$2:$P$251,$A58&amp;"|"&amp;$B58),IFERROR(COUNTIFS(INDIRECT("'"&amp;$A58&amp;"'!$B$2:$B$501"),$T58,INDIRECT("'"&amp;$A58&amp;"'!$A$2:$A$501"),"&gt;="&amp;$I58,INDIRECT("'"&amp;$A58&amp;"'!$A$2:$A$501"),"&lt;"&amp;($BA58+1),INDIRECT("'"&amp;$A58&amp;"'!$F$2:$F$501"),"Not for me"),0)))</f>
        <v>1</v>
      </c>
      <c r="AS58" s="30" t="n">
        <f aca="true">IF(OR($A58="",$I58=""),"",IF($BC58="Y",SUMIFS(survey_frozen!$G$2:$G$251,survey_frozen!$P$2:$P$251,$A58&amp;"|"&amp;$B58),IFERROR(COUNTIFS(INDIRECT("'"&amp;$A58&amp;"'!$B$2:$B$501"),$T58,INDIRECT("'"&amp;$A58&amp;"'!$A$2:$A$501"),"&gt;="&amp;$I58,INDIRECT("'"&amp;$A58&amp;"'!$A$2:$A$501"),"&lt;"&amp;($BA58+1),INDIRECT("'"&amp;$A58&amp;"'!$F$2:$F$501"),"Gone by the time I looked"),0)))</f>
        <v>0</v>
      </c>
      <c r="AT58" s="30" t="n">
        <f aca="true">IF(OR($A58="",$I58=""),"",IF($BC58="Y",SUMIFS(survey_frozen!$H$2:$H$251,survey_frozen!$P$2:$P$251,$A58&amp;"|"&amp;$B58),IFERROR(COUNTIFS(INDIRECT("'"&amp;$A58&amp;"'!$B$2:$B$501"),$T58,INDIRECT("'"&amp;$A58&amp;"'!$A$2:$A$501"),"&gt;="&amp;$I58,INDIRECT("'"&amp;$A58&amp;"'!$A$2:$A$501"),"&lt;"&amp;($BA58+1),INDIRECT("'"&amp;$A58&amp;"'!$D$2:$D$501"),"&gt;=1"),0)))</f>
        <v>5</v>
      </c>
      <c r="AU58" s="30" t="n">
        <f aca="true">IF(OR($A58="",$I58=""),"",IF($BC58="Y",SUMIFS(survey_frozen!$I$2:$I$251,survey_frozen!$P$2:$P$251,$A58&amp;"|"&amp;$B58),IFERROR(SUMIFS(INDIRECT("'"&amp;$A58&amp;"'!$D$2:$D$501"),INDIRECT("'"&amp;$A58&amp;"'!$B$2:$B$501"),$T58,INDIRECT("'"&amp;$A58&amp;"'!$A$2:$A$501"),"&gt;="&amp;$I58,INDIRECT("'"&amp;$A58&amp;"'!$A$2:$A$501"),"&lt;"&amp;($BA58+1)),0)))</f>
        <v>21</v>
      </c>
      <c r="AV58" s="30" t="n">
        <f aca="true">IF(OR($A58="",$I58=""),"",IF($BC58="Y",SUMIFS(survey_frozen!$J$2:$J$251,survey_frozen!$P$2:$P$251,$A58&amp;"|"&amp;$B58),IFERROR(COUNTIFS(INDIRECT("'"&amp;$A58&amp;"'!$B$2:$B$501"),$T58,INDIRECT("'"&amp;$A58&amp;"'!$A$2:$A$501"),"&gt;="&amp;$I58,INDIRECT("'"&amp;$A58&amp;"'!$A$2:$A$501"),"&lt;"&amp;($BA58+1),INDIRECT("'"&amp;$A58&amp;"'!$E$2:$E$501"),"Yes"),0)))</f>
        <v>1</v>
      </c>
      <c r="AW58" s="30" t="n">
        <f aca="true">IF(OR($A58="",$I58=""),"",IF($BC58="Y",SUMIFS(survey_frozen!$K$2:$K$251,survey_frozen!$P$2:$P$251,$A58&amp;"|"&amp;$B58),IFERROR(COUNTIFS(INDIRECT("'"&amp;$A58&amp;"'!$B$2:$B$501"),$T58,INDIRECT("'"&amp;$A58&amp;"'!$A$2:$A$501"),"&gt;="&amp;$I58,INDIRECT("'"&amp;$A58&amp;"'!$A$2:$A$501"),"&lt;"&amp;($BA58+1),INDIRECT("'"&amp;$A58&amp;"'!$E$2:$E$501"),"Maybe"),0)))</f>
        <v>3</v>
      </c>
      <c r="AX58" s="30" t="n">
        <f aca="true">IF(OR($A58="",$I58=""),"",IF($BC58="Y",SUMIFS(survey_frozen!$L$2:$L$251,survey_frozen!$P$2:$P$251,$A58&amp;"|"&amp;$B58),IFERROR(COUNTIFS(INDIRECT("'"&amp;$A58&amp;"'!$B$2:$B$501"),$T58,INDIRECT("'"&amp;$A58&amp;"'!$A$2:$A$501"),"&gt;="&amp;$I58,INDIRECT("'"&amp;$A58&amp;"'!$A$2:$A$501"),"&lt;"&amp;($BA58+1),INDIRECT("'"&amp;$A58&amp;"'!$E$2:$E$501"),"No"),0)))</f>
        <v>1</v>
      </c>
      <c r="AY58" s="30" t="n">
        <f aca="true">IF(OR($A58="",$I58=""),"",IF($BC58="Y",SUMIFS(survey_frozen!$M$2:$M$251,survey_frozen!$P$2:$P$251,$A58&amp;"|"&amp;$B58),IFERROR(COUNTIFS(INDIRECT("'"&amp;$A58&amp;"'!$B$2:$B$501"),$T58,INDIRECT("'"&amp;$A58&amp;"'!$A$2:$A$501"),"&gt;="&amp;$I58,INDIRECT("'"&amp;$A58&amp;"'!$A$2:$A$501"),"&lt;"&amp;($BA58+1),INDIRECT("'"&amp;$A58&amp;"'!$G$2:$G$501"),"&lt;&gt;"),0)))</f>
        <v>2</v>
      </c>
      <c r="AZ58" s="30" t="str">
        <f aca="false">IF($A58="","",$A58&amp;"|"&amp;$L58)</f>
        <v>SAMPLE-CMP-007|7</v>
      </c>
      <c r="BA58" s="31" t="n">
        <f aca="false">IF($A58="","",IFERROR(IF(INDEX(drops!$R$2:$R$21,MATCH($H58,drops!$A$2:$A$21,0))="","",INDEX(drops!$R$2:$R$21,MATCH($H58,drops!$A$2:$A$21,0))),""))</f>
        <v>46475</v>
      </c>
      <c r="BB58" s="30" t="n">
        <f aca="false">IF(OR($A58="",$Q58&lt;&gt;"Y"),1000000,N($AL58))</f>
        <v>7</v>
      </c>
      <c r="BC58" s="30" t="str">
        <f aca="false">IF($A58="","",IF(COUNTIF(survey_frozen!$P$2:$P$251,$A58&amp;"|"&amp;$B58)&gt;0,"Y",""))</f>
        <v/>
      </c>
      <c r="BD58" s="30" t="str">
        <f aca="false">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ustomFormat="false" ht="15" hidden="false" customHeight="false" outlineLevel="0" collapsed="false">
      <c r="A59" s="0" t="s">
        <v>576</v>
      </c>
      <c r="B59" s="0" t="s">
        <v>694</v>
      </c>
      <c r="C59" s="11" t="n">
        <v>46442</v>
      </c>
      <c r="D59" s="10" t="s">
        <v>496</v>
      </c>
      <c r="E59" s="11" t="n">
        <v>46443</v>
      </c>
      <c r="F59" s="10" t="s">
        <v>737</v>
      </c>
      <c r="H59" s="30" t="str">
        <f aca="false">IF($A59="","",IFERROR(IF(INDEX(campaigns!$B$2:$B$51,MATCH($A59,campaigns!$A$2:$A$51,0))="","",INDEX(campaigns!$B$2:$B$51,MATCH($A59,campaigns!$A$2:$A$51,0))),""))</f>
        <v>SAMPLE-DRP-004</v>
      </c>
      <c r="I59" s="31" t="n">
        <f aca="false">IF($A59="","",IFERROR(IF(INDEX(campaigns!$BG$2:$BG$51,MATCH($A59,campaigns!$A$2:$A$51,0))="","",INDEX(campaigns!$BG$2:$BG$51,MATCH($A59,campaigns!$A$2:$A$51,0))),""))</f>
        <v>46469</v>
      </c>
      <c r="J59" s="30" t="str">
        <f aca="false">IF($A59="","",IFERROR(IF(INDEX(campaigns!$BE$2:$BE$51,MATCH($A59,campaigns!$A$2:$A$51,0))="","",INDEX(campaigns!$BE$2:$BE$51,MATCH($A59,campaigns!$A$2:$A$51,0))),""))</f>
        <v>SAMPLE Brightside</v>
      </c>
      <c r="K59" s="30" t="str">
        <f aca="false">IF($B59="","",IFERROR(IF(INDEX(offices!$O$2:$O$61,MATCH($B59,offices!$A$2:$A$61,0))="","",INDEX(offices!$O$2:$O$61,MATCH($B59,offices!$A$2:$A$61,0))),""))</f>
        <v>SAMPLE Larch Legal</v>
      </c>
      <c r="L59" s="30" t="n">
        <f aca="false">IF($A59="","",IF($Q59="N","",COUNTIFS($A$2:$A59,$A59,$Q$2:$Q59,"&lt;&gt;N")))</f>
        <v>8</v>
      </c>
      <c r="M59" s="30" t="str">
        <f aca="false">IF(OR($A59="",$L59=""),"",IF(AND(config!$B$34="names_if_public",IFERROR(IF(INDEX(offices!$AG$2:$AG$61,MATCH($B59,offices!$A$2:$A$61,0))="","",INDEX(offices!$AG$2:$AG$61,MATCH($B59,offices!$A$2:$A$61,0))),"")="Y"),$K59,CHAR(64+$L59)))</f>
        <v>H</v>
      </c>
      <c r="N59" s="30" t="n">
        <f aca="false">IF(OR($A59="",$I59=""),"",COUNTIFS(stops!$B$2:$B$151,$B59,stops!$P$2:$P$151,"&lt;"&amp;$I59,stops!$L$2:$L$151,"&lt;&gt;not_delivered")+1)</f>
        <v>3</v>
      </c>
      <c r="O59" s="30" t="str">
        <f aca="false">IF($A59="","",IF(N($N59)&lt;=config!$B$29,"explicit","opt-out"))</f>
        <v>explicit</v>
      </c>
      <c r="P59" s="30" t="str">
        <f aca="false">IF($A59="","",IF($O59="explicit",IF($D59="yes","Y",IF($D59="no","N","pending")),IF($D59="no","N",IF(AND($C59&lt;&gt;"",$I59&lt;&gt;"",$C59&lt;=WORKDAY(N($I59),-5,calendar!$A$2:$A$80)),"Y","pending"))))</f>
        <v>Y</v>
      </c>
      <c r="Q59" s="30" t="str">
        <f aca="false">IF($A59="","",IF($P59="N","N",IF($P59&lt;&gt;"Y","pending",IF(AND((COUNTIFS(stops!$A$2:$A$151,$H59,stops!$B$2:$B$151,$B59,stops!$L$2:$L$151,"declined")+COUNTIFS(stops!$A$2:$A$151,$H59,stops!$B$2:$B$151,$B59,stops!$L$2:$L$151,"building_refused")+COUNTIFS(stops!$A$2:$A$151,$H59,stops!$B$2:$B$151,$B59,stops!$L$2:$L$151,"not_delivered"))&gt;0,N($U59)=0),"N","Y"))))</f>
        <v>Y</v>
      </c>
      <c r="R59" s="30" t="str">
        <f aca="false">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30" t="n">
        <f aca="false">IF($A59="","",IF($G59&lt;&gt;"",$G59,IFERROR(IF(INDEX(offices!$AM$2:$AM$61,MATCH($B59,offices!$A$2:$A$61,0))="","",INDEX(offices!$AM$2:$AM$61,MATCH($B59,offices!$A$2:$A$61,0))),"")))</f>
        <v>45</v>
      </c>
      <c r="T59" s="30" t="str">
        <f aca="false">IF($A59="","",$A59&amp;"."&amp;$B59)</f>
        <v>SAMPLE-CMP-007.SAMPLE-O-008</v>
      </c>
      <c r="U59" s="30" t="n">
        <f aca="false">IF($A59="","",SUMIFS(inventory!$G$2:$G$801,inventory!$C$2:$C$801,$A59,inventory!$D$2:$D$801,$B59,inventory!$E$2:$E$801,"delivered"))</f>
        <v>45</v>
      </c>
      <c r="V59" s="37" t="n">
        <f aca="false">IF($A59="","",IFERROR(1/(1/SUMPRODUCT(MAX((inventory!$C$2:$C$801=$A59)*(inventory!$D$2:$D$801=$B59)*(inventory!$E$2:$E$801="delivered")*(inventory!$A$2:$A$801+inventory!$B$2:$B$801)))),""))</f>
        <v>46469.4291666667</v>
      </c>
      <c r="W59" s="30" t="str">
        <f aca="false">IF($A59="","",IFERROR(IF(INDEX(inventory!$J$2:$J$801,MATCH($A59&amp;"|"&amp;$B59&amp;"|delivered",inventory!$R$2:$R$801,0))="","",INDEX(inventory!$J$2:$J$801,MATCH($A59&amp;"|"&amp;$B59&amp;"|delivered",inventory!$R$2:$R$801,0))),""))</f>
        <v>office_count</v>
      </c>
      <c r="X59" s="30" t="str">
        <f aca="false">IF($A59="","",IFERROR(IF(INDEX(photos!$H$2:$H$701,MATCH($A59&amp;"|"&amp;$B59&amp;"|placement|Y",photos!$R$2:$R$701,0))="","",INDEX(photos!$H$2:$H$701,MATCH($A59&amp;"|"&amp;$B59&amp;"|placement|Y",photos!$R$2:$R$701,0))),""))</f>
        <v>SAMPLE-CMP-007_SAMPLE-O-008_placement_2027-03-23.jpg</v>
      </c>
      <c r="Y59" s="31" t="n">
        <f aca="false">IF($A59="","",IFERROR(IF(INDEX(photos!$E$2:$E$701,MATCH($A59&amp;"|"&amp;$B59&amp;"|placement|Y",photos!$R$2:$R$701,0))="","",INDEX(photos!$E$2:$E$701,MATCH($A59&amp;"|"&amp;$B59&amp;"|placement|Y",photos!$R$2:$R$701,0))),""))</f>
        <v>46469</v>
      </c>
      <c r="Z59" s="30" t="n">
        <f aca="false">IF($A59="","",IF(COUNTIFS(counts!$C$2:$C$701,$A59,counts!$D$2:$D$701,$B59,counts!$E$2:$E$701,"placed")=0,"",SUMIFS(counts!$F$2:$F$701,counts!$C$2:$C$701,$A59,counts!$D$2:$D$701,$B59,counts!$E$2:$E$701,"placed")))</f>
        <v>45</v>
      </c>
      <c r="AA59" s="30" t="n">
        <f aca="false">IF($A59="","",IF($Y59="",0,N($Z59)))</f>
        <v>45</v>
      </c>
      <c r="AB59" s="30" t="str">
        <f aca="false">IF($A59="","",IF(OR($Y59="",$I59=""),"N",IF($Y59&lt;=WORKDAY(N($I59),1,calendar!$A$2:$A$80),"Y","N")))</f>
        <v>Y</v>
      </c>
      <c r="AC59" s="33" t="n">
        <f aca="false">IF(OR($A59="",$V59="",$Y59=""),"",ROUND(($Y59+N(IFERROR(IF(INDEX(photos!$F$2:$F$701,MATCH($A59&amp;"|"&amp;$B59&amp;"|placement|Y",photos!$R$2:$R$701,0))="","",INDEX(photos!$F$2:$F$701,MATCH($A59&amp;"|"&amp;$B59&amp;"|placement|Y",photos!$R$2:$R$701,0))),""))-$V59)*24,1))</f>
        <v>2.7</v>
      </c>
      <c r="AD59" s="30" t="n">
        <f aca="false">IF($A59="","",SUMIFS(inventory!$G$2:$G$801,inventory!$C$2:$C$801,$A59,inventory!$D$2:$D$801,$B59,inventory!$E$2:$E$801,"topped_up"))</f>
        <v>0</v>
      </c>
      <c r="AE59" s="30" t="n">
        <f aca="false">IF($A59="","",IF(COUNTIFS(counts!$C$2:$C$701,$A59,counts!$D$2:$D$701,$B59,counts!$E$2:$E$701,"remaining_day3")=0,"",SUMIFS(counts!$F$2:$F$701,counts!$C$2:$C$701,$A59,counts!$D$2:$D$701,$B59,counts!$E$2:$E$701,"remaining_day3")))</f>
        <v>18</v>
      </c>
      <c r="AF59" s="30" t="n">
        <f aca="false">IF($A59="","",IF(COUNTIFS(counts!$C$2:$C$701,$A59,counts!$D$2:$D$701,$B59,counts!$E$2:$E$701,"remaining_day5")=0,"",SUMIFS(counts!$F$2:$F$701,counts!$C$2:$C$701,$A59,counts!$D$2:$D$701,$B59,counts!$E$2:$E$701,"remaining_day5")))</f>
        <v>3</v>
      </c>
      <c r="AG59" s="30" t="n">
        <f aca="false">IF(OR($A59="",$AF59=""),"",MAX(0,$AA59+$AD59-$AF59))</f>
        <v>42</v>
      </c>
      <c r="AH59" s="30" t="str">
        <f aca="false">IF(OR($A59="",$AI59=""),"",IFERROR(IF(INDEX(photos!$H$2:$H$701,MATCH($A59&amp;"|"&amp;$B59&amp;"|later|Y|"&amp;$AI59,photos!$S$2:$S$701,0))="","",INDEX(photos!$H$2:$H$701,MATCH($A59&amp;"|"&amp;$B59&amp;"|later|Y|"&amp;$AI59,photos!$S$2:$S$701,0))),""))</f>
        <v>SAMPLE-CMP-007_SAMPLE-O-008_later_2027-03-29.jpg</v>
      </c>
      <c r="AI59" s="31" t="n">
        <f aca="false">IF($A59="","",IFERROR(1/(1/SUMPRODUCT(MAX((photos!$B$2:$B$701=$A59)*(photos!$C$2:$C$701=$B59)*(photos!$D$2:$D$701="later")*(photos!$O$2:$O$701="Y")*photos!$E$2:$E$701))),""))</f>
        <v>46475</v>
      </c>
      <c r="AJ59" s="30" t="n">
        <f aca="false">IF(OR($A59="",$AI59="",$I59=""),"",NETWORKDAYS($I59,$AI59,calendar!$A$2:$A$80))</f>
        <v>5</v>
      </c>
      <c r="AK59" s="30" t="str">
        <f aca="false">IF($A59="","",IF(AND($X59&lt;&gt;"",$AH59&lt;&gt;""),"Y","N"))</f>
        <v>Y</v>
      </c>
      <c r="AL59" s="30" t="n">
        <f aca="true">IF(OR($A59="",$I59=""),"",IF($BC59="Y",SUMIFS(survey_frozen!$C$2:$C$251,survey_frozen!$P$2:$P$251,$A59&amp;"|"&amp;$B59),IFERROR(COUNTIFS(INDIRECT("'"&amp;$A59&amp;"'!$B$2:$B$501"),$T59,INDIRECT("'"&amp;$A59&amp;"'!$A$2:$A$501"),"&gt;="&amp;$I59,INDIRECT("'"&amp;$A59&amp;"'!$A$2:$A$501"),"&lt;"&amp;($BA59+1)),0)))</f>
        <v>9</v>
      </c>
      <c r="AM59" s="30" t="n">
        <f aca="true">IF(OR($A59="",$I59=""),"",IF($BC59="Y",SUMIFS(survey_frozen!$D$2:$D$251,survey_frozen!$P$2:$P$251,$A59&amp;"|"&amp;$B59),IFERROR(COUNTIFS(INDIRECT("'"&amp;$A59&amp;"'!$B$2:$B$501"),$T59,INDIRECT("'"&amp;$A59&amp;"'!$A$2:$A$501"),"&gt;="&amp;$I59,INDIRECT("'"&amp;$A59&amp;"'!$A$2:$A$501"),"&lt;"&amp;($BA59+1),INDIRECT("'"&amp;$A59&amp;"'!$C$2:$C$501"),"Yes"),0)))</f>
        <v>8</v>
      </c>
      <c r="AN59" s="30" t="n">
        <f aca="false">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10</v>
      </c>
      <c r="AO59" s="30" t="n">
        <f aca="false">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3</v>
      </c>
      <c r="AP59" s="30" t="str">
        <f aca="true">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30" t="n">
        <f aca="true">IF(OR($A59="",$I59=""),"",IF($BC59="Y",SUMIFS(survey_frozen!$E$2:$E$251,survey_frozen!$P$2:$P$251,$A59&amp;"|"&amp;$B59),IFERROR(COUNTIFS(INDIRECT("'"&amp;$A59&amp;"'!$B$2:$B$501"),$T59,INDIRECT("'"&amp;$A59&amp;"'!$A$2:$A$501"),"&gt;="&amp;$I59,INDIRECT("'"&amp;$A59&amp;"'!$A$2:$A$501"),"&lt;"&amp;($BA59+1),INDIRECT("'"&amp;$A59&amp;"'!$F$2:$F$501"),"Didn't see it"),0)))</f>
        <v>0</v>
      </c>
      <c r="AR59" s="30" t="n">
        <f aca="true">IF(OR($A59="",$I59=""),"",IF($BC59="Y",SUMIFS(survey_frozen!$F$2:$F$251,survey_frozen!$P$2:$P$251,$A59&amp;"|"&amp;$B59),IFERROR(COUNTIFS(INDIRECT("'"&amp;$A59&amp;"'!$B$2:$B$501"),$T59,INDIRECT("'"&amp;$A59&amp;"'!$A$2:$A$501"),"&gt;="&amp;$I59,INDIRECT("'"&amp;$A59&amp;"'!$A$2:$A$501"),"&lt;"&amp;($BA59+1),INDIRECT("'"&amp;$A59&amp;"'!$F$2:$F$501"),"Not for me"),0)))</f>
        <v>1</v>
      </c>
      <c r="AS59" s="30" t="n">
        <f aca="true">IF(OR($A59="",$I59=""),"",IF($BC59="Y",SUMIFS(survey_frozen!$G$2:$G$251,survey_frozen!$P$2:$P$251,$A59&amp;"|"&amp;$B59),IFERROR(COUNTIFS(INDIRECT("'"&amp;$A59&amp;"'!$B$2:$B$501"),$T59,INDIRECT("'"&amp;$A59&amp;"'!$A$2:$A$501"),"&gt;="&amp;$I59,INDIRECT("'"&amp;$A59&amp;"'!$A$2:$A$501"),"&lt;"&amp;($BA59+1),INDIRECT("'"&amp;$A59&amp;"'!$F$2:$F$501"),"Gone by the time I looked"),0)))</f>
        <v>0</v>
      </c>
      <c r="AT59" s="30" t="n">
        <f aca="true">IF(OR($A59="",$I59=""),"",IF($BC59="Y",SUMIFS(survey_frozen!$H$2:$H$251,survey_frozen!$P$2:$P$251,$A59&amp;"|"&amp;$B59),IFERROR(COUNTIFS(INDIRECT("'"&amp;$A59&amp;"'!$B$2:$B$501"),$T59,INDIRECT("'"&amp;$A59&amp;"'!$A$2:$A$501"),"&gt;="&amp;$I59,INDIRECT("'"&amp;$A59&amp;"'!$A$2:$A$501"),"&lt;"&amp;($BA59+1),INDIRECT("'"&amp;$A59&amp;"'!$D$2:$D$501"),"&gt;=1"),0)))</f>
        <v>8</v>
      </c>
      <c r="AU59" s="30" t="n">
        <f aca="true">IF(OR($A59="",$I59=""),"",IF($BC59="Y",SUMIFS(survey_frozen!$I$2:$I$251,survey_frozen!$P$2:$P$251,$A59&amp;"|"&amp;$B59),IFERROR(SUMIFS(INDIRECT("'"&amp;$A59&amp;"'!$D$2:$D$501"),INDIRECT("'"&amp;$A59&amp;"'!$B$2:$B$501"),$T59,INDIRECT("'"&amp;$A59&amp;"'!$A$2:$A$501"),"&gt;="&amp;$I59,INDIRECT("'"&amp;$A59&amp;"'!$A$2:$A$501"),"&lt;"&amp;($BA59+1)),0)))</f>
        <v>35</v>
      </c>
      <c r="AV59" s="30" t="n">
        <f aca="true">IF(OR($A59="",$I59=""),"",IF($BC59="Y",SUMIFS(survey_frozen!$J$2:$J$251,survey_frozen!$P$2:$P$251,$A59&amp;"|"&amp;$B59),IFERROR(COUNTIFS(INDIRECT("'"&amp;$A59&amp;"'!$B$2:$B$501"),$T59,INDIRECT("'"&amp;$A59&amp;"'!$A$2:$A$501"),"&gt;="&amp;$I59,INDIRECT("'"&amp;$A59&amp;"'!$A$2:$A$501"),"&lt;"&amp;($BA59+1),INDIRECT("'"&amp;$A59&amp;"'!$E$2:$E$501"),"Yes"),0)))</f>
        <v>1</v>
      </c>
      <c r="AW59" s="30" t="n">
        <f aca="true">IF(OR($A59="",$I59=""),"",IF($BC59="Y",SUMIFS(survey_frozen!$K$2:$K$251,survey_frozen!$P$2:$P$251,$A59&amp;"|"&amp;$B59),IFERROR(COUNTIFS(INDIRECT("'"&amp;$A59&amp;"'!$B$2:$B$501"),$T59,INDIRECT("'"&amp;$A59&amp;"'!$A$2:$A$501"),"&gt;="&amp;$I59,INDIRECT("'"&amp;$A59&amp;"'!$A$2:$A$501"),"&lt;"&amp;($BA59+1),INDIRECT("'"&amp;$A59&amp;"'!$E$2:$E$501"),"Maybe"),0)))</f>
        <v>7</v>
      </c>
      <c r="AX59" s="30" t="n">
        <f aca="true">IF(OR($A59="",$I59=""),"",IF($BC59="Y",SUMIFS(survey_frozen!$L$2:$L$251,survey_frozen!$P$2:$P$251,$A59&amp;"|"&amp;$B59),IFERROR(COUNTIFS(INDIRECT("'"&amp;$A59&amp;"'!$B$2:$B$501"),$T59,INDIRECT("'"&amp;$A59&amp;"'!$A$2:$A$501"),"&gt;="&amp;$I59,INDIRECT("'"&amp;$A59&amp;"'!$A$2:$A$501"),"&lt;"&amp;($BA59+1),INDIRECT("'"&amp;$A59&amp;"'!$E$2:$E$501"),"No"),0)))</f>
        <v>0</v>
      </c>
      <c r="AY59" s="30" t="n">
        <f aca="true">IF(OR($A59="",$I59=""),"",IF($BC59="Y",SUMIFS(survey_frozen!$M$2:$M$251,survey_frozen!$P$2:$P$251,$A59&amp;"|"&amp;$B59),IFERROR(COUNTIFS(INDIRECT("'"&amp;$A59&amp;"'!$B$2:$B$501"),$T59,INDIRECT("'"&amp;$A59&amp;"'!$A$2:$A$501"),"&gt;="&amp;$I59,INDIRECT("'"&amp;$A59&amp;"'!$A$2:$A$501"),"&lt;"&amp;($BA59+1),INDIRECT("'"&amp;$A59&amp;"'!$G$2:$G$501"),"&lt;&gt;"),0)))</f>
        <v>4</v>
      </c>
      <c r="AZ59" s="30" t="str">
        <f aca="false">IF($A59="","",$A59&amp;"|"&amp;$L59)</f>
        <v>SAMPLE-CMP-007|8</v>
      </c>
      <c r="BA59" s="31" t="n">
        <f aca="false">IF($A59="","",IFERROR(IF(INDEX(drops!$R$2:$R$21,MATCH($H59,drops!$A$2:$A$21,0))="","",INDEX(drops!$R$2:$R$21,MATCH($H59,drops!$A$2:$A$21,0))),""))</f>
        <v>46475</v>
      </c>
      <c r="BB59" s="30" t="n">
        <f aca="false">IF(OR($A59="",$Q59&lt;&gt;"Y"),1000000,N($AL59))</f>
        <v>9</v>
      </c>
      <c r="BC59" s="30" t="str">
        <f aca="false">IF($A59="","",IF(COUNTIF(survey_frozen!$P$2:$P$251,$A59&amp;"|"&amp;$B59)&gt;0,"Y",""))</f>
        <v/>
      </c>
      <c r="BD59" s="30" t="str">
        <f aca="false">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ustomFormat="false" ht="15" hidden="false" customHeight="false" outlineLevel="0" collapsed="false">
      <c r="A60" s="0" t="s">
        <v>576</v>
      </c>
      <c r="B60" s="0" t="s">
        <v>696</v>
      </c>
      <c r="C60" s="11" t="n">
        <v>46442</v>
      </c>
      <c r="D60" s="10" t="s">
        <v>496</v>
      </c>
      <c r="E60" s="11" t="n">
        <v>46443</v>
      </c>
      <c r="F60" s="10" t="s">
        <v>737</v>
      </c>
      <c r="H60" s="30" t="str">
        <f aca="false">IF($A60="","",IFERROR(IF(INDEX(campaigns!$B$2:$B$51,MATCH($A60,campaigns!$A$2:$A$51,0))="","",INDEX(campaigns!$B$2:$B$51,MATCH($A60,campaigns!$A$2:$A$51,0))),""))</f>
        <v>SAMPLE-DRP-004</v>
      </c>
      <c r="I60" s="31" t="n">
        <f aca="false">IF($A60="","",IFERROR(IF(INDEX(campaigns!$BG$2:$BG$51,MATCH($A60,campaigns!$A$2:$A$51,0))="","",INDEX(campaigns!$BG$2:$BG$51,MATCH($A60,campaigns!$A$2:$A$51,0))),""))</f>
        <v>46469</v>
      </c>
      <c r="J60" s="30" t="str">
        <f aca="false">IF($A60="","",IFERROR(IF(INDEX(campaigns!$BE$2:$BE$51,MATCH($A60,campaigns!$A$2:$A$51,0))="","",INDEX(campaigns!$BE$2:$BE$51,MATCH($A60,campaigns!$A$2:$A$51,0))),""))</f>
        <v>SAMPLE Brightside</v>
      </c>
      <c r="K60" s="30" t="str">
        <f aca="false">IF($B60="","",IFERROR(IF(INDEX(offices!$O$2:$O$61,MATCH($B60,offices!$A$2:$A$61,0))="","",INDEX(offices!$O$2:$O$61,MATCH($B60,offices!$A$2:$A$61,0))),""))</f>
        <v>SAMPLE Overlook Games</v>
      </c>
      <c r="L60" s="30" t="n">
        <f aca="false">IF($A60="","",IF($Q60="N","",COUNTIFS($A$2:$A60,$A60,$Q$2:$Q60,"&lt;&gt;N")))</f>
        <v>9</v>
      </c>
      <c r="M60" s="30" t="str">
        <f aca="false">IF(OR($A60="",$L60=""),"",IF(AND(config!$B$34="names_if_public",IFERROR(IF(INDEX(offices!$AG$2:$AG$61,MATCH($B60,offices!$A$2:$A$61,0))="","",INDEX(offices!$AG$2:$AG$61,MATCH($B60,offices!$A$2:$A$61,0))),"")="Y"),$K60,CHAR(64+$L60)))</f>
        <v>I</v>
      </c>
      <c r="N60" s="30" t="n">
        <f aca="false">IF(OR($A60="",$I60=""),"",COUNTIFS(stops!$B$2:$B$151,$B60,stops!$P$2:$P$151,"&lt;"&amp;$I60,stops!$L$2:$L$151,"&lt;&gt;not_delivered")+1)</f>
        <v>3</v>
      </c>
      <c r="O60" s="30" t="str">
        <f aca="false">IF($A60="","",IF(N($N60)&lt;=config!$B$29,"explicit","opt-out"))</f>
        <v>explicit</v>
      </c>
      <c r="P60" s="30" t="str">
        <f aca="false">IF($A60="","",IF($O60="explicit",IF($D60="yes","Y",IF($D60="no","N","pending")),IF($D60="no","N",IF(AND($C60&lt;&gt;"",$I60&lt;&gt;"",$C60&lt;=WORKDAY(N($I60),-5,calendar!$A$2:$A$80)),"Y","pending"))))</f>
        <v>Y</v>
      </c>
      <c r="Q60" s="30" t="str">
        <f aca="false">IF($A60="","",IF($P60="N","N",IF($P60&lt;&gt;"Y","pending",IF(AND((COUNTIFS(stops!$A$2:$A$151,$H60,stops!$B$2:$B$151,$B60,stops!$L$2:$L$151,"declined")+COUNTIFS(stops!$A$2:$A$151,$H60,stops!$B$2:$B$151,$B60,stops!$L$2:$L$151,"building_refused")+COUNTIFS(stops!$A$2:$A$151,$H60,stops!$B$2:$B$151,$B60,stops!$L$2:$L$151,"not_delivered"))&gt;0,N($U60)=0),"N","Y"))))</f>
        <v>Y</v>
      </c>
      <c r="R60" s="30" t="str">
        <f aca="false">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30" t="n">
        <f aca="false">IF($A60="","",IF($G60&lt;&gt;"",$G60,IFERROR(IF(INDEX(offices!$AM$2:$AM$61,MATCH($B60,offices!$A$2:$A$61,0))="","",INDEX(offices!$AM$2:$AM$61,MATCH($B60,offices!$A$2:$A$61,0))),"")))</f>
        <v>75</v>
      </c>
      <c r="T60" s="30" t="str">
        <f aca="false">IF($A60="","",$A60&amp;"."&amp;$B60)</f>
        <v>SAMPLE-CMP-007.SAMPLE-O-009</v>
      </c>
      <c r="U60" s="30" t="n">
        <f aca="false">IF($A60="","",SUMIFS(inventory!$G$2:$G$801,inventory!$C$2:$C$801,$A60,inventory!$D$2:$D$801,$B60,inventory!$E$2:$E$801,"delivered"))</f>
        <v>75</v>
      </c>
      <c r="V60" s="37" t="n">
        <f aca="false">IF($A60="","",IFERROR(1/(1/SUMPRODUCT(MAX((inventory!$C$2:$C$801=$A60)*(inventory!$D$2:$D$801=$B60)*(inventory!$E$2:$E$801="delivered")*(inventory!$A$2:$A$801+inventory!$B$2:$B$801)))),""))</f>
        <v>46469.4388888889</v>
      </c>
      <c r="W60" s="30" t="str">
        <f aca="false">IF($A60="","",IFERROR(IF(INDEX(inventory!$J$2:$J$801,MATCH($A60&amp;"|"&amp;$B60&amp;"|delivered",inventory!$R$2:$R$801,0))="","",INDEX(inventory!$J$2:$J$801,MATCH($A60&amp;"|"&amp;$B60&amp;"|delivered",inventory!$R$2:$R$801,0))),""))</f>
        <v>founder_count</v>
      </c>
      <c r="X60" s="30" t="str">
        <f aca="false">IF($A60="","",IFERROR(IF(INDEX(photos!$H$2:$H$701,MATCH($A60&amp;"|"&amp;$B60&amp;"|placement|Y",photos!$R$2:$R$701,0))="","",INDEX(photos!$H$2:$H$701,MATCH($A60&amp;"|"&amp;$B60&amp;"|placement|Y",photos!$R$2:$R$701,0))),""))</f>
        <v>SAMPLE-CMP-007_SAMPLE-O-009_placement_2027-03-23.jpg</v>
      </c>
      <c r="Y60" s="31" t="n">
        <f aca="false">IF($A60="","",IFERROR(IF(INDEX(photos!$E$2:$E$701,MATCH($A60&amp;"|"&amp;$B60&amp;"|placement|Y",photos!$R$2:$R$701,0))="","",INDEX(photos!$E$2:$E$701,MATCH($A60&amp;"|"&amp;$B60&amp;"|placement|Y",photos!$R$2:$R$701,0))),""))</f>
        <v>46469</v>
      </c>
      <c r="Z60" s="30" t="n">
        <f aca="false">IF($A60="","",IF(COUNTIFS(counts!$C$2:$C$701,$A60,counts!$D$2:$D$701,$B60,counts!$E$2:$E$701,"placed")=0,"",SUMIFS(counts!$F$2:$F$701,counts!$C$2:$C$701,$A60,counts!$D$2:$D$701,$B60,counts!$E$2:$E$701,"placed")))</f>
        <v>75</v>
      </c>
      <c r="AA60" s="30" t="n">
        <f aca="false">IF($A60="","",IF($Y60="",0,N($Z60)))</f>
        <v>75</v>
      </c>
      <c r="AB60" s="30" t="str">
        <f aca="false">IF($A60="","",IF(OR($Y60="",$I60=""),"N",IF($Y60&lt;=WORKDAY(N($I60),1,calendar!$A$2:$A$80),"Y","N")))</f>
        <v>Y</v>
      </c>
      <c r="AC60" s="33" t="n">
        <f aca="false">IF(OR($A60="",$V60="",$Y60=""),"",ROUND(($Y60+N(IFERROR(IF(INDEX(photos!$F$2:$F$701,MATCH($A60&amp;"|"&amp;$B60&amp;"|placement|Y",photos!$R$2:$R$701,0))="","",INDEX(photos!$F$2:$F$701,MATCH($A60&amp;"|"&amp;$B60&amp;"|placement|Y",photos!$R$2:$R$701,0))),""))-$V60)*24,1))</f>
        <v>0.1</v>
      </c>
      <c r="AD60" s="30" t="n">
        <f aca="false">IF($A60="","",SUMIFS(inventory!$G$2:$G$801,inventory!$C$2:$C$801,$A60,inventory!$D$2:$D$801,$B60,inventory!$E$2:$E$801,"topped_up"))</f>
        <v>0</v>
      </c>
      <c r="AE60" s="30" t="n">
        <f aca="false">IF($A60="","",IF(COUNTIFS(counts!$C$2:$C$701,$A60,counts!$D$2:$D$701,$B60,counts!$E$2:$E$701,"remaining_day3")=0,"",SUMIFS(counts!$F$2:$F$701,counts!$C$2:$C$701,$A60,counts!$D$2:$D$701,$B60,counts!$E$2:$E$701,"remaining_day3")))</f>
        <v>31</v>
      </c>
      <c r="AF60" s="30" t="n">
        <f aca="false">IF($A60="","",IF(COUNTIFS(counts!$C$2:$C$701,$A60,counts!$D$2:$D$701,$B60,counts!$E$2:$E$701,"remaining_day5")=0,"",SUMIFS(counts!$F$2:$F$701,counts!$C$2:$C$701,$A60,counts!$D$2:$D$701,$B60,counts!$E$2:$E$701,"remaining_day5")))</f>
        <v>9</v>
      </c>
      <c r="AG60" s="30" t="n">
        <f aca="false">IF(OR($A60="",$AF60=""),"",MAX(0,$AA60+$AD60-$AF60))</f>
        <v>66</v>
      </c>
      <c r="AH60" s="30" t="str">
        <f aca="false">IF(OR($A60="",$AI60=""),"",IFERROR(IF(INDEX(photos!$H$2:$H$701,MATCH($A60&amp;"|"&amp;$B60&amp;"|later|Y|"&amp;$AI60,photos!$S$2:$S$701,0))="","",INDEX(photos!$H$2:$H$701,MATCH($A60&amp;"|"&amp;$B60&amp;"|later|Y|"&amp;$AI60,photos!$S$2:$S$701,0))),""))</f>
        <v>SAMPLE-CMP-007_SAMPLE-O-009_later_2027-03-29.jpg</v>
      </c>
      <c r="AI60" s="31" t="n">
        <f aca="false">IF($A60="","",IFERROR(1/(1/SUMPRODUCT(MAX((photos!$B$2:$B$701=$A60)*(photos!$C$2:$C$701=$B60)*(photos!$D$2:$D$701="later")*(photos!$O$2:$O$701="Y")*photos!$E$2:$E$701))),""))</f>
        <v>46475</v>
      </c>
      <c r="AJ60" s="30" t="n">
        <f aca="false">IF(OR($A60="",$AI60="",$I60=""),"",NETWORKDAYS($I60,$AI60,calendar!$A$2:$A$80))</f>
        <v>5</v>
      </c>
      <c r="AK60" s="30" t="str">
        <f aca="false">IF($A60="","",IF(AND($X60&lt;&gt;"",$AH60&lt;&gt;""),"Y","N"))</f>
        <v>Y</v>
      </c>
      <c r="AL60" s="30" t="n">
        <f aca="true">IF(OR($A60="",$I60=""),"",IF($BC60="Y",SUMIFS(survey_frozen!$C$2:$C$251,survey_frozen!$P$2:$P$251,$A60&amp;"|"&amp;$B60),IFERROR(COUNTIFS(INDIRECT("'"&amp;$A60&amp;"'!$B$2:$B$501"),$T60,INDIRECT("'"&amp;$A60&amp;"'!$A$2:$A$501"),"&gt;="&amp;$I60,INDIRECT("'"&amp;$A60&amp;"'!$A$2:$A$501"),"&lt;"&amp;($BA60+1)),0)))</f>
        <v>6</v>
      </c>
      <c r="AM60" s="30" t="n">
        <f aca="true">IF(OR($A60="",$I60=""),"",IF($BC60="Y",SUMIFS(survey_frozen!$D$2:$D$251,survey_frozen!$P$2:$P$251,$A60&amp;"|"&amp;$B60),IFERROR(COUNTIFS(INDIRECT("'"&amp;$A60&amp;"'!$B$2:$B$501"),$T60,INDIRECT("'"&amp;$A60&amp;"'!$A$2:$A$501"),"&gt;="&amp;$I60,INDIRECT("'"&amp;$A60&amp;"'!$A$2:$A$501"),"&lt;"&amp;($BA60+1),INDIRECT("'"&amp;$A60&amp;"'!$C$2:$C$501"),"Yes"),0)))</f>
        <v>4</v>
      </c>
      <c r="AN60" s="30" t="n">
        <f aca="false">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12</v>
      </c>
      <c r="AO60" s="30" t="n">
        <f aca="false">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5</v>
      </c>
      <c r="AP60" s="30" t="str">
        <f aca="true">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30" t="n">
        <f aca="true">IF(OR($A60="",$I60=""),"",IF($BC60="Y",SUMIFS(survey_frozen!$E$2:$E$251,survey_frozen!$P$2:$P$251,$A60&amp;"|"&amp;$B60),IFERROR(COUNTIFS(INDIRECT("'"&amp;$A60&amp;"'!$B$2:$B$501"),$T60,INDIRECT("'"&amp;$A60&amp;"'!$A$2:$A$501"),"&gt;="&amp;$I60,INDIRECT("'"&amp;$A60&amp;"'!$A$2:$A$501"),"&lt;"&amp;($BA60+1),INDIRECT("'"&amp;$A60&amp;"'!$F$2:$F$501"),"Didn't see it"),0)))</f>
        <v>0</v>
      </c>
      <c r="AR60" s="30" t="n">
        <f aca="true">IF(OR($A60="",$I60=""),"",IF($BC60="Y",SUMIFS(survey_frozen!$F$2:$F$251,survey_frozen!$P$2:$P$251,$A60&amp;"|"&amp;$B60),IFERROR(COUNTIFS(INDIRECT("'"&amp;$A60&amp;"'!$B$2:$B$501"),$T60,INDIRECT("'"&amp;$A60&amp;"'!$A$2:$A$501"),"&gt;="&amp;$I60,INDIRECT("'"&amp;$A60&amp;"'!$A$2:$A$501"),"&lt;"&amp;($BA60+1),INDIRECT("'"&amp;$A60&amp;"'!$F$2:$F$501"),"Not for me"),0)))</f>
        <v>2</v>
      </c>
      <c r="AS60" s="30" t="n">
        <f aca="true">IF(OR($A60="",$I60=""),"",IF($BC60="Y",SUMIFS(survey_frozen!$G$2:$G$251,survey_frozen!$P$2:$P$251,$A60&amp;"|"&amp;$B60),IFERROR(COUNTIFS(INDIRECT("'"&amp;$A60&amp;"'!$B$2:$B$501"),$T60,INDIRECT("'"&amp;$A60&amp;"'!$A$2:$A$501"),"&gt;="&amp;$I60,INDIRECT("'"&amp;$A60&amp;"'!$A$2:$A$501"),"&lt;"&amp;($BA60+1),INDIRECT("'"&amp;$A60&amp;"'!$F$2:$F$501"),"Gone by the time I looked"),0)))</f>
        <v>0</v>
      </c>
      <c r="AT60" s="30" t="n">
        <f aca="true">IF(OR($A60="",$I60=""),"",IF($BC60="Y",SUMIFS(survey_frozen!$H$2:$H$251,survey_frozen!$P$2:$P$251,$A60&amp;"|"&amp;$B60),IFERROR(COUNTIFS(INDIRECT("'"&amp;$A60&amp;"'!$B$2:$B$501"),$T60,INDIRECT("'"&amp;$A60&amp;"'!$A$2:$A$501"),"&gt;="&amp;$I60,INDIRECT("'"&amp;$A60&amp;"'!$A$2:$A$501"),"&lt;"&amp;($BA60+1),INDIRECT("'"&amp;$A60&amp;"'!$D$2:$D$501"),"&gt;=1"),0)))</f>
        <v>4</v>
      </c>
      <c r="AU60" s="30" t="n">
        <f aca="true">IF(OR($A60="",$I60=""),"",IF($BC60="Y",SUMIFS(survey_frozen!$I$2:$I$251,survey_frozen!$P$2:$P$251,$A60&amp;"|"&amp;$B60),IFERROR(SUMIFS(INDIRECT("'"&amp;$A60&amp;"'!$D$2:$D$501"),INDIRECT("'"&amp;$A60&amp;"'!$B$2:$B$501"),$T60,INDIRECT("'"&amp;$A60&amp;"'!$A$2:$A$501"),"&gt;="&amp;$I60,INDIRECT("'"&amp;$A60&amp;"'!$A$2:$A$501"),"&lt;"&amp;($BA60+1)),0)))</f>
        <v>16</v>
      </c>
      <c r="AV60" s="30" t="n">
        <f aca="true">IF(OR($A60="",$I60=""),"",IF($BC60="Y",SUMIFS(survey_frozen!$J$2:$J$251,survey_frozen!$P$2:$P$251,$A60&amp;"|"&amp;$B60),IFERROR(COUNTIFS(INDIRECT("'"&amp;$A60&amp;"'!$B$2:$B$501"),$T60,INDIRECT("'"&amp;$A60&amp;"'!$A$2:$A$501"),"&gt;="&amp;$I60,INDIRECT("'"&amp;$A60&amp;"'!$A$2:$A$501"),"&lt;"&amp;($BA60+1),INDIRECT("'"&amp;$A60&amp;"'!$E$2:$E$501"),"Yes"),0)))</f>
        <v>1</v>
      </c>
      <c r="AW60" s="30" t="n">
        <f aca="true">IF(OR($A60="",$I60=""),"",IF($BC60="Y",SUMIFS(survey_frozen!$K$2:$K$251,survey_frozen!$P$2:$P$251,$A60&amp;"|"&amp;$B60),IFERROR(COUNTIFS(INDIRECT("'"&amp;$A60&amp;"'!$B$2:$B$501"),$T60,INDIRECT("'"&amp;$A60&amp;"'!$A$2:$A$501"),"&gt;="&amp;$I60,INDIRECT("'"&amp;$A60&amp;"'!$A$2:$A$501"),"&lt;"&amp;($BA60+1),INDIRECT("'"&amp;$A60&amp;"'!$E$2:$E$501"),"Maybe"),0)))</f>
        <v>3</v>
      </c>
      <c r="AX60" s="30" t="n">
        <f aca="true">IF(OR($A60="",$I60=""),"",IF($BC60="Y",SUMIFS(survey_frozen!$L$2:$L$251,survey_frozen!$P$2:$P$251,$A60&amp;"|"&amp;$B60),IFERROR(COUNTIFS(INDIRECT("'"&amp;$A60&amp;"'!$B$2:$B$501"),$T60,INDIRECT("'"&amp;$A60&amp;"'!$A$2:$A$501"),"&gt;="&amp;$I60,INDIRECT("'"&amp;$A60&amp;"'!$A$2:$A$501"),"&lt;"&amp;($BA60+1),INDIRECT("'"&amp;$A60&amp;"'!$E$2:$E$501"),"No"),0)))</f>
        <v>0</v>
      </c>
      <c r="AY60" s="30" t="n">
        <f aca="true">IF(OR($A60="",$I60=""),"",IF($BC60="Y",SUMIFS(survey_frozen!$M$2:$M$251,survey_frozen!$P$2:$P$251,$A60&amp;"|"&amp;$B60),IFERROR(COUNTIFS(INDIRECT("'"&amp;$A60&amp;"'!$B$2:$B$501"),$T60,INDIRECT("'"&amp;$A60&amp;"'!$A$2:$A$501"),"&gt;="&amp;$I60,INDIRECT("'"&amp;$A60&amp;"'!$A$2:$A$501"),"&lt;"&amp;($BA60+1),INDIRECT("'"&amp;$A60&amp;"'!$G$2:$G$501"),"&lt;&gt;"),0)))</f>
        <v>2</v>
      </c>
      <c r="AZ60" s="30" t="str">
        <f aca="false">IF($A60="","",$A60&amp;"|"&amp;$L60)</f>
        <v>SAMPLE-CMP-007|9</v>
      </c>
      <c r="BA60" s="31" t="n">
        <f aca="false">IF($A60="","",IFERROR(IF(INDEX(drops!$R$2:$R$21,MATCH($H60,drops!$A$2:$A$21,0))="","",INDEX(drops!$R$2:$R$21,MATCH($H60,drops!$A$2:$A$21,0))),""))</f>
        <v>46475</v>
      </c>
      <c r="BB60" s="30" t="n">
        <f aca="false">IF(OR($A60="",$Q60&lt;&gt;"Y"),1000000,N($AL60))</f>
        <v>6</v>
      </c>
      <c r="BC60" s="30" t="str">
        <f aca="false">IF($A60="","",IF(COUNTIF(survey_frozen!$P$2:$P$251,$A60&amp;"|"&amp;$B60)&gt;0,"Y",""))</f>
        <v/>
      </c>
      <c r="BD60" s="30" t="str">
        <f aca="false">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Y</v>
      </c>
    </row>
    <row r="61" customFormat="false" ht="15" hidden="false" customHeight="false" outlineLevel="0" collapsed="false">
      <c r="A61" s="0" t="s">
        <v>576</v>
      </c>
      <c r="B61" s="0" t="s">
        <v>698</v>
      </c>
      <c r="C61" s="11" t="n">
        <v>46442</v>
      </c>
      <c r="D61" s="10" t="s">
        <v>496</v>
      </c>
      <c r="E61" s="11" t="n">
        <v>46443</v>
      </c>
      <c r="F61" s="10" t="s">
        <v>737</v>
      </c>
      <c r="H61" s="30" t="str">
        <f aca="false">IF($A61="","",IFERROR(IF(INDEX(campaigns!$B$2:$B$51,MATCH($A61,campaigns!$A$2:$A$51,0))="","",INDEX(campaigns!$B$2:$B$51,MATCH($A61,campaigns!$A$2:$A$51,0))),""))</f>
        <v>SAMPLE-DRP-004</v>
      </c>
      <c r="I61" s="31" t="n">
        <f aca="false">IF($A61="","",IFERROR(IF(INDEX(campaigns!$BG$2:$BG$51,MATCH($A61,campaigns!$A$2:$A$51,0))="","",INDEX(campaigns!$BG$2:$BG$51,MATCH($A61,campaigns!$A$2:$A$51,0))),""))</f>
        <v>46469</v>
      </c>
      <c r="J61" s="30" t="str">
        <f aca="false">IF($A61="","",IFERROR(IF(INDEX(campaigns!$BE$2:$BE$51,MATCH($A61,campaigns!$A$2:$A$51,0))="","",INDEX(campaigns!$BE$2:$BE$51,MATCH($A61,campaigns!$A$2:$A$51,0))),""))</f>
        <v>SAMPLE Brightside</v>
      </c>
      <c r="K61" s="30" t="str">
        <f aca="false">IF($B61="","",IFERROR(IF(INDEX(offices!$O$2:$O$61,MATCH($B61,offices!$A$2:$A$61,0))="","",INDEX(offices!$O$2:$O$61,MATCH($B61,offices!$A$2:$A$61,0))),""))</f>
        <v>SAMPLE Quill Nonprofit Press</v>
      </c>
      <c r="L61" s="30" t="n">
        <f aca="false">IF($A61="","",IF($Q61="N","",COUNTIFS($A$2:$A61,$A61,$Q$2:$Q61,"&lt;&gt;N")))</f>
        <v>10</v>
      </c>
      <c r="M61" s="30" t="str">
        <f aca="false">IF(OR($A61="",$L61=""),"",IF(AND(config!$B$34="names_if_public",IFERROR(IF(INDEX(offices!$AG$2:$AG$61,MATCH($B61,offices!$A$2:$A$61,0))="","",INDEX(offices!$AG$2:$AG$61,MATCH($B61,offices!$A$2:$A$61,0))),"")="Y"),$K61,CHAR(64+$L61)))</f>
        <v>J</v>
      </c>
      <c r="N61" s="30" t="n">
        <f aca="false">IF(OR($A61="",$I61=""),"",COUNTIFS(stops!$B$2:$B$151,$B61,stops!$P$2:$P$151,"&lt;"&amp;$I61,stops!$L$2:$L$151,"&lt;&gt;not_delivered")+1)</f>
        <v>3</v>
      </c>
      <c r="O61" s="30" t="str">
        <f aca="false">IF($A61="","",IF(N($N61)&lt;=config!$B$29,"explicit","opt-out"))</f>
        <v>explicit</v>
      </c>
      <c r="P61" s="30" t="str">
        <f aca="false">IF($A61="","",IF($O61="explicit",IF($D61="yes","Y",IF($D61="no","N","pending")),IF($D61="no","N",IF(AND($C61&lt;&gt;"",$I61&lt;&gt;"",$C61&lt;=WORKDAY(N($I61),-5,calendar!$A$2:$A$80)),"Y","pending"))))</f>
        <v>Y</v>
      </c>
      <c r="Q61" s="30" t="str">
        <f aca="false">IF($A61="","",IF($P61="N","N",IF($P61&lt;&gt;"Y","pending",IF(AND((COUNTIFS(stops!$A$2:$A$151,$H61,stops!$B$2:$B$151,$B61,stops!$L$2:$L$151,"declined")+COUNTIFS(stops!$A$2:$A$151,$H61,stops!$B$2:$B$151,$B61,stops!$L$2:$L$151,"building_refused")+COUNTIFS(stops!$A$2:$A$151,$H61,stops!$B$2:$B$151,$B61,stops!$L$2:$L$151,"not_delivered"))&gt;0,N($U61)=0),"N","Y"))))</f>
        <v>Y</v>
      </c>
      <c r="R61" s="30" t="str">
        <f aca="false">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30" t="n">
        <f aca="false">IF($A61="","",IF($G61&lt;&gt;"",$G61,IFERROR(IF(INDEX(offices!$AM$2:$AM$61,MATCH($B61,offices!$A$2:$A$61,0))="","",INDEX(offices!$AM$2:$AM$61,MATCH($B61,offices!$A$2:$A$61,0))),"")))</f>
        <v>40</v>
      </c>
      <c r="T61" s="30" t="str">
        <f aca="false">IF($A61="","",$A61&amp;"."&amp;$B61)</f>
        <v>SAMPLE-CMP-007.SAMPLE-O-010</v>
      </c>
      <c r="U61" s="30" t="n">
        <f aca="false">IF($A61="","",SUMIFS(inventory!$G$2:$G$801,inventory!$C$2:$C$801,$A61,inventory!$D$2:$D$801,$B61,inventory!$E$2:$E$801,"delivered"))</f>
        <v>40</v>
      </c>
      <c r="V61" s="37" t="n">
        <f aca="false">IF($A61="","",IFERROR(1/(1/SUMPRODUCT(MAX((inventory!$C$2:$C$801=$A61)*(inventory!$D$2:$D$801=$B61)*(inventory!$E$2:$E$801="delivered")*(inventory!$A$2:$A$801+inventory!$B$2:$B$801)))),""))</f>
        <v>46469.4305555556</v>
      </c>
      <c r="W61" s="30" t="str">
        <f aca="false">IF($A61="","",IFERROR(IF(INDEX(inventory!$J$2:$J$801,MATCH($A61&amp;"|"&amp;$B61&amp;"|delivered",inventory!$R$2:$R$801,0))="","",INDEX(inventory!$J$2:$J$801,MATCH($A61&amp;"|"&amp;$B61&amp;"|delivered",inventory!$R$2:$R$801,0))),""))</f>
        <v>office_count</v>
      </c>
      <c r="X61" s="30" t="str">
        <f aca="false">IF($A61="","",IFERROR(IF(INDEX(photos!$H$2:$H$701,MATCH($A61&amp;"|"&amp;$B61&amp;"|placement|Y",photos!$R$2:$R$701,0))="","",INDEX(photos!$H$2:$H$701,MATCH($A61&amp;"|"&amp;$B61&amp;"|placement|Y",photos!$R$2:$R$701,0))),""))</f>
        <v>SAMPLE-CMP-007_SAMPLE-O-010_placement_2027-03-23.jpg</v>
      </c>
      <c r="Y61" s="31" t="n">
        <f aca="false">IF($A61="","",IFERROR(IF(INDEX(photos!$E$2:$E$701,MATCH($A61&amp;"|"&amp;$B61&amp;"|placement|Y",photos!$R$2:$R$701,0))="","",INDEX(photos!$E$2:$E$701,MATCH($A61&amp;"|"&amp;$B61&amp;"|placement|Y",photos!$R$2:$R$701,0))),""))</f>
        <v>46469</v>
      </c>
      <c r="Z61" s="30" t="n">
        <f aca="false">IF($A61="","",IF(COUNTIFS(counts!$C$2:$C$701,$A61,counts!$D$2:$D$701,$B61,counts!$E$2:$E$701,"placed")=0,"",SUMIFS(counts!$F$2:$F$701,counts!$C$2:$C$701,$A61,counts!$D$2:$D$701,$B61,counts!$E$2:$E$701,"placed")))</f>
        <v>40</v>
      </c>
      <c r="AA61" s="30" t="n">
        <f aca="false">IF($A61="","",IF($Y61="",0,N($Z61)))</f>
        <v>40</v>
      </c>
      <c r="AB61" s="30" t="str">
        <f aca="false">IF($A61="","",IF(OR($Y61="",$I61=""),"N",IF($Y61&lt;=WORKDAY(N($I61),1,calendar!$A$2:$A$80),"Y","N")))</f>
        <v>Y</v>
      </c>
      <c r="AC61" s="33" t="n">
        <f aca="false">IF(OR($A61="",$V61="",$Y61=""),"",ROUND(($Y61+N(IFERROR(IF(INDEX(photos!$F$2:$F$701,MATCH($A61&amp;"|"&amp;$B61&amp;"|placement|Y",photos!$R$2:$R$701,0))="","",INDEX(photos!$F$2:$F$701,MATCH($A61&amp;"|"&amp;$B61&amp;"|placement|Y",photos!$R$2:$R$701,0))),""))-$V61)*24,1))</f>
        <v>2.7</v>
      </c>
      <c r="AD61" s="30" t="n">
        <f aca="false">IF($A61="","",SUMIFS(inventory!$G$2:$G$801,inventory!$C$2:$C$801,$A61,inventory!$D$2:$D$801,$B61,inventory!$E$2:$E$801,"topped_up"))</f>
        <v>0</v>
      </c>
      <c r="AE61" s="30" t="n">
        <f aca="false">IF($A61="","",IF(COUNTIFS(counts!$C$2:$C$701,$A61,counts!$D$2:$D$701,$B61,counts!$E$2:$E$701,"remaining_day3")=0,"",SUMIFS(counts!$F$2:$F$701,counts!$C$2:$C$701,$A61,counts!$D$2:$D$701,$B61,counts!$E$2:$E$701,"remaining_day3")))</f>
        <v>10</v>
      </c>
      <c r="AF61" s="30" t="n">
        <f aca="false">IF($A61="","",IF(COUNTIFS(counts!$C$2:$C$701,$A61,counts!$D$2:$D$701,$B61,counts!$E$2:$E$701,"remaining_day5")=0,"",SUMIFS(counts!$F$2:$F$701,counts!$C$2:$C$701,$A61,counts!$D$2:$D$701,$B61,counts!$E$2:$E$701,"remaining_day5")))</f>
        <v>2</v>
      </c>
      <c r="AG61" s="30" t="n">
        <f aca="false">IF(OR($A61="",$AF61=""),"",MAX(0,$AA61+$AD61-$AF61))</f>
        <v>38</v>
      </c>
      <c r="AH61" s="30" t="str">
        <f aca="false">IF(OR($A61="",$AI61=""),"",IFERROR(IF(INDEX(photos!$H$2:$H$701,MATCH($A61&amp;"|"&amp;$B61&amp;"|later|Y|"&amp;$AI61,photos!$S$2:$S$701,0))="","",INDEX(photos!$H$2:$H$701,MATCH($A61&amp;"|"&amp;$B61&amp;"|later|Y|"&amp;$AI61,photos!$S$2:$S$701,0))),""))</f>
        <v>SAMPLE-CMP-007_SAMPLE-O-010_later_2027-03-29.jpg</v>
      </c>
      <c r="AI61" s="31" t="n">
        <f aca="false">IF($A61="","",IFERROR(1/(1/SUMPRODUCT(MAX((photos!$B$2:$B$701=$A61)*(photos!$C$2:$C$701=$B61)*(photos!$D$2:$D$701="later")*(photos!$O$2:$O$701="Y")*photos!$E$2:$E$701))),""))</f>
        <v>46475</v>
      </c>
      <c r="AJ61" s="30" t="n">
        <f aca="false">IF(OR($A61="",$AI61="",$I61=""),"",NETWORKDAYS($I61,$AI61,calendar!$A$2:$A$80))</f>
        <v>5</v>
      </c>
      <c r="AK61" s="30" t="str">
        <f aca="false">IF($A61="","",IF(AND($X61&lt;&gt;"",$AH61&lt;&gt;""),"Y","N"))</f>
        <v>Y</v>
      </c>
      <c r="AL61" s="30" t="n">
        <f aca="true">IF(OR($A61="",$I61=""),"",IF($BC61="Y",SUMIFS(survey_frozen!$C$2:$C$251,survey_frozen!$P$2:$P$251,$A61&amp;"|"&amp;$B61),IFERROR(COUNTIFS(INDIRECT("'"&amp;$A61&amp;"'!$B$2:$B$501"),$T61,INDIRECT("'"&amp;$A61&amp;"'!$A$2:$A$501"),"&gt;="&amp;$I61,INDIRECT("'"&amp;$A61&amp;"'!$A$2:$A$501"),"&lt;"&amp;($BA61+1)),0)))</f>
        <v>4</v>
      </c>
      <c r="AM61" s="30" t="n">
        <f aca="true">IF(OR($A61="",$I61=""),"",IF($BC61="Y",SUMIFS(survey_frozen!$D$2:$D$251,survey_frozen!$P$2:$P$251,$A61&amp;"|"&amp;$B61),IFERROR(COUNTIFS(INDIRECT("'"&amp;$A61&amp;"'!$B$2:$B$501"),$T61,INDIRECT("'"&amp;$A61&amp;"'!$A$2:$A$501"),"&gt;="&amp;$I61,INDIRECT("'"&amp;$A61&amp;"'!$A$2:$A$501"),"&lt;"&amp;($BA61+1),INDIRECT("'"&amp;$A61&amp;"'!$C$2:$C$501"),"Yes"),0)))</f>
        <v>4</v>
      </c>
      <c r="AN61" s="30" t="n">
        <f aca="false">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5</v>
      </c>
      <c r="AO61" s="30" t="n">
        <f aca="false">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8</v>
      </c>
      <c r="AP61" s="30" t="str">
        <f aca="true">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info: under 5 responses; </v>
      </c>
      <c r="AQ61" s="30" t="n">
        <f aca="true">IF(OR($A61="",$I61=""),"",IF($BC61="Y",SUMIFS(survey_frozen!$E$2:$E$251,survey_frozen!$P$2:$P$251,$A61&amp;"|"&amp;$B61),IFERROR(COUNTIFS(INDIRECT("'"&amp;$A61&amp;"'!$B$2:$B$501"),$T61,INDIRECT("'"&amp;$A61&amp;"'!$A$2:$A$501"),"&gt;="&amp;$I61,INDIRECT("'"&amp;$A61&amp;"'!$A$2:$A$501"),"&lt;"&amp;($BA61+1),INDIRECT("'"&amp;$A61&amp;"'!$F$2:$F$501"),"Didn't see it"),0)))</f>
        <v>0</v>
      </c>
      <c r="AR61" s="30" t="n">
        <f aca="true">IF(OR($A61="",$I61=""),"",IF($BC61="Y",SUMIFS(survey_frozen!$F$2:$F$251,survey_frozen!$P$2:$P$251,$A61&amp;"|"&amp;$B61),IFERROR(COUNTIFS(INDIRECT("'"&amp;$A61&amp;"'!$B$2:$B$501"),$T61,INDIRECT("'"&amp;$A61&amp;"'!$A$2:$A$501"),"&gt;="&amp;$I61,INDIRECT("'"&amp;$A61&amp;"'!$A$2:$A$501"),"&lt;"&amp;($BA61+1),INDIRECT("'"&amp;$A61&amp;"'!$F$2:$F$501"),"Not for me"),0)))</f>
        <v>0</v>
      </c>
      <c r="AS61" s="30" t="n">
        <f aca="true">IF(OR($A61="",$I61=""),"",IF($BC61="Y",SUMIFS(survey_frozen!$G$2:$G$251,survey_frozen!$P$2:$P$251,$A61&amp;"|"&amp;$B61),IFERROR(COUNTIFS(INDIRECT("'"&amp;$A61&amp;"'!$B$2:$B$501"),$T61,INDIRECT("'"&amp;$A61&amp;"'!$A$2:$A$501"),"&gt;="&amp;$I61,INDIRECT("'"&amp;$A61&amp;"'!$A$2:$A$501"),"&lt;"&amp;($BA61+1),INDIRECT("'"&amp;$A61&amp;"'!$F$2:$F$501"),"Gone by the time I looked"),0)))</f>
        <v>0</v>
      </c>
      <c r="AT61" s="30" t="n">
        <f aca="true">IF(OR($A61="",$I61=""),"",IF($BC61="Y",SUMIFS(survey_frozen!$H$2:$H$251,survey_frozen!$P$2:$P$251,$A61&amp;"|"&amp;$B61),IFERROR(COUNTIFS(INDIRECT("'"&amp;$A61&amp;"'!$B$2:$B$501"),$T61,INDIRECT("'"&amp;$A61&amp;"'!$A$2:$A$501"),"&gt;="&amp;$I61,INDIRECT("'"&amp;$A61&amp;"'!$A$2:$A$501"),"&lt;"&amp;($BA61+1),INDIRECT("'"&amp;$A61&amp;"'!$D$2:$D$501"),"&gt;=1"),0)))</f>
        <v>4</v>
      </c>
      <c r="AU61" s="30" t="n">
        <f aca="true">IF(OR($A61="",$I61=""),"",IF($BC61="Y",SUMIFS(survey_frozen!$I$2:$I$251,survey_frozen!$P$2:$P$251,$A61&amp;"|"&amp;$B61),IFERROR(SUMIFS(INDIRECT("'"&amp;$A61&amp;"'!$D$2:$D$501"),INDIRECT("'"&amp;$A61&amp;"'!$B$2:$B$501"),$T61,INDIRECT("'"&amp;$A61&amp;"'!$A$2:$A$501"),"&gt;="&amp;$I61,INDIRECT("'"&amp;$A61&amp;"'!$A$2:$A$501"),"&lt;"&amp;($BA61+1)),0)))</f>
        <v>20</v>
      </c>
      <c r="AV61" s="30" t="n">
        <f aca="true">IF(OR($A61="",$I61=""),"",IF($BC61="Y",SUMIFS(survey_frozen!$J$2:$J$251,survey_frozen!$P$2:$P$251,$A61&amp;"|"&amp;$B61),IFERROR(COUNTIFS(INDIRECT("'"&amp;$A61&amp;"'!$B$2:$B$501"),$T61,INDIRECT("'"&amp;$A61&amp;"'!$A$2:$A$501"),"&gt;="&amp;$I61,INDIRECT("'"&amp;$A61&amp;"'!$A$2:$A$501"),"&lt;"&amp;($BA61+1),INDIRECT("'"&amp;$A61&amp;"'!$E$2:$E$501"),"Yes"),0)))</f>
        <v>4</v>
      </c>
      <c r="AW61" s="30" t="n">
        <f aca="true">IF(OR($A61="",$I61=""),"",IF($BC61="Y",SUMIFS(survey_frozen!$K$2:$K$251,survey_frozen!$P$2:$P$251,$A61&amp;"|"&amp;$B61),IFERROR(COUNTIFS(INDIRECT("'"&amp;$A61&amp;"'!$B$2:$B$501"),$T61,INDIRECT("'"&amp;$A61&amp;"'!$A$2:$A$501"),"&gt;="&amp;$I61,INDIRECT("'"&amp;$A61&amp;"'!$A$2:$A$501"),"&lt;"&amp;($BA61+1),INDIRECT("'"&amp;$A61&amp;"'!$E$2:$E$501"),"Maybe"),0)))</f>
        <v>0</v>
      </c>
      <c r="AX61" s="30" t="n">
        <f aca="true">IF(OR($A61="",$I61=""),"",IF($BC61="Y",SUMIFS(survey_frozen!$L$2:$L$251,survey_frozen!$P$2:$P$251,$A61&amp;"|"&amp;$B61),IFERROR(COUNTIFS(INDIRECT("'"&amp;$A61&amp;"'!$B$2:$B$501"),$T61,INDIRECT("'"&amp;$A61&amp;"'!$A$2:$A$501"),"&gt;="&amp;$I61,INDIRECT("'"&amp;$A61&amp;"'!$A$2:$A$501"),"&lt;"&amp;($BA61+1),INDIRECT("'"&amp;$A61&amp;"'!$E$2:$E$501"),"No"),0)))</f>
        <v>0</v>
      </c>
      <c r="AY61" s="30" t="n">
        <f aca="true">IF(OR($A61="",$I61=""),"",IF($BC61="Y",SUMIFS(survey_frozen!$M$2:$M$251,survey_frozen!$P$2:$P$251,$A61&amp;"|"&amp;$B61),IFERROR(COUNTIFS(INDIRECT("'"&amp;$A61&amp;"'!$B$2:$B$501"),$T61,INDIRECT("'"&amp;$A61&amp;"'!$A$2:$A$501"),"&gt;="&amp;$I61,INDIRECT("'"&amp;$A61&amp;"'!$A$2:$A$501"),"&lt;"&amp;($BA61+1),INDIRECT("'"&amp;$A61&amp;"'!$G$2:$G$501"),"&lt;&gt;"),0)))</f>
        <v>0</v>
      </c>
      <c r="AZ61" s="30" t="str">
        <f aca="false">IF($A61="","",$A61&amp;"|"&amp;$L61)</f>
        <v>SAMPLE-CMP-007|10</v>
      </c>
      <c r="BA61" s="31" t="n">
        <f aca="false">IF($A61="","",IFERROR(IF(INDEX(drops!$R$2:$R$21,MATCH($H61,drops!$A$2:$A$21,0))="","",INDEX(drops!$R$2:$R$21,MATCH($H61,drops!$A$2:$A$21,0))),""))</f>
        <v>46475</v>
      </c>
      <c r="BB61" s="30" t="n">
        <f aca="false">IF(OR($A61="",$Q61&lt;&gt;"Y"),1000000,N($AL61))</f>
        <v>4</v>
      </c>
      <c r="BC61" s="30" t="str">
        <f aca="false">IF($A61="","",IF(COUNTIF(survey_frozen!$P$2:$P$251,$A61&amp;"|"&amp;$B61)&gt;0,"Y",""))</f>
        <v/>
      </c>
      <c r="BD61" s="30" t="str">
        <f aca="false">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ustomFormat="false" ht="15" hidden="false" customHeight="false" outlineLevel="0" collapsed="false">
      <c r="A62" s="0" t="s">
        <v>584</v>
      </c>
      <c r="B62" s="0" t="s">
        <v>678</v>
      </c>
      <c r="C62" s="11" t="n">
        <v>46442</v>
      </c>
      <c r="D62" s="10"/>
      <c r="E62" s="11"/>
      <c r="H62" s="30" t="str">
        <f aca="false">IF($A62="","",IFERROR(IF(INDEX(campaigns!$B$2:$B$51,MATCH($A62,campaigns!$A$2:$A$51,0))="","",INDEX(campaigns!$B$2:$B$51,MATCH($A62,campaigns!$A$2:$A$51,0))),""))</f>
        <v>SAMPLE-DRP-004</v>
      </c>
      <c r="I62" s="31" t="n">
        <f aca="false">IF($A62="","",IFERROR(IF(INDEX(campaigns!$BG$2:$BG$51,MATCH($A62,campaigns!$A$2:$A$51,0))="","",INDEX(campaigns!$BG$2:$BG$51,MATCH($A62,campaigns!$A$2:$A$51,0))),""))</f>
        <v>46469</v>
      </c>
      <c r="J62" s="30" t="str">
        <f aca="false">IF($A62="","",IFERROR(IF(INDEX(campaigns!$BE$2:$BE$51,MATCH($A62,campaigns!$A$2:$A$51,0))="","",INDEX(campaigns!$BE$2:$BE$51,MATCH($A62,campaigns!$A$2:$A$51,0))),""))</f>
        <v>SAMPLE Tallgrass</v>
      </c>
      <c r="K62" s="30" t="str">
        <f aca="false">IF($B62="","",IFERROR(IF(INDEX(offices!$O$2:$O$61,MATCH($B62,offices!$A$2:$A$61,0))="","",INDEX(offices!$O$2:$O$61,MATCH($B62,offices!$A$2:$A$61,0))),""))</f>
        <v>SAMPLE Northpoint Software</v>
      </c>
      <c r="L62" s="30" t="n">
        <f aca="false">IF($A62="","",IF($Q62="N","",COUNTIFS($A$2:$A62,$A62,$Q$2:$Q62,"&lt;&gt;N")))</f>
        <v>1</v>
      </c>
      <c r="M62" s="30" t="str">
        <f aca="false">IF(OR($A62="",$L62=""),"",IF(AND(config!$B$34="names_if_public",IFERROR(IF(INDEX(offices!$AG$2:$AG$61,MATCH($B62,offices!$A$2:$A$61,0))="","",INDEX(offices!$AG$2:$AG$61,MATCH($B62,offices!$A$2:$A$61,0))),"")="Y"),$K62,CHAR(64+$L62)))</f>
        <v>A</v>
      </c>
      <c r="N62" s="30" t="n">
        <f aca="false">IF(OR($A62="",$I62=""),"",COUNTIFS(stops!$B$2:$B$151,$B62,stops!$P$2:$P$151,"&lt;"&amp;$I62,stops!$L$2:$L$151,"&lt;&gt;not_delivered")+1)</f>
        <v>4</v>
      </c>
      <c r="O62" s="30" t="str">
        <f aca="false">IF($A62="","",IF(N($N62)&lt;=config!$B$29,"explicit","opt-out"))</f>
        <v>opt-out</v>
      </c>
      <c r="P62" s="30" t="str">
        <f aca="false">IF($A62="","",IF($O62="explicit",IF($D62="yes","Y",IF($D62="no","N","pending")),IF($D62="no","N",IF(AND($C62&lt;&gt;"",$I62&lt;&gt;"",$C62&lt;=WORKDAY(N($I62),-5,calendar!$A$2:$A$80)),"Y","pending"))))</f>
        <v>Y</v>
      </c>
      <c r="Q62" s="30" t="str">
        <f aca="false">IF($A62="","",IF($P62="N","N",IF($P62&lt;&gt;"Y","pending",IF(AND((COUNTIFS(stops!$A$2:$A$151,$H62,stops!$B$2:$B$151,$B62,stops!$L$2:$L$151,"declined")+COUNTIFS(stops!$A$2:$A$151,$H62,stops!$B$2:$B$151,$B62,stops!$L$2:$L$151,"building_refused")+COUNTIFS(stops!$A$2:$A$151,$H62,stops!$B$2:$B$151,$B62,stops!$L$2:$L$151,"not_delivered"))&gt;0,N($U62)=0),"N","Y"))))</f>
        <v>Y</v>
      </c>
      <c r="R62" s="30" t="str">
        <f aca="false">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30" t="n">
        <f aca="false">IF($A62="","",IF($G62&lt;&gt;"",$G62,IFERROR(IF(INDEX(offices!$AM$2:$AM$61,MATCH($B62,offices!$A$2:$A$61,0))="","",INDEX(offices!$AM$2:$AM$61,MATCH($B62,offices!$A$2:$A$61,0))),"")))</f>
        <v>40</v>
      </c>
      <c r="T62" s="30" t="str">
        <f aca="false">IF($A62="","",$A62&amp;"."&amp;$B62)</f>
        <v>SAMPLE-CMP-008.SAMPLE-O-001</v>
      </c>
      <c r="U62" s="30" t="n">
        <f aca="false">IF($A62="","",SUMIFS(inventory!$G$2:$G$801,inventory!$C$2:$C$801,$A62,inventory!$D$2:$D$801,$B62,inventory!$E$2:$E$801,"delivered"))</f>
        <v>40</v>
      </c>
      <c r="V62" s="37" t="n">
        <f aca="false">IF($A62="","",IFERROR(1/(1/SUMPRODUCT(MAX((inventory!$C$2:$C$801=$A62)*(inventory!$D$2:$D$801=$B62)*(inventory!$E$2:$E$801="delivered")*(inventory!$A$2:$A$801+inventory!$B$2:$B$801)))),""))</f>
        <v>46469.4243055556</v>
      </c>
      <c r="W62" s="30" t="str">
        <f aca="false">IF($A62="","",IFERROR(IF(INDEX(inventory!$J$2:$J$801,MATCH($A62&amp;"|"&amp;$B62&amp;"|delivered",inventory!$R$2:$R$801,0))="","",INDEX(inventory!$J$2:$J$801,MATCH($A62&amp;"|"&amp;$B62&amp;"|delivered",inventory!$R$2:$R$801,0))),""))</f>
        <v>office_count</v>
      </c>
      <c r="X62" s="30" t="str">
        <f aca="false">IF($A62="","",IFERROR(IF(INDEX(photos!$H$2:$H$701,MATCH($A62&amp;"|"&amp;$B62&amp;"|placement|Y",photos!$R$2:$R$701,0))="","",INDEX(photos!$H$2:$H$701,MATCH($A62&amp;"|"&amp;$B62&amp;"|placement|Y",photos!$R$2:$R$701,0))),""))</f>
        <v>SAMPLE-CMP-008_SAMPLE-O-001_placement_2027-03-23.jpg</v>
      </c>
      <c r="Y62" s="31" t="n">
        <f aca="false">IF($A62="","",IFERROR(IF(INDEX(photos!$E$2:$E$701,MATCH($A62&amp;"|"&amp;$B62&amp;"|placement|Y",photos!$R$2:$R$701,0))="","",INDEX(photos!$E$2:$E$701,MATCH($A62&amp;"|"&amp;$B62&amp;"|placement|Y",photos!$R$2:$R$701,0))),""))</f>
        <v>46469</v>
      </c>
      <c r="Z62" s="30" t="n">
        <f aca="false">IF($A62="","",IF(COUNTIFS(counts!$C$2:$C$701,$A62,counts!$D$2:$D$701,$B62,counts!$E$2:$E$701,"placed")=0,"",SUMIFS(counts!$F$2:$F$701,counts!$C$2:$C$701,$A62,counts!$D$2:$D$701,$B62,counts!$E$2:$E$701,"placed")))</f>
        <v>40</v>
      </c>
      <c r="AA62" s="30" t="n">
        <f aca="false">IF($A62="","",IF($Y62="",0,N($Z62)))</f>
        <v>40</v>
      </c>
      <c r="AB62" s="30" t="str">
        <f aca="false">IF($A62="","",IF(OR($Y62="",$I62=""),"N",IF($Y62&lt;=WORKDAY(N($I62),1,calendar!$A$2:$A$80),"Y","N")))</f>
        <v>Y</v>
      </c>
      <c r="AC62" s="33" t="n">
        <f aca="false">IF(OR($A62="",$V62="",$Y62=""),"",ROUND(($Y62+N(IFERROR(IF(INDEX(photos!$F$2:$F$701,MATCH($A62&amp;"|"&amp;$B62&amp;"|placement|Y",photos!$R$2:$R$701,0))="","",INDEX(photos!$F$2:$F$701,MATCH($A62&amp;"|"&amp;$B62&amp;"|placement|Y",photos!$R$2:$R$701,0))),""))-$V62)*24,1))</f>
        <v>2.8</v>
      </c>
      <c r="AD62" s="30" t="n">
        <f aca="false">IF($A62="","",SUMIFS(inventory!$G$2:$G$801,inventory!$C$2:$C$801,$A62,inventory!$D$2:$D$801,$B62,inventory!$E$2:$E$801,"topped_up"))</f>
        <v>0</v>
      </c>
      <c r="AE62" s="30" t="n">
        <f aca="false">IF($A62="","",IF(COUNTIFS(counts!$C$2:$C$701,$A62,counts!$D$2:$D$701,$B62,counts!$E$2:$E$701,"remaining_day3")=0,"",SUMIFS(counts!$F$2:$F$701,counts!$C$2:$C$701,$A62,counts!$D$2:$D$701,$B62,counts!$E$2:$E$701,"remaining_day3")))</f>
        <v>13</v>
      </c>
      <c r="AF62" s="30" t="n">
        <f aca="false">IF($A62="","",IF(COUNTIFS(counts!$C$2:$C$701,$A62,counts!$D$2:$D$701,$B62,counts!$E$2:$E$701,"remaining_day5")=0,"",SUMIFS(counts!$F$2:$F$701,counts!$C$2:$C$701,$A62,counts!$D$2:$D$701,$B62,counts!$E$2:$E$701,"remaining_day5")))</f>
        <v>2</v>
      </c>
      <c r="AG62" s="30" t="n">
        <f aca="false">IF(OR($A62="",$AF62=""),"",MAX(0,$AA62+$AD62-$AF62))</f>
        <v>38</v>
      </c>
      <c r="AH62" s="30" t="str">
        <f aca="false">IF(OR($A62="",$AI62=""),"",IFERROR(IF(INDEX(photos!$H$2:$H$701,MATCH($A62&amp;"|"&amp;$B62&amp;"|later|Y|"&amp;$AI62,photos!$S$2:$S$701,0))="","",INDEX(photos!$H$2:$H$701,MATCH($A62&amp;"|"&amp;$B62&amp;"|later|Y|"&amp;$AI62,photos!$S$2:$S$701,0))),""))</f>
        <v>SAMPLE-CMP-008_SAMPLE-O-001_later_2027-03-29.jpg</v>
      </c>
      <c r="AI62" s="31" t="n">
        <f aca="false">IF($A62="","",IFERROR(1/(1/SUMPRODUCT(MAX((photos!$B$2:$B$701=$A62)*(photos!$C$2:$C$701=$B62)*(photos!$D$2:$D$701="later")*(photos!$O$2:$O$701="Y")*photos!$E$2:$E$701))),""))</f>
        <v>46475</v>
      </c>
      <c r="AJ62" s="30" t="n">
        <f aca="false">IF(OR($A62="",$AI62="",$I62=""),"",NETWORKDAYS($I62,$AI62,calendar!$A$2:$A$80))</f>
        <v>5</v>
      </c>
      <c r="AK62" s="30" t="str">
        <f aca="false">IF($A62="","",IF(AND($X62&lt;&gt;"",$AH62&lt;&gt;""),"Y","N"))</f>
        <v>Y</v>
      </c>
      <c r="AL62" s="30" t="n">
        <f aca="true">IF(OR($A62="",$I62=""),"",IF($BC62="Y",SUMIFS(survey_frozen!$C$2:$C$251,survey_frozen!$P$2:$P$251,$A62&amp;"|"&amp;$B62),IFERROR(COUNTIFS(INDIRECT("'"&amp;$A62&amp;"'!$B$2:$B$501"),$T62,INDIRECT("'"&amp;$A62&amp;"'!$A$2:$A$501"),"&gt;="&amp;$I62,INDIRECT("'"&amp;$A62&amp;"'!$A$2:$A$501"),"&lt;"&amp;($BA62+1)),0)))</f>
        <v>6</v>
      </c>
      <c r="AM62" s="30" t="n">
        <f aca="true">IF(OR($A62="",$I62=""),"",IF($BC62="Y",SUMIFS(survey_frozen!$D$2:$D$251,survey_frozen!$P$2:$P$251,$A62&amp;"|"&amp;$B62),IFERROR(COUNTIFS(INDIRECT("'"&amp;$A62&amp;"'!$B$2:$B$501"),$T62,INDIRECT("'"&amp;$A62&amp;"'!$A$2:$A$501"),"&gt;="&amp;$I62,INDIRECT("'"&amp;$A62&amp;"'!$A$2:$A$501"),"&lt;"&amp;($BA62+1),INDIRECT("'"&amp;$A62&amp;"'!$C$2:$C$501"),"Yes"),0)))</f>
        <v>4</v>
      </c>
      <c r="AN62" s="30" t="n">
        <f aca="false">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12</v>
      </c>
      <c r="AO62" s="30" t="n">
        <f aca="false">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5</v>
      </c>
      <c r="AP62" s="30" t="str">
        <f aca="true">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30" t="n">
        <f aca="true">IF(OR($A62="",$I62=""),"",IF($BC62="Y",SUMIFS(survey_frozen!$E$2:$E$251,survey_frozen!$P$2:$P$251,$A62&amp;"|"&amp;$B62),IFERROR(COUNTIFS(INDIRECT("'"&amp;$A62&amp;"'!$B$2:$B$501"),$T62,INDIRECT("'"&amp;$A62&amp;"'!$A$2:$A$501"),"&gt;="&amp;$I62,INDIRECT("'"&amp;$A62&amp;"'!$A$2:$A$501"),"&lt;"&amp;($BA62+1),INDIRECT("'"&amp;$A62&amp;"'!$F$2:$F$501"),"Didn't see it"),0)))</f>
        <v>0</v>
      </c>
      <c r="AR62" s="30" t="n">
        <f aca="true">IF(OR($A62="",$I62=""),"",IF($BC62="Y",SUMIFS(survey_frozen!$F$2:$F$251,survey_frozen!$P$2:$P$251,$A62&amp;"|"&amp;$B62),IFERROR(COUNTIFS(INDIRECT("'"&amp;$A62&amp;"'!$B$2:$B$501"),$T62,INDIRECT("'"&amp;$A62&amp;"'!$A$2:$A$501"),"&gt;="&amp;$I62,INDIRECT("'"&amp;$A62&amp;"'!$A$2:$A$501"),"&lt;"&amp;($BA62+1),INDIRECT("'"&amp;$A62&amp;"'!$F$2:$F$501"),"Not for me"),0)))</f>
        <v>2</v>
      </c>
      <c r="AS62" s="30" t="n">
        <f aca="true">IF(OR($A62="",$I62=""),"",IF($BC62="Y",SUMIFS(survey_frozen!$G$2:$G$251,survey_frozen!$P$2:$P$251,$A62&amp;"|"&amp;$B62),IFERROR(COUNTIFS(INDIRECT("'"&amp;$A62&amp;"'!$B$2:$B$501"),$T62,INDIRECT("'"&amp;$A62&amp;"'!$A$2:$A$501"),"&gt;="&amp;$I62,INDIRECT("'"&amp;$A62&amp;"'!$A$2:$A$501"),"&lt;"&amp;($BA62+1),INDIRECT("'"&amp;$A62&amp;"'!$F$2:$F$501"),"Gone by the time I looked"),0)))</f>
        <v>0</v>
      </c>
      <c r="AT62" s="30" t="n">
        <f aca="true">IF(OR($A62="",$I62=""),"",IF($BC62="Y",SUMIFS(survey_frozen!$H$2:$H$251,survey_frozen!$P$2:$P$251,$A62&amp;"|"&amp;$B62),IFERROR(COUNTIFS(INDIRECT("'"&amp;$A62&amp;"'!$B$2:$B$501"),$T62,INDIRECT("'"&amp;$A62&amp;"'!$A$2:$A$501"),"&gt;="&amp;$I62,INDIRECT("'"&amp;$A62&amp;"'!$A$2:$A$501"),"&lt;"&amp;($BA62+1),INDIRECT("'"&amp;$A62&amp;"'!$D$2:$D$501"),"&gt;=1"),0)))</f>
        <v>4</v>
      </c>
      <c r="AU62" s="30" t="n">
        <f aca="true">IF(OR($A62="",$I62=""),"",IF($BC62="Y",SUMIFS(survey_frozen!$I$2:$I$251,survey_frozen!$P$2:$P$251,$A62&amp;"|"&amp;$B62),IFERROR(SUMIFS(INDIRECT("'"&amp;$A62&amp;"'!$D$2:$D$501"),INDIRECT("'"&amp;$A62&amp;"'!$B$2:$B$501"),$T62,INDIRECT("'"&amp;$A62&amp;"'!$A$2:$A$501"),"&gt;="&amp;$I62,INDIRECT("'"&amp;$A62&amp;"'!$A$2:$A$501"),"&lt;"&amp;($BA62+1)),0)))</f>
        <v>18</v>
      </c>
      <c r="AV62" s="30" t="n">
        <f aca="true">IF(OR($A62="",$I62=""),"",IF($BC62="Y",SUMIFS(survey_frozen!$J$2:$J$251,survey_frozen!$P$2:$P$251,$A62&amp;"|"&amp;$B62),IFERROR(COUNTIFS(INDIRECT("'"&amp;$A62&amp;"'!$B$2:$B$501"),$T62,INDIRECT("'"&amp;$A62&amp;"'!$A$2:$A$501"),"&gt;="&amp;$I62,INDIRECT("'"&amp;$A62&amp;"'!$A$2:$A$501"),"&lt;"&amp;($BA62+1),INDIRECT("'"&amp;$A62&amp;"'!$E$2:$E$501"),"Yes"),0)))</f>
        <v>1</v>
      </c>
      <c r="AW62" s="30" t="n">
        <f aca="true">IF(OR($A62="",$I62=""),"",IF($BC62="Y",SUMIFS(survey_frozen!$K$2:$K$251,survey_frozen!$P$2:$P$251,$A62&amp;"|"&amp;$B62),IFERROR(COUNTIFS(INDIRECT("'"&amp;$A62&amp;"'!$B$2:$B$501"),$T62,INDIRECT("'"&amp;$A62&amp;"'!$A$2:$A$501"),"&gt;="&amp;$I62,INDIRECT("'"&amp;$A62&amp;"'!$A$2:$A$501"),"&lt;"&amp;($BA62+1),INDIRECT("'"&amp;$A62&amp;"'!$E$2:$E$501"),"Maybe"),0)))</f>
        <v>3</v>
      </c>
      <c r="AX62" s="30" t="n">
        <f aca="true">IF(OR($A62="",$I62=""),"",IF($BC62="Y",SUMIFS(survey_frozen!$L$2:$L$251,survey_frozen!$P$2:$P$251,$A62&amp;"|"&amp;$B62),IFERROR(COUNTIFS(INDIRECT("'"&amp;$A62&amp;"'!$B$2:$B$501"),$T62,INDIRECT("'"&amp;$A62&amp;"'!$A$2:$A$501"),"&gt;="&amp;$I62,INDIRECT("'"&amp;$A62&amp;"'!$A$2:$A$501"),"&lt;"&amp;($BA62+1),INDIRECT("'"&amp;$A62&amp;"'!$E$2:$E$501"),"No"),0)))</f>
        <v>0</v>
      </c>
      <c r="AY62" s="30" t="n">
        <f aca="true">IF(OR($A62="",$I62=""),"",IF($BC62="Y",SUMIFS(survey_frozen!$M$2:$M$251,survey_frozen!$P$2:$P$251,$A62&amp;"|"&amp;$B62),IFERROR(COUNTIFS(INDIRECT("'"&amp;$A62&amp;"'!$B$2:$B$501"),$T62,INDIRECT("'"&amp;$A62&amp;"'!$A$2:$A$501"),"&gt;="&amp;$I62,INDIRECT("'"&amp;$A62&amp;"'!$A$2:$A$501"),"&lt;"&amp;($BA62+1),INDIRECT("'"&amp;$A62&amp;"'!$G$2:$G$501"),"&lt;&gt;"),0)))</f>
        <v>1</v>
      </c>
      <c r="AZ62" s="30" t="str">
        <f aca="false">IF($A62="","",$A62&amp;"|"&amp;$L62)</f>
        <v>SAMPLE-CMP-008|1</v>
      </c>
      <c r="BA62" s="31" t="n">
        <f aca="false">IF($A62="","",IFERROR(IF(INDEX(drops!$R$2:$R$21,MATCH($H62,drops!$A$2:$A$21,0))="","",INDEX(drops!$R$2:$R$21,MATCH($H62,drops!$A$2:$A$21,0))),""))</f>
        <v>46475</v>
      </c>
      <c r="BB62" s="30" t="n">
        <f aca="false">IF(OR($A62="",$Q62&lt;&gt;"Y"),1000000,N($AL62))</f>
        <v>6</v>
      </c>
      <c r="BC62" s="30" t="str">
        <f aca="false">IF($A62="","",IF(COUNTIF(survey_frozen!$P$2:$P$251,$A62&amp;"|"&amp;$B62)&gt;0,"Y",""))</f>
        <v/>
      </c>
      <c r="BD62" s="30" t="str">
        <f aca="false">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ustomFormat="false" ht="15" hidden="false" customHeight="false" outlineLevel="0" collapsed="false">
      <c r="A63" s="0" t="s">
        <v>584</v>
      </c>
      <c r="B63" s="0" t="s">
        <v>681</v>
      </c>
      <c r="C63" s="11" t="n">
        <v>46442</v>
      </c>
      <c r="D63" s="10"/>
      <c r="E63" s="11"/>
      <c r="H63" s="30" t="str">
        <f aca="false">IF($A63="","",IFERROR(IF(INDEX(campaigns!$B$2:$B$51,MATCH($A63,campaigns!$A$2:$A$51,0))="","",INDEX(campaigns!$B$2:$B$51,MATCH($A63,campaigns!$A$2:$A$51,0))),""))</f>
        <v>SAMPLE-DRP-004</v>
      </c>
      <c r="I63" s="31" t="n">
        <f aca="false">IF($A63="","",IFERROR(IF(INDEX(campaigns!$BG$2:$BG$51,MATCH($A63,campaigns!$A$2:$A$51,0))="","",INDEX(campaigns!$BG$2:$BG$51,MATCH($A63,campaigns!$A$2:$A$51,0))),""))</f>
        <v>46469</v>
      </c>
      <c r="J63" s="30" t="str">
        <f aca="false">IF($A63="","",IFERROR(IF(INDEX(campaigns!$BE$2:$BE$51,MATCH($A63,campaigns!$A$2:$A$51,0))="","",INDEX(campaigns!$BE$2:$BE$51,MATCH($A63,campaigns!$A$2:$A$51,0))),""))</f>
        <v>SAMPLE Tallgrass</v>
      </c>
      <c r="K63" s="30" t="str">
        <f aca="false">IF($B63="","",IFERROR(IF(INDEX(offices!$O$2:$O$61,MATCH($B63,offices!$A$2:$A$61,0))="","",INDEX(offices!$O$2:$O$61,MATCH($B63,offices!$A$2:$A$61,0))),""))</f>
        <v>SAMPLE Ferro Architecture</v>
      </c>
      <c r="L63" s="30" t="n">
        <f aca="false">IF($A63="","",IF($Q63="N","",COUNTIFS($A$2:$A63,$A63,$Q$2:$Q63,"&lt;&gt;N")))</f>
        <v>2</v>
      </c>
      <c r="M63" s="30" t="str">
        <f aca="false">IF(OR($A63="",$L63=""),"",IF(AND(config!$B$34="names_if_public",IFERROR(IF(INDEX(offices!$AG$2:$AG$61,MATCH($B63,offices!$A$2:$A$61,0))="","",INDEX(offices!$AG$2:$AG$61,MATCH($B63,offices!$A$2:$A$61,0))),"")="Y"),$K63,CHAR(64+$L63)))</f>
        <v>B</v>
      </c>
      <c r="N63" s="30" t="n">
        <f aca="false">IF(OR($A63="",$I63=""),"",COUNTIFS(stops!$B$2:$B$151,$B63,stops!$P$2:$P$151,"&lt;"&amp;$I63,stops!$L$2:$L$151,"&lt;&gt;not_delivered")+1)</f>
        <v>4</v>
      </c>
      <c r="O63" s="30" t="str">
        <f aca="false">IF($A63="","",IF(N($N63)&lt;=config!$B$29,"explicit","opt-out"))</f>
        <v>opt-out</v>
      </c>
      <c r="P63" s="30" t="str">
        <f aca="false">IF($A63="","",IF($O63="explicit",IF($D63="yes","Y",IF($D63="no","N","pending")),IF($D63="no","N",IF(AND($C63&lt;&gt;"",$I63&lt;&gt;"",$C63&lt;=WORKDAY(N($I63),-5,calendar!$A$2:$A$80)),"Y","pending"))))</f>
        <v>Y</v>
      </c>
      <c r="Q63" s="30" t="str">
        <f aca="false">IF($A63="","",IF($P63="N","N",IF($P63&lt;&gt;"Y","pending",IF(AND((COUNTIFS(stops!$A$2:$A$151,$H63,stops!$B$2:$B$151,$B63,stops!$L$2:$L$151,"declined")+COUNTIFS(stops!$A$2:$A$151,$H63,stops!$B$2:$B$151,$B63,stops!$L$2:$L$151,"building_refused")+COUNTIFS(stops!$A$2:$A$151,$H63,stops!$B$2:$B$151,$B63,stops!$L$2:$L$151,"not_delivered"))&gt;0,N($U63)=0),"N","Y"))))</f>
        <v>Y</v>
      </c>
      <c r="R63" s="30" t="str">
        <f aca="false">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30" t="n">
        <f aca="false">IF($A63="","",IF($G63&lt;&gt;"",$G63,IFERROR(IF(INDEX(offices!$AM$2:$AM$61,MATCH($B63,offices!$A$2:$A$61,0))="","",INDEX(offices!$AM$2:$AM$61,MATCH($B63,offices!$A$2:$A$61,0))),"")))</f>
        <v>40</v>
      </c>
      <c r="T63" s="30" t="str">
        <f aca="false">IF($A63="","",$A63&amp;"."&amp;$B63)</f>
        <v>SAMPLE-CMP-008.SAMPLE-O-002</v>
      </c>
      <c r="U63" s="30" t="n">
        <f aca="false">IF($A63="","",SUMIFS(inventory!$G$2:$G$801,inventory!$C$2:$C$801,$A63,inventory!$D$2:$D$801,$B63,inventory!$E$2:$E$801,"delivered"))</f>
        <v>40</v>
      </c>
      <c r="V63" s="37" t="n">
        <f aca="false">IF($A63="","",IFERROR(1/(1/SUMPRODUCT(MAX((inventory!$C$2:$C$801=$A63)*(inventory!$D$2:$D$801=$B63)*(inventory!$E$2:$E$801="delivered")*(inventory!$A$2:$A$801+inventory!$B$2:$B$801)))),""))</f>
        <v>46469.425</v>
      </c>
      <c r="W63" s="30" t="str">
        <f aca="false">IF($A63="","",IFERROR(IF(INDEX(inventory!$J$2:$J$801,MATCH($A63&amp;"|"&amp;$B63&amp;"|delivered",inventory!$R$2:$R$801,0))="","",INDEX(inventory!$J$2:$J$801,MATCH($A63&amp;"|"&amp;$B63&amp;"|delivered",inventory!$R$2:$R$801,0))),""))</f>
        <v>office_count</v>
      </c>
      <c r="X63" s="30" t="str">
        <f aca="false">IF($A63="","",IFERROR(IF(INDEX(photos!$H$2:$H$701,MATCH($A63&amp;"|"&amp;$B63&amp;"|placement|Y",photos!$R$2:$R$701,0))="","",INDEX(photos!$H$2:$H$701,MATCH($A63&amp;"|"&amp;$B63&amp;"|placement|Y",photos!$R$2:$R$701,0))),""))</f>
        <v>SAMPLE-CMP-008_SAMPLE-O-002_placement_2027-03-23.jpg</v>
      </c>
      <c r="Y63" s="31" t="n">
        <f aca="false">IF($A63="","",IFERROR(IF(INDEX(photos!$E$2:$E$701,MATCH($A63&amp;"|"&amp;$B63&amp;"|placement|Y",photos!$R$2:$R$701,0))="","",INDEX(photos!$E$2:$E$701,MATCH($A63&amp;"|"&amp;$B63&amp;"|placement|Y",photos!$R$2:$R$701,0))),""))</f>
        <v>46469</v>
      </c>
      <c r="Z63" s="30" t="n">
        <f aca="false">IF($A63="","",IF(COUNTIFS(counts!$C$2:$C$701,$A63,counts!$D$2:$D$701,$B63,counts!$E$2:$E$701,"placed")=0,"",SUMIFS(counts!$F$2:$F$701,counts!$C$2:$C$701,$A63,counts!$D$2:$D$701,$B63,counts!$E$2:$E$701,"placed")))</f>
        <v>40</v>
      </c>
      <c r="AA63" s="30" t="n">
        <f aca="false">IF($A63="","",IF($Y63="",0,N($Z63)))</f>
        <v>40</v>
      </c>
      <c r="AB63" s="30" t="str">
        <f aca="false">IF($A63="","",IF(OR($Y63="",$I63=""),"N",IF($Y63&lt;=WORKDAY(N($I63),1,calendar!$A$2:$A$80),"Y","N")))</f>
        <v>Y</v>
      </c>
      <c r="AC63" s="33" t="n">
        <f aca="false">IF(OR($A63="",$V63="",$Y63=""),"",ROUND(($Y63+N(IFERROR(IF(INDEX(photos!$F$2:$F$701,MATCH($A63&amp;"|"&amp;$B63&amp;"|placement|Y",photos!$R$2:$R$701,0))="","",INDEX(photos!$F$2:$F$701,MATCH($A63&amp;"|"&amp;$B63&amp;"|placement|Y",photos!$R$2:$R$701,0))),""))-$V63)*24,1))</f>
        <v>2.8</v>
      </c>
      <c r="AD63" s="30" t="n">
        <f aca="false">IF($A63="","",SUMIFS(inventory!$G$2:$G$801,inventory!$C$2:$C$801,$A63,inventory!$D$2:$D$801,$B63,inventory!$E$2:$E$801,"topped_up"))</f>
        <v>0</v>
      </c>
      <c r="AE63" s="30" t="n">
        <f aca="false">IF($A63="","",IF(COUNTIFS(counts!$C$2:$C$701,$A63,counts!$D$2:$D$701,$B63,counts!$E$2:$E$701,"remaining_day3")=0,"",SUMIFS(counts!$F$2:$F$701,counts!$C$2:$C$701,$A63,counts!$D$2:$D$701,$B63,counts!$E$2:$E$701,"remaining_day3")))</f>
        <v>18</v>
      </c>
      <c r="AF63" s="30" t="n">
        <f aca="false">IF($A63="","",IF(COUNTIFS(counts!$C$2:$C$701,$A63,counts!$D$2:$D$701,$B63,counts!$E$2:$E$701,"remaining_day5")=0,"",SUMIFS(counts!$F$2:$F$701,counts!$C$2:$C$701,$A63,counts!$D$2:$D$701,$B63,counts!$E$2:$E$701,"remaining_day5")))</f>
        <v>1</v>
      </c>
      <c r="AG63" s="30" t="n">
        <f aca="false">IF(OR($A63="",$AF63=""),"",MAX(0,$AA63+$AD63-$AF63))</f>
        <v>39</v>
      </c>
      <c r="AH63" s="30" t="str">
        <f aca="false">IF(OR($A63="",$AI63=""),"",IFERROR(IF(INDEX(photos!$H$2:$H$701,MATCH($A63&amp;"|"&amp;$B63&amp;"|later|Y|"&amp;$AI63,photos!$S$2:$S$701,0))="","",INDEX(photos!$H$2:$H$701,MATCH($A63&amp;"|"&amp;$B63&amp;"|later|Y|"&amp;$AI63,photos!$S$2:$S$701,0))),""))</f>
        <v>SAMPLE-CMP-008_SAMPLE-O-002_later_2027-03-29.jpg</v>
      </c>
      <c r="AI63" s="31" t="n">
        <f aca="false">IF($A63="","",IFERROR(1/(1/SUMPRODUCT(MAX((photos!$B$2:$B$701=$A63)*(photos!$C$2:$C$701=$B63)*(photos!$D$2:$D$701="later")*(photos!$O$2:$O$701="Y")*photos!$E$2:$E$701))),""))</f>
        <v>46475</v>
      </c>
      <c r="AJ63" s="30" t="n">
        <f aca="false">IF(OR($A63="",$AI63="",$I63=""),"",NETWORKDAYS($I63,$AI63,calendar!$A$2:$A$80))</f>
        <v>5</v>
      </c>
      <c r="AK63" s="30" t="str">
        <f aca="false">IF($A63="","",IF(AND($X63&lt;&gt;"",$AH63&lt;&gt;""),"Y","N"))</f>
        <v>Y</v>
      </c>
      <c r="AL63" s="30" t="n">
        <f aca="true">IF(OR($A63="",$I63=""),"",IF($BC63="Y",SUMIFS(survey_frozen!$C$2:$C$251,survey_frozen!$P$2:$P$251,$A63&amp;"|"&amp;$B63),IFERROR(COUNTIFS(INDIRECT("'"&amp;$A63&amp;"'!$B$2:$B$501"),$T63,INDIRECT("'"&amp;$A63&amp;"'!$A$2:$A$501"),"&gt;="&amp;$I63,INDIRECT("'"&amp;$A63&amp;"'!$A$2:$A$501"),"&lt;"&amp;($BA63+1)),0)))</f>
        <v>8</v>
      </c>
      <c r="AM63" s="30" t="n">
        <f aca="true">IF(OR($A63="",$I63=""),"",IF($BC63="Y",SUMIFS(survey_frozen!$D$2:$D$251,survey_frozen!$P$2:$P$251,$A63&amp;"|"&amp;$B63),IFERROR(COUNTIFS(INDIRECT("'"&amp;$A63&amp;"'!$B$2:$B$501"),$T63,INDIRECT("'"&amp;$A63&amp;"'!$A$2:$A$501"),"&gt;="&amp;$I63,INDIRECT("'"&amp;$A63&amp;"'!$A$2:$A$501"),"&lt;"&amp;($BA63+1),INDIRECT("'"&amp;$A63&amp;"'!$C$2:$C$501"),"Yes"),0)))</f>
        <v>7</v>
      </c>
      <c r="AN63" s="30" t="n">
        <f aca="false">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4</v>
      </c>
      <c r="AO63" s="30" t="n">
        <f aca="false">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7</v>
      </c>
      <c r="AP63" s="30" t="str">
        <f aca="true">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30" t="n">
        <f aca="true">IF(OR($A63="",$I63=""),"",IF($BC63="Y",SUMIFS(survey_frozen!$E$2:$E$251,survey_frozen!$P$2:$P$251,$A63&amp;"|"&amp;$B63),IFERROR(COUNTIFS(INDIRECT("'"&amp;$A63&amp;"'!$B$2:$B$501"),$T63,INDIRECT("'"&amp;$A63&amp;"'!$A$2:$A$501"),"&gt;="&amp;$I63,INDIRECT("'"&amp;$A63&amp;"'!$A$2:$A$501"),"&lt;"&amp;($BA63+1),INDIRECT("'"&amp;$A63&amp;"'!$F$2:$F$501"),"Didn't see it"),0)))</f>
        <v>0</v>
      </c>
      <c r="AR63" s="30" t="n">
        <f aca="true">IF(OR($A63="",$I63=""),"",IF($BC63="Y",SUMIFS(survey_frozen!$F$2:$F$251,survey_frozen!$P$2:$P$251,$A63&amp;"|"&amp;$B63),IFERROR(COUNTIFS(INDIRECT("'"&amp;$A63&amp;"'!$B$2:$B$501"),$T63,INDIRECT("'"&amp;$A63&amp;"'!$A$2:$A$501"),"&gt;="&amp;$I63,INDIRECT("'"&amp;$A63&amp;"'!$A$2:$A$501"),"&lt;"&amp;($BA63+1),INDIRECT("'"&amp;$A63&amp;"'!$F$2:$F$501"),"Not for me"),0)))</f>
        <v>0</v>
      </c>
      <c r="AS63" s="30" t="n">
        <f aca="true">IF(OR($A63="",$I63=""),"",IF($BC63="Y",SUMIFS(survey_frozen!$G$2:$G$251,survey_frozen!$P$2:$P$251,$A63&amp;"|"&amp;$B63),IFERROR(COUNTIFS(INDIRECT("'"&amp;$A63&amp;"'!$B$2:$B$501"),$T63,INDIRECT("'"&amp;$A63&amp;"'!$A$2:$A$501"),"&gt;="&amp;$I63,INDIRECT("'"&amp;$A63&amp;"'!$A$2:$A$501"),"&lt;"&amp;($BA63+1),INDIRECT("'"&amp;$A63&amp;"'!$F$2:$F$501"),"Gone by the time I looked"),0)))</f>
        <v>1</v>
      </c>
      <c r="AT63" s="30" t="n">
        <f aca="true">IF(OR($A63="",$I63=""),"",IF($BC63="Y",SUMIFS(survey_frozen!$H$2:$H$251,survey_frozen!$P$2:$P$251,$A63&amp;"|"&amp;$B63),IFERROR(COUNTIFS(INDIRECT("'"&amp;$A63&amp;"'!$B$2:$B$501"),$T63,INDIRECT("'"&amp;$A63&amp;"'!$A$2:$A$501"),"&gt;="&amp;$I63,INDIRECT("'"&amp;$A63&amp;"'!$A$2:$A$501"),"&lt;"&amp;($BA63+1),INDIRECT("'"&amp;$A63&amp;"'!$D$2:$D$501"),"&gt;=1"),0)))</f>
        <v>7</v>
      </c>
      <c r="AU63" s="30" t="n">
        <f aca="true">IF(OR($A63="",$I63=""),"",IF($BC63="Y",SUMIFS(survey_frozen!$I$2:$I$251,survey_frozen!$P$2:$P$251,$A63&amp;"|"&amp;$B63),IFERROR(SUMIFS(INDIRECT("'"&amp;$A63&amp;"'!$D$2:$D$501"),INDIRECT("'"&amp;$A63&amp;"'!$B$2:$B$501"),$T63,INDIRECT("'"&amp;$A63&amp;"'!$A$2:$A$501"),"&gt;="&amp;$I63,INDIRECT("'"&amp;$A63&amp;"'!$A$2:$A$501"),"&lt;"&amp;($BA63+1)),0)))</f>
        <v>30</v>
      </c>
      <c r="AV63" s="30" t="n">
        <f aca="true">IF(OR($A63="",$I63=""),"",IF($BC63="Y",SUMIFS(survey_frozen!$J$2:$J$251,survey_frozen!$P$2:$P$251,$A63&amp;"|"&amp;$B63),IFERROR(COUNTIFS(INDIRECT("'"&amp;$A63&amp;"'!$B$2:$B$501"),$T63,INDIRECT("'"&amp;$A63&amp;"'!$A$2:$A$501"),"&gt;="&amp;$I63,INDIRECT("'"&amp;$A63&amp;"'!$A$2:$A$501"),"&lt;"&amp;($BA63+1),INDIRECT("'"&amp;$A63&amp;"'!$E$2:$E$501"),"Yes"),0)))</f>
        <v>1</v>
      </c>
      <c r="AW63" s="30" t="n">
        <f aca="true">IF(OR($A63="",$I63=""),"",IF($BC63="Y",SUMIFS(survey_frozen!$K$2:$K$251,survey_frozen!$P$2:$P$251,$A63&amp;"|"&amp;$B63),IFERROR(COUNTIFS(INDIRECT("'"&amp;$A63&amp;"'!$B$2:$B$501"),$T63,INDIRECT("'"&amp;$A63&amp;"'!$A$2:$A$501"),"&gt;="&amp;$I63,INDIRECT("'"&amp;$A63&amp;"'!$A$2:$A$501"),"&lt;"&amp;($BA63+1),INDIRECT("'"&amp;$A63&amp;"'!$E$2:$E$501"),"Maybe"),0)))</f>
        <v>4</v>
      </c>
      <c r="AX63" s="30" t="n">
        <f aca="true">IF(OR($A63="",$I63=""),"",IF($BC63="Y",SUMIFS(survey_frozen!$L$2:$L$251,survey_frozen!$P$2:$P$251,$A63&amp;"|"&amp;$B63),IFERROR(COUNTIFS(INDIRECT("'"&amp;$A63&amp;"'!$B$2:$B$501"),$T63,INDIRECT("'"&amp;$A63&amp;"'!$A$2:$A$501"),"&gt;="&amp;$I63,INDIRECT("'"&amp;$A63&amp;"'!$A$2:$A$501"),"&lt;"&amp;($BA63+1),INDIRECT("'"&amp;$A63&amp;"'!$E$2:$E$501"),"No"),0)))</f>
        <v>2</v>
      </c>
      <c r="AY63" s="30" t="n">
        <f aca="true">IF(OR($A63="",$I63=""),"",IF($BC63="Y",SUMIFS(survey_frozen!$M$2:$M$251,survey_frozen!$P$2:$P$251,$A63&amp;"|"&amp;$B63),IFERROR(COUNTIFS(INDIRECT("'"&amp;$A63&amp;"'!$B$2:$B$501"),$T63,INDIRECT("'"&amp;$A63&amp;"'!$A$2:$A$501"),"&gt;="&amp;$I63,INDIRECT("'"&amp;$A63&amp;"'!$A$2:$A$501"),"&lt;"&amp;($BA63+1),INDIRECT("'"&amp;$A63&amp;"'!$G$2:$G$501"),"&lt;&gt;"),0)))</f>
        <v>5</v>
      </c>
      <c r="AZ63" s="30" t="str">
        <f aca="false">IF($A63="","",$A63&amp;"|"&amp;$L63)</f>
        <v>SAMPLE-CMP-008|2</v>
      </c>
      <c r="BA63" s="31" t="n">
        <f aca="false">IF($A63="","",IFERROR(IF(INDEX(drops!$R$2:$R$21,MATCH($H63,drops!$A$2:$A$21,0))="","",INDEX(drops!$R$2:$R$21,MATCH($H63,drops!$A$2:$A$21,0))),""))</f>
        <v>46475</v>
      </c>
      <c r="BB63" s="30" t="n">
        <f aca="false">IF(OR($A63="",$Q63&lt;&gt;"Y"),1000000,N($AL63))</f>
        <v>8</v>
      </c>
      <c r="BC63" s="30" t="str">
        <f aca="false">IF($A63="","",IF(COUNTIF(survey_frozen!$P$2:$P$251,$A63&amp;"|"&amp;$B63)&gt;0,"Y",""))</f>
        <v/>
      </c>
      <c r="BD63" s="30" t="str">
        <f aca="false">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ustomFormat="false" ht="15" hidden="false" customHeight="false" outlineLevel="0" collapsed="false">
      <c r="A64" s="0" t="s">
        <v>584</v>
      </c>
      <c r="B64" s="0" t="s">
        <v>683</v>
      </c>
      <c r="C64" s="11" t="n">
        <v>46442</v>
      </c>
      <c r="D64" s="10"/>
      <c r="E64" s="11"/>
      <c r="H64" s="30" t="str">
        <f aca="false">IF($A64="","",IFERROR(IF(INDEX(campaigns!$B$2:$B$51,MATCH($A64,campaigns!$A$2:$A$51,0))="","",INDEX(campaigns!$B$2:$B$51,MATCH($A64,campaigns!$A$2:$A$51,0))),""))</f>
        <v>SAMPLE-DRP-004</v>
      </c>
      <c r="I64" s="31" t="n">
        <f aca="false">IF($A64="","",IFERROR(IF(INDEX(campaigns!$BG$2:$BG$51,MATCH($A64,campaigns!$A$2:$A$51,0))="","",INDEX(campaigns!$BG$2:$BG$51,MATCH($A64,campaigns!$A$2:$A$51,0))),""))</f>
        <v>46469</v>
      </c>
      <c r="J64" s="30" t="str">
        <f aca="false">IF($A64="","",IFERROR(IF(INDEX(campaigns!$BE$2:$BE$51,MATCH($A64,campaigns!$A$2:$A$51,0))="","",INDEX(campaigns!$BE$2:$BE$51,MATCH($A64,campaigns!$A$2:$A$51,0))),""))</f>
        <v>SAMPLE Tallgrass</v>
      </c>
      <c r="K64" s="30" t="str">
        <f aca="false">IF($B64="","",IFERROR(IF(INDEX(offices!$O$2:$O$61,MATCH($B64,offices!$A$2:$A$61,0))="","",INDEX(offices!$O$2:$O$61,MATCH($B64,offices!$A$2:$A$61,0))),""))</f>
        <v>SAMPLE Halcyon Media</v>
      </c>
      <c r="L64" s="30" t="n">
        <f aca="false">IF($A64="","",IF($Q64="N","",COUNTIFS($A$2:$A64,$A64,$Q$2:$Q64,"&lt;&gt;N")))</f>
        <v>3</v>
      </c>
      <c r="M64" s="30" t="str">
        <f aca="false">IF(OR($A64="",$L64=""),"",IF(AND(config!$B$34="names_if_public",IFERROR(IF(INDEX(offices!$AG$2:$AG$61,MATCH($B64,offices!$A$2:$A$61,0))="","",INDEX(offices!$AG$2:$AG$61,MATCH($B64,offices!$A$2:$A$61,0))),"")="Y"),$K64,CHAR(64+$L64)))</f>
        <v>C</v>
      </c>
      <c r="N64" s="30" t="n">
        <f aca="false">IF(OR($A64="",$I64=""),"",COUNTIFS(stops!$B$2:$B$151,$B64,stops!$P$2:$P$151,"&lt;"&amp;$I64,stops!$L$2:$L$151,"&lt;&gt;not_delivered")+1)</f>
        <v>4</v>
      </c>
      <c r="O64" s="30" t="str">
        <f aca="false">IF($A64="","",IF(N($N64)&lt;=config!$B$29,"explicit","opt-out"))</f>
        <v>opt-out</v>
      </c>
      <c r="P64" s="30" t="str">
        <f aca="false">IF($A64="","",IF($O64="explicit",IF($D64="yes","Y",IF($D64="no","N","pending")),IF($D64="no","N",IF(AND($C64&lt;&gt;"",$I64&lt;&gt;"",$C64&lt;=WORKDAY(N($I64),-5,calendar!$A$2:$A$80)),"Y","pending"))))</f>
        <v>Y</v>
      </c>
      <c r="Q64" s="30" t="str">
        <f aca="false">IF($A64="","",IF($P64="N","N",IF($P64&lt;&gt;"Y","pending",IF(AND((COUNTIFS(stops!$A$2:$A$151,$H64,stops!$B$2:$B$151,$B64,stops!$L$2:$L$151,"declined")+COUNTIFS(stops!$A$2:$A$151,$H64,stops!$B$2:$B$151,$B64,stops!$L$2:$L$151,"building_refused")+COUNTIFS(stops!$A$2:$A$151,$H64,stops!$B$2:$B$151,$B64,stops!$L$2:$L$151,"not_delivered"))&gt;0,N($U64)=0),"N","Y"))))</f>
        <v>Y</v>
      </c>
      <c r="R64" s="30" t="str">
        <f aca="false">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30" t="n">
        <f aca="false">IF($A64="","",IF($G64&lt;&gt;"",$G64,IFERROR(IF(INDEX(offices!$AM$2:$AM$61,MATCH($B64,offices!$A$2:$A$61,0))="","",INDEX(offices!$AM$2:$AM$61,MATCH($B64,offices!$A$2:$A$61,0))),"")))</f>
        <v>50</v>
      </c>
      <c r="T64" s="30" t="str">
        <f aca="false">IF($A64="","",$A64&amp;"."&amp;$B64)</f>
        <v>SAMPLE-CMP-008.SAMPLE-O-003</v>
      </c>
      <c r="U64" s="30" t="n">
        <f aca="false">IF($A64="","",SUMIFS(inventory!$G$2:$G$801,inventory!$C$2:$C$801,$A64,inventory!$D$2:$D$801,$B64,inventory!$E$2:$E$801,"delivered"))</f>
        <v>50</v>
      </c>
      <c r="V64" s="37" t="n">
        <f aca="false">IF($A64="","",IFERROR(1/(1/SUMPRODUCT(MAX((inventory!$C$2:$C$801=$A64)*(inventory!$D$2:$D$801=$B64)*(inventory!$E$2:$E$801="delivered")*(inventory!$A$2:$A$801+inventory!$B$2:$B$801)))),""))</f>
        <v>46469.4256944444</v>
      </c>
      <c r="W64" s="30" t="str">
        <f aca="false">IF($A64="","",IFERROR(IF(INDEX(inventory!$J$2:$J$801,MATCH($A64&amp;"|"&amp;$B64&amp;"|delivered",inventory!$R$2:$R$801,0))="","",INDEX(inventory!$J$2:$J$801,MATCH($A64&amp;"|"&amp;$B64&amp;"|delivered",inventory!$R$2:$R$801,0))),""))</f>
        <v>office_count</v>
      </c>
      <c r="X64" s="30" t="str">
        <f aca="false">IF($A64="","",IFERROR(IF(INDEX(photos!$H$2:$H$701,MATCH($A64&amp;"|"&amp;$B64&amp;"|placement|Y",photos!$R$2:$R$701,0))="","",INDEX(photos!$H$2:$H$701,MATCH($A64&amp;"|"&amp;$B64&amp;"|placement|Y",photos!$R$2:$R$701,0))),""))</f>
        <v>SAMPLE-CMP-008_SAMPLE-O-003_placement_2027-03-23.jpg</v>
      </c>
      <c r="Y64" s="31" t="n">
        <f aca="false">IF($A64="","",IFERROR(IF(INDEX(photos!$E$2:$E$701,MATCH($A64&amp;"|"&amp;$B64&amp;"|placement|Y",photos!$R$2:$R$701,0))="","",INDEX(photos!$E$2:$E$701,MATCH($A64&amp;"|"&amp;$B64&amp;"|placement|Y",photos!$R$2:$R$701,0))),""))</f>
        <v>46469</v>
      </c>
      <c r="Z64" s="30" t="n">
        <f aca="false">IF($A64="","",IF(COUNTIFS(counts!$C$2:$C$701,$A64,counts!$D$2:$D$701,$B64,counts!$E$2:$E$701,"placed")=0,"",SUMIFS(counts!$F$2:$F$701,counts!$C$2:$C$701,$A64,counts!$D$2:$D$701,$B64,counts!$E$2:$E$701,"placed")))</f>
        <v>50</v>
      </c>
      <c r="AA64" s="30" t="n">
        <f aca="false">IF($A64="","",IF($Y64="",0,N($Z64)))</f>
        <v>50</v>
      </c>
      <c r="AB64" s="30" t="str">
        <f aca="false">IF($A64="","",IF(OR($Y64="",$I64=""),"N",IF($Y64&lt;=WORKDAY(N($I64),1,calendar!$A$2:$A$80),"Y","N")))</f>
        <v>Y</v>
      </c>
      <c r="AC64" s="33" t="n">
        <f aca="false">IF(OR($A64="",$V64="",$Y64=""),"",ROUND(($Y64+N(IFERROR(IF(INDEX(photos!$F$2:$F$701,MATCH($A64&amp;"|"&amp;$B64&amp;"|placement|Y",photos!$R$2:$R$701,0))="","",INDEX(photos!$F$2:$F$701,MATCH($A64&amp;"|"&amp;$B64&amp;"|placement|Y",photos!$R$2:$R$701,0))),""))-$V64)*24,1))</f>
        <v>2.8</v>
      </c>
      <c r="AD64" s="30" t="n">
        <f aca="false">IF($A64="","",SUMIFS(inventory!$G$2:$G$801,inventory!$C$2:$C$801,$A64,inventory!$D$2:$D$801,$B64,inventory!$E$2:$E$801,"topped_up"))</f>
        <v>0</v>
      </c>
      <c r="AE64" s="30" t="n">
        <f aca="false">IF($A64="","",IF(COUNTIFS(counts!$C$2:$C$701,$A64,counts!$D$2:$D$701,$B64,counts!$E$2:$E$701,"remaining_day3")=0,"",SUMIFS(counts!$F$2:$F$701,counts!$C$2:$C$701,$A64,counts!$D$2:$D$701,$B64,counts!$E$2:$E$701,"remaining_day3")))</f>
        <v>13</v>
      </c>
      <c r="AF64" s="30" t="n">
        <f aca="false">IF($A64="","",IF(COUNTIFS(counts!$C$2:$C$701,$A64,counts!$D$2:$D$701,$B64,counts!$E$2:$E$701,"remaining_day5")=0,"",SUMIFS(counts!$F$2:$F$701,counts!$C$2:$C$701,$A64,counts!$D$2:$D$701,$B64,counts!$E$2:$E$701,"remaining_day5")))</f>
        <v>1</v>
      </c>
      <c r="AG64" s="30" t="n">
        <f aca="false">IF(OR($A64="",$AF64=""),"",MAX(0,$AA64+$AD64-$AF64))</f>
        <v>49</v>
      </c>
      <c r="AH64" s="30" t="str">
        <f aca="false">IF(OR($A64="",$AI64=""),"",IFERROR(IF(INDEX(photos!$H$2:$H$701,MATCH($A64&amp;"|"&amp;$B64&amp;"|later|Y|"&amp;$AI64,photos!$S$2:$S$701,0))="","",INDEX(photos!$H$2:$H$701,MATCH($A64&amp;"|"&amp;$B64&amp;"|later|Y|"&amp;$AI64,photos!$S$2:$S$701,0))),""))</f>
        <v>SAMPLE-CMP-008_SAMPLE-O-003_later_2027-03-29.jpg</v>
      </c>
      <c r="AI64" s="31" t="n">
        <f aca="false">IF($A64="","",IFERROR(1/(1/SUMPRODUCT(MAX((photos!$B$2:$B$701=$A64)*(photos!$C$2:$C$701=$B64)*(photos!$D$2:$D$701="later")*(photos!$O$2:$O$701="Y")*photos!$E$2:$E$701))),""))</f>
        <v>46475</v>
      </c>
      <c r="AJ64" s="30" t="n">
        <f aca="false">IF(OR($A64="",$AI64="",$I64=""),"",NETWORKDAYS($I64,$AI64,calendar!$A$2:$A$80))</f>
        <v>5</v>
      </c>
      <c r="AK64" s="30" t="str">
        <f aca="false">IF($A64="","",IF(AND($X64&lt;&gt;"",$AH64&lt;&gt;""),"Y","N"))</f>
        <v>Y</v>
      </c>
      <c r="AL64" s="30" t="n">
        <f aca="true">IF(OR($A64="",$I64=""),"",IF($BC64="Y",SUMIFS(survey_frozen!$C$2:$C$251,survey_frozen!$P$2:$P$251,$A64&amp;"|"&amp;$B64),IFERROR(COUNTIFS(INDIRECT("'"&amp;$A64&amp;"'!$B$2:$B$501"),$T64,INDIRECT("'"&amp;$A64&amp;"'!$A$2:$A$501"),"&gt;="&amp;$I64,INDIRECT("'"&amp;$A64&amp;"'!$A$2:$A$501"),"&lt;"&amp;($BA64+1)),0)))</f>
        <v>5</v>
      </c>
      <c r="AM64" s="30" t="n">
        <f aca="true">IF(OR($A64="",$I64=""),"",IF($BC64="Y",SUMIFS(survey_frozen!$D$2:$D$251,survey_frozen!$P$2:$P$251,$A64&amp;"|"&amp;$B64),IFERROR(COUNTIFS(INDIRECT("'"&amp;$A64&amp;"'!$B$2:$B$501"),$T64,INDIRECT("'"&amp;$A64&amp;"'!$A$2:$A$501"),"&gt;="&amp;$I64,INDIRECT("'"&amp;$A64&amp;"'!$A$2:$A$501"),"&lt;"&amp;($BA64+1),INDIRECT("'"&amp;$A64&amp;"'!$C$2:$C$501"),"Yes"),0)))</f>
        <v>4</v>
      </c>
      <c r="AN64" s="30" t="n">
        <f aca="false">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6</v>
      </c>
      <c r="AO64" s="30" t="n">
        <f aca="false">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9</v>
      </c>
      <c r="AP64" s="30" t="str">
        <f aca="true">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30" t="n">
        <f aca="true">IF(OR($A64="",$I64=""),"",IF($BC64="Y",SUMIFS(survey_frozen!$E$2:$E$251,survey_frozen!$P$2:$P$251,$A64&amp;"|"&amp;$B64),IFERROR(COUNTIFS(INDIRECT("'"&amp;$A64&amp;"'!$B$2:$B$501"),$T64,INDIRECT("'"&amp;$A64&amp;"'!$A$2:$A$501"),"&gt;="&amp;$I64,INDIRECT("'"&amp;$A64&amp;"'!$A$2:$A$501"),"&lt;"&amp;($BA64+1),INDIRECT("'"&amp;$A64&amp;"'!$F$2:$F$501"),"Didn't see it"),0)))</f>
        <v>1</v>
      </c>
      <c r="AR64" s="30" t="n">
        <f aca="true">IF(OR($A64="",$I64=""),"",IF($BC64="Y",SUMIFS(survey_frozen!$F$2:$F$251,survey_frozen!$P$2:$P$251,$A64&amp;"|"&amp;$B64),IFERROR(COUNTIFS(INDIRECT("'"&amp;$A64&amp;"'!$B$2:$B$501"),$T64,INDIRECT("'"&amp;$A64&amp;"'!$A$2:$A$501"),"&gt;="&amp;$I64,INDIRECT("'"&amp;$A64&amp;"'!$A$2:$A$501"),"&lt;"&amp;($BA64+1),INDIRECT("'"&amp;$A64&amp;"'!$F$2:$F$501"),"Not for me"),0)))</f>
        <v>0</v>
      </c>
      <c r="AS64" s="30" t="n">
        <f aca="true">IF(OR($A64="",$I64=""),"",IF($BC64="Y",SUMIFS(survey_frozen!$G$2:$G$251,survey_frozen!$P$2:$P$251,$A64&amp;"|"&amp;$B64),IFERROR(COUNTIFS(INDIRECT("'"&amp;$A64&amp;"'!$B$2:$B$501"),$T64,INDIRECT("'"&amp;$A64&amp;"'!$A$2:$A$501"),"&gt;="&amp;$I64,INDIRECT("'"&amp;$A64&amp;"'!$A$2:$A$501"),"&lt;"&amp;($BA64+1),INDIRECT("'"&amp;$A64&amp;"'!$F$2:$F$501"),"Gone by the time I looked"),0)))</f>
        <v>0</v>
      </c>
      <c r="AT64" s="30" t="n">
        <f aca="true">IF(OR($A64="",$I64=""),"",IF($BC64="Y",SUMIFS(survey_frozen!$H$2:$H$251,survey_frozen!$P$2:$P$251,$A64&amp;"|"&amp;$B64),IFERROR(COUNTIFS(INDIRECT("'"&amp;$A64&amp;"'!$B$2:$B$501"),$T64,INDIRECT("'"&amp;$A64&amp;"'!$A$2:$A$501"),"&gt;="&amp;$I64,INDIRECT("'"&amp;$A64&amp;"'!$A$2:$A$501"),"&lt;"&amp;($BA64+1),INDIRECT("'"&amp;$A64&amp;"'!$D$2:$D$501"),"&gt;=1"),0)))</f>
        <v>4</v>
      </c>
      <c r="AU64" s="30" t="n">
        <f aca="true">IF(OR($A64="",$I64=""),"",IF($BC64="Y",SUMIFS(survey_frozen!$I$2:$I$251,survey_frozen!$P$2:$P$251,$A64&amp;"|"&amp;$B64),IFERROR(SUMIFS(INDIRECT("'"&amp;$A64&amp;"'!$D$2:$D$501"),INDIRECT("'"&amp;$A64&amp;"'!$B$2:$B$501"),$T64,INDIRECT("'"&amp;$A64&amp;"'!$A$2:$A$501"),"&gt;="&amp;$I64,INDIRECT("'"&amp;$A64&amp;"'!$A$2:$A$501"),"&lt;"&amp;($BA64+1)),0)))</f>
        <v>16</v>
      </c>
      <c r="AV64" s="30" t="n">
        <f aca="true">IF(OR($A64="",$I64=""),"",IF($BC64="Y",SUMIFS(survey_frozen!$J$2:$J$251,survey_frozen!$P$2:$P$251,$A64&amp;"|"&amp;$B64),IFERROR(COUNTIFS(INDIRECT("'"&amp;$A64&amp;"'!$B$2:$B$501"),$T64,INDIRECT("'"&amp;$A64&amp;"'!$A$2:$A$501"),"&gt;="&amp;$I64,INDIRECT("'"&amp;$A64&amp;"'!$A$2:$A$501"),"&lt;"&amp;($BA64+1),INDIRECT("'"&amp;$A64&amp;"'!$E$2:$E$501"),"Yes"),0)))</f>
        <v>0</v>
      </c>
      <c r="AW64" s="30" t="n">
        <f aca="true">IF(OR($A64="",$I64=""),"",IF($BC64="Y",SUMIFS(survey_frozen!$K$2:$K$251,survey_frozen!$P$2:$P$251,$A64&amp;"|"&amp;$B64),IFERROR(COUNTIFS(INDIRECT("'"&amp;$A64&amp;"'!$B$2:$B$501"),$T64,INDIRECT("'"&amp;$A64&amp;"'!$A$2:$A$501"),"&gt;="&amp;$I64,INDIRECT("'"&amp;$A64&amp;"'!$A$2:$A$501"),"&lt;"&amp;($BA64+1),INDIRECT("'"&amp;$A64&amp;"'!$E$2:$E$501"),"Maybe"),0)))</f>
        <v>3</v>
      </c>
      <c r="AX64" s="30" t="n">
        <f aca="true">IF(OR($A64="",$I64=""),"",IF($BC64="Y",SUMIFS(survey_frozen!$L$2:$L$251,survey_frozen!$P$2:$P$251,$A64&amp;"|"&amp;$B64),IFERROR(COUNTIFS(INDIRECT("'"&amp;$A64&amp;"'!$B$2:$B$501"),$T64,INDIRECT("'"&amp;$A64&amp;"'!$A$2:$A$501"),"&gt;="&amp;$I64,INDIRECT("'"&amp;$A64&amp;"'!$A$2:$A$501"),"&lt;"&amp;($BA64+1),INDIRECT("'"&amp;$A64&amp;"'!$E$2:$E$501"),"No"),0)))</f>
        <v>1</v>
      </c>
      <c r="AY64" s="30" t="n">
        <f aca="true">IF(OR($A64="",$I64=""),"",IF($BC64="Y",SUMIFS(survey_frozen!$M$2:$M$251,survey_frozen!$P$2:$P$251,$A64&amp;"|"&amp;$B64),IFERROR(COUNTIFS(INDIRECT("'"&amp;$A64&amp;"'!$B$2:$B$501"),$T64,INDIRECT("'"&amp;$A64&amp;"'!$A$2:$A$501"),"&gt;="&amp;$I64,INDIRECT("'"&amp;$A64&amp;"'!$A$2:$A$501"),"&lt;"&amp;($BA64+1),INDIRECT("'"&amp;$A64&amp;"'!$G$2:$G$501"),"&lt;&gt;"),0)))</f>
        <v>1</v>
      </c>
      <c r="AZ64" s="30" t="str">
        <f aca="false">IF($A64="","",$A64&amp;"|"&amp;$L64)</f>
        <v>SAMPLE-CMP-008|3</v>
      </c>
      <c r="BA64" s="31" t="n">
        <f aca="false">IF($A64="","",IFERROR(IF(INDEX(drops!$R$2:$R$21,MATCH($H64,drops!$A$2:$A$21,0))="","",INDEX(drops!$R$2:$R$21,MATCH($H64,drops!$A$2:$A$21,0))),""))</f>
        <v>46475</v>
      </c>
      <c r="BB64" s="30" t="n">
        <f aca="false">IF(OR($A64="",$Q64&lt;&gt;"Y"),1000000,N($AL64))</f>
        <v>5</v>
      </c>
      <c r="BC64" s="30" t="str">
        <f aca="false">IF($A64="","",IF(COUNTIF(survey_frozen!$P$2:$P$251,$A64&amp;"|"&amp;$B64)&gt;0,"Y",""))</f>
        <v/>
      </c>
      <c r="BD64" s="30" t="str">
        <f aca="false">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ustomFormat="false" ht="15" hidden="false" customHeight="false" outlineLevel="0" collapsed="false">
      <c r="A65" s="0" t="s">
        <v>584</v>
      </c>
      <c r="B65" s="0" t="s">
        <v>686</v>
      </c>
      <c r="C65" s="11" t="n">
        <v>46442</v>
      </c>
      <c r="D65" s="10"/>
      <c r="E65" s="11"/>
      <c r="H65" s="30" t="str">
        <f aca="false">IF($A65="","",IFERROR(IF(INDEX(campaigns!$B$2:$B$51,MATCH($A65,campaigns!$A$2:$A$51,0))="","",INDEX(campaigns!$B$2:$B$51,MATCH($A65,campaigns!$A$2:$A$51,0))),""))</f>
        <v>SAMPLE-DRP-004</v>
      </c>
      <c r="I65" s="31" t="n">
        <f aca="false">IF($A65="","",IFERROR(IF(INDEX(campaigns!$BG$2:$BG$51,MATCH($A65,campaigns!$A$2:$A$51,0))="","",INDEX(campaigns!$BG$2:$BG$51,MATCH($A65,campaigns!$A$2:$A$51,0))),""))</f>
        <v>46469</v>
      </c>
      <c r="J65" s="30" t="str">
        <f aca="false">IF($A65="","",IFERROR(IF(INDEX(campaigns!$BE$2:$BE$51,MATCH($A65,campaigns!$A$2:$A$51,0))="","",INDEX(campaigns!$BE$2:$BE$51,MATCH($A65,campaigns!$A$2:$A$51,0))),""))</f>
        <v>SAMPLE Tallgrass</v>
      </c>
      <c r="K65" s="30" t="str">
        <f aca="false">IF($B65="","",IFERROR(IF(INDEX(offices!$O$2:$O$61,MATCH($B65,offices!$A$2:$A$61,0))="","",INDEX(offices!$O$2:$O$61,MATCH($B65,offices!$A$2:$A$61,0))),""))</f>
        <v>SAMPLE Union Food Fund</v>
      </c>
      <c r="L65" s="30" t="n">
        <f aca="false">IF($A65="","",IF($Q65="N","",COUNTIFS($A$2:$A65,$A65,$Q$2:$Q65,"&lt;&gt;N")))</f>
        <v>4</v>
      </c>
      <c r="M65" s="30" t="str">
        <f aca="false">IF(OR($A65="",$L65=""),"",IF(AND(config!$B$34="names_if_public",IFERROR(IF(INDEX(offices!$AG$2:$AG$61,MATCH($B65,offices!$A$2:$A$61,0))="","",INDEX(offices!$AG$2:$AG$61,MATCH($B65,offices!$A$2:$A$61,0))),"")="Y"),$K65,CHAR(64+$L65)))</f>
        <v>D</v>
      </c>
      <c r="N65" s="30" t="n">
        <f aca="false">IF(OR($A65="",$I65=""),"",COUNTIFS(stops!$B$2:$B$151,$B65,stops!$P$2:$P$151,"&lt;"&amp;$I65,stops!$L$2:$L$151,"&lt;&gt;not_delivered")+1)</f>
        <v>4</v>
      </c>
      <c r="O65" s="30" t="str">
        <f aca="false">IF($A65="","",IF(N($N65)&lt;=config!$B$29,"explicit","opt-out"))</f>
        <v>opt-out</v>
      </c>
      <c r="P65" s="30" t="str">
        <f aca="false">IF($A65="","",IF($O65="explicit",IF($D65="yes","Y",IF($D65="no","N","pending")),IF($D65="no","N",IF(AND($C65&lt;&gt;"",$I65&lt;&gt;"",$C65&lt;=WORKDAY(N($I65),-5,calendar!$A$2:$A$80)),"Y","pending"))))</f>
        <v>Y</v>
      </c>
      <c r="Q65" s="30" t="str">
        <f aca="false">IF($A65="","",IF($P65="N","N",IF($P65&lt;&gt;"Y","pending",IF(AND((COUNTIFS(stops!$A$2:$A$151,$H65,stops!$B$2:$B$151,$B65,stops!$L$2:$L$151,"declined")+COUNTIFS(stops!$A$2:$A$151,$H65,stops!$B$2:$B$151,$B65,stops!$L$2:$L$151,"building_refused")+COUNTIFS(stops!$A$2:$A$151,$H65,stops!$B$2:$B$151,$B65,stops!$L$2:$L$151,"not_delivered"))&gt;0,N($U65)=0),"N","Y"))))</f>
        <v>Y</v>
      </c>
      <c r="R65" s="30" t="str">
        <f aca="false">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30" t="n">
        <f aca="false">IF($A65="","",IF($G65&lt;&gt;"",$G65,IFERROR(IF(INDEX(offices!$AM$2:$AM$61,MATCH($B65,offices!$A$2:$A$61,0))="","",INDEX(offices!$AM$2:$AM$61,MATCH($B65,offices!$A$2:$A$61,0))),"")))</f>
        <v>50</v>
      </c>
      <c r="T65" s="30" t="str">
        <f aca="false">IF($A65="","",$A65&amp;"."&amp;$B65)</f>
        <v>SAMPLE-CMP-008.SAMPLE-O-004</v>
      </c>
      <c r="U65" s="30" t="n">
        <f aca="false">IF($A65="","",SUMIFS(inventory!$G$2:$G$801,inventory!$C$2:$C$801,$A65,inventory!$D$2:$D$801,$B65,inventory!$E$2:$E$801,"delivered"))</f>
        <v>50</v>
      </c>
      <c r="V65" s="37" t="n">
        <f aca="false">IF($A65="","",IFERROR(1/(1/SUMPRODUCT(MAX((inventory!$C$2:$C$801=$A65)*(inventory!$D$2:$D$801=$B65)*(inventory!$E$2:$E$801="delivered")*(inventory!$A$2:$A$801+inventory!$B$2:$B$801)))),""))</f>
        <v>46469.4263888889</v>
      </c>
      <c r="W65" s="30" t="str">
        <f aca="false">IF($A65="","",IFERROR(IF(INDEX(inventory!$J$2:$J$801,MATCH($A65&amp;"|"&amp;$B65&amp;"|delivered",inventory!$R$2:$R$801,0))="","",INDEX(inventory!$J$2:$J$801,MATCH($A65&amp;"|"&amp;$B65&amp;"|delivered",inventory!$R$2:$R$801,0))),""))</f>
        <v>office_count</v>
      </c>
      <c r="X65" s="30" t="str">
        <f aca="false">IF($A65="","",IFERROR(IF(INDEX(photos!$H$2:$H$701,MATCH($A65&amp;"|"&amp;$B65&amp;"|placement|Y",photos!$R$2:$R$701,0))="","",INDEX(photos!$H$2:$H$701,MATCH($A65&amp;"|"&amp;$B65&amp;"|placement|Y",photos!$R$2:$R$701,0))),""))</f>
        <v>SAMPLE-CMP-008_SAMPLE-O-004_placement_2027-03-23.jpg</v>
      </c>
      <c r="Y65" s="31" t="n">
        <f aca="false">IF($A65="","",IFERROR(IF(INDEX(photos!$E$2:$E$701,MATCH($A65&amp;"|"&amp;$B65&amp;"|placement|Y",photos!$R$2:$R$701,0))="","",INDEX(photos!$E$2:$E$701,MATCH($A65&amp;"|"&amp;$B65&amp;"|placement|Y",photos!$R$2:$R$701,0))),""))</f>
        <v>46469</v>
      </c>
      <c r="Z65" s="30" t="n">
        <f aca="false">IF($A65="","",IF(COUNTIFS(counts!$C$2:$C$701,$A65,counts!$D$2:$D$701,$B65,counts!$E$2:$E$701,"placed")=0,"",SUMIFS(counts!$F$2:$F$701,counts!$C$2:$C$701,$A65,counts!$D$2:$D$701,$B65,counts!$E$2:$E$701,"placed")))</f>
        <v>50</v>
      </c>
      <c r="AA65" s="30" t="n">
        <f aca="false">IF($A65="","",IF($Y65="",0,N($Z65)))</f>
        <v>50</v>
      </c>
      <c r="AB65" s="30" t="str">
        <f aca="false">IF($A65="","",IF(OR($Y65="",$I65=""),"N",IF($Y65&lt;=WORKDAY(N($I65),1,calendar!$A$2:$A$80),"Y","N")))</f>
        <v>Y</v>
      </c>
      <c r="AC65" s="33" t="n">
        <f aca="false">IF(OR($A65="",$V65="",$Y65=""),"",ROUND(($Y65+N(IFERROR(IF(INDEX(photos!$F$2:$F$701,MATCH($A65&amp;"|"&amp;$B65&amp;"|placement|Y",photos!$R$2:$R$701,0))="","",INDEX(photos!$F$2:$F$701,MATCH($A65&amp;"|"&amp;$B65&amp;"|placement|Y",photos!$R$2:$R$701,0))),""))-$V65)*24,1))</f>
        <v>2.8</v>
      </c>
      <c r="AD65" s="30" t="n">
        <f aca="false">IF($A65="","",SUMIFS(inventory!$G$2:$G$801,inventory!$C$2:$C$801,$A65,inventory!$D$2:$D$801,$B65,inventory!$E$2:$E$801,"topped_up"))</f>
        <v>0</v>
      </c>
      <c r="AE65" s="30" t="n">
        <f aca="false">IF($A65="","",IF(COUNTIFS(counts!$C$2:$C$701,$A65,counts!$D$2:$D$701,$B65,counts!$E$2:$E$701,"remaining_day3")=0,"",SUMIFS(counts!$F$2:$F$701,counts!$C$2:$C$701,$A65,counts!$D$2:$D$701,$B65,counts!$E$2:$E$701,"remaining_day3")))</f>
        <v>10</v>
      </c>
      <c r="AF65" s="30" t="n">
        <f aca="false">IF($A65="","",IF(COUNTIFS(counts!$C$2:$C$701,$A65,counts!$D$2:$D$701,$B65,counts!$E$2:$E$701,"remaining_day5")=0,"",SUMIFS(counts!$F$2:$F$701,counts!$C$2:$C$701,$A65,counts!$D$2:$D$701,$B65,counts!$E$2:$E$701,"remaining_day5")))</f>
        <v>1</v>
      </c>
      <c r="AG65" s="30" t="n">
        <f aca="false">IF(OR($A65="",$AF65=""),"",MAX(0,$AA65+$AD65-$AF65))</f>
        <v>49</v>
      </c>
      <c r="AH65" s="30" t="str">
        <f aca="false">IF(OR($A65="",$AI65=""),"",IFERROR(IF(INDEX(photos!$H$2:$H$701,MATCH($A65&amp;"|"&amp;$B65&amp;"|later|Y|"&amp;$AI65,photos!$S$2:$S$701,0))="","",INDEX(photos!$H$2:$H$701,MATCH($A65&amp;"|"&amp;$B65&amp;"|later|Y|"&amp;$AI65,photos!$S$2:$S$701,0))),""))</f>
        <v>SAMPLE-CMP-008_SAMPLE-O-004_later_2027-03-29.jpg</v>
      </c>
      <c r="AI65" s="31" t="n">
        <f aca="false">IF($A65="","",IFERROR(1/(1/SUMPRODUCT(MAX((photos!$B$2:$B$701=$A65)*(photos!$C$2:$C$701=$B65)*(photos!$D$2:$D$701="later")*(photos!$O$2:$O$701="Y")*photos!$E$2:$E$701))),""))</f>
        <v>46475</v>
      </c>
      <c r="AJ65" s="30" t="n">
        <f aca="false">IF(OR($A65="",$AI65="",$I65=""),"",NETWORKDAYS($I65,$AI65,calendar!$A$2:$A$80))</f>
        <v>5</v>
      </c>
      <c r="AK65" s="30" t="str">
        <f aca="false">IF($A65="","",IF(AND($X65&lt;&gt;"",$AH65&lt;&gt;""),"Y","N"))</f>
        <v>Y</v>
      </c>
      <c r="AL65" s="30" t="n">
        <f aca="true">IF(OR($A65="",$I65=""),"",IF($BC65="Y",SUMIFS(survey_frozen!$C$2:$C$251,survey_frozen!$P$2:$P$251,$A65&amp;"|"&amp;$B65),IFERROR(COUNTIFS(INDIRECT("'"&amp;$A65&amp;"'!$B$2:$B$501"),$T65,INDIRECT("'"&amp;$A65&amp;"'!$A$2:$A$501"),"&gt;="&amp;$I65,INDIRECT("'"&amp;$A65&amp;"'!$A$2:$A$501"),"&lt;"&amp;($BA65+1)),0)))</f>
        <v>7</v>
      </c>
      <c r="AM65" s="30" t="n">
        <f aca="true">IF(OR($A65="",$I65=""),"",IF($BC65="Y",SUMIFS(survey_frozen!$D$2:$D$251,survey_frozen!$P$2:$P$251,$A65&amp;"|"&amp;$B65),IFERROR(COUNTIFS(INDIRECT("'"&amp;$A65&amp;"'!$B$2:$B$501"),$T65,INDIRECT("'"&amp;$A65&amp;"'!$A$2:$A$501"),"&gt;="&amp;$I65,INDIRECT("'"&amp;$A65&amp;"'!$A$2:$A$501"),"&lt;"&amp;($BA65+1),INDIRECT("'"&amp;$A65&amp;"'!$C$2:$C$501"),"Yes"),0)))</f>
        <v>5</v>
      </c>
      <c r="AN65" s="30" t="n">
        <f aca="false">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8</v>
      </c>
      <c r="AO65" s="30" t="n">
        <f aca="false">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11</v>
      </c>
      <c r="AP65" s="30" t="str">
        <f aca="true">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30" t="n">
        <f aca="true">IF(OR($A65="",$I65=""),"",IF($BC65="Y",SUMIFS(survey_frozen!$E$2:$E$251,survey_frozen!$P$2:$P$251,$A65&amp;"|"&amp;$B65),IFERROR(COUNTIFS(INDIRECT("'"&amp;$A65&amp;"'!$B$2:$B$501"),$T65,INDIRECT("'"&amp;$A65&amp;"'!$A$2:$A$501"),"&gt;="&amp;$I65,INDIRECT("'"&amp;$A65&amp;"'!$A$2:$A$501"),"&lt;"&amp;($BA65+1),INDIRECT("'"&amp;$A65&amp;"'!$F$2:$F$501"),"Didn't see it"),0)))</f>
        <v>0</v>
      </c>
      <c r="AR65" s="30" t="n">
        <f aca="true">IF(OR($A65="",$I65=""),"",IF($BC65="Y",SUMIFS(survey_frozen!$F$2:$F$251,survey_frozen!$P$2:$P$251,$A65&amp;"|"&amp;$B65),IFERROR(COUNTIFS(INDIRECT("'"&amp;$A65&amp;"'!$B$2:$B$501"),$T65,INDIRECT("'"&amp;$A65&amp;"'!$A$2:$A$501"),"&gt;="&amp;$I65,INDIRECT("'"&amp;$A65&amp;"'!$A$2:$A$501"),"&lt;"&amp;($BA65+1),INDIRECT("'"&amp;$A65&amp;"'!$F$2:$F$501"),"Not for me"),0)))</f>
        <v>2</v>
      </c>
      <c r="AS65" s="30" t="n">
        <f aca="true">IF(OR($A65="",$I65=""),"",IF($BC65="Y",SUMIFS(survey_frozen!$G$2:$G$251,survey_frozen!$P$2:$P$251,$A65&amp;"|"&amp;$B65),IFERROR(COUNTIFS(INDIRECT("'"&amp;$A65&amp;"'!$B$2:$B$501"),$T65,INDIRECT("'"&amp;$A65&amp;"'!$A$2:$A$501"),"&gt;="&amp;$I65,INDIRECT("'"&amp;$A65&amp;"'!$A$2:$A$501"),"&lt;"&amp;($BA65+1),INDIRECT("'"&amp;$A65&amp;"'!$F$2:$F$501"),"Gone by the time I looked"),0)))</f>
        <v>0</v>
      </c>
      <c r="AT65" s="30" t="n">
        <f aca="true">IF(OR($A65="",$I65=""),"",IF($BC65="Y",SUMIFS(survey_frozen!$H$2:$H$251,survey_frozen!$P$2:$P$251,$A65&amp;"|"&amp;$B65),IFERROR(COUNTIFS(INDIRECT("'"&amp;$A65&amp;"'!$B$2:$B$501"),$T65,INDIRECT("'"&amp;$A65&amp;"'!$A$2:$A$501"),"&gt;="&amp;$I65,INDIRECT("'"&amp;$A65&amp;"'!$A$2:$A$501"),"&lt;"&amp;($BA65+1),INDIRECT("'"&amp;$A65&amp;"'!$D$2:$D$501"),"&gt;=1"),0)))</f>
        <v>5</v>
      </c>
      <c r="AU65" s="30" t="n">
        <f aca="true">IF(OR($A65="",$I65=""),"",IF($BC65="Y",SUMIFS(survey_frozen!$I$2:$I$251,survey_frozen!$P$2:$P$251,$A65&amp;"|"&amp;$B65),IFERROR(SUMIFS(INDIRECT("'"&amp;$A65&amp;"'!$D$2:$D$501"),INDIRECT("'"&amp;$A65&amp;"'!$B$2:$B$501"),$T65,INDIRECT("'"&amp;$A65&amp;"'!$A$2:$A$501"),"&gt;="&amp;$I65,INDIRECT("'"&amp;$A65&amp;"'!$A$2:$A$501"),"&lt;"&amp;($BA65+1)),0)))</f>
        <v>24</v>
      </c>
      <c r="AV65" s="30" t="n">
        <f aca="true">IF(OR($A65="",$I65=""),"",IF($BC65="Y",SUMIFS(survey_frozen!$J$2:$J$251,survey_frozen!$P$2:$P$251,$A65&amp;"|"&amp;$B65),IFERROR(COUNTIFS(INDIRECT("'"&amp;$A65&amp;"'!$B$2:$B$501"),$T65,INDIRECT("'"&amp;$A65&amp;"'!$A$2:$A$501"),"&gt;="&amp;$I65,INDIRECT("'"&amp;$A65&amp;"'!$A$2:$A$501"),"&lt;"&amp;($BA65+1),INDIRECT("'"&amp;$A65&amp;"'!$E$2:$E$501"),"Yes"),0)))</f>
        <v>1</v>
      </c>
      <c r="AW65" s="30" t="n">
        <f aca="true">IF(OR($A65="",$I65=""),"",IF($BC65="Y",SUMIFS(survey_frozen!$K$2:$K$251,survey_frozen!$P$2:$P$251,$A65&amp;"|"&amp;$B65),IFERROR(COUNTIFS(INDIRECT("'"&amp;$A65&amp;"'!$B$2:$B$501"),$T65,INDIRECT("'"&amp;$A65&amp;"'!$A$2:$A$501"),"&gt;="&amp;$I65,INDIRECT("'"&amp;$A65&amp;"'!$A$2:$A$501"),"&lt;"&amp;($BA65+1),INDIRECT("'"&amp;$A65&amp;"'!$E$2:$E$501"),"Maybe"),0)))</f>
        <v>3</v>
      </c>
      <c r="AX65" s="30" t="n">
        <f aca="true">IF(OR($A65="",$I65=""),"",IF($BC65="Y",SUMIFS(survey_frozen!$L$2:$L$251,survey_frozen!$P$2:$P$251,$A65&amp;"|"&amp;$B65),IFERROR(COUNTIFS(INDIRECT("'"&amp;$A65&amp;"'!$B$2:$B$501"),$T65,INDIRECT("'"&amp;$A65&amp;"'!$A$2:$A$501"),"&gt;="&amp;$I65,INDIRECT("'"&amp;$A65&amp;"'!$A$2:$A$501"),"&lt;"&amp;($BA65+1),INDIRECT("'"&amp;$A65&amp;"'!$E$2:$E$501"),"No"),0)))</f>
        <v>1</v>
      </c>
      <c r="AY65" s="30" t="n">
        <f aca="true">IF(OR($A65="",$I65=""),"",IF($BC65="Y",SUMIFS(survey_frozen!$M$2:$M$251,survey_frozen!$P$2:$P$251,$A65&amp;"|"&amp;$B65),IFERROR(COUNTIFS(INDIRECT("'"&amp;$A65&amp;"'!$B$2:$B$501"),$T65,INDIRECT("'"&amp;$A65&amp;"'!$A$2:$A$501"),"&gt;="&amp;$I65,INDIRECT("'"&amp;$A65&amp;"'!$A$2:$A$501"),"&lt;"&amp;($BA65+1),INDIRECT("'"&amp;$A65&amp;"'!$G$2:$G$501"),"&lt;&gt;"),0)))</f>
        <v>2</v>
      </c>
      <c r="AZ65" s="30" t="str">
        <f aca="false">IF($A65="","",$A65&amp;"|"&amp;$L65)</f>
        <v>SAMPLE-CMP-008|4</v>
      </c>
      <c r="BA65" s="31" t="n">
        <f aca="false">IF($A65="","",IFERROR(IF(INDEX(drops!$R$2:$R$21,MATCH($H65,drops!$A$2:$A$21,0))="","",INDEX(drops!$R$2:$R$21,MATCH($H65,drops!$A$2:$A$21,0))),""))</f>
        <v>46475</v>
      </c>
      <c r="BB65" s="30" t="n">
        <f aca="false">IF(OR($A65="",$Q65&lt;&gt;"Y"),1000000,N($AL65))</f>
        <v>7</v>
      </c>
      <c r="BC65" s="30" t="str">
        <f aca="false">IF($A65="","",IF(COUNTIF(survey_frozen!$P$2:$P$251,$A65&amp;"|"&amp;$B65)&gt;0,"Y",""))</f>
        <v/>
      </c>
      <c r="BD65" s="30" t="str">
        <f aca="false">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ustomFormat="false" ht="15" hidden="false" customHeight="false" outlineLevel="0" collapsed="false">
      <c r="A66" s="0" t="s">
        <v>584</v>
      </c>
      <c r="B66" s="0" t="s">
        <v>688</v>
      </c>
      <c r="C66" s="11" t="n">
        <v>46442</v>
      </c>
      <c r="D66" s="10"/>
      <c r="E66" s="11"/>
      <c r="H66" s="30" t="str">
        <f aca="false">IF($A66="","",IFERROR(IF(INDEX(campaigns!$B$2:$B$51,MATCH($A66,campaigns!$A$2:$A$51,0))="","",INDEX(campaigns!$B$2:$B$51,MATCH($A66,campaigns!$A$2:$A$51,0))),""))</f>
        <v>SAMPLE-DRP-004</v>
      </c>
      <c r="I66" s="31" t="n">
        <f aca="false">IF($A66="","",IFERROR(IF(INDEX(campaigns!$BG$2:$BG$51,MATCH($A66,campaigns!$A$2:$A$51,0))="","",INDEX(campaigns!$BG$2:$BG$51,MATCH($A66,campaigns!$A$2:$A$51,0))),""))</f>
        <v>46469</v>
      </c>
      <c r="J66" s="30" t="str">
        <f aca="false">IF($A66="","",IFERROR(IF(INDEX(campaigns!$BE$2:$BE$51,MATCH($A66,campaigns!$A$2:$A$51,0))="","",INDEX(campaigns!$BE$2:$BE$51,MATCH($A66,campaigns!$A$2:$A$51,0))),""))</f>
        <v>SAMPLE Tallgrass</v>
      </c>
      <c r="K66" s="30" t="str">
        <f aca="false">IF($B66="","",IFERROR(IF(INDEX(offices!$O$2:$O$61,MATCH($B66,offices!$A$2:$A$61,0))="","",INDEX(offices!$O$2:$O$61,MATCH($B66,offices!$A$2:$A$61,0))),""))</f>
        <v>SAMPLE Studio Marlow</v>
      </c>
      <c r="L66" s="30" t="n">
        <f aca="false">IF($A66="","",IF($Q66="N","",COUNTIFS($A$2:$A66,$A66,$Q$2:$Q66,"&lt;&gt;N")))</f>
        <v>5</v>
      </c>
      <c r="M66" s="30" t="str">
        <f aca="false">IF(OR($A66="",$L66=""),"",IF(AND(config!$B$34="names_if_public",IFERROR(IF(INDEX(offices!$AG$2:$AG$61,MATCH($B66,offices!$A$2:$A$61,0))="","",INDEX(offices!$AG$2:$AG$61,MATCH($B66,offices!$A$2:$A$61,0))),"")="Y"),$K66,CHAR(64+$L66)))</f>
        <v>E</v>
      </c>
      <c r="N66" s="30" t="n">
        <f aca="false">IF(OR($A66="",$I66=""),"",COUNTIFS(stops!$B$2:$B$151,$B66,stops!$P$2:$P$151,"&lt;"&amp;$I66,stops!$L$2:$L$151,"&lt;&gt;not_delivered")+1)</f>
        <v>4</v>
      </c>
      <c r="O66" s="30" t="str">
        <f aca="false">IF($A66="","",IF(N($N66)&lt;=config!$B$29,"explicit","opt-out"))</f>
        <v>opt-out</v>
      </c>
      <c r="P66" s="30" t="str">
        <f aca="false">IF($A66="","",IF($O66="explicit",IF($D66="yes","Y",IF($D66="no","N","pending")),IF($D66="no","N",IF(AND($C66&lt;&gt;"",$I66&lt;&gt;"",$C66&lt;=WORKDAY(N($I66),-5,calendar!$A$2:$A$80)),"Y","pending"))))</f>
        <v>Y</v>
      </c>
      <c r="Q66" s="30" t="str">
        <f aca="false">IF($A66="","",IF($P66="N","N",IF($P66&lt;&gt;"Y","pending",IF(AND((COUNTIFS(stops!$A$2:$A$151,$H66,stops!$B$2:$B$151,$B66,stops!$L$2:$L$151,"declined")+COUNTIFS(stops!$A$2:$A$151,$H66,stops!$B$2:$B$151,$B66,stops!$L$2:$L$151,"building_refused")+COUNTIFS(stops!$A$2:$A$151,$H66,stops!$B$2:$B$151,$B66,stops!$L$2:$L$151,"not_delivered"))&gt;0,N($U66)=0),"N","Y"))))</f>
        <v>Y</v>
      </c>
      <c r="R66" s="30" t="str">
        <f aca="false">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30" t="n">
        <f aca="false">IF($A66="","",IF($G66&lt;&gt;"",$G66,IFERROR(IF(INDEX(offices!$AM$2:$AM$61,MATCH($B66,offices!$A$2:$A$61,0))="","",INDEX(offices!$AM$2:$AM$61,MATCH($B66,offices!$A$2:$A$61,0))),"")))</f>
        <v>70</v>
      </c>
      <c r="T66" s="30" t="str">
        <f aca="false">IF($A66="","",$A66&amp;"."&amp;$B66)</f>
        <v>SAMPLE-CMP-008.SAMPLE-O-005</v>
      </c>
      <c r="U66" s="30" t="n">
        <f aca="false">IF($A66="","",SUMIFS(inventory!$G$2:$G$801,inventory!$C$2:$C$801,$A66,inventory!$D$2:$D$801,$B66,inventory!$E$2:$E$801,"delivered"))</f>
        <v>70</v>
      </c>
      <c r="V66" s="37" t="n">
        <f aca="false">IF($A66="","",IFERROR(1/(1/SUMPRODUCT(MAX((inventory!$C$2:$C$801=$A66)*(inventory!$D$2:$D$801=$B66)*(inventory!$E$2:$E$801="delivered")*(inventory!$A$2:$A$801+inventory!$B$2:$B$801)))),""))</f>
        <v>46469.4270833333</v>
      </c>
      <c r="W66" s="30" t="str">
        <f aca="false">IF($A66="","",IFERROR(IF(INDEX(inventory!$J$2:$J$801,MATCH($A66&amp;"|"&amp;$B66&amp;"|delivered",inventory!$R$2:$R$801,0))="","",INDEX(inventory!$J$2:$J$801,MATCH($A66&amp;"|"&amp;$B66&amp;"|delivered",inventory!$R$2:$R$801,0))),""))</f>
        <v>office_count</v>
      </c>
      <c r="X66" s="30" t="str">
        <f aca="false">IF($A66="","",IFERROR(IF(INDEX(photos!$H$2:$H$701,MATCH($A66&amp;"|"&amp;$B66&amp;"|placement|Y",photos!$R$2:$R$701,0))="","",INDEX(photos!$H$2:$H$701,MATCH($A66&amp;"|"&amp;$B66&amp;"|placement|Y",photos!$R$2:$R$701,0))),""))</f>
        <v>SAMPLE-CMP-008_SAMPLE-O-005_placement_2027-03-23.jpg</v>
      </c>
      <c r="Y66" s="31" t="n">
        <f aca="false">IF($A66="","",IFERROR(IF(INDEX(photos!$E$2:$E$701,MATCH($A66&amp;"|"&amp;$B66&amp;"|placement|Y",photos!$R$2:$R$701,0))="","",INDEX(photos!$E$2:$E$701,MATCH($A66&amp;"|"&amp;$B66&amp;"|placement|Y",photos!$R$2:$R$701,0))),""))</f>
        <v>46469</v>
      </c>
      <c r="Z66" s="30" t="n">
        <f aca="false">IF($A66="","",IF(COUNTIFS(counts!$C$2:$C$701,$A66,counts!$D$2:$D$701,$B66,counts!$E$2:$E$701,"placed")=0,"",SUMIFS(counts!$F$2:$F$701,counts!$C$2:$C$701,$A66,counts!$D$2:$D$701,$B66,counts!$E$2:$E$701,"placed")))</f>
        <v>70</v>
      </c>
      <c r="AA66" s="30" t="n">
        <f aca="false">IF($A66="","",IF($Y66="",0,N($Z66)))</f>
        <v>70</v>
      </c>
      <c r="AB66" s="30" t="str">
        <f aca="false">IF($A66="","",IF(OR($Y66="",$I66=""),"N",IF($Y66&lt;=WORKDAY(N($I66),1,calendar!$A$2:$A$80),"Y","N")))</f>
        <v>Y</v>
      </c>
      <c r="AC66" s="33" t="n">
        <f aca="false">IF(OR($A66="",$V66="",$Y66=""),"",ROUND(($Y66+N(IFERROR(IF(INDEX(photos!$F$2:$F$701,MATCH($A66&amp;"|"&amp;$B66&amp;"|placement|Y",photos!$R$2:$R$701,0))="","",INDEX(photos!$F$2:$F$701,MATCH($A66&amp;"|"&amp;$B66&amp;"|placement|Y",photos!$R$2:$R$701,0))),""))-$V66)*24,1))</f>
        <v>2.8</v>
      </c>
      <c r="AD66" s="30" t="n">
        <f aca="false">IF($A66="","",SUMIFS(inventory!$G$2:$G$801,inventory!$C$2:$C$801,$A66,inventory!$D$2:$D$801,$B66,inventory!$E$2:$E$801,"topped_up"))</f>
        <v>0</v>
      </c>
      <c r="AE66" s="30" t="n">
        <f aca="false">IF($A66="","",IF(COUNTIFS(counts!$C$2:$C$701,$A66,counts!$D$2:$D$701,$B66,counts!$E$2:$E$701,"remaining_day3")=0,"",SUMIFS(counts!$F$2:$F$701,counts!$C$2:$C$701,$A66,counts!$D$2:$D$701,$B66,counts!$E$2:$E$701,"remaining_day3")))</f>
        <v>22</v>
      </c>
      <c r="AF66" s="30" t="n">
        <f aca="false">IF($A66="","",IF(COUNTIFS(counts!$C$2:$C$701,$A66,counts!$D$2:$D$701,$B66,counts!$E$2:$E$701,"remaining_day5")=0,"",SUMIFS(counts!$F$2:$F$701,counts!$C$2:$C$701,$A66,counts!$D$2:$D$701,$B66,counts!$E$2:$E$701,"remaining_day5")))</f>
        <v>1</v>
      </c>
      <c r="AG66" s="30" t="n">
        <f aca="false">IF(OR($A66="",$AF66=""),"",MAX(0,$AA66+$AD66-$AF66))</f>
        <v>69</v>
      </c>
      <c r="AH66" s="30" t="str">
        <f aca="false">IF(OR($A66="",$AI66=""),"",IFERROR(IF(INDEX(photos!$H$2:$H$701,MATCH($A66&amp;"|"&amp;$B66&amp;"|later|Y|"&amp;$AI66,photos!$S$2:$S$701,0))="","",INDEX(photos!$H$2:$H$701,MATCH($A66&amp;"|"&amp;$B66&amp;"|later|Y|"&amp;$AI66,photos!$S$2:$S$701,0))),""))</f>
        <v>SAMPLE-CMP-008_SAMPLE-O-005_later_2027-03-29.jpg</v>
      </c>
      <c r="AI66" s="31" t="n">
        <f aca="false">IF($A66="","",IFERROR(1/(1/SUMPRODUCT(MAX((photos!$B$2:$B$701=$A66)*(photos!$C$2:$C$701=$B66)*(photos!$D$2:$D$701="later")*(photos!$O$2:$O$701="Y")*photos!$E$2:$E$701))),""))</f>
        <v>46475</v>
      </c>
      <c r="AJ66" s="30" t="n">
        <f aca="false">IF(OR($A66="",$AI66="",$I66=""),"",NETWORKDAYS($I66,$AI66,calendar!$A$2:$A$80))</f>
        <v>5</v>
      </c>
      <c r="AK66" s="30" t="str">
        <f aca="false">IF($A66="","",IF(AND($X66&lt;&gt;"",$AH66&lt;&gt;""),"Y","N"))</f>
        <v>Y</v>
      </c>
      <c r="AL66" s="30" t="n">
        <f aca="true">IF(OR($A66="",$I66=""),"",IF($BC66="Y",SUMIFS(survey_frozen!$C$2:$C$251,survey_frozen!$P$2:$P$251,$A66&amp;"|"&amp;$B66),IFERROR(COUNTIFS(INDIRECT("'"&amp;$A66&amp;"'!$B$2:$B$501"),$T66,INDIRECT("'"&amp;$A66&amp;"'!$A$2:$A$501"),"&gt;="&amp;$I66,INDIRECT("'"&amp;$A66&amp;"'!$A$2:$A$501"),"&lt;"&amp;($BA66+1)),0)))</f>
        <v>9</v>
      </c>
      <c r="AM66" s="30" t="n">
        <f aca="true">IF(OR($A66="",$I66=""),"",IF($BC66="Y",SUMIFS(survey_frozen!$D$2:$D$251,survey_frozen!$P$2:$P$251,$A66&amp;"|"&amp;$B66),IFERROR(COUNTIFS(INDIRECT("'"&amp;$A66&amp;"'!$B$2:$B$501"),$T66,INDIRECT("'"&amp;$A66&amp;"'!$A$2:$A$501"),"&gt;="&amp;$I66,INDIRECT("'"&amp;$A66&amp;"'!$A$2:$A$501"),"&lt;"&amp;($BA66+1),INDIRECT("'"&amp;$A66&amp;"'!$C$2:$C$501"),"Yes"),0)))</f>
        <v>7</v>
      </c>
      <c r="AN66" s="30" t="n">
        <f aca="false">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10</v>
      </c>
      <c r="AO66" s="30" t="n">
        <f aca="false">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3</v>
      </c>
      <c r="AP66" s="30" t="str">
        <f aca="true">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30" t="n">
        <f aca="true">IF(OR($A66="",$I66=""),"",IF($BC66="Y",SUMIFS(survey_frozen!$E$2:$E$251,survey_frozen!$P$2:$P$251,$A66&amp;"|"&amp;$B66),IFERROR(COUNTIFS(INDIRECT("'"&amp;$A66&amp;"'!$B$2:$B$501"),$T66,INDIRECT("'"&amp;$A66&amp;"'!$A$2:$A$501"),"&gt;="&amp;$I66,INDIRECT("'"&amp;$A66&amp;"'!$A$2:$A$501"),"&lt;"&amp;($BA66+1),INDIRECT("'"&amp;$A66&amp;"'!$F$2:$F$501"),"Didn't see it"),0)))</f>
        <v>2</v>
      </c>
      <c r="AR66" s="30" t="n">
        <f aca="true">IF(OR($A66="",$I66=""),"",IF($BC66="Y",SUMIFS(survey_frozen!$F$2:$F$251,survey_frozen!$P$2:$P$251,$A66&amp;"|"&amp;$B66),IFERROR(COUNTIFS(INDIRECT("'"&amp;$A66&amp;"'!$B$2:$B$501"),$T66,INDIRECT("'"&amp;$A66&amp;"'!$A$2:$A$501"),"&gt;="&amp;$I66,INDIRECT("'"&amp;$A66&amp;"'!$A$2:$A$501"),"&lt;"&amp;($BA66+1),INDIRECT("'"&amp;$A66&amp;"'!$F$2:$F$501"),"Not for me"),0)))</f>
        <v>0</v>
      </c>
      <c r="AS66" s="30" t="n">
        <f aca="true">IF(OR($A66="",$I66=""),"",IF($BC66="Y",SUMIFS(survey_frozen!$G$2:$G$251,survey_frozen!$P$2:$P$251,$A66&amp;"|"&amp;$B66),IFERROR(COUNTIFS(INDIRECT("'"&amp;$A66&amp;"'!$B$2:$B$501"),$T66,INDIRECT("'"&amp;$A66&amp;"'!$A$2:$A$501"),"&gt;="&amp;$I66,INDIRECT("'"&amp;$A66&amp;"'!$A$2:$A$501"),"&lt;"&amp;($BA66+1),INDIRECT("'"&amp;$A66&amp;"'!$F$2:$F$501"),"Gone by the time I looked"),0)))</f>
        <v>0</v>
      </c>
      <c r="AT66" s="30" t="n">
        <f aca="true">IF(OR($A66="",$I66=""),"",IF($BC66="Y",SUMIFS(survey_frozen!$H$2:$H$251,survey_frozen!$P$2:$P$251,$A66&amp;"|"&amp;$B66),IFERROR(COUNTIFS(INDIRECT("'"&amp;$A66&amp;"'!$B$2:$B$501"),$T66,INDIRECT("'"&amp;$A66&amp;"'!$A$2:$A$501"),"&gt;="&amp;$I66,INDIRECT("'"&amp;$A66&amp;"'!$A$2:$A$501"),"&lt;"&amp;($BA66+1),INDIRECT("'"&amp;$A66&amp;"'!$D$2:$D$501"),"&gt;=1"),0)))</f>
        <v>7</v>
      </c>
      <c r="AU66" s="30" t="n">
        <f aca="true">IF(OR($A66="",$I66=""),"",IF($BC66="Y",SUMIFS(survey_frozen!$I$2:$I$251,survey_frozen!$P$2:$P$251,$A66&amp;"|"&amp;$B66),IFERROR(SUMIFS(INDIRECT("'"&amp;$A66&amp;"'!$D$2:$D$501"),INDIRECT("'"&amp;$A66&amp;"'!$B$2:$B$501"),$T66,INDIRECT("'"&amp;$A66&amp;"'!$A$2:$A$501"),"&gt;="&amp;$I66,INDIRECT("'"&amp;$A66&amp;"'!$A$2:$A$501"),"&lt;"&amp;($BA66+1)),0)))</f>
        <v>31</v>
      </c>
      <c r="AV66" s="30" t="n">
        <f aca="true">IF(OR($A66="",$I66=""),"",IF($BC66="Y",SUMIFS(survey_frozen!$J$2:$J$251,survey_frozen!$P$2:$P$251,$A66&amp;"|"&amp;$B66),IFERROR(COUNTIFS(INDIRECT("'"&amp;$A66&amp;"'!$B$2:$B$501"),$T66,INDIRECT("'"&amp;$A66&amp;"'!$A$2:$A$501"),"&gt;="&amp;$I66,INDIRECT("'"&amp;$A66&amp;"'!$A$2:$A$501"),"&lt;"&amp;($BA66+1),INDIRECT("'"&amp;$A66&amp;"'!$E$2:$E$501"),"Yes"),0)))</f>
        <v>4</v>
      </c>
      <c r="AW66" s="30" t="n">
        <f aca="true">IF(OR($A66="",$I66=""),"",IF($BC66="Y",SUMIFS(survey_frozen!$K$2:$K$251,survey_frozen!$P$2:$P$251,$A66&amp;"|"&amp;$B66),IFERROR(COUNTIFS(INDIRECT("'"&amp;$A66&amp;"'!$B$2:$B$501"),$T66,INDIRECT("'"&amp;$A66&amp;"'!$A$2:$A$501"),"&gt;="&amp;$I66,INDIRECT("'"&amp;$A66&amp;"'!$A$2:$A$501"),"&lt;"&amp;($BA66+1),INDIRECT("'"&amp;$A66&amp;"'!$E$2:$E$501"),"Maybe"),0)))</f>
        <v>1</v>
      </c>
      <c r="AX66" s="30" t="n">
        <f aca="true">IF(OR($A66="",$I66=""),"",IF($BC66="Y",SUMIFS(survey_frozen!$L$2:$L$251,survey_frozen!$P$2:$P$251,$A66&amp;"|"&amp;$B66),IFERROR(COUNTIFS(INDIRECT("'"&amp;$A66&amp;"'!$B$2:$B$501"),$T66,INDIRECT("'"&amp;$A66&amp;"'!$A$2:$A$501"),"&gt;="&amp;$I66,INDIRECT("'"&amp;$A66&amp;"'!$A$2:$A$501"),"&lt;"&amp;($BA66+1),INDIRECT("'"&amp;$A66&amp;"'!$E$2:$E$501"),"No"),0)))</f>
        <v>2</v>
      </c>
      <c r="AY66" s="30" t="n">
        <f aca="true">IF(OR($A66="",$I66=""),"",IF($BC66="Y",SUMIFS(survey_frozen!$M$2:$M$251,survey_frozen!$P$2:$P$251,$A66&amp;"|"&amp;$B66),IFERROR(COUNTIFS(INDIRECT("'"&amp;$A66&amp;"'!$B$2:$B$501"),$T66,INDIRECT("'"&amp;$A66&amp;"'!$A$2:$A$501"),"&gt;="&amp;$I66,INDIRECT("'"&amp;$A66&amp;"'!$A$2:$A$501"),"&lt;"&amp;($BA66+1),INDIRECT("'"&amp;$A66&amp;"'!$G$2:$G$501"),"&lt;&gt;"),0)))</f>
        <v>1</v>
      </c>
      <c r="AZ66" s="30" t="str">
        <f aca="false">IF($A66="","",$A66&amp;"|"&amp;$L66)</f>
        <v>SAMPLE-CMP-008|5</v>
      </c>
      <c r="BA66" s="31" t="n">
        <f aca="false">IF($A66="","",IFERROR(IF(INDEX(drops!$R$2:$R$21,MATCH($H66,drops!$A$2:$A$21,0))="","",INDEX(drops!$R$2:$R$21,MATCH($H66,drops!$A$2:$A$21,0))),""))</f>
        <v>46475</v>
      </c>
      <c r="BB66" s="30" t="n">
        <f aca="false">IF(OR($A66="",$Q66&lt;&gt;"Y"),1000000,N($AL66))</f>
        <v>9</v>
      </c>
      <c r="BC66" s="30" t="str">
        <f aca="false">IF($A66="","",IF(COUNTIF(survey_frozen!$P$2:$P$251,$A66&amp;"|"&amp;$B66)&gt;0,"Y",""))</f>
        <v/>
      </c>
      <c r="BD66" s="30" t="str">
        <f aca="false">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ustomFormat="false" ht="15" hidden="false" customHeight="false" outlineLevel="0" collapsed="false">
      <c r="A67" s="0" t="s">
        <v>584</v>
      </c>
      <c r="B67" s="0" t="s">
        <v>690</v>
      </c>
      <c r="C67" s="11" t="n">
        <v>46442</v>
      </c>
      <c r="D67" s="10" t="s">
        <v>496</v>
      </c>
      <c r="E67" s="11" t="n">
        <v>46443</v>
      </c>
      <c r="F67" s="10" t="s">
        <v>737</v>
      </c>
      <c r="H67" s="30" t="str">
        <f aca="false">IF($A67="","",IFERROR(IF(INDEX(campaigns!$B$2:$B$51,MATCH($A67,campaigns!$A$2:$A$51,0))="","",INDEX(campaigns!$B$2:$B$51,MATCH($A67,campaigns!$A$2:$A$51,0))),""))</f>
        <v>SAMPLE-DRP-004</v>
      </c>
      <c r="I67" s="31" t="n">
        <f aca="false">IF($A67="","",IFERROR(IF(INDEX(campaigns!$BG$2:$BG$51,MATCH($A67,campaigns!$A$2:$A$51,0))="","",INDEX(campaigns!$BG$2:$BG$51,MATCH($A67,campaigns!$A$2:$A$51,0))),""))</f>
        <v>46469</v>
      </c>
      <c r="J67" s="30" t="str">
        <f aca="false">IF($A67="","",IFERROR(IF(INDEX(campaigns!$BE$2:$BE$51,MATCH($A67,campaigns!$A$2:$A$51,0))="","",INDEX(campaigns!$BE$2:$BE$51,MATCH($A67,campaigns!$A$2:$A$51,0))),""))</f>
        <v>SAMPLE Tallgrass</v>
      </c>
      <c r="K67" s="30" t="str">
        <f aca="false">IF($B67="","",IFERROR(IF(INDEX(offices!$O$2:$O$61,MATCH($B67,offices!$A$2:$A$61,0))="","",INDEX(offices!$O$2:$O$61,MATCH($B67,offices!$A$2:$A$61,0))),""))</f>
        <v>SAMPLE Kestrel Analytics</v>
      </c>
      <c r="L67" s="30" t="n">
        <f aca="false">IF($A67="","",IF($Q67="N","",COUNTIFS($A$2:$A67,$A67,$Q$2:$Q67,"&lt;&gt;N")))</f>
        <v>6</v>
      </c>
      <c r="M67" s="30" t="str">
        <f aca="false">IF(OR($A67="",$L67=""),"",IF(AND(config!$B$34="names_if_public",IFERROR(IF(INDEX(offices!$AG$2:$AG$61,MATCH($B67,offices!$A$2:$A$61,0))="","",INDEX(offices!$AG$2:$AG$61,MATCH($B67,offices!$A$2:$A$61,0))),"")="Y"),$K67,CHAR(64+$L67)))</f>
        <v>F</v>
      </c>
      <c r="N67" s="30" t="n">
        <f aca="false">IF(OR($A67="",$I67=""),"",COUNTIFS(stops!$B$2:$B$151,$B67,stops!$P$2:$P$151,"&lt;"&amp;$I67,stops!$L$2:$L$151,"&lt;&gt;not_delivered")+1)</f>
        <v>3</v>
      </c>
      <c r="O67" s="30" t="str">
        <f aca="false">IF($A67="","",IF(N($N67)&lt;=config!$B$29,"explicit","opt-out"))</f>
        <v>explicit</v>
      </c>
      <c r="P67" s="30" t="str">
        <f aca="false">IF($A67="","",IF($O67="explicit",IF($D67="yes","Y",IF($D67="no","N","pending")),IF($D67="no","N",IF(AND($C67&lt;&gt;"",$I67&lt;&gt;"",$C67&lt;=WORKDAY(N($I67),-5,calendar!$A$2:$A$80)),"Y","pending"))))</f>
        <v>Y</v>
      </c>
      <c r="Q67" s="30" t="str">
        <f aca="false">IF($A67="","",IF($P67="N","N",IF($P67&lt;&gt;"Y","pending",IF(AND((COUNTIFS(stops!$A$2:$A$151,$H67,stops!$B$2:$B$151,$B67,stops!$L$2:$L$151,"declined")+COUNTIFS(stops!$A$2:$A$151,$H67,stops!$B$2:$B$151,$B67,stops!$L$2:$L$151,"building_refused")+COUNTIFS(stops!$A$2:$A$151,$H67,stops!$B$2:$B$151,$B67,stops!$L$2:$L$151,"not_delivered"))&gt;0,N($U67)=0),"N","Y"))))</f>
        <v>Y</v>
      </c>
      <c r="R67" s="30" t="str">
        <f aca="false">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30" t="n">
        <f aca="false">IF($A67="","",IF($G67&lt;&gt;"",$G67,IFERROR(IF(INDEX(offices!$AM$2:$AM$61,MATCH($B67,offices!$A$2:$A$61,0))="","",INDEX(offices!$AM$2:$AM$61,MATCH($B67,offices!$A$2:$A$61,0))),"")))</f>
        <v>45</v>
      </c>
      <c r="T67" s="30" t="str">
        <f aca="false">IF($A67="","",$A67&amp;"."&amp;$B67)</f>
        <v>SAMPLE-CMP-008.SAMPLE-O-006</v>
      </c>
      <c r="U67" s="30" t="n">
        <f aca="false">IF($A67="","",SUMIFS(inventory!$G$2:$G$801,inventory!$C$2:$C$801,$A67,inventory!$D$2:$D$801,$B67,inventory!$E$2:$E$801,"delivered"))</f>
        <v>45</v>
      </c>
      <c r="V67" s="37" t="n">
        <f aca="false">IF($A67="","",IFERROR(1/(1/SUMPRODUCT(MAX((inventory!$C$2:$C$801=$A67)*(inventory!$D$2:$D$801=$B67)*(inventory!$E$2:$E$801="delivered")*(inventory!$A$2:$A$801+inventory!$B$2:$B$801)))),""))</f>
        <v>46469.4277777778</v>
      </c>
      <c r="W67" s="30" t="str">
        <f aca="false">IF($A67="","",IFERROR(IF(INDEX(inventory!$J$2:$J$801,MATCH($A67&amp;"|"&amp;$B67&amp;"|delivered",inventory!$R$2:$R$801,0))="","",INDEX(inventory!$J$2:$J$801,MATCH($A67&amp;"|"&amp;$B67&amp;"|delivered",inventory!$R$2:$R$801,0))),""))</f>
        <v>office_count</v>
      </c>
      <c r="X67" s="30" t="str">
        <f aca="false">IF($A67="","",IFERROR(IF(INDEX(photos!$H$2:$H$701,MATCH($A67&amp;"|"&amp;$B67&amp;"|placement|Y",photos!$R$2:$R$701,0))="","",INDEX(photos!$H$2:$H$701,MATCH($A67&amp;"|"&amp;$B67&amp;"|placement|Y",photos!$R$2:$R$701,0))),""))</f>
        <v>SAMPLE-CMP-008_SAMPLE-O-006_placement_2027-03-23.jpg</v>
      </c>
      <c r="Y67" s="31" t="n">
        <f aca="false">IF($A67="","",IFERROR(IF(INDEX(photos!$E$2:$E$701,MATCH($A67&amp;"|"&amp;$B67&amp;"|placement|Y",photos!$R$2:$R$701,0))="","",INDEX(photos!$E$2:$E$701,MATCH($A67&amp;"|"&amp;$B67&amp;"|placement|Y",photos!$R$2:$R$701,0))),""))</f>
        <v>46469</v>
      </c>
      <c r="Z67" s="30" t="n">
        <f aca="false">IF($A67="","",IF(COUNTIFS(counts!$C$2:$C$701,$A67,counts!$D$2:$D$701,$B67,counts!$E$2:$E$701,"placed")=0,"",SUMIFS(counts!$F$2:$F$701,counts!$C$2:$C$701,$A67,counts!$D$2:$D$701,$B67,counts!$E$2:$E$701,"placed")))</f>
        <v>45</v>
      </c>
      <c r="AA67" s="30" t="n">
        <f aca="false">IF($A67="","",IF($Y67="",0,N($Z67)))</f>
        <v>45</v>
      </c>
      <c r="AB67" s="30" t="str">
        <f aca="false">IF($A67="","",IF(OR($Y67="",$I67=""),"N",IF($Y67&lt;=WORKDAY(N($I67),1,calendar!$A$2:$A$80),"Y","N")))</f>
        <v>Y</v>
      </c>
      <c r="AC67" s="33" t="n">
        <f aca="false">IF(OR($A67="",$V67="",$Y67=""),"",ROUND(($Y67+N(IFERROR(IF(INDEX(photos!$F$2:$F$701,MATCH($A67&amp;"|"&amp;$B67&amp;"|placement|Y",photos!$R$2:$R$701,0))="","",INDEX(photos!$F$2:$F$701,MATCH($A67&amp;"|"&amp;$B67&amp;"|placement|Y",photos!$R$2:$R$701,0))),""))-$V67)*24,1))</f>
        <v>2.7</v>
      </c>
      <c r="AD67" s="30" t="n">
        <f aca="false">IF($A67="","",SUMIFS(inventory!$G$2:$G$801,inventory!$C$2:$C$801,$A67,inventory!$D$2:$D$801,$B67,inventory!$E$2:$E$801,"topped_up"))</f>
        <v>0</v>
      </c>
      <c r="AE67" s="30" t="n">
        <f aca="false">IF($A67="","",IF(COUNTIFS(counts!$C$2:$C$701,$A67,counts!$D$2:$D$701,$B67,counts!$E$2:$E$701,"remaining_day3")=0,"",SUMIFS(counts!$F$2:$F$701,counts!$C$2:$C$701,$A67,counts!$D$2:$D$701,$B67,counts!$E$2:$E$701,"remaining_day3")))</f>
        <v>19</v>
      </c>
      <c r="AF67" s="30" t="n">
        <f aca="false">IF($A67="","",IF(COUNTIFS(counts!$C$2:$C$701,$A67,counts!$D$2:$D$701,$B67,counts!$E$2:$E$701,"remaining_day5")=0,"",SUMIFS(counts!$F$2:$F$701,counts!$C$2:$C$701,$A67,counts!$D$2:$D$701,$B67,counts!$E$2:$E$701,"remaining_day5")))</f>
        <v>4</v>
      </c>
      <c r="AG67" s="30" t="n">
        <f aca="false">IF(OR($A67="",$AF67=""),"",MAX(0,$AA67+$AD67-$AF67))</f>
        <v>41</v>
      </c>
      <c r="AH67" s="30" t="str">
        <f aca="false">IF(OR($A67="",$AI67=""),"",IFERROR(IF(INDEX(photos!$H$2:$H$701,MATCH($A67&amp;"|"&amp;$B67&amp;"|later|Y|"&amp;$AI67,photos!$S$2:$S$701,0))="","",INDEX(photos!$H$2:$H$701,MATCH($A67&amp;"|"&amp;$B67&amp;"|later|Y|"&amp;$AI67,photos!$S$2:$S$701,0))),""))</f>
        <v>SAMPLE-CMP-008_SAMPLE-O-006_later_2027-03-29.jpg</v>
      </c>
      <c r="AI67" s="31" t="n">
        <f aca="false">IF($A67="","",IFERROR(1/(1/SUMPRODUCT(MAX((photos!$B$2:$B$701=$A67)*(photos!$C$2:$C$701=$B67)*(photos!$D$2:$D$701="later")*(photos!$O$2:$O$701="Y")*photos!$E$2:$E$701))),""))</f>
        <v>46475</v>
      </c>
      <c r="AJ67" s="30" t="n">
        <f aca="false">IF(OR($A67="",$AI67="",$I67=""),"",NETWORKDAYS($I67,$AI67,calendar!$A$2:$A$80))</f>
        <v>5</v>
      </c>
      <c r="AK67" s="30" t="str">
        <f aca="false">IF($A67="","",IF(AND($X67&lt;&gt;"",$AH67&lt;&gt;""),"Y","N"))</f>
        <v>Y</v>
      </c>
      <c r="AL67" s="30" t="n">
        <f aca="true">IF(OR($A67="",$I67=""),"",IF($BC67="Y",SUMIFS(survey_frozen!$C$2:$C$251,survey_frozen!$P$2:$P$251,$A67&amp;"|"&amp;$B67),IFERROR(COUNTIFS(INDIRECT("'"&amp;$A67&amp;"'!$B$2:$B$501"),$T67,INDIRECT("'"&amp;$A67&amp;"'!$A$2:$A$501"),"&gt;="&amp;$I67,INDIRECT("'"&amp;$A67&amp;"'!$A$2:$A$501"),"&lt;"&amp;($BA67+1)),0)))</f>
        <v>6</v>
      </c>
      <c r="AM67" s="30" t="n">
        <f aca="true">IF(OR($A67="",$I67=""),"",IF($BC67="Y",SUMIFS(survey_frozen!$D$2:$D$251,survey_frozen!$P$2:$P$251,$A67&amp;"|"&amp;$B67),IFERROR(COUNTIFS(INDIRECT("'"&amp;$A67&amp;"'!$B$2:$B$501"),$T67,INDIRECT("'"&amp;$A67&amp;"'!$A$2:$A$501"),"&gt;="&amp;$I67,INDIRECT("'"&amp;$A67&amp;"'!$A$2:$A$501"),"&lt;"&amp;($BA67+1),INDIRECT("'"&amp;$A67&amp;"'!$C$2:$C$501"),"Yes"),0)))</f>
        <v>3</v>
      </c>
      <c r="AN67" s="30" t="n">
        <f aca="false">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12</v>
      </c>
      <c r="AO67" s="30" t="n">
        <f aca="false">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5</v>
      </c>
      <c r="AP67" s="30" t="str">
        <f aca="true">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30" t="n">
        <f aca="true">IF(OR($A67="",$I67=""),"",IF($BC67="Y",SUMIFS(survey_frozen!$E$2:$E$251,survey_frozen!$P$2:$P$251,$A67&amp;"|"&amp;$B67),IFERROR(COUNTIFS(INDIRECT("'"&amp;$A67&amp;"'!$B$2:$B$501"),$T67,INDIRECT("'"&amp;$A67&amp;"'!$A$2:$A$501"),"&gt;="&amp;$I67,INDIRECT("'"&amp;$A67&amp;"'!$A$2:$A$501"),"&lt;"&amp;($BA67+1),INDIRECT("'"&amp;$A67&amp;"'!$F$2:$F$501"),"Didn't see it"),0)))</f>
        <v>1</v>
      </c>
      <c r="AR67" s="30" t="n">
        <f aca="true">IF(OR($A67="",$I67=""),"",IF($BC67="Y",SUMIFS(survey_frozen!$F$2:$F$251,survey_frozen!$P$2:$P$251,$A67&amp;"|"&amp;$B67),IFERROR(COUNTIFS(INDIRECT("'"&amp;$A67&amp;"'!$B$2:$B$501"),$T67,INDIRECT("'"&amp;$A67&amp;"'!$A$2:$A$501"),"&gt;="&amp;$I67,INDIRECT("'"&amp;$A67&amp;"'!$A$2:$A$501"),"&lt;"&amp;($BA67+1),INDIRECT("'"&amp;$A67&amp;"'!$F$2:$F$501"),"Not for me"),0)))</f>
        <v>1</v>
      </c>
      <c r="AS67" s="30" t="n">
        <f aca="true">IF(OR($A67="",$I67=""),"",IF($BC67="Y",SUMIFS(survey_frozen!$G$2:$G$251,survey_frozen!$P$2:$P$251,$A67&amp;"|"&amp;$B67),IFERROR(COUNTIFS(INDIRECT("'"&amp;$A67&amp;"'!$B$2:$B$501"),$T67,INDIRECT("'"&amp;$A67&amp;"'!$A$2:$A$501"),"&gt;="&amp;$I67,INDIRECT("'"&amp;$A67&amp;"'!$A$2:$A$501"),"&lt;"&amp;($BA67+1),INDIRECT("'"&amp;$A67&amp;"'!$F$2:$F$501"),"Gone by the time I looked"),0)))</f>
        <v>1</v>
      </c>
      <c r="AT67" s="30" t="n">
        <f aca="true">IF(OR($A67="",$I67=""),"",IF($BC67="Y",SUMIFS(survey_frozen!$H$2:$H$251,survey_frozen!$P$2:$P$251,$A67&amp;"|"&amp;$B67),IFERROR(COUNTIFS(INDIRECT("'"&amp;$A67&amp;"'!$B$2:$B$501"),$T67,INDIRECT("'"&amp;$A67&amp;"'!$A$2:$A$501"),"&gt;="&amp;$I67,INDIRECT("'"&amp;$A67&amp;"'!$A$2:$A$501"),"&lt;"&amp;($BA67+1),INDIRECT("'"&amp;$A67&amp;"'!$D$2:$D$501"),"&gt;=1"),0)))</f>
        <v>3</v>
      </c>
      <c r="AU67" s="30" t="n">
        <f aca="true">IF(OR($A67="",$I67=""),"",IF($BC67="Y",SUMIFS(survey_frozen!$I$2:$I$251,survey_frozen!$P$2:$P$251,$A67&amp;"|"&amp;$B67),IFERROR(SUMIFS(INDIRECT("'"&amp;$A67&amp;"'!$D$2:$D$501"),INDIRECT("'"&amp;$A67&amp;"'!$B$2:$B$501"),$T67,INDIRECT("'"&amp;$A67&amp;"'!$A$2:$A$501"),"&gt;="&amp;$I67,INDIRECT("'"&amp;$A67&amp;"'!$A$2:$A$501"),"&lt;"&amp;($BA67+1)),0)))</f>
        <v>14</v>
      </c>
      <c r="AV67" s="30" t="n">
        <f aca="true">IF(OR($A67="",$I67=""),"",IF($BC67="Y",SUMIFS(survey_frozen!$J$2:$J$251,survey_frozen!$P$2:$P$251,$A67&amp;"|"&amp;$B67),IFERROR(COUNTIFS(INDIRECT("'"&amp;$A67&amp;"'!$B$2:$B$501"),$T67,INDIRECT("'"&amp;$A67&amp;"'!$A$2:$A$501"),"&gt;="&amp;$I67,INDIRECT("'"&amp;$A67&amp;"'!$A$2:$A$501"),"&lt;"&amp;($BA67+1),INDIRECT("'"&amp;$A67&amp;"'!$E$2:$E$501"),"Yes"),0)))</f>
        <v>0</v>
      </c>
      <c r="AW67" s="30" t="n">
        <f aca="true">IF(OR($A67="",$I67=""),"",IF($BC67="Y",SUMIFS(survey_frozen!$K$2:$K$251,survey_frozen!$P$2:$P$251,$A67&amp;"|"&amp;$B67),IFERROR(COUNTIFS(INDIRECT("'"&amp;$A67&amp;"'!$B$2:$B$501"),$T67,INDIRECT("'"&amp;$A67&amp;"'!$A$2:$A$501"),"&gt;="&amp;$I67,INDIRECT("'"&amp;$A67&amp;"'!$A$2:$A$501"),"&lt;"&amp;($BA67+1),INDIRECT("'"&amp;$A67&amp;"'!$E$2:$E$501"),"Maybe"),0)))</f>
        <v>2</v>
      </c>
      <c r="AX67" s="30" t="n">
        <f aca="true">IF(OR($A67="",$I67=""),"",IF($BC67="Y",SUMIFS(survey_frozen!$L$2:$L$251,survey_frozen!$P$2:$P$251,$A67&amp;"|"&amp;$B67),IFERROR(COUNTIFS(INDIRECT("'"&amp;$A67&amp;"'!$B$2:$B$501"),$T67,INDIRECT("'"&amp;$A67&amp;"'!$A$2:$A$501"),"&gt;="&amp;$I67,INDIRECT("'"&amp;$A67&amp;"'!$A$2:$A$501"),"&lt;"&amp;($BA67+1),INDIRECT("'"&amp;$A67&amp;"'!$E$2:$E$501"),"No"),0)))</f>
        <v>1</v>
      </c>
      <c r="AY67" s="30" t="n">
        <f aca="true">IF(OR($A67="",$I67=""),"",IF($BC67="Y",SUMIFS(survey_frozen!$M$2:$M$251,survey_frozen!$P$2:$P$251,$A67&amp;"|"&amp;$B67),IFERROR(COUNTIFS(INDIRECT("'"&amp;$A67&amp;"'!$B$2:$B$501"),$T67,INDIRECT("'"&amp;$A67&amp;"'!$A$2:$A$501"),"&gt;="&amp;$I67,INDIRECT("'"&amp;$A67&amp;"'!$A$2:$A$501"),"&lt;"&amp;($BA67+1),INDIRECT("'"&amp;$A67&amp;"'!$G$2:$G$501"),"&lt;&gt;"),0)))</f>
        <v>2</v>
      </c>
      <c r="AZ67" s="30" t="str">
        <f aca="false">IF($A67="","",$A67&amp;"|"&amp;$L67)</f>
        <v>SAMPLE-CMP-008|6</v>
      </c>
      <c r="BA67" s="31" t="n">
        <f aca="false">IF($A67="","",IFERROR(IF(INDEX(drops!$R$2:$R$21,MATCH($H67,drops!$A$2:$A$21,0))="","",INDEX(drops!$R$2:$R$21,MATCH($H67,drops!$A$2:$A$21,0))),""))</f>
        <v>46475</v>
      </c>
      <c r="BB67" s="30" t="n">
        <f aca="false">IF(OR($A67="",$Q67&lt;&gt;"Y"),1000000,N($AL67))</f>
        <v>6</v>
      </c>
      <c r="BC67" s="30" t="str">
        <f aca="false">IF($A67="","",IF(COUNTIF(survey_frozen!$P$2:$P$251,$A67&amp;"|"&amp;$B67)&gt;0,"Y",""))</f>
        <v/>
      </c>
      <c r="BD67" s="30" t="str">
        <f aca="false">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ustomFormat="false" ht="15" hidden="false" customHeight="false" outlineLevel="0" collapsed="false">
      <c r="A68" s="0" t="s">
        <v>584</v>
      </c>
      <c r="B68" s="0" t="s">
        <v>692</v>
      </c>
      <c r="C68" s="11" t="n">
        <v>46442</v>
      </c>
      <c r="D68" s="10" t="s">
        <v>496</v>
      </c>
      <c r="E68" s="11" t="n">
        <v>46443</v>
      </c>
      <c r="F68" s="10" t="s">
        <v>737</v>
      </c>
      <c r="H68" s="30" t="str">
        <f aca="false">IF($A68="","",IFERROR(IF(INDEX(campaigns!$B$2:$B$51,MATCH($A68,campaigns!$A$2:$A$51,0))="","",INDEX(campaigns!$B$2:$B$51,MATCH($A68,campaigns!$A$2:$A$51,0))),""))</f>
        <v>SAMPLE-DRP-004</v>
      </c>
      <c r="I68" s="31" t="n">
        <f aca="false">IF($A68="","",IFERROR(IF(INDEX(campaigns!$BG$2:$BG$51,MATCH($A68,campaigns!$A$2:$A$51,0))="","",INDEX(campaigns!$BG$2:$BG$51,MATCH($A68,campaigns!$A$2:$A$51,0))),""))</f>
        <v>46469</v>
      </c>
      <c r="J68" s="30" t="str">
        <f aca="false">IF($A68="","",IFERROR(IF(INDEX(campaigns!$BE$2:$BE$51,MATCH($A68,campaigns!$A$2:$A$51,0))="","",INDEX(campaigns!$BE$2:$BE$51,MATCH($A68,campaigns!$A$2:$A$51,0))),""))</f>
        <v>SAMPLE Tallgrass</v>
      </c>
      <c r="K68" s="30" t="str">
        <f aca="false">IF($B68="","",IFERROR(IF(INDEX(offices!$O$2:$O$61,MATCH($B68,offices!$A$2:$A$61,0))="","",INDEX(offices!$O$2:$O$61,MATCH($B68,offices!$A$2:$A$61,0))),""))</f>
        <v>SAMPLE Brine &amp; Bell PR</v>
      </c>
      <c r="L68" s="30" t="n">
        <f aca="false">IF($A68="","",IF($Q68="N","",COUNTIFS($A$2:$A68,$A68,$Q$2:$Q68,"&lt;&gt;N")))</f>
        <v>7</v>
      </c>
      <c r="M68" s="30" t="str">
        <f aca="false">IF(OR($A68="",$L68=""),"",IF(AND(config!$B$34="names_if_public",IFERROR(IF(INDEX(offices!$AG$2:$AG$61,MATCH($B68,offices!$A$2:$A$61,0))="","",INDEX(offices!$AG$2:$AG$61,MATCH($B68,offices!$A$2:$A$61,0))),"")="Y"),$K68,CHAR(64+$L68)))</f>
        <v>G</v>
      </c>
      <c r="N68" s="30" t="n">
        <f aca="false">IF(OR($A68="",$I68=""),"",COUNTIFS(stops!$B$2:$B$151,$B68,stops!$P$2:$P$151,"&lt;"&amp;$I68,stops!$L$2:$L$151,"&lt;&gt;not_delivered")+1)</f>
        <v>3</v>
      </c>
      <c r="O68" s="30" t="str">
        <f aca="false">IF($A68="","",IF(N($N68)&lt;=config!$B$29,"explicit","opt-out"))</f>
        <v>explicit</v>
      </c>
      <c r="P68" s="30" t="str">
        <f aca="false">IF($A68="","",IF($O68="explicit",IF($D68="yes","Y",IF($D68="no","N","pending")),IF($D68="no","N",IF(AND($C68&lt;&gt;"",$I68&lt;&gt;"",$C68&lt;=WORKDAY(N($I68),-5,calendar!$A$2:$A$80)),"Y","pending"))))</f>
        <v>Y</v>
      </c>
      <c r="Q68" s="30" t="str">
        <f aca="false">IF($A68="","",IF($P68="N","N",IF($P68&lt;&gt;"Y","pending",IF(AND((COUNTIFS(stops!$A$2:$A$151,$H68,stops!$B$2:$B$151,$B68,stops!$L$2:$L$151,"declined")+COUNTIFS(stops!$A$2:$A$151,$H68,stops!$B$2:$B$151,$B68,stops!$L$2:$L$151,"building_refused")+COUNTIFS(stops!$A$2:$A$151,$H68,stops!$B$2:$B$151,$B68,stops!$L$2:$L$151,"not_delivered"))&gt;0,N($U68)=0),"N","Y"))))</f>
        <v>Y</v>
      </c>
      <c r="R68" s="30" t="str">
        <f aca="false">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info: read the vetoes against the label; </v>
      </c>
      <c r="S68" s="30" t="n">
        <f aca="false">IF($A68="","",IF($G68&lt;&gt;"",$G68,IFERROR(IF(INDEX(offices!$AM$2:$AM$61,MATCH($B68,offices!$A$2:$A$61,0))="","",INDEX(offices!$AM$2:$AM$61,MATCH($B68,offices!$A$2:$A$61,0))),"")))</f>
        <v>60</v>
      </c>
      <c r="T68" s="30" t="str">
        <f aca="false">IF($A68="","",$A68&amp;"."&amp;$B68)</f>
        <v>SAMPLE-CMP-008.SAMPLE-O-007</v>
      </c>
      <c r="U68" s="30" t="n">
        <f aca="false">IF($A68="","",SUMIFS(inventory!$G$2:$G$801,inventory!$C$2:$C$801,$A68,inventory!$D$2:$D$801,$B68,inventory!$E$2:$E$801,"delivered"))</f>
        <v>60</v>
      </c>
      <c r="V68" s="37" t="n">
        <f aca="false">IF($A68="","",IFERROR(1/(1/SUMPRODUCT(MAX((inventory!$C$2:$C$801=$A68)*(inventory!$D$2:$D$801=$B68)*(inventory!$E$2:$E$801="delivered")*(inventory!$A$2:$A$801+inventory!$B$2:$B$801)))),""))</f>
        <v>46469.4284722222</v>
      </c>
      <c r="W68" s="30" t="str">
        <f aca="false">IF($A68="","",IFERROR(IF(INDEX(inventory!$J$2:$J$801,MATCH($A68&amp;"|"&amp;$B68&amp;"|delivered",inventory!$R$2:$R$801,0))="","",INDEX(inventory!$J$2:$J$801,MATCH($A68&amp;"|"&amp;$B68&amp;"|delivered",inventory!$R$2:$R$801,0))),""))</f>
        <v>office_count</v>
      </c>
      <c r="X68" s="30" t="str">
        <f aca="false">IF($A68="","",IFERROR(IF(INDEX(photos!$H$2:$H$701,MATCH($A68&amp;"|"&amp;$B68&amp;"|placement|Y",photos!$R$2:$R$701,0))="","",INDEX(photos!$H$2:$H$701,MATCH($A68&amp;"|"&amp;$B68&amp;"|placement|Y",photos!$R$2:$R$701,0))),""))</f>
        <v>SAMPLE-CMP-008_SAMPLE-O-007_placement_2027-03-23.jpg</v>
      </c>
      <c r="Y68" s="31" t="n">
        <f aca="false">IF($A68="","",IFERROR(IF(INDEX(photos!$E$2:$E$701,MATCH($A68&amp;"|"&amp;$B68&amp;"|placement|Y",photos!$R$2:$R$701,0))="","",INDEX(photos!$E$2:$E$701,MATCH($A68&amp;"|"&amp;$B68&amp;"|placement|Y",photos!$R$2:$R$701,0))),""))</f>
        <v>46469</v>
      </c>
      <c r="Z68" s="30" t="n">
        <f aca="false">IF($A68="","",IF(COUNTIFS(counts!$C$2:$C$701,$A68,counts!$D$2:$D$701,$B68,counts!$E$2:$E$701,"placed")=0,"",SUMIFS(counts!$F$2:$F$701,counts!$C$2:$C$701,$A68,counts!$D$2:$D$701,$B68,counts!$E$2:$E$701,"placed")))</f>
        <v>60</v>
      </c>
      <c r="AA68" s="30" t="n">
        <f aca="false">IF($A68="","",IF($Y68="",0,N($Z68)))</f>
        <v>60</v>
      </c>
      <c r="AB68" s="30" t="str">
        <f aca="false">IF($A68="","",IF(OR($Y68="",$I68=""),"N",IF($Y68&lt;=WORKDAY(N($I68),1,calendar!$A$2:$A$80),"Y","N")))</f>
        <v>Y</v>
      </c>
      <c r="AC68" s="33" t="n">
        <f aca="false">IF(OR($A68="",$V68="",$Y68=""),"",ROUND(($Y68+N(IFERROR(IF(INDEX(photos!$F$2:$F$701,MATCH($A68&amp;"|"&amp;$B68&amp;"|placement|Y",photos!$R$2:$R$701,0))="","",INDEX(photos!$F$2:$F$701,MATCH($A68&amp;"|"&amp;$B68&amp;"|placement|Y",photos!$R$2:$R$701,0))),""))-$V68)*24,1))</f>
        <v>2.7</v>
      </c>
      <c r="AD68" s="30" t="n">
        <f aca="false">IF($A68="","",SUMIFS(inventory!$G$2:$G$801,inventory!$C$2:$C$801,$A68,inventory!$D$2:$D$801,$B68,inventory!$E$2:$E$801,"topped_up"))</f>
        <v>0</v>
      </c>
      <c r="AE68" s="30" t="n">
        <f aca="false">IF($A68="","",IF(COUNTIFS(counts!$C$2:$C$701,$A68,counts!$D$2:$D$701,$B68,counts!$E$2:$E$701,"remaining_day3")=0,"",SUMIFS(counts!$F$2:$F$701,counts!$C$2:$C$701,$A68,counts!$D$2:$D$701,$B68,counts!$E$2:$E$701,"remaining_day3")))</f>
        <v>19</v>
      </c>
      <c r="AF68" s="30" t="n">
        <f aca="false">IF($A68="","",IF(COUNTIFS(counts!$C$2:$C$701,$A68,counts!$D$2:$D$701,$B68,counts!$E$2:$E$701,"remaining_day5")=0,"",SUMIFS(counts!$F$2:$F$701,counts!$C$2:$C$701,$A68,counts!$D$2:$D$701,$B68,counts!$E$2:$E$701,"remaining_day5")))</f>
        <v>2</v>
      </c>
      <c r="AG68" s="30" t="n">
        <f aca="false">IF(OR($A68="",$AF68=""),"",MAX(0,$AA68+$AD68-$AF68))</f>
        <v>58</v>
      </c>
      <c r="AH68" s="30" t="str">
        <f aca="false">IF(OR($A68="",$AI68=""),"",IFERROR(IF(INDEX(photos!$H$2:$H$701,MATCH($A68&amp;"|"&amp;$B68&amp;"|later|Y|"&amp;$AI68,photos!$S$2:$S$701,0))="","",INDEX(photos!$H$2:$H$701,MATCH($A68&amp;"|"&amp;$B68&amp;"|later|Y|"&amp;$AI68,photos!$S$2:$S$701,0))),""))</f>
        <v>SAMPLE-CMP-008_SAMPLE-O-007_later_2027-03-29.jpg</v>
      </c>
      <c r="AI68" s="31" t="n">
        <f aca="false">IF($A68="","",IFERROR(1/(1/SUMPRODUCT(MAX((photos!$B$2:$B$701=$A68)*(photos!$C$2:$C$701=$B68)*(photos!$D$2:$D$701="later")*(photos!$O$2:$O$701="Y")*photos!$E$2:$E$701))),""))</f>
        <v>46475</v>
      </c>
      <c r="AJ68" s="30" t="n">
        <f aca="false">IF(OR($A68="",$AI68="",$I68=""),"",NETWORKDAYS($I68,$AI68,calendar!$A$2:$A$80))</f>
        <v>5</v>
      </c>
      <c r="AK68" s="30" t="str">
        <f aca="false">IF($A68="","",IF(AND($X68&lt;&gt;"",$AH68&lt;&gt;""),"Y","N"))</f>
        <v>Y</v>
      </c>
      <c r="AL68" s="30" t="n">
        <f aca="true">IF(OR($A68="",$I68=""),"",IF($BC68="Y",SUMIFS(survey_frozen!$C$2:$C$251,survey_frozen!$P$2:$P$251,$A68&amp;"|"&amp;$B68),IFERROR(COUNTIFS(INDIRECT("'"&amp;$A68&amp;"'!$B$2:$B$501"),$T68,INDIRECT("'"&amp;$A68&amp;"'!$A$2:$A$501"),"&gt;="&amp;$I68,INDIRECT("'"&amp;$A68&amp;"'!$A$2:$A$501"),"&lt;"&amp;($BA68+1)),0)))</f>
        <v>8</v>
      </c>
      <c r="AM68" s="30" t="n">
        <f aca="true">IF(OR($A68="",$I68=""),"",IF($BC68="Y",SUMIFS(survey_frozen!$D$2:$D$251,survey_frozen!$P$2:$P$251,$A68&amp;"|"&amp;$B68),IFERROR(COUNTIFS(INDIRECT("'"&amp;$A68&amp;"'!$B$2:$B$501"),$T68,INDIRECT("'"&amp;$A68&amp;"'!$A$2:$A$501"),"&gt;="&amp;$I68,INDIRECT("'"&amp;$A68&amp;"'!$A$2:$A$501"),"&lt;"&amp;($BA68+1),INDIRECT("'"&amp;$A68&amp;"'!$C$2:$C$501"),"Yes"),0)))</f>
        <v>4</v>
      </c>
      <c r="AN68" s="30" t="n">
        <f aca="false">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4</v>
      </c>
      <c r="AO68" s="30" t="n">
        <f aca="false">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7</v>
      </c>
      <c r="AP68" s="30" t="str">
        <f aca="true">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info: read the vetoes against the label; </v>
      </c>
      <c r="AQ68" s="30" t="n">
        <f aca="true">IF(OR($A68="",$I68=""),"",IF($BC68="Y",SUMIFS(survey_frozen!$E$2:$E$251,survey_frozen!$P$2:$P$251,$A68&amp;"|"&amp;$B68),IFERROR(COUNTIFS(INDIRECT("'"&amp;$A68&amp;"'!$B$2:$B$501"),$T68,INDIRECT("'"&amp;$A68&amp;"'!$A$2:$A$501"),"&gt;="&amp;$I68,INDIRECT("'"&amp;$A68&amp;"'!$A$2:$A$501"),"&lt;"&amp;($BA68+1),INDIRECT("'"&amp;$A68&amp;"'!$F$2:$F$501"),"Didn't see it"),0)))</f>
        <v>1</v>
      </c>
      <c r="AR68" s="30" t="n">
        <f aca="true">IF(OR($A68="",$I68=""),"",IF($BC68="Y",SUMIFS(survey_frozen!$F$2:$F$251,survey_frozen!$P$2:$P$251,$A68&amp;"|"&amp;$B68),IFERROR(COUNTIFS(INDIRECT("'"&amp;$A68&amp;"'!$B$2:$B$501"),$T68,INDIRECT("'"&amp;$A68&amp;"'!$A$2:$A$501"),"&gt;="&amp;$I68,INDIRECT("'"&amp;$A68&amp;"'!$A$2:$A$501"),"&lt;"&amp;($BA68+1),INDIRECT("'"&amp;$A68&amp;"'!$F$2:$F$501"),"Not for me"),0)))</f>
        <v>1</v>
      </c>
      <c r="AS68" s="30" t="n">
        <f aca="true">IF(OR($A68="",$I68=""),"",IF($BC68="Y",SUMIFS(survey_frozen!$G$2:$G$251,survey_frozen!$P$2:$P$251,$A68&amp;"|"&amp;$B68),IFERROR(COUNTIFS(INDIRECT("'"&amp;$A68&amp;"'!$B$2:$B$501"),$T68,INDIRECT("'"&amp;$A68&amp;"'!$A$2:$A$501"),"&gt;="&amp;$I68,INDIRECT("'"&amp;$A68&amp;"'!$A$2:$A$501"),"&lt;"&amp;($BA68+1),INDIRECT("'"&amp;$A68&amp;"'!$F$2:$F$501"),"Gone by the time I looked"),0)))</f>
        <v>2</v>
      </c>
      <c r="AT68" s="30" t="n">
        <f aca="true">IF(OR($A68="",$I68=""),"",IF($BC68="Y",SUMIFS(survey_frozen!$H$2:$H$251,survey_frozen!$P$2:$P$251,$A68&amp;"|"&amp;$B68),IFERROR(COUNTIFS(INDIRECT("'"&amp;$A68&amp;"'!$B$2:$B$501"),$T68,INDIRECT("'"&amp;$A68&amp;"'!$A$2:$A$501"),"&gt;="&amp;$I68,INDIRECT("'"&amp;$A68&amp;"'!$A$2:$A$501"),"&lt;"&amp;($BA68+1),INDIRECT("'"&amp;$A68&amp;"'!$D$2:$D$501"),"&gt;=1"),0)))</f>
        <v>4</v>
      </c>
      <c r="AU68" s="30" t="n">
        <f aca="true">IF(OR($A68="",$I68=""),"",IF($BC68="Y",SUMIFS(survey_frozen!$I$2:$I$251,survey_frozen!$P$2:$P$251,$A68&amp;"|"&amp;$B68),IFERROR(SUMIFS(INDIRECT("'"&amp;$A68&amp;"'!$D$2:$D$501"),INDIRECT("'"&amp;$A68&amp;"'!$B$2:$B$501"),$T68,INDIRECT("'"&amp;$A68&amp;"'!$A$2:$A$501"),"&gt;="&amp;$I68,INDIRECT("'"&amp;$A68&amp;"'!$A$2:$A$501"),"&lt;"&amp;($BA68+1)),0)))</f>
        <v>15</v>
      </c>
      <c r="AV68" s="30" t="n">
        <f aca="true">IF(OR($A68="",$I68=""),"",IF($BC68="Y",SUMIFS(survey_frozen!$J$2:$J$251,survey_frozen!$P$2:$P$251,$A68&amp;"|"&amp;$B68),IFERROR(COUNTIFS(INDIRECT("'"&amp;$A68&amp;"'!$B$2:$B$501"),$T68,INDIRECT("'"&amp;$A68&amp;"'!$A$2:$A$501"),"&gt;="&amp;$I68,INDIRECT("'"&amp;$A68&amp;"'!$A$2:$A$501"),"&lt;"&amp;($BA68+1),INDIRECT("'"&amp;$A68&amp;"'!$E$2:$E$501"),"Yes"),0)))</f>
        <v>1</v>
      </c>
      <c r="AW68" s="30" t="n">
        <f aca="true">IF(OR($A68="",$I68=""),"",IF($BC68="Y",SUMIFS(survey_frozen!$K$2:$K$251,survey_frozen!$P$2:$P$251,$A68&amp;"|"&amp;$B68),IFERROR(COUNTIFS(INDIRECT("'"&amp;$A68&amp;"'!$B$2:$B$501"),$T68,INDIRECT("'"&amp;$A68&amp;"'!$A$2:$A$501"),"&gt;="&amp;$I68,INDIRECT("'"&amp;$A68&amp;"'!$A$2:$A$501"),"&lt;"&amp;($BA68+1),INDIRECT("'"&amp;$A68&amp;"'!$E$2:$E$501"),"Maybe"),0)))</f>
        <v>2</v>
      </c>
      <c r="AX68" s="30" t="n">
        <f aca="true">IF(OR($A68="",$I68=""),"",IF($BC68="Y",SUMIFS(survey_frozen!$L$2:$L$251,survey_frozen!$P$2:$P$251,$A68&amp;"|"&amp;$B68),IFERROR(COUNTIFS(INDIRECT("'"&amp;$A68&amp;"'!$B$2:$B$501"),$T68,INDIRECT("'"&amp;$A68&amp;"'!$A$2:$A$501"),"&gt;="&amp;$I68,INDIRECT("'"&amp;$A68&amp;"'!$A$2:$A$501"),"&lt;"&amp;($BA68+1),INDIRECT("'"&amp;$A68&amp;"'!$E$2:$E$501"),"No"),0)))</f>
        <v>1</v>
      </c>
      <c r="AY68" s="30" t="n">
        <f aca="true">IF(OR($A68="",$I68=""),"",IF($BC68="Y",SUMIFS(survey_frozen!$M$2:$M$251,survey_frozen!$P$2:$P$251,$A68&amp;"|"&amp;$B68),IFERROR(COUNTIFS(INDIRECT("'"&amp;$A68&amp;"'!$B$2:$B$501"),$T68,INDIRECT("'"&amp;$A68&amp;"'!$A$2:$A$501"),"&gt;="&amp;$I68,INDIRECT("'"&amp;$A68&amp;"'!$A$2:$A$501"),"&lt;"&amp;($BA68+1),INDIRECT("'"&amp;$A68&amp;"'!$G$2:$G$501"),"&lt;&gt;"),0)))</f>
        <v>2</v>
      </c>
      <c r="AZ68" s="30" t="str">
        <f aca="false">IF($A68="","",$A68&amp;"|"&amp;$L68)</f>
        <v>SAMPLE-CMP-008|7</v>
      </c>
      <c r="BA68" s="31" t="n">
        <f aca="false">IF($A68="","",IFERROR(IF(INDEX(drops!$R$2:$R$21,MATCH($H68,drops!$A$2:$A$21,0))="","",INDEX(drops!$R$2:$R$21,MATCH($H68,drops!$A$2:$A$21,0))),""))</f>
        <v>46475</v>
      </c>
      <c r="BB68" s="30" t="n">
        <f aca="false">IF(OR($A68="",$Q68&lt;&gt;"Y"),1000000,N($AL68))</f>
        <v>8</v>
      </c>
      <c r="BC68" s="30" t="str">
        <f aca="false">IF($A68="","",IF(COUNTIF(survey_frozen!$P$2:$P$251,$A68&amp;"|"&amp;$B68)&gt;0,"Y",""))</f>
        <v/>
      </c>
      <c r="BD68" s="30" t="str">
        <f aca="false">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ustomFormat="false" ht="15" hidden="false" customHeight="false" outlineLevel="0" collapsed="false">
      <c r="A69" s="0" t="s">
        <v>584</v>
      </c>
      <c r="B69" s="0" t="s">
        <v>694</v>
      </c>
      <c r="C69" s="11" t="n">
        <v>46442</v>
      </c>
      <c r="D69" s="10" t="s">
        <v>496</v>
      </c>
      <c r="E69" s="11" t="n">
        <v>46443</v>
      </c>
      <c r="F69" s="10" t="s">
        <v>737</v>
      </c>
      <c r="H69" s="30" t="str">
        <f aca="false">IF($A69="","",IFERROR(IF(INDEX(campaigns!$B$2:$B$51,MATCH($A69,campaigns!$A$2:$A$51,0))="","",INDEX(campaigns!$B$2:$B$51,MATCH($A69,campaigns!$A$2:$A$51,0))),""))</f>
        <v>SAMPLE-DRP-004</v>
      </c>
      <c r="I69" s="31" t="n">
        <f aca="false">IF($A69="","",IFERROR(IF(INDEX(campaigns!$BG$2:$BG$51,MATCH($A69,campaigns!$A$2:$A$51,0))="","",INDEX(campaigns!$BG$2:$BG$51,MATCH($A69,campaigns!$A$2:$A$51,0))),""))</f>
        <v>46469</v>
      </c>
      <c r="J69" s="30" t="str">
        <f aca="false">IF($A69="","",IFERROR(IF(INDEX(campaigns!$BE$2:$BE$51,MATCH($A69,campaigns!$A$2:$A$51,0))="","",INDEX(campaigns!$BE$2:$BE$51,MATCH($A69,campaigns!$A$2:$A$51,0))),""))</f>
        <v>SAMPLE Tallgrass</v>
      </c>
      <c r="K69" s="30" t="str">
        <f aca="false">IF($B69="","",IFERROR(IF(INDEX(offices!$O$2:$O$61,MATCH($B69,offices!$A$2:$A$61,0))="","",INDEX(offices!$O$2:$O$61,MATCH($B69,offices!$A$2:$A$61,0))),""))</f>
        <v>SAMPLE Larch Legal</v>
      </c>
      <c r="L69" s="30" t="str">
        <f aca="false">IF($A69="","",IF($Q69="N","",COUNTIFS($A$2:$A69,$A69,$Q$2:$Q69,"&lt;&gt;N")))</f>
        <v/>
      </c>
      <c r="M69" s="30" t="str">
        <f aca="false">IF(OR($A69="",$L69=""),"",IF(AND(config!$B$34="names_if_public",IFERROR(IF(INDEX(offices!$AG$2:$AG$61,MATCH($B69,offices!$A$2:$A$61,0))="","",INDEX(offices!$AG$2:$AG$61,MATCH($B69,offices!$A$2:$A$61,0))),"")="Y"),$K69,CHAR(64+$L69)))</f>
        <v/>
      </c>
      <c r="N69" s="30" t="n">
        <f aca="false">IF(OR($A69="",$I69=""),"",COUNTIFS(stops!$B$2:$B$151,$B69,stops!$P$2:$P$151,"&lt;"&amp;$I69,stops!$L$2:$L$151,"&lt;&gt;not_delivered")+1)</f>
        <v>3</v>
      </c>
      <c r="O69" s="30" t="str">
        <f aca="false">IF($A69="","",IF(N($N69)&lt;=config!$B$29,"explicit","opt-out"))</f>
        <v>explicit</v>
      </c>
      <c r="P69" s="30" t="str">
        <f aca="false">IF($A69="","",IF($O69="explicit",IF($D69="yes","Y",IF($D69="no","N","pending")),IF($D69="no","N",IF(AND($C69&lt;&gt;"",$I69&lt;&gt;"",$C69&lt;=WORKDAY(N($I69),-5,calendar!$A$2:$A$80)),"Y","pending"))))</f>
        <v>Y</v>
      </c>
      <c r="Q69" s="30" t="str">
        <f aca="false">IF($A69="","",IF($P69="N","N",IF($P69&lt;&gt;"Y","pending",IF(AND((COUNTIFS(stops!$A$2:$A$151,$H69,stops!$B$2:$B$151,$B69,stops!$L$2:$L$151,"declined")+COUNTIFS(stops!$A$2:$A$151,$H69,stops!$B$2:$B$151,$B69,stops!$L$2:$L$151,"building_refused")+COUNTIFS(stops!$A$2:$A$151,$H69,stops!$B$2:$B$151,$B69,stops!$L$2:$L$151,"not_delivered"))&gt;0,N($U69)=0),"N","Y"))))</f>
        <v>N</v>
      </c>
      <c r="R69" s="30" t="str">
        <f aca="false">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30" t="n">
        <f aca="false">IF($A69="","",IF($G69&lt;&gt;"",$G69,IFERROR(IF(INDEX(offices!$AM$2:$AM$61,MATCH($B69,offices!$A$2:$A$61,0))="","",INDEX(offices!$AM$2:$AM$61,MATCH($B69,offices!$A$2:$A$61,0))),"")))</f>
        <v>45</v>
      </c>
      <c r="T69" s="30" t="str">
        <f aca="false">IF($A69="","",$A69&amp;"."&amp;$B69)</f>
        <v>SAMPLE-CMP-008.SAMPLE-O-008</v>
      </c>
      <c r="U69" s="30" t="n">
        <f aca="false">IF($A69="","",SUMIFS(inventory!$G$2:$G$801,inventory!$C$2:$C$801,$A69,inventory!$D$2:$D$801,$B69,inventory!$E$2:$E$801,"delivered"))</f>
        <v>0</v>
      </c>
      <c r="V69" s="37" t="str">
        <f aca="false">IF($A69="","",IFERROR(1/(1/SUMPRODUCT(MAX((inventory!$C$2:$C$801=$A69)*(inventory!$D$2:$D$801=$B69)*(inventory!$E$2:$E$801="delivered")*(inventory!$A$2:$A$801+inventory!$B$2:$B$801)))),""))</f>
        <v/>
      </c>
      <c r="W69" s="30" t="str">
        <f aca="false">IF($A69="","",IFERROR(IF(INDEX(inventory!$J$2:$J$801,MATCH($A69&amp;"|"&amp;$B69&amp;"|delivered",inventory!$R$2:$R$801,0))="","",INDEX(inventory!$J$2:$J$801,MATCH($A69&amp;"|"&amp;$B69&amp;"|delivered",inventory!$R$2:$R$801,0))),""))</f>
        <v/>
      </c>
      <c r="X69" s="30" t="str">
        <f aca="false">IF($A69="","",IFERROR(IF(INDEX(photos!$H$2:$H$701,MATCH($A69&amp;"|"&amp;$B69&amp;"|placement|Y",photos!$R$2:$R$701,0))="","",INDEX(photos!$H$2:$H$701,MATCH($A69&amp;"|"&amp;$B69&amp;"|placement|Y",photos!$R$2:$R$701,0))),""))</f>
        <v/>
      </c>
      <c r="Y69" s="31" t="str">
        <f aca="false">IF($A69="","",IFERROR(IF(INDEX(photos!$E$2:$E$701,MATCH($A69&amp;"|"&amp;$B69&amp;"|placement|Y",photos!$R$2:$R$701,0))="","",INDEX(photos!$E$2:$E$701,MATCH($A69&amp;"|"&amp;$B69&amp;"|placement|Y",photos!$R$2:$R$701,0))),""))</f>
        <v/>
      </c>
      <c r="Z69" s="30" t="str">
        <f aca="false">IF($A69="","",IF(COUNTIFS(counts!$C$2:$C$701,$A69,counts!$D$2:$D$701,$B69,counts!$E$2:$E$701,"placed")=0,"",SUMIFS(counts!$F$2:$F$701,counts!$C$2:$C$701,$A69,counts!$D$2:$D$701,$B69,counts!$E$2:$E$701,"placed")))</f>
        <v/>
      </c>
      <c r="AA69" s="30" t="n">
        <f aca="false">IF($A69="","",IF($Y69="",0,N($Z69)))</f>
        <v>0</v>
      </c>
      <c r="AB69" s="30" t="str">
        <f aca="false">IF($A69="","",IF(OR($Y69="",$I69=""),"N",IF($Y69&lt;=WORKDAY(N($I69),1,calendar!$A$2:$A$80),"Y","N")))</f>
        <v>N</v>
      </c>
      <c r="AC69" s="33" t="str">
        <f aca="false">IF(OR($A69="",$V69="",$Y69=""),"",ROUND(($Y69+N(IFERROR(IF(INDEX(photos!$F$2:$F$701,MATCH($A69&amp;"|"&amp;$B69&amp;"|placement|Y",photos!$R$2:$R$701,0))="","",INDEX(photos!$F$2:$F$701,MATCH($A69&amp;"|"&amp;$B69&amp;"|placement|Y",photos!$R$2:$R$701,0))),""))-$V69)*24,1))</f>
        <v/>
      </c>
      <c r="AD69" s="30" t="n">
        <f aca="false">IF($A69="","",SUMIFS(inventory!$G$2:$G$801,inventory!$C$2:$C$801,$A69,inventory!$D$2:$D$801,$B69,inventory!$E$2:$E$801,"topped_up"))</f>
        <v>0</v>
      </c>
      <c r="AE69" s="30" t="str">
        <f aca="false">IF($A69="","",IF(COUNTIFS(counts!$C$2:$C$701,$A69,counts!$D$2:$D$701,$B69,counts!$E$2:$E$701,"remaining_day3")=0,"",SUMIFS(counts!$F$2:$F$701,counts!$C$2:$C$701,$A69,counts!$D$2:$D$701,$B69,counts!$E$2:$E$701,"remaining_day3")))</f>
        <v/>
      </c>
      <c r="AF69" s="30" t="str">
        <f aca="false">IF($A69="","",IF(COUNTIFS(counts!$C$2:$C$701,$A69,counts!$D$2:$D$701,$B69,counts!$E$2:$E$701,"remaining_day5")=0,"",SUMIFS(counts!$F$2:$F$701,counts!$C$2:$C$701,$A69,counts!$D$2:$D$701,$B69,counts!$E$2:$E$701,"remaining_day5")))</f>
        <v/>
      </c>
      <c r="AG69" s="30" t="str">
        <f aca="false">IF(OR($A69="",$AF69=""),"",MAX(0,$AA69+$AD69-$AF69))</f>
        <v/>
      </c>
      <c r="AH69" s="30" t="str">
        <f aca="false">IF(OR($A69="",$AI69=""),"",IFERROR(IF(INDEX(photos!$H$2:$H$701,MATCH($A69&amp;"|"&amp;$B69&amp;"|later|Y|"&amp;$AI69,photos!$S$2:$S$701,0))="","",INDEX(photos!$H$2:$H$701,MATCH($A69&amp;"|"&amp;$B69&amp;"|later|Y|"&amp;$AI69,photos!$S$2:$S$701,0))),""))</f>
        <v/>
      </c>
      <c r="AI69" s="31" t="str">
        <f aca="false">IF($A69="","",IFERROR(1/(1/SUMPRODUCT(MAX((photos!$B$2:$B$701=$A69)*(photos!$C$2:$C$701=$B69)*(photos!$D$2:$D$701="later")*(photos!$O$2:$O$701="Y")*photos!$E$2:$E$701))),""))</f>
        <v/>
      </c>
      <c r="AJ69" s="30" t="str">
        <f aca="false">IF(OR($A69="",$AI69="",$I69=""),"",NETWORKDAYS($I69,$AI69,calendar!$A$2:$A$80))</f>
        <v/>
      </c>
      <c r="AK69" s="30" t="str">
        <f aca="false">IF($A69="","",IF(AND($X69&lt;&gt;"",$AH69&lt;&gt;""),"Y","N"))</f>
        <v>N</v>
      </c>
      <c r="AL69" s="30" t="n">
        <f aca="true">IF(OR($A69="",$I69=""),"",IF($BC69="Y",SUMIFS(survey_frozen!$C$2:$C$251,survey_frozen!$P$2:$P$251,$A69&amp;"|"&amp;$B69),IFERROR(COUNTIFS(INDIRECT("'"&amp;$A69&amp;"'!$B$2:$B$501"),$T69,INDIRECT("'"&amp;$A69&amp;"'!$A$2:$A$501"),"&gt;="&amp;$I69,INDIRECT("'"&amp;$A69&amp;"'!$A$2:$A$501"),"&lt;"&amp;($BA69+1)),0)))</f>
        <v>2</v>
      </c>
      <c r="AM69" s="30" t="n">
        <f aca="true">IF(OR($A69="",$I69=""),"",IF($BC69="Y",SUMIFS(survey_frozen!$D$2:$D$251,survey_frozen!$P$2:$P$251,$A69&amp;"|"&amp;$B69),IFERROR(COUNTIFS(INDIRECT("'"&amp;$A69&amp;"'!$B$2:$B$501"),$T69,INDIRECT("'"&amp;$A69&amp;"'!$A$2:$A$501"),"&gt;="&amp;$I69,INDIRECT("'"&amp;$A69&amp;"'!$A$2:$A$501"),"&lt;"&amp;($BA69+1),INDIRECT("'"&amp;$A69&amp;"'!$C$2:$C$501"),"Yes"),0)))</f>
        <v>0</v>
      </c>
      <c r="AN69" s="30" t="n">
        <f aca="false">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0</v>
      </c>
      <c r="AO69" s="30" t="n">
        <f aca="false">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3</v>
      </c>
      <c r="AP69" s="30" t="str">
        <f aca="true">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info: turned away at the door, so not on the drop (no letter, not in the report or Gate 2; the credit check is on campaigns); </v>
      </c>
      <c r="AQ69" s="30" t="n">
        <f aca="true">IF(OR($A69="",$I69=""),"",IF($BC69="Y",SUMIFS(survey_frozen!$E$2:$E$251,survey_frozen!$P$2:$P$251,$A69&amp;"|"&amp;$B69),IFERROR(COUNTIFS(INDIRECT("'"&amp;$A69&amp;"'!$B$2:$B$501"),$T69,INDIRECT("'"&amp;$A69&amp;"'!$A$2:$A$501"),"&gt;="&amp;$I69,INDIRECT("'"&amp;$A69&amp;"'!$A$2:$A$501"),"&lt;"&amp;($BA69+1),INDIRECT("'"&amp;$A69&amp;"'!$F$2:$F$501"),"Didn't see it"),0)))</f>
        <v>2</v>
      </c>
      <c r="AR69" s="30" t="n">
        <f aca="true">IF(OR($A69="",$I69=""),"",IF($BC69="Y",SUMIFS(survey_frozen!$F$2:$F$251,survey_frozen!$P$2:$P$251,$A69&amp;"|"&amp;$B69),IFERROR(COUNTIFS(INDIRECT("'"&amp;$A69&amp;"'!$B$2:$B$501"),$T69,INDIRECT("'"&amp;$A69&amp;"'!$A$2:$A$501"),"&gt;="&amp;$I69,INDIRECT("'"&amp;$A69&amp;"'!$A$2:$A$501"),"&lt;"&amp;($BA69+1),INDIRECT("'"&amp;$A69&amp;"'!$F$2:$F$501"),"Not for me"),0)))</f>
        <v>0</v>
      </c>
      <c r="AS69" s="30" t="n">
        <f aca="true">IF(OR($A69="",$I69=""),"",IF($BC69="Y",SUMIFS(survey_frozen!$G$2:$G$251,survey_frozen!$P$2:$P$251,$A69&amp;"|"&amp;$B69),IFERROR(COUNTIFS(INDIRECT("'"&amp;$A69&amp;"'!$B$2:$B$501"),$T69,INDIRECT("'"&amp;$A69&amp;"'!$A$2:$A$501"),"&gt;="&amp;$I69,INDIRECT("'"&amp;$A69&amp;"'!$A$2:$A$501"),"&lt;"&amp;($BA69+1),INDIRECT("'"&amp;$A69&amp;"'!$F$2:$F$501"),"Gone by the time I looked"),0)))</f>
        <v>0</v>
      </c>
      <c r="AT69" s="30" t="n">
        <f aca="true">IF(OR($A69="",$I69=""),"",IF($BC69="Y",SUMIFS(survey_frozen!$H$2:$H$251,survey_frozen!$P$2:$P$251,$A69&amp;"|"&amp;$B69),IFERROR(COUNTIFS(INDIRECT("'"&amp;$A69&amp;"'!$B$2:$B$501"),$T69,INDIRECT("'"&amp;$A69&amp;"'!$A$2:$A$501"),"&gt;="&amp;$I69,INDIRECT("'"&amp;$A69&amp;"'!$A$2:$A$501"),"&lt;"&amp;($BA69+1),INDIRECT("'"&amp;$A69&amp;"'!$D$2:$D$501"),"&gt;=1"),0)))</f>
        <v>0</v>
      </c>
      <c r="AU69" s="30" t="n">
        <f aca="true">IF(OR($A69="",$I69=""),"",IF($BC69="Y",SUMIFS(survey_frozen!$I$2:$I$251,survey_frozen!$P$2:$P$251,$A69&amp;"|"&amp;$B69),IFERROR(SUMIFS(INDIRECT("'"&amp;$A69&amp;"'!$D$2:$D$501"),INDIRECT("'"&amp;$A69&amp;"'!$B$2:$B$501"),$T69,INDIRECT("'"&amp;$A69&amp;"'!$A$2:$A$501"),"&gt;="&amp;$I69,INDIRECT("'"&amp;$A69&amp;"'!$A$2:$A$501"),"&lt;"&amp;($BA69+1)),0)))</f>
        <v>0</v>
      </c>
      <c r="AV69" s="30" t="n">
        <f aca="true">IF(OR($A69="",$I69=""),"",IF($BC69="Y",SUMIFS(survey_frozen!$J$2:$J$251,survey_frozen!$P$2:$P$251,$A69&amp;"|"&amp;$B69),IFERROR(COUNTIFS(INDIRECT("'"&amp;$A69&amp;"'!$B$2:$B$501"),$T69,INDIRECT("'"&amp;$A69&amp;"'!$A$2:$A$501"),"&gt;="&amp;$I69,INDIRECT("'"&amp;$A69&amp;"'!$A$2:$A$501"),"&lt;"&amp;($BA69+1),INDIRECT("'"&amp;$A69&amp;"'!$E$2:$E$501"),"Yes"),0)))</f>
        <v>0</v>
      </c>
      <c r="AW69" s="30" t="n">
        <f aca="true">IF(OR($A69="",$I69=""),"",IF($BC69="Y",SUMIFS(survey_frozen!$K$2:$K$251,survey_frozen!$P$2:$P$251,$A69&amp;"|"&amp;$B69),IFERROR(COUNTIFS(INDIRECT("'"&amp;$A69&amp;"'!$B$2:$B$501"),$T69,INDIRECT("'"&amp;$A69&amp;"'!$A$2:$A$501"),"&gt;="&amp;$I69,INDIRECT("'"&amp;$A69&amp;"'!$A$2:$A$501"),"&lt;"&amp;($BA69+1),INDIRECT("'"&amp;$A69&amp;"'!$E$2:$E$501"),"Maybe"),0)))</f>
        <v>0</v>
      </c>
      <c r="AX69" s="30" t="n">
        <f aca="true">IF(OR($A69="",$I69=""),"",IF($BC69="Y",SUMIFS(survey_frozen!$L$2:$L$251,survey_frozen!$P$2:$P$251,$A69&amp;"|"&amp;$B69),IFERROR(COUNTIFS(INDIRECT("'"&amp;$A69&amp;"'!$B$2:$B$501"),$T69,INDIRECT("'"&amp;$A69&amp;"'!$A$2:$A$501"),"&gt;="&amp;$I69,INDIRECT("'"&amp;$A69&amp;"'!$A$2:$A$501"),"&lt;"&amp;($BA69+1),INDIRECT("'"&amp;$A69&amp;"'!$E$2:$E$501"),"No"),0)))</f>
        <v>0</v>
      </c>
      <c r="AY69" s="30" t="n">
        <f aca="true">IF(OR($A69="",$I69=""),"",IF($BC69="Y",SUMIFS(survey_frozen!$M$2:$M$251,survey_frozen!$P$2:$P$251,$A69&amp;"|"&amp;$B69),IFERROR(COUNTIFS(INDIRECT("'"&amp;$A69&amp;"'!$B$2:$B$501"),$T69,INDIRECT("'"&amp;$A69&amp;"'!$A$2:$A$501"),"&gt;="&amp;$I69,INDIRECT("'"&amp;$A69&amp;"'!$A$2:$A$501"),"&lt;"&amp;($BA69+1),INDIRECT("'"&amp;$A69&amp;"'!$G$2:$G$501"),"&lt;&gt;"),0)))</f>
        <v>1</v>
      </c>
      <c r="AZ69" s="30" t="str">
        <f aca="false">IF($A69="","",$A69&amp;"|"&amp;$L69)</f>
        <v>SAMPLE-CMP-008|</v>
      </c>
      <c r="BA69" s="31" t="n">
        <f aca="false">IF($A69="","",IFERROR(IF(INDEX(drops!$R$2:$R$21,MATCH($H69,drops!$A$2:$A$21,0))="","",INDEX(drops!$R$2:$R$21,MATCH($H69,drops!$A$2:$A$21,0))),""))</f>
        <v>46475</v>
      </c>
      <c r="BB69" s="30" t="n">
        <f aca="false">IF(OR($A69="",$Q69&lt;&gt;"Y"),1000000,N($AL69))</f>
        <v>1000000</v>
      </c>
      <c r="BC69" s="30" t="str">
        <f aca="false">IF($A69="","",IF(COUNTIF(survey_frozen!$P$2:$P$251,$A69&amp;"|"&amp;$B69)&gt;0,"Y",""))</f>
        <v/>
      </c>
      <c r="BD69" s="30" t="str">
        <f aca="false">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ustomFormat="false" ht="15" hidden="false" customHeight="false" outlineLevel="0" collapsed="false">
      <c r="A70" s="0" t="s">
        <v>584</v>
      </c>
      <c r="B70" s="0" t="s">
        <v>696</v>
      </c>
      <c r="C70" s="11" t="n">
        <v>46442</v>
      </c>
      <c r="D70" s="10" t="s">
        <v>496</v>
      </c>
      <c r="E70" s="11" t="n">
        <v>46443</v>
      </c>
      <c r="F70" s="10" t="s">
        <v>737</v>
      </c>
      <c r="H70" s="30" t="str">
        <f aca="false">IF($A70="","",IFERROR(IF(INDEX(campaigns!$B$2:$B$51,MATCH($A70,campaigns!$A$2:$A$51,0))="","",INDEX(campaigns!$B$2:$B$51,MATCH($A70,campaigns!$A$2:$A$51,0))),""))</f>
        <v>SAMPLE-DRP-004</v>
      </c>
      <c r="I70" s="31" t="n">
        <f aca="false">IF($A70="","",IFERROR(IF(INDEX(campaigns!$BG$2:$BG$51,MATCH($A70,campaigns!$A$2:$A$51,0))="","",INDEX(campaigns!$BG$2:$BG$51,MATCH($A70,campaigns!$A$2:$A$51,0))),""))</f>
        <v>46469</v>
      </c>
      <c r="J70" s="30" t="str">
        <f aca="false">IF($A70="","",IFERROR(IF(INDEX(campaigns!$BE$2:$BE$51,MATCH($A70,campaigns!$A$2:$A$51,0))="","",INDEX(campaigns!$BE$2:$BE$51,MATCH($A70,campaigns!$A$2:$A$51,0))),""))</f>
        <v>SAMPLE Tallgrass</v>
      </c>
      <c r="K70" s="30" t="str">
        <f aca="false">IF($B70="","",IFERROR(IF(INDEX(offices!$O$2:$O$61,MATCH($B70,offices!$A$2:$A$61,0))="","",INDEX(offices!$O$2:$O$61,MATCH($B70,offices!$A$2:$A$61,0))),""))</f>
        <v>SAMPLE Overlook Games</v>
      </c>
      <c r="L70" s="30" t="n">
        <f aca="false">IF($A70="","",IF($Q70="N","",COUNTIFS($A$2:$A70,$A70,$Q$2:$Q70,"&lt;&gt;N")))</f>
        <v>8</v>
      </c>
      <c r="M70" s="30" t="str">
        <f aca="false">IF(OR($A70="",$L70=""),"",IF(AND(config!$B$34="names_if_public",IFERROR(IF(INDEX(offices!$AG$2:$AG$61,MATCH($B70,offices!$A$2:$A$61,0))="","",INDEX(offices!$AG$2:$AG$61,MATCH($B70,offices!$A$2:$A$61,0))),"")="Y"),$K70,CHAR(64+$L70)))</f>
        <v>H</v>
      </c>
      <c r="N70" s="30" t="n">
        <f aca="false">IF(OR($A70="",$I70=""),"",COUNTIFS(stops!$B$2:$B$151,$B70,stops!$P$2:$P$151,"&lt;"&amp;$I70,stops!$L$2:$L$151,"&lt;&gt;not_delivered")+1)</f>
        <v>3</v>
      </c>
      <c r="O70" s="30" t="str">
        <f aca="false">IF($A70="","",IF(N($N70)&lt;=config!$B$29,"explicit","opt-out"))</f>
        <v>explicit</v>
      </c>
      <c r="P70" s="30" t="str">
        <f aca="false">IF($A70="","",IF($O70="explicit",IF($D70="yes","Y",IF($D70="no","N","pending")),IF($D70="no","N",IF(AND($C70&lt;&gt;"",$I70&lt;&gt;"",$C70&lt;=WORKDAY(N($I70),-5,calendar!$A$2:$A$80)),"Y","pending"))))</f>
        <v>Y</v>
      </c>
      <c r="Q70" s="30" t="str">
        <f aca="false">IF($A70="","",IF($P70="N","N",IF($P70&lt;&gt;"Y","pending",IF(AND((COUNTIFS(stops!$A$2:$A$151,$H70,stops!$B$2:$B$151,$B70,stops!$L$2:$L$151,"declined")+COUNTIFS(stops!$A$2:$A$151,$H70,stops!$B$2:$B$151,$B70,stops!$L$2:$L$151,"building_refused")+COUNTIFS(stops!$A$2:$A$151,$H70,stops!$B$2:$B$151,$B70,stops!$L$2:$L$151,"not_delivered"))&gt;0,N($U70)=0),"N","Y"))))</f>
        <v>Y</v>
      </c>
      <c r="R70" s="30" t="str">
        <f aca="false">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30" t="n">
        <f aca="false">IF($A70="","",IF($G70&lt;&gt;"",$G70,IFERROR(IF(INDEX(offices!$AM$2:$AM$61,MATCH($B70,offices!$A$2:$A$61,0))="","",INDEX(offices!$AM$2:$AM$61,MATCH($B70,offices!$A$2:$A$61,0))),"")))</f>
        <v>75</v>
      </c>
      <c r="T70" s="30" t="str">
        <f aca="false">IF($A70="","",$A70&amp;"."&amp;$B70)</f>
        <v>SAMPLE-CMP-008.SAMPLE-O-009</v>
      </c>
      <c r="U70" s="30" t="n">
        <f aca="false">IF($A70="","",SUMIFS(inventory!$G$2:$G$801,inventory!$C$2:$C$801,$A70,inventory!$D$2:$D$801,$B70,inventory!$E$2:$E$801,"delivered"))</f>
        <v>75</v>
      </c>
      <c r="V70" s="37" t="n">
        <f aca="false">IF($A70="","",IFERROR(1/(1/SUMPRODUCT(MAX((inventory!$C$2:$C$801=$A70)*(inventory!$D$2:$D$801=$B70)*(inventory!$E$2:$E$801="delivered")*(inventory!$A$2:$A$801+inventory!$B$2:$B$801)))),""))</f>
        <v>46469.4388888889</v>
      </c>
      <c r="W70" s="30" t="str">
        <f aca="false">IF($A70="","",IFERROR(IF(INDEX(inventory!$J$2:$J$801,MATCH($A70&amp;"|"&amp;$B70&amp;"|delivered",inventory!$R$2:$R$801,0))="","",INDEX(inventory!$J$2:$J$801,MATCH($A70&amp;"|"&amp;$B70&amp;"|delivered",inventory!$R$2:$R$801,0))),""))</f>
        <v>founder_count</v>
      </c>
      <c r="X70" s="30" t="str">
        <f aca="false">IF($A70="","",IFERROR(IF(INDEX(photos!$H$2:$H$701,MATCH($A70&amp;"|"&amp;$B70&amp;"|placement|Y",photos!$R$2:$R$701,0))="","",INDEX(photos!$H$2:$H$701,MATCH($A70&amp;"|"&amp;$B70&amp;"|placement|Y",photos!$R$2:$R$701,0))),""))</f>
        <v>SAMPLE-CMP-008_SAMPLE-O-009_placement_2027-03-23.jpg</v>
      </c>
      <c r="Y70" s="31" t="n">
        <f aca="false">IF($A70="","",IFERROR(IF(INDEX(photos!$E$2:$E$701,MATCH($A70&amp;"|"&amp;$B70&amp;"|placement|Y",photos!$R$2:$R$701,0))="","",INDEX(photos!$E$2:$E$701,MATCH($A70&amp;"|"&amp;$B70&amp;"|placement|Y",photos!$R$2:$R$701,0))),""))</f>
        <v>46469</v>
      </c>
      <c r="Z70" s="30" t="n">
        <f aca="false">IF($A70="","",IF(COUNTIFS(counts!$C$2:$C$701,$A70,counts!$D$2:$D$701,$B70,counts!$E$2:$E$701,"placed")=0,"",SUMIFS(counts!$F$2:$F$701,counts!$C$2:$C$701,$A70,counts!$D$2:$D$701,$B70,counts!$E$2:$E$701,"placed")))</f>
        <v>75</v>
      </c>
      <c r="AA70" s="30" t="n">
        <f aca="false">IF($A70="","",IF($Y70="",0,N($Z70)))</f>
        <v>75</v>
      </c>
      <c r="AB70" s="30" t="str">
        <f aca="false">IF($A70="","",IF(OR($Y70="",$I70=""),"N",IF($Y70&lt;=WORKDAY(N($I70),1,calendar!$A$2:$A$80),"Y","N")))</f>
        <v>Y</v>
      </c>
      <c r="AC70" s="33" t="n">
        <f aca="false">IF(OR($A70="",$V70="",$Y70=""),"",ROUND(($Y70+N(IFERROR(IF(INDEX(photos!$F$2:$F$701,MATCH($A70&amp;"|"&amp;$B70&amp;"|placement|Y",photos!$R$2:$R$701,0))="","",INDEX(photos!$F$2:$F$701,MATCH($A70&amp;"|"&amp;$B70&amp;"|placement|Y",photos!$R$2:$R$701,0))),""))-$V70)*24,1))</f>
        <v>0.1</v>
      </c>
      <c r="AD70" s="30" t="n">
        <f aca="false">IF($A70="","",SUMIFS(inventory!$G$2:$G$801,inventory!$C$2:$C$801,$A70,inventory!$D$2:$D$801,$B70,inventory!$E$2:$E$801,"topped_up"))</f>
        <v>6</v>
      </c>
      <c r="AE70" s="30" t="n">
        <f aca="false">IF($A70="","",IF(COUNTIFS(counts!$C$2:$C$701,$A70,counts!$D$2:$D$701,$B70,counts!$E$2:$E$701,"remaining_day3")=0,"",SUMIFS(counts!$F$2:$F$701,counts!$C$2:$C$701,$A70,counts!$D$2:$D$701,$B70,counts!$E$2:$E$701,"remaining_day3")))</f>
        <v>19</v>
      </c>
      <c r="AF70" s="30" t="n">
        <f aca="false">IF($A70="","",IF(COUNTIFS(counts!$C$2:$C$701,$A70,counts!$D$2:$D$701,$B70,counts!$E$2:$E$701,"remaining_day5")=0,"",SUMIFS(counts!$F$2:$F$701,counts!$C$2:$C$701,$A70,counts!$D$2:$D$701,$B70,counts!$E$2:$E$701,"remaining_day5")))</f>
        <v>3</v>
      </c>
      <c r="AG70" s="30" t="n">
        <f aca="false">IF(OR($A70="",$AF70=""),"",MAX(0,$AA70+$AD70-$AF70))</f>
        <v>78</v>
      </c>
      <c r="AH70" s="30" t="str">
        <f aca="false">IF(OR($A70="",$AI70=""),"",IFERROR(IF(INDEX(photos!$H$2:$H$701,MATCH($A70&amp;"|"&amp;$B70&amp;"|later|Y|"&amp;$AI70,photos!$S$2:$S$701,0))="","",INDEX(photos!$H$2:$H$701,MATCH($A70&amp;"|"&amp;$B70&amp;"|later|Y|"&amp;$AI70,photos!$S$2:$S$701,0))),""))</f>
        <v>SAMPLE-CMP-008_SAMPLE-O-009_later_2027-03-29.jpg</v>
      </c>
      <c r="AI70" s="31" t="n">
        <f aca="false">IF($A70="","",IFERROR(1/(1/SUMPRODUCT(MAX((photos!$B$2:$B$701=$A70)*(photos!$C$2:$C$701=$B70)*(photos!$D$2:$D$701="later")*(photos!$O$2:$O$701="Y")*photos!$E$2:$E$701))),""))</f>
        <v>46475</v>
      </c>
      <c r="AJ70" s="30" t="n">
        <f aca="false">IF(OR($A70="",$AI70="",$I70=""),"",NETWORKDAYS($I70,$AI70,calendar!$A$2:$A$80))</f>
        <v>5</v>
      </c>
      <c r="AK70" s="30" t="str">
        <f aca="false">IF($A70="","",IF(AND($X70&lt;&gt;"",$AH70&lt;&gt;""),"Y","N"))</f>
        <v>Y</v>
      </c>
      <c r="AL70" s="30" t="n">
        <f aca="true">IF(OR($A70="",$I70=""),"",IF($BC70="Y",SUMIFS(survey_frozen!$C$2:$C$251,survey_frozen!$P$2:$P$251,$A70&amp;"|"&amp;$B70),IFERROR(COUNTIFS(INDIRECT("'"&amp;$A70&amp;"'!$B$2:$B$501"),$T70,INDIRECT("'"&amp;$A70&amp;"'!$A$2:$A$501"),"&gt;="&amp;$I70,INDIRECT("'"&amp;$A70&amp;"'!$A$2:$A$501"),"&lt;"&amp;($BA70+1)),0)))</f>
        <v>7</v>
      </c>
      <c r="AM70" s="30" t="n">
        <f aca="true">IF(OR($A70="",$I70=""),"",IF($BC70="Y",SUMIFS(survey_frozen!$D$2:$D$251,survey_frozen!$P$2:$P$251,$A70&amp;"|"&amp;$B70),IFERROR(COUNTIFS(INDIRECT("'"&amp;$A70&amp;"'!$B$2:$B$501"),$T70,INDIRECT("'"&amp;$A70&amp;"'!$A$2:$A$501"),"&gt;="&amp;$I70,INDIRECT("'"&amp;$A70&amp;"'!$A$2:$A$501"),"&lt;"&amp;($BA70+1),INDIRECT("'"&amp;$A70&amp;"'!$C$2:$C$501"),"Yes"),0)))</f>
        <v>5</v>
      </c>
      <c r="AN70" s="30" t="n">
        <f aca="false">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8</v>
      </c>
      <c r="AO70" s="30" t="n">
        <f aca="false">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11</v>
      </c>
      <c r="AP70" s="30" t="str">
        <f aca="true">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30" t="n">
        <f aca="true">IF(OR($A70="",$I70=""),"",IF($BC70="Y",SUMIFS(survey_frozen!$E$2:$E$251,survey_frozen!$P$2:$P$251,$A70&amp;"|"&amp;$B70),IFERROR(COUNTIFS(INDIRECT("'"&amp;$A70&amp;"'!$B$2:$B$501"),$T70,INDIRECT("'"&amp;$A70&amp;"'!$A$2:$A$501"),"&gt;="&amp;$I70,INDIRECT("'"&amp;$A70&amp;"'!$A$2:$A$501"),"&lt;"&amp;($BA70+1),INDIRECT("'"&amp;$A70&amp;"'!$F$2:$F$501"),"Didn't see it"),0)))</f>
        <v>0</v>
      </c>
      <c r="AR70" s="30" t="n">
        <f aca="true">IF(OR($A70="",$I70=""),"",IF($BC70="Y",SUMIFS(survey_frozen!$F$2:$F$251,survey_frozen!$P$2:$P$251,$A70&amp;"|"&amp;$B70),IFERROR(COUNTIFS(INDIRECT("'"&amp;$A70&amp;"'!$B$2:$B$501"),$T70,INDIRECT("'"&amp;$A70&amp;"'!$A$2:$A$501"),"&gt;="&amp;$I70,INDIRECT("'"&amp;$A70&amp;"'!$A$2:$A$501"),"&lt;"&amp;($BA70+1),INDIRECT("'"&amp;$A70&amp;"'!$F$2:$F$501"),"Not for me"),0)))</f>
        <v>1</v>
      </c>
      <c r="AS70" s="30" t="n">
        <f aca="true">IF(OR($A70="",$I70=""),"",IF($BC70="Y",SUMIFS(survey_frozen!$G$2:$G$251,survey_frozen!$P$2:$P$251,$A70&amp;"|"&amp;$B70),IFERROR(COUNTIFS(INDIRECT("'"&amp;$A70&amp;"'!$B$2:$B$501"),$T70,INDIRECT("'"&amp;$A70&amp;"'!$A$2:$A$501"),"&gt;="&amp;$I70,INDIRECT("'"&amp;$A70&amp;"'!$A$2:$A$501"),"&lt;"&amp;($BA70+1),INDIRECT("'"&amp;$A70&amp;"'!$F$2:$F$501"),"Gone by the time I looked"),0)))</f>
        <v>1</v>
      </c>
      <c r="AT70" s="30" t="n">
        <f aca="true">IF(OR($A70="",$I70=""),"",IF($BC70="Y",SUMIFS(survey_frozen!$H$2:$H$251,survey_frozen!$P$2:$P$251,$A70&amp;"|"&amp;$B70),IFERROR(COUNTIFS(INDIRECT("'"&amp;$A70&amp;"'!$B$2:$B$501"),$T70,INDIRECT("'"&amp;$A70&amp;"'!$A$2:$A$501"),"&gt;="&amp;$I70,INDIRECT("'"&amp;$A70&amp;"'!$A$2:$A$501"),"&lt;"&amp;($BA70+1),INDIRECT("'"&amp;$A70&amp;"'!$D$2:$D$501"),"&gt;=1"),0)))</f>
        <v>5</v>
      </c>
      <c r="AU70" s="30" t="n">
        <f aca="true">IF(OR($A70="",$I70=""),"",IF($BC70="Y",SUMIFS(survey_frozen!$I$2:$I$251,survey_frozen!$P$2:$P$251,$A70&amp;"|"&amp;$B70),IFERROR(SUMIFS(INDIRECT("'"&amp;$A70&amp;"'!$D$2:$D$501"),INDIRECT("'"&amp;$A70&amp;"'!$B$2:$B$501"),$T70,INDIRECT("'"&amp;$A70&amp;"'!$A$2:$A$501"),"&gt;="&amp;$I70,INDIRECT("'"&amp;$A70&amp;"'!$A$2:$A$501"),"&lt;"&amp;($BA70+1)),0)))</f>
        <v>21</v>
      </c>
      <c r="AV70" s="30" t="n">
        <f aca="true">IF(OR($A70="",$I70=""),"",IF($BC70="Y",SUMIFS(survey_frozen!$J$2:$J$251,survey_frozen!$P$2:$P$251,$A70&amp;"|"&amp;$B70),IFERROR(COUNTIFS(INDIRECT("'"&amp;$A70&amp;"'!$B$2:$B$501"),$T70,INDIRECT("'"&amp;$A70&amp;"'!$A$2:$A$501"),"&gt;="&amp;$I70,INDIRECT("'"&amp;$A70&amp;"'!$A$2:$A$501"),"&lt;"&amp;($BA70+1),INDIRECT("'"&amp;$A70&amp;"'!$E$2:$E$501"),"Yes"),0)))</f>
        <v>1</v>
      </c>
      <c r="AW70" s="30" t="n">
        <f aca="true">IF(OR($A70="",$I70=""),"",IF($BC70="Y",SUMIFS(survey_frozen!$K$2:$K$251,survey_frozen!$P$2:$P$251,$A70&amp;"|"&amp;$B70),IFERROR(COUNTIFS(INDIRECT("'"&amp;$A70&amp;"'!$B$2:$B$501"),$T70,INDIRECT("'"&amp;$A70&amp;"'!$A$2:$A$501"),"&gt;="&amp;$I70,INDIRECT("'"&amp;$A70&amp;"'!$A$2:$A$501"),"&lt;"&amp;($BA70+1),INDIRECT("'"&amp;$A70&amp;"'!$E$2:$E$501"),"Maybe"),0)))</f>
        <v>2</v>
      </c>
      <c r="AX70" s="30" t="n">
        <f aca="true">IF(OR($A70="",$I70=""),"",IF($BC70="Y",SUMIFS(survey_frozen!$L$2:$L$251,survey_frozen!$P$2:$P$251,$A70&amp;"|"&amp;$B70),IFERROR(COUNTIFS(INDIRECT("'"&amp;$A70&amp;"'!$B$2:$B$501"),$T70,INDIRECT("'"&amp;$A70&amp;"'!$A$2:$A$501"),"&gt;="&amp;$I70,INDIRECT("'"&amp;$A70&amp;"'!$A$2:$A$501"),"&lt;"&amp;($BA70+1),INDIRECT("'"&amp;$A70&amp;"'!$E$2:$E$501"),"No"),0)))</f>
        <v>2</v>
      </c>
      <c r="AY70" s="30" t="n">
        <f aca="true">IF(OR($A70="",$I70=""),"",IF($BC70="Y",SUMIFS(survey_frozen!$M$2:$M$251,survey_frozen!$P$2:$P$251,$A70&amp;"|"&amp;$B70),IFERROR(COUNTIFS(INDIRECT("'"&amp;$A70&amp;"'!$B$2:$B$501"),$T70,INDIRECT("'"&amp;$A70&amp;"'!$A$2:$A$501"),"&gt;="&amp;$I70,INDIRECT("'"&amp;$A70&amp;"'!$A$2:$A$501"),"&lt;"&amp;($BA70+1),INDIRECT("'"&amp;$A70&amp;"'!$G$2:$G$501"),"&lt;&gt;"),0)))</f>
        <v>4</v>
      </c>
      <c r="AZ70" s="30" t="str">
        <f aca="false">IF($A70="","",$A70&amp;"|"&amp;$L70)</f>
        <v>SAMPLE-CMP-008|8</v>
      </c>
      <c r="BA70" s="31" t="n">
        <f aca="false">IF($A70="","",IFERROR(IF(INDEX(drops!$R$2:$R$21,MATCH($H70,drops!$A$2:$A$21,0))="","",INDEX(drops!$R$2:$R$21,MATCH($H70,drops!$A$2:$A$21,0))),""))</f>
        <v>46475</v>
      </c>
      <c r="BB70" s="30" t="n">
        <f aca="false">IF(OR($A70="",$Q70&lt;&gt;"Y"),1000000,N($AL70))</f>
        <v>7</v>
      </c>
      <c r="BC70" s="30" t="str">
        <f aca="false">IF($A70="","",IF(COUNTIF(survey_frozen!$P$2:$P$251,$A70&amp;"|"&amp;$B70)&gt;0,"Y",""))</f>
        <v/>
      </c>
      <c r="BD70" s="30" t="str">
        <f aca="false">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Y</v>
      </c>
    </row>
    <row r="71" customFormat="false" ht="15" hidden="false" customHeight="false" outlineLevel="0" collapsed="false">
      <c r="A71" s="0" t="s">
        <v>584</v>
      </c>
      <c r="B71" s="0" t="s">
        <v>698</v>
      </c>
      <c r="C71" s="11" t="n">
        <v>46442</v>
      </c>
      <c r="D71" s="10" t="s">
        <v>496</v>
      </c>
      <c r="E71" s="11" t="n">
        <v>46443</v>
      </c>
      <c r="F71" s="10" t="s">
        <v>737</v>
      </c>
      <c r="H71" s="30" t="str">
        <f aca="false">IF($A71="","",IFERROR(IF(INDEX(campaigns!$B$2:$B$51,MATCH($A71,campaigns!$A$2:$A$51,0))="","",INDEX(campaigns!$B$2:$B$51,MATCH($A71,campaigns!$A$2:$A$51,0))),""))</f>
        <v>SAMPLE-DRP-004</v>
      </c>
      <c r="I71" s="31" t="n">
        <f aca="false">IF($A71="","",IFERROR(IF(INDEX(campaigns!$BG$2:$BG$51,MATCH($A71,campaigns!$A$2:$A$51,0))="","",INDEX(campaigns!$BG$2:$BG$51,MATCH($A71,campaigns!$A$2:$A$51,0))),""))</f>
        <v>46469</v>
      </c>
      <c r="J71" s="30" t="str">
        <f aca="false">IF($A71="","",IFERROR(IF(INDEX(campaigns!$BE$2:$BE$51,MATCH($A71,campaigns!$A$2:$A$51,0))="","",INDEX(campaigns!$BE$2:$BE$51,MATCH($A71,campaigns!$A$2:$A$51,0))),""))</f>
        <v>SAMPLE Tallgrass</v>
      </c>
      <c r="K71" s="30" t="str">
        <f aca="false">IF($B71="","",IFERROR(IF(INDEX(offices!$O$2:$O$61,MATCH($B71,offices!$A$2:$A$61,0))="","",INDEX(offices!$O$2:$O$61,MATCH($B71,offices!$A$2:$A$61,0))),""))</f>
        <v>SAMPLE Quill Nonprofit Press</v>
      </c>
      <c r="L71" s="30" t="n">
        <f aca="false">IF($A71="","",IF($Q71="N","",COUNTIFS($A$2:$A71,$A71,$Q$2:$Q71,"&lt;&gt;N")))</f>
        <v>9</v>
      </c>
      <c r="M71" s="30" t="str">
        <f aca="false">IF(OR($A71="",$L71=""),"",IF(AND(config!$B$34="names_if_public",IFERROR(IF(INDEX(offices!$AG$2:$AG$61,MATCH($B71,offices!$A$2:$A$61,0))="","",INDEX(offices!$AG$2:$AG$61,MATCH($B71,offices!$A$2:$A$61,0))),"")="Y"),$K71,CHAR(64+$L71)))</f>
        <v>I</v>
      </c>
      <c r="N71" s="30" t="n">
        <f aca="false">IF(OR($A71="",$I71=""),"",COUNTIFS(stops!$B$2:$B$151,$B71,stops!$P$2:$P$151,"&lt;"&amp;$I71,stops!$L$2:$L$151,"&lt;&gt;not_delivered")+1)</f>
        <v>3</v>
      </c>
      <c r="O71" s="30" t="str">
        <f aca="false">IF($A71="","",IF(N($N71)&lt;=config!$B$29,"explicit","opt-out"))</f>
        <v>explicit</v>
      </c>
      <c r="P71" s="30" t="str">
        <f aca="false">IF($A71="","",IF($O71="explicit",IF($D71="yes","Y",IF($D71="no","N","pending")),IF($D71="no","N",IF(AND($C71&lt;&gt;"",$I71&lt;&gt;"",$C71&lt;=WORKDAY(N($I71),-5,calendar!$A$2:$A$80)),"Y","pending"))))</f>
        <v>Y</v>
      </c>
      <c r="Q71" s="30" t="str">
        <f aca="false">IF($A71="","",IF($P71="N","N",IF($P71&lt;&gt;"Y","pending",IF(AND((COUNTIFS(stops!$A$2:$A$151,$H71,stops!$B$2:$B$151,$B71,stops!$L$2:$L$151,"declined")+COUNTIFS(stops!$A$2:$A$151,$H71,stops!$B$2:$B$151,$B71,stops!$L$2:$L$151,"building_refused")+COUNTIFS(stops!$A$2:$A$151,$H71,stops!$B$2:$B$151,$B71,stops!$L$2:$L$151,"not_delivered"))&gt;0,N($U71)=0),"N","Y"))))</f>
        <v>Y</v>
      </c>
      <c r="R71" s="30" t="str">
        <f aca="false">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30" t="n">
        <f aca="false">IF($A71="","",IF($G71&lt;&gt;"",$G71,IFERROR(IF(INDEX(offices!$AM$2:$AM$61,MATCH($B71,offices!$A$2:$A$61,0))="","",INDEX(offices!$AM$2:$AM$61,MATCH($B71,offices!$A$2:$A$61,0))),"")))</f>
        <v>40</v>
      </c>
      <c r="T71" s="30" t="str">
        <f aca="false">IF($A71="","",$A71&amp;"."&amp;$B71)</f>
        <v>SAMPLE-CMP-008.SAMPLE-O-010</v>
      </c>
      <c r="U71" s="30" t="n">
        <f aca="false">IF($A71="","",SUMIFS(inventory!$G$2:$G$801,inventory!$C$2:$C$801,$A71,inventory!$D$2:$D$801,$B71,inventory!$E$2:$E$801,"delivered"))</f>
        <v>40</v>
      </c>
      <c r="V71" s="37" t="n">
        <f aca="false">IF($A71="","",IFERROR(1/(1/SUMPRODUCT(MAX((inventory!$C$2:$C$801=$A71)*(inventory!$D$2:$D$801=$B71)*(inventory!$E$2:$E$801="delivered")*(inventory!$A$2:$A$801+inventory!$B$2:$B$801)))),""))</f>
        <v>46469.4305555556</v>
      </c>
      <c r="W71" s="30" t="str">
        <f aca="false">IF($A71="","",IFERROR(IF(INDEX(inventory!$J$2:$J$801,MATCH($A71&amp;"|"&amp;$B71&amp;"|delivered",inventory!$R$2:$R$801,0))="","",INDEX(inventory!$J$2:$J$801,MATCH($A71&amp;"|"&amp;$B71&amp;"|delivered",inventory!$R$2:$R$801,0))),""))</f>
        <v>office_count</v>
      </c>
      <c r="X71" s="30" t="str">
        <f aca="false">IF($A71="","",IFERROR(IF(INDEX(photos!$H$2:$H$701,MATCH($A71&amp;"|"&amp;$B71&amp;"|placement|Y",photos!$R$2:$R$701,0))="","",INDEX(photos!$H$2:$H$701,MATCH($A71&amp;"|"&amp;$B71&amp;"|placement|Y",photos!$R$2:$R$701,0))),""))</f>
        <v>SAMPLE-CMP-008_SAMPLE-O-010_placement_2027-03-23.jpg</v>
      </c>
      <c r="Y71" s="31" t="n">
        <f aca="false">IF($A71="","",IFERROR(IF(INDEX(photos!$E$2:$E$701,MATCH($A71&amp;"|"&amp;$B71&amp;"|placement|Y",photos!$R$2:$R$701,0))="","",INDEX(photos!$E$2:$E$701,MATCH($A71&amp;"|"&amp;$B71&amp;"|placement|Y",photos!$R$2:$R$701,0))),""))</f>
        <v>46469</v>
      </c>
      <c r="Z71" s="30" t="n">
        <f aca="false">IF($A71="","",IF(COUNTIFS(counts!$C$2:$C$701,$A71,counts!$D$2:$D$701,$B71,counts!$E$2:$E$701,"placed")=0,"",SUMIFS(counts!$F$2:$F$701,counts!$C$2:$C$701,$A71,counts!$D$2:$D$701,$B71,counts!$E$2:$E$701,"placed")))</f>
        <v>40</v>
      </c>
      <c r="AA71" s="30" t="n">
        <f aca="false">IF($A71="","",IF($Y71="",0,N($Z71)))</f>
        <v>40</v>
      </c>
      <c r="AB71" s="30" t="str">
        <f aca="false">IF($A71="","",IF(OR($Y71="",$I71=""),"N",IF($Y71&lt;=WORKDAY(N($I71),1,calendar!$A$2:$A$80),"Y","N")))</f>
        <v>Y</v>
      </c>
      <c r="AC71" s="33" t="n">
        <f aca="false">IF(OR($A71="",$V71="",$Y71=""),"",ROUND(($Y71+N(IFERROR(IF(INDEX(photos!$F$2:$F$701,MATCH($A71&amp;"|"&amp;$B71&amp;"|placement|Y",photos!$R$2:$R$701,0))="","",INDEX(photos!$F$2:$F$701,MATCH($A71&amp;"|"&amp;$B71&amp;"|placement|Y",photos!$R$2:$R$701,0))),""))-$V71)*24,1))</f>
        <v>2.7</v>
      </c>
      <c r="AD71" s="30" t="n">
        <f aca="false">IF($A71="","",SUMIFS(inventory!$G$2:$G$801,inventory!$C$2:$C$801,$A71,inventory!$D$2:$D$801,$B71,inventory!$E$2:$E$801,"topped_up"))</f>
        <v>0</v>
      </c>
      <c r="AE71" s="30" t="n">
        <f aca="false">IF($A71="","",IF(COUNTIFS(counts!$C$2:$C$701,$A71,counts!$D$2:$D$701,$B71,counts!$E$2:$E$701,"remaining_day3")=0,"",SUMIFS(counts!$F$2:$F$701,counts!$C$2:$C$701,$A71,counts!$D$2:$D$701,$B71,counts!$E$2:$E$701,"remaining_day3")))</f>
        <v>11</v>
      </c>
      <c r="AF71" s="30" t="n">
        <f aca="false">IF($A71="","",IF(COUNTIFS(counts!$C$2:$C$701,$A71,counts!$D$2:$D$701,$B71,counts!$E$2:$E$701,"remaining_day5")=0,"",SUMIFS(counts!$F$2:$F$701,counts!$C$2:$C$701,$A71,counts!$D$2:$D$701,$B71,counts!$E$2:$E$701,"remaining_day5")))</f>
        <v>1</v>
      </c>
      <c r="AG71" s="30" t="n">
        <f aca="false">IF(OR($A71="",$AF71=""),"",MAX(0,$AA71+$AD71-$AF71))</f>
        <v>39</v>
      </c>
      <c r="AH71" s="30" t="str">
        <f aca="false">IF(OR($A71="",$AI71=""),"",IFERROR(IF(INDEX(photos!$H$2:$H$701,MATCH($A71&amp;"|"&amp;$B71&amp;"|later|Y|"&amp;$AI71,photos!$S$2:$S$701,0))="","",INDEX(photos!$H$2:$H$701,MATCH($A71&amp;"|"&amp;$B71&amp;"|later|Y|"&amp;$AI71,photos!$S$2:$S$701,0))),""))</f>
        <v>SAMPLE-CMP-008_SAMPLE-O-010_later_2027-03-29.jpg</v>
      </c>
      <c r="AI71" s="31" t="n">
        <f aca="false">IF($A71="","",IFERROR(1/(1/SUMPRODUCT(MAX((photos!$B$2:$B$701=$A71)*(photos!$C$2:$C$701=$B71)*(photos!$D$2:$D$701="later")*(photos!$O$2:$O$701="Y")*photos!$E$2:$E$701))),""))</f>
        <v>46475</v>
      </c>
      <c r="AJ71" s="30" t="n">
        <f aca="false">IF(OR($A71="",$AI71="",$I71=""),"",NETWORKDAYS($I71,$AI71,calendar!$A$2:$A$80))</f>
        <v>5</v>
      </c>
      <c r="AK71" s="30" t="str">
        <f aca="false">IF($A71="","",IF(AND($X71&lt;&gt;"",$AH71&lt;&gt;""),"Y","N"))</f>
        <v>Y</v>
      </c>
      <c r="AL71" s="30" t="n">
        <f aca="true">IF(OR($A71="",$I71=""),"",IF($BC71="Y",SUMIFS(survey_frozen!$C$2:$C$251,survey_frozen!$P$2:$P$251,$A71&amp;"|"&amp;$B71),IFERROR(COUNTIFS(INDIRECT("'"&amp;$A71&amp;"'!$B$2:$B$501"),$T71,INDIRECT("'"&amp;$A71&amp;"'!$A$2:$A$501"),"&gt;="&amp;$I71,INDIRECT("'"&amp;$A71&amp;"'!$A$2:$A$501"),"&lt;"&amp;($BA71+1)),0)))</f>
        <v>5</v>
      </c>
      <c r="AM71" s="30" t="n">
        <f aca="true">IF(OR($A71="",$I71=""),"",IF($BC71="Y",SUMIFS(survey_frozen!$D$2:$D$251,survey_frozen!$P$2:$P$251,$A71&amp;"|"&amp;$B71),IFERROR(COUNTIFS(INDIRECT("'"&amp;$A71&amp;"'!$B$2:$B$501"),$T71,INDIRECT("'"&amp;$A71&amp;"'!$A$2:$A$501"),"&gt;="&amp;$I71,INDIRECT("'"&amp;$A71&amp;"'!$A$2:$A$501"),"&lt;"&amp;($BA71+1),INDIRECT("'"&amp;$A71&amp;"'!$C$2:$C$501"),"Yes"),0)))</f>
        <v>5</v>
      </c>
      <c r="AN71" s="30" t="n">
        <f aca="false">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11</v>
      </c>
      <c r="AO71" s="30" t="n">
        <f aca="false">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4</v>
      </c>
      <c r="AP71" s="30" t="str">
        <f aca="true">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30" t="n">
        <f aca="true">IF(OR($A71="",$I71=""),"",IF($BC71="Y",SUMIFS(survey_frozen!$E$2:$E$251,survey_frozen!$P$2:$P$251,$A71&amp;"|"&amp;$B71),IFERROR(COUNTIFS(INDIRECT("'"&amp;$A71&amp;"'!$B$2:$B$501"),$T71,INDIRECT("'"&amp;$A71&amp;"'!$A$2:$A$501"),"&gt;="&amp;$I71,INDIRECT("'"&amp;$A71&amp;"'!$A$2:$A$501"),"&lt;"&amp;($BA71+1),INDIRECT("'"&amp;$A71&amp;"'!$F$2:$F$501"),"Didn't see it"),0)))</f>
        <v>0</v>
      </c>
      <c r="AR71" s="30" t="n">
        <f aca="true">IF(OR($A71="",$I71=""),"",IF($BC71="Y",SUMIFS(survey_frozen!$F$2:$F$251,survey_frozen!$P$2:$P$251,$A71&amp;"|"&amp;$B71),IFERROR(COUNTIFS(INDIRECT("'"&amp;$A71&amp;"'!$B$2:$B$501"),$T71,INDIRECT("'"&amp;$A71&amp;"'!$A$2:$A$501"),"&gt;="&amp;$I71,INDIRECT("'"&amp;$A71&amp;"'!$A$2:$A$501"),"&lt;"&amp;($BA71+1),INDIRECT("'"&amp;$A71&amp;"'!$F$2:$F$501"),"Not for me"),0)))</f>
        <v>0</v>
      </c>
      <c r="AS71" s="30" t="n">
        <f aca="true">IF(OR($A71="",$I71=""),"",IF($BC71="Y",SUMIFS(survey_frozen!$G$2:$G$251,survey_frozen!$P$2:$P$251,$A71&amp;"|"&amp;$B71),IFERROR(COUNTIFS(INDIRECT("'"&amp;$A71&amp;"'!$B$2:$B$501"),$T71,INDIRECT("'"&amp;$A71&amp;"'!$A$2:$A$501"),"&gt;="&amp;$I71,INDIRECT("'"&amp;$A71&amp;"'!$A$2:$A$501"),"&lt;"&amp;($BA71+1),INDIRECT("'"&amp;$A71&amp;"'!$F$2:$F$501"),"Gone by the time I looked"),0)))</f>
        <v>0</v>
      </c>
      <c r="AT71" s="30" t="n">
        <f aca="true">IF(OR($A71="",$I71=""),"",IF($BC71="Y",SUMIFS(survey_frozen!$H$2:$H$251,survey_frozen!$P$2:$P$251,$A71&amp;"|"&amp;$B71),IFERROR(COUNTIFS(INDIRECT("'"&amp;$A71&amp;"'!$B$2:$B$501"),$T71,INDIRECT("'"&amp;$A71&amp;"'!$A$2:$A$501"),"&gt;="&amp;$I71,INDIRECT("'"&amp;$A71&amp;"'!$A$2:$A$501"),"&lt;"&amp;($BA71+1),INDIRECT("'"&amp;$A71&amp;"'!$D$2:$D$501"),"&gt;=1"),0)))</f>
        <v>5</v>
      </c>
      <c r="AU71" s="30" t="n">
        <f aca="true">IF(OR($A71="",$I71=""),"",IF($BC71="Y",SUMIFS(survey_frozen!$I$2:$I$251,survey_frozen!$P$2:$P$251,$A71&amp;"|"&amp;$B71),IFERROR(SUMIFS(INDIRECT("'"&amp;$A71&amp;"'!$D$2:$D$501"),INDIRECT("'"&amp;$A71&amp;"'!$B$2:$B$501"),$T71,INDIRECT("'"&amp;$A71&amp;"'!$A$2:$A$501"),"&gt;="&amp;$I71,INDIRECT("'"&amp;$A71&amp;"'!$A$2:$A$501"),"&lt;"&amp;($BA71+1)),0)))</f>
        <v>20</v>
      </c>
      <c r="AV71" s="30" t="n">
        <f aca="true">IF(OR($A71="",$I71=""),"",IF($BC71="Y",SUMIFS(survey_frozen!$J$2:$J$251,survey_frozen!$P$2:$P$251,$A71&amp;"|"&amp;$B71),IFERROR(COUNTIFS(INDIRECT("'"&amp;$A71&amp;"'!$B$2:$B$501"),$T71,INDIRECT("'"&amp;$A71&amp;"'!$A$2:$A$501"),"&gt;="&amp;$I71,INDIRECT("'"&amp;$A71&amp;"'!$A$2:$A$501"),"&lt;"&amp;($BA71+1),INDIRECT("'"&amp;$A71&amp;"'!$E$2:$E$501"),"Yes"),0)))</f>
        <v>2</v>
      </c>
      <c r="AW71" s="30" t="n">
        <f aca="true">IF(OR($A71="",$I71=""),"",IF($BC71="Y",SUMIFS(survey_frozen!$K$2:$K$251,survey_frozen!$P$2:$P$251,$A71&amp;"|"&amp;$B71),IFERROR(COUNTIFS(INDIRECT("'"&amp;$A71&amp;"'!$B$2:$B$501"),$T71,INDIRECT("'"&amp;$A71&amp;"'!$A$2:$A$501"),"&gt;="&amp;$I71,INDIRECT("'"&amp;$A71&amp;"'!$A$2:$A$501"),"&lt;"&amp;($BA71+1),INDIRECT("'"&amp;$A71&amp;"'!$E$2:$E$501"),"Maybe"),0)))</f>
        <v>1</v>
      </c>
      <c r="AX71" s="30" t="n">
        <f aca="true">IF(OR($A71="",$I71=""),"",IF($BC71="Y",SUMIFS(survey_frozen!$L$2:$L$251,survey_frozen!$P$2:$P$251,$A71&amp;"|"&amp;$B71),IFERROR(COUNTIFS(INDIRECT("'"&amp;$A71&amp;"'!$B$2:$B$501"),$T71,INDIRECT("'"&amp;$A71&amp;"'!$A$2:$A$501"),"&gt;="&amp;$I71,INDIRECT("'"&amp;$A71&amp;"'!$A$2:$A$501"),"&lt;"&amp;($BA71+1),INDIRECT("'"&amp;$A71&amp;"'!$E$2:$E$501"),"No"),0)))</f>
        <v>2</v>
      </c>
      <c r="AY71" s="30" t="n">
        <f aca="true">IF(OR($A71="",$I71=""),"",IF($BC71="Y",SUMIFS(survey_frozen!$M$2:$M$251,survey_frozen!$P$2:$P$251,$A71&amp;"|"&amp;$B71),IFERROR(COUNTIFS(INDIRECT("'"&amp;$A71&amp;"'!$B$2:$B$501"),$T71,INDIRECT("'"&amp;$A71&amp;"'!$A$2:$A$501"),"&gt;="&amp;$I71,INDIRECT("'"&amp;$A71&amp;"'!$A$2:$A$501"),"&lt;"&amp;($BA71+1),INDIRECT("'"&amp;$A71&amp;"'!$G$2:$G$501"),"&lt;&gt;"),0)))</f>
        <v>0</v>
      </c>
      <c r="AZ71" s="30" t="str">
        <f aca="false">IF($A71="","",$A71&amp;"|"&amp;$L71)</f>
        <v>SAMPLE-CMP-008|9</v>
      </c>
      <c r="BA71" s="31" t="n">
        <f aca="false">IF($A71="","",IFERROR(IF(INDEX(drops!$R$2:$R$21,MATCH($H71,drops!$A$2:$A$21,0))="","",INDEX(drops!$R$2:$R$21,MATCH($H71,drops!$A$2:$A$21,0))),""))</f>
        <v>46475</v>
      </c>
      <c r="BB71" s="30" t="n">
        <f aca="false">IF(OR($A71="",$Q71&lt;&gt;"Y"),1000000,N($AL71))</f>
        <v>5</v>
      </c>
      <c r="BC71" s="30" t="str">
        <f aca="false">IF($A71="","",IF(COUNTIF(survey_frozen!$P$2:$P$251,$A71&amp;"|"&amp;$B71)&gt;0,"Y",""))</f>
        <v/>
      </c>
      <c r="BD71" s="30" t="str">
        <f aca="false">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ustomFormat="false" ht="15" hidden="false" customHeight="false" outlineLevel="0" collapsed="false">
      <c r="C72" s="11"/>
      <c r="D72" s="10"/>
      <c r="E72" s="11"/>
      <c r="H72" s="30" t="str">
        <f aca="false">IF($A72="","",IFERROR(IF(INDEX(campaigns!$B$2:$B$51,MATCH($A72,campaigns!$A$2:$A$51,0))="","",INDEX(campaigns!$B$2:$B$51,MATCH($A72,campaigns!$A$2:$A$51,0))),""))</f>
        <v/>
      </c>
      <c r="I72" s="31" t="str">
        <f aca="false">IF($A72="","",IFERROR(IF(INDEX(campaigns!$BG$2:$BG$51,MATCH($A72,campaigns!$A$2:$A$51,0))="","",INDEX(campaigns!$BG$2:$BG$51,MATCH($A72,campaigns!$A$2:$A$51,0))),""))</f>
        <v/>
      </c>
      <c r="J72" s="30" t="str">
        <f aca="false">IF($A72="","",IFERROR(IF(INDEX(campaigns!$BE$2:$BE$51,MATCH($A72,campaigns!$A$2:$A$51,0))="","",INDEX(campaigns!$BE$2:$BE$51,MATCH($A72,campaigns!$A$2:$A$51,0))),""))</f>
        <v/>
      </c>
      <c r="K72" s="30" t="str">
        <f aca="false">IF($B72="","",IFERROR(IF(INDEX(offices!$O$2:$O$61,MATCH($B72,offices!$A$2:$A$61,0))="","",INDEX(offices!$O$2:$O$61,MATCH($B72,offices!$A$2:$A$61,0))),""))</f>
        <v/>
      </c>
      <c r="L72" s="30" t="str">
        <f aca="false">IF($A72="","",IF($Q72="N","",COUNTIFS($A$2:$A72,$A72,$Q$2:$Q72,"&lt;&gt;N")))</f>
        <v/>
      </c>
      <c r="M72" s="30" t="str">
        <f aca="false">IF(OR($A72="",$L72=""),"",IF(AND(config!$B$34="names_if_public",IFERROR(IF(INDEX(offices!$AG$2:$AG$61,MATCH($B72,offices!$A$2:$A$61,0))="","",INDEX(offices!$AG$2:$AG$61,MATCH($B72,offices!$A$2:$A$61,0))),"")="Y"),$K72,CHAR(64+$L72)))</f>
        <v/>
      </c>
      <c r="N72" s="30" t="str">
        <f aca="false">IF(OR($A72="",$I72=""),"",COUNTIFS(stops!$B$2:$B$151,$B72,stops!$P$2:$P$151,"&lt;"&amp;$I72,stops!$L$2:$L$151,"&lt;&gt;not_delivered")+1)</f>
        <v/>
      </c>
      <c r="O72" s="30" t="str">
        <f aca="false">IF($A72="","",IF(N($N72)&lt;=config!$B$29,"explicit","opt-out"))</f>
        <v/>
      </c>
      <c r="P72" s="30" t="str">
        <f aca="false">IF($A72="","",IF($O72="explicit",IF($D72="yes","Y",IF($D72="no","N","pending")),IF($D72="no","N",IF(AND($C72&lt;&gt;"",$I72&lt;&gt;"",$C72&lt;=WORKDAY(N($I72),-5,calendar!$A$2:$A$80)),"Y","pending"))))</f>
        <v/>
      </c>
      <c r="Q72" s="30" t="str">
        <f aca="false">IF($A72="","",IF($P72="N","N",IF($P72&lt;&gt;"Y","pending",IF(AND((COUNTIFS(stops!$A$2:$A$151,$H72,stops!$B$2:$B$151,$B72,stops!$L$2:$L$151,"declined")+COUNTIFS(stops!$A$2:$A$151,$H72,stops!$B$2:$B$151,$B72,stops!$L$2:$L$151,"building_refused")+COUNTIFS(stops!$A$2:$A$151,$H72,stops!$B$2:$B$151,$B72,stops!$L$2:$L$151,"not_delivered"))&gt;0,N($U72)=0),"N","Y"))))</f>
        <v/>
      </c>
      <c r="R72" s="30" t="str">
        <f aca="false">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30" t="str">
        <f aca="false">IF($A72="","",IF($G72&lt;&gt;"",$G72,IFERROR(IF(INDEX(offices!$AM$2:$AM$61,MATCH($B72,offices!$A$2:$A$61,0))="","",INDEX(offices!$AM$2:$AM$61,MATCH($B72,offices!$A$2:$A$61,0))),"")))</f>
        <v/>
      </c>
      <c r="T72" s="30" t="str">
        <f aca="false">IF($A72="","",$A72&amp;"."&amp;$B72)</f>
        <v/>
      </c>
      <c r="U72" s="30" t="str">
        <f aca="false">IF($A72="","",SUMIFS(inventory!$G$2:$G$801,inventory!$C$2:$C$801,$A72,inventory!$D$2:$D$801,$B72,inventory!$E$2:$E$801,"delivered"))</f>
        <v/>
      </c>
      <c r="V72" s="37" t="str">
        <f aca="false">IF($A72="","",IFERROR(1/(1/SUMPRODUCT(MAX((inventory!$C$2:$C$801=$A72)*(inventory!$D$2:$D$801=$B72)*(inventory!$E$2:$E$801="delivered")*(inventory!$A$2:$A$801+inventory!$B$2:$B$801)))),""))</f>
        <v/>
      </c>
      <c r="W72" s="30" t="str">
        <f aca="false">IF($A72="","",IFERROR(IF(INDEX(inventory!$J$2:$J$801,MATCH($A72&amp;"|"&amp;$B72&amp;"|delivered",inventory!$R$2:$R$801,0))="","",INDEX(inventory!$J$2:$J$801,MATCH($A72&amp;"|"&amp;$B72&amp;"|delivered",inventory!$R$2:$R$801,0))),""))</f>
        <v/>
      </c>
      <c r="X72" s="30" t="str">
        <f aca="false">IF($A72="","",IFERROR(IF(INDEX(photos!$H$2:$H$701,MATCH($A72&amp;"|"&amp;$B72&amp;"|placement|Y",photos!$R$2:$R$701,0))="","",INDEX(photos!$H$2:$H$701,MATCH($A72&amp;"|"&amp;$B72&amp;"|placement|Y",photos!$R$2:$R$701,0))),""))</f>
        <v/>
      </c>
      <c r="Y72" s="31" t="str">
        <f aca="false">IF($A72="","",IFERROR(IF(INDEX(photos!$E$2:$E$701,MATCH($A72&amp;"|"&amp;$B72&amp;"|placement|Y",photos!$R$2:$R$701,0))="","",INDEX(photos!$E$2:$E$701,MATCH($A72&amp;"|"&amp;$B72&amp;"|placement|Y",photos!$R$2:$R$701,0))),""))</f>
        <v/>
      </c>
      <c r="Z72" s="30" t="str">
        <f aca="false">IF($A72="","",IF(COUNTIFS(counts!$C$2:$C$701,$A72,counts!$D$2:$D$701,$B72,counts!$E$2:$E$701,"placed")=0,"",SUMIFS(counts!$F$2:$F$701,counts!$C$2:$C$701,$A72,counts!$D$2:$D$701,$B72,counts!$E$2:$E$701,"placed")))</f>
        <v/>
      </c>
      <c r="AA72" s="30" t="str">
        <f aca="false">IF($A72="","",IF($Y72="",0,N($Z72)))</f>
        <v/>
      </c>
      <c r="AB72" s="30" t="str">
        <f aca="false">IF($A72="","",IF(OR($Y72="",$I72=""),"N",IF($Y72&lt;=WORKDAY(N($I72),1,calendar!$A$2:$A$80),"Y","N")))</f>
        <v/>
      </c>
      <c r="AC72" s="33" t="str">
        <f aca="false">IF(OR($A72="",$V72="",$Y72=""),"",ROUND(($Y72+N(IFERROR(IF(INDEX(photos!$F$2:$F$701,MATCH($A72&amp;"|"&amp;$B72&amp;"|placement|Y",photos!$R$2:$R$701,0))="","",INDEX(photos!$F$2:$F$701,MATCH($A72&amp;"|"&amp;$B72&amp;"|placement|Y",photos!$R$2:$R$701,0))),""))-$V72)*24,1))</f>
        <v/>
      </c>
      <c r="AD72" s="30" t="str">
        <f aca="false">IF($A72="","",SUMIFS(inventory!$G$2:$G$801,inventory!$C$2:$C$801,$A72,inventory!$D$2:$D$801,$B72,inventory!$E$2:$E$801,"topped_up"))</f>
        <v/>
      </c>
      <c r="AE72" s="30" t="str">
        <f aca="false">IF($A72="","",IF(COUNTIFS(counts!$C$2:$C$701,$A72,counts!$D$2:$D$701,$B72,counts!$E$2:$E$701,"remaining_day3")=0,"",SUMIFS(counts!$F$2:$F$701,counts!$C$2:$C$701,$A72,counts!$D$2:$D$701,$B72,counts!$E$2:$E$701,"remaining_day3")))</f>
        <v/>
      </c>
      <c r="AF72" s="30" t="str">
        <f aca="false">IF($A72="","",IF(COUNTIFS(counts!$C$2:$C$701,$A72,counts!$D$2:$D$701,$B72,counts!$E$2:$E$701,"remaining_day5")=0,"",SUMIFS(counts!$F$2:$F$701,counts!$C$2:$C$701,$A72,counts!$D$2:$D$701,$B72,counts!$E$2:$E$701,"remaining_day5")))</f>
        <v/>
      </c>
      <c r="AG72" s="30" t="str">
        <f aca="false">IF(OR($A72="",$AF72=""),"",MAX(0,$AA72+$AD72-$AF72))</f>
        <v/>
      </c>
      <c r="AH72" s="30" t="str">
        <f aca="false">IF(OR($A72="",$AI72=""),"",IFERROR(IF(INDEX(photos!$H$2:$H$701,MATCH($A72&amp;"|"&amp;$B72&amp;"|later|Y|"&amp;$AI72,photos!$S$2:$S$701,0))="","",INDEX(photos!$H$2:$H$701,MATCH($A72&amp;"|"&amp;$B72&amp;"|later|Y|"&amp;$AI72,photos!$S$2:$S$701,0))),""))</f>
        <v/>
      </c>
      <c r="AI72" s="31" t="str">
        <f aca="false">IF($A72="","",IFERROR(1/(1/SUMPRODUCT(MAX((photos!$B$2:$B$701=$A72)*(photos!$C$2:$C$701=$B72)*(photos!$D$2:$D$701="later")*(photos!$O$2:$O$701="Y")*photos!$E$2:$E$701))),""))</f>
        <v/>
      </c>
      <c r="AJ72" s="30" t="str">
        <f aca="false">IF(OR($A72="",$AI72="",$I72=""),"",NETWORKDAYS($I72,$AI72,calendar!$A$2:$A$80))</f>
        <v/>
      </c>
      <c r="AK72" s="30" t="str">
        <f aca="false">IF($A72="","",IF(AND($X72&lt;&gt;"",$AH72&lt;&gt;""),"Y","N"))</f>
        <v/>
      </c>
      <c r="AL72" s="30" t="str">
        <f aca="true">IF(OR($A72="",$I72=""),"",IF($BC72="Y",SUMIFS(survey_frozen!$C$2:$C$251,survey_frozen!$P$2:$P$251,$A72&amp;"|"&amp;$B72),IFERROR(COUNTIFS(INDIRECT("'"&amp;$A72&amp;"'!$B$2:$B$501"),$T72,INDIRECT("'"&amp;$A72&amp;"'!$A$2:$A$501"),"&gt;="&amp;$I72,INDIRECT("'"&amp;$A72&amp;"'!$A$2:$A$501"),"&lt;"&amp;($BA72+1)),0)))</f>
        <v/>
      </c>
      <c r="AM72" s="30" t="str">
        <f aca="true">IF(OR($A72="",$I72=""),"",IF($BC72="Y",SUMIFS(survey_frozen!$D$2:$D$251,survey_frozen!$P$2:$P$251,$A72&amp;"|"&amp;$B72),IFERROR(COUNTIFS(INDIRECT("'"&amp;$A72&amp;"'!$B$2:$B$501"),$T72,INDIRECT("'"&amp;$A72&amp;"'!$A$2:$A$501"),"&gt;="&amp;$I72,INDIRECT("'"&amp;$A72&amp;"'!$A$2:$A$501"),"&lt;"&amp;($BA72+1),INDIRECT("'"&amp;$A72&amp;"'!$C$2:$C$501"),"Yes"),0)))</f>
        <v/>
      </c>
      <c r="AN72" s="30" t="str">
        <f aca="false">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30" t="str">
        <f aca="false">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30" t="str">
        <f aca="true">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30" t="str">
        <f aca="true">IF(OR($A72="",$I72=""),"",IF($BC72="Y",SUMIFS(survey_frozen!$E$2:$E$251,survey_frozen!$P$2:$P$251,$A72&amp;"|"&amp;$B72),IFERROR(COUNTIFS(INDIRECT("'"&amp;$A72&amp;"'!$B$2:$B$501"),$T72,INDIRECT("'"&amp;$A72&amp;"'!$A$2:$A$501"),"&gt;="&amp;$I72,INDIRECT("'"&amp;$A72&amp;"'!$A$2:$A$501"),"&lt;"&amp;($BA72+1),INDIRECT("'"&amp;$A72&amp;"'!$F$2:$F$501"),"Didn't see it"),0)))</f>
        <v/>
      </c>
      <c r="AR72" s="30" t="str">
        <f aca="true">IF(OR($A72="",$I72=""),"",IF($BC72="Y",SUMIFS(survey_frozen!$F$2:$F$251,survey_frozen!$P$2:$P$251,$A72&amp;"|"&amp;$B72),IFERROR(COUNTIFS(INDIRECT("'"&amp;$A72&amp;"'!$B$2:$B$501"),$T72,INDIRECT("'"&amp;$A72&amp;"'!$A$2:$A$501"),"&gt;="&amp;$I72,INDIRECT("'"&amp;$A72&amp;"'!$A$2:$A$501"),"&lt;"&amp;($BA72+1),INDIRECT("'"&amp;$A72&amp;"'!$F$2:$F$501"),"Not for me"),0)))</f>
        <v/>
      </c>
      <c r="AS72" s="30" t="str">
        <f aca="true">IF(OR($A72="",$I72=""),"",IF($BC72="Y",SUMIFS(survey_frozen!$G$2:$G$251,survey_frozen!$P$2:$P$251,$A72&amp;"|"&amp;$B72),IFERROR(COUNTIFS(INDIRECT("'"&amp;$A72&amp;"'!$B$2:$B$501"),$T72,INDIRECT("'"&amp;$A72&amp;"'!$A$2:$A$501"),"&gt;="&amp;$I72,INDIRECT("'"&amp;$A72&amp;"'!$A$2:$A$501"),"&lt;"&amp;($BA72+1),INDIRECT("'"&amp;$A72&amp;"'!$F$2:$F$501"),"Gone by the time I looked"),0)))</f>
        <v/>
      </c>
      <c r="AT72" s="30" t="str">
        <f aca="true">IF(OR($A72="",$I72=""),"",IF($BC72="Y",SUMIFS(survey_frozen!$H$2:$H$251,survey_frozen!$P$2:$P$251,$A72&amp;"|"&amp;$B72),IFERROR(COUNTIFS(INDIRECT("'"&amp;$A72&amp;"'!$B$2:$B$501"),$T72,INDIRECT("'"&amp;$A72&amp;"'!$A$2:$A$501"),"&gt;="&amp;$I72,INDIRECT("'"&amp;$A72&amp;"'!$A$2:$A$501"),"&lt;"&amp;($BA72+1),INDIRECT("'"&amp;$A72&amp;"'!$D$2:$D$501"),"&gt;=1"),0)))</f>
        <v/>
      </c>
      <c r="AU72" s="30" t="str">
        <f aca="true">IF(OR($A72="",$I72=""),"",IF($BC72="Y",SUMIFS(survey_frozen!$I$2:$I$251,survey_frozen!$P$2:$P$251,$A72&amp;"|"&amp;$B72),IFERROR(SUMIFS(INDIRECT("'"&amp;$A72&amp;"'!$D$2:$D$501"),INDIRECT("'"&amp;$A72&amp;"'!$B$2:$B$501"),$T72,INDIRECT("'"&amp;$A72&amp;"'!$A$2:$A$501"),"&gt;="&amp;$I72,INDIRECT("'"&amp;$A72&amp;"'!$A$2:$A$501"),"&lt;"&amp;($BA72+1)),0)))</f>
        <v/>
      </c>
      <c r="AV72" s="30" t="str">
        <f aca="true">IF(OR($A72="",$I72=""),"",IF($BC72="Y",SUMIFS(survey_frozen!$J$2:$J$251,survey_frozen!$P$2:$P$251,$A72&amp;"|"&amp;$B72),IFERROR(COUNTIFS(INDIRECT("'"&amp;$A72&amp;"'!$B$2:$B$501"),$T72,INDIRECT("'"&amp;$A72&amp;"'!$A$2:$A$501"),"&gt;="&amp;$I72,INDIRECT("'"&amp;$A72&amp;"'!$A$2:$A$501"),"&lt;"&amp;($BA72+1),INDIRECT("'"&amp;$A72&amp;"'!$E$2:$E$501"),"Yes"),0)))</f>
        <v/>
      </c>
      <c r="AW72" s="30" t="str">
        <f aca="true">IF(OR($A72="",$I72=""),"",IF($BC72="Y",SUMIFS(survey_frozen!$K$2:$K$251,survey_frozen!$P$2:$P$251,$A72&amp;"|"&amp;$B72),IFERROR(COUNTIFS(INDIRECT("'"&amp;$A72&amp;"'!$B$2:$B$501"),$T72,INDIRECT("'"&amp;$A72&amp;"'!$A$2:$A$501"),"&gt;="&amp;$I72,INDIRECT("'"&amp;$A72&amp;"'!$A$2:$A$501"),"&lt;"&amp;($BA72+1),INDIRECT("'"&amp;$A72&amp;"'!$E$2:$E$501"),"Maybe"),0)))</f>
        <v/>
      </c>
      <c r="AX72" s="30" t="str">
        <f aca="true">IF(OR($A72="",$I72=""),"",IF($BC72="Y",SUMIFS(survey_frozen!$L$2:$L$251,survey_frozen!$P$2:$P$251,$A72&amp;"|"&amp;$B72),IFERROR(COUNTIFS(INDIRECT("'"&amp;$A72&amp;"'!$B$2:$B$501"),$T72,INDIRECT("'"&amp;$A72&amp;"'!$A$2:$A$501"),"&gt;="&amp;$I72,INDIRECT("'"&amp;$A72&amp;"'!$A$2:$A$501"),"&lt;"&amp;($BA72+1),INDIRECT("'"&amp;$A72&amp;"'!$E$2:$E$501"),"No"),0)))</f>
        <v/>
      </c>
      <c r="AY72" s="30" t="str">
        <f aca="true">IF(OR($A72="",$I72=""),"",IF($BC72="Y",SUMIFS(survey_frozen!$M$2:$M$251,survey_frozen!$P$2:$P$251,$A72&amp;"|"&amp;$B72),IFERROR(COUNTIFS(INDIRECT("'"&amp;$A72&amp;"'!$B$2:$B$501"),$T72,INDIRECT("'"&amp;$A72&amp;"'!$A$2:$A$501"),"&gt;="&amp;$I72,INDIRECT("'"&amp;$A72&amp;"'!$A$2:$A$501"),"&lt;"&amp;($BA72+1),INDIRECT("'"&amp;$A72&amp;"'!$G$2:$G$501"),"&lt;&gt;"),0)))</f>
        <v/>
      </c>
      <c r="AZ72" s="30" t="str">
        <f aca="false">IF($A72="","",$A72&amp;"|"&amp;$L72)</f>
        <v/>
      </c>
      <c r="BA72" s="31" t="str">
        <f aca="false">IF($A72="","",IFERROR(IF(INDEX(drops!$R$2:$R$21,MATCH($H72,drops!$A$2:$A$21,0))="","",INDEX(drops!$R$2:$R$21,MATCH($H72,drops!$A$2:$A$21,0))),""))</f>
        <v/>
      </c>
      <c r="BB72" s="30" t="n">
        <f aca="false">IF(OR($A72="",$Q72&lt;&gt;"Y"),1000000,N($AL72))</f>
        <v>1000000</v>
      </c>
      <c r="BC72" s="30" t="str">
        <f aca="false">IF($A72="","",IF(COUNTIF(survey_frozen!$P$2:$P$251,$A72&amp;"|"&amp;$B72)&gt;0,"Y",""))</f>
        <v/>
      </c>
      <c r="BD72" s="30" t="str">
        <f aca="false">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ustomFormat="false" ht="15" hidden="false" customHeight="false" outlineLevel="0" collapsed="false">
      <c r="C73" s="11"/>
      <c r="D73" s="10"/>
      <c r="E73" s="11"/>
      <c r="H73" s="30" t="str">
        <f aca="false">IF($A73="","",IFERROR(IF(INDEX(campaigns!$B$2:$B$51,MATCH($A73,campaigns!$A$2:$A$51,0))="","",INDEX(campaigns!$B$2:$B$51,MATCH($A73,campaigns!$A$2:$A$51,0))),""))</f>
        <v/>
      </c>
      <c r="I73" s="31" t="str">
        <f aca="false">IF($A73="","",IFERROR(IF(INDEX(campaigns!$BG$2:$BG$51,MATCH($A73,campaigns!$A$2:$A$51,0))="","",INDEX(campaigns!$BG$2:$BG$51,MATCH($A73,campaigns!$A$2:$A$51,0))),""))</f>
        <v/>
      </c>
      <c r="J73" s="30" t="str">
        <f aca="false">IF($A73="","",IFERROR(IF(INDEX(campaigns!$BE$2:$BE$51,MATCH($A73,campaigns!$A$2:$A$51,0))="","",INDEX(campaigns!$BE$2:$BE$51,MATCH($A73,campaigns!$A$2:$A$51,0))),""))</f>
        <v/>
      </c>
      <c r="K73" s="30" t="str">
        <f aca="false">IF($B73="","",IFERROR(IF(INDEX(offices!$O$2:$O$61,MATCH($B73,offices!$A$2:$A$61,0))="","",INDEX(offices!$O$2:$O$61,MATCH($B73,offices!$A$2:$A$61,0))),""))</f>
        <v/>
      </c>
      <c r="L73" s="30" t="str">
        <f aca="false">IF($A73="","",IF($Q73="N","",COUNTIFS($A$2:$A73,$A73,$Q$2:$Q73,"&lt;&gt;N")))</f>
        <v/>
      </c>
      <c r="M73" s="30" t="str">
        <f aca="false">IF(OR($A73="",$L73=""),"",IF(AND(config!$B$34="names_if_public",IFERROR(IF(INDEX(offices!$AG$2:$AG$61,MATCH($B73,offices!$A$2:$A$61,0))="","",INDEX(offices!$AG$2:$AG$61,MATCH($B73,offices!$A$2:$A$61,0))),"")="Y"),$K73,CHAR(64+$L73)))</f>
        <v/>
      </c>
      <c r="N73" s="30" t="str">
        <f aca="false">IF(OR($A73="",$I73=""),"",COUNTIFS(stops!$B$2:$B$151,$B73,stops!$P$2:$P$151,"&lt;"&amp;$I73,stops!$L$2:$L$151,"&lt;&gt;not_delivered")+1)</f>
        <v/>
      </c>
      <c r="O73" s="30" t="str">
        <f aca="false">IF($A73="","",IF(N($N73)&lt;=config!$B$29,"explicit","opt-out"))</f>
        <v/>
      </c>
      <c r="P73" s="30" t="str">
        <f aca="false">IF($A73="","",IF($O73="explicit",IF($D73="yes","Y",IF($D73="no","N","pending")),IF($D73="no","N",IF(AND($C73&lt;&gt;"",$I73&lt;&gt;"",$C73&lt;=WORKDAY(N($I73),-5,calendar!$A$2:$A$80)),"Y","pending"))))</f>
        <v/>
      </c>
      <c r="Q73" s="30" t="str">
        <f aca="false">IF($A73="","",IF($P73="N","N",IF($P73&lt;&gt;"Y","pending",IF(AND((COUNTIFS(stops!$A$2:$A$151,$H73,stops!$B$2:$B$151,$B73,stops!$L$2:$L$151,"declined")+COUNTIFS(stops!$A$2:$A$151,$H73,stops!$B$2:$B$151,$B73,stops!$L$2:$L$151,"building_refused")+COUNTIFS(stops!$A$2:$A$151,$H73,stops!$B$2:$B$151,$B73,stops!$L$2:$L$151,"not_delivered"))&gt;0,N($U73)=0),"N","Y"))))</f>
        <v/>
      </c>
      <c r="R73" s="30" t="str">
        <f aca="false">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30" t="str">
        <f aca="false">IF($A73="","",IF($G73&lt;&gt;"",$G73,IFERROR(IF(INDEX(offices!$AM$2:$AM$61,MATCH($B73,offices!$A$2:$A$61,0))="","",INDEX(offices!$AM$2:$AM$61,MATCH($B73,offices!$A$2:$A$61,0))),"")))</f>
        <v/>
      </c>
      <c r="T73" s="30" t="str">
        <f aca="false">IF($A73="","",$A73&amp;"."&amp;$B73)</f>
        <v/>
      </c>
      <c r="U73" s="30" t="str">
        <f aca="false">IF($A73="","",SUMIFS(inventory!$G$2:$G$801,inventory!$C$2:$C$801,$A73,inventory!$D$2:$D$801,$B73,inventory!$E$2:$E$801,"delivered"))</f>
        <v/>
      </c>
      <c r="V73" s="37" t="str">
        <f aca="false">IF($A73="","",IFERROR(1/(1/SUMPRODUCT(MAX((inventory!$C$2:$C$801=$A73)*(inventory!$D$2:$D$801=$B73)*(inventory!$E$2:$E$801="delivered")*(inventory!$A$2:$A$801+inventory!$B$2:$B$801)))),""))</f>
        <v/>
      </c>
      <c r="W73" s="30" t="str">
        <f aca="false">IF($A73="","",IFERROR(IF(INDEX(inventory!$J$2:$J$801,MATCH($A73&amp;"|"&amp;$B73&amp;"|delivered",inventory!$R$2:$R$801,0))="","",INDEX(inventory!$J$2:$J$801,MATCH($A73&amp;"|"&amp;$B73&amp;"|delivered",inventory!$R$2:$R$801,0))),""))</f>
        <v/>
      </c>
      <c r="X73" s="30" t="str">
        <f aca="false">IF($A73="","",IFERROR(IF(INDEX(photos!$H$2:$H$701,MATCH($A73&amp;"|"&amp;$B73&amp;"|placement|Y",photos!$R$2:$R$701,0))="","",INDEX(photos!$H$2:$H$701,MATCH($A73&amp;"|"&amp;$B73&amp;"|placement|Y",photos!$R$2:$R$701,0))),""))</f>
        <v/>
      </c>
      <c r="Y73" s="31" t="str">
        <f aca="false">IF($A73="","",IFERROR(IF(INDEX(photos!$E$2:$E$701,MATCH($A73&amp;"|"&amp;$B73&amp;"|placement|Y",photos!$R$2:$R$701,0))="","",INDEX(photos!$E$2:$E$701,MATCH($A73&amp;"|"&amp;$B73&amp;"|placement|Y",photos!$R$2:$R$701,0))),""))</f>
        <v/>
      </c>
      <c r="Z73" s="30" t="str">
        <f aca="false">IF($A73="","",IF(COUNTIFS(counts!$C$2:$C$701,$A73,counts!$D$2:$D$701,$B73,counts!$E$2:$E$701,"placed")=0,"",SUMIFS(counts!$F$2:$F$701,counts!$C$2:$C$701,$A73,counts!$D$2:$D$701,$B73,counts!$E$2:$E$701,"placed")))</f>
        <v/>
      </c>
      <c r="AA73" s="30" t="str">
        <f aca="false">IF($A73="","",IF($Y73="",0,N($Z73)))</f>
        <v/>
      </c>
      <c r="AB73" s="30" t="str">
        <f aca="false">IF($A73="","",IF(OR($Y73="",$I73=""),"N",IF($Y73&lt;=WORKDAY(N($I73),1,calendar!$A$2:$A$80),"Y","N")))</f>
        <v/>
      </c>
      <c r="AC73" s="33" t="str">
        <f aca="false">IF(OR($A73="",$V73="",$Y73=""),"",ROUND(($Y73+N(IFERROR(IF(INDEX(photos!$F$2:$F$701,MATCH($A73&amp;"|"&amp;$B73&amp;"|placement|Y",photos!$R$2:$R$701,0))="","",INDEX(photos!$F$2:$F$701,MATCH($A73&amp;"|"&amp;$B73&amp;"|placement|Y",photos!$R$2:$R$701,0))),""))-$V73)*24,1))</f>
        <v/>
      </c>
      <c r="AD73" s="30" t="str">
        <f aca="false">IF($A73="","",SUMIFS(inventory!$G$2:$G$801,inventory!$C$2:$C$801,$A73,inventory!$D$2:$D$801,$B73,inventory!$E$2:$E$801,"topped_up"))</f>
        <v/>
      </c>
      <c r="AE73" s="30" t="str">
        <f aca="false">IF($A73="","",IF(COUNTIFS(counts!$C$2:$C$701,$A73,counts!$D$2:$D$701,$B73,counts!$E$2:$E$701,"remaining_day3")=0,"",SUMIFS(counts!$F$2:$F$701,counts!$C$2:$C$701,$A73,counts!$D$2:$D$701,$B73,counts!$E$2:$E$701,"remaining_day3")))</f>
        <v/>
      </c>
      <c r="AF73" s="30" t="str">
        <f aca="false">IF($A73="","",IF(COUNTIFS(counts!$C$2:$C$701,$A73,counts!$D$2:$D$701,$B73,counts!$E$2:$E$701,"remaining_day5")=0,"",SUMIFS(counts!$F$2:$F$701,counts!$C$2:$C$701,$A73,counts!$D$2:$D$701,$B73,counts!$E$2:$E$701,"remaining_day5")))</f>
        <v/>
      </c>
      <c r="AG73" s="30" t="str">
        <f aca="false">IF(OR($A73="",$AF73=""),"",MAX(0,$AA73+$AD73-$AF73))</f>
        <v/>
      </c>
      <c r="AH73" s="30" t="str">
        <f aca="false">IF(OR($A73="",$AI73=""),"",IFERROR(IF(INDEX(photos!$H$2:$H$701,MATCH($A73&amp;"|"&amp;$B73&amp;"|later|Y|"&amp;$AI73,photos!$S$2:$S$701,0))="","",INDEX(photos!$H$2:$H$701,MATCH($A73&amp;"|"&amp;$B73&amp;"|later|Y|"&amp;$AI73,photos!$S$2:$S$701,0))),""))</f>
        <v/>
      </c>
      <c r="AI73" s="31" t="str">
        <f aca="false">IF($A73="","",IFERROR(1/(1/SUMPRODUCT(MAX((photos!$B$2:$B$701=$A73)*(photos!$C$2:$C$701=$B73)*(photos!$D$2:$D$701="later")*(photos!$O$2:$O$701="Y")*photos!$E$2:$E$701))),""))</f>
        <v/>
      </c>
      <c r="AJ73" s="30" t="str">
        <f aca="false">IF(OR($A73="",$AI73="",$I73=""),"",NETWORKDAYS($I73,$AI73,calendar!$A$2:$A$80))</f>
        <v/>
      </c>
      <c r="AK73" s="30" t="str">
        <f aca="false">IF($A73="","",IF(AND($X73&lt;&gt;"",$AH73&lt;&gt;""),"Y","N"))</f>
        <v/>
      </c>
      <c r="AL73" s="30" t="str">
        <f aca="true">IF(OR($A73="",$I73=""),"",IF($BC73="Y",SUMIFS(survey_frozen!$C$2:$C$251,survey_frozen!$P$2:$P$251,$A73&amp;"|"&amp;$B73),IFERROR(COUNTIFS(INDIRECT("'"&amp;$A73&amp;"'!$B$2:$B$501"),$T73,INDIRECT("'"&amp;$A73&amp;"'!$A$2:$A$501"),"&gt;="&amp;$I73,INDIRECT("'"&amp;$A73&amp;"'!$A$2:$A$501"),"&lt;"&amp;($BA73+1)),0)))</f>
        <v/>
      </c>
      <c r="AM73" s="30" t="str">
        <f aca="true">IF(OR($A73="",$I73=""),"",IF($BC73="Y",SUMIFS(survey_frozen!$D$2:$D$251,survey_frozen!$P$2:$P$251,$A73&amp;"|"&amp;$B73),IFERROR(COUNTIFS(INDIRECT("'"&amp;$A73&amp;"'!$B$2:$B$501"),$T73,INDIRECT("'"&amp;$A73&amp;"'!$A$2:$A$501"),"&gt;="&amp;$I73,INDIRECT("'"&amp;$A73&amp;"'!$A$2:$A$501"),"&lt;"&amp;($BA73+1),INDIRECT("'"&amp;$A73&amp;"'!$C$2:$C$501"),"Yes"),0)))</f>
        <v/>
      </c>
      <c r="AN73" s="30" t="str">
        <f aca="false">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30" t="str">
        <f aca="false">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30" t="str">
        <f aca="true">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30" t="str">
        <f aca="true">IF(OR($A73="",$I73=""),"",IF($BC73="Y",SUMIFS(survey_frozen!$E$2:$E$251,survey_frozen!$P$2:$P$251,$A73&amp;"|"&amp;$B73),IFERROR(COUNTIFS(INDIRECT("'"&amp;$A73&amp;"'!$B$2:$B$501"),$T73,INDIRECT("'"&amp;$A73&amp;"'!$A$2:$A$501"),"&gt;="&amp;$I73,INDIRECT("'"&amp;$A73&amp;"'!$A$2:$A$501"),"&lt;"&amp;($BA73+1),INDIRECT("'"&amp;$A73&amp;"'!$F$2:$F$501"),"Didn't see it"),0)))</f>
        <v/>
      </c>
      <c r="AR73" s="30" t="str">
        <f aca="true">IF(OR($A73="",$I73=""),"",IF($BC73="Y",SUMIFS(survey_frozen!$F$2:$F$251,survey_frozen!$P$2:$P$251,$A73&amp;"|"&amp;$B73),IFERROR(COUNTIFS(INDIRECT("'"&amp;$A73&amp;"'!$B$2:$B$501"),$T73,INDIRECT("'"&amp;$A73&amp;"'!$A$2:$A$501"),"&gt;="&amp;$I73,INDIRECT("'"&amp;$A73&amp;"'!$A$2:$A$501"),"&lt;"&amp;($BA73+1),INDIRECT("'"&amp;$A73&amp;"'!$F$2:$F$501"),"Not for me"),0)))</f>
        <v/>
      </c>
      <c r="AS73" s="30" t="str">
        <f aca="true">IF(OR($A73="",$I73=""),"",IF($BC73="Y",SUMIFS(survey_frozen!$G$2:$G$251,survey_frozen!$P$2:$P$251,$A73&amp;"|"&amp;$B73),IFERROR(COUNTIFS(INDIRECT("'"&amp;$A73&amp;"'!$B$2:$B$501"),$T73,INDIRECT("'"&amp;$A73&amp;"'!$A$2:$A$501"),"&gt;="&amp;$I73,INDIRECT("'"&amp;$A73&amp;"'!$A$2:$A$501"),"&lt;"&amp;($BA73+1),INDIRECT("'"&amp;$A73&amp;"'!$F$2:$F$501"),"Gone by the time I looked"),0)))</f>
        <v/>
      </c>
      <c r="AT73" s="30" t="str">
        <f aca="true">IF(OR($A73="",$I73=""),"",IF($BC73="Y",SUMIFS(survey_frozen!$H$2:$H$251,survey_frozen!$P$2:$P$251,$A73&amp;"|"&amp;$B73),IFERROR(COUNTIFS(INDIRECT("'"&amp;$A73&amp;"'!$B$2:$B$501"),$T73,INDIRECT("'"&amp;$A73&amp;"'!$A$2:$A$501"),"&gt;="&amp;$I73,INDIRECT("'"&amp;$A73&amp;"'!$A$2:$A$501"),"&lt;"&amp;($BA73+1),INDIRECT("'"&amp;$A73&amp;"'!$D$2:$D$501"),"&gt;=1"),0)))</f>
        <v/>
      </c>
      <c r="AU73" s="30" t="str">
        <f aca="true">IF(OR($A73="",$I73=""),"",IF($BC73="Y",SUMIFS(survey_frozen!$I$2:$I$251,survey_frozen!$P$2:$P$251,$A73&amp;"|"&amp;$B73),IFERROR(SUMIFS(INDIRECT("'"&amp;$A73&amp;"'!$D$2:$D$501"),INDIRECT("'"&amp;$A73&amp;"'!$B$2:$B$501"),$T73,INDIRECT("'"&amp;$A73&amp;"'!$A$2:$A$501"),"&gt;="&amp;$I73,INDIRECT("'"&amp;$A73&amp;"'!$A$2:$A$501"),"&lt;"&amp;($BA73+1)),0)))</f>
        <v/>
      </c>
      <c r="AV73" s="30" t="str">
        <f aca="true">IF(OR($A73="",$I73=""),"",IF($BC73="Y",SUMIFS(survey_frozen!$J$2:$J$251,survey_frozen!$P$2:$P$251,$A73&amp;"|"&amp;$B73),IFERROR(COUNTIFS(INDIRECT("'"&amp;$A73&amp;"'!$B$2:$B$501"),$T73,INDIRECT("'"&amp;$A73&amp;"'!$A$2:$A$501"),"&gt;="&amp;$I73,INDIRECT("'"&amp;$A73&amp;"'!$A$2:$A$501"),"&lt;"&amp;($BA73+1),INDIRECT("'"&amp;$A73&amp;"'!$E$2:$E$501"),"Yes"),0)))</f>
        <v/>
      </c>
      <c r="AW73" s="30" t="str">
        <f aca="true">IF(OR($A73="",$I73=""),"",IF($BC73="Y",SUMIFS(survey_frozen!$K$2:$K$251,survey_frozen!$P$2:$P$251,$A73&amp;"|"&amp;$B73),IFERROR(COUNTIFS(INDIRECT("'"&amp;$A73&amp;"'!$B$2:$B$501"),$T73,INDIRECT("'"&amp;$A73&amp;"'!$A$2:$A$501"),"&gt;="&amp;$I73,INDIRECT("'"&amp;$A73&amp;"'!$A$2:$A$501"),"&lt;"&amp;($BA73+1),INDIRECT("'"&amp;$A73&amp;"'!$E$2:$E$501"),"Maybe"),0)))</f>
        <v/>
      </c>
      <c r="AX73" s="30" t="str">
        <f aca="true">IF(OR($A73="",$I73=""),"",IF($BC73="Y",SUMIFS(survey_frozen!$L$2:$L$251,survey_frozen!$P$2:$P$251,$A73&amp;"|"&amp;$B73),IFERROR(COUNTIFS(INDIRECT("'"&amp;$A73&amp;"'!$B$2:$B$501"),$T73,INDIRECT("'"&amp;$A73&amp;"'!$A$2:$A$501"),"&gt;="&amp;$I73,INDIRECT("'"&amp;$A73&amp;"'!$A$2:$A$501"),"&lt;"&amp;($BA73+1),INDIRECT("'"&amp;$A73&amp;"'!$E$2:$E$501"),"No"),0)))</f>
        <v/>
      </c>
      <c r="AY73" s="30" t="str">
        <f aca="true">IF(OR($A73="",$I73=""),"",IF($BC73="Y",SUMIFS(survey_frozen!$M$2:$M$251,survey_frozen!$P$2:$P$251,$A73&amp;"|"&amp;$B73),IFERROR(COUNTIFS(INDIRECT("'"&amp;$A73&amp;"'!$B$2:$B$501"),$T73,INDIRECT("'"&amp;$A73&amp;"'!$A$2:$A$501"),"&gt;="&amp;$I73,INDIRECT("'"&amp;$A73&amp;"'!$A$2:$A$501"),"&lt;"&amp;($BA73+1),INDIRECT("'"&amp;$A73&amp;"'!$G$2:$G$501"),"&lt;&gt;"),0)))</f>
        <v/>
      </c>
      <c r="AZ73" s="30" t="str">
        <f aca="false">IF($A73="","",$A73&amp;"|"&amp;$L73)</f>
        <v/>
      </c>
      <c r="BA73" s="31" t="str">
        <f aca="false">IF($A73="","",IFERROR(IF(INDEX(drops!$R$2:$R$21,MATCH($H73,drops!$A$2:$A$21,0))="","",INDEX(drops!$R$2:$R$21,MATCH($H73,drops!$A$2:$A$21,0))),""))</f>
        <v/>
      </c>
      <c r="BB73" s="30" t="n">
        <f aca="false">IF(OR($A73="",$Q73&lt;&gt;"Y"),1000000,N($AL73))</f>
        <v>1000000</v>
      </c>
      <c r="BC73" s="30" t="str">
        <f aca="false">IF($A73="","",IF(COUNTIF(survey_frozen!$P$2:$P$251,$A73&amp;"|"&amp;$B73)&gt;0,"Y",""))</f>
        <v/>
      </c>
      <c r="BD73" s="30" t="str">
        <f aca="false">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ustomFormat="false" ht="15" hidden="false" customHeight="false" outlineLevel="0" collapsed="false">
      <c r="C74" s="11"/>
      <c r="D74" s="10"/>
      <c r="E74" s="11"/>
      <c r="H74" s="30" t="str">
        <f aca="false">IF($A74="","",IFERROR(IF(INDEX(campaigns!$B$2:$B$51,MATCH($A74,campaigns!$A$2:$A$51,0))="","",INDEX(campaigns!$B$2:$B$51,MATCH($A74,campaigns!$A$2:$A$51,0))),""))</f>
        <v/>
      </c>
      <c r="I74" s="31" t="str">
        <f aca="false">IF($A74="","",IFERROR(IF(INDEX(campaigns!$BG$2:$BG$51,MATCH($A74,campaigns!$A$2:$A$51,0))="","",INDEX(campaigns!$BG$2:$BG$51,MATCH($A74,campaigns!$A$2:$A$51,0))),""))</f>
        <v/>
      </c>
      <c r="J74" s="30" t="str">
        <f aca="false">IF($A74="","",IFERROR(IF(INDEX(campaigns!$BE$2:$BE$51,MATCH($A74,campaigns!$A$2:$A$51,0))="","",INDEX(campaigns!$BE$2:$BE$51,MATCH($A74,campaigns!$A$2:$A$51,0))),""))</f>
        <v/>
      </c>
      <c r="K74" s="30" t="str">
        <f aca="false">IF($B74="","",IFERROR(IF(INDEX(offices!$O$2:$O$61,MATCH($B74,offices!$A$2:$A$61,0))="","",INDEX(offices!$O$2:$O$61,MATCH($B74,offices!$A$2:$A$61,0))),""))</f>
        <v/>
      </c>
      <c r="L74" s="30" t="str">
        <f aca="false">IF($A74="","",IF($Q74="N","",COUNTIFS($A$2:$A74,$A74,$Q$2:$Q74,"&lt;&gt;N")))</f>
        <v/>
      </c>
      <c r="M74" s="30" t="str">
        <f aca="false">IF(OR($A74="",$L74=""),"",IF(AND(config!$B$34="names_if_public",IFERROR(IF(INDEX(offices!$AG$2:$AG$61,MATCH($B74,offices!$A$2:$A$61,0))="","",INDEX(offices!$AG$2:$AG$61,MATCH($B74,offices!$A$2:$A$61,0))),"")="Y"),$K74,CHAR(64+$L74)))</f>
        <v/>
      </c>
      <c r="N74" s="30" t="str">
        <f aca="false">IF(OR($A74="",$I74=""),"",COUNTIFS(stops!$B$2:$B$151,$B74,stops!$P$2:$P$151,"&lt;"&amp;$I74,stops!$L$2:$L$151,"&lt;&gt;not_delivered")+1)</f>
        <v/>
      </c>
      <c r="O74" s="30" t="str">
        <f aca="false">IF($A74="","",IF(N($N74)&lt;=config!$B$29,"explicit","opt-out"))</f>
        <v/>
      </c>
      <c r="P74" s="30" t="str">
        <f aca="false">IF($A74="","",IF($O74="explicit",IF($D74="yes","Y",IF($D74="no","N","pending")),IF($D74="no","N",IF(AND($C74&lt;&gt;"",$I74&lt;&gt;"",$C74&lt;=WORKDAY(N($I74),-5,calendar!$A$2:$A$80)),"Y","pending"))))</f>
        <v/>
      </c>
      <c r="Q74" s="30" t="str">
        <f aca="false">IF($A74="","",IF($P74="N","N",IF($P74&lt;&gt;"Y","pending",IF(AND((COUNTIFS(stops!$A$2:$A$151,$H74,stops!$B$2:$B$151,$B74,stops!$L$2:$L$151,"declined")+COUNTIFS(stops!$A$2:$A$151,$H74,stops!$B$2:$B$151,$B74,stops!$L$2:$L$151,"building_refused")+COUNTIFS(stops!$A$2:$A$151,$H74,stops!$B$2:$B$151,$B74,stops!$L$2:$L$151,"not_delivered"))&gt;0,N($U74)=0),"N","Y"))))</f>
        <v/>
      </c>
      <c r="R74" s="30" t="str">
        <f aca="false">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30" t="str">
        <f aca="false">IF($A74="","",IF($G74&lt;&gt;"",$G74,IFERROR(IF(INDEX(offices!$AM$2:$AM$61,MATCH($B74,offices!$A$2:$A$61,0))="","",INDEX(offices!$AM$2:$AM$61,MATCH($B74,offices!$A$2:$A$61,0))),"")))</f>
        <v/>
      </c>
      <c r="T74" s="30" t="str">
        <f aca="false">IF($A74="","",$A74&amp;"."&amp;$B74)</f>
        <v/>
      </c>
      <c r="U74" s="30" t="str">
        <f aca="false">IF($A74="","",SUMIFS(inventory!$G$2:$G$801,inventory!$C$2:$C$801,$A74,inventory!$D$2:$D$801,$B74,inventory!$E$2:$E$801,"delivered"))</f>
        <v/>
      </c>
      <c r="V74" s="37" t="str">
        <f aca="false">IF($A74="","",IFERROR(1/(1/SUMPRODUCT(MAX((inventory!$C$2:$C$801=$A74)*(inventory!$D$2:$D$801=$B74)*(inventory!$E$2:$E$801="delivered")*(inventory!$A$2:$A$801+inventory!$B$2:$B$801)))),""))</f>
        <v/>
      </c>
      <c r="W74" s="30" t="str">
        <f aca="false">IF($A74="","",IFERROR(IF(INDEX(inventory!$J$2:$J$801,MATCH($A74&amp;"|"&amp;$B74&amp;"|delivered",inventory!$R$2:$R$801,0))="","",INDEX(inventory!$J$2:$J$801,MATCH($A74&amp;"|"&amp;$B74&amp;"|delivered",inventory!$R$2:$R$801,0))),""))</f>
        <v/>
      </c>
      <c r="X74" s="30" t="str">
        <f aca="false">IF($A74="","",IFERROR(IF(INDEX(photos!$H$2:$H$701,MATCH($A74&amp;"|"&amp;$B74&amp;"|placement|Y",photos!$R$2:$R$701,0))="","",INDEX(photos!$H$2:$H$701,MATCH($A74&amp;"|"&amp;$B74&amp;"|placement|Y",photos!$R$2:$R$701,0))),""))</f>
        <v/>
      </c>
      <c r="Y74" s="31" t="str">
        <f aca="false">IF($A74="","",IFERROR(IF(INDEX(photos!$E$2:$E$701,MATCH($A74&amp;"|"&amp;$B74&amp;"|placement|Y",photos!$R$2:$R$701,0))="","",INDEX(photos!$E$2:$E$701,MATCH($A74&amp;"|"&amp;$B74&amp;"|placement|Y",photos!$R$2:$R$701,0))),""))</f>
        <v/>
      </c>
      <c r="Z74" s="30" t="str">
        <f aca="false">IF($A74="","",IF(COUNTIFS(counts!$C$2:$C$701,$A74,counts!$D$2:$D$701,$B74,counts!$E$2:$E$701,"placed")=0,"",SUMIFS(counts!$F$2:$F$701,counts!$C$2:$C$701,$A74,counts!$D$2:$D$701,$B74,counts!$E$2:$E$701,"placed")))</f>
        <v/>
      </c>
      <c r="AA74" s="30" t="str">
        <f aca="false">IF($A74="","",IF($Y74="",0,N($Z74)))</f>
        <v/>
      </c>
      <c r="AB74" s="30" t="str">
        <f aca="false">IF($A74="","",IF(OR($Y74="",$I74=""),"N",IF($Y74&lt;=WORKDAY(N($I74),1,calendar!$A$2:$A$80),"Y","N")))</f>
        <v/>
      </c>
      <c r="AC74" s="33" t="str">
        <f aca="false">IF(OR($A74="",$V74="",$Y74=""),"",ROUND(($Y74+N(IFERROR(IF(INDEX(photos!$F$2:$F$701,MATCH($A74&amp;"|"&amp;$B74&amp;"|placement|Y",photos!$R$2:$R$701,0))="","",INDEX(photos!$F$2:$F$701,MATCH($A74&amp;"|"&amp;$B74&amp;"|placement|Y",photos!$R$2:$R$701,0))),""))-$V74)*24,1))</f>
        <v/>
      </c>
      <c r="AD74" s="30" t="str">
        <f aca="false">IF($A74="","",SUMIFS(inventory!$G$2:$G$801,inventory!$C$2:$C$801,$A74,inventory!$D$2:$D$801,$B74,inventory!$E$2:$E$801,"topped_up"))</f>
        <v/>
      </c>
      <c r="AE74" s="30" t="str">
        <f aca="false">IF($A74="","",IF(COUNTIFS(counts!$C$2:$C$701,$A74,counts!$D$2:$D$701,$B74,counts!$E$2:$E$701,"remaining_day3")=0,"",SUMIFS(counts!$F$2:$F$701,counts!$C$2:$C$701,$A74,counts!$D$2:$D$701,$B74,counts!$E$2:$E$701,"remaining_day3")))</f>
        <v/>
      </c>
      <c r="AF74" s="30" t="str">
        <f aca="false">IF($A74="","",IF(COUNTIFS(counts!$C$2:$C$701,$A74,counts!$D$2:$D$701,$B74,counts!$E$2:$E$701,"remaining_day5")=0,"",SUMIFS(counts!$F$2:$F$701,counts!$C$2:$C$701,$A74,counts!$D$2:$D$701,$B74,counts!$E$2:$E$701,"remaining_day5")))</f>
        <v/>
      </c>
      <c r="AG74" s="30" t="str">
        <f aca="false">IF(OR($A74="",$AF74=""),"",MAX(0,$AA74+$AD74-$AF74))</f>
        <v/>
      </c>
      <c r="AH74" s="30" t="str">
        <f aca="false">IF(OR($A74="",$AI74=""),"",IFERROR(IF(INDEX(photos!$H$2:$H$701,MATCH($A74&amp;"|"&amp;$B74&amp;"|later|Y|"&amp;$AI74,photos!$S$2:$S$701,0))="","",INDEX(photos!$H$2:$H$701,MATCH($A74&amp;"|"&amp;$B74&amp;"|later|Y|"&amp;$AI74,photos!$S$2:$S$701,0))),""))</f>
        <v/>
      </c>
      <c r="AI74" s="31" t="str">
        <f aca="false">IF($A74="","",IFERROR(1/(1/SUMPRODUCT(MAX((photos!$B$2:$B$701=$A74)*(photos!$C$2:$C$701=$B74)*(photos!$D$2:$D$701="later")*(photos!$O$2:$O$701="Y")*photos!$E$2:$E$701))),""))</f>
        <v/>
      </c>
      <c r="AJ74" s="30" t="str">
        <f aca="false">IF(OR($A74="",$AI74="",$I74=""),"",NETWORKDAYS($I74,$AI74,calendar!$A$2:$A$80))</f>
        <v/>
      </c>
      <c r="AK74" s="30" t="str">
        <f aca="false">IF($A74="","",IF(AND($X74&lt;&gt;"",$AH74&lt;&gt;""),"Y","N"))</f>
        <v/>
      </c>
      <c r="AL74" s="30" t="str">
        <f aca="true">IF(OR($A74="",$I74=""),"",IF($BC74="Y",SUMIFS(survey_frozen!$C$2:$C$251,survey_frozen!$P$2:$P$251,$A74&amp;"|"&amp;$B74),IFERROR(COUNTIFS(INDIRECT("'"&amp;$A74&amp;"'!$B$2:$B$501"),$T74,INDIRECT("'"&amp;$A74&amp;"'!$A$2:$A$501"),"&gt;="&amp;$I74,INDIRECT("'"&amp;$A74&amp;"'!$A$2:$A$501"),"&lt;"&amp;($BA74+1)),0)))</f>
        <v/>
      </c>
      <c r="AM74" s="30" t="str">
        <f aca="true">IF(OR($A74="",$I74=""),"",IF($BC74="Y",SUMIFS(survey_frozen!$D$2:$D$251,survey_frozen!$P$2:$P$251,$A74&amp;"|"&amp;$B74),IFERROR(COUNTIFS(INDIRECT("'"&amp;$A74&amp;"'!$B$2:$B$501"),$T74,INDIRECT("'"&amp;$A74&amp;"'!$A$2:$A$501"),"&gt;="&amp;$I74,INDIRECT("'"&amp;$A74&amp;"'!$A$2:$A$501"),"&lt;"&amp;($BA74+1),INDIRECT("'"&amp;$A74&amp;"'!$C$2:$C$501"),"Yes"),0)))</f>
        <v/>
      </c>
      <c r="AN74" s="30" t="str">
        <f aca="false">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30" t="str">
        <f aca="false">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30" t="str">
        <f aca="true">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30" t="str">
        <f aca="true">IF(OR($A74="",$I74=""),"",IF($BC74="Y",SUMIFS(survey_frozen!$E$2:$E$251,survey_frozen!$P$2:$P$251,$A74&amp;"|"&amp;$B74),IFERROR(COUNTIFS(INDIRECT("'"&amp;$A74&amp;"'!$B$2:$B$501"),$T74,INDIRECT("'"&amp;$A74&amp;"'!$A$2:$A$501"),"&gt;="&amp;$I74,INDIRECT("'"&amp;$A74&amp;"'!$A$2:$A$501"),"&lt;"&amp;($BA74+1),INDIRECT("'"&amp;$A74&amp;"'!$F$2:$F$501"),"Didn't see it"),0)))</f>
        <v/>
      </c>
      <c r="AR74" s="30" t="str">
        <f aca="true">IF(OR($A74="",$I74=""),"",IF($BC74="Y",SUMIFS(survey_frozen!$F$2:$F$251,survey_frozen!$P$2:$P$251,$A74&amp;"|"&amp;$B74),IFERROR(COUNTIFS(INDIRECT("'"&amp;$A74&amp;"'!$B$2:$B$501"),$T74,INDIRECT("'"&amp;$A74&amp;"'!$A$2:$A$501"),"&gt;="&amp;$I74,INDIRECT("'"&amp;$A74&amp;"'!$A$2:$A$501"),"&lt;"&amp;($BA74+1),INDIRECT("'"&amp;$A74&amp;"'!$F$2:$F$501"),"Not for me"),0)))</f>
        <v/>
      </c>
      <c r="AS74" s="30" t="str">
        <f aca="true">IF(OR($A74="",$I74=""),"",IF($BC74="Y",SUMIFS(survey_frozen!$G$2:$G$251,survey_frozen!$P$2:$P$251,$A74&amp;"|"&amp;$B74),IFERROR(COUNTIFS(INDIRECT("'"&amp;$A74&amp;"'!$B$2:$B$501"),$T74,INDIRECT("'"&amp;$A74&amp;"'!$A$2:$A$501"),"&gt;="&amp;$I74,INDIRECT("'"&amp;$A74&amp;"'!$A$2:$A$501"),"&lt;"&amp;($BA74+1),INDIRECT("'"&amp;$A74&amp;"'!$F$2:$F$501"),"Gone by the time I looked"),0)))</f>
        <v/>
      </c>
      <c r="AT74" s="30" t="str">
        <f aca="true">IF(OR($A74="",$I74=""),"",IF($BC74="Y",SUMIFS(survey_frozen!$H$2:$H$251,survey_frozen!$P$2:$P$251,$A74&amp;"|"&amp;$B74),IFERROR(COUNTIFS(INDIRECT("'"&amp;$A74&amp;"'!$B$2:$B$501"),$T74,INDIRECT("'"&amp;$A74&amp;"'!$A$2:$A$501"),"&gt;="&amp;$I74,INDIRECT("'"&amp;$A74&amp;"'!$A$2:$A$501"),"&lt;"&amp;($BA74+1),INDIRECT("'"&amp;$A74&amp;"'!$D$2:$D$501"),"&gt;=1"),0)))</f>
        <v/>
      </c>
      <c r="AU74" s="30" t="str">
        <f aca="true">IF(OR($A74="",$I74=""),"",IF($BC74="Y",SUMIFS(survey_frozen!$I$2:$I$251,survey_frozen!$P$2:$P$251,$A74&amp;"|"&amp;$B74),IFERROR(SUMIFS(INDIRECT("'"&amp;$A74&amp;"'!$D$2:$D$501"),INDIRECT("'"&amp;$A74&amp;"'!$B$2:$B$501"),$T74,INDIRECT("'"&amp;$A74&amp;"'!$A$2:$A$501"),"&gt;="&amp;$I74,INDIRECT("'"&amp;$A74&amp;"'!$A$2:$A$501"),"&lt;"&amp;($BA74+1)),0)))</f>
        <v/>
      </c>
      <c r="AV74" s="30" t="str">
        <f aca="true">IF(OR($A74="",$I74=""),"",IF($BC74="Y",SUMIFS(survey_frozen!$J$2:$J$251,survey_frozen!$P$2:$P$251,$A74&amp;"|"&amp;$B74),IFERROR(COUNTIFS(INDIRECT("'"&amp;$A74&amp;"'!$B$2:$B$501"),$T74,INDIRECT("'"&amp;$A74&amp;"'!$A$2:$A$501"),"&gt;="&amp;$I74,INDIRECT("'"&amp;$A74&amp;"'!$A$2:$A$501"),"&lt;"&amp;($BA74+1),INDIRECT("'"&amp;$A74&amp;"'!$E$2:$E$501"),"Yes"),0)))</f>
        <v/>
      </c>
      <c r="AW74" s="30" t="str">
        <f aca="true">IF(OR($A74="",$I74=""),"",IF($BC74="Y",SUMIFS(survey_frozen!$K$2:$K$251,survey_frozen!$P$2:$P$251,$A74&amp;"|"&amp;$B74),IFERROR(COUNTIFS(INDIRECT("'"&amp;$A74&amp;"'!$B$2:$B$501"),$T74,INDIRECT("'"&amp;$A74&amp;"'!$A$2:$A$501"),"&gt;="&amp;$I74,INDIRECT("'"&amp;$A74&amp;"'!$A$2:$A$501"),"&lt;"&amp;($BA74+1),INDIRECT("'"&amp;$A74&amp;"'!$E$2:$E$501"),"Maybe"),0)))</f>
        <v/>
      </c>
      <c r="AX74" s="30" t="str">
        <f aca="true">IF(OR($A74="",$I74=""),"",IF($BC74="Y",SUMIFS(survey_frozen!$L$2:$L$251,survey_frozen!$P$2:$P$251,$A74&amp;"|"&amp;$B74),IFERROR(COUNTIFS(INDIRECT("'"&amp;$A74&amp;"'!$B$2:$B$501"),$T74,INDIRECT("'"&amp;$A74&amp;"'!$A$2:$A$501"),"&gt;="&amp;$I74,INDIRECT("'"&amp;$A74&amp;"'!$A$2:$A$501"),"&lt;"&amp;($BA74+1),INDIRECT("'"&amp;$A74&amp;"'!$E$2:$E$501"),"No"),0)))</f>
        <v/>
      </c>
      <c r="AY74" s="30" t="str">
        <f aca="true">IF(OR($A74="",$I74=""),"",IF($BC74="Y",SUMIFS(survey_frozen!$M$2:$M$251,survey_frozen!$P$2:$P$251,$A74&amp;"|"&amp;$B74),IFERROR(COUNTIFS(INDIRECT("'"&amp;$A74&amp;"'!$B$2:$B$501"),$T74,INDIRECT("'"&amp;$A74&amp;"'!$A$2:$A$501"),"&gt;="&amp;$I74,INDIRECT("'"&amp;$A74&amp;"'!$A$2:$A$501"),"&lt;"&amp;($BA74+1),INDIRECT("'"&amp;$A74&amp;"'!$G$2:$G$501"),"&lt;&gt;"),0)))</f>
        <v/>
      </c>
      <c r="AZ74" s="30" t="str">
        <f aca="false">IF($A74="","",$A74&amp;"|"&amp;$L74)</f>
        <v/>
      </c>
      <c r="BA74" s="31" t="str">
        <f aca="false">IF($A74="","",IFERROR(IF(INDEX(drops!$R$2:$R$21,MATCH($H74,drops!$A$2:$A$21,0))="","",INDEX(drops!$R$2:$R$21,MATCH($H74,drops!$A$2:$A$21,0))),""))</f>
        <v/>
      </c>
      <c r="BB74" s="30" t="n">
        <f aca="false">IF(OR($A74="",$Q74&lt;&gt;"Y"),1000000,N($AL74))</f>
        <v>1000000</v>
      </c>
      <c r="BC74" s="30" t="str">
        <f aca="false">IF($A74="","",IF(COUNTIF(survey_frozen!$P$2:$P$251,$A74&amp;"|"&amp;$B74)&gt;0,"Y",""))</f>
        <v/>
      </c>
      <c r="BD74" s="30" t="str">
        <f aca="false">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ustomFormat="false" ht="15" hidden="false" customHeight="false" outlineLevel="0" collapsed="false">
      <c r="C75" s="11"/>
      <c r="D75" s="10"/>
      <c r="E75" s="11"/>
      <c r="H75" s="30" t="str">
        <f aca="false">IF($A75="","",IFERROR(IF(INDEX(campaigns!$B$2:$B$51,MATCH($A75,campaigns!$A$2:$A$51,0))="","",INDEX(campaigns!$B$2:$B$51,MATCH($A75,campaigns!$A$2:$A$51,0))),""))</f>
        <v/>
      </c>
      <c r="I75" s="31" t="str">
        <f aca="false">IF($A75="","",IFERROR(IF(INDEX(campaigns!$BG$2:$BG$51,MATCH($A75,campaigns!$A$2:$A$51,0))="","",INDEX(campaigns!$BG$2:$BG$51,MATCH($A75,campaigns!$A$2:$A$51,0))),""))</f>
        <v/>
      </c>
      <c r="J75" s="30" t="str">
        <f aca="false">IF($A75="","",IFERROR(IF(INDEX(campaigns!$BE$2:$BE$51,MATCH($A75,campaigns!$A$2:$A$51,0))="","",INDEX(campaigns!$BE$2:$BE$51,MATCH($A75,campaigns!$A$2:$A$51,0))),""))</f>
        <v/>
      </c>
      <c r="K75" s="30" t="str">
        <f aca="false">IF($B75="","",IFERROR(IF(INDEX(offices!$O$2:$O$61,MATCH($B75,offices!$A$2:$A$61,0))="","",INDEX(offices!$O$2:$O$61,MATCH($B75,offices!$A$2:$A$61,0))),""))</f>
        <v/>
      </c>
      <c r="L75" s="30" t="str">
        <f aca="false">IF($A75="","",IF($Q75="N","",COUNTIFS($A$2:$A75,$A75,$Q$2:$Q75,"&lt;&gt;N")))</f>
        <v/>
      </c>
      <c r="M75" s="30" t="str">
        <f aca="false">IF(OR($A75="",$L75=""),"",IF(AND(config!$B$34="names_if_public",IFERROR(IF(INDEX(offices!$AG$2:$AG$61,MATCH($B75,offices!$A$2:$A$61,0))="","",INDEX(offices!$AG$2:$AG$61,MATCH($B75,offices!$A$2:$A$61,0))),"")="Y"),$K75,CHAR(64+$L75)))</f>
        <v/>
      </c>
      <c r="N75" s="30" t="str">
        <f aca="false">IF(OR($A75="",$I75=""),"",COUNTIFS(stops!$B$2:$B$151,$B75,stops!$P$2:$P$151,"&lt;"&amp;$I75,stops!$L$2:$L$151,"&lt;&gt;not_delivered")+1)</f>
        <v/>
      </c>
      <c r="O75" s="30" t="str">
        <f aca="false">IF($A75="","",IF(N($N75)&lt;=config!$B$29,"explicit","opt-out"))</f>
        <v/>
      </c>
      <c r="P75" s="30" t="str">
        <f aca="false">IF($A75="","",IF($O75="explicit",IF($D75="yes","Y",IF($D75="no","N","pending")),IF($D75="no","N",IF(AND($C75&lt;&gt;"",$I75&lt;&gt;"",$C75&lt;=WORKDAY(N($I75),-5,calendar!$A$2:$A$80)),"Y","pending"))))</f>
        <v/>
      </c>
      <c r="Q75" s="30" t="str">
        <f aca="false">IF($A75="","",IF($P75="N","N",IF($P75&lt;&gt;"Y","pending",IF(AND((COUNTIFS(stops!$A$2:$A$151,$H75,stops!$B$2:$B$151,$B75,stops!$L$2:$L$151,"declined")+COUNTIFS(stops!$A$2:$A$151,$H75,stops!$B$2:$B$151,$B75,stops!$L$2:$L$151,"building_refused")+COUNTIFS(stops!$A$2:$A$151,$H75,stops!$B$2:$B$151,$B75,stops!$L$2:$L$151,"not_delivered"))&gt;0,N($U75)=0),"N","Y"))))</f>
        <v/>
      </c>
      <c r="R75" s="30" t="str">
        <f aca="false">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30" t="str">
        <f aca="false">IF($A75="","",IF($G75&lt;&gt;"",$G75,IFERROR(IF(INDEX(offices!$AM$2:$AM$61,MATCH($B75,offices!$A$2:$A$61,0))="","",INDEX(offices!$AM$2:$AM$61,MATCH($B75,offices!$A$2:$A$61,0))),"")))</f>
        <v/>
      </c>
      <c r="T75" s="30" t="str">
        <f aca="false">IF($A75="","",$A75&amp;"."&amp;$B75)</f>
        <v/>
      </c>
      <c r="U75" s="30" t="str">
        <f aca="false">IF($A75="","",SUMIFS(inventory!$G$2:$G$801,inventory!$C$2:$C$801,$A75,inventory!$D$2:$D$801,$B75,inventory!$E$2:$E$801,"delivered"))</f>
        <v/>
      </c>
      <c r="V75" s="37" t="str">
        <f aca="false">IF($A75="","",IFERROR(1/(1/SUMPRODUCT(MAX((inventory!$C$2:$C$801=$A75)*(inventory!$D$2:$D$801=$B75)*(inventory!$E$2:$E$801="delivered")*(inventory!$A$2:$A$801+inventory!$B$2:$B$801)))),""))</f>
        <v/>
      </c>
      <c r="W75" s="30" t="str">
        <f aca="false">IF($A75="","",IFERROR(IF(INDEX(inventory!$J$2:$J$801,MATCH($A75&amp;"|"&amp;$B75&amp;"|delivered",inventory!$R$2:$R$801,0))="","",INDEX(inventory!$J$2:$J$801,MATCH($A75&amp;"|"&amp;$B75&amp;"|delivered",inventory!$R$2:$R$801,0))),""))</f>
        <v/>
      </c>
      <c r="X75" s="30" t="str">
        <f aca="false">IF($A75="","",IFERROR(IF(INDEX(photos!$H$2:$H$701,MATCH($A75&amp;"|"&amp;$B75&amp;"|placement|Y",photos!$R$2:$R$701,0))="","",INDEX(photos!$H$2:$H$701,MATCH($A75&amp;"|"&amp;$B75&amp;"|placement|Y",photos!$R$2:$R$701,0))),""))</f>
        <v/>
      </c>
      <c r="Y75" s="31" t="str">
        <f aca="false">IF($A75="","",IFERROR(IF(INDEX(photos!$E$2:$E$701,MATCH($A75&amp;"|"&amp;$B75&amp;"|placement|Y",photos!$R$2:$R$701,0))="","",INDEX(photos!$E$2:$E$701,MATCH($A75&amp;"|"&amp;$B75&amp;"|placement|Y",photos!$R$2:$R$701,0))),""))</f>
        <v/>
      </c>
      <c r="Z75" s="30" t="str">
        <f aca="false">IF($A75="","",IF(COUNTIFS(counts!$C$2:$C$701,$A75,counts!$D$2:$D$701,$B75,counts!$E$2:$E$701,"placed")=0,"",SUMIFS(counts!$F$2:$F$701,counts!$C$2:$C$701,$A75,counts!$D$2:$D$701,$B75,counts!$E$2:$E$701,"placed")))</f>
        <v/>
      </c>
      <c r="AA75" s="30" t="str">
        <f aca="false">IF($A75="","",IF($Y75="",0,N($Z75)))</f>
        <v/>
      </c>
      <c r="AB75" s="30" t="str">
        <f aca="false">IF($A75="","",IF(OR($Y75="",$I75=""),"N",IF($Y75&lt;=WORKDAY(N($I75),1,calendar!$A$2:$A$80),"Y","N")))</f>
        <v/>
      </c>
      <c r="AC75" s="33" t="str">
        <f aca="false">IF(OR($A75="",$V75="",$Y75=""),"",ROUND(($Y75+N(IFERROR(IF(INDEX(photos!$F$2:$F$701,MATCH($A75&amp;"|"&amp;$B75&amp;"|placement|Y",photos!$R$2:$R$701,0))="","",INDEX(photos!$F$2:$F$701,MATCH($A75&amp;"|"&amp;$B75&amp;"|placement|Y",photos!$R$2:$R$701,0))),""))-$V75)*24,1))</f>
        <v/>
      </c>
      <c r="AD75" s="30" t="str">
        <f aca="false">IF($A75="","",SUMIFS(inventory!$G$2:$G$801,inventory!$C$2:$C$801,$A75,inventory!$D$2:$D$801,$B75,inventory!$E$2:$E$801,"topped_up"))</f>
        <v/>
      </c>
      <c r="AE75" s="30" t="str">
        <f aca="false">IF($A75="","",IF(COUNTIFS(counts!$C$2:$C$701,$A75,counts!$D$2:$D$701,$B75,counts!$E$2:$E$701,"remaining_day3")=0,"",SUMIFS(counts!$F$2:$F$701,counts!$C$2:$C$701,$A75,counts!$D$2:$D$701,$B75,counts!$E$2:$E$701,"remaining_day3")))</f>
        <v/>
      </c>
      <c r="AF75" s="30" t="str">
        <f aca="false">IF($A75="","",IF(COUNTIFS(counts!$C$2:$C$701,$A75,counts!$D$2:$D$701,$B75,counts!$E$2:$E$701,"remaining_day5")=0,"",SUMIFS(counts!$F$2:$F$701,counts!$C$2:$C$701,$A75,counts!$D$2:$D$701,$B75,counts!$E$2:$E$701,"remaining_day5")))</f>
        <v/>
      </c>
      <c r="AG75" s="30" t="str">
        <f aca="false">IF(OR($A75="",$AF75=""),"",MAX(0,$AA75+$AD75-$AF75))</f>
        <v/>
      </c>
      <c r="AH75" s="30" t="str">
        <f aca="false">IF(OR($A75="",$AI75=""),"",IFERROR(IF(INDEX(photos!$H$2:$H$701,MATCH($A75&amp;"|"&amp;$B75&amp;"|later|Y|"&amp;$AI75,photos!$S$2:$S$701,0))="","",INDEX(photos!$H$2:$H$701,MATCH($A75&amp;"|"&amp;$B75&amp;"|later|Y|"&amp;$AI75,photos!$S$2:$S$701,0))),""))</f>
        <v/>
      </c>
      <c r="AI75" s="31" t="str">
        <f aca="false">IF($A75="","",IFERROR(1/(1/SUMPRODUCT(MAX((photos!$B$2:$B$701=$A75)*(photos!$C$2:$C$701=$B75)*(photos!$D$2:$D$701="later")*(photos!$O$2:$O$701="Y")*photos!$E$2:$E$701))),""))</f>
        <v/>
      </c>
      <c r="AJ75" s="30" t="str">
        <f aca="false">IF(OR($A75="",$AI75="",$I75=""),"",NETWORKDAYS($I75,$AI75,calendar!$A$2:$A$80))</f>
        <v/>
      </c>
      <c r="AK75" s="30" t="str">
        <f aca="false">IF($A75="","",IF(AND($X75&lt;&gt;"",$AH75&lt;&gt;""),"Y","N"))</f>
        <v/>
      </c>
      <c r="AL75" s="30" t="str">
        <f aca="true">IF(OR($A75="",$I75=""),"",IF($BC75="Y",SUMIFS(survey_frozen!$C$2:$C$251,survey_frozen!$P$2:$P$251,$A75&amp;"|"&amp;$B75),IFERROR(COUNTIFS(INDIRECT("'"&amp;$A75&amp;"'!$B$2:$B$501"),$T75,INDIRECT("'"&amp;$A75&amp;"'!$A$2:$A$501"),"&gt;="&amp;$I75,INDIRECT("'"&amp;$A75&amp;"'!$A$2:$A$501"),"&lt;"&amp;($BA75+1)),0)))</f>
        <v/>
      </c>
      <c r="AM75" s="30" t="str">
        <f aca="true">IF(OR($A75="",$I75=""),"",IF($BC75="Y",SUMIFS(survey_frozen!$D$2:$D$251,survey_frozen!$P$2:$P$251,$A75&amp;"|"&amp;$B75),IFERROR(COUNTIFS(INDIRECT("'"&amp;$A75&amp;"'!$B$2:$B$501"),$T75,INDIRECT("'"&amp;$A75&amp;"'!$A$2:$A$501"),"&gt;="&amp;$I75,INDIRECT("'"&amp;$A75&amp;"'!$A$2:$A$501"),"&lt;"&amp;($BA75+1),INDIRECT("'"&amp;$A75&amp;"'!$C$2:$C$501"),"Yes"),0)))</f>
        <v/>
      </c>
      <c r="AN75" s="30" t="str">
        <f aca="false">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30" t="str">
        <f aca="false">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30" t="str">
        <f aca="true">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30" t="str">
        <f aca="true">IF(OR($A75="",$I75=""),"",IF($BC75="Y",SUMIFS(survey_frozen!$E$2:$E$251,survey_frozen!$P$2:$P$251,$A75&amp;"|"&amp;$B75),IFERROR(COUNTIFS(INDIRECT("'"&amp;$A75&amp;"'!$B$2:$B$501"),$T75,INDIRECT("'"&amp;$A75&amp;"'!$A$2:$A$501"),"&gt;="&amp;$I75,INDIRECT("'"&amp;$A75&amp;"'!$A$2:$A$501"),"&lt;"&amp;($BA75+1),INDIRECT("'"&amp;$A75&amp;"'!$F$2:$F$501"),"Didn't see it"),0)))</f>
        <v/>
      </c>
      <c r="AR75" s="30" t="str">
        <f aca="true">IF(OR($A75="",$I75=""),"",IF($BC75="Y",SUMIFS(survey_frozen!$F$2:$F$251,survey_frozen!$P$2:$P$251,$A75&amp;"|"&amp;$B75),IFERROR(COUNTIFS(INDIRECT("'"&amp;$A75&amp;"'!$B$2:$B$501"),$T75,INDIRECT("'"&amp;$A75&amp;"'!$A$2:$A$501"),"&gt;="&amp;$I75,INDIRECT("'"&amp;$A75&amp;"'!$A$2:$A$501"),"&lt;"&amp;($BA75+1),INDIRECT("'"&amp;$A75&amp;"'!$F$2:$F$501"),"Not for me"),0)))</f>
        <v/>
      </c>
      <c r="AS75" s="30" t="str">
        <f aca="true">IF(OR($A75="",$I75=""),"",IF($BC75="Y",SUMIFS(survey_frozen!$G$2:$G$251,survey_frozen!$P$2:$P$251,$A75&amp;"|"&amp;$B75),IFERROR(COUNTIFS(INDIRECT("'"&amp;$A75&amp;"'!$B$2:$B$501"),$T75,INDIRECT("'"&amp;$A75&amp;"'!$A$2:$A$501"),"&gt;="&amp;$I75,INDIRECT("'"&amp;$A75&amp;"'!$A$2:$A$501"),"&lt;"&amp;($BA75+1),INDIRECT("'"&amp;$A75&amp;"'!$F$2:$F$501"),"Gone by the time I looked"),0)))</f>
        <v/>
      </c>
      <c r="AT75" s="30" t="str">
        <f aca="true">IF(OR($A75="",$I75=""),"",IF($BC75="Y",SUMIFS(survey_frozen!$H$2:$H$251,survey_frozen!$P$2:$P$251,$A75&amp;"|"&amp;$B75),IFERROR(COUNTIFS(INDIRECT("'"&amp;$A75&amp;"'!$B$2:$B$501"),$T75,INDIRECT("'"&amp;$A75&amp;"'!$A$2:$A$501"),"&gt;="&amp;$I75,INDIRECT("'"&amp;$A75&amp;"'!$A$2:$A$501"),"&lt;"&amp;($BA75+1),INDIRECT("'"&amp;$A75&amp;"'!$D$2:$D$501"),"&gt;=1"),0)))</f>
        <v/>
      </c>
      <c r="AU75" s="30" t="str">
        <f aca="true">IF(OR($A75="",$I75=""),"",IF($BC75="Y",SUMIFS(survey_frozen!$I$2:$I$251,survey_frozen!$P$2:$P$251,$A75&amp;"|"&amp;$B75),IFERROR(SUMIFS(INDIRECT("'"&amp;$A75&amp;"'!$D$2:$D$501"),INDIRECT("'"&amp;$A75&amp;"'!$B$2:$B$501"),$T75,INDIRECT("'"&amp;$A75&amp;"'!$A$2:$A$501"),"&gt;="&amp;$I75,INDIRECT("'"&amp;$A75&amp;"'!$A$2:$A$501"),"&lt;"&amp;($BA75+1)),0)))</f>
        <v/>
      </c>
      <c r="AV75" s="30" t="str">
        <f aca="true">IF(OR($A75="",$I75=""),"",IF($BC75="Y",SUMIFS(survey_frozen!$J$2:$J$251,survey_frozen!$P$2:$P$251,$A75&amp;"|"&amp;$B75),IFERROR(COUNTIFS(INDIRECT("'"&amp;$A75&amp;"'!$B$2:$B$501"),$T75,INDIRECT("'"&amp;$A75&amp;"'!$A$2:$A$501"),"&gt;="&amp;$I75,INDIRECT("'"&amp;$A75&amp;"'!$A$2:$A$501"),"&lt;"&amp;($BA75+1),INDIRECT("'"&amp;$A75&amp;"'!$E$2:$E$501"),"Yes"),0)))</f>
        <v/>
      </c>
      <c r="AW75" s="30" t="str">
        <f aca="true">IF(OR($A75="",$I75=""),"",IF($BC75="Y",SUMIFS(survey_frozen!$K$2:$K$251,survey_frozen!$P$2:$P$251,$A75&amp;"|"&amp;$B75),IFERROR(COUNTIFS(INDIRECT("'"&amp;$A75&amp;"'!$B$2:$B$501"),$T75,INDIRECT("'"&amp;$A75&amp;"'!$A$2:$A$501"),"&gt;="&amp;$I75,INDIRECT("'"&amp;$A75&amp;"'!$A$2:$A$501"),"&lt;"&amp;($BA75+1),INDIRECT("'"&amp;$A75&amp;"'!$E$2:$E$501"),"Maybe"),0)))</f>
        <v/>
      </c>
      <c r="AX75" s="30" t="str">
        <f aca="true">IF(OR($A75="",$I75=""),"",IF($BC75="Y",SUMIFS(survey_frozen!$L$2:$L$251,survey_frozen!$P$2:$P$251,$A75&amp;"|"&amp;$B75),IFERROR(COUNTIFS(INDIRECT("'"&amp;$A75&amp;"'!$B$2:$B$501"),$T75,INDIRECT("'"&amp;$A75&amp;"'!$A$2:$A$501"),"&gt;="&amp;$I75,INDIRECT("'"&amp;$A75&amp;"'!$A$2:$A$501"),"&lt;"&amp;($BA75+1),INDIRECT("'"&amp;$A75&amp;"'!$E$2:$E$501"),"No"),0)))</f>
        <v/>
      </c>
      <c r="AY75" s="30" t="str">
        <f aca="true">IF(OR($A75="",$I75=""),"",IF($BC75="Y",SUMIFS(survey_frozen!$M$2:$M$251,survey_frozen!$P$2:$P$251,$A75&amp;"|"&amp;$B75),IFERROR(COUNTIFS(INDIRECT("'"&amp;$A75&amp;"'!$B$2:$B$501"),$T75,INDIRECT("'"&amp;$A75&amp;"'!$A$2:$A$501"),"&gt;="&amp;$I75,INDIRECT("'"&amp;$A75&amp;"'!$A$2:$A$501"),"&lt;"&amp;($BA75+1),INDIRECT("'"&amp;$A75&amp;"'!$G$2:$G$501"),"&lt;&gt;"),0)))</f>
        <v/>
      </c>
      <c r="AZ75" s="30" t="str">
        <f aca="false">IF($A75="","",$A75&amp;"|"&amp;$L75)</f>
        <v/>
      </c>
      <c r="BA75" s="31" t="str">
        <f aca="false">IF($A75="","",IFERROR(IF(INDEX(drops!$R$2:$R$21,MATCH($H75,drops!$A$2:$A$21,0))="","",INDEX(drops!$R$2:$R$21,MATCH($H75,drops!$A$2:$A$21,0))),""))</f>
        <v/>
      </c>
      <c r="BB75" s="30" t="n">
        <f aca="false">IF(OR($A75="",$Q75&lt;&gt;"Y"),1000000,N($AL75))</f>
        <v>1000000</v>
      </c>
      <c r="BC75" s="30" t="str">
        <f aca="false">IF($A75="","",IF(COUNTIF(survey_frozen!$P$2:$P$251,$A75&amp;"|"&amp;$B75)&gt;0,"Y",""))</f>
        <v/>
      </c>
      <c r="BD75" s="30" t="str">
        <f aca="false">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ustomFormat="false" ht="15" hidden="false" customHeight="false" outlineLevel="0" collapsed="false">
      <c r="C76" s="11"/>
      <c r="D76" s="10"/>
      <c r="E76" s="11"/>
      <c r="H76" s="30" t="str">
        <f aca="false">IF($A76="","",IFERROR(IF(INDEX(campaigns!$B$2:$B$51,MATCH($A76,campaigns!$A$2:$A$51,0))="","",INDEX(campaigns!$B$2:$B$51,MATCH($A76,campaigns!$A$2:$A$51,0))),""))</f>
        <v/>
      </c>
      <c r="I76" s="31" t="str">
        <f aca="false">IF($A76="","",IFERROR(IF(INDEX(campaigns!$BG$2:$BG$51,MATCH($A76,campaigns!$A$2:$A$51,0))="","",INDEX(campaigns!$BG$2:$BG$51,MATCH($A76,campaigns!$A$2:$A$51,0))),""))</f>
        <v/>
      </c>
      <c r="J76" s="30" t="str">
        <f aca="false">IF($A76="","",IFERROR(IF(INDEX(campaigns!$BE$2:$BE$51,MATCH($A76,campaigns!$A$2:$A$51,0))="","",INDEX(campaigns!$BE$2:$BE$51,MATCH($A76,campaigns!$A$2:$A$51,0))),""))</f>
        <v/>
      </c>
      <c r="K76" s="30" t="str">
        <f aca="false">IF($B76="","",IFERROR(IF(INDEX(offices!$O$2:$O$61,MATCH($B76,offices!$A$2:$A$61,0))="","",INDEX(offices!$O$2:$O$61,MATCH($B76,offices!$A$2:$A$61,0))),""))</f>
        <v/>
      </c>
      <c r="L76" s="30" t="str">
        <f aca="false">IF($A76="","",IF($Q76="N","",COUNTIFS($A$2:$A76,$A76,$Q$2:$Q76,"&lt;&gt;N")))</f>
        <v/>
      </c>
      <c r="M76" s="30" t="str">
        <f aca="false">IF(OR($A76="",$L76=""),"",IF(AND(config!$B$34="names_if_public",IFERROR(IF(INDEX(offices!$AG$2:$AG$61,MATCH($B76,offices!$A$2:$A$61,0))="","",INDEX(offices!$AG$2:$AG$61,MATCH($B76,offices!$A$2:$A$61,0))),"")="Y"),$K76,CHAR(64+$L76)))</f>
        <v/>
      </c>
      <c r="N76" s="30" t="str">
        <f aca="false">IF(OR($A76="",$I76=""),"",COUNTIFS(stops!$B$2:$B$151,$B76,stops!$P$2:$P$151,"&lt;"&amp;$I76,stops!$L$2:$L$151,"&lt;&gt;not_delivered")+1)</f>
        <v/>
      </c>
      <c r="O76" s="30" t="str">
        <f aca="false">IF($A76="","",IF(N($N76)&lt;=config!$B$29,"explicit","opt-out"))</f>
        <v/>
      </c>
      <c r="P76" s="30" t="str">
        <f aca="false">IF($A76="","",IF($O76="explicit",IF($D76="yes","Y",IF($D76="no","N","pending")),IF($D76="no","N",IF(AND($C76&lt;&gt;"",$I76&lt;&gt;"",$C76&lt;=WORKDAY(N($I76),-5,calendar!$A$2:$A$80)),"Y","pending"))))</f>
        <v/>
      </c>
      <c r="Q76" s="30" t="str">
        <f aca="false">IF($A76="","",IF($P76="N","N",IF($P76&lt;&gt;"Y","pending",IF(AND((COUNTIFS(stops!$A$2:$A$151,$H76,stops!$B$2:$B$151,$B76,stops!$L$2:$L$151,"declined")+COUNTIFS(stops!$A$2:$A$151,$H76,stops!$B$2:$B$151,$B76,stops!$L$2:$L$151,"building_refused")+COUNTIFS(stops!$A$2:$A$151,$H76,stops!$B$2:$B$151,$B76,stops!$L$2:$L$151,"not_delivered"))&gt;0,N($U76)=0),"N","Y"))))</f>
        <v/>
      </c>
      <c r="R76" s="30" t="str">
        <f aca="false">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30" t="str">
        <f aca="false">IF($A76="","",IF($G76&lt;&gt;"",$G76,IFERROR(IF(INDEX(offices!$AM$2:$AM$61,MATCH($B76,offices!$A$2:$A$61,0))="","",INDEX(offices!$AM$2:$AM$61,MATCH($B76,offices!$A$2:$A$61,0))),"")))</f>
        <v/>
      </c>
      <c r="T76" s="30" t="str">
        <f aca="false">IF($A76="","",$A76&amp;"."&amp;$B76)</f>
        <v/>
      </c>
      <c r="U76" s="30" t="str">
        <f aca="false">IF($A76="","",SUMIFS(inventory!$G$2:$G$801,inventory!$C$2:$C$801,$A76,inventory!$D$2:$D$801,$B76,inventory!$E$2:$E$801,"delivered"))</f>
        <v/>
      </c>
      <c r="V76" s="37" t="str">
        <f aca="false">IF($A76="","",IFERROR(1/(1/SUMPRODUCT(MAX((inventory!$C$2:$C$801=$A76)*(inventory!$D$2:$D$801=$B76)*(inventory!$E$2:$E$801="delivered")*(inventory!$A$2:$A$801+inventory!$B$2:$B$801)))),""))</f>
        <v/>
      </c>
      <c r="W76" s="30" t="str">
        <f aca="false">IF($A76="","",IFERROR(IF(INDEX(inventory!$J$2:$J$801,MATCH($A76&amp;"|"&amp;$B76&amp;"|delivered",inventory!$R$2:$R$801,0))="","",INDEX(inventory!$J$2:$J$801,MATCH($A76&amp;"|"&amp;$B76&amp;"|delivered",inventory!$R$2:$R$801,0))),""))</f>
        <v/>
      </c>
      <c r="X76" s="30" t="str">
        <f aca="false">IF($A76="","",IFERROR(IF(INDEX(photos!$H$2:$H$701,MATCH($A76&amp;"|"&amp;$B76&amp;"|placement|Y",photos!$R$2:$R$701,0))="","",INDEX(photos!$H$2:$H$701,MATCH($A76&amp;"|"&amp;$B76&amp;"|placement|Y",photos!$R$2:$R$701,0))),""))</f>
        <v/>
      </c>
      <c r="Y76" s="31" t="str">
        <f aca="false">IF($A76="","",IFERROR(IF(INDEX(photos!$E$2:$E$701,MATCH($A76&amp;"|"&amp;$B76&amp;"|placement|Y",photos!$R$2:$R$701,0))="","",INDEX(photos!$E$2:$E$701,MATCH($A76&amp;"|"&amp;$B76&amp;"|placement|Y",photos!$R$2:$R$701,0))),""))</f>
        <v/>
      </c>
      <c r="Z76" s="30" t="str">
        <f aca="false">IF($A76="","",IF(COUNTIFS(counts!$C$2:$C$701,$A76,counts!$D$2:$D$701,$B76,counts!$E$2:$E$701,"placed")=0,"",SUMIFS(counts!$F$2:$F$701,counts!$C$2:$C$701,$A76,counts!$D$2:$D$701,$B76,counts!$E$2:$E$701,"placed")))</f>
        <v/>
      </c>
      <c r="AA76" s="30" t="str">
        <f aca="false">IF($A76="","",IF($Y76="",0,N($Z76)))</f>
        <v/>
      </c>
      <c r="AB76" s="30" t="str">
        <f aca="false">IF($A76="","",IF(OR($Y76="",$I76=""),"N",IF($Y76&lt;=WORKDAY(N($I76),1,calendar!$A$2:$A$80),"Y","N")))</f>
        <v/>
      </c>
      <c r="AC76" s="33" t="str">
        <f aca="false">IF(OR($A76="",$V76="",$Y76=""),"",ROUND(($Y76+N(IFERROR(IF(INDEX(photos!$F$2:$F$701,MATCH($A76&amp;"|"&amp;$B76&amp;"|placement|Y",photos!$R$2:$R$701,0))="","",INDEX(photos!$F$2:$F$701,MATCH($A76&amp;"|"&amp;$B76&amp;"|placement|Y",photos!$R$2:$R$701,0))),""))-$V76)*24,1))</f>
        <v/>
      </c>
      <c r="AD76" s="30" t="str">
        <f aca="false">IF($A76="","",SUMIFS(inventory!$G$2:$G$801,inventory!$C$2:$C$801,$A76,inventory!$D$2:$D$801,$B76,inventory!$E$2:$E$801,"topped_up"))</f>
        <v/>
      </c>
      <c r="AE76" s="30" t="str">
        <f aca="false">IF($A76="","",IF(COUNTIFS(counts!$C$2:$C$701,$A76,counts!$D$2:$D$701,$B76,counts!$E$2:$E$701,"remaining_day3")=0,"",SUMIFS(counts!$F$2:$F$701,counts!$C$2:$C$701,$A76,counts!$D$2:$D$701,$B76,counts!$E$2:$E$701,"remaining_day3")))</f>
        <v/>
      </c>
      <c r="AF76" s="30" t="str">
        <f aca="false">IF($A76="","",IF(COUNTIFS(counts!$C$2:$C$701,$A76,counts!$D$2:$D$701,$B76,counts!$E$2:$E$701,"remaining_day5")=0,"",SUMIFS(counts!$F$2:$F$701,counts!$C$2:$C$701,$A76,counts!$D$2:$D$701,$B76,counts!$E$2:$E$701,"remaining_day5")))</f>
        <v/>
      </c>
      <c r="AG76" s="30" t="str">
        <f aca="false">IF(OR($A76="",$AF76=""),"",MAX(0,$AA76+$AD76-$AF76))</f>
        <v/>
      </c>
      <c r="AH76" s="30" t="str">
        <f aca="false">IF(OR($A76="",$AI76=""),"",IFERROR(IF(INDEX(photos!$H$2:$H$701,MATCH($A76&amp;"|"&amp;$B76&amp;"|later|Y|"&amp;$AI76,photos!$S$2:$S$701,0))="","",INDEX(photos!$H$2:$H$701,MATCH($A76&amp;"|"&amp;$B76&amp;"|later|Y|"&amp;$AI76,photos!$S$2:$S$701,0))),""))</f>
        <v/>
      </c>
      <c r="AI76" s="31" t="str">
        <f aca="false">IF($A76="","",IFERROR(1/(1/SUMPRODUCT(MAX((photos!$B$2:$B$701=$A76)*(photos!$C$2:$C$701=$B76)*(photos!$D$2:$D$701="later")*(photos!$O$2:$O$701="Y")*photos!$E$2:$E$701))),""))</f>
        <v/>
      </c>
      <c r="AJ76" s="30" t="str">
        <f aca="false">IF(OR($A76="",$AI76="",$I76=""),"",NETWORKDAYS($I76,$AI76,calendar!$A$2:$A$80))</f>
        <v/>
      </c>
      <c r="AK76" s="30" t="str">
        <f aca="false">IF($A76="","",IF(AND($X76&lt;&gt;"",$AH76&lt;&gt;""),"Y","N"))</f>
        <v/>
      </c>
      <c r="AL76" s="30" t="str">
        <f aca="true">IF(OR($A76="",$I76=""),"",IF($BC76="Y",SUMIFS(survey_frozen!$C$2:$C$251,survey_frozen!$P$2:$P$251,$A76&amp;"|"&amp;$B76),IFERROR(COUNTIFS(INDIRECT("'"&amp;$A76&amp;"'!$B$2:$B$501"),$T76,INDIRECT("'"&amp;$A76&amp;"'!$A$2:$A$501"),"&gt;="&amp;$I76,INDIRECT("'"&amp;$A76&amp;"'!$A$2:$A$501"),"&lt;"&amp;($BA76+1)),0)))</f>
        <v/>
      </c>
      <c r="AM76" s="30" t="str">
        <f aca="true">IF(OR($A76="",$I76=""),"",IF($BC76="Y",SUMIFS(survey_frozen!$D$2:$D$251,survey_frozen!$P$2:$P$251,$A76&amp;"|"&amp;$B76),IFERROR(COUNTIFS(INDIRECT("'"&amp;$A76&amp;"'!$B$2:$B$501"),$T76,INDIRECT("'"&amp;$A76&amp;"'!$A$2:$A$501"),"&gt;="&amp;$I76,INDIRECT("'"&amp;$A76&amp;"'!$A$2:$A$501"),"&lt;"&amp;($BA76+1),INDIRECT("'"&amp;$A76&amp;"'!$C$2:$C$501"),"Yes"),0)))</f>
        <v/>
      </c>
      <c r="AN76" s="30" t="str">
        <f aca="false">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30" t="str">
        <f aca="false">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30" t="str">
        <f aca="true">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30" t="str">
        <f aca="true">IF(OR($A76="",$I76=""),"",IF($BC76="Y",SUMIFS(survey_frozen!$E$2:$E$251,survey_frozen!$P$2:$P$251,$A76&amp;"|"&amp;$B76),IFERROR(COUNTIFS(INDIRECT("'"&amp;$A76&amp;"'!$B$2:$B$501"),$T76,INDIRECT("'"&amp;$A76&amp;"'!$A$2:$A$501"),"&gt;="&amp;$I76,INDIRECT("'"&amp;$A76&amp;"'!$A$2:$A$501"),"&lt;"&amp;($BA76+1),INDIRECT("'"&amp;$A76&amp;"'!$F$2:$F$501"),"Didn't see it"),0)))</f>
        <v/>
      </c>
      <c r="AR76" s="30" t="str">
        <f aca="true">IF(OR($A76="",$I76=""),"",IF($BC76="Y",SUMIFS(survey_frozen!$F$2:$F$251,survey_frozen!$P$2:$P$251,$A76&amp;"|"&amp;$B76),IFERROR(COUNTIFS(INDIRECT("'"&amp;$A76&amp;"'!$B$2:$B$501"),$T76,INDIRECT("'"&amp;$A76&amp;"'!$A$2:$A$501"),"&gt;="&amp;$I76,INDIRECT("'"&amp;$A76&amp;"'!$A$2:$A$501"),"&lt;"&amp;($BA76+1),INDIRECT("'"&amp;$A76&amp;"'!$F$2:$F$501"),"Not for me"),0)))</f>
        <v/>
      </c>
      <c r="AS76" s="30" t="str">
        <f aca="true">IF(OR($A76="",$I76=""),"",IF($BC76="Y",SUMIFS(survey_frozen!$G$2:$G$251,survey_frozen!$P$2:$P$251,$A76&amp;"|"&amp;$B76),IFERROR(COUNTIFS(INDIRECT("'"&amp;$A76&amp;"'!$B$2:$B$501"),$T76,INDIRECT("'"&amp;$A76&amp;"'!$A$2:$A$501"),"&gt;="&amp;$I76,INDIRECT("'"&amp;$A76&amp;"'!$A$2:$A$501"),"&lt;"&amp;($BA76+1),INDIRECT("'"&amp;$A76&amp;"'!$F$2:$F$501"),"Gone by the time I looked"),0)))</f>
        <v/>
      </c>
      <c r="AT76" s="30" t="str">
        <f aca="true">IF(OR($A76="",$I76=""),"",IF($BC76="Y",SUMIFS(survey_frozen!$H$2:$H$251,survey_frozen!$P$2:$P$251,$A76&amp;"|"&amp;$B76),IFERROR(COUNTIFS(INDIRECT("'"&amp;$A76&amp;"'!$B$2:$B$501"),$T76,INDIRECT("'"&amp;$A76&amp;"'!$A$2:$A$501"),"&gt;="&amp;$I76,INDIRECT("'"&amp;$A76&amp;"'!$A$2:$A$501"),"&lt;"&amp;($BA76+1),INDIRECT("'"&amp;$A76&amp;"'!$D$2:$D$501"),"&gt;=1"),0)))</f>
        <v/>
      </c>
      <c r="AU76" s="30" t="str">
        <f aca="true">IF(OR($A76="",$I76=""),"",IF($BC76="Y",SUMIFS(survey_frozen!$I$2:$I$251,survey_frozen!$P$2:$P$251,$A76&amp;"|"&amp;$B76),IFERROR(SUMIFS(INDIRECT("'"&amp;$A76&amp;"'!$D$2:$D$501"),INDIRECT("'"&amp;$A76&amp;"'!$B$2:$B$501"),$T76,INDIRECT("'"&amp;$A76&amp;"'!$A$2:$A$501"),"&gt;="&amp;$I76,INDIRECT("'"&amp;$A76&amp;"'!$A$2:$A$501"),"&lt;"&amp;($BA76+1)),0)))</f>
        <v/>
      </c>
      <c r="AV76" s="30" t="str">
        <f aca="true">IF(OR($A76="",$I76=""),"",IF($BC76="Y",SUMIFS(survey_frozen!$J$2:$J$251,survey_frozen!$P$2:$P$251,$A76&amp;"|"&amp;$B76),IFERROR(COUNTIFS(INDIRECT("'"&amp;$A76&amp;"'!$B$2:$B$501"),$T76,INDIRECT("'"&amp;$A76&amp;"'!$A$2:$A$501"),"&gt;="&amp;$I76,INDIRECT("'"&amp;$A76&amp;"'!$A$2:$A$501"),"&lt;"&amp;($BA76+1),INDIRECT("'"&amp;$A76&amp;"'!$E$2:$E$501"),"Yes"),0)))</f>
        <v/>
      </c>
      <c r="AW76" s="30" t="str">
        <f aca="true">IF(OR($A76="",$I76=""),"",IF($BC76="Y",SUMIFS(survey_frozen!$K$2:$K$251,survey_frozen!$P$2:$P$251,$A76&amp;"|"&amp;$B76),IFERROR(COUNTIFS(INDIRECT("'"&amp;$A76&amp;"'!$B$2:$B$501"),$T76,INDIRECT("'"&amp;$A76&amp;"'!$A$2:$A$501"),"&gt;="&amp;$I76,INDIRECT("'"&amp;$A76&amp;"'!$A$2:$A$501"),"&lt;"&amp;($BA76+1),INDIRECT("'"&amp;$A76&amp;"'!$E$2:$E$501"),"Maybe"),0)))</f>
        <v/>
      </c>
      <c r="AX76" s="30" t="str">
        <f aca="true">IF(OR($A76="",$I76=""),"",IF($BC76="Y",SUMIFS(survey_frozen!$L$2:$L$251,survey_frozen!$P$2:$P$251,$A76&amp;"|"&amp;$B76),IFERROR(COUNTIFS(INDIRECT("'"&amp;$A76&amp;"'!$B$2:$B$501"),$T76,INDIRECT("'"&amp;$A76&amp;"'!$A$2:$A$501"),"&gt;="&amp;$I76,INDIRECT("'"&amp;$A76&amp;"'!$A$2:$A$501"),"&lt;"&amp;($BA76+1),INDIRECT("'"&amp;$A76&amp;"'!$E$2:$E$501"),"No"),0)))</f>
        <v/>
      </c>
      <c r="AY76" s="30" t="str">
        <f aca="true">IF(OR($A76="",$I76=""),"",IF($BC76="Y",SUMIFS(survey_frozen!$M$2:$M$251,survey_frozen!$P$2:$P$251,$A76&amp;"|"&amp;$B76),IFERROR(COUNTIFS(INDIRECT("'"&amp;$A76&amp;"'!$B$2:$B$501"),$T76,INDIRECT("'"&amp;$A76&amp;"'!$A$2:$A$501"),"&gt;="&amp;$I76,INDIRECT("'"&amp;$A76&amp;"'!$A$2:$A$501"),"&lt;"&amp;($BA76+1),INDIRECT("'"&amp;$A76&amp;"'!$G$2:$G$501"),"&lt;&gt;"),0)))</f>
        <v/>
      </c>
      <c r="AZ76" s="30" t="str">
        <f aca="false">IF($A76="","",$A76&amp;"|"&amp;$L76)</f>
        <v/>
      </c>
      <c r="BA76" s="31" t="str">
        <f aca="false">IF($A76="","",IFERROR(IF(INDEX(drops!$R$2:$R$21,MATCH($H76,drops!$A$2:$A$21,0))="","",INDEX(drops!$R$2:$R$21,MATCH($H76,drops!$A$2:$A$21,0))),""))</f>
        <v/>
      </c>
      <c r="BB76" s="30" t="n">
        <f aca="false">IF(OR($A76="",$Q76&lt;&gt;"Y"),1000000,N($AL76))</f>
        <v>1000000</v>
      </c>
      <c r="BC76" s="30" t="str">
        <f aca="false">IF($A76="","",IF(COUNTIF(survey_frozen!$P$2:$P$251,$A76&amp;"|"&amp;$B76)&gt;0,"Y",""))</f>
        <v/>
      </c>
      <c r="BD76" s="30" t="str">
        <f aca="false">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ustomFormat="false" ht="15" hidden="false" customHeight="false" outlineLevel="0" collapsed="false">
      <c r="C77" s="11"/>
      <c r="D77" s="10"/>
      <c r="E77" s="11"/>
      <c r="H77" s="30" t="str">
        <f aca="false">IF($A77="","",IFERROR(IF(INDEX(campaigns!$B$2:$B$51,MATCH($A77,campaigns!$A$2:$A$51,0))="","",INDEX(campaigns!$B$2:$B$51,MATCH($A77,campaigns!$A$2:$A$51,0))),""))</f>
        <v/>
      </c>
      <c r="I77" s="31" t="str">
        <f aca="false">IF($A77="","",IFERROR(IF(INDEX(campaigns!$BG$2:$BG$51,MATCH($A77,campaigns!$A$2:$A$51,0))="","",INDEX(campaigns!$BG$2:$BG$51,MATCH($A77,campaigns!$A$2:$A$51,0))),""))</f>
        <v/>
      </c>
      <c r="J77" s="30" t="str">
        <f aca="false">IF($A77="","",IFERROR(IF(INDEX(campaigns!$BE$2:$BE$51,MATCH($A77,campaigns!$A$2:$A$51,0))="","",INDEX(campaigns!$BE$2:$BE$51,MATCH($A77,campaigns!$A$2:$A$51,0))),""))</f>
        <v/>
      </c>
      <c r="K77" s="30" t="str">
        <f aca="false">IF($B77="","",IFERROR(IF(INDEX(offices!$O$2:$O$61,MATCH($B77,offices!$A$2:$A$61,0))="","",INDEX(offices!$O$2:$O$61,MATCH($B77,offices!$A$2:$A$61,0))),""))</f>
        <v/>
      </c>
      <c r="L77" s="30" t="str">
        <f aca="false">IF($A77="","",IF($Q77="N","",COUNTIFS($A$2:$A77,$A77,$Q$2:$Q77,"&lt;&gt;N")))</f>
        <v/>
      </c>
      <c r="M77" s="30" t="str">
        <f aca="false">IF(OR($A77="",$L77=""),"",IF(AND(config!$B$34="names_if_public",IFERROR(IF(INDEX(offices!$AG$2:$AG$61,MATCH($B77,offices!$A$2:$A$61,0))="","",INDEX(offices!$AG$2:$AG$61,MATCH($B77,offices!$A$2:$A$61,0))),"")="Y"),$K77,CHAR(64+$L77)))</f>
        <v/>
      </c>
      <c r="N77" s="30" t="str">
        <f aca="false">IF(OR($A77="",$I77=""),"",COUNTIFS(stops!$B$2:$B$151,$B77,stops!$P$2:$P$151,"&lt;"&amp;$I77,stops!$L$2:$L$151,"&lt;&gt;not_delivered")+1)</f>
        <v/>
      </c>
      <c r="O77" s="30" t="str">
        <f aca="false">IF($A77="","",IF(N($N77)&lt;=config!$B$29,"explicit","opt-out"))</f>
        <v/>
      </c>
      <c r="P77" s="30" t="str">
        <f aca="false">IF($A77="","",IF($O77="explicit",IF($D77="yes","Y",IF($D77="no","N","pending")),IF($D77="no","N",IF(AND($C77&lt;&gt;"",$I77&lt;&gt;"",$C77&lt;=WORKDAY(N($I77),-5,calendar!$A$2:$A$80)),"Y","pending"))))</f>
        <v/>
      </c>
      <c r="Q77" s="30" t="str">
        <f aca="false">IF($A77="","",IF($P77="N","N",IF($P77&lt;&gt;"Y","pending",IF(AND((COUNTIFS(stops!$A$2:$A$151,$H77,stops!$B$2:$B$151,$B77,stops!$L$2:$L$151,"declined")+COUNTIFS(stops!$A$2:$A$151,$H77,stops!$B$2:$B$151,$B77,stops!$L$2:$L$151,"building_refused")+COUNTIFS(stops!$A$2:$A$151,$H77,stops!$B$2:$B$151,$B77,stops!$L$2:$L$151,"not_delivered"))&gt;0,N($U77)=0),"N","Y"))))</f>
        <v/>
      </c>
      <c r="R77" s="30" t="str">
        <f aca="false">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30" t="str">
        <f aca="false">IF($A77="","",IF($G77&lt;&gt;"",$G77,IFERROR(IF(INDEX(offices!$AM$2:$AM$61,MATCH($B77,offices!$A$2:$A$61,0))="","",INDEX(offices!$AM$2:$AM$61,MATCH($B77,offices!$A$2:$A$61,0))),"")))</f>
        <v/>
      </c>
      <c r="T77" s="30" t="str">
        <f aca="false">IF($A77="","",$A77&amp;"."&amp;$B77)</f>
        <v/>
      </c>
      <c r="U77" s="30" t="str">
        <f aca="false">IF($A77="","",SUMIFS(inventory!$G$2:$G$801,inventory!$C$2:$C$801,$A77,inventory!$D$2:$D$801,$B77,inventory!$E$2:$E$801,"delivered"))</f>
        <v/>
      </c>
      <c r="V77" s="37" t="str">
        <f aca="false">IF($A77="","",IFERROR(1/(1/SUMPRODUCT(MAX((inventory!$C$2:$C$801=$A77)*(inventory!$D$2:$D$801=$B77)*(inventory!$E$2:$E$801="delivered")*(inventory!$A$2:$A$801+inventory!$B$2:$B$801)))),""))</f>
        <v/>
      </c>
      <c r="W77" s="30" t="str">
        <f aca="false">IF($A77="","",IFERROR(IF(INDEX(inventory!$J$2:$J$801,MATCH($A77&amp;"|"&amp;$B77&amp;"|delivered",inventory!$R$2:$R$801,0))="","",INDEX(inventory!$J$2:$J$801,MATCH($A77&amp;"|"&amp;$B77&amp;"|delivered",inventory!$R$2:$R$801,0))),""))</f>
        <v/>
      </c>
      <c r="X77" s="30" t="str">
        <f aca="false">IF($A77="","",IFERROR(IF(INDEX(photos!$H$2:$H$701,MATCH($A77&amp;"|"&amp;$B77&amp;"|placement|Y",photos!$R$2:$R$701,0))="","",INDEX(photos!$H$2:$H$701,MATCH($A77&amp;"|"&amp;$B77&amp;"|placement|Y",photos!$R$2:$R$701,0))),""))</f>
        <v/>
      </c>
      <c r="Y77" s="31" t="str">
        <f aca="false">IF($A77="","",IFERROR(IF(INDEX(photos!$E$2:$E$701,MATCH($A77&amp;"|"&amp;$B77&amp;"|placement|Y",photos!$R$2:$R$701,0))="","",INDEX(photos!$E$2:$E$701,MATCH($A77&amp;"|"&amp;$B77&amp;"|placement|Y",photos!$R$2:$R$701,0))),""))</f>
        <v/>
      </c>
      <c r="Z77" s="30" t="str">
        <f aca="false">IF($A77="","",IF(COUNTIFS(counts!$C$2:$C$701,$A77,counts!$D$2:$D$701,$B77,counts!$E$2:$E$701,"placed")=0,"",SUMIFS(counts!$F$2:$F$701,counts!$C$2:$C$701,$A77,counts!$D$2:$D$701,$B77,counts!$E$2:$E$701,"placed")))</f>
        <v/>
      </c>
      <c r="AA77" s="30" t="str">
        <f aca="false">IF($A77="","",IF($Y77="",0,N($Z77)))</f>
        <v/>
      </c>
      <c r="AB77" s="30" t="str">
        <f aca="false">IF($A77="","",IF(OR($Y77="",$I77=""),"N",IF($Y77&lt;=WORKDAY(N($I77),1,calendar!$A$2:$A$80),"Y","N")))</f>
        <v/>
      </c>
      <c r="AC77" s="33" t="str">
        <f aca="false">IF(OR($A77="",$V77="",$Y77=""),"",ROUND(($Y77+N(IFERROR(IF(INDEX(photos!$F$2:$F$701,MATCH($A77&amp;"|"&amp;$B77&amp;"|placement|Y",photos!$R$2:$R$701,0))="","",INDEX(photos!$F$2:$F$701,MATCH($A77&amp;"|"&amp;$B77&amp;"|placement|Y",photos!$R$2:$R$701,0))),""))-$V77)*24,1))</f>
        <v/>
      </c>
      <c r="AD77" s="30" t="str">
        <f aca="false">IF($A77="","",SUMIFS(inventory!$G$2:$G$801,inventory!$C$2:$C$801,$A77,inventory!$D$2:$D$801,$B77,inventory!$E$2:$E$801,"topped_up"))</f>
        <v/>
      </c>
      <c r="AE77" s="30" t="str">
        <f aca="false">IF($A77="","",IF(COUNTIFS(counts!$C$2:$C$701,$A77,counts!$D$2:$D$701,$B77,counts!$E$2:$E$701,"remaining_day3")=0,"",SUMIFS(counts!$F$2:$F$701,counts!$C$2:$C$701,$A77,counts!$D$2:$D$701,$B77,counts!$E$2:$E$701,"remaining_day3")))</f>
        <v/>
      </c>
      <c r="AF77" s="30" t="str">
        <f aca="false">IF($A77="","",IF(COUNTIFS(counts!$C$2:$C$701,$A77,counts!$D$2:$D$701,$B77,counts!$E$2:$E$701,"remaining_day5")=0,"",SUMIFS(counts!$F$2:$F$701,counts!$C$2:$C$701,$A77,counts!$D$2:$D$701,$B77,counts!$E$2:$E$701,"remaining_day5")))</f>
        <v/>
      </c>
      <c r="AG77" s="30" t="str">
        <f aca="false">IF(OR($A77="",$AF77=""),"",MAX(0,$AA77+$AD77-$AF77))</f>
        <v/>
      </c>
      <c r="AH77" s="30" t="str">
        <f aca="false">IF(OR($A77="",$AI77=""),"",IFERROR(IF(INDEX(photos!$H$2:$H$701,MATCH($A77&amp;"|"&amp;$B77&amp;"|later|Y|"&amp;$AI77,photos!$S$2:$S$701,0))="","",INDEX(photos!$H$2:$H$701,MATCH($A77&amp;"|"&amp;$B77&amp;"|later|Y|"&amp;$AI77,photos!$S$2:$S$701,0))),""))</f>
        <v/>
      </c>
      <c r="AI77" s="31" t="str">
        <f aca="false">IF($A77="","",IFERROR(1/(1/SUMPRODUCT(MAX((photos!$B$2:$B$701=$A77)*(photos!$C$2:$C$701=$B77)*(photos!$D$2:$D$701="later")*(photos!$O$2:$O$701="Y")*photos!$E$2:$E$701))),""))</f>
        <v/>
      </c>
      <c r="AJ77" s="30" t="str">
        <f aca="false">IF(OR($A77="",$AI77="",$I77=""),"",NETWORKDAYS($I77,$AI77,calendar!$A$2:$A$80))</f>
        <v/>
      </c>
      <c r="AK77" s="30" t="str">
        <f aca="false">IF($A77="","",IF(AND($X77&lt;&gt;"",$AH77&lt;&gt;""),"Y","N"))</f>
        <v/>
      </c>
      <c r="AL77" s="30" t="str">
        <f aca="true">IF(OR($A77="",$I77=""),"",IF($BC77="Y",SUMIFS(survey_frozen!$C$2:$C$251,survey_frozen!$P$2:$P$251,$A77&amp;"|"&amp;$B77),IFERROR(COUNTIFS(INDIRECT("'"&amp;$A77&amp;"'!$B$2:$B$501"),$T77,INDIRECT("'"&amp;$A77&amp;"'!$A$2:$A$501"),"&gt;="&amp;$I77,INDIRECT("'"&amp;$A77&amp;"'!$A$2:$A$501"),"&lt;"&amp;($BA77+1)),0)))</f>
        <v/>
      </c>
      <c r="AM77" s="30" t="str">
        <f aca="true">IF(OR($A77="",$I77=""),"",IF($BC77="Y",SUMIFS(survey_frozen!$D$2:$D$251,survey_frozen!$P$2:$P$251,$A77&amp;"|"&amp;$B77),IFERROR(COUNTIFS(INDIRECT("'"&amp;$A77&amp;"'!$B$2:$B$501"),$T77,INDIRECT("'"&amp;$A77&amp;"'!$A$2:$A$501"),"&gt;="&amp;$I77,INDIRECT("'"&amp;$A77&amp;"'!$A$2:$A$501"),"&lt;"&amp;($BA77+1),INDIRECT("'"&amp;$A77&amp;"'!$C$2:$C$501"),"Yes"),0)))</f>
        <v/>
      </c>
      <c r="AN77" s="30" t="str">
        <f aca="false">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30" t="str">
        <f aca="false">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30" t="str">
        <f aca="true">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30" t="str">
        <f aca="true">IF(OR($A77="",$I77=""),"",IF($BC77="Y",SUMIFS(survey_frozen!$E$2:$E$251,survey_frozen!$P$2:$P$251,$A77&amp;"|"&amp;$B77),IFERROR(COUNTIFS(INDIRECT("'"&amp;$A77&amp;"'!$B$2:$B$501"),$T77,INDIRECT("'"&amp;$A77&amp;"'!$A$2:$A$501"),"&gt;="&amp;$I77,INDIRECT("'"&amp;$A77&amp;"'!$A$2:$A$501"),"&lt;"&amp;($BA77+1),INDIRECT("'"&amp;$A77&amp;"'!$F$2:$F$501"),"Didn't see it"),0)))</f>
        <v/>
      </c>
      <c r="AR77" s="30" t="str">
        <f aca="true">IF(OR($A77="",$I77=""),"",IF($BC77="Y",SUMIFS(survey_frozen!$F$2:$F$251,survey_frozen!$P$2:$P$251,$A77&amp;"|"&amp;$B77),IFERROR(COUNTIFS(INDIRECT("'"&amp;$A77&amp;"'!$B$2:$B$501"),$T77,INDIRECT("'"&amp;$A77&amp;"'!$A$2:$A$501"),"&gt;="&amp;$I77,INDIRECT("'"&amp;$A77&amp;"'!$A$2:$A$501"),"&lt;"&amp;($BA77+1),INDIRECT("'"&amp;$A77&amp;"'!$F$2:$F$501"),"Not for me"),0)))</f>
        <v/>
      </c>
      <c r="AS77" s="30" t="str">
        <f aca="true">IF(OR($A77="",$I77=""),"",IF($BC77="Y",SUMIFS(survey_frozen!$G$2:$G$251,survey_frozen!$P$2:$P$251,$A77&amp;"|"&amp;$B77),IFERROR(COUNTIFS(INDIRECT("'"&amp;$A77&amp;"'!$B$2:$B$501"),$T77,INDIRECT("'"&amp;$A77&amp;"'!$A$2:$A$501"),"&gt;="&amp;$I77,INDIRECT("'"&amp;$A77&amp;"'!$A$2:$A$501"),"&lt;"&amp;($BA77+1),INDIRECT("'"&amp;$A77&amp;"'!$F$2:$F$501"),"Gone by the time I looked"),0)))</f>
        <v/>
      </c>
      <c r="AT77" s="30" t="str">
        <f aca="true">IF(OR($A77="",$I77=""),"",IF($BC77="Y",SUMIFS(survey_frozen!$H$2:$H$251,survey_frozen!$P$2:$P$251,$A77&amp;"|"&amp;$B77),IFERROR(COUNTIFS(INDIRECT("'"&amp;$A77&amp;"'!$B$2:$B$501"),$T77,INDIRECT("'"&amp;$A77&amp;"'!$A$2:$A$501"),"&gt;="&amp;$I77,INDIRECT("'"&amp;$A77&amp;"'!$A$2:$A$501"),"&lt;"&amp;($BA77+1),INDIRECT("'"&amp;$A77&amp;"'!$D$2:$D$501"),"&gt;=1"),0)))</f>
        <v/>
      </c>
      <c r="AU77" s="30" t="str">
        <f aca="true">IF(OR($A77="",$I77=""),"",IF($BC77="Y",SUMIFS(survey_frozen!$I$2:$I$251,survey_frozen!$P$2:$P$251,$A77&amp;"|"&amp;$B77),IFERROR(SUMIFS(INDIRECT("'"&amp;$A77&amp;"'!$D$2:$D$501"),INDIRECT("'"&amp;$A77&amp;"'!$B$2:$B$501"),$T77,INDIRECT("'"&amp;$A77&amp;"'!$A$2:$A$501"),"&gt;="&amp;$I77,INDIRECT("'"&amp;$A77&amp;"'!$A$2:$A$501"),"&lt;"&amp;($BA77+1)),0)))</f>
        <v/>
      </c>
      <c r="AV77" s="30" t="str">
        <f aca="true">IF(OR($A77="",$I77=""),"",IF($BC77="Y",SUMIFS(survey_frozen!$J$2:$J$251,survey_frozen!$P$2:$P$251,$A77&amp;"|"&amp;$B77),IFERROR(COUNTIFS(INDIRECT("'"&amp;$A77&amp;"'!$B$2:$B$501"),$T77,INDIRECT("'"&amp;$A77&amp;"'!$A$2:$A$501"),"&gt;="&amp;$I77,INDIRECT("'"&amp;$A77&amp;"'!$A$2:$A$501"),"&lt;"&amp;($BA77+1),INDIRECT("'"&amp;$A77&amp;"'!$E$2:$E$501"),"Yes"),0)))</f>
        <v/>
      </c>
      <c r="AW77" s="30" t="str">
        <f aca="true">IF(OR($A77="",$I77=""),"",IF($BC77="Y",SUMIFS(survey_frozen!$K$2:$K$251,survey_frozen!$P$2:$P$251,$A77&amp;"|"&amp;$B77),IFERROR(COUNTIFS(INDIRECT("'"&amp;$A77&amp;"'!$B$2:$B$501"),$T77,INDIRECT("'"&amp;$A77&amp;"'!$A$2:$A$501"),"&gt;="&amp;$I77,INDIRECT("'"&amp;$A77&amp;"'!$A$2:$A$501"),"&lt;"&amp;($BA77+1),INDIRECT("'"&amp;$A77&amp;"'!$E$2:$E$501"),"Maybe"),0)))</f>
        <v/>
      </c>
      <c r="AX77" s="30" t="str">
        <f aca="true">IF(OR($A77="",$I77=""),"",IF($BC77="Y",SUMIFS(survey_frozen!$L$2:$L$251,survey_frozen!$P$2:$P$251,$A77&amp;"|"&amp;$B77),IFERROR(COUNTIFS(INDIRECT("'"&amp;$A77&amp;"'!$B$2:$B$501"),$T77,INDIRECT("'"&amp;$A77&amp;"'!$A$2:$A$501"),"&gt;="&amp;$I77,INDIRECT("'"&amp;$A77&amp;"'!$A$2:$A$501"),"&lt;"&amp;($BA77+1),INDIRECT("'"&amp;$A77&amp;"'!$E$2:$E$501"),"No"),0)))</f>
        <v/>
      </c>
      <c r="AY77" s="30" t="str">
        <f aca="true">IF(OR($A77="",$I77=""),"",IF($BC77="Y",SUMIFS(survey_frozen!$M$2:$M$251,survey_frozen!$P$2:$P$251,$A77&amp;"|"&amp;$B77),IFERROR(COUNTIFS(INDIRECT("'"&amp;$A77&amp;"'!$B$2:$B$501"),$T77,INDIRECT("'"&amp;$A77&amp;"'!$A$2:$A$501"),"&gt;="&amp;$I77,INDIRECT("'"&amp;$A77&amp;"'!$A$2:$A$501"),"&lt;"&amp;($BA77+1),INDIRECT("'"&amp;$A77&amp;"'!$G$2:$G$501"),"&lt;&gt;"),0)))</f>
        <v/>
      </c>
      <c r="AZ77" s="30" t="str">
        <f aca="false">IF($A77="","",$A77&amp;"|"&amp;$L77)</f>
        <v/>
      </c>
      <c r="BA77" s="31" t="str">
        <f aca="false">IF($A77="","",IFERROR(IF(INDEX(drops!$R$2:$R$21,MATCH($H77,drops!$A$2:$A$21,0))="","",INDEX(drops!$R$2:$R$21,MATCH($H77,drops!$A$2:$A$21,0))),""))</f>
        <v/>
      </c>
      <c r="BB77" s="30" t="n">
        <f aca="false">IF(OR($A77="",$Q77&lt;&gt;"Y"),1000000,N($AL77))</f>
        <v>1000000</v>
      </c>
      <c r="BC77" s="30" t="str">
        <f aca="false">IF($A77="","",IF(COUNTIF(survey_frozen!$P$2:$P$251,$A77&amp;"|"&amp;$B77)&gt;0,"Y",""))</f>
        <v/>
      </c>
      <c r="BD77" s="30" t="str">
        <f aca="false">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ustomFormat="false" ht="15" hidden="false" customHeight="false" outlineLevel="0" collapsed="false">
      <c r="C78" s="11"/>
      <c r="D78" s="10"/>
      <c r="E78" s="11"/>
      <c r="H78" s="30" t="str">
        <f aca="false">IF($A78="","",IFERROR(IF(INDEX(campaigns!$B$2:$B$51,MATCH($A78,campaigns!$A$2:$A$51,0))="","",INDEX(campaigns!$B$2:$B$51,MATCH($A78,campaigns!$A$2:$A$51,0))),""))</f>
        <v/>
      </c>
      <c r="I78" s="31" t="str">
        <f aca="false">IF($A78="","",IFERROR(IF(INDEX(campaigns!$BG$2:$BG$51,MATCH($A78,campaigns!$A$2:$A$51,0))="","",INDEX(campaigns!$BG$2:$BG$51,MATCH($A78,campaigns!$A$2:$A$51,0))),""))</f>
        <v/>
      </c>
      <c r="J78" s="30" t="str">
        <f aca="false">IF($A78="","",IFERROR(IF(INDEX(campaigns!$BE$2:$BE$51,MATCH($A78,campaigns!$A$2:$A$51,0))="","",INDEX(campaigns!$BE$2:$BE$51,MATCH($A78,campaigns!$A$2:$A$51,0))),""))</f>
        <v/>
      </c>
      <c r="K78" s="30" t="str">
        <f aca="false">IF($B78="","",IFERROR(IF(INDEX(offices!$O$2:$O$61,MATCH($B78,offices!$A$2:$A$61,0))="","",INDEX(offices!$O$2:$O$61,MATCH($B78,offices!$A$2:$A$61,0))),""))</f>
        <v/>
      </c>
      <c r="L78" s="30" t="str">
        <f aca="false">IF($A78="","",IF($Q78="N","",COUNTIFS($A$2:$A78,$A78,$Q$2:$Q78,"&lt;&gt;N")))</f>
        <v/>
      </c>
      <c r="M78" s="30" t="str">
        <f aca="false">IF(OR($A78="",$L78=""),"",IF(AND(config!$B$34="names_if_public",IFERROR(IF(INDEX(offices!$AG$2:$AG$61,MATCH($B78,offices!$A$2:$A$61,0))="","",INDEX(offices!$AG$2:$AG$61,MATCH($B78,offices!$A$2:$A$61,0))),"")="Y"),$K78,CHAR(64+$L78)))</f>
        <v/>
      </c>
      <c r="N78" s="30" t="str">
        <f aca="false">IF(OR($A78="",$I78=""),"",COUNTIFS(stops!$B$2:$B$151,$B78,stops!$P$2:$P$151,"&lt;"&amp;$I78,stops!$L$2:$L$151,"&lt;&gt;not_delivered")+1)</f>
        <v/>
      </c>
      <c r="O78" s="30" t="str">
        <f aca="false">IF($A78="","",IF(N($N78)&lt;=config!$B$29,"explicit","opt-out"))</f>
        <v/>
      </c>
      <c r="P78" s="30" t="str">
        <f aca="false">IF($A78="","",IF($O78="explicit",IF($D78="yes","Y",IF($D78="no","N","pending")),IF($D78="no","N",IF(AND($C78&lt;&gt;"",$I78&lt;&gt;"",$C78&lt;=WORKDAY(N($I78),-5,calendar!$A$2:$A$80)),"Y","pending"))))</f>
        <v/>
      </c>
      <c r="Q78" s="30" t="str">
        <f aca="false">IF($A78="","",IF($P78="N","N",IF($P78&lt;&gt;"Y","pending",IF(AND((COUNTIFS(stops!$A$2:$A$151,$H78,stops!$B$2:$B$151,$B78,stops!$L$2:$L$151,"declined")+COUNTIFS(stops!$A$2:$A$151,$H78,stops!$B$2:$B$151,$B78,stops!$L$2:$L$151,"building_refused")+COUNTIFS(stops!$A$2:$A$151,$H78,stops!$B$2:$B$151,$B78,stops!$L$2:$L$151,"not_delivered"))&gt;0,N($U78)=0),"N","Y"))))</f>
        <v/>
      </c>
      <c r="R78" s="30" t="str">
        <f aca="false">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30" t="str">
        <f aca="false">IF($A78="","",IF($G78&lt;&gt;"",$G78,IFERROR(IF(INDEX(offices!$AM$2:$AM$61,MATCH($B78,offices!$A$2:$A$61,0))="","",INDEX(offices!$AM$2:$AM$61,MATCH($B78,offices!$A$2:$A$61,0))),"")))</f>
        <v/>
      </c>
      <c r="T78" s="30" t="str">
        <f aca="false">IF($A78="","",$A78&amp;"."&amp;$B78)</f>
        <v/>
      </c>
      <c r="U78" s="30" t="str">
        <f aca="false">IF($A78="","",SUMIFS(inventory!$G$2:$G$801,inventory!$C$2:$C$801,$A78,inventory!$D$2:$D$801,$B78,inventory!$E$2:$E$801,"delivered"))</f>
        <v/>
      </c>
      <c r="V78" s="37" t="str">
        <f aca="false">IF($A78="","",IFERROR(1/(1/SUMPRODUCT(MAX((inventory!$C$2:$C$801=$A78)*(inventory!$D$2:$D$801=$B78)*(inventory!$E$2:$E$801="delivered")*(inventory!$A$2:$A$801+inventory!$B$2:$B$801)))),""))</f>
        <v/>
      </c>
      <c r="W78" s="30" t="str">
        <f aca="false">IF($A78="","",IFERROR(IF(INDEX(inventory!$J$2:$J$801,MATCH($A78&amp;"|"&amp;$B78&amp;"|delivered",inventory!$R$2:$R$801,0))="","",INDEX(inventory!$J$2:$J$801,MATCH($A78&amp;"|"&amp;$B78&amp;"|delivered",inventory!$R$2:$R$801,0))),""))</f>
        <v/>
      </c>
      <c r="X78" s="30" t="str">
        <f aca="false">IF($A78="","",IFERROR(IF(INDEX(photos!$H$2:$H$701,MATCH($A78&amp;"|"&amp;$B78&amp;"|placement|Y",photos!$R$2:$R$701,0))="","",INDEX(photos!$H$2:$H$701,MATCH($A78&amp;"|"&amp;$B78&amp;"|placement|Y",photos!$R$2:$R$701,0))),""))</f>
        <v/>
      </c>
      <c r="Y78" s="31" t="str">
        <f aca="false">IF($A78="","",IFERROR(IF(INDEX(photos!$E$2:$E$701,MATCH($A78&amp;"|"&amp;$B78&amp;"|placement|Y",photos!$R$2:$R$701,0))="","",INDEX(photos!$E$2:$E$701,MATCH($A78&amp;"|"&amp;$B78&amp;"|placement|Y",photos!$R$2:$R$701,0))),""))</f>
        <v/>
      </c>
      <c r="Z78" s="30" t="str">
        <f aca="false">IF($A78="","",IF(COUNTIFS(counts!$C$2:$C$701,$A78,counts!$D$2:$D$701,$B78,counts!$E$2:$E$701,"placed")=0,"",SUMIFS(counts!$F$2:$F$701,counts!$C$2:$C$701,$A78,counts!$D$2:$D$701,$B78,counts!$E$2:$E$701,"placed")))</f>
        <v/>
      </c>
      <c r="AA78" s="30" t="str">
        <f aca="false">IF($A78="","",IF($Y78="",0,N($Z78)))</f>
        <v/>
      </c>
      <c r="AB78" s="30" t="str">
        <f aca="false">IF($A78="","",IF(OR($Y78="",$I78=""),"N",IF($Y78&lt;=WORKDAY(N($I78),1,calendar!$A$2:$A$80),"Y","N")))</f>
        <v/>
      </c>
      <c r="AC78" s="33" t="str">
        <f aca="false">IF(OR($A78="",$V78="",$Y78=""),"",ROUND(($Y78+N(IFERROR(IF(INDEX(photos!$F$2:$F$701,MATCH($A78&amp;"|"&amp;$B78&amp;"|placement|Y",photos!$R$2:$R$701,0))="","",INDEX(photos!$F$2:$F$701,MATCH($A78&amp;"|"&amp;$B78&amp;"|placement|Y",photos!$R$2:$R$701,0))),""))-$V78)*24,1))</f>
        <v/>
      </c>
      <c r="AD78" s="30" t="str">
        <f aca="false">IF($A78="","",SUMIFS(inventory!$G$2:$G$801,inventory!$C$2:$C$801,$A78,inventory!$D$2:$D$801,$B78,inventory!$E$2:$E$801,"topped_up"))</f>
        <v/>
      </c>
      <c r="AE78" s="30" t="str">
        <f aca="false">IF($A78="","",IF(COUNTIFS(counts!$C$2:$C$701,$A78,counts!$D$2:$D$701,$B78,counts!$E$2:$E$701,"remaining_day3")=0,"",SUMIFS(counts!$F$2:$F$701,counts!$C$2:$C$701,$A78,counts!$D$2:$D$701,$B78,counts!$E$2:$E$701,"remaining_day3")))</f>
        <v/>
      </c>
      <c r="AF78" s="30" t="str">
        <f aca="false">IF($A78="","",IF(COUNTIFS(counts!$C$2:$C$701,$A78,counts!$D$2:$D$701,$B78,counts!$E$2:$E$701,"remaining_day5")=0,"",SUMIFS(counts!$F$2:$F$701,counts!$C$2:$C$701,$A78,counts!$D$2:$D$701,$B78,counts!$E$2:$E$701,"remaining_day5")))</f>
        <v/>
      </c>
      <c r="AG78" s="30" t="str">
        <f aca="false">IF(OR($A78="",$AF78=""),"",MAX(0,$AA78+$AD78-$AF78))</f>
        <v/>
      </c>
      <c r="AH78" s="30" t="str">
        <f aca="false">IF(OR($A78="",$AI78=""),"",IFERROR(IF(INDEX(photos!$H$2:$H$701,MATCH($A78&amp;"|"&amp;$B78&amp;"|later|Y|"&amp;$AI78,photos!$S$2:$S$701,0))="","",INDEX(photos!$H$2:$H$701,MATCH($A78&amp;"|"&amp;$B78&amp;"|later|Y|"&amp;$AI78,photos!$S$2:$S$701,0))),""))</f>
        <v/>
      </c>
      <c r="AI78" s="31" t="str">
        <f aca="false">IF($A78="","",IFERROR(1/(1/SUMPRODUCT(MAX((photos!$B$2:$B$701=$A78)*(photos!$C$2:$C$701=$B78)*(photos!$D$2:$D$701="later")*(photos!$O$2:$O$701="Y")*photos!$E$2:$E$701))),""))</f>
        <v/>
      </c>
      <c r="AJ78" s="30" t="str">
        <f aca="false">IF(OR($A78="",$AI78="",$I78=""),"",NETWORKDAYS($I78,$AI78,calendar!$A$2:$A$80))</f>
        <v/>
      </c>
      <c r="AK78" s="30" t="str">
        <f aca="false">IF($A78="","",IF(AND($X78&lt;&gt;"",$AH78&lt;&gt;""),"Y","N"))</f>
        <v/>
      </c>
      <c r="AL78" s="30" t="str">
        <f aca="true">IF(OR($A78="",$I78=""),"",IF($BC78="Y",SUMIFS(survey_frozen!$C$2:$C$251,survey_frozen!$P$2:$P$251,$A78&amp;"|"&amp;$B78),IFERROR(COUNTIFS(INDIRECT("'"&amp;$A78&amp;"'!$B$2:$B$501"),$T78,INDIRECT("'"&amp;$A78&amp;"'!$A$2:$A$501"),"&gt;="&amp;$I78,INDIRECT("'"&amp;$A78&amp;"'!$A$2:$A$501"),"&lt;"&amp;($BA78+1)),0)))</f>
        <v/>
      </c>
      <c r="AM78" s="30" t="str">
        <f aca="true">IF(OR($A78="",$I78=""),"",IF($BC78="Y",SUMIFS(survey_frozen!$D$2:$D$251,survey_frozen!$P$2:$P$251,$A78&amp;"|"&amp;$B78),IFERROR(COUNTIFS(INDIRECT("'"&amp;$A78&amp;"'!$B$2:$B$501"),$T78,INDIRECT("'"&amp;$A78&amp;"'!$A$2:$A$501"),"&gt;="&amp;$I78,INDIRECT("'"&amp;$A78&amp;"'!$A$2:$A$501"),"&lt;"&amp;($BA78+1),INDIRECT("'"&amp;$A78&amp;"'!$C$2:$C$501"),"Yes"),0)))</f>
        <v/>
      </c>
      <c r="AN78" s="30" t="str">
        <f aca="false">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30" t="str">
        <f aca="false">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30" t="str">
        <f aca="true">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30" t="str">
        <f aca="true">IF(OR($A78="",$I78=""),"",IF($BC78="Y",SUMIFS(survey_frozen!$E$2:$E$251,survey_frozen!$P$2:$P$251,$A78&amp;"|"&amp;$B78),IFERROR(COUNTIFS(INDIRECT("'"&amp;$A78&amp;"'!$B$2:$B$501"),$T78,INDIRECT("'"&amp;$A78&amp;"'!$A$2:$A$501"),"&gt;="&amp;$I78,INDIRECT("'"&amp;$A78&amp;"'!$A$2:$A$501"),"&lt;"&amp;($BA78+1),INDIRECT("'"&amp;$A78&amp;"'!$F$2:$F$501"),"Didn't see it"),0)))</f>
        <v/>
      </c>
      <c r="AR78" s="30" t="str">
        <f aca="true">IF(OR($A78="",$I78=""),"",IF($BC78="Y",SUMIFS(survey_frozen!$F$2:$F$251,survey_frozen!$P$2:$P$251,$A78&amp;"|"&amp;$B78),IFERROR(COUNTIFS(INDIRECT("'"&amp;$A78&amp;"'!$B$2:$B$501"),$T78,INDIRECT("'"&amp;$A78&amp;"'!$A$2:$A$501"),"&gt;="&amp;$I78,INDIRECT("'"&amp;$A78&amp;"'!$A$2:$A$501"),"&lt;"&amp;($BA78+1),INDIRECT("'"&amp;$A78&amp;"'!$F$2:$F$501"),"Not for me"),0)))</f>
        <v/>
      </c>
      <c r="AS78" s="30" t="str">
        <f aca="true">IF(OR($A78="",$I78=""),"",IF($BC78="Y",SUMIFS(survey_frozen!$G$2:$G$251,survey_frozen!$P$2:$P$251,$A78&amp;"|"&amp;$B78),IFERROR(COUNTIFS(INDIRECT("'"&amp;$A78&amp;"'!$B$2:$B$501"),$T78,INDIRECT("'"&amp;$A78&amp;"'!$A$2:$A$501"),"&gt;="&amp;$I78,INDIRECT("'"&amp;$A78&amp;"'!$A$2:$A$501"),"&lt;"&amp;($BA78+1),INDIRECT("'"&amp;$A78&amp;"'!$F$2:$F$501"),"Gone by the time I looked"),0)))</f>
        <v/>
      </c>
      <c r="AT78" s="30" t="str">
        <f aca="true">IF(OR($A78="",$I78=""),"",IF($BC78="Y",SUMIFS(survey_frozen!$H$2:$H$251,survey_frozen!$P$2:$P$251,$A78&amp;"|"&amp;$B78),IFERROR(COUNTIFS(INDIRECT("'"&amp;$A78&amp;"'!$B$2:$B$501"),$T78,INDIRECT("'"&amp;$A78&amp;"'!$A$2:$A$501"),"&gt;="&amp;$I78,INDIRECT("'"&amp;$A78&amp;"'!$A$2:$A$501"),"&lt;"&amp;($BA78+1),INDIRECT("'"&amp;$A78&amp;"'!$D$2:$D$501"),"&gt;=1"),0)))</f>
        <v/>
      </c>
      <c r="AU78" s="30" t="str">
        <f aca="true">IF(OR($A78="",$I78=""),"",IF($BC78="Y",SUMIFS(survey_frozen!$I$2:$I$251,survey_frozen!$P$2:$P$251,$A78&amp;"|"&amp;$B78),IFERROR(SUMIFS(INDIRECT("'"&amp;$A78&amp;"'!$D$2:$D$501"),INDIRECT("'"&amp;$A78&amp;"'!$B$2:$B$501"),$T78,INDIRECT("'"&amp;$A78&amp;"'!$A$2:$A$501"),"&gt;="&amp;$I78,INDIRECT("'"&amp;$A78&amp;"'!$A$2:$A$501"),"&lt;"&amp;($BA78+1)),0)))</f>
        <v/>
      </c>
      <c r="AV78" s="30" t="str">
        <f aca="true">IF(OR($A78="",$I78=""),"",IF($BC78="Y",SUMIFS(survey_frozen!$J$2:$J$251,survey_frozen!$P$2:$P$251,$A78&amp;"|"&amp;$B78),IFERROR(COUNTIFS(INDIRECT("'"&amp;$A78&amp;"'!$B$2:$B$501"),$T78,INDIRECT("'"&amp;$A78&amp;"'!$A$2:$A$501"),"&gt;="&amp;$I78,INDIRECT("'"&amp;$A78&amp;"'!$A$2:$A$501"),"&lt;"&amp;($BA78+1),INDIRECT("'"&amp;$A78&amp;"'!$E$2:$E$501"),"Yes"),0)))</f>
        <v/>
      </c>
      <c r="AW78" s="30" t="str">
        <f aca="true">IF(OR($A78="",$I78=""),"",IF($BC78="Y",SUMIFS(survey_frozen!$K$2:$K$251,survey_frozen!$P$2:$P$251,$A78&amp;"|"&amp;$B78),IFERROR(COUNTIFS(INDIRECT("'"&amp;$A78&amp;"'!$B$2:$B$501"),$T78,INDIRECT("'"&amp;$A78&amp;"'!$A$2:$A$501"),"&gt;="&amp;$I78,INDIRECT("'"&amp;$A78&amp;"'!$A$2:$A$501"),"&lt;"&amp;($BA78+1),INDIRECT("'"&amp;$A78&amp;"'!$E$2:$E$501"),"Maybe"),0)))</f>
        <v/>
      </c>
      <c r="AX78" s="30" t="str">
        <f aca="true">IF(OR($A78="",$I78=""),"",IF($BC78="Y",SUMIFS(survey_frozen!$L$2:$L$251,survey_frozen!$P$2:$P$251,$A78&amp;"|"&amp;$B78),IFERROR(COUNTIFS(INDIRECT("'"&amp;$A78&amp;"'!$B$2:$B$501"),$T78,INDIRECT("'"&amp;$A78&amp;"'!$A$2:$A$501"),"&gt;="&amp;$I78,INDIRECT("'"&amp;$A78&amp;"'!$A$2:$A$501"),"&lt;"&amp;($BA78+1),INDIRECT("'"&amp;$A78&amp;"'!$E$2:$E$501"),"No"),0)))</f>
        <v/>
      </c>
      <c r="AY78" s="30" t="str">
        <f aca="true">IF(OR($A78="",$I78=""),"",IF($BC78="Y",SUMIFS(survey_frozen!$M$2:$M$251,survey_frozen!$P$2:$P$251,$A78&amp;"|"&amp;$B78),IFERROR(COUNTIFS(INDIRECT("'"&amp;$A78&amp;"'!$B$2:$B$501"),$T78,INDIRECT("'"&amp;$A78&amp;"'!$A$2:$A$501"),"&gt;="&amp;$I78,INDIRECT("'"&amp;$A78&amp;"'!$A$2:$A$501"),"&lt;"&amp;($BA78+1),INDIRECT("'"&amp;$A78&amp;"'!$G$2:$G$501"),"&lt;&gt;"),0)))</f>
        <v/>
      </c>
      <c r="AZ78" s="30" t="str">
        <f aca="false">IF($A78="","",$A78&amp;"|"&amp;$L78)</f>
        <v/>
      </c>
      <c r="BA78" s="31" t="str">
        <f aca="false">IF($A78="","",IFERROR(IF(INDEX(drops!$R$2:$R$21,MATCH($H78,drops!$A$2:$A$21,0))="","",INDEX(drops!$R$2:$R$21,MATCH($H78,drops!$A$2:$A$21,0))),""))</f>
        <v/>
      </c>
      <c r="BB78" s="30" t="n">
        <f aca="false">IF(OR($A78="",$Q78&lt;&gt;"Y"),1000000,N($AL78))</f>
        <v>1000000</v>
      </c>
      <c r="BC78" s="30" t="str">
        <f aca="false">IF($A78="","",IF(COUNTIF(survey_frozen!$P$2:$P$251,$A78&amp;"|"&amp;$B78)&gt;0,"Y",""))</f>
        <v/>
      </c>
      <c r="BD78" s="30" t="str">
        <f aca="false">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ustomFormat="false" ht="15" hidden="false" customHeight="false" outlineLevel="0" collapsed="false">
      <c r="C79" s="11"/>
      <c r="D79" s="10"/>
      <c r="E79" s="11"/>
      <c r="H79" s="30" t="str">
        <f aca="false">IF($A79="","",IFERROR(IF(INDEX(campaigns!$B$2:$B$51,MATCH($A79,campaigns!$A$2:$A$51,0))="","",INDEX(campaigns!$B$2:$B$51,MATCH($A79,campaigns!$A$2:$A$51,0))),""))</f>
        <v/>
      </c>
      <c r="I79" s="31" t="str">
        <f aca="false">IF($A79="","",IFERROR(IF(INDEX(campaigns!$BG$2:$BG$51,MATCH($A79,campaigns!$A$2:$A$51,0))="","",INDEX(campaigns!$BG$2:$BG$51,MATCH($A79,campaigns!$A$2:$A$51,0))),""))</f>
        <v/>
      </c>
      <c r="J79" s="30" t="str">
        <f aca="false">IF($A79="","",IFERROR(IF(INDEX(campaigns!$BE$2:$BE$51,MATCH($A79,campaigns!$A$2:$A$51,0))="","",INDEX(campaigns!$BE$2:$BE$51,MATCH($A79,campaigns!$A$2:$A$51,0))),""))</f>
        <v/>
      </c>
      <c r="K79" s="30" t="str">
        <f aca="false">IF($B79="","",IFERROR(IF(INDEX(offices!$O$2:$O$61,MATCH($B79,offices!$A$2:$A$61,0))="","",INDEX(offices!$O$2:$O$61,MATCH($B79,offices!$A$2:$A$61,0))),""))</f>
        <v/>
      </c>
      <c r="L79" s="30" t="str">
        <f aca="false">IF($A79="","",IF($Q79="N","",COUNTIFS($A$2:$A79,$A79,$Q$2:$Q79,"&lt;&gt;N")))</f>
        <v/>
      </c>
      <c r="M79" s="30" t="str">
        <f aca="false">IF(OR($A79="",$L79=""),"",IF(AND(config!$B$34="names_if_public",IFERROR(IF(INDEX(offices!$AG$2:$AG$61,MATCH($B79,offices!$A$2:$A$61,0))="","",INDEX(offices!$AG$2:$AG$61,MATCH($B79,offices!$A$2:$A$61,0))),"")="Y"),$K79,CHAR(64+$L79)))</f>
        <v/>
      </c>
      <c r="N79" s="30" t="str">
        <f aca="false">IF(OR($A79="",$I79=""),"",COUNTIFS(stops!$B$2:$B$151,$B79,stops!$P$2:$P$151,"&lt;"&amp;$I79,stops!$L$2:$L$151,"&lt;&gt;not_delivered")+1)</f>
        <v/>
      </c>
      <c r="O79" s="30" t="str">
        <f aca="false">IF($A79="","",IF(N($N79)&lt;=config!$B$29,"explicit","opt-out"))</f>
        <v/>
      </c>
      <c r="P79" s="30" t="str">
        <f aca="false">IF($A79="","",IF($O79="explicit",IF($D79="yes","Y",IF($D79="no","N","pending")),IF($D79="no","N",IF(AND($C79&lt;&gt;"",$I79&lt;&gt;"",$C79&lt;=WORKDAY(N($I79),-5,calendar!$A$2:$A$80)),"Y","pending"))))</f>
        <v/>
      </c>
      <c r="Q79" s="30" t="str">
        <f aca="false">IF($A79="","",IF($P79="N","N",IF($P79&lt;&gt;"Y","pending",IF(AND((COUNTIFS(stops!$A$2:$A$151,$H79,stops!$B$2:$B$151,$B79,stops!$L$2:$L$151,"declined")+COUNTIFS(stops!$A$2:$A$151,$H79,stops!$B$2:$B$151,$B79,stops!$L$2:$L$151,"building_refused")+COUNTIFS(stops!$A$2:$A$151,$H79,stops!$B$2:$B$151,$B79,stops!$L$2:$L$151,"not_delivered"))&gt;0,N($U79)=0),"N","Y"))))</f>
        <v/>
      </c>
      <c r="R79" s="30" t="str">
        <f aca="false">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30" t="str">
        <f aca="false">IF($A79="","",IF($G79&lt;&gt;"",$G79,IFERROR(IF(INDEX(offices!$AM$2:$AM$61,MATCH($B79,offices!$A$2:$A$61,0))="","",INDEX(offices!$AM$2:$AM$61,MATCH($B79,offices!$A$2:$A$61,0))),"")))</f>
        <v/>
      </c>
      <c r="T79" s="30" t="str">
        <f aca="false">IF($A79="","",$A79&amp;"."&amp;$B79)</f>
        <v/>
      </c>
      <c r="U79" s="30" t="str">
        <f aca="false">IF($A79="","",SUMIFS(inventory!$G$2:$G$801,inventory!$C$2:$C$801,$A79,inventory!$D$2:$D$801,$B79,inventory!$E$2:$E$801,"delivered"))</f>
        <v/>
      </c>
      <c r="V79" s="37" t="str">
        <f aca="false">IF($A79="","",IFERROR(1/(1/SUMPRODUCT(MAX((inventory!$C$2:$C$801=$A79)*(inventory!$D$2:$D$801=$B79)*(inventory!$E$2:$E$801="delivered")*(inventory!$A$2:$A$801+inventory!$B$2:$B$801)))),""))</f>
        <v/>
      </c>
      <c r="W79" s="30" t="str">
        <f aca="false">IF($A79="","",IFERROR(IF(INDEX(inventory!$J$2:$J$801,MATCH($A79&amp;"|"&amp;$B79&amp;"|delivered",inventory!$R$2:$R$801,0))="","",INDEX(inventory!$J$2:$J$801,MATCH($A79&amp;"|"&amp;$B79&amp;"|delivered",inventory!$R$2:$R$801,0))),""))</f>
        <v/>
      </c>
      <c r="X79" s="30" t="str">
        <f aca="false">IF($A79="","",IFERROR(IF(INDEX(photos!$H$2:$H$701,MATCH($A79&amp;"|"&amp;$B79&amp;"|placement|Y",photos!$R$2:$R$701,0))="","",INDEX(photos!$H$2:$H$701,MATCH($A79&amp;"|"&amp;$B79&amp;"|placement|Y",photos!$R$2:$R$701,0))),""))</f>
        <v/>
      </c>
      <c r="Y79" s="31" t="str">
        <f aca="false">IF($A79="","",IFERROR(IF(INDEX(photos!$E$2:$E$701,MATCH($A79&amp;"|"&amp;$B79&amp;"|placement|Y",photos!$R$2:$R$701,0))="","",INDEX(photos!$E$2:$E$701,MATCH($A79&amp;"|"&amp;$B79&amp;"|placement|Y",photos!$R$2:$R$701,0))),""))</f>
        <v/>
      </c>
      <c r="Z79" s="30" t="str">
        <f aca="false">IF($A79="","",IF(COUNTIFS(counts!$C$2:$C$701,$A79,counts!$D$2:$D$701,$B79,counts!$E$2:$E$701,"placed")=0,"",SUMIFS(counts!$F$2:$F$701,counts!$C$2:$C$701,$A79,counts!$D$2:$D$701,$B79,counts!$E$2:$E$701,"placed")))</f>
        <v/>
      </c>
      <c r="AA79" s="30" t="str">
        <f aca="false">IF($A79="","",IF($Y79="",0,N($Z79)))</f>
        <v/>
      </c>
      <c r="AB79" s="30" t="str">
        <f aca="false">IF($A79="","",IF(OR($Y79="",$I79=""),"N",IF($Y79&lt;=WORKDAY(N($I79),1,calendar!$A$2:$A$80),"Y","N")))</f>
        <v/>
      </c>
      <c r="AC79" s="33" t="str">
        <f aca="false">IF(OR($A79="",$V79="",$Y79=""),"",ROUND(($Y79+N(IFERROR(IF(INDEX(photos!$F$2:$F$701,MATCH($A79&amp;"|"&amp;$B79&amp;"|placement|Y",photos!$R$2:$R$701,0))="","",INDEX(photos!$F$2:$F$701,MATCH($A79&amp;"|"&amp;$B79&amp;"|placement|Y",photos!$R$2:$R$701,0))),""))-$V79)*24,1))</f>
        <v/>
      </c>
      <c r="AD79" s="30" t="str">
        <f aca="false">IF($A79="","",SUMIFS(inventory!$G$2:$G$801,inventory!$C$2:$C$801,$A79,inventory!$D$2:$D$801,$B79,inventory!$E$2:$E$801,"topped_up"))</f>
        <v/>
      </c>
      <c r="AE79" s="30" t="str">
        <f aca="false">IF($A79="","",IF(COUNTIFS(counts!$C$2:$C$701,$A79,counts!$D$2:$D$701,$B79,counts!$E$2:$E$701,"remaining_day3")=0,"",SUMIFS(counts!$F$2:$F$701,counts!$C$2:$C$701,$A79,counts!$D$2:$D$701,$B79,counts!$E$2:$E$701,"remaining_day3")))</f>
        <v/>
      </c>
      <c r="AF79" s="30" t="str">
        <f aca="false">IF($A79="","",IF(COUNTIFS(counts!$C$2:$C$701,$A79,counts!$D$2:$D$701,$B79,counts!$E$2:$E$701,"remaining_day5")=0,"",SUMIFS(counts!$F$2:$F$701,counts!$C$2:$C$701,$A79,counts!$D$2:$D$701,$B79,counts!$E$2:$E$701,"remaining_day5")))</f>
        <v/>
      </c>
      <c r="AG79" s="30" t="str">
        <f aca="false">IF(OR($A79="",$AF79=""),"",MAX(0,$AA79+$AD79-$AF79))</f>
        <v/>
      </c>
      <c r="AH79" s="30" t="str">
        <f aca="false">IF(OR($A79="",$AI79=""),"",IFERROR(IF(INDEX(photos!$H$2:$H$701,MATCH($A79&amp;"|"&amp;$B79&amp;"|later|Y|"&amp;$AI79,photos!$S$2:$S$701,0))="","",INDEX(photos!$H$2:$H$701,MATCH($A79&amp;"|"&amp;$B79&amp;"|later|Y|"&amp;$AI79,photos!$S$2:$S$701,0))),""))</f>
        <v/>
      </c>
      <c r="AI79" s="31" t="str">
        <f aca="false">IF($A79="","",IFERROR(1/(1/SUMPRODUCT(MAX((photos!$B$2:$B$701=$A79)*(photos!$C$2:$C$701=$B79)*(photos!$D$2:$D$701="later")*(photos!$O$2:$O$701="Y")*photos!$E$2:$E$701))),""))</f>
        <v/>
      </c>
      <c r="AJ79" s="30" t="str">
        <f aca="false">IF(OR($A79="",$AI79="",$I79=""),"",NETWORKDAYS($I79,$AI79,calendar!$A$2:$A$80))</f>
        <v/>
      </c>
      <c r="AK79" s="30" t="str">
        <f aca="false">IF($A79="","",IF(AND($X79&lt;&gt;"",$AH79&lt;&gt;""),"Y","N"))</f>
        <v/>
      </c>
      <c r="AL79" s="30" t="str">
        <f aca="true">IF(OR($A79="",$I79=""),"",IF($BC79="Y",SUMIFS(survey_frozen!$C$2:$C$251,survey_frozen!$P$2:$P$251,$A79&amp;"|"&amp;$B79),IFERROR(COUNTIFS(INDIRECT("'"&amp;$A79&amp;"'!$B$2:$B$501"),$T79,INDIRECT("'"&amp;$A79&amp;"'!$A$2:$A$501"),"&gt;="&amp;$I79,INDIRECT("'"&amp;$A79&amp;"'!$A$2:$A$501"),"&lt;"&amp;($BA79+1)),0)))</f>
        <v/>
      </c>
      <c r="AM79" s="30" t="str">
        <f aca="true">IF(OR($A79="",$I79=""),"",IF($BC79="Y",SUMIFS(survey_frozen!$D$2:$D$251,survey_frozen!$P$2:$P$251,$A79&amp;"|"&amp;$B79),IFERROR(COUNTIFS(INDIRECT("'"&amp;$A79&amp;"'!$B$2:$B$501"),$T79,INDIRECT("'"&amp;$A79&amp;"'!$A$2:$A$501"),"&gt;="&amp;$I79,INDIRECT("'"&amp;$A79&amp;"'!$A$2:$A$501"),"&lt;"&amp;($BA79+1),INDIRECT("'"&amp;$A79&amp;"'!$C$2:$C$501"),"Yes"),0)))</f>
        <v/>
      </c>
      <c r="AN79" s="30" t="str">
        <f aca="false">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30" t="str">
        <f aca="false">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30" t="str">
        <f aca="true">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30" t="str">
        <f aca="true">IF(OR($A79="",$I79=""),"",IF($BC79="Y",SUMIFS(survey_frozen!$E$2:$E$251,survey_frozen!$P$2:$P$251,$A79&amp;"|"&amp;$B79),IFERROR(COUNTIFS(INDIRECT("'"&amp;$A79&amp;"'!$B$2:$B$501"),$T79,INDIRECT("'"&amp;$A79&amp;"'!$A$2:$A$501"),"&gt;="&amp;$I79,INDIRECT("'"&amp;$A79&amp;"'!$A$2:$A$501"),"&lt;"&amp;($BA79+1),INDIRECT("'"&amp;$A79&amp;"'!$F$2:$F$501"),"Didn't see it"),0)))</f>
        <v/>
      </c>
      <c r="AR79" s="30" t="str">
        <f aca="true">IF(OR($A79="",$I79=""),"",IF($BC79="Y",SUMIFS(survey_frozen!$F$2:$F$251,survey_frozen!$P$2:$P$251,$A79&amp;"|"&amp;$B79),IFERROR(COUNTIFS(INDIRECT("'"&amp;$A79&amp;"'!$B$2:$B$501"),$T79,INDIRECT("'"&amp;$A79&amp;"'!$A$2:$A$501"),"&gt;="&amp;$I79,INDIRECT("'"&amp;$A79&amp;"'!$A$2:$A$501"),"&lt;"&amp;($BA79+1),INDIRECT("'"&amp;$A79&amp;"'!$F$2:$F$501"),"Not for me"),0)))</f>
        <v/>
      </c>
      <c r="AS79" s="30" t="str">
        <f aca="true">IF(OR($A79="",$I79=""),"",IF($BC79="Y",SUMIFS(survey_frozen!$G$2:$G$251,survey_frozen!$P$2:$P$251,$A79&amp;"|"&amp;$B79),IFERROR(COUNTIFS(INDIRECT("'"&amp;$A79&amp;"'!$B$2:$B$501"),$T79,INDIRECT("'"&amp;$A79&amp;"'!$A$2:$A$501"),"&gt;="&amp;$I79,INDIRECT("'"&amp;$A79&amp;"'!$A$2:$A$501"),"&lt;"&amp;($BA79+1),INDIRECT("'"&amp;$A79&amp;"'!$F$2:$F$501"),"Gone by the time I looked"),0)))</f>
        <v/>
      </c>
      <c r="AT79" s="30" t="str">
        <f aca="true">IF(OR($A79="",$I79=""),"",IF($BC79="Y",SUMIFS(survey_frozen!$H$2:$H$251,survey_frozen!$P$2:$P$251,$A79&amp;"|"&amp;$B79),IFERROR(COUNTIFS(INDIRECT("'"&amp;$A79&amp;"'!$B$2:$B$501"),$T79,INDIRECT("'"&amp;$A79&amp;"'!$A$2:$A$501"),"&gt;="&amp;$I79,INDIRECT("'"&amp;$A79&amp;"'!$A$2:$A$501"),"&lt;"&amp;($BA79+1),INDIRECT("'"&amp;$A79&amp;"'!$D$2:$D$501"),"&gt;=1"),0)))</f>
        <v/>
      </c>
      <c r="AU79" s="30" t="str">
        <f aca="true">IF(OR($A79="",$I79=""),"",IF($BC79="Y",SUMIFS(survey_frozen!$I$2:$I$251,survey_frozen!$P$2:$P$251,$A79&amp;"|"&amp;$B79),IFERROR(SUMIFS(INDIRECT("'"&amp;$A79&amp;"'!$D$2:$D$501"),INDIRECT("'"&amp;$A79&amp;"'!$B$2:$B$501"),$T79,INDIRECT("'"&amp;$A79&amp;"'!$A$2:$A$501"),"&gt;="&amp;$I79,INDIRECT("'"&amp;$A79&amp;"'!$A$2:$A$501"),"&lt;"&amp;($BA79+1)),0)))</f>
        <v/>
      </c>
      <c r="AV79" s="30" t="str">
        <f aca="true">IF(OR($A79="",$I79=""),"",IF($BC79="Y",SUMIFS(survey_frozen!$J$2:$J$251,survey_frozen!$P$2:$P$251,$A79&amp;"|"&amp;$B79),IFERROR(COUNTIFS(INDIRECT("'"&amp;$A79&amp;"'!$B$2:$B$501"),$T79,INDIRECT("'"&amp;$A79&amp;"'!$A$2:$A$501"),"&gt;="&amp;$I79,INDIRECT("'"&amp;$A79&amp;"'!$A$2:$A$501"),"&lt;"&amp;($BA79+1),INDIRECT("'"&amp;$A79&amp;"'!$E$2:$E$501"),"Yes"),0)))</f>
        <v/>
      </c>
      <c r="AW79" s="30" t="str">
        <f aca="true">IF(OR($A79="",$I79=""),"",IF($BC79="Y",SUMIFS(survey_frozen!$K$2:$K$251,survey_frozen!$P$2:$P$251,$A79&amp;"|"&amp;$B79),IFERROR(COUNTIFS(INDIRECT("'"&amp;$A79&amp;"'!$B$2:$B$501"),$T79,INDIRECT("'"&amp;$A79&amp;"'!$A$2:$A$501"),"&gt;="&amp;$I79,INDIRECT("'"&amp;$A79&amp;"'!$A$2:$A$501"),"&lt;"&amp;($BA79+1),INDIRECT("'"&amp;$A79&amp;"'!$E$2:$E$501"),"Maybe"),0)))</f>
        <v/>
      </c>
      <c r="AX79" s="30" t="str">
        <f aca="true">IF(OR($A79="",$I79=""),"",IF($BC79="Y",SUMIFS(survey_frozen!$L$2:$L$251,survey_frozen!$P$2:$P$251,$A79&amp;"|"&amp;$B79),IFERROR(COUNTIFS(INDIRECT("'"&amp;$A79&amp;"'!$B$2:$B$501"),$T79,INDIRECT("'"&amp;$A79&amp;"'!$A$2:$A$501"),"&gt;="&amp;$I79,INDIRECT("'"&amp;$A79&amp;"'!$A$2:$A$501"),"&lt;"&amp;($BA79+1),INDIRECT("'"&amp;$A79&amp;"'!$E$2:$E$501"),"No"),0)))</f>
        <v/>
      </c>
      <c r="AY79" s="30" t="str">
        <f aca="true">IF(OR($A79="",$I79=""),"",IF($BC79="Y",SUMIFS(survey_frozen!$M$2:$M$251,survey_frozen!$P$2:$P$251,$A79&amp;"|"&amp;$B79),IFERROR(COUNTIFS(INDIRECT("'"&amp;$A79&amp;"'!$B$2:$B$501"),$T79,INDIRECT("'"&amp;$A79&amp;"'!$A$2:$A$501"),"&gt;="&amp;$I79,INDIRECT("'"&amp;$A79&amp;"'!$A$2:$A$501"),"&lt;"&amp;($BA79+1),INDIRECT("'"&amp;$A79&amp;"'!$G$2:$G$501"),"&lt;&gt;"),0)))</f>
        <v/>
      </c>
      <c r="AZ79" s="30" t="str">
        <f aca="false">IF($A79="","",$A79&amp;"|"&amp;$L79)</f>
        <v/>
      </c>
      <c r="BA79" s="31" t="str">
        <f aca="false">IF($A79="","",IFERROR(IF(INDEX(drops!$R$2:$R$21,MATCH($H79,drops!$A$2:$A$21,0))="","",INDEX(drops!$R$2:$R$21,MATCH($H79,drops!$A$2:$A$21,0))),""))</f>
        <v/>
      </c>
      <c r="BB79" s="30" t="n">
        <f aca="false">IF(OR($A79="",$Q79&lt;&gt;"Y"),1000000,N($AL79))</f>
        <v>1000000</v>
      </c>
      <c r="BC79" s="30" t="str">
        <f aca="false">IF($A79="","",IF(COUNTIF(survey_frozen!$P$2:$P$251,$A79&amp;"|"&amp;$B79)&gt;0,"Y",""))</f>
        <v/>
      </c>
      <c r="BD79" s="30" t="str">
        <f aca="false">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ustomFormat="false" ht="15" hidden="false" customHeight="false" outlineLevel="0" collapsed="false">
      <c r="C80" s="11"/>
      <c r="D80" s="10"/>
      <c r="E80" s="11"/>
      <c r="H80" s="30" t="str">
        <f aca="false">IF($A80="","",IFERROR(IF(INDEX(campaigns!$B$2:$B$51,MATCH($A80,campaigns!$A$2:$A$51,0))="","",INDEX(campaigns!$B$2:$B$51,MATCH($A80,campaigns!$A$2:$A$51,0))),""))</f>
        <v/>
      </c>
      <c r="I80" s="31" t="str">
        <f aca="false">IF($A80="","",IFERROR(IF(INDEX(campaigns!$BG$2:$BG$51,MATCH($A80,campaigns!$A$2:$A$51,0))="","",INDEX(campaigns!$BG$2:$BG$51,MATCH($A80,campaigns!$A$2:$A$51,0))),""))</f>
        <v/>
      </c>
      <c r="J80" s="30" t="str">
        <f aca="false">IF($A80="","",IFERROR(IF(INDEX(campaigns!$BE$2:$BE$51,MATCH($A80,campaigns!$A$2:$A$51,0))="","",INDEX(campaigns!$BE$2:$BE$51,MATCH($A80,campaigns!$A$2:$A$51,0))),""))</f>
        <v/>
      </c>
      <c r="K80" s="30" t="str">
        <f aca="false">IF($B80="","",IFERROR(IF(INDEX(offices!$O$2:$O$61,MATCH($B80,offices!$A$2:$A$61,0))="","",INDEX(offices!$O$2:$O$61,MATCH($B80,offices!$A$2:$A$61,0))),""))</f>
        <v/>
      </c>
      <c r="L80" s="30" t="str">
        <f aca="false">IF($A80="","",IF($Q80="N","",COUNTIFS($A$2:$A80,$A80,$Q$2:$Q80,"&lt;&gt;N")))</f>
        <v/>
      </c>
      <c r="M80" s="30" t="str">
        <f aca="false">IF(OR($A80="",$L80=""),"",IF(AND(config!$B$34="names_if_public",IFERROR(IF(INDEX(offices!$AG$2:$AG$61,MATCH($B80,offices!$A$2:$A$61,0))="","",INDEX(offices!$AG$2:$AG$61,MATCH($B80,offices!$A$2:$A$61,0))),"")="Y"),$K80,CHAR(64+$L80)))</f>
        <v/>
      </c>
      <c r="N80" s="30" t="str">
        <f aca="false">IF(OR($A80="",$I80=""),"",COUNTIFS(stops!$B$2:$B$151,$B80,stops!$P$2:$P$151,"&lt;"&amp;$I80,stops!$L$2:$L$151,"&lt;&gt;not_delivered")+1)</f>
        <v/>
      </c>
      <c r="O80" s="30" t="str">
        <f aca="false">IF($A80="","",IF(N($N80)&lt;=config!$B$29,"explicit","opt-out"))</f>
        <v/>
      </c>
      <c r="P80" s="30" t="str">
        <f aca="false">IF($A80="","",IF($O80="explicit",IF($D80="yes","Y",IF($D80="no","N","pending")),IF($D80="no","N",IF(AND($C80&lt;&gt;"",$I80&lt;&gt;"",$C80&lt;=WORKDAY(N($I80),-5,calendar!$A$2:$A$80)),"Y","pending"))))</f>
        <v/>
      </c>
      <c r="Q80" s="30" t="str">
        <f aca="false">IF($A80="","",IF($P80="N","N",IF($P80&lt;&gt;"Y","pending",IF(AND((COUNTIFS(stops!$A$2:$A$151,$H80,stops!$B$2:$B$151,$B80,stops!$L$2:$L$151,"declined")+COUNTIFS(stops!$A$2:$A$151,$H80,stops!$B$2:$B$151,$B80,stops!$L$2:$L$151,"building_refused")+COUNTIFS(stops!$A$2:$A$151,$H80,stops!$B$2:$B$151,$B80,stops!$L$2:$L$151,"not_delivered"))&gt;0,N($U80)=0),"N","Y"))))</f>
        <v/>
      </c>
      <c r="R80" s="30" t="str">
        <f aca="false">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30" t="str">
        <f aca="false">IF($A80="","",IF($G80&lt;&gt;"",$G80,IFERROR(IF(INDEX(offices!$AM$2:$AM$61,MATCH($B80,offices!$A$2:$A$61,0))="","",INDEX(offices!$AM$2:$AM$61,MATCH($B80,offices!$A$2:$A$61,0))),"")))</f>
        <v/>
      </c>
      <c r="T80" s="30" t="str">
        <f aca="false">IF($A80="","",$A80&amp;"."&amp;$B80)</f>
        <v/>
      </c>
      <c r="U80" s="30" t="str">
        <f aca="false">IF($A80="","",SUMIFS(inventory!$G$2:$G$801,inventory!$C$2:$C$801,$A80,inventory!$D$2:$D$801,$B80,inventory!$E$2:$E$801,"delivered"))</f>
        <v/>
      </c>
      <c r="V80" s="37" t="str">
        <f aca="false">IF($A80="","",IFERROR(1/(1/SUMPRODUCT(MAX((inventory!$C$2:$C$801=$A80)*(inventory!$D$2:$D$801=$B80)*(inventory!$E$2:$E$801="delivered")*(inventory!$A$2:$A$801+inventory!$B$2:$B$801)))),""))</f>
        <v/>
      </c>
      <c r="W80" s="30" t="str">
        <f aca="false">IF($A80="","",IFERROR(IF(INDEX(inventory!$J$2:$J$801,MATCH($A80&amp;"|"&amp;$B80&amp;"|delivered",inventory!$R$2:$R$801,0))="","",INDEX(inventory!$J$2:$J$801,MATCH($A80&amp;"|"&amp;$B80&amp;"|delivered",inventory!$R$2:$R$801,0))),""))</f>
        <v/>
      </c>
      <c r="X80" s="30" t="str">
        <f aca="false">IF($A80="","",IFERROR(IF(INDEX(photos!$H$2:$H$701,MATCH($A80&amp;"|"&amp;$B80&amp;"|placement|Y",photos!$R$2:$R$701,0))="","",INDEX(photos!$H$2:$H$701,MATCH($A80&amp;"|"&amp;$B80&amp;"|placement|Y",photos!$R$2:$R$701,0))),""))</f>
        <v/>
      </c>
      <c r="Y80" s="31" t="str">
        <f aca="false">IF($A80="","",IFERROR(IF(INDEX(photos!$E$2:$E$701,MATCH($A80&amp;"|"&amp;$B80&amp;"|placement|Y",photos!$R$2:$R$701,0))="","",INDEX(photos!$E$2:$E$701,MATCH($A80&amp;"|"&amp;$B80&amp;"|placement|Y",photos!$R$2:$R$701,0))),""))</f>
        <v/>
      </c>
      <c r="Z80" s="30" t="str">
        <f aca="false">IF($A80="","",IF(COUNTIFS(counts!$C$2:$C$701,$A80,counts!$D$2:$D$701,$B80,counts!$E$2:$E$701,"placed")=0,"",SUMIFS(counts!$F$2:$F$701,counts!$C$2:$C$701,$A80,counts!$D$2:$D$701,$B80,counts!$E$2:$E$701,"placed")))</f>
        <v/>
      </c>
      <c r="AA80" s="30" t="str">
        <f aca="false">IF($A80="","",IF($Y80="",0,N($Z80)))</f>
        <v/>
      </c>
      <c r="AB80" s="30" t="str">
        <f aca="false">IF($A80="","",IF(OR($Y80="",$I80=""),"N",IF($Y80&lt;=WORKDAY(N($I80),1,calendar!$A$2:$A$80),"Y","N")))</f>
        <v/>
      </c>
      <c r="AC80" s="33" t="str">
        <f aca="false">IF(OR($A80="",$V80="",$Y80=""),"",ROUND(($Y80+N(IFERROR(IF(INDEX(photos!$F$2:$F$701,MATCH($A80&amp;"|"&amp;$B80&amp;"|placement|Y",photos!$R$2:$R$701,0))="","",INDEX(photos!$F$2:$F$701,MATCH($A80&amp;"|"&amp;$B80&amp;"|placement|Y",photos!$R$2:$R$701,0))),""))-$V80)*24,1))</f>
        <v/>
      </c>
      <c r="AD80" s="30" t="str">
        <f aca="false">IF($A80="","",SUMIFS(inventory!$G$2:$G$801,inventory!$C$2:$C$801,$A80,inventory!$D$2:$D$801,$B80,inventory!$E$2:$E$801,"topped_up"))</f>
        <v/>
      </c>
      <c r="AE80" s="30" t="str">
        <f aca="false">IF($A80="","",IF(COUNTIFS(counts!$C$2:$C$701,$A80,counts!$D$2:$D$701,$B80,counts!$E$2:$E$701,"remaining_day3")=0,"",SUMIFS(counts!$F$2:$F$701,counts!$C$2:$C$701,$A80,counts!$D$2:$D$701,$B80,counts!$E$2:$E$701,"remaining_day3")))</f>
        <v/>
      </c>
      <c r="AF80" s="30" t="str">
        <f aca="false">IF($A80="","",IF(COUNTIFS(counts!$C$2:$C$701,$A80,counts!$D$2:$D$701,$B80,counts!$E$2:$E$701,"remaining_day5")=0,"",SUMIFS(counts!$F$2:$F$701,counts!$C$2:$C$701,$A80,counts!$D$2:$D$701,$B80,counts!$E$2:$E$701,"remaining_day5")))</f>
        <v/>
      </c>
      <c r="AG80" s="30" t="str">
        <f aca="false">IF(OR($A80="",$AF80=""),"",MAX(0,$AA80+$AD80-$AF80))</f>
        <v/>
      </c>
      <c r="AH80" s="30" t="str">
        <f aca="false">IF(OR($A80="",$AI80=""),"",IFERROR(IF(INDEX(photos!$H$2:$H$701,MATCH($A80&amp;"|"&amp;$B80&amp;"|later|Y|"&amp;$AI80,photos!$S$2:$S$701,0))="","",INDEX(photos!$H$2:$H$701,MATCH($A80&amp;"|"&amp;$B80&amp;"|later|Y|"&amp;$AI80,photos!$S$2:$S$701,0))),""))</f>
        <v/>
      </c>
      <c r="AI80" s="31" t="str">
        <f aca="false">IF($A80="","",IFERROR(1/(1/SUMPRODUCT(MAX((photos!$B$2:$B$701=$A80)*(photos!$C$2:$C$701=$B80)*(photos!$D$2:$D$701="later")*(photos!$O$2:$O$701="Y")*photos!$E$2:$E$701))),""))</f>
        <v/>
      </c>
      <c r="AJ80" s="30" t="str">
        <f aca="false">IF(OR($A80="",$AI80="",$I80=""),"",NETWORKDAYS($I80,$AI80,calendar!$A$2:$A$80))</f>
        <v/>
      </c>
      <c r="AK80" s="30" t="str">
        <f aca="false">IF($A80="","",IF(AND($X80&lt;&gt;"",$AH80&lt;&gt;""),"Y","N"))</f>
        <v/>
      </c>
      <c r="AL80" s="30" t="str">
        <f aca="true">IF(OR($A80="",$I80=""),"",IF($BC80="Y",SUMIFS(survey_frozen!$C$2:$C$251,survey_frozen!$P$2:$P$251,$A80&amp;"|"&amp;$B80),IFERROR(COUNTIFS(INDIRECT("'"&amp;$A80&amp;"'!$B$2:$B$501"),$T80,INDIRECT("'"&amp;$A80&amp;"'!$A$2:$A$501"),"&gt;="&amp;$I80,INDIRECT("'"&amp;$A80&amp;"'!$A$2:$A$501"),"&lt;"&amp;($BA80+1)),0)))</f>
        <v/>
      </c>
      <c r="AM80" s="30" t="str">
        <f aca="true">IF(OR($A80="",$I80=""),"",IF($BC80="Y",SUMIFS(survey_frozen!$D$2:$D$251,survey_frozen!$P$2:$P$251,$A80&amp;"|"&amp;$B80),IFERROR(COUNTIFS(INDIRECT("'"&amp;$A80&amp;"'!$B$2:$B$501"),$T80,INDIRECT("'"&amp;$A80&amp;"'!$A$2:$A$501"),"&gt;="&amp;$I80,INDIRECT("'"&amp;$A80&amp;"'!$A$2:$A$501"),"&lt;"&amp;($BA80+1),INDIRECT("'"&amp;$A80&amp;"'!$C$2:$C$501"),"Yes"),0)))</f>
        <v/>
      </c>
      <c r="AN80" s="30" t="str">
        <f aca="false">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30" t="str">
        <f aca="false">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30" t="str">
        <f aca="true">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30" t="str">
        <f aca="true">IF(OR($A80="",$I80=""),"",IF($BC80="Y",SUMIFS(survey_frozen!$E$2:$E$251,survey_frozen!$P$2:$P$251,$A80&amp;"|"&amp;$B80),IFERROR(COUNTIFS(INDIRECT("'"&amp;$A80&amp;"'!$B$2:$B$501"),$T80,INDIRECT("'"&amp;$A80&amp;"'!$A$2:$A$501"),"&gt;="&amp;$I80,INDIRECT("'"&amp;$A80&amp;"'!$A$2:$A$501"),"&lt;"&amp;($BA80+1),INDIRECT("'"&amp;$A80&amp;"'!$F$2:$F$501"),"Didn't see it"),0)))</f>
        <v/>
      </c>
      <c r="AR80" s="30" t="str">
        <f aca="true">IF(OR($A80="",$I80=""),"",IF($BC80="Y",SUMIFS(survey_frozen!$F$2:$F$251,survey_frozen!$P$2:$P$251,$A80&amp;"|"&amp;$B80),IFERROR(COUNTIFS(INDIRECT("'"&amp;$A80&amp;"'!$B$2:$B$501"),$T80,INDIRECT("'"&amp;$A80&amp;"'!$A$2:$A$501"),"&gt;="&amp;$I80,INDIRECT("'"&amp;$A80&amp;"'!$A$2:$A$501"),"&lt;"&amp;($BA80+1),INDIRECT("'"&amp;$A80&amp;"'!$F$2:$F$501"),"Not for me"),0)))</f>
        <v/>
      </c>
      <c r="AS80" s="30" t="str">
        <f aca="true">IF(OR($A80="",$I80=""),"",IF($BC80="Y",SUMIFS(survey_frozen!$G$2:$G$251,survey_frozen!$P$2:$P$251,$A80&amp;"|"&amp;$B80),IFERROR(COUNTIFS(INDIRECT("'"&amp;$A80&amp;"'!$B$2:$B$501"),$T80,INDIRECT("'"&amp;$A80&amp;"'!$A$2:$A$501"),"&gt;="&amp;$I80,INDIRECT("'"&amp;$A80&amp;"'!$A$2:$A$501"),"&lt;"&amp;($BA80+1),INDIRECT("'"&amp;$A80&amp;"'!$F$2:$F$501"),"Gone by the time I looked"),0)))</f>
        <v/>
      </c>
      <c r="AT80" s="30" t="str">
        <f aca="true">IF(OR($A80="",$I80=""),"",IF($BC80="Y",SUMIFS(survey_frozen!$H$2:$H$251,survey_frozen!$P$2:$P$251,$A80&amp;"|"&amp;$B80),IFERROR(COUNTIFS(INDIRECT("'"&amp;$A80&amp;"'!$B$2:$B$501"),$T80,INDIRECT("'"&amp;$A80&amp;"'!$A$2:$A$501"),"&gt;="&amp;$I80,INDIRECT("'"&amp;$A80&amp;"'!$A$2:$A$501"),"&lt;"&amp;($BA80+1),INDIRECT("'"&amp;$A80&amp;"'!$D$2:$D$501"),"&gt;=1"),0)))</f>
        <v/>
      </c>
      <c r="AU80" s="30" t="str">
        <f aca="true">IF(OR($A80="",$I80=""),"",IF($BC80="Y",SUMIFS(survey_frozen!$I$2:$I$251,survey_frozen!$P$2:$P$251,$A80&amp;"|"&amp;$B80),IFERROR(SUMIFS(INDIRECT("'"&amp;$A80&amp;"'!$D$2:$D$501"),INDIRECT("'"&amp;$A80&amp;"'!$B$2:$B$501"),$T80,INDIRECT("'"&amp;$A80&amp;"'!$A$2:$A$501"),"&gt;="&amp;$I80,INDIRECT("'"&amp;$A80&amp;"'!$A$2:$A$501"),"&lt;"&amp;($BA80+1)),0)))</f>
        <v/>
      </c>
      <c r="AV80" s="30" t="str">
        <f aca="true">IF(OR($A80="",$I80=""),"",IF($BC80="Y",SUMIFS(survey_frozen!$J$2:$J$251,survey_frozen!$P$2:$P$251,$A80&amp;"|"&amp;$B80),IFERROR(COUNTIFS(INDIRECT("'"&amp;$A80&amp;"'!$B$2:$B$501"),$T80,INDIRECT("'"&amp;$A80&amp;"'!$A$2:$A$501"),"&gt;="&amp;$I80,INDIRECT("'"&amp;$A80&amp;"'!$A$2:$A$501"),"&lt;"&amp;($BA80+1),INDIRECT("'"&amp;$A80&amp;"'!$E$2:$E$501"),"Yes"),0)))</f>
        <v/>
      </c>
      <c r="AW80" s="30" t="str">
        <f aca="true">IF(OR($A80="",$I80=""),"",IF($BC80="Y",SUMIFS(survey_frozen!$K$2:$K$251,survey_frozen!$P$2:$P$251,$A80&amp;"|"&amp;$B80),IFERROR(COUNTIFS(INDIRECT("'"&amp;$A80&amp;"'!$B$2:$B$501"),$T80,INDIRECT("'"&amp;$A80&amp;"'!$A$2:$A$501"),"&gt;="&amp;$I80,INDIRECT("'"&amp;$A80&amp;"'!$A$2:$A$501"),"&lt;"&amp;($BA80+1),INDIRECT("'"&amp;$A80&amp;"'!$E$2:$E$501"),"Maybe"),0)))</f>
        <v/>
      </c>
      <c r="AX80" s="30" t="str">
        <f aca="true">IF(OR($A80="",$I80=""),"",IF($BC80="Y",SUMIFS(survey_frozen!$L$2:$L$251,survey_frozen!$P$2:$P$251,$A80&amp;"|"&amp;$B80),IFERROR(COUNTIFS(INDIRECT("'"&amp;$A80&amp;"'!$B$2:$B$501"),$T80,INDIRECT("'"&amp;$A80&amp;"'!$A$2:$A$501"),"&gt;="&amp;$I80,INDIRECT("'"&amp;$A80&amp;"'!$A$2:$A$501"),"&lt;"&amp;($BA80+1),INDIRECT("'"&amp;$A80&amp;"'!$E$2:$E$501"),"No"),0)))</f>
        <v/>
      </c>
      <c r="AY80" s="30" t="str">
        <f aca="true">IF(OR($A80="",$I80=""),"",IF($BC80="Y",SUMIFS(survey_frozen!$M$2:$M$251,survey_frozen!$P$2:$P$251,$A80&amp;"|"&amp;$B80),IFERROR(COUNTIFS(INDIRECT("'"&amp;$A80&amp;"'!$B$2:$B$501"),$T80,INDIRECT("'"&amp;$A80&amp;"'!$A$2:$A$501"),"&gt;="&amp;$I80,INDIRECT("'"&amp;$A80&amp;"'!$A$2:$A$501"),"&lt;"&amp;($BA80+1),INDIRECT("'"&amp;$A80&amp;"'!$G$2:$G$501"),"&lt;&gt;"),0)))</f>
        <v/>
      </c>
      <c r="AZ80" s="30" t="str">
        <f aca="false">IF($A80="","",$A80&amp;"|"&amp;$L80)</f>
        <v/>
      </c>
      <c r="BA80" s="31" t="str">
        <f aca="false">IF($A80="","",IFERROR(IF(INDEX(drops!$R$2:$R$21,MATCH($H80,drops!$A$2:$A$21,0))="","",INDEX(drops!$R$2:$R$21,MATCH($H80,drops!$A$2:$A$21,0))),""))</f>
        <v/>
      </c>
      <c r="BB80" s="30" t="n">
        <f aca="false">IF(OR($A80="",$Q80&lt;&gt;"Y"),1000000,N($AL80))</f>
        <v>1000000</v>
      </c>
      <c r="BC80" s="30" t="str">
        <f aca="false">IF($A80="","",IF(COUNTIF(survey_frozen!$P$2:$P$251,$A80&amp;"|"&amp;$B80)&gt;0,"Y",""))</f>
        <v/>
      </c>
      <c r="BD80" s="30" t="str">
        <f aca="false">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ustomFormat="false" ht="15" hidden="false" customHeight="false" outlineLevel="0" collapsed="false">
      <c r="C81" s="11"/>
      <c r="D81" s="10"/>
      <c r="E81" s="11"/>
      <c r="H81" s="30" t="str">
        <f aca="false">IF($A81="","",IFERROR(IF(INDEX(campaigns!$B$2:$B$51,MATCH($A81,campaigns!$A$2:$A$51,0))="","",INDEX(campaigns!$B$2:$B$51,MATCH($A81,campaigns!$A$2:$A$51,0))),""))</f>
        <v/>
      </c>
      <c r="I81" s="31" t="str">
        <f aca="false">IF($A81="","",IFERROR(IF(INDEX(campaigns!$BG$2:$BG$51,MATCH($A81,campaigns!$A$2:$A$51,0))="","",INDEX(campaigns!$BG$2:$BG$51,MATCH($A81,campaigns!$A$2:$A$51,0))),""))</f>
        <v/>
      </c>
      <c r="J81" s="30" t="str">
        <f aca="false">IF($A81="","",IFERROR(IF(INDEX(campaigns!$BE$2:$BE$51,MATCH($A81,campaigns!$A$2:$A$51,0))="","",INDEX(campaigns!$BE$2:$BE$51,MATCH($A81,campaigns!$A$2:$A$51,0))),""))</f>
        <v/>
      </c>
      <c r="K81" s="30" t="str">
        <f aca="false">IF($B81="","",IFERROR(IF(INDEX(offices!$O$2:$O$61,MATCH($B81,offices!$A$2:$A$61,0))="","",INDEX(offices!$O$2:$O$61,MATCH($B81,offices!$A$2:$A$61,0))),""))</f>
        <v/>
      </c>
      <c r="L81" s="30" t="str">
        <f aca="false">IF($A81="","",IF($Q81="N","",COUNTIFS($A$2:$A81,$A81,$Q$2:$Q81,"&lt;&gt;N")))</f>
        <v/>
      </c>
      <c r="M81" s="30" t="str">
        <f aca="false">IF(OR($A81="",$L81=""),"",IF(AND(config!$B$34="names_if_public",IFERROR(IF(INDEX(offices!$AG$2:$AG$61,MATCH($B81,offices!$A$2:$A$61,0))="","",INDEX(offices!$AG$2:$AG$61,MATCH($B81,offices!$A$2:$A$61,0))),"")="Y"),$K81,CHAR(64+$L81)))</f>
        <v/>
      </c>
      <c r="N81" s="30" t="str">
        <f aca="false">IF(OR($A81="",$I81=""),"",COUNTIFS(stops!$B$2:$B$151,$B81,stops!$P$2:$P$151,"&lt;"&amp;$I81,stops!$L$2:$L$151,"&lt;&gt;not_delivered")+1)</f>
        <v/>
      </c>
      <c r="O81" s="30" t="str">
        <f aca="false">IF($A81="","",IF(N($N81)&lt;=config!$B$29,"explicit","opt-out"))</f>
        <v/>
      </c>
      <c r="P81" s="30" t="str">
        <f aca="false">IF($A81="","",IF($O81="explicit",IF($D81="yes","Y",IF($D81="no","N","pending")),IF($D81="no","N",IF(AND($C81&lt;&gt;"",$I81&lt;&gt;"",$C81&lt;=WORKDAY(N($I81),-5,calendar!$A$2:$A$80)),"Y","pending"))))</f>
        <v/>
      </c>
      <c r="Q81" s="30" t="str">
        <f aca="false">IF($A81="","",IF($P81="N","N",IF($P81&lt;&gt;"Y","pending",IF(AND((COUNTIFS(stops!$A$2:$A$151,$H81,stops!$B$2:$B$151,$B81,stops!$L$2:$L$151,"declined")+COUNTIFS(stops!$A$2:$A$151,$H81,stops!$B$2:$B$151,$B81,stops!$L$2:$L$151,"building_refused")+COUNTIFS(stops!$A$2:$A$151,$H81,stops!$B$2:$B$151,$B81,stops!$L$2:$L$151,"not_delivered"))&gt;0,N($U81)=0),"N","Y"))))</f>
        <v/>
      </c>
      <c r="R81" s="30" t="str">
        <f aca="false">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30" t="str">
        <f aca="false">IF($A81="","",IF($G81&lt;&gt;"",$G81,IFERROR(IF(INDEX(offices!$AM$2:$AM$61,MATCH($B81,offices!$A$2:$A$61,0))="","",INDEX(offices!$AM$2:$AM$61,MATCH($B81,offices!$A$2:$A$61,0))),"")))</f>
        <v/>
      </c>
      <c r="T81" s="30" t="str">
        <f aca="false">IF($A81="","",$A81&amp;"."&amp;$B81)</f>
        <v/>
      </c>
      <c r="U81" s="30" t="str">
        <f aca="false">IF($A81="","",SUMIFS(inventory!$G$2:$G$801,inventory!$C$2:$C$801,$A81,inventory!$D$2:$D$801,$B81,inventory!$E$2:$E$801,"delivered"))</f>
        <v/>
      </c>
      <c r="V81" s="37" t="str">
        <f aca="false">IF($A81="","",IFERROR(1/(1/SUMPRODUCT(MAX((inventory!$C$2:$C$801=$A81)*(inventory!$D$2:$D$801=$B81)*(inventory!$E$2:$E$801="delivered")*(inventory!$A$2:$A$801+inventory!$B$2:$B$801)))),""))</f>
        <v/>
      </c>
      <c r="W81" s="30" t="str">
        <f aca="false">IF($A81="","",IFERROR(IF(INDEX(inventory!$J$2:$J$801,MATCH($A81&amp;"|"&amp;$B81&amp;"|delivered",inventory!$R$2:$R$801,0))="","",INDEX(inventory!$J$2:$J$801,MATCH($A81&amp;"|"&amp;$B81&amp;"|delivered",inventory!$R$2:$R$801,0))),""))</f>
        <v/>
      </c>
      <c r="X81" s="30" t="str">
        <f aca="false">IF($A81="","",IFERROR(IF(INDEX(photos!$H$2:$H$701,MATCH($A81&amp;"|"&amp;$B81&amp;"|placement|Y",photos!$R$2:$R$701,0))="","",INDEX(photos!$H$2:$H$701,MATCH($A81&amp;"|"&amp;$B81&amp;"|placement|Y",photos!$R$2:$R$701,0))),""))</f>
        <v/>
      </c>
      <c r="Y81" s="31" t="str">
        <f aca="false">IF($A81="","",IFERROR(IF(INDEX(photos!$E$2:$E$701,MATCH($A81&amp;"|"&amp;$B81&amp;"|placement|Y",photos!$R$2:$R$701,0))="","",INDEX(photos!$E$2:$E$701,MATCH($A81&amp;"|"&amp;$B81&amp;"|placement|Y",photos!$R$2:$R$701,0))),""))</f>
        <v/>
      </c>
      <c r="Z81" s="30" t="str">
        <f aca="false">IF($A81="","",IF(COUNTIFS(counts!$C$2:$C$701,$A81,counts!$D$2:$D$701,$B81,counts!$E$2:$E$701,"placed")=0,"",SUMIFS(counts!$F$2:$F$701,counts!$C$2:$C$701,$A81,counts!$D$2:$D$701,$B81,counts!$E$2:$E$701,"placed")))</f>
        <v/>
      </c>
      <c r="AA81" s="30" t="str">
        <f aca="false">IF($A81="","",IF($Y81="",0,N($Z81)))</f>
        <v/>
      </c>
      <c r="AB81" s="30" t="str">
        <f aca="false">IF($A81="","",IF(OR($Y81="",$I81=""),"N",IF($Y81&lt;=WORKDAY(N($I81),1,calendar!$A$2:$A$80),"Y","N")))</f>
        <v/>
      </c>
      <c r="AC81" s="33" t="str">
        <f aca="false">IF(OR($A81="",$V81="",$Y81=""),"",ROUND(($Y81+N(IFERROR(IF(INDEX(photos!$F$2:$F$701,MATCH($A81&amp;"|"&amp;$B81&amp;"|placement|Y",photos!$R$2:$R$701,0))="","",INDEX(photos!$F$2:$F$701,MATCH($A81&amp;"|"&amp;$B81&amp;"|placement|Y",photos!$R$2:$R$701,0))),""))-$V81)*24,1))</f>
        <v/>
      </c>
      <c r="AD81" s="30" t="str">
        <f aca="false">IF($A81="","",SUMIFS(inventory!$G$2:$G$801,inventory!$C$2:$C$801,$A81,inventory!$D$2:$D$801,$B81,inventory!$E$2:$E$801,"topped_up"))</f>
        <v/>
      </c>
      <c r="AE81" s="30" t="str">
        <f aca="false">IF($A81="","",IF(COUNTIFS(counts!$C$2:$C$701,$A81,counts!$D$2:$D$701,$B81,counts!$E$2:$E$701,"remaining_day3")=0,"",SUMIFS(counts!$F$2:$F$701,counts!$C$2:$C$701,$A81,counts!$D$2:$D$701,$B81,counts!$E$2:$E$701,"remaining_day3")))</f>
        <v/>
      </c>
      <c r="AF81" s="30" t="str">
        <f aca="false">IF($A81="","",IF(COUNTIFS(counts!$C$2:$C$701,$A81,counts!$D$2:$D$701,$B81,counts!$E$2:$E$701,"remaining_day5")=0,"",SUMIFS(counts!$F$2:$F$701,counts!$C$2:$C$701,$A81,counts!$D$2:$D$701,$B81,counts!$E$2:$E$701,"remaining_day5")))</f>
        <v/>
      </c>
      <c r="AG81" s="30" t="str">
        <f aca="false">IF(OR($A81="",$AF81=""),"",MAX(0,$AA81+$AD81-$AF81))</f>
        <v/>
      </c>
      <c r="AH81" s="30" t="str">
        <f aca="false">IF(OR($A81="",$AI81=""),"",IFERROR(IF(INDEX(photos!$H$2:$H$701,MATCH($A81&amp;"|"&amp;$B81&amp;"|later|Y|"&amp;$AI81,photos!$S$2:$S$701,0))="","",INDEX(photos!$H$2:$H$701,MATCH($A81&amp;"|"&amp;$B81&amp;"|later|Y|"&amp;$AI81,photos!$S$2:$S$701,0))),""))</f>
        <v/>
      </c>
      <c r="AI81" s="31" t="str">
        <f aca="false">IF($A81="","",IFERROR(1/(1/SUMPRODUCT(MAX((photos!$B$2:$B$701=$A81)*(photos!$C$2:$C$701=$B81)*(photos!$D$2:$D$701="later")*(photos!$O$2:$O$701="Y")*photos!$E$2:$E$701))),""))</f>
        <v/>
      </c>
      <c r="AJ81" s="30" t="str">
        <f aca="false">IF(OR($A81="",$AI81="",$I81=""),"",NETWORKDAYS($I81,$AI81,calendar!$A$2:$A$80))</f>
        <v/>
      </c>
      <c r="AK81" s="30" t="str">
        <f aca="false">IF($A81="","",IF(AND($X81&lt;&gt;"",$AH81&lt;&gt;""),"Y","N"))</f>
        <v/>
      </c>
      <c r="AL81" s="30" t="str">
        <f aca="true">IF(OR($A81="",$I81=""),"",IF($BC81="Y",SUMIFS(survey_frozen!$C$2:$C$251,survey_frozen!$P$2:$P$251,$A81&amp;"|"&amp;$B81),IFERROR(COUNTIFS(INDIRECT("'"&amp;$A81&amp;"'!$B$2:$B$501"),$T81,INDIRECT("'"&amp;$A81&amp;"'!$A$2:$A$501"),"&gt;="&amp;$I81,INDIRECT("'"&amp;$A81&amp;"'!$A$2:$A$501"),"&lt;"&amp;($BA81+1)),0)))</f>
        <v/>
      </c>
      <c r="AM81" s="30" t="str">
        <f aca="true">IF(OR($A81="",$I81=""),"",IF($BC81="Y",SUMIFS(survey_frozen!$D$2:$D$251,survey_frozen!$P$2:$P$251,$A81&amp;"|"&amp;$B81),IFERROR(COUNTIFS(INDIRECT("'"&amp;$A81&amp;"'!$B$2:$B$501"),$T81,INDIRECT("'"&amp;$A81&amp;"'!$A$2:$A$501"),"&gt;="&amp;$I81,INDIRECT("'"&amp;$A81&amp;"'!$A$2:$A$501"),"&lt;"&amp;($BA81+1),INDIRECT("'"&amp;$A81&amp;"'!$C$2:$C$501"),"Yes"),0)))</f>
        <v/>
      </c>
      <c r="AN81" s="30" t="str">
        <f aca="false">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30" t="str">
        <f aca="false">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30" t="str">
        <f aca="true">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30" t="str">
        <f aca="true">IF(OR($A81="",$I81=""),"",IF($BC81="Y",SUMIFS(survey_frozen!$E$2:$E$251,survey_frozen!$P$2:$P$251,$A81&amp;"|"&amp;$B81),IFERROR(COUNTIFS(INDIRECT("'"&amp;$A81&amp;"'!$B$2:$B$501"),$T81,INDIRECT("'"&amp;$A81&amp;"'!$A$2:$A$501"),"&gt;="&amp;$I81,INDIRECT("'"&amp;$A81&amp;"'!$A$2:$A$501"),"&lt;"&amp;($BA81+1),INDIRECT("'"&amp;$A81&amp;"'!$F$2:$F$501"),"Didn't see it"),0)))</f>
        <v/>
      </c>
      <c r="AR81" s="30" t="str">
        <f aca="true">IF(OR($A81="",$I81=""),"",IF($BC81="Y",SUMIFS(survey_frozen!$F$2:$F$251,survey_frozen!$P$2:$P$251,$A81&amp;"|"&amp;$B81),IFERROR(COUNTIFS(INDIRECT("'"&amp;$A81&amp;"'!$B$2:$B$501"),$T81,INDIRECT("'"&amp;$A81&amp;"'!$A$2:$A$501"),"&gt;="&amp;$I81,INDIRECT("'"&amp;$A81&amp;"'!$A$2:$A$501"),"&lt;"&amp;($BA81+1),INDIRECT("'"&amp;$A81&amp;"'!$F$2:$F$501"),"Not for me"),0)))</f>
        <v/>
      </c>
      <c r="AS81" s="30" t="str">
        <f aca="true">IF(OR($A81="",$I81=""),"",IF($BC81="Y",SUMIFS(survey_frozen!$G$2:$G$251,survey_frozen!$P$2:$P$251,$A81&amp;"|"&amp;$B81),IFERROR(COUNTIFS(INDIRECT("'"&amp;$A81&amp;"'!$B$2:$B$501"),$T81,INDIRECT("'"&amp;$A81&amp;"'!$A$2:$A$501"),"&gt;="&amp;$I81,INDIRECT("'"&amp;$A81&amp;"'!$A$2:$A$501"),"&lt;"&amp;($BA81+1),INDIRECT("'"&amp;$A81&amp;"'!$F$2:$F$501"),"Gone by the time I looked"),0)))</f>
        <v/>
      </c>
      <c r="AT81" s="30" t="str">
        <f aca="true">IF(OR($A81="",$I81=""),"",IF($BC81="Y",SUMIFS(survey_frozen!$H$2:$H$251,survey_frozen!$P$2:$P$251,$A81&amp;"|"&amp;$B81),IFERROR(COUNTIFS(INDIRECT("'"&amp;$A81&amp;"'!$B$2:$B$501"),$T81,INDIRECT("'"&amp;$A81&amp;"'!$A$2:$A$501"),"&gt;="&amp;$I81,INDIRECT("'"&amp;$A81&amp;"'!$A$2:$A$501"),"&lt;"&amp;($BA81+1),INDIRECT("'"&amp;$A81&amp;"'!$D$2:$D$501"),"&gt;=1"),0)))</f>
        <v/>
      </c>
      <c r="AU81" s="30" t="str">
        <f aca="true">IF(OR($A81="",$I81=""),"",IF($BC81="Y",SUMIFS(survey_frozen!$I$2:$I$251,survey_frozen!$P$2:$P$251,$A81&amp;"|"&amp;$B81),IFERROR(SUMIFS(INDIRECT("'"&amp;$A81&amp;"'!$D$2:$D$501"),INDIRECT("'"&amp;$A81&amp;"'!$B$2:$B$501"),$T81,INDIRECT("'"&amp;$A81&amp;"'!$A$2:$A$501"),"&gt;="&amp;$I81,INDIRECT("'"&amp;$A81&amp;"'!$A$2:$A$501"),"&lt;"&amp;($BA81+1)),0)))</f>
        <v/>
      </c>
      <c r="AV81" s="30" t="str">
        <f aca="true">IF(OR($A81="",$I81=""),"",IF($BC81="Y",SUMIFS(survey_frozen!$J$2:$J$251,survey_frozen!$P$2:$P$251,$A81&amp;"|"&amp;$B81),IFERROR(COUNTIFS(INDIRECT("'"&amp;$A81&amp;"'!$B$2:$B$501"),$T81,INDIRECT("'"&amp;$A81&amp;"'!$A$2:$A$501"),"&gt;="&amp;$I81,INDIRECT("'"&amp;$A81&amp;"'!$A$2:$A$501"),"&lt;"&amp;($BA81+1),INDIRECT("'"&amp;$A81&amp;"'!$E$2:$E$501"),"Yes"),0)))</f>
        <v/>
      </c>
      <c r="AW81" s="30" t="str">
        <f aca="true">IF(OR($A81="",$I81=""),"",IF($BC81="Y",SUMIFS(survey_frozen!$K$2:$K$251,survey_frozen!$P$2:$P$251,$A81&amp;"|"&amp;$B81),IFERROR(COUNTIFS(INDIRECT("'"&amp;$A81&amp;"'!$B$2:$B$501"),$T81,INDIRECT("'"&amp;$A81&amp;"'!$A$2:$A$501"),"&gt;="&amp;$I81,INDIRECT("'"&amp;$A81&amp;"'!$A$2:$A$501"),"&lt;"&amp;($BA81+1),INDIRECT("'"&amp;$A81&amp;"'!$E$2:$E$501"),"Maybe"),0)))</f>
        <v/>
      </c>
      <c r="AX81" s="30" t="str">
        <f aca="true">IF(OR($A81="",$I81=""),"",IF($BC81="Y",SUMIFS(survey_frozen!$L$2:$L$251,survey_frozen!$P$2:$P$251,$A81&amp;"|"&amp;$B81),IFERROR(COUNTIFS(INDIRECT("'"&amp;$A81&amp;"'!$B$2:$B$501"),$T81,INDIRECT("'"&amp;$A81&amp;"'!$A$2:$A$501"),"&gt;="&amp;$I81,INDIRECT("'"&amp;$A81&amp;"'!$A$2:$A$501"),"&lt;"&amp;($BA81+1),INDIRECT("'"&amp;$A81&amp;"'!$E$2:$E$501"),"No"),0)))</f>
        <v/>
      </c>
      <c r="AY81" s="30" t="str">
        <f aca="true">IF(OR($A81="",$I81=""),"",IF($BC81="Y",SUMIFS(survey_frozen!$M$2:$M$251,survey_frozen!$P$2:$P$251,$A81&amp;"|"&amp;$B81),IFERROR(COUNTIFS(INDIRECT("'"&amp;$A81&amp;"'!$B$2:$B$501"),$T81,INDIRECT("'"&amp;$A81&amp;"'!$A$2:$A$501"),"&gt;="&amp;$I81,INDIRECT("'"&amp;$A81&amp;"'!$A$2:$A$501"),"&lt;"&amp;($BA81+1),INDIRECT("'"&amp;$A81&amp;"'!$G$2:$G$501"),"&lt;&gt;"),0)))</f>
        <v/>
      </c>
      <c r="AZ81" s="30" t="str">
        <f aca="false">IF($A81="","",$A81&amp;"|"&amp;$L81)</f>
        <v/>
      </c>
      <c r="BA81" s="31" t="str">
        <f aca="false">IF($A81="","",IFERROR(IF(INDEX(drops!$R$2:$R$21,MATCH($H81,drops!$A$2:$A$21,0))="","",INDEX(drops!$R$2:$R$21,MATCH($H81,drops!$A$2:$A$21,0))),""))</f>
        <v/>
      </c>
      <c r="BB81" s="30" t="n">
        <f aca="false">IF(OR($A81="",$Q81&lt;&gt;"Y"),1000000,N($AL81))</f>
        <v>1000000</v>
      </c>
      <c r="BC81" s="30" t="str">
        <f aca="false">IF($A81="","",IF(COUNTIF(survey_frozen!$P$2:$P$251,$A81&amp;"|"&amp;$B81)&gt;0,"Y",""))</f>
        <v/>
      </c>
      <c r="BD81" s="30" t="str">
        <f aca="false">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ustomFormat="false" ht="15" hidden="false" customHeight="false" outlineLevel="0" collapsed="false">
      <c r="C82" s="11"/>
      <c r="D82" s="10"/>
      <c r="E82" s="11"/>
      <c r="H82" s="30" t="str">
        <f aca="false">IF($A82="","",IFERROR(IF(INDEX(campaigns!$B$2:$B$51,MATCH($A82,campaigns!$A$2:$A$51,0))="","",INDEX(campaigns!$B$2:$B$51,MATCH($A82,campaigns!$A$2:$A$51,0))),""))</f>
        <v/>
      </c>
      <c r="I82" s="31" t="str">
        <f aca="false">IF($A82="","",IFERROR(IF(INDEX(campaigns!$BG$2:$BG$51,MATCH($A82,campaigns!$A$2:$A$51,0))="","",INDEX(campaigns!$BG$2:$BG$51,MATCH($A82,campaigns!$A$2:$A$51,0))),""))</f>
        <v/>
      </c>
      <c r="J82" s="30" t="str">
        <f aca="false">IF($A82="","",IFERROR(IF(INDEX(campaigns!$BE$2:$BE$51,MATCH($A82,campaigns!$A$2:$A$51,0))="","",INDEX(campaigns!$BE$2:$BE$51,MATCH($A82,campaigns!$A$2:$A$51,0))),""))</f>
        <v/>
      </c>
      <c r="K82" s="30" t="str">
        <f aca="false">IF($B82="","",IFERROR(IF(INDEX(offices!$O$2:$O$61,MATCH($B82,offices!$A$2:$A$61,0))="","",INDEX(offices!$O$2:$O$61,MATCH($B82,offices!$A$2:$A$61,0))),""))</f>
        <v/>
      </c>
      <c r="L82" s="30" t="str">
        <f aca="false">IF($A82="","",IF($Q82="N","",COUNTIFS($A$2:$A82,$A82,$Q$2:$Q82,"&lt;&gt;N")))</f>
        <v/>
      </c>
      <c r="M82" s="30" t="str">
        <f aca="false">IF(OR($A82="",$L82=""),"",IF(AND(config!$B$34="names_if_public",IFERROR(IF(INDEX(offices!$AG$2:$AG$61,MATCH($B82,offices!$A$2:$A$61,0))="","",INDEX(offices!$AG$2:$AG$61,MATCH($B82,offices!$A$2:$A$61,0))),"")="Y"),$K82,CHAR(64+$L82)))</f>
        <v/>
      </c>
      <c r="N82" s="30" t="str">
        <f aca="false">IF(OR($A82="",$I82=""),"",COUNTIFS(stops!$B$2:$B$151,$B82,stops!$P$2:$P$151,"&lt;"&amp;$I82,stops!$L$2:$L$151,"&lt;&gt;not_delivered")+1)</f>
        <v/>
      </c>
      <c r="O82" s="30" t="str">
        <f aca="false">IF($A82="","",IF(N($N82)&lt;=config!$B$29,"explicit","opt-out"))</f>
        <v/>
      </c>
      <c r="P82" s="30" t="str">
        <f aca="false">IF($A82="","",IF($O82="explicit",IF($D82="yes","Y",IF($D82="no","N","pending")),IF($D82="no","N",IF(AND($C82&lt;&gt;"",$I82&lt;&gt;"",$C82&lt;=WORKDAY(N($I82),-5,calendar!$A$2:$A$80)),"Y","pending"))))</f>
        <v/>
      </c>
      <c r="Q82" s="30" t="str">
        <f aca="false">IF($A82="","",IF($P82="N","N",IF($P82&lt;&gt;"Y","pending",IF(AND((COUNTIFS(stops!$A$2:$A$151,$H82,stops!$B$2:$B$151,$B82,stops!$L$2:$L$151,"declined")+COUNTIFS(stops!$A$2:$A$151,$H82,stops!$B$2:$B$151,$B82,stops!$L$2:$L$151,"building_refused")+COUNTIFS(stops!$A$2:$A$151,$H82,stops!$B$2:$B$151,$B82,stops!$L$2:$L$151,"not_delivered"))&gt;0,N($U82)=0),"N","Y"))))</f>
        <v/>
      </c>
      <c r="R82" s="30" t="str">
        <f aca="false">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30" t="str">
        <f aca="false">IF($A82="","",IF($G82&lt;&gt;"",$G82,IFERROR(IF(INDEX(offices!$AM$2:$AM$61,MATCH($B82,offices!$A$2:$A$61,0))="","",INDEX(offices!$AM$2:$AM$61,MATCH($B82,offices!$A$2:$A$61,0))),"")))</f>
        <v/>
      </c>
      <c r="T82" s="30" t="str">
        <f aca="false">IF($A82="","",$A82&amp;"."&amp;$B82)</f>
        <v/>
      </c>
      <c r="U82" s="30" t="str">
        <f aca="false">IF($A82="","",SUMIFS(inventory!$G$2:$G$801,inventory!$C$2:$C$801,$A82,inventory!$D$2:$D$801,$B82,inventory!$E$2:$E$801,"delivered"))</f>
        <v/>
      </c>
      <c r="V82" s="37" t="str">
        <f aca="false">IF($A82="","",IFERROR(1/(1/SUMPRODUCT(MAX((inventory!$C$2:$C$801=$A82)*(inventory!$D$2:$D$801=$B82)*(inventory!$E$2:$E$801="delivered")*(inventory!$A$2:$A$801+inventory!$B$2:$B$801)))),""))</f>
        <v/>
      </c>
      <c r="W82" s="30" t="str">
        <f aca="false">IF($A82="","",IFERROR(IF(INDEX(inventory!$J$2:$J$801,MATCH($A82&amp;"|"&amp;$B82&amp;"|delivered",inventory!$R$2:$R$801,0))="","",INDEX(inventory!$J$2:$J$801,MATCH($A82&amp;"|"&amp;$B82&amp;"|delivered",inventory!$R$2:$R$801,0))),""))</f>
        <v/>
      </c>
      <c r="X82" s="30" t="str">
        <f aca="false">IF($A82="","",IFERROR(IF(INDEX(photos!$H$2:$H$701,MATCH($A82&amp;"|"&amp;$B82&amp;"|placement|Y",photos!$R$2:$R$701,0))="","",INDEX(photos!$H$2:$H$701,MATCH($A82&amp;"|"&amp;$B82&amp;"|placement|Y",photos!$R$2:$R$701,0))),""))</f>
        <v/>
      </c>
      <c r="Y82" s="31" t="str">
        <f aca="false">IF($A82="","",IFERROR(IF(INDEX(photos!$E$2:$E$701,MATCH($A82&amp;"|"&amp;$B82&amp;"|placement|Y",photos!$R$2:$R$701,0))="","",INDEX(photos!$E$2:$E$701,MATCH($A82&amp;"|"&amp;$B82&amp;"|placement|Y",photos!$R$2:$R$701,0))),""))</f>
        <v/>
      </c>
      <c r="Z82" s="30" t="str">
        <f aca="false">IF($A82="","",IF(COUNTIFS(counts!$C$2:$C$701,$A82,counts!$D$2:$D$701,$B82,counts!$E$2:$E$701,"placed")=0,"",SUMIFS(counts!$F$2:$F$701,counts!$C$2:$C$701,$A82,counts!$D$2:$D$701,$B82,counts!$E$2:$E$701,"placed")))</f>
        <v/>
      </c>
      <c r="AA82" s="30" t="str">
        <f aca="false">IF($A82="","",IF($Y82="",0,N($Z82)))</f>
        <v/>
      </c>
      <c r="AB82" s="30" t="str">
        <f aca="false">IF($A82="","",IF(OR($Y82="",$I82=""),"N",IF($Y82&lt;=WORKDAY(N($I82),1,calendar!$A$2:$A$80),"Y","N")))</f>
        <v/>
      </c>
      <c r="AC82" s="33" t="str">
        <f aca="false">IF(OR($A82="",$V82="",$Y82=""),"",ROUND(($Y82+N(IFERROR(IF(INDEX(photos!$F$2:$F$701,MATCH($A82&amp;"|"&amp;$B82&amp;"|placement|Y",photos!$R$2:$R$701,0))="","",INDEX(photos!$F$2:$F$701,MATCH($A82&amp;"|"&amp;$B82&amp;"|placement|Y",photos!$R$2:$R$701,0))),""))-$V82)*24,1))</f>
        <v/>
      </c>
      <c r="AD82" s="30" t="str">
        <f aca="false">IF($A82="","",SUMIFS(inventory!$G$2:$G$801,inventory!$C$2:$C$801,$A82,inventory!$D$2:$D$801,$B82,inventory!$E$2:$E$801,"topped_up"))</f>
        <v/>
      </c>
      <c r="AE82" s="30" t="str">
        <f aca="false">IF($A82="","",IF(COUNTIFS(counts!$C$2:$C$701,$A82,counts!$D$2:$D$701,$B82,counts!$E$2:$E$701,"remaining_day3")=0,"",SUMIFS(counts!$F$2:$F$701,counts!$C$2:$C$701,$A82,counts!$D$2:$D$701,$B82,counts!$E$2:$E$701,"remaining_day3")))</f>
        <v/>
      </c>
      <c r="AF82" s="30" t="str">
        <f aca="false">IF($A82="","",IF(COUNTIFS(counts!$C$2:$C$701,$A82,counts!$D$2:$D$701,$B82,counts!$E$2:$E$701,"remaining_day5")=0,"",SUMIFS(counts!$F$2:$F$701,counts!$C$2:$C$701,$A82,counts!$D$2:$D$701,$B82,counts!$E$2:$E$701,"remaining_day5")))</f>
        <v/>
      </c>
      <c r="AG82" s="30" t="str">
        <f aca="false">IF(OR($A82="",$AF82=""),"",MAX(0,$AA82+$AD82-$AF82))</f>
        <v/>
      </c>
      <c r="AH82" s="30" t="str">
        <f aca="false">IF(OR($A82="",$AI82=""),"",IFERROR(IF(INDEX(photos!$H$2:$H$701,MATCH($A82&amp;"|"&amp;$B82&amp;"|later|Y|"&amp;$AI82,photos!$S$2:$S$701,0))="","",INDEX(photos!$H$2:$H$701,MATCH($A82&amp;"|"&amp;$B82&amp;"|later|Y|"&amp;$AI82,photos!$S$2:$S$701,0))),""))</f>
        <v/>
      </c>
      <c r="AI82" s="31" t="str">
        <f aca="false">IF($A82="","",IFERROR(1/(1/SUMPRODUCT(MAX((photos!$B$2:$B$701=$A82)*(photos!$C$2:$C$701=$B82)*(photos!$D$2:$D$701="later")*(photos!$O$2:$O$701="Y")*photos!$E$2:$E$701))),""))</f>
        <v/>
      </c>
      <c r="AJ82" s="30" t="str">
        <f aca="false">IF(OR($A82="",$AI82="",$I82=""),"",NETWORKDAYS($I82,$AI82,calendar!$A$2:$A$80))</f>
        <v/>
      </c>
      <c r="AK82" s="30" t="str">
        <f aca="false">IF($A82="","",IF(AND($X82&lt;&gt;"",$AH82&lt;&gt;""),"Y","N"))</f>
        <v/>
      </c>
      <c r="AL82" s="30" t="str">
        <f aca="true">IF(OR($A82="",$I82=""),"",IF($BC82="Y",SUMIFS(survey_frozen!$C$2:$C$251,survey_frozen!$P$2:$P$251,$A82&amp;"|"&amp;$B82),IFERROR(COUNTIFS(INDIRECT("'"&amp;$A82&amp;"'!$B$2:$B$501"),$T82,INDIRECT("'"&amp;$A82&amp;"'!$A$2:$A$501"),"&gt;="&amp;$I82,INDIRECT("'"&amp;$A82&amp;"'!$A$2:$A$501"),"&lt;"&amp;($BA82+1)),0)))</f>
        <v/>
      </c>
      <c r="AM82" s="30" t="str">
        <f aca="true">IF(OR($A82="",$I82=""),"",IF($BC82="Y",SUMIFS(survey_frozen!$D$2:$D$251,survey_frozen!$P$2:$P$251,$A82&amp;"|"&amp;$B82),IFERROR(COUNTIFS(INDIRECT("'"&amp;$A82&amp;"'!$B$2:$B$501"),$T82,INDIRECT("'"&amp;$A82&amp;"'!$A$2:$A$501"),"&gt;="&amp;$I82,INDIRECT("'"&amp;$A82&amp;"'!$A$2:$A$501"),"&lt;"&amp;($BA82+1),INDIRECT("'"&amp;$A82&amp;"'!$C$2:$C$501"),"Yes"),0)))</f>
        <v/>
      </c>
      <c r="AN82" s="30" t="str">
        <f aca="false">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30" t="str">
        <f aca="false">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30" t="str">
        <f aca="true">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30" t="str">
        <f aca="true">IF(OR($A82="",$I82=""),"",IF($BC82="Y",SUMIFS(survey_frozen!$E$2:$E$251,survey_frozen!$P$2:$P$251,$A82&amp;"|"&amp;$B82),IFERROR(COUNTIFS(INDIRECT("'"&amp;$A82&amp;"'!$B$2:$B$501"),$T82,INDIRECT("'"&amp;$A82&amp;"'!$A$2:$A$501"),"&gt;="&amp;$I82,INDIRECT("'"&amp;$A82&amp;"'!$A$2:$A$501"),"&lt;"&amp;($BA82+1),INDIRECT("'"&amp;$A82&amp;"'!$F$2:$F$501"),"Didn't see it"),0)))</f>
        <v/>
      </c>
      <c r="AR82" s="30" t="str">
        <f aca="true">IF(OR($A82="",$I82=""),"",IF($BC82="Y",SUMIFS(survey_frozen!$F$2:$F$251,survey_frozen!$P$2:$P$251,$A82&amp;"|"&amp;$B82),IFERROR(COUNTIFS(INDIRECT("'"&amp;$A82&amp;"'!$B$2:$B$501"),$T82,INDIRECT("'"&amp;$A82&amp;"'!$A$2:$A$501"),"&gt;="&amp;$I82,INDIRECT("'"&amp;$A82&amp;"'!$A$2:$A$501"),"&lt;"&amp;($BA82+1),INDIRECT("'"&amp;$A82&amp;"'!$F$2:$F$501"),"Not for me"),0)))</f>
        <v/>
      </c>
      <c r="AS82" s="30" t="str">
        <f aca="true">IF(OR($A82="",$I82=""),"",IF($BC82="Y",SUMIFS(survey_frozen!$G$2:$G$251,survey_frozen!$P$2:$P$251,$A82&amp;"|"&amp;$B82),IFERROR(COUNTIFS(INDIRECT("'"&amp;$A82&amp;"'!$B$2:$B$501"),$T82,INDIRECT("'"&amp;$A82&amp;"'!$A$2:$A$501"),"&gt;="&amp;$I82,INDIRECT("'"&amp;$A82&amp;"'!$A$2:$A$501"),"&lt;"&amp;($BA82+1),INDIRECT("'"&amp;$A82&amp;"'!$F$2:$F$501"),"Gone by the time I looked"),0)))</f>
        <v/>
      </c>
      <c r="AT82" s="30" t="str">
        <f aca="true">IF(OR($A82="",$I82=""),"",IF($BC82="Y",SUMIFS(survey_frozen!$H$2:$H$251,survey_frozen!$P$2:$P$251,$A82&amp;"|"&amp;$B82),IFERROR(COUNTIFS(INDIRECT("'"&amp;$A82&amp;"'!$B$2:$B$501"),$T82,INDIRECT("'"&amp;$A82&amp;"'!$A$2:$A$501"),"&gt;="&amp;$I82,INDIRECT("'"&amp;$A82&amp;"'!$A$2:$A$501"),"&lt;"&amp;($BA82+1),INDIRECT("'"&amp;$A82&amp;"'!$D$2:$D$501"),"&gt;=1"),0)))</f>
        <v/>
      </c>
      <c r="AU82" s="30" t="str">
        <f aca="true">IF(OR($A82="",$I82=""),"",IF($BC82="Y",SUMIFS(survey_frozen!$I$2:$I$251,survey_frozen!$P$2:$P$251,$A82&amp;"|"&amp;$B82),IFERROR(SUMIFS(INDIRECT("'"&amp;$A82&amp;"'!$D$2:$D$501"),INDIRECT("'"&amp;$A82&amp;"'!$B$2:$B$501"),$T82,INDIRECT("'"&amp;$A82&amp;"'!$A$2:$A$501"),"&gt;="&amp;$I82,INDIRECT("'"&amp;$A82&amp;"'!$A$2:$A$501"),"&lt;"&amp;($BA82+1)),0)))</f>
        <v/>
      </c>
      <c r="AV82" s="30" t="str">
        <f aca="true">IF(OR($A82="",$I82=""),"",IF($BC82="Y",SUMIFS(survey_frozen!$J$2:$J$251,survey_frozen!$P$2:$P$251,$A82&amp;"|"&amp;$B82),IFERROR(COUNTIFS(INDIRECT("'"&amp;$A82&amp;"'!$B$2:$B$501"),$T82,INDIRECT("'"&amp;$A82&amp;"'!$A$2:$A$501"),"&gt;="&amp;$I82,INDIRECT("'"&amp;$A82&amp;"'!$A$2:$A$501"),"&lt;"&amp;($BA82+1),INDIRECT("'"&amp;$A82&amp;"'!$E$2:$E$501"),"Yes"),0)))</f>
        <v/>
      </c>
      <c r="AW82" s="30" t="str">
        <f aca="true">IF(OR($A82="",$I82=""),"",IF($BC82="Y",SUMIFS(survey_frozen!$K$2:$K$251,survey_frozen!$P$2:$P$251,$A82&amp;"|"&amp;$B82),IFERROR(COUNTIFS(INDIRECT("'"&amp;$A82&amp;"'!$B$2:$B$501"),$T82,INDIRECT("'"&amp;$A82&amp;"'!$A$2:$A$501"),"&gt;="&amp;$I82,INDIRECT("'"&amp;$A82&amp;"'!$A$2:$A$501"),"&lt;"&amp;($BA82+1),INDIRECT("'"&amp;$A82&amp;"'!$E$2:$E$501"),"Maybe"),0)))</f>
        <v/>
      </c>
      <c r="AX82" s="30" t="str">
        <f aca="true">IF(OR($A82="",$I82=""),"",IF($BC82="Y",SUMIFS(survey_frozen!$L$2:$L$251,survey_frozen!$P$2:$P$251,$A82&amp;"|"&amp;$B82),IFERROR(COUNTIFS(INDIRECT("'"&amp;$A82&amp;"'!$B$2:$B$501"),$T82,INDIRECT("'"&amp;$A82&amp;"'!$A$2:$A$501"),"&gt;="&amp;$I82,INDIRECT("'"&amp;$A82&amp;"'!$A$2:$A$501"),"&lt;"&amp;($BA82+1),INDIRECT("'"&amp;$A82&amp;"'!$E$2:$E$501"),"No"),0)))</f>
        <v/>
      </c>
      <c r="AY82" s="30" t="str">
        <f aca="true">IF(OR($A82="",$I82=""),"",IF($BC82="Y",SUMIFS(survey_frozen!$M$2:$M$251,survey_frozen!$P$2:$P$251,$A82&amp;"|"&amp;$B82),IFERROR(COUNTIFS(INDIRECT("'"&amp;$A82&amp;"'!$B$2:$B$501"),$T82,INDIRECT("'"&amp;$A82&amp;"'!$A$2:$A$501"),"&gt;="&amp;$I82,INDIRECT("'"&amp;$A82&amp;"'!$A$2:$A$501"),"&lt;"&amp;($BA82+1),INDIRECT("'"&amp;$A82&amp;"'!$G$2:$G$501"),"&lt;&gt;"),0)))</f>
        <v/>
      </c>
      <c r="AZ82" s="30" t="str">
        <f aca="false">IF($A82="","",$A82&amp;"|"&amp;$L82)</f>
        <v/>
      </c>
      <c r="BA82" s="31" t="str">
        <f aca="false">IF($A82="","",IFERROR(IF(INDEX(drops!$R$2:$R$21,MATCH($H82,drops!$A$2:$A$21,0))="","",INDEX(drops!$R$2:$R$21,MATCH($H82,drops!$A$2:$A$21,0))),""))</f>
        <v/>
      </c>
      <c r="BB82" s="30" t="n">
        <f aca="false">IF(OR($A82="",$Q82&lt;&gt;"Y"),1000000,N($AL82))</f>
        <v>1000000</v>
      </c>
      <c r="BC82" s="30" t="str">
        <f aca="false">IF($A82="","",IF(COUNTIF(survey_frozen!$P$2:$P$251,$A82&amp;"|"&amp;$B82)&gt;0,"Y",""))</f>
        <v/>
      </c>
      <c r="BD82" s="30" t="str">
        <f aca="false">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ustomFormat="false" ht="15" hidden="false" customHeight="false" outlineLevel="0" collapsed="false">
      <c r="C83" s="11"/>
      <c r="D83" s="10"/>
      <c r="E83" s="11"/>
      <c r="H83" s="30" t="str">
        <f aca="false">IF($A83="","",IFERROR(IF(INDEX(campaigns!$B$2:$B$51,MATCH($A83,campaigns!$A$2:$A$51,0))="","",INDEX(campaigns!$B$2:$B$51,MATCH($A83,campaigns!$A$2:$A$51,0))),""))</f>
        <v/>
      </c>
      <c r="I83" s="31" t="str">
        <f aca="false">IF($A83="","",IFERROR(IF(INDEX(campaigns!$BG$2:$BG$51,MATCH($A83,campaigns!$A$2:$A$51,0))="","",INDEX(campaigns!$BG$2:$BG$51,MATCH($A83,campaigns!$A$2:$A$51,0))),""))</f>
        <v/>
      </c>
      <c r="J83" s="30" t="str">
        <f aca="false">IF($A83="","",IFERROR(IF(INDEX(campaigns!$BE$2:$BE$51,MATCH($A83,campaigns!$A$2:$A$51,0))="","",INDEX(campaigns!$BE$2:$BE$51,MATCH($A83,campaigns!$A$2:$A$51,0))),""))</f>
        <v/>
      </c>
      <c r="K83" s="30" t="str">
        <f aca="false">IF($B83="","",IFERROR(IF(INDEX(offices!$O$2:$O$61,MATCH($B83,offices!$A$2:$A$61,0))="","",INDEX(offices!$O$2:$O$61,MATCH($B83,offices!$A$2:$A$61,0))),""))</f>
        <v/>
      </c>
      <c r="L83" s="30" t="str">
        <f aca="false">IF($A83="","",IF($Q83="N","",COUNTIFS($A$2:$A83,$A83,$Q$2:$Q83,"&lt;&gt;N")))</f>
        <v/>
      </c>
      <c r="M83" s="30" t="str">
        <f aca="false">IF(OR($A83="",$L83=""),"",IF(AND(config!$B$34="names_if_public",IFERROR(IF(INDEX(offices!$AG$2:$AG$61,MATCH($B83,offices!$A$2:$A$61,0))="","",INDEX(offices!$AG$2:$AG$61,MATCH($B83,offices!$A$2:$A$61,0))),"")="Y"),$K83,CHAR(64+$L83)))</f>
        <v/>
      </c>
      <c r="N83" s="30" t="str">
        <f aca="false">IF(OR($A83="",$I83=""),"",COUNTIFS(stops!$B$2:$B$151,$B83,stops!$P$2:$P$151,"&lt;"&amp;$I83,stops!$L$2:$L$151,"&lt;&gt;not_delivered")+1)</f>
        <v/>
      </c>
      <c r="O83" s="30" t="str">
        <f aca="false">IF($A83="","",IF(N($N83)&lt;=config!$B$29,"explicit","opt-out"))</f>
        <v/>
      </c>
      <c r="P83" s="30" t="str">
        <f aca="false">IF($A83="","",IF($O83="explicit",IF($D83="yes","Y",IF($D83="no","N","pending")),IF($D83="no","N",IF(AND($C83&lt;&gt;"",$I83&lt;&gt;"",$C83&lt;=WORKDAY(N($I83),-5,calendar!$A$2:$A$80)),"Y","pending"))))</f>
        <v/>
      </c>
      <c r="Q83" s="30" t="str">
        <f aca="false">IF($A83="","",IF($P83="N","N",IF($P83&lt;&gt;"Y","pending",IF(AND((COUNTIFS(stops!$A$2:$A$151,$H83,stops!$B$2:$B$151,$B83,stops!$L$2:$L$151,"declined")+COUNTIFS(stops!$A$2:$A$151,$H83,stops!$B$2:$B$151,$B83,stops!$L$2:$L$151,"building_refused")+COUNTIFS(stops!$A$2:$A$151,$H83,stops!$B$2:$B$151,$B83,stops!$L$2:$L$151,"not_delivered"))&gt;0,N($U83)=0),"N","Y"))))</f>
        <v/>
      </c>
      <c r="R83" s="30" t="str">
        <f aca="false">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30" t="str">
        <f aca="false">IF($A83="","",IF($G83&lt;&gt;"",$G83,IFERROR(IF(INDEX(offices!$AM$2:$AM$61,MATCH($B83,offices!$A$2:$A$61,0))="","",INDEX(offices!$AM$2:$AM$61,MATCH($B83,offices!$A$2:$A$61,0))),"")))</f>
        <v/>
      </c>
      <c r="T83" s="30" t="str">
        <f aca="false">IF($A83="","",$A83&amp;"."&amp;$B83)</f>
        <v/>
      </c>
      <c r="U83" s="30" t="str">
        <f aca="false">IF($A83="","",SUMIFS(inventory!$G$2:$G$801,inventory!$C$2:$C$801,$A83,inventory!$D$2:$D$801,$B83,inventory!$E$2:$E$801,"delivered"))</f>
        <v/>
      </c>
      <c r="V83" s="37" t="str">
        <f aca="false">IF($A83="","",IFERROR(1/(1/SUMPRODUCT(MAX((inventory!$C$2:$C$801=$A83)*(inventory!$D$2:$D$801=$B83)*(inventory!$E$2:$E$801="delivered")*(inventory!$A$2:$A$801+inventory!$B$2:$B$801)))),""))</f>
        <v/>
      </c>
      <c r="W83" s="30" t="str">
        <f aca="false">IF($A83="","",IFERROR(IF(INDEX(inventory!$J$2:$J$801,MATCH($A83&amp;"|"&amp;$B83&amp;"|delivered",inventory!$R$2:$R$801,0))="","",INDEX(inventory!$J$2:$J$801,MATCH($A83&amp;"|"&amp;$B83&amp;"|delivered",inventory!$R$2:$R$801,0))),""))</f>
        <v/>
      </c>
      <c r="X83" s="30" t="str">
        <f aca="false">IF($A83="","",IFERROR(IF(INDEX(photos!$H$2:$H$701,MATCH($A83&amp;"|"&amp;$B83&amp;"|placement|Y",photos!$R$2:$R$701,0))="","",INDEX(photos!$H$2:$H$701,MATCH($A83&amp;"|"&amp;$B83&amp;"|placement|Y",photos!$R$2:$R$701,0))),""))</f>
        <v/>
      </c>
      <c r="Y83" s="31" t="str">
        <f aca="false">IF($A83="","",IFERROR(IF(INDEX(photos!$E$2:$E$701,MATCH($A83&amp;"|"&amp;$B83&amp;"|placement|Y",photos!$R$2:$R$701,0))="","",INDEX(photos!$E$2:$E$701,MATCH($A83&amp;"|"&amp;$B83&amp;"|placement|Y",photos!$R$2:$R$701,0))),""))</f>
        <v/>
      </c>
      <c r="Z83" s="30" t="str">
        <f aca="false">IF($A83="","",IF(COUNTIFS(counts!$C$2:$C$701,$A83,counts!$D$2:$D$701,$B83,counts!$E$2:$E$701,"placed")=0,"",SUMIFS(counts!$F$2:$F$701,counts!$C$2:$C$701,$A83,counts!$D$2:$D$701,$B83,counts!$E$2:$E$701,"placed")))</f>
        <v/>
      </c>
      <c r="AA83" s="30" t="str">
        <f aca="false">IF($A83="","",IF($Y83="",0,N($Z83)))</f>
        <v/>
      </c>
      <c r="AB83" s="30" t="str">
        <f aca="false">IF($A83="","",IF(OR($Y83="",$I83=""),"N",IF($Y83&lt;=WORKDAY(N($I83),1,calendar!$A$2:$A$80),"Y","N")))</f>
        <v/>
      </c>
      <c r="AC83" s="33" t="str">
        <f aca="false">IF(OR($A83="",$V83="",$Y83=""),"",ROUND(($Y83+N(IFERROR(IF(INDEX(photos!$F$2:$F$701,MATCH($A83&amp;"|"&amp;$B83&amp;"|placement|Y",photos!$R$2:$R$701,0))="","",INDEX(photos!$F$2:$F$701,MATCH($A83&amp;"|"&amp;$B83&amp;"|placement|Y",photos!$R$2:$R$701,0))),""))-$V83)*24,1))</f>
        <v/>
      </c>
      <c r="AD83" s="30" t="str">
        <f aca="false">IF($A83="","",SUMIFS(inventory!$G$2:$G$801,inventory!$C$2:$C$801,$A83,inventory!$D$2:$D$801,$B83,inventory!$E$2:$E$801,"topped_up"))</f>
        <v/>
      </c>
      <c r="AE83" s="30" t="str">
        <f aca="false">IF($A83="","",IF(COUNTIFS(counts!$C$2:$C$701,$A83,counts!$D$2:$D$701,$B83,counts!$E$2:$E$701,"remaining_day3")=0,"",SUMIFS(counts!$F$2:$F$701,counts!$C$2:$C$701,$A83,counts!$D$2:$D$701,$B83,counts!$E$2:$E$701,"remaining_day3")))</f>
        <v/>
      </c>
      <c r="AF83" s="30" t="str">
        <f aca="false">IF($A83="","",IF(COUNTIFS(counts!$C$2:$C$701,$A83,counts!$D$2:$D$701,$B83,counts!$E$2:$E$701,"remaining_day5")=0,"",SUMIFS(counts!$F$2:$F$701,counts!$C$2:$C$701,$A83,counts!$D$2:$D$701,$B83,counts!$E$2:$E$701,"remaining_day5")))</f>
        <v/>
      </c>
      <c r="AG83" s="30" t="str">
        <f aca="false">IF(OR($A83="",$AF83=""),"",MAX(0,$AA83+$AD83-$AF83))</f>
        <v/>
      </c>
      <c r="AH83" s="30" t="str">
        <f aca="false">IF(OR($A83="",$AI83=""),"",IFERROR(IF(INDEX(photos!$H$2:$H$701,MATCH($A83&amp;"|"&amp;$B83&amp;"|later|Y|"&amp;$AI83,photos!$S$2:$S$701,0))="","",INDEX(photos!$H$2:$H$701,MATCH($A83&amp;"|"&amp;$B83&amp;"|later|Y|"&amp;$AI83,photos!$S$2:$S$701,0))),""))</f>
        <v/>
      </c>
      <c r="AI83" s="31" t="str">
        <f aca="false">IF($A83="","",IFERROR(1/(1/SUMPRODUCT(MAX((photos!$B$2:$B$701=$A83)*(photos!$C$2:$C$701=$B83)*(photos!$D$2:$D$701="later")*(photos!$O$2:$O$701="Y")*photos!$E$2:$E$701))),""))</f>
        <v/>
      </c>
      <c r="AJ83" s="30" t="str">
        <f aca="false">IF(OR($A83="",$AI83="",$I83=""),"",NETWORKDAYS($I83,$AI83,calendar!$A$2:$A$80))</f>
        <v/>
      </c>
      <c r="AK83" s="30" t="str">
        <f aca="false">IF($A83="","",IF(AND($X83&lt;&gt;"",$AH83&lt;&gt;""),"Y","N"))</f>
        <v/>
      </c>
      <c r="AL83" s="30" t="str">
        <f aca="true">IF(OR($A83="",$I83=""),"",IF($BC83="Y",SUMIFS(survey_frozen!$C$2:$C$251,survey_frozen!$P$2:$P$251,$A83&amp;"|"&amp;$B83),IFERROR(COUNTIFS(INDIRECT("'"&amp;$A83&amp;"'!$B$2:$B$501"),$T83,INDIRECT("'"&amp;$A83&amp;"'!$A$2:$A$501"),"&gt;="&amp;$I83,INDIRECT("'"&amp;$A83&amp;"'!$A$2:$A$501"),"&lt;"&amp;($BA83+1)),0)))</f>
        <v/>
      </c>
      <c r="AM83" s="30" t="str">
        <f aca="true">IF(OR($A83="",$I83=""),"",IF($BC83="Y",SUMIFS(survey_frozen!$D$2:$D$251,survey_frozen!$P$2:$P$251,$A83&amp;"|"&amp;$B83),IFERROR(COUNTIFS(INDIRECT("'"&amp;$A83&amp;"'!$B$2:$B$501"),$T83,INDIRECT("'"&amp;$A83&amp;"'!$A$2:$A$501"),"&gt;="&amp;$I83,INDIRECT("'"&amp;$A83&amp;"'!$A$2:$A$501"),"&lt;"&amp;($BA83+1),INDIRECT("'"&amp;$A83&amp;"'!$C$2:$C$501"),"Yes"),0)))</f>
        <v/>
      </c>
      <c r="AN83" s="30" t="str">
        <f aca="false">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30" t="str">
        <f aca="false">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30" t="str">
        <f aca="true">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30" t="str">
        <f aca="true">IF(OR($A83="",$I83=""),"",IF($BC83="Y",SUMIFS(survey_frozen!$E$2:$E$251,survey_frozen!$P$2:$P$251,$A83&amp;"|"&amp;$B83),IFERROR(COUNTIFS(INDIRECT("'"&amp;$A83&amp;"'!$B$2:$B$501"),$T83,INDIRECT("'"&amp;$A83&amp;"'!$A$2:$A$501"),"&gt;="&amp;$I83,INDIRECT("'"&amp;$A83&amp;"'!$A$2:$A$501"),"&lt;"&amp;($BA83+1),INDIRECT("'"&amp;$A83&amp;"'!$F$2:$F$501"),"Didn't see it"),0)))</f>
        <v/>
      </c>
      <c r="AR83" s="30" t="str">
        <f aca="true">IF(OR($A83="",$I83=""),"",IF($BC83="Y",SUMIFS(survey_frozen!$F$2:$F$251,survey_frozen!$P$2:$P$251,$A83&amp;"|"&amp;$B83),IFERROR(COUNTIFS(INDIRECT("'"&amp;$A83&amp;"'!$B$2:$B$501"),$T83,INDIRECT("'"&amp;$A83&amp;"'!$A$2:$A$501"),"&gt;="&amp;$I83,INDIRECT("'"&amp;$A83&amp;"'!$A$2:$A$501"),"&lt;"&amp;($BA83+1),INDIRECT("'"&amp;$A83&amp;"'!$F$2:$F$501"),"Not for me"),0)))</f>
        <v/>
      </c>
      <c r="AS83" s="30" t="str">
        <f aca="true">IF(OR($A83="",$I83=""),"",IF($BC83="Y",SUMIFS(survey_frozen!$G$2:$G$251,survey_frozen!$P$2:$P$251,$A83&amp;"|"&amp;$B83),IFERROR(COUNTIFS(INDIRECT("'"&amp;$A83&amp;"'!$B$2:$B$501"),$T83,INDIRECT("'"&amp;$A83&amp;"'!$A$2:$A$501"),"&gt;="&amp;$I83,INDIRECT("'"&amp;$A83&amp;"'!$A$2:$A$501"),"&lt;"&amp;($BA83+1),INDIRECT("'"&amp;$A83&amp;"'!$F$2:$F$501"),"Gone by the time I looked"),0)))</f>
        <v/>
      </c>
      <c r="AT83" s="30" t="str">
        <f aca="true">IF(OR($A83="",$I83=""),"",IF($BC83="Y",SUMIFS(survey_frozen!$H$2:$H$251,survey_frozen!$P$2:$P$251,$A83&amp;"|"&amp;$B83),IFERROR(COUNTIFS(INDIRECT("'"&amp;$A83&amp;"'!$B$2:$B$501"),$T83,INDIRECT("'"&amp;$A83&amp;"'!$A$2:$A$501"),"&gt;="&amp;$I83,INDIRECT("'"&amp;$A83&amp;"'!$A$2:$A$501"),"&lt;"&amp;($BA83+1),INDIRECT("'"&amp;$A83&amp;"'!$D$2:$D$501"),"&gt;=1"),0)))</f>
        <v/>
      </c>
      <c r="AU83" s="30" t="str">
        <f aca="true">IF(OR($A83="",$I83=""),"",IF($BC83="Y",SUMIFS(survey_frozen!$I$2:$I$251,survey_frozen!$P$2:$P$251,$A83&amp;"|"&amp;$B83),IFERROR(SUMIFS(INDIRECT("'"&amp;$A83&amp;"'!$D$2:$D$501"),INDIRECT("'"&amp;$A83&amp;"'!$B$2:$B$501"),$T83,INDIRECT("'"&amp;$A83&amp;"'!$A$2:$A$501"),"&gt;="&amp;$I83,INDIRECT("'"&amp;$A83&amp;"'!$A$2:$A$501"),"&lt;"&amp;($BA83+1)),0)))</f>
        <v/>
      </c>
      <c r="AV83" s="30" t="str">
        <f aca="true">IF(OR($A83="",$I83=""),"",IF($BC83="Y",SUMIFS(survey_frozen!$J$2:$J$251,survey_frozen!$P$2:$P$251,$A83&amp;"|"&amp;$B83),IFERROR(COUNTIFS(INDIRECT("'"&amp;$A83&amp;"'!$B$2:$B$501"),$T83,INDIRECT("'"&amp;$A83&amp;"'!$A$2:$A$501"),"&gt;="&amp;$I83,INDIRECT("'"&amp;$A83&amp;"'!$A$2:$A$501"),"&lt;"&amp;($BA83+1),INDIRECT("'"&amp;$A83&amp;"'!$E$2:$E$501"),"Yes"),0)))</f>
        <v/>
      </c>
      <c r="AW83" s="30" t="str">
        <f aca="true">IF(OR($A83="",$I83=""),"",IF($BC83="Y",SUMIFS(survey_frozen!$K$2:$K$251,survey_frozen!$P$2:$P$251,$A83&amp;"|"&amp;$B83),IFERROR(COUNTIFS(INDIRECT("'"&amp;$A83&amp;"'!$B$2:$B$501"),$T83,INDIRECT("'"&amp;$A83&amp;"'!$A$2:$A$501"),"&gt;="&amp;$I83,INDIRECT("'"&amp;$A83&amp;"'!$A$2:$A$501"),"&lt;"&amp;($BA83+1),INDIRECT("'"&amp;$A83&amp;"'!$E$2:$E$501"),"Maybe"),0)))</f>
        <v/>
      </c>
      <c r="AX83" s="30" t="str">
        <f aca="true">IF(OR($A83="",$I83=""),"",IF($BC83="Y",SUMIFS(survey_frozen!$L$2:$L$251,survey_frozen!$P$2:$P$251,$A83&amp;"|"&amp;$B83),IFERROR(COUNTIFS(INDIRECT("'"&amp;$A83&amp;"'!$B$2:$B$501"),$T83,INDIRECT("'"&amp;$A83&amp;"'!$A$2:$A$501"),"&gt;="&amp;$I83,INDIRECT("'"&amp;$A83&amp;"'!$A$2:$A$501"),"&lt;"&amp;($BA83+1),INDIRECT("'"&amp;$A83&amp;"'!$E$2:$E$501"),"No"),0)))</f>
        <v/>
      </c>
      <c r="AY83" s="30" t="str">
        <f aca="true">IF(OR($A83="",$I83=""),"",IF($BC83="Y",SUMIFS(survey_frozen!$M$2:$M$251,survey_frozen!$P$2:$P$251,$A83&amp;"|"&amp;$B83),IFERROR(COUNTIFS(INDIRECT("'"&amp;$A83&amp;"'!$B$2:$B$501"),$T83,INDIRECT("'"&amp;$A83&amp;"'!$A$2:$A$501"),"&gt;="&amp;$I83,INDIRECT("'"&amp;$A83&amp;"'!$A$2:$A$501"),"&lt;"&amp;($BA83+1),INDIRECT("'"&amp;$A83&amp;"'!$G$2:$G$501"),"&lt;&gt;"),0)))</f>
        <v/>
      </c>
      <c r="AZ83" s="30" t="str">
        <f aca="false">IF($A83="","",$A83&amp;"|"&amp;$L83)</f>
        <v/>
      </c>
      <c r="BA83" s="31" t="str">
        <f aca="false">IF($A83="","",IFERROR(IF(INDEX(drops!$R$2:$R$21,MATCH($H83,drops!$A$2:$A$21,0))="","",INDEX(drops!$R$2:$R$21,MATCH($H83,drops!$A$2:$A$21,0))),""))</f>
        <v/>
      </c>
      <c r="BB83" s="30" t="n">
        <f aca="false">IF(OR($A83="",$Q83&lt;&gt;"Y"),1000000,N($AL83))</f>
        <v>1000000</v>
      </c>
      <c r="BC83" s="30" t="str">
        <f aca="false">IF($A83="","",IF(COUNTIF(survey_frozen!$P$2:$P$251,$A83&amp;"|"&amp;$B83)&gt;0,"Y",""))</f>
        <v/>
      </c>
      <c r="BD83" s="30" t="str">
        <f aca="false">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ustomFormat="false" ht="15" hidden="false" customHeight="false" outlineLevel="0" collapsed="false">
      <c r="C84" s="11"/>
      <c r="D84" s="10"/>
      <c r="E84" s="11"/>
      <c r="H84" s="30" t="str">
        <f aca="false">IF($A84="","",IFERROR(IF(INDEX(campaigns!$B$2:$B$51,MATCH($A84,campaigns!$A$2:$A$51,0))="","",INDEX(campaigns!$B$2:$B$51,MATCH($A84,campaigns!$A$2:$A$51,0))),""))</f>
        <v/>
      </c>
      <c r="I84" s="31" t="str">
        <f aca="false">IF($A84="","",IFERROR(IF(INDEX(campaigns!$BG$2:$BG$51,MATCH($A84,campaigns!$A$2:$A$51,0))="","",INDEX(campaigns!$BG$2:$BG$51,MATCH($A84,campaigns!$A$2:$A$51,0))),""))</f>
        <v/>
      </c>
      <c r="J84" s="30" t="str">
        <f aca="false">IF($A84="","",IFERROR(IF(INDEX(campaigns!$BE$2:$BE$51,MATCH($A84,campaigns!$A$2:$A$51,0))="","",INDEX(campaigns!$BE$2:$BE$51,MATCH($A84,campaigns!$A$2:$A$51,0))),""))</f>
        <v/>
      </c>
      <c r="K84" s="30" t="str">
        <f aca="false">IF($B84="","",IFERROR(IF(INDEX(offices!$O$2:$O$61,MATCH($B84,offices!$A$2:$A$61,0))="","",INDEX(offices!$O$2:$O$61,MATCH($B84,offices!$A$2:$A$61,0))),""))</f>
        <v/>
      </c>
      <c r="L84" s="30" t="str">
        <f aca="false">IF($A84="","",IF($Q84="N","",COUNTIFS($A$2:$A84,$A84,$Q$2:$Q84,"&lt;&gt;N")))</f>
        <v/>
      </c>
      <c r="M84" s="30" t="str">
        <f aca="false">IF(OR($A84="",$L84=""),"",IF(AND(config!$B$34="names_if_public",IFERROR(IF(INDEX(offices!$AG$2:$AG$61,MATCH($B84,offices!$A$2:$A$61,0))="","",INDEX(offices!$AG$2:$AG$61,MATCH($B84,offices!$A$2:$A$61,0))),"")="Y"),$K84,CHAR(64+$L84)))</f>
        <v/>
      </c>
      <c r="N84" s="30" t="str">
        <f aca="false">IF(OR($A84="",$I84=""),"",COUNTIFS(stops!$B$2:$B$151,$B84,stops!$P$2:$P$151,"&lt;"&amp;$I84,stops!$L$2:$L$151,"&lt;&gt;not_delivered")+1)</f>
        <v/>
      </c>
      <c r="O84" s="30" t="str">
        <f aca="false">IF($A84="","",IF(N($N84)&lt;=config!$B$29,"explicit","opt-out"))</f>
        <v/>
      </c>
      <c r="P84" s="30" t="str">
        <f aca="false">IF($A84="","",IF($O84="explicit",IF($D84="yes","Y",IF($D84="no","N","pending")),IF($D84="no","N",IF(AND($C84&lt;&gt;"",$I84&lt;&gt;"",$C84&lt;=WORKDAY(N($I84),-5,calendar!$A$2:$A$80)),"Y","pending"))))</f>
        <v/>
      </c>
      <c r="Q84" s="30" t="str">
        <f aca="false">IF($A84="","",IF($P84="N","N",IF($P84&lt;&gt;"Y","pending",IF(AND((COUNTIFS(stops!$A$2:$A$151,$H84,stops!$B$2:$B$151,$B84,stops!$L$2:$L$151,"declined")+COUNTIFS(stops!$A$2:$A$151,$H84,stops!$B$2:$B$151,$B84,stops!$L$2:$L$151,"building_refused")+COUNTIFS(stops!$A$2:$A$151,$H84,stops!$B$2:$B$151,$B84,stops!$L$2:$L$151,"not_delivered"))&gt;0,N($U84)=0),"N","Y"))))</f>
        <v/>
      </c>
      <c r="R84" s="30" t="str">
        <f aca="false">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30" t="str">
        <f aca="false">IF($A84="","",IF($G84&lt;&gt;"",$G84,IFERROR(IF(INDEX(offices!$AM$2:$AM$61,MATCH($B84,offices!$A$2:$A$61,0))="","",INDEX(offices!$AM$2:$AM$61,MATCH($B84,offices!$A$2:$A$61,0))),"")))</f>
        <v/>
      </c>
      <c r="T84" s="30" t="str">
        <f aca="false">IF($A84="","",$A84&amp;"."&amp;$B84)</f>
        <v/>
      </c>
      <c r="U84" s="30" t="str">
        <f aca="false">IF($A84="","",SUMIFS(inventory!$G$2:$G$801,inventory!$C$2:$C$801,$A84,inventory!$D$2:$D$801,$B84,inventory!$E$2:$E$801,"delivered"))</f>
        <v/>
      </c>
      <c r="V84" s="37" t="str">
        <f aca="false">IF($A84="","",IFERROR(1/(1/SUMPRODUCT(MAX((inventory!$C$2:$C$801=$A84)*(inventory!$D$2:$D$801=$B84)*(inventory!$E$2:$E$801="delivered")*(inventory!$A$2:$A$801+inventory!$B$2:$B$801)))),""))</f>
        <v/>
      </c>
      <c r="W84" s="30" t="str">
        <f aca="false">IF($A84="","",IFERROR(IF(INDEX(inventory!$J$2:$J$801,MATCH($A84&amp;"|"&amp;$B84&amp;"|delivered",inventory!$R$2:$R$801,0))="","",INDEX(inventory!$J$2:$J$801,MATCH($A84&amp;"|"&amp;$B84&amp;"|delivered",inventory!$R$2:$R$801,0))),""))</f>
        <v/>
      </c>
      <c r="X84" s="30" t="str">
        <f aca="false">IF($A84="","",IFERROR(IF(INDEX(photos!$H$2:$H$701,MATCH($A84&amp;"|"&amp;$B84&amp;"|placement|Y",photos!$R$2:$R$701,0))="","",INDEX(photos!$H$2:$H$701,MATCH($A84&amp;"|"&amp;$B84&amp;"|placement|Y",photos!$R$2:$R$701,0))),""))</f>
        <v/>
      </c>
      <c r="Y84" s="31" t="str">
        <f aca="false">IF($A84="","",IFERROR(IF(INDEX(photos!$E$2:$E$701,MATCH($A84&amp;"|"&amp;$B84&amp;"|placement|Y",photos!$R$2:$R$701,0))="","",INDEX(photos!$E$2:$E$701,MATCH($A84&amp;"|"&amp;$B84&amp;"|placement|Y",photos!$R$2:$R$701,0))),""))</f>
        <v/>
      </c>
      <c r="Z84" s="30" t="str">
        <f aca="false">IF($A84="","",IF(COUNTIFS(counts!$C$2:$C$701,$A84,counts!$D$2:$D$701,$B84,counts!$E$2:$E$701,"placed")=0,"",SUMIFS(counts!$F$2:$F$701,counts!$C$2:$C$701,$A84,counts!$D$2:$D$701,$B84,counts!$E$2:$E$701,"placed")))</f>
        <v/>
      </c>
      <c r="AA84" s="30" t="str">
        <f aca="false">IF($A84="","",IF($Y84="",0,N($Z84)))</f>
        <v/>
      </c>
      <c r="AB84" s="30" t="str">
        <f aca="false">IF($A84="","",IF(OR($Y84="",$I84=""),"N",IF($Y84&lt;=WORKDAY(N($I84),1,calendar!$A$2:$A$80),"Y","N")))</f>
        <v/>
      </c>
      <c r="AC84" s="33" t="str">
        <f aca="false">IF(OR($A84="",$V84="",$Y84=""),"",ROUND(($Y84+N(IFERROR(IF(INDEX(photos!$F$2:$F$701,MATCH($A84&amp;"|"&amp;$B84&amp;"|placement|Y",photos!$R$2:$R$701,0))="","",INDEX(photos!$F$2:$F$701,MATCH($A84&amp;"|"&amp;$B84&amp;"|placement|Y",photos!$R$2:$R$701,0))),""))-$V84)*24,1))</f>
        <v/>
      </c>
      <c r="AD84" s="30" t="str">
        <f aca="false">IF($A84="","",SUMIFS(inventory!$G$2:$G$801,inventory!$C$2:$C$801,$A84,inventory!$D$2:$D$801,$B84,inventory!$E$2:$E$801,"topped_up"))</f>
        <v/>
      </c>
      <c r="AE84" s="30" t="str">
        <f aca="false">IF($A84="","",IF(COUNTIFS(counts!$C$2:$C$701,$A84,counts!$D$2:$D$701,$B84,counts!$E$2:$E$701,"remaining_day3")=0,"",SUMIFS(counts!$F$2:$F$701,counts!$C$2:$C$701,$A84,counts!$D$2:$D$701,$B84,counts!$E$2:$E$701,"remaining_day3")))</f>
        <v/>
      </c>
      <c r="AF84" s="30" t="str">
        <f aca="false">IF($A84="","",IF(COUNTIFS(counts!$C$2:$C$701,$A84,counts!$D$2:$D$701,$B84,counts!$E$2:$E$701,"remaining_day5")=0,"",SUMIFS(counts!$F$2:$F$701,counts!$C$2:$C$701,$A84,counts!$D$2:$D$701,$B84,counts!$E$2:$E$701,"remaining_day5")))</f>
        <v/>
      </c>
      <c r="AG84" s="30" t="str">
        <f aca="false">IF(OR($A84="",$AF84=""),"",MAX(0,$AA84+$AD84-$AF84))</f>
        <v/>
      </c>
      <c r="AH84" s="30" t="str">
        <f aca="false">IF(OR($A84="",$AI84=""),"",IFERROR(IF(INDEX(photos!$H$2:$H$701,MATCH($A84&amp;"|"&amp;$B84&amp;"|later|Y|"&amp;$AI84,photos!$S$2:$S$701,0))="","",INDEX(photos!$H$2:$H$701,MATCH($A84&amp;"|"&amp;$B84&amp;"|later|Y|"&amp;$AI84,photos!$S$2:$S$701,0))),""))</f>
        <v/>
      </c>
      <c r="AI84" s="31" t="str">
        <f aca="false">IF($A84="","",IFERROR(1/(1/SUMPRODUCT(MAX((photos!$B$2:$B$701=$A84)*(photos!$C$2:$C$701=$B84)*(photos!$D$2:$D$701="later")*(photos!$O$2:$O$701="Y")*photos!$E$2:$E$701))),""))</f>
        <v/>
      </c>
      <c r="AJ84" s="30" t="str">
        <f aca="false">IF(OR($A84="",$AI84="",$I84=""),"",NETWORKDAYS($I84,$AI84,calendar!$A$2:$A$80))</f>
        <v/>
      </c>
      <c r="AK84" s="30" t="str">
        <f aca="false">IF($A84="","",IF(AND($X84&lt;&gt;"",$AH84&lt;&gt;""),"Y","N"))</f>
        <v/>
      </c>
      <c r="AL84" s="30" t="str">
        <f aca="true">IF(OR($A84="",$I84=""),"",IF($BC84="Y",SUMIFS(survey_frozen!$C$2:$C$251,survey_frozen!$P$2:$P$251,$A84&amp;"|"&amp;$B84),IFERROR(COUNTIFS(INDIRECT("'"&amp;$A84&amp;"'!$B$2:$B$501"),$T84,INDIRECT("'"&amp;$A84&amp;"'!$A$2:$A$501"),"&gt;="&amp;$I84,INDIRECT("'"&amp;$A84&amp;"'!$A$2:$A$501"),"&lt;"&amp;($BA84+1)),0)))</f>
        <v/>
      </c>
      <c r="AM84" s="30" t="str">
        <f aca="true">IF(OR($A84="",$I84=""),"",IF($BC84="Y",SUMIFS(survey_frozen!$D$2:$D$251,survey_frozen!$P$2:$P$251,$A84&amp;"|"&amp;$B84),IFERROR(COUNTIFS(INDIRECT("'"&amp;$A84&amp;"'!$B$2:$B$501"),$T84,INDIRECT("'"&amp;$A84&amp;"'!$A$2:$A$501"),"&gt;="&amp;$I84,INDIRECT("'"&amp;$A84&amp;"'!$A$2:$A$501"),"&lt;"&amp;($BA84+1),INDIRECT("'"&amp;$A84&amp;"'!$C$2:$C$501"),"Yes"),0)))</f>
        <v/>
      </c>
      <c r="AN84" s="30" t="str">
        <f aca="false">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30" t="str">
        <f aca="false">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30" t="str">
        <f aca="true">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30" t="str">
        <f aca="true">IF(OR($A84="",$I84=""),"",IF($BC84="Y",SUMIFS(survey_frozen!$E$2:$E$251,survey_frozen!$P$2:$P$251,$A84&amp;"|"&amp;$B84),IFERROR(COUNTIFS(INDIRECT("'"&amp;$A84&amp;"'!$B$2:$B$501"),$T84,INDIRECT("'"&amp;$A84&amp;"'!$A$2:$A$501"),"&gt;="&amp;$I84,INDIRECT("'"&amp;$A84&amp;"'!$A$2:$A$501"),"&lt;"&amp;($BA84+1),INDIRECT("'"&amp;$A84&amp;"'!$F$2:$F$501"),"Didn't see it"),0)))</f>
        <v/>
      </c>
      <c r="AR84" s="30" t="str">
        <f aca="true">IF(OR($A84="",$I84=""),"",IF($BC84="Y",SUMIFS(survey_frozen!$F$2:$F$251,survey_frozen!$P$2:$P$251,$A84&amp;"|"&amp;$B84),IFERROR(COUNTIFS(INDIRECT("'"&amp;$A84&amp;"'!$B$2:$B$501"),$T84,INDIRECT("'"&amp;$A84&amp;"'!$A$2:$A$501"),"&gt;="&amp;$I84,INDIRECT("'"&amp;$A84&amp;"'!$A$2:$A$501"),"&lt;"&amp;($BA84+1),INDIRECT("'"&amp;$A84&amp;"'!$F$2:$F$501"),"Not for me"),0)))</f>
        <v/>
      </c>
      <c r="AS84" s="30" t="str">
        <f aca="true">IF(OR($A84="",$I84=""),"",IF($BC84="Y",SUMIFS(survey_frozen!$G$2:$G$251,survey_frozen!$P$2:$P$251,$A84&amp;"|"&amp;$B84),IFERROR(COUNTIFS(INDIRECT("'"&amp;$A84&amp;"'!$B$2:$B$501"),$T84,INDIRECT("'"&amp;$A84&amp;"'!$A$2:$A$501"),"&gt;="&amp;$I84,INDIRECT("'"&amp;$A84&amp;"'!$A$2:$A$501"),"&lt;"&amp;($BA84+1),INDIRECT("'"&amp;$A84&amp;"'!$F$2:$F$501"),"Gone by the time I looked"),0)))</f>
        <v/>
      </c>
      <c r="AT84" s="30" t="str">
        <f aca="true">IF(OR($A84="",$I84=""),"",IF($BC84="Y",SUMIFS(survey_frozen!$H$2:$H$251,survey_frozen!$P$2:$P$251,$A84&amp;"|"&amp;$B84),IFERROR(COUNTIFS(INDIRECT("'"&amp;$A84&amp;"'!$B$2:$B$501"),$T84,INDIRECT("'"&amp;$A84&amp;"'!$A$2:$A$501"),"&gt;="&amp;$I84,INDIRECT("'"&amp;$A84&amp;"'!$A$2:$A$501"),"&lt;"&amp;($BA84+1),INDIRECT("'"&amp;$A84&amp;"'!$D$2:$D$501"),"&gt;=1"),0)))</f>
        <v/>
      </c>
      <c r="AU84" s="30" t="str">
        <f aca="true">IF(OR($A84="",$I84=""),"",IF($BC84="Y",SUMIFS(survey_frozen!$I$2:$I$251,survey_frozen!$P$2:$P$251,$A84&amp;"|"&amp;$B84),IFERROR(SUMIFS(INDIRECT("'"&amp;$A84&amp;"'!$D$2:$D$501"),INDIRECT("'"&amp;$A84&amp;"'!$B$2:$B$501"),$T84,INDIRECT("'"&amp;$A84&amp;"'!$A$2:$A$501"),"&gt;="&amp;$I84,INDIRECT("'"&amp;$A84&amp;"'!$A$2:$A$501"),"&lt;"&amp;($BA84+1)),0)))</f>
        <v/>
      </c>
      <c r="AV84" s="30" t="str">
        <f aca="true">IF(OR($A84="",$I84=""),"",IF($BC84="Y",SUMIFS(survey_frozen!$J$2:$J$251,survey_frozen!$P$2:$P$251,$A84&amp;"|"&amp;$B84),IFERROR(COUNTIFS(INDIRECT("'"&amp;$A84&amp;"'!$B$2:$B$501"),$T84,INDIRECT("'"&amp;$A84&amp;"'!$A$2:$A$501"),"&gt;="&amp;$I84,INDIRECT("'"&amp;$A84&amp;"'!$A$2:$A$501"),"&lt;"&amp;($BA84+1),INDIRECT("'"&amp;$A84&amp;"'!$E$2:$E$501"),"Yes"),0)))</f>
        <v/>
      </c>
      <c r="AW84" s="30" t="str">
        <f aca="true">IF(OR($A84="",$I84=""),"",IF($BC84="Y",SUMIFS(survey_frozen!$K$2:$K$251,survey_frozen!$P$2:$P$251,$A84&amp;"|"&amp;$B84),IFERROR(COUNTIFS(INDIRECT("'"&amp;$A84&amp;"'!$B$2:$B$501"),$T84,INDIRECT("'"&amp;$A84&amp;"'!$A$2:$A$501"),"&gt;="&amp;$I84,INDIRECT("'"&amp;$A84&amp;"'!$A$2:$A$501"),"&lt;"&amp;($BA84+1),INDIRECT("'"&amp;$A84&amp;"'!$E$2:$E$501"),"Maybe"),0)))</f>
        <v/>
      </c>
      <c r="AX84" s="30" t="str">
        <f aca="true">IF(OR($A84="",$I84=""),"",IF($BC84="Y",SUMIFS(survey_frozen!$L$2:$L$251,survey_frozen!$P$2:$P$251,$A84&amp;"|"&amp;$B84),IFERROR(COUNTIFS(INDIRECT("'"&amp;$A84&amp;"'!$B$2:$B$501"),$T84,INDIRECT("'"&amp;$A84&amp;"'!$A$2:$A$501"),"&gt;="&amp;$I84,INDIRECT("'"&amp;$A84&amp;"'!$A$2:$A$501"),"&lt;"&amp;($BA84+1),INDIRECT("'"&amp;$A84&amp;"'!$E$2:$E$501"),"No"),0)))</f>
        <v/>
      </c>
      <c r="AY84" s="30" t="str">
        <f aca="true">IF(OR($A84="",$I84=""),"",IF($BC84="Y",SUMIFS(survey_frozen!$M$2:$M$251,survey_frozen!$P$2:$P$251,$A84&amp;"|"&amp;$B84),IFERROR(COUNTIFS(INDIRECT("'"&amp;$A84&amp;"'!$B$2:$B$501"),$T84,INDIRECT("'"&amp;$A84&amp;"'!$A$2:$A$501"),"&gt;="&amp;$I84,INDIRECT("'"&amp;$A84&amp;"'!$A$2:$A$501"),"&lt;"&amp;($BA84+1),INDIRECT("'"&amp;$A84&amp;"'!$G$2:$G$501"),"&lt;&gt;"),0)))</f>
        <v/>
      </c>
      <c r="AZ84" s="30" t="str">
        <f aca="false">IF($A84="","",$A84&amp;"|"&amp;$L84)</f>
        <v/>
      </c>
      <c r="BA84" s="31" t="str">
        <f aca="false">IF($A84="","",IFERROR(IF(INDEX(drops!$R$2:$R$21,MATCH($H84,drops!$A$2:$A$21,0))="","",INDEX(drops!$R$2:$R$21,MATCH($H84,drops!$A$2:$A$21,0))),""))</f>
        <v/>
      </c>
      <c r="BB84" s="30" t="n">
        <f aca="false">IF(OR($A84="",$Q84&lt;&gt;"Y"),1000000,N($AL84))</f>
        <v>1000000</v>
      </c>
      <c r="BC84" s="30" t="str">
        <f aca="false">IF($A84="","",IF(COUNTIF(survey_frozen!$P$2:$P$251,$A84&amp;"|"&amp;$B84)&gt;0,"Y",""))</f>
        <v/>
      </c>
      <c r="BD84" s="30" t="str">
        <f aca="false">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ustomFormat="false" ht="15" hidden="false" customHeight="false" outlineLevel="0" collapsed="false">
      <c r="C85" s="11"/>
      <c r="D85" s="10"/>
      <c r="E85" s="11"/>
      <c r="H85" s="30" t="str">
        <f aca="false">IF($A85="","",IFERROR(IF(INDEX(campaigns!$B$2:$B$51,MATCH($A85,campaigns!$A$2:$A$51,0))="","",INDEX(campaigns!$B$2:$B$51,MATCH($A85,campaigns!$A$2:$A$51,0))),""))</f>
        <v/>
      </c>
      <c r="I85" s="31" t="str">
        <f aca="false">IF($A85="","",IFERROR(IF(INDEX(campaigns!$BG$2:$BG$51,MATCH($A85,campaigns!$A$2:$A$51,0))="","",INDEX(campaigns!$BG$2:$BG$51,MATCH($A85,campaigns!$A$2:$A$51,0))),""))</f>
        <v/>
      </c>
      <c r="J85" s="30" t="str">
        <f aca="false">IF($A85="","",IFERROR(IF(INDEX(campaigns!$BE$2:$BE$51,MATCH($A85,campaigns!$A$2:$A$51,0))="","",INDEX(campaigns!$BE$2:$BE$51,MATCH($A85,campaigns!$A$2:$A$51,0))),""))</f>
        <v/>
      </c>
      <c r="K85" s="30" t="str">
        <f aca="false">IF($B85="","",IFERROR(IF(INDEX(offices!$O$2:$O$61,MATCH($B85,offices!$A$2:$A$61,0))="","",INDEX(offices!$O$2:$O$61,MATCH($B85,offices!$A$2:$A$61,0))),""))</f>
        <v/>
      </c>
      <c r="L85" s="30" t="str">
        <f aca="false">IF($A85="","",IF($Q85="N","",COUNTIFS($A$2:$A85,$A85,$Q$2:$Q85,"&lt;&gt;N")))</f>
        <v/>
      </c>
      <c r="M85" s="30" t="str">
        <f aca="false">IF(OR($A85="",$L85=""),"",IF(AND(config!$B$34="names_if_public",IFERROR(IF(INDEX(offices!$AG$2:$AG$61,MATCH($B85,offices!$A$2:$A$61,0))="","",INDEX(offices!$AG$2:$AG$61,MATCH($B85,offices!$A$2:$A$61,0))),"")="Y"),$K85,CHAR(64+$L85)))</f>
        <v/>
      </c>
      <c r="N85" s="30" t="str">
        <f aca="false">IF(OR($A85="",$I85=""),"",COUNTIFS(stops!$B$2:$B$151,$B85,stops!$P$2:$P$151,"&lt;"&amp;$I85,stops!$L$2:$L$151,"&lt;&gt;not_delivered")+1)</f>
        <v/>
      </c>
      <c r="O85" s="30" t="str">
        <f aca="false">IF($A85="","",IF(N($N85)&lt;=config!$B$29,"explicit","opt-out"))</f>
        <v/>
      </c>
      <c r="P85" s="30" t="str">
        <f aca="false">IF($A85="","",IF($O85="explicit",IF($D85="yes","Y",IF($D85="no","N","pending")),IF($D85="no","N",IF(AND($C85&lt;&gt;"",$I85&lt;&gt;"",$C85&lt;=WORKDAY(N($I85),-5,calendar!$A$2:$A$80)),"Y","pending"))))</f>
        <v/>
      </c>
      <c r="Q85" s="30" t="str">
        <f aca="false">IF($A85="","",IF($P85="N","N",IF($P85&lt;&gt;"Y","pending",IF(AND((COUNTIFS(stops!$A$2:$A$151,$H85,stops!$B$2:$B$151,$B85,stops!$L$2:$L$151,"declined")+COUNTIFS(stops!$A$2:$A$151,$H85,stops!$B$2:$B$151,$B85,stops!$L$2:$L$151,"building_refused")+COUNTIFS(stops!$A$2:$A$151,$H85,stops!$B$2:$B$151,$B85,stops!$L$2:$L$151,"not_delivered"))&gt;0,N($U85)=0),"N","Y"))))</f>
        <v/>
      </c>
      <c r="R85" s="30" t="str">
        <f aca="false">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30" t="str">
        <f aca="false">IF($A85="","",IF($G85&lt;&gt;"",$G85,IFERROR(IF(INDEX(offices!$AM$2:$AM$61,MATCH($B85,offices!$A$2:$A$61,0))="","",INDEX(offices!$AM$2:$AM$61,MATCH($B85,offices!$A$2:$A$61,0))),"")))</f>
        <v/>
      </c>
      <c r="T85" s="30" t="str">
        <f aca="false">IF($A85="","",$A85&amp;"."&amp;$B85)</f>
        <v/>
      </c>
      <c r="U85" s="30" t="str">
        <f aca="false">IF($A85="","",SUMIFS(inventory!$G$2:$G$801,inventory!$C$2:$C$801,$A85,inventory!$D$2:$D$801,$B85,inventory!$E$2:$E$801,"delivered"))</f>
        <v/>
      </c>
      <c r="V85" s="37" t="str">
        <f aca="false">IF($A85="","",IFERROR(1/(1/SUMPRODUCT(MAX((inventory!$C$2:$C$801=$A85)*(inventory!$D$2:$D$801=$B85)*(inventory!$E$2:$E$801="delivered")*(inventory!$A$2:$A$801+inventory!$B$2:$B$801)))),""))</f>
        <v/>
      </c>
      <c r="W85" s="30" t="str">
        <f aca="false">IF($A85="","",IFERROR(IF(INDEX(inventory!$J$2:$J$801,MATCH($A85&amp;"|"&amp;$B85&amp;"|delivered",inventory!$R$2:$R$801,0))="","",INDEX(inventory!$J$2:$J$801,MATCH($A85&amp;"|"&amp;$B85&amp;"|delivered",inventory!$R$2:$R$801,0))),""))</f>
        <v/>
      </c>
      <c r="X85" s="30" t="str">
        <f aca="false">IF($A85="","",IFERROR(IF(INDEX(photos!$H$2:$H$701,MATCH($A85&amp;"|"&amp;$B85&amp;"|placement|Y",photos!$R$2:$R$701,0))="","",INDEX(photos!$H$2:$H$701,MATCH($A85&amp;"|"&amp;$B85&amp;"|placement|Y",photos!$R$2:$R$701,0))),""))</f>
        <v/>
      </c>
      <c r="Y85" s="31" t="str">
        <f aca="false">IF($A85="","",IFERROR(IF(INDEX(photos!$E$2:$E$701,MATCH($A85&amp;"|"&amp;$B85&amp;"|placement|Y",photos!$R$2:$R$701,0))="","",INDEX(photos!$E$2:$E$701,MATCH($A85&amp;"|"&amp;$B85&amp;"|placement|Y",photos!$R$2:$R$701,0))),""))</f>
        <v/>
      </c>
      <c r="Z85" s="30" t="str">
        <f aca="false">IF($A85="","",IF(COUNTIFS(counts!$C$2:$C$701,$A85,counts!$D$2:$D$701,$B85,counts!$E$2:$E$701,"placed")=0,"",SUMIFS(counts!$F$2:$F$701,counts!$C$2:$C$701,$A85,counts!$D$2:$D$701,$B85,counts!$E$2:$E$701,"placed")))</f>
        <v/>
      </c>
      <c r="AA85" s="30" t="str">
        <f aca="false">IF($A85="","",IF($Y85="",0,N($Z85)))</f>
        <v/>
      </c>
      <c r="AB85" s="30" t="str">
        <f aca="false">IF($A85="","",IF(OR($Y85="",$I85=""),"N",IF($Y85&lt;=WORKDAY(N($I85),1,calendar!$A$2:$A$80),"Y","N")))</f>
        <v/>
      </c>
      <c r="AC85" s="33" t="str">
        <f aca="false">IF(OR($A85="",$V85="",$Y85=""),"",ROUND(($Y85+N(IFERROR(IF(INDEX(photos!$F$2:$F$701,MATCH($A85&amp;"|"&amp;$B85&amp;"|placement|Y",photos!$R$2:$R$701,0))="","",INDEX(photos!$F$2:$F$701,MATCH($A85&amp;"|"&amp;$B85&amp;"|placement|Y",photos!$R$2:$R$701,0))),""))-$V85)*24,1))</f>
        <v/>
      </c>
      <c r="AD85" s="30" t="str">
        <f aca="false">IF($A85="","",SUMIFS(inventory!$G$2:$G$801,inventory!$C$2:$C$801,$A85,inventory!$D$2:$D$801,$B85,inventory!$E$2:$E$801,"topped_up"))</f>
        <v/>
      </c>
      <c r="AE85" s="30" t="str">
        <f aca="false">IF($A85="","",IF(COUNTIFS(counts!$C$2:$C$701,$A85,counts!$D$2:$D$701,$B85,counts!$E$2:$E$701,"remaining_day3")=0,"",SUMIFS(counts!$F$2:$F$701,counts!$C$2:$C$701,$A85,counts!$D$2:$D$701,$B85,counts!$E$2:$E$701,"remaining_day3")))</f>
        <v/>
      </c>
      <c r="AF85" s="30" t="str">
        <f aca="false">IF($A85="","",IF(COUNTIFS(counts!$C$2:$C$701,$A85,counts!$D$2:$D$701,$B85,counts!$E$2:$E$701,"remaining_day5")=0,"",SUMIFS(counts!$F$2:$F$701,counts!$C$2:$C$701,$A85,counts!$D$2:$D$701,$B85,counts!$E$2:$E$701,"remaining_day5")))</f>
        <v/>
      </c>
      <c r="AG85" s="30" t="str">
        <f aca="false">IF(OR($A85="",$AF85=""),"",MAX(0,$AA85+$AD85-$AF85))</f>
        <v/>
      </c>
      <c r="AH85" s="30" t="str">
        <f aca="false">IF(OR($A85="",$AI85=""),"",IFERROR(IF(INDEX(photos!$H$2:$H$701,MATCH($A85&amp;"|"&amp;$B85&amp;"|later|Y|"&amp;$AI85,photos!$S$2:$S$701,0))="","",INDEX(photos!$H$2:$H$701,MATCH($A85&amp;"|"&amp;$B85&amp;"|later|Y|"&amp;$AI85,photos!$S$2:$S$701,0))),""))</f>
        <v/>
      </c>
      <c r="AI85" s="31" t="str">
        <f aca="false">IF($A85="","",IFERROR(1/(1/SUMPRODUCT(MAX((photos!$B$2:$B$701=$A85)*(photos!$C$2:$C$701=$B85)*(photos!$D$2:$D$701="later")*(photos!$O$2:$O$701="Y")*photos!$E$2:$E$701))),""))</f>
        <v/>
      </c>
      <c r="AJ85" s="30" t="str">
        <f aca="false">IF(OR($A85="",$AI85="",$I85=""),"",NETWORKDAYS($I85,$AI85,calendar!$A$2:$A$80))</f>
        <v/>
      </c>
      <c r="AK85" s="30" t="str">
        <f aca="false">IF($A85="","",IF(AND($X85&lt;&gt;"",$AH85&lt;&gt;""),"Y","N"))</f>
        <v/>
      </c>
      <c r="AL85" s="30" t="str">
        <f aca="true">IF(OR($A85="",$I85=""),"",IF($BC85="Y",SUMIFS(survey_frozen!$C$2:$C$251,survey_frozen!$P$2:$P$251,$A85&amp;"|"&amp;$B85),IFERROR(COUNTIFS(INDIRECT("'"&amp;$A85&amp;"'!$B$2:$B$501"),$T85,INDIRECT("'"&amp;$A85&amp;"'!$A$2:$A$501"),"&gt;="&amp;$I85,INDIRECT("'"&amp;$A85&amp;"'!$A$2:$A$501"),"&lt;"&amp;($BA85+1)),0)))</f>
        <v/>
      </c>
      <c r="AM85" s="30" t="str">
        <f aca="true">IF(OR($A85="",$I85=""),"",IF($BC85="Y",SUMIFS(survey_frozen!$D$2:$D$251,survey_frozen!$P$2:$P$251,$A85&amp;"|"&amp;$B85),IFERROR(COUNTIFS(INDIRECT("'"&amp;$A85&amp;"'!$B$2:$B$501"),$T85,INDIRECT("'"&amp;$A85&amp;"'!$A$2:$A$501"),"&gt;="&amp;$I85,INDIRECT("'"&amp;$A85&amp;"'!$A$2:$A$501"),"&lt;"&amp;($BA85+1),INDIRECT("'"&amp;$A85&amp;"'!$C$2:$C$501"),"Yes"),0)))</f>
        <v/>
      </c>
      <c r="AN85" s="30" t="str">
        <f aca="false">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30" t="str">
        <f aca="false">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30" t="str">
        <f aca="true">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30" t="str">
        <f aca="true">IF(OR($A85="",$I85=""),"",IF($BC85="Y",SUMIFS(survey_frozen!$E$2:$E$251,survey_frozen!$P$2:$P$251,$A85&amp;"|"&amp;$B85),IFERROR(COUNTIFS(INDIRECT("'"&amp;$A85&amp;"'!$B$2:$B$501"),$T85,INDIRECT("'"&amp;$A85&amp;"'!$A$2:$A$501"),"&gt;="&amp;$I85,INDIRECT("'"&amp;$A85&amp;"'!$A$2:$A$501"),"&lt;"&amp;($BA85+1),INDIRECT("'"&amp;$A85&amp;"'!$F$2:$F$501"),"Didn't see it"),0)))</f>
        <v/>
      </c>
      <c r="AR85" s="30" t="str">
        <f aca="true">IF(OR($A85="",$I85=""),"",IF($BC85="Y",SUMIFS(survey_frozen!$F$2:$F$251,survey_frozen!$P$2:$P$251,$A85&amp;"|"&amp;$B85),IFERROR(COUNTIFS(INDIRECT("'"&amp;$A85&amp;"'!$B$2:$B$501"),$T85,INDIRECT("'"&amp;$A85&amp;"'!$A$2:$A$501"),"&gt;="&amp;$I85,INDIRECT("'"&amp;$A85&amp;"'!$A$2:$A$501"),"&lt;"&amp;($BA85+1),INDIRECT("'"&amp;$A85&amp;"'!$F$2:$F$501"),"Not for me"),0)))</f>
        <v/>
      </c>
      <c r="AS85" s="30" t="str">
        <f aca="true">IF(OR($A85="",$I85=""),"",IF($BC85="Y",SUMIFS(survey_frozen!$G$2:$G$251,survey_frozen!$P$2:$P$251,$A85&amp;"|"&amp;$B85),IFERROR(COUNTIFS(INDIRECT("'"&amp;$A85&amp;"'!$B$2:$B$501"),$T85,INDIRECT("'"&amp;$A85&amp;"'!$A$2:$A$501"),"&gt;="&amp;$I85,INDIRECT("'"&amp;$A85&amp;"'!$A$2:$A$501"),"&lt;"&amp;($BA85+1),INDIRECT("'"&amp;$A85&amp;"'!$F$2:$F$501"),"Gone by the time I looked"),0)))</f>
        <v/>
      </c>
      <c r="AT85" s="30" t="str">
        <f aca="true">IF(OR($A85="",$I85=""),"",IF($BC85="Y",SUMIFS(survey_frozen!$H$2:$H$251,survey_frozen!$P$2:$P$251,$A85&amp;"|"&amp;$B85),IFERROR(COUNTIFS(INDIRECT("'"&amp;$A85&amp;"'!$B$2:$B$501"),$T85,INDIRECT("'"&amp;$A85&amp;"'!$A$2:$A$501"),"&gt;="&amp;$I85,INDIRECT("'"&amp;$A85&amp;"'!$A$2:$A$501"),"&lt;"&amp;($BA85+1),INDIRECT("'"&amp;$A85&amp;"'!$D$2:$D$501"),"&gt;=1"),0)))</f>
        <v/>
      </c>
      <c r="AU85" s="30" t="str">
        <f aca="true">IF(OR($A85="",$I85=""),"",IF($BC85="Y",SUMIFS(survey_frozen!$I$2:$I$251,survey_frozen!$P$2:$P$251,$A85&amp;"|"&amp;$B85),IFERROR(SUMIFS(INDIRECT("'"&amp;$A85&amp;"'!$D$2:$D$501"),INDIRECT("'"&amp;$A85&amp;"'!$B$2:$B$501"),$T85,INDIRECT("'"&amp;$A85&amp;"'!$A$2:$A$501"),"&gt;="&amp;$I85,INDIRECT("'"&amp;$A85&amp;"'!$A$2:$A$501"),"&lt;"&amp;($BA85+1)),0)))</f>
        <v/>
      </c>
      <c r="AV85" s="30" t="str">
        <f aca="true">IF(OR($A85="",$I85=""),"",IF($BC85="Y",SUMIFS(survey_frozen!$J$2:$J$251,survey_frozen!$P$2:$P$251,$A85&amp;"|"&amp;$B85),IFERROR(COUNTIFS(INDIRECT("'"&amp;$A85&amp;"'!$B$2:$B$501"),$T85,INDIRECT("'"&amp;$A85&amp;"'!$A$2:$A$501"),"&gt;="&amp;$I85,INDIRECT("'"&amp;$A85&amp;"'!$A$2:$A$501"),"&lt;"&amp;($BA85+1),INDIRECT("'"&amp;$A85&amp;"'!$E$2:$E$501"),"Yes"),0)))</f>
        <v/>
      </c>
      <c r="AW85" s="30" t="str">
        <f aca="true">IF(OR($A85="",$I85=""),"",IF($BC85="Y",SUMIFS(survey_frozen!$K$2:$K$251,survey_frozen!$P$2:$P$251,$A85&amp;"|"&amp;$B85),IFERROR(COUNTIFS(INDIRECT("'"&amp;$A85&amp;"'!$B$2:$B$501"),$T85,INDIRECT("'"&amp;$A85&amp;"'!$A$2:$A$501"),"&gt;="&amp;$I85,INDIRECT("'"&amp;$A85&amp;"'!$A$2:$A$501"),"&lt;"&amp;($BA85+1),INDIRECT("'"&amp;$A85&amp;"'!$E$2:$E$501"),"Maybe"),0)))</f>
        <v/>
      </c>
      <c r="AX85" s="30" t="str">
        <f aca="true">IF(OR($A85="",$I85=""),"",IF($BC85="Y",SUMIFS(survey_frozen!$L$2:$L$251,survey_frozen!$P$2:$P$251,$A85&amp;"|"&amp;$B85),IFERROR(COUNTIFS(INDIRECT("'"&amp;$A85&amp;"'!$B$2:$B$501"),$T85,INDIRECT("'"&amp;$A85&amp;"'!$A$2:$A$501"),"&gt;="&amp;$I85,INDIRECT("'"&amp;$A85&amp;"'!$A$2:$A$501"),"&lt;"&amp;($BA85+1),INDIRECT("'"&amp;$A85&amp;"'!$E$2:$E$501"),"No"),0)))</f>
        <v/>
      </c>
      <c r="AY85" s="30" t="str">
        <f aca="true">IF(OR($A85="",$I85=""),"",IF($BC85="Y",SUMIFS(survey_frozen!$M$2:$M$251,survey_frozen!$P$2:$P$251,$A85&amp;"|"&amp;$B85),IFERROR(COUNTIFS(INDIRECT("'"&amp;$A85&amp;"'!$B$2:$B$501"),$T85,INDIRECT("'"&amp;$A85&amp;"'!$A$2:$A$501"),"&gt;="&amp;$I85,INDIRECT("'"&amp;$A85&amp;"'!$A$2:$A$501"),"&lt;"&amp;($BA85+1),INDIRECT("'"&amp;$A85&amp;"'!$G$2:$G$501"),"&lt;&gt;"),0)))</f>
        <v/>
      </c>
      <c r="AZ85" s="30" t="str">
        <f aca="false">IF($A85="","",$A85&amp;"|"&amp;$L85)</f>
        <v/>
      </c>
      <c r="BA85" s="31" t="str">
        <f aca="false">IF($A85="","",IFERROR(IF(INDEX(drops!$R$2:$R$21,MATCH($H85,drops!$A$2:$A$21,0))="","",INDEX(drops!$R$2:$R$21,MATCH($H85,drops!$A$2:$A$21,0))),""))</f>
        <v/>
      </c>
      <c r="BB85" s="30" t="n">
        <f aca="false">IF(OR($A85="",$Q85&lt;&gt;"Y"),1000000,N($AL85))</f>
        <v>1000000</v>
      </c>
      <c r="BC85" s="30" t="str">
        <f aca="false">IF($A85="","",IF(COUNTIF(survey_frozen!$P$2:$P$251,$A85&amp;"|"&amp;$B85)&gt;0,"Y",""))</f>
        <v/>
      </c>
      <c r="BD85" s="30" t="str">
        <f aca="false">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ustomFormat="false" ht="15" hidden="false" customHeight="false" outlineLevel="0" collapsed="false">
      <c r="C86" s="11"/>
      <c r="D86" s="10"/>
      <c r="E86" s="11"/>
      <c r="H86" s="30" t="str">
        <f aca="false">IF($A86="","",IFERROR(IF(INDEX(campaigns!$B$2:$B$51,MATCH($A86,campaigns!$A$2:$A$51,0))="","",INDEX(campaigns!$B$2:$B$51,MATCH($A86,campaigns!$A$2:$A$51,0))),""))</f>
        <v/>
      </c>
      <c r="I86" s="31" t="str">
        <f aca="false">IF($A86="","",IFERROR(IF(INDEX(campaigns!$BG$2:$BG$51,MATCH($A86,campaigns!$A$2:$A$51,0))="","",INDEX(campaigns!$BG$2:$BG$51,MATCH($A86,campaigns!$A$2:$A$51,0))),""))</f>
        <v/>
      </c>
      <c r="J86" s="30" t="str">
        <f aca="false">IF($A86="","",IFERROR(IF(INDEX(campaigns!$BE$2:$BE$51,MATCH($A86,campaigns!$A$2:$A$51,0))="","",INDEX(campaigns!$BE$2:$BE$51,MATCH($A86,campaigns!$A$2:$A$51,0))),""))</f>
        <v/>
      </c>
      <c r="K86" s="30" t="str">
        <f aca="false">IF($B86="","",IFERROR(IF(INDEX(offices!$O$2:$O$61,MATCH($B86,offices!$A$2:$A$61,0))="","",INDEX(offices!$O$2:$O$61,MATCH($B86,offices!$A$2:$A$61,0))),""))</f>
        <v/>
      </c>
      <c r="L86" s="30" t="str">
        <f aca="false">IF($A86="","",IF($Q86="N","",COUNTIFS($A$2:$A86,$A86,$Q$2:$Q86,"&lt;&gt;N")))</f>
        <v/>
      </c>
      <c r="M86" s="30" t="str">
        <f aca="false">IF(OR($A86="",$L86=""),"",IF(AND(config!$B$34="names_if_public",IFERROR(IF(INDEX(offices!$AG$2:$AG$61,MATCH($B86,offices!$A$2:$A$61,0))="","",INDEX(offices!$AG$2:$AG$61,MATCH($B86,offices!$A$2:$A$61,0))),"")="Y"),$K86,CHAR(64+$L86)))</f>
        <v/>
      </c>
      <c r="N86" s="30" t="str">
        <f aca="false">IF(OR($A86="",$I86=""),"",COUNTIFS(stops!$B$2:$B$151,$B86,stops!$P$2:$P$151,"&lt;"&amp;$I86,stops!$L$2:$L$151,"&lt;&gt;not_delivered")+1)</f>
        <v/>
      </c>
      <c r="O86" s="30" t="str">
        <f aca="false">IF($A86="","",IF(N($N86)&lt;=config!$B$29,"explicit","opt-out"))</f>
        <v/>
      </c>
      <c r="P86" s="30" t="str">
        <f aca="false">IF($A86="","",IF($O86="explicit",IF($D86="yes","Y",IF($D86="no","N","pending")),IF($D86="no","N",IF(AND($C86&lt;&gt;"",$I86&lt;&gt;"",$C86&lt;=WORKDAY(N($I86),-5,calendar!$A$2:$A$80)),"Y","pending"))))</f>
        <v/>
      </c>
      <c r="Q86" s="30" t="str">
        <f aca="false">IF($A86="","",IF($P86="N","N",IF($P86&lt;&gt;"Y","pending",IF(AND((COUNTIFS(stops!$A$2:$A$151,$H86,stops!$B$2:$B$151,$B86,stops!$L$2:$L$151,"declined")+COUNTIFS(stops!$A$2:$A$151,$H86,stops!$B$2:$B$151,$B86,stops!$L$2:$L$151,"building_refused")+COUNTIFS(stops!$A$2:$A$151,$H86,stops!$B$2:$B$151,$B86,stops!$L$2:$L$151,"not_delivered"))&gt;0,N($U86)=0),"N","Y"))))</f>
        <v/>
      </c>
      <c r="R86" s="30" t="str">
        <f aca="false">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30" t="str">
        <f aca="false">IF($A86="","",IF($G86&lt;&gt;"",$G86,IFERROR(IF(INDEX(offices!$AM$2:$AM$61,MATCH($B86,offices!$A$2:$A$61,0))="","",INDEX(offices!$AM$2:$AM$61,MATCH($B86,offices!$A$2:$A$61,0))),"")))</f>
        <v/>
      </c>
      <c r="T86" s="30" t="str">
        <f aca="false">IF($A86="","",$A86&amp;"."&amp;$B86)</f>
        <v/>
      </c>
      <c r="U86" s="30" t="str">
        <f aca="false">IF($A86="","",SUMIFS(inventory!$G$2:$G$801,inventory!$C$2:$C$801,$A86,inventory!$D$2:$D$801,$B86,inventory!$E$2:$E$801,"delivered"))</f>
        <v/>
      </c>
      <c r="V86" s="37" t="str">
        <f aca="false">IF($A86="","",IFERROR(1/(1/SUMPRODUCT(MAX((inventory!$C$2:$C$801=$A86)*(inventory!$D$2:$D$801=$B86)*(inventory!$E$2:$E$801="delivered")*(inventory!$A$2:$A$801+inventory!$B$2:$B$801)))),""))</f>
        <v/>
      </c>
      <c r="W86" s="30" t="str">
        <f aca="false">IF($A86="","",IFERROR(IF(INDEX(inventory!$J$2:$J$801,MATCH($A86&amp;"|"&amp;$B86&amp;"|delivered",inventory!$R$2:$R$801,0))="","",INDEX(inventory!$J$2:$J$801,MATCH($A86&amp;"|"&amp;$B86&amp;"|delivered",inventory!$R$2:$R$801,0))),""))</f>
        <v/>
      </c>
      <c r="X86" s="30" t="str">
        <f aca="false">IF($A86="","",IFERROR(IF(INDEX(photos!$H$2:$H$701,MATCH($A86&amp;"|"&amp;$B86&amp;"|placement|Y",photos!$R$2:$R$701,0))="","",INDEX(photos!$H$2:$H$701,MATCH($A86&amp;"|"&amp;$B86&amp;"|placement|Y",photos!$R$2:$R$701,0))),""))</f>
        <v/>
      </c>
      <c r="Y86" s="31" t="str">
        <f aca="false">IF($A86="","",IFERROR(IF(INDEX(photos!$E$2:$E$701,MATCH($A86&amp;"|"&amp;$B86&amp;"|placement|Y",photos!$R$2:$R$701,0))="","",INDEX(photos!$E$2:$E$701,MATCH($A86&amp;"|"&amp;$B86&amp;"|placement|Y",photos!$R$2:$R$701,0))),""))</f>
        <v/>
      </c>
      <c r="Z86" s="30" t="str">
        <f aca="false">IF($A86="","",IF(COUNTIFS(counts!$C$2:$C$701,$A86,counts!$D$2:$D$701,$B86,counts!$E$2:$E$701,"placed")=0,"",SUMIFS(counts!$F$2:$F$701,counts!$C$2:$C$701,$A86,counts!$D$2:$D$701,$B86,counts!$E$2:$E$701,"placed")))</f>
        <v/>
      </c>
      <c r="AA86" s="30" t="str">
        <f aca="false">IF($A86="","",IF($Y86="",0,N($Z86)))</f>
        <v/>
      </c>
      <c r="AB86" s="30" t="str">
        <f aca="false">IF($A86="","",IF(OR($Y86="",$I86=""),"N",IF($Y86&lt;=WORKDAY(N($I86),1,calendar!$A$2:$A$80),"Y","N")))</f>
        <v/>
      </c>
      <c r="AC86" s="33" t="str">
        <f aca="false">IF(OR($A86="",$V86="",$Y86=""),"",ROUND(($Y86+N(IFERROR(IF(INDEX(photos!$F$2:$F$701,MATCH($A86&amp;"|"&amp;$B86&amp;"|placement|Y",photos!$R$2:$R$701,0))="","",INDEX(photos!$F$2:$F$701,MATCH($A86&amp;"|"&amp;$B86&amp;"|placement|Y",photos!$R$2:$R$701,0))),""))-$V86)*24,1))</f>
        <v/>
      </c>
      <c r="AD86" s="30" t="str">
        <f aca="false">IF($A86="","",SUMIFS(inventory!$G$2:$G$801,inventory!$C$2:$C$801,$A86,inventory!$D$2:$D$801,$B86,inventory!$E$2:$E$801,"topped_up"))</f>
        <v/>
      </c>
      <c r="AE86" s="30" t="str">
        <f aca="false">IF($A86="","",IF(COUNTIFS(counts!$C$2:$C$701,$A86,counts!$D$2:$D$701,$B86,counts!$E$2:$E$701,"remaining_day3")=0,"",SUMIFS(counts!$F$2:$F$701,counts!$C$2:$C$701,$A86,counts!$D$2:$D$701,$B86,counts!$E$2:$E$701,"remaining_day3")))</f>
        <v/>
      </c>
      <c r="AF86" s="30" t="str">
        <f aca="false">IF($A86="","",IF(COUNTIFS(counts!$C$2:$C$701,$A86,counts!$D$2:$D$701,$B86,counts!$E$2:$E$701,"remaining_day5")=0,"",SUMIFS(counts!$F$2:$F$701,counts!$C$2:$C$701,$A86,counts!$D$2:$D$701,$B86,counts!$E$2:$E$701,"remaining_day5")))</f>
        <v/>
      </c>
      <c r="AG86" s="30" t="str">
        <f aca="false">IF(OR($A86="",$AF86=""),"",MAX(0,$AA86+$AD86-$AF86))</f>
        <v/>
      </c>
      <c r="AH86" s="30" t="str">
        <f aca="false">IF(OR($A86="",$AI86=""),"",IFERROR(IF(INDEX(photos!$H$2:$H$701,MATCH($A86&amp;"|"&amp;$B86&amp;"|later|Y|"&amp;$AI86,photos!$S$2:$S$701,0))="","",INDEX(photos!$H$2:$H$701,MATCH($A86&amp;"|"&amp;$B86&amp;"|later|Y|"&amp;$AI86,photos!$S$2:$S$701,0))),""))</f>
        <v/>
      </c>
      <c r="AI86" s="31" t="str">
        <f aca="false">IF($A86="","",IFERROR(1/(1/SUMPRODUCT(MAX((photos!$B$2:$B$701=$A86)*(photos!$C$2:$C$701=$B86)*(photos!$D$2:$D$701="later")*(photos!$O$2:$O$701="Y")*photos!$E$2:$E$701))),""))</f>
        <v/>
      </c>
      <c r="AJ86" s="30" t="str">
        <f aca="false">IF(OR($A86="",$AI86="",$I86=""),"",NETWORKDAYS($I86,$AI86,calendar!$A$2:$A$80))</f>
        <v/>
      </c>
      <c r="AK86" s="30" t="str">
        <f aca="false">IF($A86="","",IF(AND($X86&lt;&gt;"",$AH86&lt;&gt;""),"Y","N"))</f>
        <v/>
      </c>
      <c r="AL86" s="30" t="str">
        <f aca="true">IF(OR($A86="",$I86=""),"",IF($BC86="Y",SUMIFS(survey_frozen!$C$2:$C$251,survey_frozen!$P$2:$P$251,$A86&amp;"|"&amp;$B86),IFERROR(COUNTIFS(INDIRECT("'"&amp;$A86&amp;"'!$B$2:$B$501"),$T86,INDIRECT("'"&amp;$A86&amp;"'!$A$2:$A$501"),"&gt;="&amp;$I86,INDIRECT("'"&amp;$A86&amp;"'!$A$2:$A$501"),"&lt;"&amp;($BA86+1)),0)))</f>
        <v/>
      </c>
      <c r="AM86" s="30" t="str">
        <f aca="true">IF(OR($A86="",$I86=""),"",IF($BC86="Y",SUMIFS(survey_frozen!$D$2:$D$251,survey_frozen!$P$2:$P$251,$A86&amp;"|"&amp;$B86),IFERROR(COUNTIFS(INDIRECT("'"&amp;$A86&amp;"'!$B$2:$B$501"),$T86,INDIRECT("'"&amp;$A86&amp;"'!$A$2:$A$501"),"&gt;="&amp;$I86,INDIRECT("'"&amp;$A86&amp;"'!$A$2:$A$501"),"&lt;"&amp;($BA86+1),INDIRECT("'"&amp;$A86&amp;"'!$C$2:$C$501"),"Yes"),0)))</f>
        <v/>
      </c>
      <c r="AN86" s="30" t="str">
        <f aca="false">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30" t="str">
        <f aca="false">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30" t="str">
        <f aca="true">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30" t="str">
        <f aca="true">IF(OR($A86="",$I86=""),"",IF($BC86="Y",SUMIFS(survey_frozen!$E$2:$E$251,survey_frozen!$P$2:$P$251,$A86&amp;"|"&amp;$B86),IFERROR(COUNTIFS(INDIRECT("'"&amp;$A86&amp;"'!$B$2:$B$501"),$T86,INDIRECT("'"&amp;$A86&amp;"'!$A$2:$A$501"),"&gt;="&amp;$I86,INDIRECT("'"&amp;$A86&amp;"'!$A$2:$A$501"),"&lt;"&amp;($BA86+1),INDIRECT("'"&amp;$A86&amp;"'!$F$2:$F$501"),"Didn't see it"),0)))</f>
        <v/>
      </c>
      <c r="AR86" s="30" t="str">
        <f aca="true">IF(OR($A86="",$I86=""),"",IF($BC86="Y",SUMIFS(survey_frozen!$F$2:$F$251,survey_frozen!$P$2:$P$251,$A86&amp;"|"&amp;$B86),IFERROR(COUNTIFS(INDIRECT("'"&amp;$A86&amp;"'!$B$2:$B$501"),$T86,INDIRECT("'"&amp;$A86&amp;"'!$A$2:$A$501"),"&gt;="&amp;$I86,INDIRECT("'"&amp;$A86&amp;"'!$A$2:$A$501"),"&lt;"&amp;($BA86+1),INDIRECT("'"&amp;$A86&amp;"'!$F$2:$F$501"),"Not for me"),0)))</f>
        <v/>
      </c>
      <c r="AS86" s="30" t="str">
        <f aca="true">IF(OR($A86="",$I86=""),"",IF($BC86="Y",SUMIFS(survey_frozen!$G$2:$G$251,survey_frozen!$P$2:$P$251,$A86&amp;"|"&amp;$B86),IFERROR(COUNTIFS(INDIRECT("'"&amp;$A86&amp;"'!$B$2:$B$501"),$T86,INDIRECT("'"&amp;$A86&amp;"'!$A$2:$A$501"),"&gt;="&amp;$I86,INDIRECT("'"&amp;$A86&amp;"'!$A$2:$A$501"),"&lt;"&amp;($BA86+1),INDIRECT("'"&amp;$A86&amp;"'!$F$2:$F$501"),"Gone by the time I looked"),0)))</f>
        <v/>
      </c>
      <c r="AT86" s="30" t="str">
        <f aca="true">IF(OR($A86="",$I86=""),"",IF($BC86="Y",SUMIFS(survey_frozen!$H$2:$H$251,survey_frozen!$P$2:$P$251,$A86&amp;"|"&amp;$B86),IFERROR(COUNTIFS(INDIRECT("'"&amp;$A86&amp;"'!$B$2:$B$501"),$T86,INDIRECT("'"&amp;$A86&amp;"'!$A$2:$A$501"),"&gt;="&amp;$I86,INDIRECT("'"&amp;$A86&amp;"'!$A$2:$A$501"),"&lt;"&amp;($BA86+1),INDIRECT("'"&amp;$A86&amp;"'!$D$2:$D$501"),"&gt;=1"),0)))</f>
        <v/>
      </c>
      <c r="AU86" s="30" t="str">
        <f aca="true">IF(OR($A86="",$I86=""),"",IF($BC86="Y",SUMIFS(survey_frozen!$I$2:$I$251,survey_frozen!$P$2:$P$251,$A86&amp;"|"&amp;$B86),IFERROR(SUMIFS(INDIRECT("'"&amp;$A86&amp;"'!$D$2:$D$501"),INDIRECT("'"&amp;$A86&amp;"'!$B$2:$B$501"),$T86,INDIRECT("'"&amp;$A86&amp;"'!$A$2:$A$501"),"&gt;="&amp;$I86,INDIRECT("'"&amp;$A86&amp;"'!$A$2:$A$501"),"&lt;"&amp;($BA86+1)),0)))</f>
        <v/>
      </c>
      <c r="AV86" s="30" t="str">
        <f aca="true">IF(OR($A86="",$I86=""),"",IF($BC86="Y",SUMIFS(survey_frozen!$J$2:$J$251,survey_frozen!$P$2:$P$251,$A86&amp;"|"&amp;$B86),IFERROR(COUNTIFS(INDIRECT("'"&amp;$A86&amp;"'!$B$2:$B$501"),$T86,INDIRECT("'"&amp;$A86&amp;"'!$A$2:$A$501"),"&gt;="&amp;$I86,INDIRECT("'"&amp;$A86&amp;"'!$A$2:$A$501"),"&lt;"&amp;($BA86+1),INDIRECT("'"&amp;$A86&amp;"'!$E$2:$E$501"),"Yes"),0)))</f>
        <v/>
      </c>
      <c r="AW86" s="30" t="str">
        <f aca="true">IF(OR($A86="",$I86=""),"",IF($BC86="Y",SUMIFS(survey_frozen!$K$2:$K$251,survey_frozen!$P$2:$P$251,$A86&amp;"|"&amp;$B86),IFERROR(COUNTIFS(INDIRECT("'"&amp;$A86&amp;"'!$B$2:$B$501"),$T86,INDIRECT("'"&amp;$A86&amp;"'!$A$2:$A$501"),"&gt;="&amp;$I86,INDIRECT("'"&amp;$A86&amp;"'!$A$2:$A$501"),"&lt;"&amp;($BA86+1),INDIRECT("'"&amp;$A86&amp;"'!$E$2:$E$501"),"Maybe"),0)))</f>
        <v/>
      </c>
      <c r="AX86" s="30" t="str">
        <f aca="true">IF(OR($A86="",$I86=""),"",IF($BC86="Y",SUMIFS(survey_frozen!$L$2:$L$251,survey_frozen!$P$2:$P$251,$A86&amp;"|"&amp;$B86),IFERROR(COUNTIFS(INDIRECT("'"&amp;$A86&amp;"'!$B$2:$B$501"),$T86,INDIRECT("'"&amp;$A86&amp;"'!$A$2:$A$501"),"&gt;="&amp;$I86,INDIRECT("'"&amp;$A86&amp;"'!$A$2:$A$501"),"&lt;"&amp;($BA86+1),INDIRECT("'"&amp;$A86&amp;"'!$E$2:$E$501"),"No"),0)))</f>
        <v/>
      </c>
      <c r="AY86" s="30" t="str">
        <f aca="true">IF(OR($A86="",$I86=""),"",IF($BC86="Y",SUMIFS(survey_frozen!$M$2:$M$251,survey_frozen!$P$2:$P$251,$A86&amp;"|"&amp;$B86),IFERROR(COUNTIFS(INDIRECT("'"&amp;$A86&amp;"'!$B$2:$B$501"),$T86,INDIRECT("'"&amp;$A86&amp;"'!$A$2:$A$501"),"&gt;="&amp;$I86,INDIRECT("'"&amp;$A86&amp;"'!$A$2:$A$501"),"&lt;"&amp;($BA86+1),INDIRECT("'"&amp;$A86&amp;"'!$G$2:$G$501"),"&lt;&gt;"),0)))</f>
        <v/>
      </c>
      <c r="AZ86" s="30" t="str">
        <f aca="false">IF($A86="","",$A86&amp;"|"&amp;$L86)</f>
        <v/>
      </c>
      <c r="BA86" s="31" t="str">
        <f aca="false">IF($A86="","",IFERROR(IF(INDEX(drops!$R$2:$R$21,MATCH($H86,drops!$A$2:$A$21,0))="","",INDEX(drops!$R$2:$R$21,MATCH($H86,drops!$A$2:$A$21,0))),""))</f>
        <v/>
      </c>
      <c r="BB86" s="30" t="n">
        <f aca="false">IF(OR($A86="",$Q86&lt;&gt;"Y"),1000000,N($AL86))</f>
        <v>1000000</v>
      </c>
      <c r="BC86" s="30" t="str">
        <f aca="false">IF($A86="","",IF(COUNTIF(survey_frozen!$P$2:$P$251,$A86&amp;"|"&amp;$B86)&gt;0,"Y",""))</f>
        <v/>
      </c>
      <c r="BD86" s="30" t="str">
        <f aca="false">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ustomFormat="false" ht="15" hidden="false" customHeight="false" outlineLevel="0" collapsed="false">
      <c r="C87" s="11"/>
      <c r="D87" s="10"/>
      <c r="E87" s="11"/>
      <c r="H87" s="30" t="str">
        <f aca="false">IF($A87="","",IFERROR(IF(INDEX(campaigns!$B$2:$B$51,MATCH($A87,campaigns!$A$2:$A$51,0))="","",INDEX(campaigns!$B$2:$B$51,MATCH($A87,campaigns!$A$2:$A$51,0))),""))</f>
        <v/>
      </c>
      <c r="I87" s="31" t="str">
        <f aca="false">IF($A87="","",IFERROR(IF(INDEX(campaigns!$BG$2:$BG$51,MATCH($A87,campaigns!$A$2:$A$51,0))="","",INDEX(campaigns!$BG$2:$BG$51,MATCH($A87,campaigns!$A$2:$A$51,0))),""))</f>
        <v/>
      </c>
      <c r="J87" s="30" t="str">
        <f aca="false">IF($A87="","",IFERROR(IF(INDEX(campaigns!$BE$2:$BE$51,MATCH($A87,campaigns!$A$2:$A$51,0))="","",INDEX(campaigns!$BE$2:$BE$51,MATCH($A87,campaigns!$A$2:$A$51,0))),""))</f>
        <v/>
      </c>
      <c r="K87" s="30" t="str">
        <f aca="false">IF($B87="","",IFERROR(IF(INDEX(offices!$O$2:$O$61,MATCH($B87,offices!$A$2:$A$61,0))="","",INDEX(offices!$O$2:$O$61,MATCH($B87,offices!$A$2:$A$61,0))),""))</f>
        <v/>
      </c>
      <c r="L87" s="30" t="str">
        <f aca="false">IF($A87="","",IF($Q87="N","",COUNTIFS($A$2:$A87,$A87,$Q$2:$Q87,"&lt;&gt;N")))</f>
        <v/>
      </c>
      <c r="M87" s="30" t="str">
        <f aca="false">IF(OR($A87="",$L87=""),"",IF(AND(config!$B$34="names_if_public",IFERROR(IF(INDEX(offices!$AG$2:$AG$61,MATCH($B87,offices!$A$2:$A$61,0))="","",INDEX(offices!$AG$2:$AG$61,MATCH($B87,offices!$A$2:$A$61,0))),"")="Y"),$K87,CHAR(64+$L87)))</f>
        <v/>
      </c>
      <c r="N87" s="30" t="str">
        <f aca="false">IF(OR($A87="",$I87=""),"",COUNTIFS(stops!$B$2:$B$151,$B87,stops!$P$2:$P$151,"&lt;"&amp;$I87,stops!$L$2:$L$151,"&lt;&gt;not_delivered")+1)</f>
        <v/>
      </c>
      <c r="O87" s="30" t="str">
        <f aca="false">IF($A87="","",IF(N($N87)&lt;=config!$B$29,"explicit","opt-out"))</f>
        <v/>
      </c>
      <c r="P87" s="30" t="str">
        <f aca="false">IF($A87="","",IF($O87="explicit",IF($D87="yes","Y",IF($D87="no","N","pending")),IF($D87="no","N",IF(AND($C87&lt;&gt;"",$I87&lt;&gt;"",$C87&lt;=WORKDAY(N($I87),-5,calendar!$A$2:$A$80)),"Y","pending"))))</f>
        <v/>
      </c>
      <c r="Q87" s="30" t="str">
        <f aca="false">IF($A87="","",IF($P87="N","N",IF($P87&lt;&gt;"Y","pending",IF(AND((COUNTIFS(stops!$A$2:$A$151,$H87,stops!$B$2:$B$151,$B87,stops!$L$2:$L$151,"declined")+COUNTIFS(stops!$A$2:$A$151,$H87,stops!$B$2:$B$151,$B87,stops!$L$2:$L$151,"building_refused")+COUNTIFS(stops!$A$2:$A$151,$H87,stops!$B$2:$B$151,$B87,stops!$L$2:$L$151,"not_delivered"))&gt;0,N($U87)=0),"N","Y"))))</f>
        <v/>
      </c>
      <c r="R87" s="30" t="str">
        <f aca="false">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30" t="str">
        <f aca="false">IF($A87="","",IF($G87&lt;&gt;"",$G87,IFERROR(IF(INDEX(offices!$AM$2:$AM$61,MATCH($B87,offices!$A$2:$A$61,0))="","",INDEX(offices!$AM$2:$AM$61,MATCH($B87,offices!$A$2:$A$61,0))),"")))</f>
        <v/>
      </c>
      <c r="T87" s="30" t="str">
        <f aca="false">IF($A87="","",$A87&amp;"."&amp;$B87)</f>
        <v/>
      </c>
      <c r="U87" s="30" t="str">
        <f aca="false">IF($A87="","",SUMIFS(inventory!$G$2:$G$801,inventory!$C$2:$C$801,$A87,inventory!$D$2:$D$801,$B87,inventory!$E$2:$E$801,"delivered"))</f>
        <v/>
      </c>
      <c r="V87" s="37" t="str">
        <f aca="false">IF($A87="","",IFERROR(1/(1/SUMPRODUCT(MAX((inventory!$C$2:$C$801=$A87)*(inventory!$D$2:$D$801=$B87)*(inventory!$E$2:$E$801="delivered")*(inventory!$A$2:$A$801+inventory!$B$2:$B$801)))),""))</f>
        <v/>
      </c>
      <c r="W87" s="30" t="str">
        <f aca="false">IF($A87="","",IFERROR(IF(INDEX(inventory!$J$2:$J$801,MATCH($A87&amp;"|"&amp;$B87&amp;"|delivered",inventory!$R$2:$R$801,0))="","",INDEX(inventory!$J$2:$J$801,MATCH($A87&amp;"|"&amp;$B87&amp;"|delivered",inventory!$R$2:$R$801,0))),""))</f>
        <v/>
      </c>
      <c r="X87" s="30" t="str">
        <f aca="false">IF($A87="","",IFERROR(IF(INDEX(photos!$H$2:$H$701,MATCH($A87&amp;"|"&amp;$B87&amp;"|placement|Y",photos!$R$2:$R$701,0))="","",INDEX(photos!$H$2:$H$701,MATCH($A87&amp;"|"&amp;$B87&amp;"|placement|Y",photos!$R$2:$R$701,0))),""))</f>
        <v/>
      </c>
      <c r="Y87" s="31" t="str">
        <f aca="false">IF($A87="","",IFERROR(IF(INDEX(photos!$E$2:$E$701,MATCH($A87&amp;"|"&amp;$B87&amp;"|placement|Y",photos!$R$2:$R$701,0))="","",INDEX(photos!$E$2:$E$701,MATCH($A87&amp;"|"&amp;$B87&amp;"|placement|Y",photos!$R$2:$R$701,0))),""))</f>
        <v/>
      </c>
      <c r="Z87" s="30" t="str">
        <f aca="false">IF($A87="","",IF(COUNTIFS(counts!$C$2:$C$701,$A87,counts!$D$2:$D$701,$B87,counts!$E$2:$E$701,"placed")=0,"",SUMIFS(counts!$F$2:$F$701,counts!$C$2:$C$701,$A87,counts!$D$2:$D$701,$B87,counts!$E$2:$E$701,"placed")))</f>
        <v/>
      </c>
      <c r="AA87" s="30" t="str">
        <f aca="false">IF($A87="","",IF($Y87="",0,N($Z87)))</f>
        <v/>
      </c>
      <c r="AB87" s="30" t="str">
        <f aca="false">IF($A87="","",IF(OR($Y87="",$I87=""),"N",IF($Y87&lt;=WORKDAY(N($I87),1,calendar!$A$2:$A$80),"Y","N")))</f>
        <v/>
      </c>
      <c r="AC87" s="33" t="str">
        <f aca="false">IF(OR($A87="",$V87="",$Y87=""),"",ROUND(($Y87+N(IFERROR(IF(INDEX(photos!$F$2:$F$701,MATCH($A87&amp;"|"&amp;$B87&amp;"|placement|Y",photos!$R$2:$R$701,0))="","",INDEX(photos!$F$2:$F$701,MATCH($A87&amp;"|"&amp;$B87&amp;"|placement|Y",photos!$R$2:$R$701,0))),""))-$V87)*24,1))</f>
        <v/>
      </c>
      <c r="AD87" s="30" t="str">
        <f aca="false">IF($A87="","",SUMIFS(inventory!$G$2:$G$801,inventory!$C$2:$C$801,$A87,inventory!$D$2:$D$801,$B87,inventory!$E$2:$E$801,"topped_up"))</f>
        <v/>
      </c>
      <c r="AE87" s="30" t="str">
        <f aca="false">IF($A87="","",IF(COUNTIFS(counts!$C$2:$C$701,$A87,counts!$D$2:$D$701,$B87,counts!$E$2:$E$701,"remaining_day3")=0,"",SUMIFS(counts!$F$2:$F$701,counts!$C$2:$C$701,$A87,counts!$D$2:$D$701,$B87,counts!$E$2:$E$701,"remaining_day3")))</f>
        <v/>
      </c>
      <c r="AF87" s="30" t="str">
        <f aca="false">IF($A87="","",IF(COUNTIFS(counts!$C$2:$C$701,$A87,counts!$D$2:$D$701,$B87,counts!$E$2:$E$701,"remaining_day5")=0,"",SUMIFS(counts!$F$2:$F$701,counts!$C$2:$C$701,$A87,counts!$D$2:$D$701,$B87,counts!$E$2:$E$701,"remaining_day5")))</f>
        <v/>
      </c>
      <c r="AG87" s="30" t="str">
        <f aca="false">IF(OR($A87="",$AF87=""),"",MAX(0,$AA87+$AD87-$AF87))</f>
        <v/>
      </c>
      <c r="AH87" s="30" t="str">
        <f aca="false">IF(OR($A87="",$AI87=""),"",IFERROR(IF(INDEX(photos!$H$2:$H$701,MATCH($A87&amp;"|"&amp;$B87&amp;"|later|Y|"&amp;$AI87,photos!$S$2:$S$701,0))="","",INDEX(photos!$H$2:$H$701,MATCH($A87&amp;"|"&amp;$B87&amp;"|later|Y|"&amp;$AI87,photos!$S$2:$S$701,0))),""))</f>
        <v/>
      </c>
      <c r="AI87" s="31" t="str">
        <f aca="false">IF($A87="","",IFERROR(1/(1/SUMPRODUCT(MAX((photos!$B$2:$B$701=$A87)*(photos!$C$2:$C$701=$B87)*(photos!$D$2:$D$701="later")*(photos!$O$2:$O$701="Y")*photos!$E$2:$E$701))),""))</f>
        <v/>
      </c>
      <c r="AJ87" s="30" t="str">
        <f aca="false">IF(OR($A87="",$AI87="",$I87=""),"",NETWORKDAYS($I87,$AI87,calendar!$A$2:$A$80))</f>
        <v/>
      </c>
      <c r="AK87" s="30" t="str">
        <f aca="false">IF($A87="","",IF(AND($X87&lt;&gt;"",$AH87&lt;&gt;""),"Y","N"))</f>
        <v/>
      </c>
      <c r="AL87" s="30" t="str">
        <f aca="true">IF(OR($A87="",$I87=""),"",IF($BC87="Y",SUMIFS(survey_frozen!$C$2:$C$251,survey_frozen!$P$2:$P$251,$A87&amp;"|"&amp;$B87),IFERROR(COUNTIFS(INDIRECT("'"&amp;$A87&amp;"'!$B$2:$B$501"),$T87,INDIRECT("'"&amp;$A87&amp;"'!$A$2:$A$501"),"&gt;="&amp;$I87,INDIRECT("'"&amp;$A87&amp;"'!$A$2:$A$501"),"&lt;"&amp;($BA87+1)),0)))</f>
        <v/>
      </c>
      <c r="AM87" s="30" t="str">
        <f aca="true">IF(OR($A87="",$I87=""),"",IF($BC87="Y",SUMIFS(survey_frozen!$D$2:$D$251,survey_frozen!$P$2:$P$251,$A87&amp;"|"&amp;$B87),IFERROR(COUNTIFS(INDIRECT("'"&amp;$A87&amp;"'!$B$2:$B$501"),$T87,INDIRECT("'"&amp;$A87&amp;"'!$A$2:$A$501"),"&gt;="&amp;$I87,INDIRECT("'"&amp;$A87&amp;"'!$A$2:$A$501"),"&lt;"&amp;($BA87+1),INDIRECT("'"&amp;$A87&amp;"'!$C$2:$C$501"),"Yes"),0)))</f>
        <v/>
      </c>
      <c r="AN87" s="30" t="str">
        <f aca="false">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30" t="str">
        <f aca="false">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30" t="str">
        <f aca="true">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30" t="str">
        <f aca="true">IF(OR($A87="",$I87=""),"",IF($BC87="Y",SUMIFS(survey_frozen!$E$2:$E$251,survey_frozen!$P$2:$P$251,$A87&amp;"|"&amp;$B87),IFERROR(COUNTIFS(INDIRECT("'"&amp;$A87&amp;"'!$B$2:$B$501"),$T87,INDIRECT("'"&amp;$A87&amp;"'!$A$2:$A$501"),"&gt;="&amp;$I87,INDIRECT("'"&amp;$A87&amp;"'!$A$2:$A$501"),"&lt;"&amp;($BA87+1),INDIRECT("'"&amp;$A87&amp;"'!$F$2:$F$501"),"Didn't see it"),0)))</f>
        <v/>
      </c>
      <c r="AR87" s="30" t="str">
        <f aca="true">IF(OR($A87="",$I87=""),"",IF($BC87="Y",SUMIFS(survey_frozen!$F$2:$F$251,survey_frozen!$P$2:$P$251,$A87&amp;"|"&amp;$B87),IFERROR(COUNTIFS(INDIRECT("'"&amp;$A87&amp;"'!$B$2:$B$501"),$T87,INDIRECT("'"&amp;$A87&amp;"'!$A$2:$A$501"),"&gt;="&amp;$I87,INDIRECT("'"&amp;$A87&amp;"'!$A$2:$A$501"),"&lt;"&amp;($BA87+1),INDIRECT("'"&amp;$A87&amp;"'!$F$2:$F$501"),"Not for me"),0)))</f>
        <v/>
      </c>
      <c r="AS87" s="30" t="str">
        <f aca="true">IF(OR($A87="",$I87=""),"",IF($BC87="Y",SUMIFS(survey_frozen!$G$2:$G$251,survey_frozen!$P$2:$P$251,$A87&amp;"|"&amp;$B87),IFERROR(COUNTIFS(INDIRECT("'"&amp;$A87&amp;"'!$B$2:$B$501"),$T87,INDIRECT("'"&amp;$A87&amp;"'!$A$2:$A$501"),"&gt;="&amp;$I87,INDIRECT("'"&amp;$A87&amp;"'!$A$2:$A$501"),"&lt;"&amp;($BA87+1),INDIRECT("'"&amp;$A87&amp;"'!$F$2:$F$501"),"Gone by the time I looked"),0)))</f>
        <v/>
      </c>
      <c r="AT87" s="30" t="str">
        <f aca="true">IF(OR($A87="",$I87=""),"",IF($BC87="Y",SUMIFS(survey_frozen!$H$2:$H$251,survey_frozen!$P$2:$P$251,$A87&amp;"|"&amp;$B87),IFERROR(COUNTIFS(INDIRECT("'"&amp;$A87&amp;"'!$B$2:$B$501"),$T87,INDIRECT("'"&amp;$A87&amp;"'!$A$2:$A$501"),"&gt;="&amp;$I87,INDIRECT("'"&amp;$A87&amp;"'!$A$2:$A$501"),"&lt;"&amp;($BA87+1),INDIRECT("'"&amp;$A87&amp;"'!$D$2:$D$501"),"&gt;=1"),0)))</f>
        <v/>
      </c>
      <c r="AU87" s="30" t="str">
        <f aca="true">IF(OR($A87="",$I87=""),"",IF($BC87="Y",SUMIFS(survey_frozen!$I$2:$I$251,survey_frozen!$P$2:$P$251,$A87&amp;"|"&amp;$B87),IFERROR(SUMIFS(INDIRECT("'"&amp;$A87&amp;"'!$D$2:$D$501"),INDIRECT("'"&amp;$A87&amp;"'!$B$2:$B$501"),$T87,INDIRECT("'"&amp;$A87&amp;"'!$A$2:$A$501"),"&gt;="&amp;$I87,INDIRECT("'"&amp;$A87&amp;"'!$A$2:$A$501"),"&lt;"&amp;($BA87+1)),0)))</f>
        <v/>
      </c>
      <c r="AV87" s="30" t="str">
        <f aca="true">IF(OR($A87="",$I87=""),"",IF($BC87="Y",SUMIFS(survey_frozen!$J$2:$J$251,survey_frozen!$P$2:$P$251,$A87&amp;"|"&amp;$B87),IFERROR(COUNTIFS(INDIRECT("'"&amp;$A87&amp;"'!$B$2:$B$501"),$T87,INDIRECT("'"&amp;$A87&amp;"'!$A$2:$A$501"),"&gt;="&amp;$I87,INDIRECT("'"&amp;$A87&amp;"'!$A$2:$A$501"),"&lt;"&amp;($BA87+1),INDIRECT("'"&amp;$A87&amp;"'!$E$2:$E$501"),"Yes"),0)))</f>
        <v/>
      </c>
      <c r="AW87" s="30" t="str">
        <f aca="true">IF(OR($A87="",$I87=""),"",IF($BC87="Y",SUMIFS(survey_frozen!$K$2:$K$251,survey_frozen!$P$2:$P$251,$A87&amp;"|"&amp;$B87),IFERROR(COUNTIFS(INDIRECT("'"&amp;$A87&amp;"'!$B$2:$B$501"),$T87,INDIRECT("'"&amp;$A87&amp;"'!$A$2:$A$501"),"&gt;="&amp;$I87,INDIRECT("'"&amp;$A87&amp;"'!$A$2:$A$501"),"&lt;"&amp;($BA87+1),INDIRECT("'"&amp;$A87&amp;"'!$E$2:$E$501"),"Maybe"),0)))</f>
        <v/>
      </c>
      <c r="AX87" s="30" t="str">
        <f aca="true">IF(OR($A87="",$I87=""),"",IF($BC87="Y",SUMIFS(survey_frozen!$L$2:$L$251,survey_frozen!$P$2:$P$251,$A87&amp;"|"&amp;$B87),IFERROR(COUNTIFS(INDIRECT("'"&amp;$A87&amp;"'!$B$2:$B$501"),$T87,INDIRECT("'"&amp;$A87&amp;"'!$A$2:$A$501"),"&gt;="&amp;$I87,INDIRECT("'"&amp;$A87&amp;"'!$A$2:$A$501"),"&lt;"&amp;($BA87+1),INDIRECT("'"&amp;$A87&amp;"'!$E$2:$E$501"),"No"),0)))</f>
        <v/>
      </c>
      <c r="AY87" s="30" t="str">
        <f aca="true">IF(OR($A87="",$I87=""),"",IF($BC87="Y",SUMIFS(survey_frozen!$M$2:$M$251,survey_frozen!$P$2:$P$251,$A87&amp;"|"&amp;$B87),IFERROR(COUNTIFS(INDIRECT("'"&amp;$A87&amp;"'!$B$2:$B$501"),$T87,INDIRECT("'"&amp;$A87&amp;"'!$A$2:$A$501"),"&gt;="&amp;$I87,INDIRECT("'"&amp;$A87&amp;"'!$A$2:$A$501"),"&lt;"&amp;($BA87+1),INDIRECT("'"&amp;$A87&amp;"'!$G$2:$G$501"),"&lt;&gt;"),0)))</f>
        <v/>
      </c>
      <c r="AZ87" s="30" t="str">
        <f aca="false">IF($A87="","",$A87&amp;"|"&amp;$L87)</f>
        <v/>
      </c>
      <c r="BA87" s="31" t="str">
        <f aca="false">IF($A87="","",IFERROR(IF(INDEX(drops!$R$2:$R$21,MATCH($H87,drops!$A$2:$A$21,0))="","",INDEX(drops!$R$2:$R$21,MATCH($H87,drops!$A$2:$A$21,0))),""))</f>
        <v/>
      </c>
      <c r="BB87" s="30" t="n">
        <f aca="false">IF(OR($A87="",$Q87&lt;&gt;"Y"),1000000,N($AL87))</f>
        <v>1000000</v>
      </c>
      <c r="BC87" s="30" t="str">
        <f aca="false">IF($A87="","",IF(COUNTIF(survey_frozen!$P$2:$P$251,$A87&amp;"|"&amp;$B87)&gt;0,"Y",""))</f>
        <v/>
      </c>
      <c r="BD87" s="30" t="str">
        <f aca="false">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ustomFormat="false" ht="15" hidden="false" customHeight="false" outlineLevel="0" collapsed="false">
      <c r="C88" s="11"/>
      <c r="D88" s="10"/>
      <c r="E88" s="11"/>
      <c r="H88" s="30" t="str">
        <f aca="false">IF($A88="","",IFERROR(IF(INDEX(campaigns!$B$2:$B$51,MATCH($A88,campaigns!$A$2:$A$51,0))="","",INDEX(campaigns!$B$2:$B$51,MATCH($A88,campaigns!$A$2:$A$51,0))),""))</f>
        <v/>
      </c>
      <c r="I88" s="31" t="str">
        <f aca="false">IF($A88="","",IFERROR(IF(INDEX(campaigns!$BG$2:$BG$51,MATCH($A88,campaigns!$A$2:$A$51,0))="","",INDEX(campaigns!$BG$2:$BG$51,MATCH($A88,campaigns!$A$2:$A$51,0))),""))</f>
        <v/>
      </c>
      <c r="J88" s="30" t="str">
        <f aca="false">IF($A88="","",IFERROR(IF(INDEX(campaigns!$BE$2:$BE$51,MATCH($A88,campaigns!$A$2:$A$51,0))="","",INDEX(campaigns!$BE$2:$BE$51,MATCH($A88,campaigns!$A$2:$A$51,0))),""))</f>
        <v/>
      </c>
      <c r="K88" s="30" t="str">
        <f aca="false">IF($B88="","",IFERROR(IF(INDEX(offices!$O$2:$O$61,MATCH($B88,offices!$A$2:$A$61,0))="","",INDEX(offices!$O$2:$O$61,MATCH($B88,offices!$A$2:$A$61,0))),""))</f>
        <v/>
      </c>
      <c r="L88" s="30" t="str">
        <f aca="false">IF($A88="","",IF($Q88="N","",COUNTIFS($A$2:$A88,$A88,$Q$2:$Q88,"&lt;&gt;N")))</f>
        <v/>
      </c>
      <c r="M88" s="30" t="str">
        <f aca="false">IF(OR($A88="",$L88=""),"",IF(AND(config!$B$34="names_if_public",IFERROR(IF(INDEX(offices!$AG$2:$AG$61,MATCH($B88,offices!$A$2:$A$61,0))="","",INDEX(offices!$AG$2:$AG$61,MATCH($B88,offices!$A$2:$A$61,0))),"")="Y"),$K88,CHAR(64+$L88)))</f>
        <v/>
      </c>
      <c r="N88" s="30" t="str">
        <f aca="false">IF(OR($A88="",$I88=""),"",COUNTIFS(stops!$B$2:$B$151,$B88,stops!$P$2:$P$151,"&lt;"&amp;$I88,stops!$L$2:$L$151,"&lt;&gt;not_delivered")+1)</f>
        <v/>
      </c>
      <c r="O88" s="30" t="str">
        <f aca="false">IF($A88="","",IF(N($N88)&lt;=config!$B$29,"explicit","opt-out"))</f>
        <v/>
      </c>
      <c r="P88" s="30" t="str">
        <f aca="false">IF($A88="","",IF($O88="explicit",IF($D88="yes","Y",IF($D88="no","N","pending")),IF($D88="no","N",IF(AND($C88&lt;&gt;"",$I88&lt;&gt;"",$C88&lt;=WORKDAY(N($I88),-5,calendar!$A$2:$A$80)),"Y","pending"))))</f>
        <v/>
      </c>
      <c r="Q88" s="30" t="str">
        <f aca="false">IF($A88="","",IF($P88="N","N",IF($P88&lt;&gt;"Y","pending",IF(AND((COUNTIFS(stops!$A$2:$A$151,$H88,stops!$B$2:$B$151,$B88,stops!$L$2:$L$151,"declined")+COUNTIFS(stops!$A$2:$A$151,$H88,stops!$B$2:$B$151,$B88,stops!$L$2:$L$151,"building_refused")+COUNTIFS(stops!$A$2:$A$151,$H88,stops!$B$2:$B$151,$B88,stops!$L$2:$L$151,"not_delivered"))&gt;0,N($U88)=0),"N","Y"))))</f>
        <v/>
      </c>
      <c r="R88" s="30" t="str">
        <f aca="false">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30" t="str">
        <f aca="false">IF($A88="","",IF($G88&lt;&gt;"",$G88,IFERROR(IF(INDEX(offices!$AM$2:$AM$61,MATCH($B88,offices!$A$2:$A$61,0))="","",INDEX(offices!$AM$2:$AM$61,MATCH($B88,offices!$A$2:$A$61,0))),"")))</f>
        <v/>
      </c>
      <c r="T88" s="30" t="str">
        <f aca="false">IF($A88="","",$A88&amp;"."&amp;$B88)</f>
        <v/>
      </c>
      <c r="U88" s="30" t="str">
        <f aca="false">IF($A88="","",SUMIFS(inventory!$G$2:$G$801,inventory!$C$2:$C$801,$A88,inventory!$D$2:$D$801,$B88,inventory!$E$2:$E$801,"delivered"))</f>
        <v/>
      </c>
      <c r="V88" s="37" t="str">
        <f aca="false">IF($A88="","",IFERROR(1/(1/SUMPRODUCT(MAX((inventory!$C$2:$C$801=$A88)*(inventory!$D$2:$D$801=$B88)*(inventory!$E$2:$E$801="delivered")*(inventory!$A$2:$A$801+inventory!$B$2:$B$801)))),""))</f>
        <v/>
      </c>
      <c r="W88" s="30" t="str">
        <f aca="false">IF($A88="","",IFERROR(IF(INDEX(inventory!$J$2:$J$801,MATCH($A88&amp;"|"&amp;$B88&amp;"|delivered",inventory!$R$2:$R$801,0))="","",INDEX(inventory!$J$2:$J$801,MATCH($A88&amp;"|"&amp;$B88&amp;"|delivered",inventory!$R$2:$R$801,0))),""))</f>
        <v/>
      </c>
      <c r="X88" s="30" t="str">
        <f aca="false">IF($A88="","",IFERROR(IF(INDEX(photos!$H$2:$H$701,MATCH($A88&amp;"|"&amp;$B88&amp;"|placement|Y",photos!$R$2:$R$701,0))="","",INDEX(photos!$H$2:$H$701,MATCH($A88&amp;"|"&amp;$B88&amp;"|placement|Y",photos!$R$2:$R$701,0))),""))</f>
        <v/>
      </c>
      <c r="Y88" s="31" t="str">
        <f aca="false">IF($A88="","",IFERROR(IF(INDEX(photos!$E$2:$E$701,MATCH($A88&amp;"|"&amp;$B88&amp;"|placement|Y",photos!$R$2:$R$701,0))="","",INDEX(photos!$E$2:$E$701,MATCH($A88&amp;"|"&amp;$B88&amp;"|placement|Y",photos!$R$2:$R$701,0))),""))</f>
        <v/>
      </c>
      <c r="Z88" s="30" t="str">
        <f aca="false">IF($A88="","",IF(COUNTIFS(counts!$C$2:$C$701,$A88,counts!$D$2:$D$701,$B88,counts!$E$2:$E$701,"placed")=0,"",SUMIFS(counts!$F$2:$F$701,counts!$C$2:$C$701,$A88,counts!$D$2:$D$701,$B88,counts!$E$2:$E$701,"placed")))</f>
        <v/>
      </c>
      <c r="AA88" s="30" t="str">
        <f aca="false">IF($A88="","",IF($Y88="",0,N($Z88)))</f>
        <v/>
      </c>
      <c r="AB88" s="30" t="str">
        <f aca="false">IF($A88="","",IF(OR($Y88="",$I88=""),"N",IF($Y88&lt;=WORKDAY(N($I88),1,calendar!$A$2:$A$80),"Y","N")))</f>
        <v/>
      </c>
      <c r="AC88" s="33" t="str">
        <f aca="false">IF(OR($A88="",$V88="",$Y88=""),"",ROUND(($Y88+N(IFERROR(IF(INDEX(photos!$F$2:$F$701,MATCH($A88&amp;"|"&amp;$B88&amp;"|placement|Y",photos!$R$2:$R$701,0))="","",INDEX(photos!$F$2:$F$701,MATCH($A88&amp;"|"&amp;$B88&amp;"|placement|Y",photos!$R$2:$R$701,0))),""))-$V88)*24,1))</f>
        <v/>
      </c>
      <c r="AD88" s="30" t="str">
        <f aca="false">IF($A88="","",SUMIFS(inventory!$G$2:$G$801,inventory!$C$2:$C$801,$A88,inventory!$D$2:$D$801,$B88,inventory!$E$2:$E$801,"topped_up"))</f>
        <v/>
      </c>
      <c r="AE88" s="30" t="str">
        <f aca="false">IF($A88="","",IF(COUNTIFS(counts!$C$2:$C$701,$A88,counts!$D$2:$D$701,$B88,counts!$E$2:$E$701,"remaining_day3")=0,"",SUMIFS(counts!$F$2:$F$701,counts!$C$2:$C$701,$A88,counts!$D$2:$D$701,$B88,counts!$E$2:$E$701,"remaining_day3")))</f>
        <v/>
      </c>
      <c r="AF88" s="30" t="str">
        <f aca="false">IF($A88="","",IF(COUNTIFS(counts!$C$2:$C$701,$A88,counts!$D$2:$D$701,$B88,counts!$E$2:$E$701,"remaining_day5")=0,"",SUMIFS(counts!$F$2:$F$701,counts!$C$2:$C$701,$A88,counts!$D$2:$D$701,$B88,counts!$E$2:$E$701,"remaining_day5")))</f>
        <v/>
      </c>
      <c r="AG88" s="30" t="str">
        <f aca="false">IF(OR($A88="",$AF88=""),"",MAX(0,$AA88+$AD88-$AF88))</f>
        <v/>
      </c>
      <c r="AH88" s="30" t="str">
        <f aca="false">IF(OR($A88="",$AI88=""),"",IFERROR(IF(INDEX(photos!$H$2:$H$701,MATCH($A88&amp;"|"&amp;$B88&amp;"|later|Y|"&amp;$AI88,photos!$S$2:$S$701,0))="","",INDEX(photos!$H$2:$H$701,MATCH($A88&amp;"|"&amp;$B88&amp;"|later|Y|"&amp;$AI88,photos!$S$2:$S$701,0))),""))</f>
        <v/>
      </c>
      <c r="AI88" s="31" t="str">
        <f aca="false">IF($A88="","",IFERROR(1/(1/SUMPRODUCT(MAX((photos!$B$2:$B$701=$A88)*(photos!$C$2:$C$701=$B88)*(photos!$D$2:$D$701="later")*(photos!$O$2:$O$701="Y")*photos!$E$2:$E$701))),""))</f>
        <v/>
      </c>
      <c r="AJ88" s="30" t="str">
        <f aca="false">IF(OR($A88="",$AI88="",$I88=""),"",NETWORKDAYS($I88,$AI88,calendar!$A$2:$A$80))</f>
        <v/>
      </c>
      <c r="AK88" s="30" t="str">
        <f aca="false">IF($A88="","",IF(AND($X88&lt;&gt;"",$AH88&lt;&gt;""),"Y","N"))</f>
        <v/>
      </c>
      <c r="AL88" s="30" t="str">
        <f aca="true">IF(OR($A88="",$I88=""),"",IF($BC88="Y",SUMIFS(survey_frozen!$C$2:$C$251,survey_frozen!$P$2:$P$251,$A88&amp;"|"&amp;$B88),IFERROR(COUNTIFS(INDIRECT("'"&amp;$A88&amp;"'!$B$2:$B$501"),$T88,INDIRECT("'"&amp;$A88&amp;"'!$A$2:$A$501"),"&gt;="&amp;$I88,INDIRECT("'"&amp;$A88&amp;"'!$A$2:$A$501"),"&lt;"&amp;($BA88+1)),0)))</f>
        <v/>
      </c>
      <c r="AM88" s="30" t="str">
        <f aca="true">IF(OR($A88="",$I88=""),"",IF($BC88="Y",SUMIFS(survey_frozen!$D$2:$D$251,survey_frozen!$P$2:$P$251,$A88&amp;"|"&amp;$B88),IFERROR(COUNTIFS(INDIRECT("'"&amp;$A88&amp;"'!$B$2:$B$501"),$T88,INDIRECT("'"&amp;$A88&amp;"'!$A$2:$A$501"),"&gt;="&amp;$I88,INDIRECT("'"&amp;$A88&amp;"'!$A$2:$A$501"),"&lt;"&amp;($BA88+1),INDIRECT("'"&amp;$A88&amp;"'!$C$2:$C$501"),"Yes"),0)))</f>
        <v/>
      </c>
      <c r="AN88" s="30" t="str">
        <f aca="false">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30" t="str">
        <f aca="false">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30" t="str">
        <f aca="true">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30" t="str">
        <f aca="true">IF(OR($A88="",$I88=""),"",IF($BC88="Y",SUMIFS(survey_frozen!$E$2:$E$251,survey_frozen!$P$2:$P$251,$A88&amp;"|"&amp;$B88),IFERROR(COUNTIFS(INDIRECT("'"&amp;$A88&amp;"'!$B$2:$B$501"),$T88,INDIRECT("'"&amp;$A88&amp;"'!$A$2:$A$501"),"&gt;="&amp;$I88,INDIRECT("'"&amp;$A88&amp;"'!$A$2:$A$501"),"&lt;"&amp;($BA88+1),INDIRECT("'"&amp;$A88&amp;"'!$F$2:$F$501"),"Didn't see it"),0)))</f>
        <v/>
      </c>
      <c r="AR88" s="30" t="str">
        <f aca="true">IF(OR($A88="",$I88=""),"",IF($BC88="Y",SUMIFS(survey_frozen!$F$2:$F$251,survey_frozen!$P$2:$P$251,$A88&amp;"|"&amp;$B88),IFERROR(COUNTIFS(INDIRECT("'"&amp;$A88&amp;"'!$B$2:$B$501"),$T88,INDIRECT("'"&amp;$A88&amp;"'!$A$2:$A$501"),"&gt;="&amp;$I88,INDIRECT("'"&amp;$A88&amp;"'!$A$2:$A$501"),"&lt;"&amp;($BA88+1),INDIRECT("'"&amp;$A88&amp;"'!$F$2:$F$501"),"Not for me"),0)))</f>
        <v/>
      </c>
      <c r="AS88" s="30" t="str">
        <f aca="true">IF(OR($A88="",$I88=""),"",IF($BC88="Y",SUMIFS(survey_frozen!$G$2:$G$251,survey_frozen!$P$2:$P$251,$A88&amp;"|"&amp;$B88),IFERROR(COUNTIFS(INDIRECT("'"&amp;$A88&amp;"'!$B$2:$B$501"),$T88,INDIRECT("'"&amp;$A88&amp;"'!$A$2:$A$501"),"&gt;="&amp;$I88,INDIRECT("'"&amp;$A88&amp;"'!$A$2:$A$501"),"&lt;"&amp;($BA88+1),INDIRECT("'"&amp;$A88&amp;"'!$F$2:$F$501"),"Gone by the time I looked"),0)))</f>
        <v/>
      </c>
      <c r="AT88" s="30" t="str">
        <f aca="true">IF(OR($A88="",$I88=""),"",IF($BC88="Y",SUMIFS(survey_frozen!$H$2:$H$251,survey_frozen!$P$2:$P$251,$A88&amp;"|"&amp;$B88),IFERROR(COUNTIFS(INDIRECT("'"&amp;$A88&amp;"'!$B$2:$B$501"),$T88,INDIRECT("'"&amp;$A88&amp;"'!$A$2:$A$501"),"&gt;="&amp;$I88,INDIRECT("'"&amp;$A88&amp;"'!$A$2:$A$501"),"&lt;"&amp;($BA88+1),INDIRECT("'"&amp;$A88&amp;"'!$D$2:$D$501"),"&gt;=1"),0)))</f>
        <v/>
      </c>
      <c r="AU88" s="30" t="str">
        <f aca="true">IF(OR($A88="",$I88=""),"",IF($BC88="Y",SUMIFS(survey_frozen!$I$2:$I$251,survey_frozen!$P$2:$P$251,$A88&amp;"|"&amp;$B88),IFERROR(SUMIFS(INDIRECT("'"&amp;$A88&amp;"'!$D$2:$D$501"),INDIRECT("'"&amp;$A88&amp;"'!$B$2:$B$501"),$T88,INDIRECT("'"&amp;$A88&amp;"'!$A$2:$A$501"),"&gt;="&amp;$I88,INDIRECT("'"&amp;$A88&amp;"'!$A$2:$A$501"),"&lt;"&amp;($BA88+1)),0)))</f>
        <v/>
      </c>
      <c r="AV88" s="30" t="str">
        <f aca="true">IF(OR($A88="",$I88=""),"",IF($BC88="Y",SUMIFS(survey_frozen!$J$2:$J$251,survey_frozen!$P$2:$P$251,$A88&amp;"|"&amp;$B88),IFERROR(COUNTIFS(INDIRECT("'"&amp;$A88&amp;"'!$B$2:$B$501"),$T88,INDIRECT("'"&amp;$A88&amp;"'!$A$2:$A$501"),"&gt;="&amp;$I88,INDIRECT("'"&amp;$A88&amp;"'!$A$2:$A$501"),"&lt;"&amp;($BA88+1),INDIRECT("'"&amp;$A88&amp;"'!$E$2:$E$501"),"Yes"),0)))</f>
        <v/>
      </c>
      <c r="AW88" s="30" t="str">
        <f aca="true">IF(OR($A88="",$I88=""),"",IF($BC88="Y",SUMIFS(survey_frozen!$K$2:$K$251,survey_frozen!$P$2:$P$251,$A88&amp;"|"&amp;$B88),IFERROR(COUNTIFS(INDIRECT("'"&amp;$A88&amp;"'!$B$2:$B$501"),$T88,INDIRECT("'"&amp;$A88&amp;"'!$A$2:$A$501"),"&gt;="&amp;$I88,INDIRECT("'"&amp;$A88&amp;"'!$A$2:$A$501"),"&lt;"&amp;($BA88+1),INDIRECT("'"&amp;$A88&amp;"'!$E$2:$E$501"),"Maybe"),0)))</f>
        <v/>
      </c>
      <c r="AX88" s="30" t="str">
        <f aca="true">IF(OR($A88="",$I88=""),"",IF($BC88="Y",SUMIFS(survey_frozen!$L$2:$L$251,survey_frozen!$P$2:$P$251,$A88&amp;"|"&amp;$B88),IFERROR(COUNTIFS(INDIRECT("'"&amp;$A88&amp;"'!$B$2:$B$501"),$T88,INDIRECT("'"&amp;$A88&amp;"'!$A$2:$A$501"),"&gt;="&amp;$I88,INDIRECT("'"&amp;$A88&amp;"'!$A$2:$A$501"),"&lt;"&amp;($BA88+1),INDIRECT("'"&amp;$A88&amp;"'!$E$2:$E$501"),"No"),0)))</f>
        <v/>
      </c>
      <c r="AY88" s="30" t="str">
        <f aca="true">IF(OR($A88="",$I88=""),"",IF($BC88="Y",SUMIFS(survey_frozen!$M$2:$M$251,survey_frozen!$P$2:$P$251,$A88&amp;"|"&amp;$B88),IFERROR(COUNTIFS(INDIRECT("'"&amp;$A88&amp;"'!$B$2:$B$501"),$T88,INDIRECT("'"&amp;$A88&amp;"'!$A$2:$A$501"),"&gt;="&amp;$I88,INDIRECT("'"&amp;$A88&amp;"'!$A$2:$A$501"),"&lt;"&amp;($BA88+1),INDIRECT("'"&amp;$A88&amp;"'!$G$2:$G$501"),"&lt;&gt;"),0)))</f>
        <v/>
      </c>
      <c r="AZ88" s="30" t="str">
        <f aca="false">IF($A88="","",$A88&amp;"|"&amp;$L88)</f>
        <v/>
      </c>
      <c r="BA88" s="31" t="str">
        <f aca="false">IF($A88="","",IFERROR(IF(INDEX(drops!$R$2:$R$21,MATCH($H88,drops!$A$2:$A$21,0))="","",INDEX(drops!$R$2:$R$21,MATCH($H88,drops!$A$2:$A$21,0))),""))</f>
        <v/>
      </c>
      <c r="BB88" s="30" t="n">
        <f aca="false">IF(OR($A88="",$Q88&lt;&gt;"Y"),1000000,N($AL88))</f>
        <v>1000000</v>
      </c>
      <c r="BC88" s="30" t="str">
        <f aca="false">IF($A88="","",IF(COUNTIF(survey_frozen!$P$2:$P$251,$A88&amp;"|"&amp;$B88)&gt;0,"Y",""))</f>
        <v/>
      </c>
      <c r="BD88" s="30" t="str">
        <f aca="false">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ustomFormat="false" ht="15" hidden="false" customHeight="false" outlineLevel="0" collapsed="false">
      <c r="C89" s="11"/>
      <c r="D89" s="10"/>
      <c r="E89" s="11"/>
      <c r="H89" s="30" t="str">
        <f aca="false">IF($A89="","",IFERROR(IF(INDEX(campaigns!$B$2:$B$51,MATCH($A89,campaigns!$A$2:$A$51,0))="","",INDEX(campaigns!$B$2:$B$51,MATCH($A89,campaigns!$A$2:$A$51,0))),""))</f>
        <v/>
      </c>
      <c r="I89" s="31" t="str">
        <f aca="false">IF($A89="","",IFERROR(IF(INDEX(campaigns!$BG$2:$BG$51,MATCH($A89,campaigns!$A$2:$A$51,0))="","",INDEX(campaigns!$BG$2:$BG$51,MATCH($A89,campaigns!$A$2:$A$51,0))),""))</f>
        <v/>
      </c>
      <c r="J89" s="30" t="str">
        <f aca="false">IF($A89="","",IFERROR(IF(INDEX(campaigns!$BE$2:$BE$51,MATCH($A89,campaigns!$A$2:$A$51,0))="","",INDEX(campaigns!$BE$2:$BE$51,MATCH($A89,campaigns!$A$2:$A$51,0))),""))</f>
        <v/>
      </c>
      <c r="K89" s="30" t="str">
        <f aca="false">IF($B89="","",IFERROR(IF(INDEX(offices!$O$2:$O$61,MATCH($B89,offices!$A$2:$A$61,0))="","",INDEX(offices!$O$2:$O$61,MATCH($B89,offices!$A$2:$A$61,0))),""))</f>
        <v/>
      </c>
      <c r="L89" s="30" t="str">
        <f aca="false">IF($A89="","",IF($Q89="N","",COUNTIFS($A$2:$A89,$A89,$Q$2:$Q89,"&lt;&gt;N")))</f>
        <v/>
      </c>
      <c r="M89" s="30" t="str">
        <f aca="false">IF(OR($A89="",$L89=""),"",IF(AND(config!$B$34="names_if_public",IFERROR(IF(INDEX(offices!$AG$2:$AG$61,MATCH($B89,offices!$A$2:$A$61,0))="","",INDEX(offices!$AG$2:$AG$61,MATCH($B89,offices!$A$2:$A$61,0))),"")="Y"),$K89,CHAR(64+$L89)))</f>
        <v/>
      </c>
      <c r="N89" s="30" t="str">
        <f aca="false">IF(OR($A89="",$I89=""),"",COUNTIFS(stops!$B$2:$B$151,$B89,stops!$P$2:$P$151,"&lt;"&amp;$I89,stops!$L$2:$L$151,"&lt;&gt;not_delivered")+1)</f>
        <v/>
      </c>
      <c r="O89" s="30" t="str">
        <f aca="false">IF($A89="","",IF(N($N89)&lt;=config!$B$29,"explicit","opt-out"))</f>
        <v/>
      </c>
      <c r="P89" s="30" t="str">
        <f aca="false">IF($A89="","",IF($O89="explicit",IF($D89="yes","Y",IF($D89="no","N","pending")),IF($D89="no","N",IF(AND($C89&lt;&gt;"",$I89&lt;&gt;"",$C89&lt;=WORKDAY(N($I89),-5,calendar!$A$2:$A$80)),"Y","pending"))))</f>
        <v/>
      </c>
      <c r="Q89" s="30" t="str">
        <f aca="false">IF($A89="","",IF($P89="N","N",IF($P89&lt;&gt;"Y","pending",IF(AND((COUNTIFS(stops!$A$2:$A$151,$H89,stops!$B$2:$B$151,$B89,stops!$L$2:$L$151,"declined")+COUNTIFS(stops!$A$2:$A$151,$H89,stops!$B$2:$B$151,$B89,stops!$L$2:$L$151,"building_refused")+COUNTIFS(stops!$A$2:$A$151,$H89,stops!$B$2:$B$151,$B89,stops!$L$2:$L$151,"not_delivered"))&gt;0,N($U89)=0),"N","Y"))))</f>
        <v/>
      </c>
      <c r="R89" s="30" t="str">
        <f aca="false">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30" t="str">
        <f aca="false">IF($A89="","",IF($G89&lt;&gt;"",$G89,IFERROR(IF(INDEX(offices!$AM$2:$AM$61,MATCH($B89,offices!$A$2:$A$61,0))="","",INDEX(offices!$AM$2:$AM$61,MATCH($B89,offices!$A$2:$A$61,0))),"")))</f>
        <v/>
      </c>
      <c r="T89" s="30" t="str">
        <f aca="false">IF($A89="","",$A89&amp;"."&amp;$B89)</f>
        <v/>
      </c>
      <c r="U89" s="30" t="str">
        <f aca="false">IF($A89="","",SUMIFS(inventory!$G$2:$G$801,inventory!$C$2:$C$801,$A89,inventory!$D$2:$D$801,$B89,inventory!$E$2:$E$801,"delivered"))</f>
        <v/>
      </c>
      <c r="V89" s="37" t="str">
        <f aca="false">IF($A89="","",IFERROR(1/(1/SUMPRODUCT(MAX((inventory!$C$2:$C$801=$A89)*(inventory!$D$2:$D$801=$B89)*(inventory!$E$2:$E$801="delivered")*(inventory!$A$2:$A$801+inventory!$B$2:$B$801)))),""))</f>
        <v/>
      </c>
      <c r="W89" s="30" t="str">
        <f aca="false">IF($A89="","",IFERROR(IF(INDEX(inventory!$J$2:$J$801,MATCH($A89&amp;"|"&amp;$B89&amp;"|delivered",inventory!$R$2:$R$801,0))="","",INDEX(inventory!$J$2:$J$801,MATCH($A89&amp;"|"&amp;$B89&amp;"|delivered",inventory!$R$2:$R$801,0))),""))</f>
        <v/>
      </c>
      <c r="X89" s="30" t="str">
        <f aca="false">IF($A89="","",IFERROR(IF(INDEX(photos!$H$2:$H$701,MATCH($A89&amp;"|"&amp;$B89&amp;"|placement|Y",photos!$R$2:$R$701,0))="","",INDEX(photos!$H$2:$H$701,MATCH($A89&amp;"|"&amp;$B89&amp;"|placement|Y",photos!$R$2:$R$701,0))),""))</f>
        <v/>
      </c>
      <c r="Y89" s="31" t="str">
        <f aca="false">IF($A89="","",IFERROR(IF(INDEX(photos!$E$2:$E$701,MATCH($A89&amp;"|"&amp;$B89&amp;"|placement|Y",photos!$R$2:$R$701,0))="","",INDEX(photos!$E$2:$E$701,MATCH($A89&amp;"|"&amp;$B89&amp;"|placement|Y",photos!$R$2:$R$701,0))),""))</f>
        <v/>
      </c>
      <c r="Z89" s="30" t="str">
        <f aca="false">IF($A89="","",IF(COUNTIFS(counts!$C$2:$C$701,$A89,counts!$D$2:$D$701,$B89,counts!$E$2:$E$701,"placed")=0,"",SUMIFS(counts!$F$2:$F$701,counts!$C$2:$C$701,$A89,counts!$D$2:$D$701,$B89,counts!$E$2:$E$701,"placed")))</f>
        <v/>
      </c>
      <c r="AA89" s="30" t="str">
        <f aca="false">IF($A89="","",IF($Y89="",0,N($Z89)))</f>
        <v/>
      </c>
      <c r="AB89" s="30" t="str">
        <f aca="false">IF($A89="","",IF(OR($Y89="",$I89=""),"N",IF($Y89&lt;=WORKDAY(N($I89),1,calendar!$A$2:$A$80),"Y","N")))</f>
        <v/>
      </c>
      <c r="AC89" s="33" t="str">
        <f aca="false">IF(OR($A89="",$V89="",$Y89=""),"",ROUND(($Y89+N(IFERROR(IF(INDEX(photos!$F$2:$F$701,MATCH($A89&amp;"|"&amp;$B89&amp;"|placement|Y",photos!$R$2:$R$701,0))="","",INDEX(photos!$F$2:$F$701,MATCH($A89&amp;"|"&amp;$B89&amp;"|placement|Y",photos!$R$2:$R$701,0))),""))-$V89)*24,1))</f>
        <v/>
      </c>
      <c r="AD89" s="30" t="str">
        <f aca="false">IF($A89="","",SUMIFS(inventory!$G$2:$G$801,inventory!$C$2:$C$801,$A89,inventory!$D$2:$D$801,$B89,inventory!$E$2:$E$801,"topped_up"))</f>
        <v/>
      </c>
      <c r="AE89" s="30" t="str">
        <f aca="false">IF($A89="","",IF(COUNTIFS(counts!$C$2:$C$701,$A89,counts!$D$2:$D$701,$B89,counts!$E$2:$E$701,"remaining_day3")=0,"",SUMIFS(counts!$F$2:$F$701,counts!$C$2:$C$701,$A89,counts!$D$2:$D$701,$B89,counts!$E$2:$E$701,"remaining_day3")))</f>
        <v/>
      </c>
      <c r="AF89" s="30" t="str">
        <f aca="false">IF($A89="","",IF(COUNTIFS(counts!$C$2:$C$701,$A89,counts!$D$2:$D$701,$B89,counts!$E$2:$E$701,"remaining_day5")=0,"",SUMIFS(counts!$F$2:$F$701,counts!$C$2:$C$701,$A89,counts!$D$2:$D$701,$B89,counts!$E$2:$E$701,"remaining_day5")))</f>
        <v/>
      </c>
      <c r="AG89" s="30" t="str">
        <f aca="false">IF(OR($A89="",$AF89=""),"",MAX(0,$AA89+$AD89-$AF89))</f>
        <v/>
      </c>
      <c r="AH89" s="30" t="str">
        <f aca="false">IF(OR($A89="",$AI89=""),"",IFERROR(IF(INDEX(photos!$H$2:$H$701,MATCH($A89&amp;"|"&amp;$B89&amp;"|later|Y|"&amp;$AI89,photos!$S$2:$S$701,0))="","",INDEX(photos!$H$2:$H$701,MATCH($A89&amp;"|"&amp;$B89&amp;"|later|Y|"&amp;$AI89,photos!$S$2:$S$701,0))),""))</f>
        <v/>
      </c>
      <c r="AI89" s="31" t="str">
        <f aca="false">IF($A89="","",IFERROR(1/(1/SUMPRODUCT(MAX((photos!$B$2:$B$701=$A89)*(photos!$C$2:$C$701=$B89)*(photos!$D$2:$D$701="later")*(photos!$O$2:$O$701="Y")*photos!$E$2:$E$701))),""))</f>
        <v/>
      </c>
      <c r="AJ89" s="30" t="str">
        <f aca="false">IF(OR($A89="",$AI89="",$I89=""),"",NETWORKDAYS($I89,$AI89,calendar!$A$2:$A$80))</f>
        <v/>
      </c>
      <c r="AK89" s="30" t="str">
        <f aca="false">IF($A89="","",IF(AND($X89&lt;&gt;"",$AH89&lt;&gt;""),"Y","N"))</f>
        <v/>
      </c>
      <c r="AL89" s="30" t="str">
        <f aca="true">IF(OR($A89="",$I89=""),"",IF($BC89="Y",SUMIFS(survey_frozen!$C$2:$C$251,survey_frozen!$P$2:$P$251,$A89&amp;"|"&amp;$B89),IFERROR(COUNTIFS(INDIRECT("'"&amp;$A89&amp;"'!$B$2:$B$501"),$T89,INDIRECT("'"&amp;$A89&amp;"'!$A$2:$A$501"),"&gt;="&amp;$I89,INDIRECT("'"&amp;$A89&amp;"'!$A$2:$A$501"),"&lt;"&amp;($BA89+1)),0)))</f>
        <v/>
      </c>
      <c r="AM89" s="30" t="str">
        <f aca="true">IF(OR($A89="",$I89=""),"",IF($BC89="Y",SUMIFS(survey_frozen!$D$2:$D$251,survey_frozen!$P$2:$P$251,$A89&amp;"|"&amp;$B89),IFERROR(COUNTIFS(INDIRECT("'"&amp;$A89&amp;"'!$B$2:$B$501"),$T89,INDIRECT("'"&amp;$A89&amp;"'!$A$2:$A$501"),"&gt;="&amp;$I89,INDIRECT("'"&amp;$A89&amp;"'!$A$2:$A$501"),"&lt;"&amp;($BA89+1),INDIRECT("'"&amp;$A89&amp;"'!$C$2:$C$501"),"Yes"),0)))</f>
        <v/>
      </c>
      <c r="AN89" s="30" t="str">
        <f aca="false">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30" t="str">
        <f aca="false">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30" t="str">
        <f aca="true">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30" t="str">
        <f aca="true">IF(OR($A89="",$I89=""),"",IF($BC89="Y",SUMIFS(survey_frozen!$E$2:$E$251,survey_frozen!$P$2:$P$251,$A89&amp;"|"&amp;$B89),IFERROR(COUNTIFS(INDIRECT("'"&amp;$A89&amp;"'!$B$2:$B$501"),$T89,INDIRECT("'"&amp;$A89&amp;"'!$A$2:$A$501"),"&gt;="&amp;$I89,INDIRECT("'"&amp;$A89&amp;"'!$A$2:$A$501"),"&lt;"&amp;($BA89+1),INDIRECT("'"&amp;$A89&amp;"'!$F$2:$F$501"),"Didn't see it"),0)))</f>
        <v/>
      </c>
      <c r="AR89" s="30" t="str">
        <f aca="true">IF(OR($A89="",$I89=""),"",IF($BC89="Y",SUMIFS(survey_frozen!$F$2:$F$251,survey_frozen!$P$2:$P$251,$A89&amp;"|"&amp;$B89),IFERROR(COUNTIFS(INDIRECT("'"&amp;$A89&amp;"'!$B$2:$B$501"),$T89,INDIRECT("'"&amp;$A89&amp;"'!$A$2:$A$501"),"&gt;="&amp;$I89,INDIRECT("'"&amp;$A89&amp;"'!$A$2:$A$501"),"&lt;"&amp;($BA89+1),INDIRECT("'"&amp;$A89&amp;"'!$F$2:$F$501"),"Not for me"),0)))</f>
        <v/>
      </c>
      <c r="AS89" s="30" t="str">
        <f aca="true">IF(OR($A89="",$I89=""),"",IF($BC89="Y",SUMIFS(survey_frozen!$G$2:$G$251,survey_frozen!$P$2:$P$251,$A89&amp;"|"&amp;$B89),IFERROR(COUNTIFS(INDIRECT("'"&amp;$A89&amp;"'!$B$2:$B$501"),$T89,INDIRECT("'"&amp;$A89&amp;"'!$A$2:$A$501"),"&gt;="&amp;$I89,INDIRECT("'"&amp;$A89&amp;"'!$A$2:$A$501"),"&lt;"&amp;($BA89+1),INDIRECT("'"&amp;$A89&amp;"'!$F$2:$F$501"),"Gone by the time I looked"),0)))</f>
        <v/>
      </c>
      <c r="AT89" s="30" t="str">
        <f aca="true">IF(OR($A89="",$I89=""),"",IF($BC89="Y",SUMIFS(survey_frozen!$H$2:$H$251,survey_frozen!$P$2:$P$251,$A89&amp;"|"&amp;$B89),IFERROR(COUNTIFS(INDIRECT("'"&amp;$A89&amp;"'!$B$2:$B$501"),$T89,INDIRECT("'"&amp;$A89&amp;"'!$A$2:$A$501"),"&gt;="&amp;$I89,INDIRECT("'"&amp;$A89&amp;"'!$A$2:$A$501"),"&lt;"&amp;($BA89+1),INDIRECT("'"&amp;$A89&amp;"'!$D$2:$D$501"),"&gt;=1"),0)))</f>
        <v/>
      </c>
      <c r="AU89" s="30" t="str">
        <f aca="true">IF(OR($A89="",$I89=""),"",IF($BC89="Y",SUMIFS(survey_frozen!$I$2:$I$251,survey_frozen!$P$2:$P$251,$A89&amp;"|"&amp;$B89),IFERROR(SUMIFS(INDIRECT("'"&amp;$A89&amp;"'!$D$2:$D$501"),INDIRECT("'"&amp;$A89&amp;"'!$B$2:$B$501"),$T89,INDIRECT("'"&amp;$A89&amp;"'!$A$2:$A$501"),"&gt;="&amp;$I89,INDIRECT("'"&amp;$A89&amp;"'!$A$2:$A$501"),"&lt;"&amp;($BA89+1)),0)))</f>
        <v/>
      </c>
      <c r="AV89" s="30" t="str">
        <f aca="true">IF(OR($A89="",$I89=""),"",IF($BC89="Y",SUMIFS(survey_frozen!$J$2:$J$251,survey_frozen!$P$2:$P$251,$A89&amp;"|"&amp;$B89),IFERROR(COUNTIFS(INDIRECT("'"&amp;$A89&amp;"'!$B$2:$B$501"),$T89,INDIRECT("'"&amp;$A89&amp;"'!$A$2:$A$501"),"&gt;="&amp;$I89,INDIRECT("'"&amp;$A89&amp;"'!$A$2:$A$501"),"&lt;"&amp;($BA89+1),INDIRECT("'"&amp;$A89&amp;"'!$E$2:$E$501"),"Yes"),0)))</f>
        <v/>
      </c>
      <c r="AW89" s="30" t="str">
        <f aca="true">IF(OR($A89="",$I89=""),"",IF($BC89="Y",SUMIFS(survey_frozen!$K$2:$K$251,survey_frozen!$P$2:$P$251,$A89&amp;"|"&amp;$B89),IFERROR(COUNTIFS(INDIRECT("'"&amp;$A89&amp;"'!$B$2:$B$501"),$T89,INDIRECT("'"&amp;$A89&amp;"'!$A$2:$A$501"),"&gt;="&amp;$I89,INDIRECT("'"&amp;$A89&amp;"'!$A$2:$A$501"),"&lt;"&amp;($BA89+1),INDIRECT("'"&amp;$A89&amp;"'!$E$2:$E$501"),"Maybe"),0)))</f>
        <v/>
      </c>
      <c r="AX89" s="30" t="str">
        <f aca="true">IF(OR($A89="",$I89=""),"",IF($BC89="Y",SUMIFS(survey_frozen!$L$2:$L$251,survey_frozen!$P$2:$P$251,$A89&amp;"|"&amp;$B89),IFERROR(COUNTIFS(INDIRECT("'"&amp;$A89&amp;"'!$B$2:$B$501"),$T89,INDIRECT("'"&amp;$A89&amp;"'!$A$2:$A$501"),"&gt;="&amp;$I89,INDIRECT("'"&amp;$A89&amp;"'!$A$2:$A$501"),"&lt;"&amp;($BA89+1),INDIRECT("'"&amp;$A89&amp;"'!$E$2:$E$501"),"No"),0)))</f>
        <v/>
      </c>
      <c r="AY89" s="30" t="str">
        <f aca="true">IF(OR($A89="",$I89=""),"",IF($BC89="Y",SUMIFS(survey_frozen!$M$2:$M$251,survey_frozen!$P$2:$P$251,$A89&amp;"|"&amp;$B89),IFERROR(COUNTIFS(INDIRECT("'"&amp;$A89&amp;"'!$B$2:$B$501"),$T89,INDIRECT("'"&amp;$A89&amp;"'!$A$2:$A$501"),"&gt;="&amp;$I89,INDIRECT("'"&amp;$A89&amp;"'!$A$2:$A$501"),"&lt;"&amp;($BA89+1),INDIRECT("'"&amp;$A89&amp;"'!$G$2:$G$501"),"&lt;&gt;"),0)))</f>
        <v/>
      </c>
      <c r="AZ89" s="30" t="str">
        <f aca="false">IF($A89="","",$A89&amp;"|"&amp;$L89)</f>
        <v/>
      </c>
      <c r="BA89" s="31" t="str">
        <f aca="false">IF($A89="","",IFERROR(IF(INDEX(drops!$R$2:$R$21,MATCH($H89,drops!$A$2:$A$21,0))="","",INDEX(drops!$R$2:$R$21,MATCH($H89,drops!$A$2:$A$21,0))),""))</f>
        <v/>
      </c>
      <c r="BB89" s="30" t="n">
        <f aca="false">IF(OR($A89="",$Q89&lt;&gt;"Y"),1000000,N($AL89))</f>
        <v>1000000</v>
      </c>
      <c r="BC89" s="30" t="str">
        <f aca="false">IF($A89="","",IF(COUNTIF(survey_frozen!$P$2:$P$251,$A89&amp;"|"&amp;$B89)&gt;0,"Y",""))</f>
        <v/>
      </c>
      <c r="BD89" s="30" t="str">
        <f aca="false">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ustomFormat="false" ht="15" hidden="false" customHeight="false" outlineLevel="0" collapsed="false">
      <c r="C90" s="11"/>
      <c r="D90" s="10"/>
      <c r="E90" s="11"/>
      <c r="H90" s="30" t="str">
        <f aca="false">IF($A90="","",IFERROR(IF(INDEX(campaigns!$B$2:$B$51,MATCH($A90,campaigns!$A$2:$A$51,0))="","",INDEX(campaigns!$B$2:$B$51,MATCH($A90,campaigns!$A$2:$A$51,0))),""))</f>
        <v/>
      </c>
      <c r="I90" s="31" t="str">
        <f aca="false">IF($A90="","",IFERROR(IF(INDEX(campaigns!$BG$2:$BG$51,MATCH($A90,campaigns!$A$2:$A$51,0))="","",INDEX(campaigns!$BG$2:$BG$51,MATCH($A90,campaigns!$A$2:$A$51,0))),""))</f>
        <v/>
      </c>
      <c r="J90" s="30" t="str">
        <f aca="false">IF($A90="","",IFERROR(IF(INDEX(campaigns!$BE$2:$BE$51,MATCH($A90,campaigns!$A$2:$A$51,0))="","",INDEX(campaigns!$BE$2:$BE$51,MATCH($A90,campaigns!$A$2:$A$51,0))),""))</f>
        <v/>
      </c>
      <c r="K90" s="30" t="str">
        <f aca="false">IF($B90="","",IFERROR(IF(INDEX(offices!$O$2:$O$61,MATCH($B90,offices!$A$2:$A$61,0))="","",INDEX(offices!$O$2:$O$61,MATCH($B90,offices!$A$2:$A$61,0))),""))</f>
        <v/>
      </c>
      <c r="L90" s="30" t="str">
        <f aca="false">IF($A90="","",IF($Q90="N","",COUNTIFS($A$2:$A90,$A90,$Q$2:$Q90,"&lt;&gt;N")))</f>
        <v/>
      </c>
      <c r="M90" s="30" t="str">
        <f aca="false">IF(OR($A90="",$L90=""),"",IF(AND(config!$B$34="names_if_public",IFERROR(IF(INDEX(offices!$AG$2:$AG$61,MATCH($B90,offices!$A$2:$A$61,0))="","",INDEX(offices!$AG$2:$AG$61,MATCH($B90,offices!$A$2:$A$61,0))),"")="Y"),$K90,CHAR(64+$L90)))</f>
        <v/>
      </c>
      <c r="N90" s="30" t="str">
        <f aca="false">IF(OR($A90="",$I90=""),"",COUNTIFS(stops!$B$2:$B$151,$B90,stops!$P$2:$P$151,"&lt;"&amp;$I90,stops!$L$2:$L$151,"&lt;&gt;not_delivered")+1)</f>
        <v/>
      </c>
      <c r="O90" s="30" t="str">
        <f aca="false">IF($A90="","",IF(N($N90)&lt;=config!$B$29,"explicit","opt-out"))</f>
        <v/>
      </c>
      <c r="P90" s="30" t="str">
        <f aca="false">IF($A90="","",IF($O90="explicit",IF($D90="yes","Y",IF($D90="no","N","pending")),IF($D90="no","N",IF(AND($C90&lt;&gt;"",$I90&lt;&gt;"",$C90&lt;=WORKDAY(N($I90),-5,calendar!$A$2:$A$80)),"Y","pending"))))</f>
        <v/>
      </c>
      <c r="Q90" s="30" t="str">
        <f aca="false">IF($A90="","",IF($P90="N","N",IF($P90&lt;&gt;"Y","pending",IF(AND((COUNTIFS(stops!$A$2:$A$151,$H90,stops!$B$2:$B$151,$B90,stops!$L$2:$L$151,"declined")+COUNTIFS(stops!$A$2:$A$151,$H90,stops!$B$2:$B$151,$B90,stops!$L$2:$L$151,"building_refused")+COUNTIFS(stops!$A$2:$A$151,$H90,stops!$B$2:$B$151,$B90,stops!$L$2:$L$151,"not_delivered"))&gt;0,N($U90)=0),"N","Y"))))</f>
        <v/>
      </c>
      <c r="R90" s="30" t="str">
        <f aca="false">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30" t="str">
        <f aca="false">IF($A90="","",IF($G90&lt;&gt;"",$G90,IFERROR(IF(INDEX(offices!$AM$2:$AM$61,MATCH($B90,offices!$A$2:$A$61,0))="","",INDEX(offices!$AM$2:$AM$61,MATCH($B90,offices!$A$2:$A$61,0))),"")))</f>
        <v/>
      </c>
      <c r="T90" s="30" t="str">
        <f aca="false">IF($A90="","",$A90&amp;"."&amp;$B90)</f>
        <v/>
      </c>
      <c r="U90" s="30" t="str">
        <f aca="false">IF($A90="","",SUMIFS(inventory!$G$2:$G$801,inventory!$C$2:$C$801,$A90,inventory!$D$2:$D$801,$B90,inventory!$E$2:$E$801,"delivered"))</f>
        <v/>
      </c>
      <c r="V90" s="37" t="str">
        <f aca="false">IF($A90="","",IFERROR(1/(1/SUMPRODUCT(MAX((inventory!$C$2:$C$801=$A90)*(inventory!$D$2:$D$801=$B90)*(inventory!$E$2:$E$801="delivered")*(inventory!$A$2:$A$801+inventory!$B$2:$B$801)))),""))</f>
        <v/>
      </c>
      <c r="W90" s="30" t="str">
        <f aca="false">IF($A90="","",IFERROR(IF(INDEX(inventory!$J$2:$J$801,MATCH($A90&amp;"|"&amp;$B90&amp;"|delivered",inventory!$R$2:$R$801,0))="","",INDEX(inventory!$J$2:$J$801,MATCH($A90&amp;"|"&amp;$B90&amp;"|delivered",inventory!$R$2:$R$801,0))),""))</f>
        <v/>
      </c>
      <c r="X90" s="30" t="str">
        <f aca="false">IF($A90="","",IFERROR(IF(INDEX(photos!$H$2:$H$701,MATCH($A90&amp;"|"&amp;$B90&amp;"|placement|Y",photos!$R$2:$R$701,0))="","",INDEX(photos!$H$2:$H$701,MATCH($A90&amp;"|"&amp;$B90&amp;"|placement|Y",photos!$R$2:$R$701,0))),""))</f>
        <v/>
      </c>
      <c r="Y90" s="31" t="str">
        <f aca="false">IF($A90="","",IFERROR(IF(INDEX(photos!$E$2:$E$701,MATCH($A90&amp;"|"&amp;$B90&amp;"|placement|Y",photos!$R$2:$R$701,0))="","",INDEX(photos!$E$2:$E$701,MATCH($A90&amp;"|"&amp;$B90&amp;"|placement|Y",photos!$R$2:$R$701,0))),""))</f>
        <v/>
      </c>
      <c r="Z90" s="30" t="str">
        <f aca="false">IF($A90="","",IF(COUNTIFS(counts!$C$2:$C$701,$A90,counts!$D$2:$D$701,$B90,counts!$E$2:$E$701,"placed")=0,"",SUMIFS(counts!$F$2:$F$701,counts!$C$2:$C$701,$A90,counts!$D$2:$D$701,$B90,counts!$E$2:$E$701,"placed")))</f>
        <v/>
      </c>
      <c r="AA90" s="30" t="str">
        <f aca="false">IF($A90="","",IF($Y90="",0,N($Z90)))</f>
        <v/>
      </c>
      <c r="AB90" s="30" t="str">
        <f aca="false">IF($A90="","",IF(OR($Y90="",$I90=""),"N",IF($Y90&lt;=WORKDAY(N($I90),1,calendar!$A$2:$A$80),"Y","N")))</f>
        <v/>
      </c>
      <c r="AC90" s="33" t="str">
        <f aca="false">IF(OR($A90="",$V90="",$Y90=""),"",ROUND(($Y90+N(IFERROR(IF(INDEX(photos!$F$2:$F$701,MATCH($A90&amp;"|"&amp;$B90&amp;"|placement|Y",photos!$R$2:$R$701,0))="","",INDEX(photos!$F$2:$F$701,MATCH($A90&amp;"|"&amp;$B90&amp;"|placement|Y",photos!$R$2:$R$701,0))),""))-$V90)*24,1))</f>
        <v/>
      </c>
      <c r="AD90" s="30" t="str">
        <f aca="false">IF($A90="","",SUMIFS(inventory!$G$2:$G$801,inventory!$C$2:$C$801,$A90,inventory!$D$2:$D$801,$B90,inventory!$E$2:$E$801,"topped_up"))</f>
        <v/>
      </c>
      <c r="AE90" s="30" t="str">
        <f aca="false">IF($A90="","",IF(COUNTIFS(counts!$C$2:$C$701,$A90,counts!$D$2:$D$701,$B90,counts!$E$2:$E$701,"remaining_day3")=0,"",SUMIFS(counts!$F$2:$F$701,counts!$C$2:$C$701,$A90,counts!$D$2:$D$701,$B90,counts!$E$2:$E$701,"remaining_day3")))</f>
        <v/>
      </c>
      <c r="AF90" s="30" t="str">
        <f aca="false">IF($A90="","",IF(COUNTIFS(counts!$C$2:$C$701,$A90,counts!$D$2:$D$701,$B90,counts!$E$2:$E$701,"remaining_day5")=0,"",SUMIFS(counts!$F$2:$F$701,counts!$C$2:$C$701,$A90,counts!$D$2:$D$701,$B90,counts!$E$2:$E$701,"remaining_day5")))</f>
        <v/>
      </c>
      <c r="AG90" s="30" t="str">
        <f aca="false">IF(OR($A90="",$AF90=""),"",MAX(0,$AA90+$AD90-$AF90))</f>
        <v/>
      </c>
      <c r="AH90" s="30" t="str">
        <f aca="false">IF(OR($A90="",$AI90=""),"",IFERROR(IF(INDEX(photos!$H$2:$H$701,MATCH($A90&amp;"|"&amp;$B90&amp;"|later|Y|"&amp;$AI90,photos!$S$2:$S$701,0))="","",INDEX(photos!$H$2:$H$701,MATCH($A90&amp;"|"&amp;$B90&amp;"|later|Y|"&amp;$AI90,photos!$S$2:$S$701,0))),""))</f>
        <v/>
      </c>
      <c r="AI90" s="31" t="str">
        <f aca="false">IF($A90="","",IFERROR(1/(1/SUMPRODUCT(MAX((photos!$B$2:$B$701=$A90)*(photos!$C$2:$C$701=$B90)*(photos!$D$2:$D$701="later")*(photos!$O$2:$O$701="Y")*photos!$E$2:$E$701))),""))</f>
        <v/>
      </c>
      <c r="AJ90" s="30" t="str">
        <f aca="false">IF(OR($A90="",$AI90="",$I90=""),"",NETWORKDAYS($I90,$AI90,calendar!$A$2:$A$80))</f>
        <v/>
      </c>
      <c r="AK90" s="30" t="str">
        <f aca="false">IF($A90="","",IF(AND($X90&lt;&gt;"",$AH90&lt;&gt;""),"Y","N"))</f>
        <v/>
      </c>
      <c r="AL90" s="30" t="str">
        <f aca="true">IF(OR($A90="",$I90=""),"",IF($BC90="Y",SUMIFS(survey_frozen!$C$2:$C$251,survey_frozen!$P$2:$P$251,$A90&amp;"|"&amp;$B90),IFERROR(COUNTIFS(INDIRECT("'"&amp;$A90&amp;"'!$B$2:$B$501"),$T90,INDIRECT("'"&amp;$A90&amp;"'!$A$2:$A$501"),"&gt;="&amp;$I90,INDIRECT("'"&amp;$A90&amp;"'!$A$2:$A$501"),"&lt;"&amp;($BA90+1)),0)))</f>
        <v/>
      </c>
      <c r="AM90" s="30" t="str">
        <f aca="true">IF(OR($A90="",$I90=""),"",IF($BC90="Y",SUMIFS(survey_frozen!$D$2:$D$251,survey_frozen!$P$2:$P$251,$A90&amp;"|"&amp;$B90),IFERROR(COUNTIFS(INDIRECT("'"&amp;$A90&amp;"'!$B$2:$B$501"),$T90,INDIRECT("'"&amp;$A90&amp;"'!$A$2:$A$501"),"&gt;="&amp;$I90,INDIRECT("'"&amp;$A90&amp;"'!$A$2:$A$501"),"&lt;"&amp;($BA90+1),INDIRECT("'"&amp;$A90&amp;"'!$C$2:$C$501"),"Yes"),0)))</f>
        <v/>
      </c>
      <c r="AN90" s="30" t="str">
        <f aca="false">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30" t="str">
        <f aca="false">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30" t="str">
        <f aca="true">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30" t="str">
        <f aca="true">IF(OR($A90="",$I90=""),"",IF($BC90="Y",SUMIFS(survey_frozen!$E$2:$E$251,survey_frozen!$P$2:$P$251,$A90&amp;"|"&amp;$B90),IFERROR(COUNTIFS(INDIRECT("'"&amp;$A90&amp;"'!$B$2:$B$501"),$T90,INDIRECT("'"&amp;$A90&amp;"'!$A$2:$A$501"),"&gt;="&amp;$I90,INDIRECT("'"&amp;$A90&amp;"'!$A$2:$A$501"),"&lt;"&amp;($BA90+1),INDIRECT("'"&amp;$A90&amp;"'!$F$2:$F$501"),"Didn't see it"),0)))</f>
        <v/>
      </c>
      <c r="AR90" s="30" t="str">
        <f aca="true">IF(OR($A90="",$I90=""),"",IF($BC90="Y",SUMIFS(survey_frozen!$F$2:$F$251,survey_frozen!$P$2:$P$251,$A90&amp;"|"&amp;$B90),IFERROR(COUNTIFS(INDIRECT("'"&amp;$A90&amp;"'!$B$2:$B$501"),$T90,INDIRECT("'"&amp;$A90&amp;"'!$A$2:$A$501"),"&gt;="&amp;$I90,INDIRECT("'"&amp;$A90&amp;"'!$A$2:$A$501"),"&lt;"&amp;($BA90+1),INDIRECT("'"&amp;$A90&amp;"'!$F$2:$F$501"),"Not for me"),0)))</f>
        <v/>
      </c>
      <c r="AS90" s="30" t="str">
        <f aca="true">IF(OR($A90="",$I90=""),"",IF($BC90="Y",SUMIFS(survey_frozen!$G$2:$G$251,survey_frozen!$P$2:$P$251,$A90&amp;"|"&amp;$B90),IFERROR(COUNTIFS(INDIRECT("'"&amp;$A90&amp;"'!$B$2:$B$501"),$T90,INDIRECT("'"&amp;$A90&amp;"'!$A$2:$A$501"),"&gt;="&amp;$I90,INDIRECT("'"&amp;$A90&amp;"'!$A$2:$A$501"),"&lt;"&amp;($BA90+1),INDIRECT("'"&amp;$A90&amp;"'!$F$2:$F$501"),"Gone by the time I looked"),0)))</f>
        <v/>
      </c>
      <c r="AT90" s="30" t="str">
        <f aca="true">IF(OR($A90="",$I90=""),"",IF($BC90="Y",SUMIFS(survey_frozen!$H$2:$H$251,survey_frozen!$P$2:$P$251,$A90&amp;"|"&amp;$B90),IFERROR(COUNTIFS(INDIRECT("'"&amp;$A90&amp;"'!$B$2:$B$501"),$T90,INDIRECT("'"&amp;$A90&amp;"'!$A$2:$A$501"),"&gt;="&amp;$I90,INDIRECT("'"&amp;$A90&amp;"'!$A$2:$A$501"),"&lt;"&amp;($BA90+1),INDIRECT("'"&amp;$A90&amp;"'!$D$2:$D$501"),"&gt;=1"),0)))</f>
        <v/>
      </c>
      <c r="AU90" s="30" t="str">
        <f aca="true">IF(OR($A90="",$I90=""),"",IF($BC90="Y",SUMIFS(survey_frozen!$I$2:$I$251,survey_frozen!$P$2:$P$251,$A90&amp;"|"&amp;$B90),IFERROR(SUMIFS(INDIRECT("'"&amp;$A90&amp;"'!$D$2:$D$501"),INDIRECT("'"&amp;$A90&amp;"'!$B$2:$B$501"),$T90,INDIRECT("'"&amp;$A90&amp;"'!$A$2:$A$501"),"&gt;="&amp;$I90,INDIRECT("'"&amp;$A90&amp;"'!$A$2:$A$501"),"&lt;"&amp;($BA90+1)),0)))</f>
        <v/>
      </c>
      <c r="AV90" s="30" t="str">
        <f aca="true">IF(OR($A90="",$I90=""),"",IF($BC90="Y",SUMIFS(survey_frozen!$J$2:$J$251,survey_frozen!$P$2:$P$251,$A90&amp;"|"&amp;$B90),IFERROR(COUNTIFS(INDIRECT("'"&amp;$A90&amp;"'!$B$2:$B$501"),$T90,INDIRECT("'"&amp;$A90&amp;"'!$A$2:$A$501"),"&gt;="&amp;$I90,INDIRECT("'"&amp;$A90&amp;"'!$A$2:$A$501"),"&lt;"&amp;($BA90+1),INDIRECT("'"&amp;$A90&amp;"'!$E$2:$E$501"),"Yes"),0)))</f>
        <v/>
      </c>
      <c r="AW90" s="30" t="str">
        <f aca="true">IF(OR($A90="",$I90=""),"",IF($BC90="Y",SUMIFS(survey_frozen!$K$2:$K$251,survey_frozen!$P$2:$P$251,$A90&amp;"|"&amp;$B90),IFERROR(COUNTIFS(INDIRECT("'"&amp;$A90&amp;"'!$B$2:$B$501"),$T90,INDIRECT("'"&amp;$A90&amp;"'!$A$2:$A$501"),"&gt;="&amp;$I90,INDIRECT("'"&amp;$A90&amp;"'!$A$2:$A$501"),"&lt;"&amp;($BA90+1),INDIRECT("'"&amp;$A90&amp;"'!$E$2:$E$501"),"Maybe"),0)))</f>
        <v/>
      </c>
      <c r="AX90" s="30" t="str">
        <f aca="true">IF(OR($A90="",$I90=""),"",IF($BC90="Y",SUMIFS(survey_frozen!$L$2:$L$251,survey_frozen!$P$2:$P$251,$A90&amp;"|"&amp;$B90),IFERROR(COUNTIFS(INDIRECT("'"&amp;$A90&amp;"'!$B$2:$B$501"),$T90,INDIRECT("'"&amp;$A90&amp;"'!$A$2:$A$501"),"&gt;="&amp;$I90,INDIRECT("'"&amp;$A90&amp;"'!$A$2:$A$501"),"&lt;"&amp;($BA90+1),INDIRECT("'"&amp;$A90&amp;"'!$E$2:$E$501"),"No"),0)))</f>
        <v/>
      </c>
      <c r="AY90" s="30" t="str">
        <f aca="true">IF(OR($A90="",$I90=""),"",IF($BC90="Y",SUMIFS(survey_frozen!$M$2:$M$251,survey_frozen!$P$2:$P$251,$A90&amp;"|"&amp;$B90),IFERROR(COUNTIFS(INDIRECT("'"&amp;$A90&amp;"'!$B$2:$B$501"),$T90,INDIRECT("'"&amp;$A90&amp;"'!$A$2:$A$501"),"&gt;="&amp;$I90,INDIRECT("'"&amp;$A90&amp;"'!$A$2:$A$501"),"&lt;"&amp;($BA90+1),INDIRECT("'"&amp;$A90&amp;"'!$G$2:$G$501"),"&lt;&gt;"),0)))</f>
        <v/>
      </c>
      <c r="AZ90" s="30" t="str">
        <f aca="false">IF($A90="","",$A90&amp;"|"&amp;$L90)</f>
        <v/>
      </c>
      <c r="BA90" s="31" t="str">
        <f aca="false">IF($A90="","",IFERROR(IF(INDEX(drops!$R$2:$R$21,MATCH($H90,drops!$A$2:$A$21,0))="","",INDEX(drops!$R$2:$R$21,MATCH($H90,drops!$A$2:$A$21,0))),""))</f>
        <v/>
      </c>
      <c r="BB90" s="30" t="n">
        <f aca="false">IF(OR($A90="",$Q90&lt;&gt;"Y"),1000000,N($AL90))</f>
        <v>1000000</v>
      </c>
      <c r="BC90" s="30" t="str">
        <f aca="false">IF($A90="","",IF(COUNTIF(survey_frozen!$P$2:$P$251,$A90&amp;"|"&amp;$B90)&gt;0,"Y",""))</f>
        <v/>
      </c>
      <c r="BD90" s="30" t="str">
        <f aca="false">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ustomFormat="false" ht="15" hidden="false" customHeight="false" outlineLevel="0" collapsed="false">
      <c r="C91" s="11"/>
      <c r="D91" s="10"/>
      <c r="E91" s="11"/>
      <c r="H91" s="30" t="str">
        <f aca="false">IF($A91="","",IFERROR(IF(INDEX(campaigns!$B$2:$B$51,MATCH($A91,campaigns!$A$2:$A$51,0))="","",INDEX(campaigns!$B$2:$B$51,MATCH($A91,campaigns!$A$2:$A$51,0))),""))</f>
        <v/>
      </c>
      <c r="I91" s="31" t="str">
        <f aca="false">IF($A91="","",IFERROR(IF(INDEX(campaigns!$BG$2:$BG$51,MATCH($A91,campaigns!$A$2:$A$51,0))="","",INDEX(campaigns!$BG$2:$BG$51,MATCH($A91,campaigns!$A$2:$A$51,0))),""))</f>
        <v/>
      </c>
      <c r="J91" s="30" t="str">
        <f aca="false">IF($A91="","",IFERROR(IF(INDEX(campaigns!$BE$2:$BE$51,MATCH($A91,campaigns!$A$2:$A$51,0))="","",INDEX(campaigns!$BE$2:$BE$51,MATCH($A91,campaigns!$A$2:$A$51,0))),""))</f>
        <v/>
      </c>
      <c r="K91" s="30" t="str">
        <f aca="false">IF($B91="","",IFERROR(IF(INDEX(offices!$O$2:$O$61,MATCH($B91,offices!$A$2:$A$61,0))="","",INDEX(offices!$O$2:$O$61,MATCH($B91,offices!$A$2:$A$61,0))),""))</f>
        <v/>
      </c>
      <c r="L91" s="30" t="str">
        <f aca="false">IF($A91="","",IF($Q91="N","",COUNTIFS($A$2:$A91,$A91,$Q$2:$Q91,"&lt;&gt;N")))</f>
        <v/>
      </c>
      <c r="M91" s="30" t="str">
        <f aca="false">IF(OR($A91="",$L91=""),"",IF(AND(config!$B$34="names_if_public",IFERROR(IF(INDEX(offices!$AG$2:$AG$61,MATCH($B91,offices!$A$2:$A$61,0))="","",INDEX(offices!$AG$2:$AG$61,MATCH($B91,offices!$A$2:$A$61,0))),"")="Y"),$K91,CHAR(64+$L91)))</f>
        <v/>
      </c>
      <c r="N91" s="30" t="str">
        <f aca="false">IF(OR($A91="",$I91=""),"",COUNTIFS(stops!$B$2:$B$151,$B91,stops!$P$2:$P$151,"&lt;"&amp;$I91,stops!$L$2:$L$151,"&lt;&gt;not_delivered")+1)</f>
        <v/>
      </c>
      <c r="O91" s="30" t="str">
        <f aca="false">IF($A91="","",IF(N($N91)&lt;=config!$B$29,"explicit","opt-out"))</f>
        <v/>
      </c>
      <c r="P91" s="30" t="str">
        <f aca="false">IF($A91="","",IF($O91="explicit",IF($D91="yes","Y",IF($D91="no","N","pending")),IF($D91="no","N",IF(AND($C91&lt;&gt;"",$I91&lt;&gt;"",$C91&lt;=WORKDAY(N($I91),-5,calendar!$A$2:$A$80)),"Y","pending"))))</f>
        <v/>
      </c>
      <c r="Q91" s="30" t="str">
        <f aca="false">IF($A91="","",IF($P91="N","N",IF($P91&lt;&gt;"Y","pending",IF(AND((COUNTIFS(stops!$A$2:$A$151,$H91,stops!$B$2:$B$151,$B91,stops!$L$2:$L$151,"declined")+COUNTIFS(stops!$A$2:$A$151,$H91,stops!$B$2:$B$151,$B91,stops!$L$2:$L$151,"building_refused")+COUNTIFS(stops!$A$2:$A$151,$H91,stops!$B$2:$B$151,$B91,stops!$L$2:$L$151,"not_delivered"))&gt;0,N($U91)=0),"N","Y"))))</f>
        <v/>
      </c>
      <c r="R91" s="30" t="str">
        <f aca="false">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30" t="str">
        <f aca="false">IF($A91="","",IF($G91&lt;&gt;"",$G91,IFERROR(IF(INDEX(offices!$AM$2:$AM$61,MATCH($B91,offices!$A$2:$A$61,0))="","",INDEX(offices!$AM$2:$AM$61,MATCH($B91,offices!$A$2:$A$61,0))),"")))</f>
        <v/>
      </c>
      <c r="T91" s="30" t="str">
        <f aca="false">IF($A91="","",$A91&amp;"."&amp;$B91)</f>
        <v/>
      </c>
      <c r="U91" s="30" t="str">
        <f aca="false">IF($A91="","",SUMIFS(inventory!$G$2:$G$801,inventory!$C$2:$C$801,$A91,inventory!$D$2:$D$801,$B91,inventory!$E$2:$E$801,"delivered"))</f>
        <v/>
      </c>
      <c r="V91" s="37" t="str">
        <f aca="false">IF($A91="","",IFERROR(1/(1/SUMPRODUCT(MAX((inventory!$C$2:$C$801=$A91)*(inventory!$D$2:$D$801=$B91)*(inventory!$E$2:$E$801="delivered")*(inventory!$A$2:$A$801+inventory!$B$2:$B$801)))),""))</f>
        <v/>
      </c>
      <c r="W91" s="30" t="str">
        <f aca="false">IF($A91="","",IFERROR(IF(INDEX(inventory!$J$2:$J$801,MATCH($A91&amp;"|"&amp;$B91&amp;"|delivered",inventory!$R$2:$R$801,0))="","",INDEX(inventory!$J$2:$J$801,MATCH($A91&amp;"|"&amp;$B91&amp;"|delivered",inventory!$R$2:$R$801,0))),""))</f>
        <v/>
      </c>
      <c r="X91" s="30" t="str">
        <f aca="false">IF($A91="","",IFERROR(IF(INDEX(photos!$H$2:$H$701,MATCH($A91&amp;"|"&amp;$B91&amp;"|placement|Y",photos!$R$2:$R$701,0))="","",INDEX(photos!$H$2:$H$701,MATCH($A91&amp;"|"&amp;$B91&amp;"|placement|Y",photos!$R$2:$R$701,0))),""))</f>
        <v/>
      </c>
      <c r="Y91" s="31" t="str">
        <f aca="false">IF($A91="","",IFERROR(IF(INDEX(photos!$E$2:$E$701,MATCH($A91&amp;"|"&amp;$B91&amp;"|placement|Y",photos!$R$2:$R$701,0))="","",INDEX(photos!$E$2:$E$701,MATCH($A91&amp;"|"&amp;$B91&amp;"|placement|Y",photos!$R$2:$R$701,0))),""))</f>
        <v/>
      </c>
      <c r="Z91" s="30" t="str">
        <f aca="false">IF($A91="","",IF(COUNTIFS(counts!$C$2:$C$701,$A91,counts!$D$2:$D$701,$B91,counts!$E$2:$E$701,"placed")=0,"",SUMIFS(counts!$F$2:$F$701,counts!$C$2:$C$701,$A91,counts!$D$2:$D$701,$B91,counts!$E$2:$E$701,"placed")))</f>
        <v/>
      </c>
      <c r="AA91" s="30" t="str">
        <f aca="false">IF($A91="","",IF($Y91="",0,N($Z91)))</f>
        <v/>
      </c>
      <c r="AB91" s="30" t="str">
        <f aca="false">IF($A91="","",IF(OR($Y91="",$I91=""),"N",IF($Y91&lt;=WORKDAY(N($I91),1,calendar!$A$2:$A$80),"Y","N")))</f>
        <v/>
      </c>
      <c r="AC91" s="33" t="str">
        <f aca="false">IF(OR($A91="",$V91="",$Y91=""),"",ROUND(($Y91+N(IFERROR(IF(INDEX(photos!$F$2:$F$701,MATCH($A91&amp;"|"&amp;$B91&amp;"|placement|Y",photos!$R$2:$R$701,0))="","",INDEX(photos!$F$2:$F$701,MATCH($A91&amp;"|"&amp;$B91&amp;"|placement|Y",photos!$R$2:$R$701,0))),""))-$V91)*24,1))</f>
        <v/>
      </c>
      <c r="AD91" s="30" t="str">
        <f aca="false">IF($A91="","",SUMIFS(inventory!$G$2:$G$801,inventory!$C$2:$C$801,$A91,inventory!$D$2:$D$801,$B91,inventory!$E$2:$E$801,"topped_up"))</f>
        <v/>
      </c>
      <c r="AE91" s="30" t="str">
        <f aca="false">IF($A91="","",IF(COUNTIFS(counts!$C$2:$C$701,$A91,counts!$D$2:$D$701,$B91,counts!$E$2:$E$701,"remaining_day3")=0,"",SUMIFS(counts!$F$2:$F$701,counts!$C$2:$C$701,$A91,counts!$D$2:$D$701,$B91,counts!$E$2:$E$701,"remaining_day3")))</f>
        <v/>
      </c>
      <c r="AF91" s="30" t="str">
        <f aca="false">IF($A91="","",IF(COUNTIFS(counts!$C$2:$C$701,$A91,counts!$D$2:$D$701,$B91,counts!$E$2:$E$701,"remaining_day5")=0,"",SUMIFS(counts!$F$2:$F$701,counts!$C$2:$C$701,$A91,counts!$D$2:$D$701,$B91,counts!$E$2:$E$701,"remaining_day5")))</f>
        <v/>
      </c>
      <c r="AG91" s="30" t="str">
        <f aca="false">IF(OR($A91="",$AF91=""),"",MAX(0,$AA91+$AD91-$AF91))</f>
        <v/>
      </c>
      <c r="AH91" s="30" t="str">
        <f aca="false">IF(OR($A91="",$AI91=""),"",IFERROR(IF(INDEX(photos!$H$2:$H$701,MATCH($A91&amp;"|"&amp;$B91&amp;"|later|Y|"&amp;$AI91,photos!$S$2:$S$701,0))="","",INDEX(photos!$H$2:$H$701,MATCH($A91&amp;"|"&amp;$B91&amp;"|later|Y|"&amp;$AI91,photos!$S$2:$S$701,0))),""))</f>
        <v/>
      </c>
      <c r="AI91" s="31" t="str">
        <f aca="false">IF($A91="","",IFERROR(1/(1/SUMPRODUCT(MAX((photos!$B$2:$B$701=$A91)*(photos!$C$2:$C$701=$B91)*(photos!$D$2:$D$701="later")*(photos!$O$2:$O$701="Y")*photos!$E$2:$E$701))),""))</f>
        <v/>
      </c>
      <c r="AJ91" s="30" t="str">
        <f aca="false">IF(OR($A91="",$AI91="",$I91=""),"",NETWORKDAYS($I91,$AI91,calendar!$A$2:$A$80))</f>
        <v/>
      </c>
      <c r="AK91" s="30" t="str">
        <f aca="false">IF($A91="","",IF(AND($X91&lt;&gt;"",$AH91&lt;&gt;""),"Y","N"))</f>
        <v/>
      </c>
      <c r="AL91" s="30" t="str">
        <f aca="true">IF(OR($A91="",$I91=""),"",IF($BC91="Y",SUMIFS(survey_frozen!$C$2:$C$251,survey_frozen!$P$2:$P$251,$A91&amp;"|"&amp;$B91),IFERROR(COUNTIFS(INDIRECT("'"&amp;$A91&amp;"'!$B$2:$B$501"),$T91,INDIRECT("'"&amp;$A91&amp;"'!$A$2:$A$501"),"&gt;="&amp;$I91,INDIRECT("'"&amp;$A91&amp;"'!$A$2:$A$501"),"&lt;"&amp;($BA91+1)),0)))</f>
        <v/>
      </c>
      <c r="AM91" s="30" t="str">
        <f aca="true">IF(OR($A91="",$I91=""),"",IF($BC91="Y",SUMIFS(survey_frozen!$D$2:$D$251,survey_frozen!$P$2:$P$251,$A91&amp;"|"&amp;$B91),IFERROR(COUNTIFS(INDIRECT("'"&amp;$A91&amp;"'!$B$2:$B$501"),$T91,INDIRECT("'"&amp;$A91&amp;"'!$A$2:$A$501"),"&gt;="&amp;$I91,INDIRECT("'"&amp;$A91&amp;"'!$A$2:$A$501"),"&lt;"&amp;($BA91+1),INDIRECT("'"&amp;$A91&amp;"'!$C$2:$C$501"),"Yes"),0)))</f>
        <v/>
      </c>
      <c r="AN91" s="30" t="str">
        <f aca="false">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30" t="str">
        <f aca="false">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30" t="str">
        <f aca="true">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30" t="str">
        <f aca="true">IF(OR($A91="",$I91=""),"",IF($BC91="Y",SUMIFS(survey_frozen!$E$2:$E$251,survey_frozen!$P$2:$P$251,$A91&amp;"|"&amp;$B91),IFERROR(COUNTIFS(INDIRECT("'"&amp;$A91&amp;"'!$B$2:$B$501"),$T91,INDIRECT("'"&amp;$A91&amp;"'!$A$2:$A$501"),"&gt;="&amp;$I91,INDIRECT("'"&amp;$A91&amp;"'!$A$2:$A$501"),"&lt;"&amp;($BA91+1),INDIRECT("'"&amp;$A91&amp;"'!$F$2:$F$501"),"Didn't see it"),0)))</f>
        <v/>
      </c>
      <c r="AR91" s="30" t="str">
        <f aca="true">IF(OR($A91="",$I91=""),"",IF($BC91="Y",SUMIFS(survey_frozen!$F$2:$F$251,survey_frozen!$P$2:$P$251,$A91&amp;"|"&amp;$B91),IFERROR(COUNTIFS(INDIRECT("'"&amp;$A91&amp;"'!$B$2:$B$501"),$T91,INDIRECT("'"&amp;$A91&amp;"'!$A$2:$A$501"),"&gt;="&amp;$I91,INDIRECT("'"&amp;$A91&amp;"'!$A$2:$A$501"),"&lt;"&amp;($BA91+1),INDIRECT("'"&amp;$A91&amp;"'!$F$2:$F$501"),"Not for me"),0)))</f>
        <v/>
      </c>
      <c r="AS91" s="30" t="str">
        <f aca="true">IF(OR($A91="",$I91=""),"",IF($BC91="Y",SUMIFS(survey_frozen!$G$2:$G$251,survey_frozen!$P$2:$P$251,$A91&amp;"|"&amp;$B91),IFERROR(COUNTIFS(INDIRECT("'"&amp;$A91&amp;"'!$B$2:$B$501"),$T91,INDIRECT("'"&amp;$A91&amp;"'!$A$2:$A$501"),"&gt;="&amp;$I91,INDIRECT("'"&amp;$A91&amp;"'!$A$2:$A$501"),"&lt;"&amp;($BA91+1),INDIRECT("'"&amp;$A91&amp;"'!$F$2:$F$501"),"Gone by the time I looked"),0)))</f>
        <v/>
      </c>
      <c r="AT91" s="30" t="str">
        <f aca="true">IF(OR($A91="",$I91=""),"",IF($BC91="Y",SUMIFS(survey_frozen!$H$2:$H$251,survey_frozen!$P$2:$P$251,$A91&amp;"|"&amp;$B91),IFERROR(COUNTIFS(INDIRECT("'"&amp;$A91&amp;"'!$B$2:$B$501"),$T91,INDIRECT("'"&amp;$A91&amp;"'!$A$2:$A$501"),"&gt;="&amp;$I91,INDIRECT("'"&amp;$A91&amp;"'!$A$2:$A$501"),"&lt;"&amp;($BA91+1),INDIRECT("'"&amp;$A91&amp;"'!$D$2:$D$501"),"&gt;=1"),0)))</f>
        <v/>
      </c>
      <c r="AU91" s="30" t="str">
        <f aca="true">IF(OR($A91="",$I91=""),"",IF($BC91="Y",SUMIFS(survey_frozen!$I$2:$I$251,survey_frozen!$P$2:$P$251,$A91&amp;"|"&amp;$B91),IFERROR(SUMIFS(INDIRECT("'"&amp;$A91&amp;"'!$D$2:$D$501"),INDIRECT("'"&amp;$A91&amp;"'!$B$2:$B$501"),$T91,INDIRECT("'"&amp;$A91&amp;"'!$A$2:$A$501"),"&gt;="&amp;$I91,INDIRECT("'"&amp;$A91&amp;"'!$A$2:$A$501"),"&lt;"&amp;($BA91+1)),0)))</f>
        <v/>
      </c>
      <c r="AV91" s="30" t="str">
        <f aca="true">IF(OR($A91="",$I91=""),"",IF($BC91="Y",SUMIFS(survey_frozen!$J$2:$J$251,survey_frozen!$P$2:$P$251,$A91&amp;"|"&amp;$B91),IFERROR(COUNTIFS(INDIRECT("'"&amp;$A91&amp;"'!$B$2:$B$501"),$T91,INDIRECT("'"&amp;$A91&amp;"'!$A$2:$A$501"),"&gt;="&amp;$I91,INDIRECT("'"&amp;$A91&amp;"'!$A$2:$A$501"),"&lt;"&amp;($BA91+1),INDIRECT("'"&amp;$A91&amp;"'!$E$2:$E$501"),"Yes"),0)))</f>
        <v/>
      </c>
      <c r="AW91" s="30" t="str">
        <f aca="true">IF(OR($A91="",$I91=""),"",IF($BC91="Y",SUMIFS(survey_frozen!$K$2:$K$251,survey_frozen!$P$2:$P$251,$A91&amp;"|"&amp;$B91),IFERROR(COUNTIFS(INDIRECT("'"&amp;$A91&amp;"'!$B$2:$B$501"),$T91,INDIRECT("'"&amp;$A91&amp;"'!$A$2:$A$501"),"&gt;="&amp;$I91,INDIRECT("'"&amp;$A91&amp;"'!$A$2:$A$501"),"&lt;"&amp;($BA91+1),INDIRECT("'"&amp;$A91&amp;"'!$E$2:$E$501"),"Maybe"),0)))</f>
        <v/>
      </c>
      <c r="AX91" s="30" t="str">
        <f aca="true">IF(OR($A91="",$I91=""),"",IF($BC91="Y",SUMIFS(survey_frozen!$L$2:$L$251,survey_frozen!$P$2:$P$251,$A91&amp;"|"&amp;$B91),IFERROR(COUNTIFS(INDIRECT("'"&amp;$A91&amp;"'!$B$2:$B$501"),$T91,INDIRECT("'"&amp;$A91&amp;"'!$A$2:$A$501"),"&gt;="&amp;$I91,INDIRECT("'"&amp;$A91&amp;"'!$A$2:$A$501"),"&lt;"&amp;($BA91+1),INDIRECT("'"&amp;$A91&amp;"'!$E$2:$E$501"),"No"),0)))</f>
        <v/>
      </c>
      <c r="AY91" s="30" t="str">
        <f aca="true">IF(OR($A91="",$I91=""),"",IF($BC91="Y",SUMIFS(survey_frozen!$M$2:$M$251,survey_frozen!$P$2:$P$251,$A91&amp;"|"&amp;$B91),IFERROR(COUNTIFS(INDIRECT("'"&amp;$A91&amp;"'!$B$2:$B$501"),$T91,INDIRECT("'"&amp;$A91&amp;"'!$A$2:$A$501"),"&gt;="&amp;$I91,INDIRECT("'"&amp;$A91&amp;"'!$A$2:$A$501"),"&lt;"&amp;($BA91+1),INDIRECT("'"&amp;$A91&amp;"'!$G$2:$G$501"),"&lt;&gt;"),0)))</f>
        <v/>
      </c>
      <c r="AZ91" s="30" t="str">
        <f aca="false">IF($A91="","",$A91&amp;"|"&amp;$L91)</f>
        <v/>
      </c>
      <c r="BA91" s="31" t="str">
        <f aca="false">IF($A91="","",IFERROR(IF(INDEX(drops!$R$2:$R$21,MATCH($H91,drops!$A$2:$A$21,0))="","",INDEX(drops!$R$2:$R$21,MATCH($H91,drops!$A$2:$A$21,0))),""))</f>
        <v/>
      </c>
      <c r="BB91" s="30" t="n">
        <f aca="false">IF(OR($A91="",$Q91&lt;&gt;"Y"),1000000,N($AL91))</f>
        <v>1000000</v>
      </c>
      <c r="BC91" s="30" t="str">
        <f aca="false">IF($A91="","",IF(COUNTIF(survey_frozen!$P$2:$P$251,$A91&amp;"|"&amp;$B91)&gt;0,"Y",""))</f>
        <v/>
      </c>
      <c r="BD91" s="30" t="str">
        <f aca="false">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ustomFormat="false" ht="15" hidden="false" customHeight="false" outlineLevel="0" collapsed="false">
      <c r="C92" s="11"/>
      <c r="D92" s="10"/>
      <c r="E92" s="11"/>
      <c r="H92" s="30" t="str">
        <f aca="false">IF($A92="","",IFERROR(IF(INDEX(campaigns!$B$2:$B$51,MATCH($A92,campaigns!$A$2:$A$51,0))="","",INDEX(campaigns!$B$2:$B$51,MATCH($A92,campaigns!$A$2:$A$51,0))),""))</f>
        <v/>
      </c>
      <c r="I92" s="31" t="str">
        <f aca="false">IF($A92="","",IFERROR(IF(INDEX(campaigns!$BG$2:$BG$51,MATCH($A92,campaigns!$A$2:$A$51,0))="","",INDEX(campaigns!$BG$2:$BG$51,MATCH($A92,campaigns!$A$2:$A$51,0))),""))</f>
        <v/>
      </c>
      <c r="J92" s="30" t="str">
        <f aca="false">IF($A92="","",IFERROR(IF(INDEX(campaigns!$BE$2:$BE$51,MATCH($A92,campaigns!$A$2:$A$51,0))="","",INDEX(campaigns!$BE$2:$BE$51,MATCH($A92,campaigns!$A$2:$A$51,0))),""))</f>
        <v/>
      </c>
      <c r="K92" s="30" t="str">
        <f aca="false">IF($B92="","",IFERROR(IF(INDEX(offices!$O$2:$O$61,MATCH($B92,offices!$A$2:$A$61,0))="","",INDEX(offices!$O$2:$O$61,MATCH($B92,offices!$A$2:$A$61,0))),""))</f>
        <v/>
      </c>
      <c r="L92" s="30" t="str">
        <f aca="false">IF($A92="","",IF($Q92="N","",COUNTIFS($A$2:$A92,$A92,$Q$2:$Q92,"&lt;&gt;N")))</f>
        <v/>
      </c>
      <c r="M92" s="30" t="str">
        <f aca="false">IF(OR($A92="",$L92=""),"",IF(AND(config!$B$34="names_if_public",IFERROR(IF(INDEX(offices!$AG$2:$AG$61,MATCH($B92,offices!$A$2:$A$61,0))="","",INDEX(offices!$AG$2:$AG$61,MATCH($B92,offices!$A$2:$A$61,0))),"")="Y"),$K92,CHAR(64+$L92)))</f>
        <v/>
      </c>
      <c r="N92" s="30" t="str">
        <f aca="false">IF(OR($A92="",$I92=""),"",COUNTIFS(stops!$B$2:$B$151,$B92,stops!$P$2:$P$151,"&lt;"&amp;$I92,stops!$L$2:$L$151,"&lt;&gt;not_delivered")+1)</f>
        <v/>
      </c>
      <c r="O92" s="30" t="str">
        <f aca="false">IF($A92="","",IF(N($N92)&lt;=config!$B$29,"explicit","opt-out"))</f>
        <v/>
      </c>
      <c r="P92" s="30" t="str">
        <f aca="false">IF($A92="","",IF($O92="explicit",IF($D92="yes","Y",IF($D92="no","N","pending")),IF($D92="no","N",IF(AND($C92&lt;&gt;"",$I92&lt;&gt;"",$C92&lt;=WORKDAY(N($I92),-5,calendar!$A$2:$A$80)),"Y","pending"))))</f>
        <v/>
      </c>
      <c r="Q92" s="30" t="str">
        <f aca="false">IF($A92="","",IF($P92="N","N",IF($P92&lt;&gt;"Y","pending",IF(AND((COUNTIFS(stops!$A$2:$A$151,$H92,stops!$B$2:$B$151,$B92,stops!$L$2:$L$151,"declined")+COUNTIFS(stops!$A$2:$A$151,$H92,stops!$B$2:$B$151,$B92,stops!$L$2:$L$151,"building_refused")+COUNTIFS(stops!$A$2:$A$151,$H92,stops!$B$2:$B$151,$B92,stops!$L$2:$L$151,"not_delivered"))&gt;0,N($U92)=0),"N","Y"))))</f>
        <v/>
      </c>
      <c r="R92" s="30" t="str">
        <f aca="false">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30" t="str">
        <f aca="false">IF($A92="","",IF($G92&lt;&gt;"",$G92,IFERROR(IF(INDEX(offices!$AM$2:$AM$61,MATCH($B92,offices!$A$2:$A$61,0))="","",INDEX(offices!$AM$2:$AM$61,MATCH($B92,offices!$A$2:$A$61,0))),"")))</f>
        <v/>
      </c>
      <c r="T92" s="30" t="str">
        <f aca="false">IF($A92="","",$A92&amp;"."&amp;$B92)</f>
        <v/>
      </c>
      <c r="U92" s="30" t="str">
        <f aca="false">IF($A92="","",SUMIFS(inventory!$G$2:$G$801,inventory!$C$2:$C$801,$A92,inventory!$D$2:$D$801,$B92,inventory!$E$2:$E$801,"delivered"))</f>
        <v/>
      </c>
      <c r="V92" s="37" t="str">
        <f aca="false">IF($A92="","",IFERROR(1/(1/SUMPRODUCT(MAX((inventory!$C$2:$C$801=$A92)*(inventory!$D$2:$D$801=$B92)*(inventory!$E$2:$E$801="delivered")*(inventory!$A$2:$A$801+inventory!$B$2:$B$801)))),""))</f>
        <v/>
      </c>
      <c r="W92" s="30" t="str">
        <f aca="false">IF($A92="","",IFERROR(IF(INDEX(inventory!$J$2:$J$801,MATCH($A92&amp;"|"&amp;$B92&amp;"|delivered",inventory!$R$2:$R$801,0))="","",INDEX(inventory!$J$2:$J$801,MATCH($A92&amp;"|"&amp;$B92&amp;"|delivered",inventory!$R$2:$R$801,0))),""))</f>
        <v/>
      </c>
      <c r="X92" s="30" t="str">
        <f aca="false">IF($A92="","",IFERROR(IF(INDEX(photos!$H$2:$H$701,MATCH($A92&amp;"|"&amp;$B92&amp;"|placement|Y",photos!$R$2:$R$701,0))="","",INDEX(photos!$H$2:$H$701,MATCH($A92&amp;"|"&amp;$B92&amp;"|placement|Y",photos!$R$2:$R$701,0))),""))</f>
        <v/>
      </c>
      <c r="Y92" s="31" t="str">
        <f aca="false">IF($A92="","",IFERROR(IF(INDEX(photos!$E$2:$E$701,MATCH($A92&amp;"|"&amp;$B92&amp;"|placement|Y",photos!$R$2:$R$701,0))="","",INDEX(photos!$E$2:$E$701,MATCH($A92&amp;"|"&amp;$B92&amp;"|placement|Y",photos!$R$2:$R$701,0))),""))</f>
        <v/>
      </c>
      <c r="Z92" s="30" t="str">
        <f aca="false">IF($A92="","",IF(COUNTIFS(counts!$C$2:$C$701,$A92,counts!$D$2:$D$701,$B92,counts!$E$2:$E$701,"placed")=0,"",SUMIFS(counts!$F$2:$F$701,counts!$C$2:$C$701,$A92,counts!$D$2:$D$701,$B92,counts!$E$2:$E$701,"placed")))</f>
        <v/>
      </c>
      <c r="AA92" s="30" t="str">
        <f aca="false">IF($A92="","",IF($Y92="",0,N($Z92)))</f>
        <v/>
      </c>
      <c r="AB92" s="30" t="str">
        <f aca="false">IF($A92="","",IF(OR($Y92="",$I92=""),"N",IF($Y92&lt;=WORKDAY(N($I92),1,calendar!$A$2:$A$80),"Y","N")))</f>
        <v/>
      </c>
      <c r="AC92" s="33" t="str">
        <f aca="false">IF(OR($A92="",$V92="",$Y92=""),"",ROUND(($Y92+N(IFERROR(IF(INDEX(photos!$F$2:$F$701,MATCH($A92&amp;"|"&amp;$B92&amp;"|placement|Y",photos!$R$2:$R$701,0))="","",INDEX(photos!$F$2:$F$701,MATCH($A92&amp;"|"&amp;$B92&amp;"|placement|Y",photos!$R$2:$R$701,0))),""))-$V92)*24,1))</f>
        <v/>
      </c>
      <c r="AD92" s="30" t="str">
        <f aca="false">IF($A92="","",SUMIFS(inventory!$G$2:$G$801,inventory!$C$2:$C$801,$A92,inventory!$D$2:$D$801,$B92,inventory!$E$2:$E$801,"topped_up"))</f>
        <v/>
      </c>
      <c r="AE92" s="30" t="str">
        <f aca="false">IF($A92="","",IF(COUNTIFS(counts!$C$2:$C$701,$A92,counts!$D$2:$D$701,$B92,counts!$E$2:$E$701,"remaining_day3")=0,"",SUMIFS(counts!$F$2:$F$701,counts!$C$2:$C$701,$A92,counts!$D$2:$D$701,$B92,counts!$E$2:$E$701,"remaining_day3")))</f>
        <v/>
      </c>
      <c r="AF92" s="30" t="str">
        <f aca="false">IF($A92="","",IF(COUNTIFS(counts!$C$2:$C$701,$A92,counts!$D$2:$D$701,$B92,counts!$E$2:$E$701,"remaining_day5")=0,"",SUMIFS(counts!$F$2:$F$701,counts!$C$2:$C$701,$A92,counts!$D$2:$D$701,$B92,counts!$E$2:$E$701,"remaining_day5")))</f>
        <v/>
      </c>
      <c r="AG92" s="30" t="str">
        <f aca="false">IF(OR($A92="",$AF92=""),"",MAX(0,$AA92+$AD92-$AF92))</f>
        <v/>
      </c>
      <c r="AH92" s="30" t="str">
        <f aca="false">IF(OR($A92="",$AI92=""),"",IFERROR(IF(INDEX(photos!$H$2:$H$701,MATCH($A92&amp;"|"&amp;$B92&amp;"|later|Y|"&amp;$AI92,photos!$S$2:$S$701,0))="","",INDEX(photos!$H$2:$H$701,MATCH($A92&amp;"|"&amp;$B92&amp;"|later|Y|"&amp;$AI92,photos!$S$2:$S$701,0))),""))</f>
        <v/>
      </c>
      <c r="AI92" s="31" t="str">
        <f aca="false">IF($A92="","",IFERROR(1/(1/SUMPRODUCT(MAX((photos!$B$2:$B$701=$A92)*(photos!$C$2:$C$701=$B92)*(photos!$D$2:$D$701="later")*(photos!$O$2:$O$701="Y")*photos!$E$2:$E$701))),""))</f>
        <v/>
      </c>
      <c r="AJ92" s="30" t="str">
        <f aca="false">IF(OR($A92="",$AI92="",$I92=""),"",NETWORKDAYS($I92,$AI92,calendar!$A$2:$A$80))</f>
        <v/>
      </c>
      <c r="AK92" s="30" t="str">
        <f aca="false">IF($A92="","",IF(AND($X92&lt;&gt;"",$AH92&lt;&gt;""),"Y","N"))</f>
        <v/>
      </c>
      <c r="AL92" s="30" t="str">
        <f aca="true">IF(OR($A92="",$I92=""),"",IF($BC92="Y",SUMIFS(survey_frozen!$C$2:$C$251,survey_frozen!$P$2:$P$251,$A92&amp;"|"&amp;$B92),IFERROR(COUNTIFS(INDIRECT("'"&amp;$A92&amp;"'!$B$2:$B$501"),$T92,INDIRECT("'"&amp;$A92&amp;"'!$A$2:$A$501"),"&gt;="&amp;$I92,INDIRECT("'"&amp;$A92&amp;"'!$A$2:$A$501"),"&lt;"&amp;($BA92+1)),0)))</f>
        <v/>
      </c>
      <c r="AM92" s="30" t="str">
        <f aca="true">IF(OR($A92="",$I92=""),"",IF($BC92="Y",SUMIFS(survey_frozen!$D$2:$D$251,survey_frozen!$P$2:$P$251,$A92&amp;"|"&amp;$B92),IFERROR(COUNTIFS(INDIRECT("'"&amp;$A92&amp;"'!$B$2:$B$501"),$T92,INDIRECT("'"&amp;$A92&amp;"'!$A$2:$A$501"),"&gt;="&amp;$I92,INDIRECT("'"&amp;$A92&amp;"'!$A$2:$A$501"),"&lt;"&amp;($BA92+1),INDIRECT("'"&amp;$A92&amp;"'!$C$2:$C$501"),"Yes"),0)))</f>
        <v/>
      </c>
      <c r="AN92" s="30" t="str">
        <f aca="false">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30" t="str">
        <f aca="false">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30" t="str">
        <f aca="true">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30" t="str">
        <f aca="true">IF(OR($A92="",$I92=""),"",IF($BC92="Y",SUMIFS(survey_frozen!$E$2:$E$251,survey_frozen!$P$2:$P$251,$A92&amp;"|"&amp;$B92),IFERROR(COUNTIFS(INDIRECT("'"&amp;$A92&amp;"'!$B$2:$B$501"),$T92,INDIRECT("'"&amp;$A92&amp;"'!$A$2:$A$501"),"&gt;="&amp;$I92,INDIRECT("'"&amp;$A92&amp;"'!$A$2:$A$501"),"&lt;"&amp;($BA92+1),INDIRECT("'"&amp;$A92&amp;"'!$F$2:$F$501"),"Didn't see it"),0)))</f>
        <v/>
      </c>
      <c r="AR92" s="30" t="str">
        <f aca="true">IF(OR($A92="",$I92=""),"",IF($BC92="Y",SUMIFS(survey_frozen!$F$2:$F$251,survey_frozen!$P$2:$P$251,$A92&amp;"|"&amp;$B92),IFERROR(COUNTIFS(INDIRECT("'"&amp;$A92&amp;"'!$B$2:$B$501"),$T92,INDIRECT("'"&amp;$A92&amp;"'!$A$2:$A$501"),"&gt;="&amp;$I92,INDIRECT("'"&amp;$A92&amp;"'!$A$2:$A$501"),"&lt;"&amp;($BA92+1),INDIRECT("'"&amp;$A92&amp;"'!$F$2:$F$501"),"Not for me"),0)))</f>
        <v/>
      </c>
      <c r="AS92" s="30" t="str">
        <f aca="true">IF(OR($A92="",$I92=""),"",IF($BC92="Y",SUMIFS(survey_frozen!$G$2:$G$251,survey_frozen!$P$2:$P$251,$A92&amp;"|"&amp;$B92),IFERROR(COUNTIFS(INDIRECT("'"&amp;$A92&amp;"'!$B$2:$B$501"),$T92,INDIRECT("'"&amp;$A92&amp;"'!$A$2:$A$501"),"&gt;="&amp;$I92,INDIRECT("'"&amp;$A92&amp;"'!$A$2:$A$501"),"&lt;"&amp;($BA92+1),INDIRECT("'"&amp;$A92&amp;"'!$F$2:$F$501"),"Gone by the time I looked"),0)))</f>
        <v/>
      </c>
      <c r="AT92" s="30" t="str">
        <f aca="true">IF(OR($A92="",$I92=""),"",IF($BC92="Y",SUMIFS(survey_frozen!$H$2:$H$251,survey_frozen!$P$2:$P$251,$A92&amp;"|"&amp;$B92),IFERROR(COUNTIFS(INDIRECT("'"&amp;$A92&amp;"'!$B$2:$B$501"),$T92,INDIRECT("'"&amp;$A92&amp;"'!$A$2:$A$501"),"&gt;="&amp;$I92,INDIRECT("'"&amp;$A92&amp;"'!$A$2:$A$501"),"&lt;"&amp;($BA92+1),INDIRECT("'"&amp;$A92&amp;"'!$D$2:$D$501"),"&gt;=1"),0)))</f>
        <v/>
      </c>
      <c r="AU92" s="30" t="str">
        <f aca="true">IF(OR($A92="",$I92=""),"",IF($BC92="Y",SUMIFS(survey_frozen!$I$2:$I$251,survey_frozen!$P$2:$P$251,$A92&amp;"|"&amp;$B92),IFERROR(SUMIFS(INDIRECT("'"&amp;$A92&amp;"'!$D$2:$D$501"),INDIRECT("'"&amp;$A92&amp;"'!$B$2:$B$501"),$T92,INDIRECT("'"&amp;$A92&amp;"'!$A$2:$A$501"),"&gt;="&amp;$I92,INDIRECT("'"&amp;$A92&amp;"'!$A$2:$A$501"),"&lt;"&amp;($BA92+1)),0)))</f>
        <v/>
      </c>
      <c r="AV92" s="30" t="str">
        <f aca="true">IF(OR($A92="",$I92=""),"",IF($BC92="Y",SUMIFS(survey_frozen!$J$2:$J$251,survey_frozen!$P$2:$P$251,$A92&amp;"|"&amp;$B92),IFERROR(COUNTIFS(INDIRECT("'"&amp;$A92&amp;"'!$B$2:$B$501"),$T92,INDIRECT("'"&amp;$A92&amp;"'!$A$2:$A$501"),"&gt;="&amp;$I92,INDIRECT("'"&amp;$A92&amp;"'!$A$2:$A$501"),"&lt;"&amp;($BA92+1),INDIRECT("'"&amp;$A92&amp;"'!$E$2:$E$501"),"Yes"),0)))</f>
        <v/>
      </c>
      <c r="AW92" s="30" t="str">
        <f aca="true">IF(OR($A92="",$I92=""),"",IF($BC92="Y",SUMIFS(survey_frozen!$K$2:$K$251,survey_frozen!$P$2:$P$251,$A92&amp;"|"&amp;$B92),IFERROR(COUNTIFS(INDIRECT("'"&amp;$A92&amp;"'!$B$2:$B$501"),$T92,INDIRECT("'"&amp;$A92&amp;"'!$A$2:$A$501"),"&gt;="&amp;$I92,INDIRECT("'"&amp;$A92&amp;"'!$A$2:$A$501"),"&lt;"&amp;($BA92+1),INDIRECT("'"&amp;$A92&amp;"'!$E$2:$E$501"),"Maybe"),0)))</f>
        <v/>
      </c>
      <c r="AX92" s="30" t="str">
        <f aca="true">IF(OR($A92="",$I92=""),"",IF($BC92="Y",SUMIFS(survey_frozen!$L$2:$L$251,survey_frozen!$P$2:$P$251,$A92&amp;"|"&amp;$B92),IFERROR(COUNTIFS(INDIRECT("'"&amp;$A92&amp;"'!$B$2:$B$501"),$T92,INDIRECT("'"&amp;$A92&amp;"'!$A$2:$A$501"),"&gt;="&amp;$I92,INDIRECT("'"&amp;$A92&amp;"'!$A$2:$A$501"),"&lt;"&amp;($BA92+1),INDIRECT("'"&amp;$A92&amp;"'!$E$2:$E$501"),"No"),0)))</f>
        <v/>
      </c>
      <c r="AY92" s="30" t="str">
        <f aca="true">IF(OR($A92="",$I92=""),"",IF($BC92="Y",SUMIFS(survey_frozen!$M$2:$M$251,survey_frozen!$P$2:$P$251,$A92&amp;"|"&amp;$B92),IFERROR(COUNTIFS(INDIRECT("'"&amp;$A92&amp;"'!$B$2:$B$501"),$T92,INDIRECT("'"&amp;$A92&amp;"'!$A$2:$A$501"),"&gt;="&amp;$I92,INDIRECT("'"&amp;$A92&amp;"'!$A$2:$A$501"),"&lt;"&amp;($BA92+1),INDIRECT("'"&amp;$A92&amp;"'!$G$2:$G$501"),"&lt;&gt;"),0)))</f>
        <v/>
      </c>
      <c r="AZ92" s="30" t="str">
        <f aca="false">IF($A92="","",$A92&amp;"|"&amp;$L92)</f>
        <v/>
      </c>
      <c r="BA92" s="31" t="str">
        <f aca="false">IF($A92="","",IFERROR(IF(INDEX(drops!$R$2:$R$21,MATCH($H92,drops!$A$2:$A$21,0))="","",INDEX(drops!$R$2:$R$21,MATCH($H92,drops!$A$2:$A$21,0))),""))</f>
        <v/>
      </c>
      <c r="BB92" s="30" t="n">
        <f aca="false">IF(OR($A92="",$Q92&lt;&gt;"Y"),1000000,N($AL92))</f>
        <v>1000000</v>
      </c>
      <c r="BC92" s="30" t="str">
        <f aca="false">IF($A92="","",IF(COUNTIF(survey_frozen!$P$2:$P$251,$A92&amp;"|"&amp;$B92)&gt;0,"Y",""))</f>
        <v/>
      </c>
      <c r="BD92" s="30" t="str">
        <f aca="false">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ustomFormat="false" ht="15" hidden="false" customHeight="false" outlineLevel="0" collapsed="false">
      <c r="C93" s="11"/>
      <c r="D93" s="10"/>
      <c r="E93" s="11"/>
      <c r="H93" s="30" t="str">
        <f aca="false">IF($A93="","",IFERROR(IF(INDEX(campaigns!$B$2:$B$51,MATCH($A93,campaigns!$A$2:$A$51,0))="","",INDEX(campaigns!$B$2:$B$51,MATCH($A93,campaigns!$A$2:$A$51,0))),""))</f>
        <v/>
      </c>
      <c r="I93" s="31" t="str">
        <f aca="false">IF($A93="","",IFERROR(IF(INDEX(campaigns!$BG$2:$BG$51,MATCH($A93,campaigns!$A$2:$A$51,0))="","",INDEX(campaigns!$BG$2:$BG$51,MATCH($A93,campaigns!$A$2:$A$51,0))),""))</f>
        <v/>
      </c>
      <c r="J93" s="30" t="str">
        <f aca="false">IF($A93="","",IFERROR(IF(INDEX(campaigns!$BE$2:$BE$51,MATCH($A93,campaigns!$A$2:$A$51,0))="","",INDEX(campaigns!$BE$2:$BE$51,MATCH($A93,campaigns!$A$2:$A$51,0))),""))</f>
        <v/>
      </c>
      <c r="K93" s="30" t="str">
        <f aca="false">IF($B93="","",IFERROR(IF(INDEX(offices!$O$2:$O$61,MATCH($B93,offices!$A$2:$A$61,0))="","",INDEX(offices!$O$2:$O$61,MATCH($B93,offices!$A$2:$A$61,0))),""))</f>
        <v/>
      </c>
      <c r="L93" s="30" t="str">
        <f aca="false">IF($A93="","",IF($Q93="N","",COUNTIFS($A$2:$A93,$A93,$Q$2:$Q93,"&lt;&gt;N")))</f>
        <v/>
      </c>
      <c r="M93" s="30" t="str">
        <f aca="false">IF(OR($A93="",$L93=""),"",IF(AND(config!$B$34="names_if_public",IFERROR(IF(INDEX(offices!$AG$2:$AG$61,MATCH($B93,offices!$A$2:$A$61,0))="","",INDEX(offices!$AG$2:$AG$61,MATCH($B93,offices!$A$2:$A$61,0))),"")="Y"),$K93,CHAR(64+$L93)))</f>
        <v/>
      </c>
      <c r="N93" s="30" t="str">
        <f aca="false">IF(OR($A93="",$I93=""),"",COUNTIFS(stops!$B$2:$B$151,$B93,stops!$P$2:$P$151,"&lt;"&amp;$I93,stops!$L$2:$L$151,"&lt;&gt;not_delivered")+1)</f>
        <v/>
      </c>
      <c r="O93" s="30" t="str">
        <f aca="false">IF($A93="","",IF(N($N93)&lt;=config!$B$29,"explicit","opt-out"))</f>
        <v/>
      </c>
      <c r="P93" s="30" t="str">
        <f aca="false">IF($A93="","",IF($O93="explicit",IF($D93="yes","Y",IF($D93="no","N","pending")),IF($D93="no","N",IF(AND($C93&lt;&gt;"",$I93&lt;&gt;"",$C93&lt;=WORKDAY(N($I93),-5,calendar!$A$2:$A$80)),"Y","pending"))))</f>
        <v/>
      </c>
      <c r="Q93" s="30" t="str">
        <f aca="false">IF($A93="","",IF($P93="N","N",IF($P93&lt;&gt;"Y","pending",IF(AND((COUNTIFS(stops!$A$2:$A$151,$H93,stops!$B$2:$B$151,$B93,stops!$L$2:$L$151,"declined")+COUNTIFS(stops!$A$2:$A$151,$H93,stops!$B$2:$B$151,$B93,stops!$L$2:$L$151,"building_refused")+COUNTIFS(stops!$A$2:$A$151,$H93,stops!$B$2:$B$151,$B93,stops!$L$2:$L$151,"not_delivered"))&gt;0,N($U93)=0),"N","Y"))))</f>
        <v/>
      </c>
      <c r="R93" s="30" t="str">
        <f aca="false">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30" t="str">
        <f aca="false">IF($A93="","",IF($G93&lt;&gt;"",$G93,IFERROR(IF(INDEX(offices!$AM$2:$AM$61,MATCH($B93,offices!$A$2:$A$61,0))="","",INDEX(offices!$AM$2:$AM$61,MATCH($B93,offices!$A$2:$A$61,0))),"")))</f>
        <v/>
      </c>
      <c r="T93" s="30" t="str">
        <f aca="false">IF($A93="","",$A93&amp;"."&amp;$B93)</f>
        <v/>
      </c>
      <c r="U93" s="30" t="str">
        <f aca="false">IF($A93="","",SUMIFS(inventory!$G$2:$G$801,inventory!$C$2:$C$801,$A93,inventory!$D$2:$D$801,$B93,inventory!$E$2:$E$801,"delivered"))</f>
        <v/>
      </c>
      <c r="V93" s="37" t="str">
        <f aca="false">IF($A93="","",IFERROR(1/(1/SUMPRODUCT(MAX((inventory!$C$2:$C$801=$A93)*(inventory!$D$2:$D$801=$B93)*(inventory!$E$2:$E$801="delivered")*(inventory!$A$2:$A$801+inventory!$B$2:$B$801)))),""))</f>
        <v/>
      </c>
      <c r="W93" s="30" t="str">
        <f aca="false">IF($A93="","",IFERROR(IF(INDEX(inventory!$J$2:$J$801,MATCH($A93&amp;"|"&amp;$B93&amp;"|delivered",inventory!$R$2:$R$801,0))="","",INDEX(inventory!$J$2:$J$801,MATCH($A93&amp;"|"&amp;$B93&amp;"|delivered",inventory!$R$2:$R$801,0))),""))</f>
        <v/>
      </c>
      <c r="X93" s="30" t="str">
        <f aca="false">IF($A93="","",IFERROR(IF(INDEX(photos!$H$2:$H$701,MATCH($A93&amp;"|"&amp;$B93&amp;"|placement|Y",photos!$R$2:$R$701,0))="","",INDEX(photos!$H$2:$H$701,MATCH($A93&amp;"|"&amp;$B93&amp;"|placement|Y",photos!$R$2:$R$701,0))),""))</f>
        <v/>
      </c>
      <c r="Y93" s="31" t="str">
        <f aca="false">IF($A93="","",IFERROR(IF(INDEX(photos!$E$2:$E$701,MATCH($A93&amp;"|"&amp;$B93&amp;"|placement|Y",photos!$R$2:$R$701,0))="","",INDEX(photos!$E$2:$E$701,MATCH($A93&amp;"|"&amp;$B93&amp;"|placement|Y",photos!$R$2:$R$701,0))),""))</f>
        <v/>
      </c>
      <c r="Z93" s="30" t="str">
        <f aca="false">IF($A93="","",IF(COUNTIFS(counts!$C$2:$C$701,$A93,counts!$D$2:$D$701,$B93,counts!$E$2:$E$701,"placed")=0,"",SUMIFS(counts!$F$2:$F$701,counts!$C$2:$C$701,$A93,counts!$D$2:$D$701,$B93,counts!$E$2:$E$701,"placed")))</f>
        <v/>
      </c>
      <c r="AA93" s="30" t="str">
        <f aca="false">IF($A93="","",IF($Y93="",0,N($Z93)))</f>
        <v/>
      </c>
      <c r="AB93" s="30" t="str">
        <f aca="false">IF($A93="","",IF(OR($Y93="",$I93=""),"N",IF($Y93&lt;=WORKDAY(N($I93),1,calendar!$A$2:$A$80),"Y","N")))</f>
        <v/>
      </c>
      <c r="AC93" s="33" t="str">
        <f aca="false">IF(OR($A93="",$V93="",$Y93=""),"",ROUND(($Y93+N(IFERROR(IF(INDEX(photos!$F$2:$F$701,MATCH($A93&amp;"|"&amp;$B93&amp;"|placement|Y",photos!$R$2:$R$701,0))="","",INDEX(photos!$F$2:$F$701,MATCH($A93&amp;"|"&amp;$B93&amp;"|placement|Y",photos!$R$2:$R$701,0))),""))-$V93)*24,1))</f>
        <v/>
      </c>
      <c r="AD93" s="30" t="str">
        <f aca="false">IF($A93="","",SUMIFS(inventory!$G$2:$G$801,inventory!$C$2:$C$801,$A93,inventory!$D$2:$D$801,$B93,inventory!$E$2:$E$801,"topped_up"))</f>
        <v/>
      </c>
      <c r="AE93" s="30" t="str">
        <f aca="false">IF($A93="","",IF(COUNTIFS(counts!$C$2:$C$701,$A93,counts!$D$2:$D$701,$B93,counts!$E$2:$E$701,"remaining_day3")=0,"",SUMIFS(counts!$F$2:$F$701,counts!$C$2:$C$701,$A93,counts!$D$2:$D$701,$B93,counts!$E$2:$E$701,"remaining_day3")))</f>
        <v/>
      </c>
      <c r="AF93" s="30" t="str">
        <f aca="false">IF($A93="","",IF(COUNTIFS(counts!$C$2:$C$701,$A93,counts!$D$2:$D$701,$B93,counts!$E$2:$E$701,"remaining_day5")=0,"",SUMIFS(counts!$F$2:$F$701,counts!$C$2:$C$701,$A93,counts!$D$2:$D$701,$B93,counts!$E$2:$E$701,"remaining_day5")))</f>
        <v/>
      </c>
      <c r="AG93" s="30" t="str">
        <f aca="false">IF(OR($A93="",$AF93=""),"",MAX(0,$AA93+$AD93-$AF93))</f>
        <v/>
      </c>
      <c r="AH93" s="30" t="str">
        <f aca="false">IF(OR($A93="",$AI93=""),"",IFERROR(IF(INDEX(photos!$H$2:$H$701,MATCH($A93&amp;"|"&amp;$B93&amp;"|later|Y|"&amp;$AI93,photos!$S$2:$S$701,0))="","",INDEX(photos!$H$2:$H$701,MATCH($A93&amp;"|"&amp;$B93&amp;"|later|Y|"&amp;$AI93,photos!$S$2:$S$701,0))),""))</f>
        <v/>
      </c>
      <c r="AI93" s="31" t="str">
        <f aca="false">IF($A93="","",IFERROR(1/(1/SUMPRODUCT(MAX((photos!$B$2:$B$701=$A93)*(photos!$C$2:$C$701=$B93)*(photos!$D$2:$D$701="later")*(photos!$O$2:$O$701="Y")*photos!$E$2:$E$701))),""))</f>
        <v/>
      </c>
      <c r="AJ93" s="30" t="str">
        <f aca="false">IF(OR($A93="",$AI93="",$I93=""),"",NETWORKDAYS($I93,$AI93,calendar!$A$2:$A$80))</f>
        <v/>
      </c>
      <c r="AK93" s="30" t="str">
        <f aca="false">IF($A93="","",IF(AND($X93&lt;&gt;"",$AH93&lt;&gt;""),"Y","N"))</f>
        <v/>
      </c>
      <c r="AL93" s="30" t="str">
        <f aca="true">IF(OR($A93="",$I93=""),"",IF($BC93="Y",SUMIFS(survey_frozen!$C$2:$C$251,survey_frozen!$P$2:$P$251,$A93&amp;"|"&amp;$B93),IFERROR(COUNTIFS(INDIRECT("'"&amp;$A93&amp;"'!$B$2:$B$501"),$T93,INDIRECT("'"&amp;$A93&amp;"'!$A$2:$A$501"),"&gt;="&amp;$I93,INDIRECT("'"&amp;$A93&amp;"'!$A$2:$A$501"),"&lt;"&amp;($BA93+1)),0)))</f>
        <v/>
      </c>
      <c r="AM93" s="30" t="str">
        <f aca="true">IF(OR($A93="",$I93=""),"",IF($BC93="Y",SUMIFS(survey_frozen!$D$2:$D$251,survey_frozen!$P$2:$P$251,$A93&amp;"|"&amp;$B93),IFERROR(COUNTIFS(INDIRECT("'"&amp;$A93&amp;"'!$B$2:$B$501"),$T93,INDIRECT("'"&amp;$A93&amp;"'!$A$2:$A$501"),"&gt;="&amp;$I93,INDIRECT("'"&amp;$A93&amp;"'!$A$2:$A$501"),"&lt;"&amp;($BA93+1),INDIRECT("'"&amp;$A93&amp;"'!$C$2:$C$501"),"Yes"),0)))</f>
        <v/>
      </c>
      <c r="AN93" s="30" t="str">
        <f aca="false">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30" t="str">
        <f aca="false">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30" t="str">
        <f aca="true">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30" t="str">
        <f aca="true">IF(OR($A93="",$I93=""),"",IF($BC93="Y",SUMIFS(survey_frozen!$E$2:$E$251,survey_frozen!$P$2:$P$251,$A93&amp;"|"&amp;$B93),IFERROR(COUNTIFS(INDIRECT("'"&amp;$A93&amp;"'!$B$2:$B$501"),$T93,INDIRECT("'"&amp;$A93&amp;"'!$A$2:$A$501"),"&gt;="&amp;$I93,INDIRECT("'"&amp;$A93&amp;"'!$A$2:$A$501"),"&lt;"&amp;($BA93+1),INDIRECT("'"&amp;$A93&amp;"'!$F$2:$F$501"),"Didn't see it"),0)))</f>
        <v/>
      </c>
      <c r="AR93" s="30" t="str">
        <f aca="true">IF(OR($A93="",$I93=""),"",IF($BC93="Y",SUMIFS(survey_frozen!$F$2:$F$251,survey_frozen!$P$2:$P$251,$A93&amp;"|"&amp;$B93),IFERROR(COUNTIFS(INDIRECT("'"&amp;$A93&amp;"'!$B$2:$B$501"),$T93,INDIRECT("'"&amp;$A93&amp;"'!$A$2:$A$501"),"&gt;="&amp;$I93,INDIRECT("'"&amp;$A93&amp;"'!$A$2:$A$501"),"&lt;"&amp;($BA93+1),INDIRECT("'"&amp;$A93&amp;"'!$F$2:$F$501"),"Not for me"),0)))</f>
        <v/>
      </c>
      <c r="AS93" s="30" t="str">
        <f aca="true">IF(OR($A93="",$I93=""),"",IF($BC93="Y",SUMIFS(survey_frozen!$G$2:$G$251,survey_frozen!$P$2:$P$251,$A93&amp;"|"&amp;$B93),IFERROR(COUNTIFS(INDIRECT("'"&amp;$A93&amp;"'!$B$2:$B$501"),$T93,INDIRECT("'"&amp;$A93&amp;"'!$A$2:$A$501"),"&gt;="&amp;$I93,INDIRECT("'"&amp;$A93&amp;"'!$A$2:$A$501"),"&lt;"&amp;($BA93+1),INDIRECT("'"&amp;$A93&amp;"'!$F$2:$F$501"),"Gone by the time I looked"),0)))</f>
        <v/>
      </c>
      <c r="AT93" s="30" t="str">
        <f aca="true">IF(OR($A93="",$I93=""),"",IF($BC93="Y",SUMIFS(survey_frozen!$H$2:$H$251,survey_frozen!$P$2:$P$251,$A93&amp;"|"&amp;$B93),IFERROR(COUNTIFS(INDIRECT("'"&amp;$A93&amp;"'!$B$2:$B$501"),$T93,INDIRECT("'"&amp;$A93&amp;"'!$A$2:$A$501"),"&gt;="&amp;$I93,INDIRECT("'"&amp;$A93&amp;"'!$A$2:$A$501"),"&lt;"&amp;($BA93+1),INDIRECT("'"&amp;$A93&amp;"'!$D$2:$D$501"),"&gt;=1"),0)))</f>
        <v/>
      </c>
      <c r="AU93" s="30" t="str">
        <f aca="true">IF(OR($A93="",$I93=""),"",IF($BC93="Y",SUMIFS(survey_frozen!$I$2:$I$251,survey_frozen!$P$2:$P$251,$A93&amp;"|"&amp;$B93),IFERROR(SUMIFS(INDIRECT("'"&amp;$A93&amp;"'!$D$2:$D$501"),INDIRECT("'"&amp;$A93&amp;"'!$B$2:$B$501"),$T93,INDIRECT("'"&amp;$A93&amp;"'!$A$2:$A$501"),"&gt;="&amp;$I93,INDIRECT("'"&amp;$A93&amp;"'!$A$2:$A$501"),"&lt;"&amp;($BA93+1)),0)))</f>
        <v/>
      </c>
      <c r="AV93" s="30" t="str">
        <f aca="true">IF(OR($A93="",$I93=""),"",IF($BC93="Y",SUMIFS(survey_frozen!$J$2:$J$251,survey_frozen!$P$2:$P$251,$A93&amp;"|"&amp;$B93),IFERROR(COUNTIFS(INDIRECT("'"&amp;$A93&amp;"'!$B$2:$B$501"),$T93,INDIRECT("'"&amp;$A93&amp;"'!$A$2:$A$501"),"&gt;="&amp;$I93,INDIRECT("'"&amp;$A93&amp;"'!$A$2:$A$501"),"&lt;"&amp;($BA93+1),INDIRECT("'"&amp;$A93&amp;"'!$E$2:$E$501"),"Yes"),0)))</f>
        <v/>
      </c>
      <c r="AW93" s="30" t="str">
        <f aca="true">IF(OR($A93="",$I93=""),"",IF($BC93="Y",SUMIFS(survey_frozen!$K$2:$K$251,survey_frozen!$P$2:$P$251,$A93&amp;"|"&amp;$B93),IFERROR(COUNTIFS(INDIRECT("'"&amp;$A93&amp;"'!$B$2:$B$501"),$T93,INDIRECT("'"&amp;$A93&amp;"'!$A$2:$A$501"),"&gt;="&amp;$I93,INDIRECT("'"&amp;$A93&amp;"'!$A$2:$A$501"),"&lt;"&amp;($BA93+1),INDIRECT("'"&amp;$A93&amp;"'!$E$2:$E$501"),"Maybe"),0)))</f>
        <v/>
      </c>
      <c r="AX93" s="30" t="str">
        <f aca="true">IF(OR($A93="",$I93=""),"",IF($BC93="Y",SUMIFS(survey_frozen!$L$2:$L$251,survey_frozen!$P$2:$P$251,$A93&amp;"|"&amp;$B93),IFERROR(COUNTIFS(INDIRECT("'"&amp;$A93&amp;"'!$B$2:$B$501"),$T93,INDIRECT("'"&amp;$A93&amp;"'!$A$2:$A$501"),"&gt;="&amp;$I93,INDIRECT("'"&amp;$A93&amp;"'!$A$2:$A$501"),"&lt;"&amp;($BA93+1),INDIRECT("'"&amp;$A93&amp;"'!$E$2:$E$501"),"No"),0)))</f>
        <v/>
      </c>
      <c r="AY93" s="30" t="str">
        <f aca="true">IF(OR($A93="",$I93=""),"",IF($BC93="Y",SUMIFS(survey_frozen!$M$2:$M$251,survey_frozen!$P$2:$P$251,$A93&amp;"|"&amp;$B93),IFERROR(COUNTIFS(INDIRECT("'"&amp;$A93&amp;"'!$B$2:$B$501"),$T93,INDIRECT("'"&amp;$A93&amp;"'!$A$2:$A$501"),"&gt;="&amp;$I93,INDIRECT("'"&amp;$A93&amp;"'!$A$2:$A$501"),"&lt;"&amp;($BA93+1),INDIRECT("'"&amp;$A93&amp;"'!$G$2:$G$501"),"&lt;&gt;"),0)))</f>
        <v/>
      </c>
      <c r="AZ93" s="30" t="str">
        <f aca="false">IF($A93="","",$A93&amp;"|"&amp;$L93)</f>
        <v/>
      </c>
      <c r="BA93" s="31" t="str">
        <f aca="false">IF($A93="","",IFERROR(IF(INDEX(drops!$R$2:$R$21,MATCH($H93,drops!$A$2:$A$21,0))="","",INDEX(drops!$R$2:$R$21,MATCH($H93,drops!$A$2:$A$21,0))),""))</f>
        <v/>
      </c>
      <c r="BB93" s="30" t="n">
        <f aca="false">IF(OR($A93="",$Q93&lt;&gt;"Y"),1000000,N($AL93))</f>
        <v>1000000</v>
      </c>
      <c r="BC93" s="30" t="str">
        <f aca="false">IF($A93="","",IF(COUNTIF(survey_frozen!$P$2:$P$251,$A93&amp;"|"&amp;$B93)&gt;0,"Y",""))</f>
        <v/>
      </c>
      <c r="BD93" s="30" t="str">
        <f aca="false">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ustomFormat="false" ht="15" hidden="false" customHeight="false" outlineLevel="0" collapsed="false">
      <c r="C94" s="11"/>
      <c r="D94" s="10"/>
      <c r="E94" s="11"/>
      <c r="H94" s="30" t="str">
        <f aca="false">IF($A94="","",IFERROR(IF(INDEX(campaigns!$B$2:$B$51,MATCH($A94,campaigns!$A$2:$A$51,0))="","",INDEX(campaigns!$B$2:$B$51,MATCH($A94,campaigns!$A$2:$A$51,0))),""))</f>
        <v/>
      </c>
      <c r="I94" s="31" t="str">
        <f aca="false">IF($A94="","",IFERROR(IF(INDEX(campaigns!$BG$2:$BG$51,MATCH($A94,campaigns!$A$2:$A$51,0))="","",INDEX(campaigns!$BG$2:$BG$51,MATCH($A94,campaigns!$A$2:$A$51,0))),""))</f>
        <v/>
      </c>
      <c r="J94" s="30" t="str">
        <f aca="false">IF($A94="","",IFERROR(IF(INDEX(campaigns!$BE$2:$BE$51,MATCH($A94,campaigns!$A$2:$A$51,0))="","",INDEX(campaigns!$BE$2:$BE$51,MATCH($A94,campaigns!$A$2:$A$51,0))),""))</f>
        <v/>
      </c>
      <c r="K94" s="30" t="str">
        <f aca="false">IF($B94="","",IFERROR(IF(INDEX(offices!$O$2:$O$61,MATCH($B94,offices!$A$2:$A$61,0))="","",INDEX(offices!$O$2:$O$61,MATCH($B94,offices!$A$2:$A$61,0))),""))</f>
        <v/>
      </c>
      <c r="L94" s="30" t="str">
        <f aca="false">IF($A94="","",IF($Q94="N","",COUNTIFS($A$2:$A94,$A94,$Q$2:$Q94,"&lt;&gt;N")))</f>
        <v/>
      </c>
      <c r="M94" s="30" t="str">
        <f aca="false">IF(OR($A94="",$L94=""),"",IF(AND(config!$B$34="names_if_public",IFERROR(IF(INDEX(offices!$AG$2:$AG$61,MATCH($B94,offices!$A$2:$A$61,0))="","",INDEX(offices!$AG$2:$AG$61,MATCH($B94,offices!$A$2:$A$61,0))),"")="Y"),$K94,CHAR(64+$L94)))</f>
        <v/>
      </c>
      <c r="N94" s="30" t="str">
        <f aca="false">IF(OR($A94="",$I94=""),"",COUNTIFS(stops!$B$2:$B$151,$B94,stops!$P$2:$P$151,"&lt;"&amp;$I94,stops!$L$2:$L$151,"&lt;&gt;not_delivered")+1)</f>
        <v/>
      </c>
      <c r="O94" s="30" t="str">
        <f aca="false">IF($A94="","",IF(N($N94)&lt;=config!$B$29,"explicit","opt-out"))</f>
        <v/>
      </c>
      <c r="P94" s="30" t="str">
        <f aca="false">IF($A94="","",IF($O94="explicit",IF($D94="yes","Y",IF($D94="no","N","pending")),IF($D94="no","N",IF(AND($C94&lt;&gt;"",$I94&lt;&gt;"",$C94&lt;=WORKDAY(N($I94),-5,calendar!$A$2:$A$80)),"Y","pending"))))</f>
        <v/>
      </c>
      <c r="Q94" s="30" t="str">
        <f aca="false">IF($A94="","",IF($P94="N","N",IF($P94&lt;&gt;"Y","pending",IF(AND((COUNTIFS(stops!$A$2:$A$151,$H94,stops!$B$2:$B$151,$B94,stops!$L$2:$L$151,"declined")+COUNTIFS(stops!$A$2:$A$151,$H94,stops!$B$2:$B$151,$B94,stops!$L$2:$L$151,"building_refused")+COUNTIFS(stops!$A$2:$A$151,$H94,stops!$B$2:$B$151,$B94,stops!$L$2:$L$151,"not_delivered"))&gt;0,N($U94)=0),"N","Y"))))</f>
        <v/>
      </c>
      <c r="R94" s="30" t="str">
        <f aca="false">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30" t="str">
        <f aca="false">IF($A94="","",IF($G94&lt;&gt;"",$G94,IFERROR(IF(INDEX(offices!$AM$2:$AM$61,MATCH($B94,offices!$A$2:$A$61,0))="","",INDEX(offices!$AM$2:$AM$61,MATCH($B94,offices!$A$2:$A$61,0))),"")))</f>
        <v/>
      </c>
      <c r="T94" s="30" t="str">
        <f aca="false">IF($A94="","",$A94&amp;"."&amp;$B94)</f>
        <v/>
      </c>
      <c r="U94" s="30" t="str">
        <f aca="false">IF($A94="","",SUMIFS(inventory!$G$2:$G$801,inventory!$C$2:$C$801,$A94,inventory!$D$2:$D$801,$B94,inventory!$E$2:$E$801,"delivered"))</f>
        <v/>
      </c>
      <c r="V94" s="37" t="str">
        <f aca="false">IF($A94="","",IFERROR(1/(1/SUMPRODUCT(MAX((inventory!$C$2:$C$801=$A94)*(inventory!$D$2:$D$801=$B94)*(inventory!$E$2:$E$801="delivered")*(inventory!$A$2:$A$801+inventory!$B$2:$B$801)))),""))</f>
        <v/>
      </c>
      <c r="W94" s="30" t="str">
        <f aca="false">IF($A94="","",IFERROR(IF(INDEX(inventory!$J$2:$J$801,MATCH($A94&amp;"|"&amp;$B94&amp;"|delivered",inventory!$R$2:$R$801,0))="","",INDEX(inventory!$J$2:$J$801,MATCH($A94&amp;"|"&amp;$B94&amp;"|delivered",inventory!$R$2:$R$801,0))),""))</f>
        <v/>
      </c>
      <c r="X94" s="30" t="str">
        <f aca="false">IF($A94="","",IFERROR(IF(INDEX(photos!$H$2:$H$701,MATCH($A94&amp;"|"&amp;$B94&amp;"|placement|Y",photos!$R$2:$R$701,0))="","",INDEX(photos!$H$2:$H$701,MATCH($A94&amp;"|"&amp;$B94&amp;"|placement|Y",photos!$R$2:$R$701,0))),""))</f>
        <v/>
      </c>
      <c r="Y94" s="31" t="str">
        <f aca="false">IF($A94="","",IFERROR(IF(INDEX(photos!$E$2:$E$701,MATCH($A94&amp;"|"&amp;$B94&amp;"|placement|Y",photos!$R$2:$R$701,0))="","",INDEX(photos!$E$2:$E$701,MATCH($A94&amp;"|"&amp;$B94&amp;"|placement|Y",photos!$R$2:$R$701,0))),""))</f>
        <v/>
      </c>
      <c r="Z94" s="30" t="str">
        <f aca="false">IF($A94="","",IF(COUNTIFS(counts!$C$2:$C$701,$A94,counts!$D$2:$D$701,$B94,counts!$E$2:$E$701,"placed")=0,"",SUMIFS(counts!$F$2:$F$701,counts!$C$2:$C$701,$A94,counts!$D$2:$D$701,$B94,counts!$E$2:$E$701,"placed")))</f>
        <v/>
      </c>
      <c r="AA94" s="30" t="str">
        <f aca="false">IF($A94="","",IF($Y94="",0,N($Z94)))</f>
        <v/>
      </c>
      <c r="AB94" s="30" t="str">
        <f aca="false">IF($A94="","",IF(OR($Y94="",$I94=""),"N",IF($Y94&lt;=WORKDAY(N($I94),1,calendar!$A$2:$A$80),"Y","N")))</f>
        <v/>
      </c>
      <c r="AC94" s="33" t="str">
        <f aca="false">IF(OR($A94="",$V94="",$Y94=""),"",ROUND(($Y94+N(IFERROR(IF(INDEX(photos!$F$2:$F$701,MATCH($A94&amp;"|"&amp;$B94&amp;"|placement|Y",photos!$R$2:$R$701,0))="","",INDEX(photos!$F$2:$F$701,MATCH($A94&amp;"|"&amp;$B94&amp;"|placement|Y",photos!$R$2:$R$701,0))),""))-$V94)*24,1))</f>
        <v/>
      </c>
      <c r="AD94" s="30" t="str">
        <f aca="false">IF($A94="","",SUMIFS(inventory!$G$2:$G$801,inventory!$C$2:$C$801,$A94,inventory!$D$2:$D$801,$B94,inventory!$E$2:$E$801,"topped_up"))</f>
        <v/>
      </c>
      <c r="AE94" s="30" t="str">
        <f aca="false">IF($A94="","",IF(COUNTIFS(counts!$C$2:$C$701,$A94,counts!$D$2:$D$701,$B94,counts!$E$2:$E$701,"remaining_day3")=0,"",SUMIFS(counts!$F$2:$F$701,counts!$C$2:$C$701,$A94,counts!$D$2:$D$701,$B94,counts!$E$2:$E$701,"remaining_day3")))</f>
        <v/>
      </c>
      <c r="AF94" s="30" t="str">
        <f aca="false">IF($A94="","",IF(COUNTIFS(counts!$C$2:$C$701,$A94,counts!$D$2:$D$701,$B94,counts!$E$2:$E$701,"remaining_day5")=0,"",SUMIFS(counts!$F$2:$F$701,counts!$C$2:$C$701,$A94,counts!$D$2:$D$701,$B94,counts!$E$2:$E$701,"remaining_day5")))</f>
        <v/>
      </c>
      <c r="AG94" s="30" t="str">
        <f aca="false">IF(OR($A94="",$AF94=""),"",MAX(0,$AA94+$AD94-$AF94))</f>
        <v/>
      </c>
      <c r="AH94" s="30" t="str">
        <f aca="false">IF(OR($A94="",$AI94=""),"",IFERROR(IF(INDEX(photos!$H$2:$H$701,MATCH($A94&amp;"|"&amp;$B94&amp;"|later|Y|"&amp;$AI94,photos!$S$2:$S$701,0))="","",INDEX(photos!$H$2:$H$701,MATCH($A94&amp;"|"&amp;$B94&amp;"|later|Y|"&amp;$AI94,photos!$S$2:$S$701,0))),""))</f>
        <v/>
      </c>
      <c r="AI94" s="31" t="str">
        <f aca="false">IF($A94="","",IFERROR(1/(1/SUMPRODUCT(MAX((photos!$B$2:$B$701=$A94)*(photos!$C$2:$C$701=$B94)*(photos!$D$2:$D$701="later")*(photos!$O$2:$O$701="Y")*photos!$E$2:$E$701))),""))</f>
        <v/>
      </c>
      <c r="AJ94" s="30" t="str">
        <f aca="false">IF(OR($A94="",$AI94="",$I94=""),"",NETWORKDAYS($I94,$AI94,calendar!$A$2:$A$80))</f>
        <v/>
      </c>
      <c r="AK94" s="30" t="str">
        <f aca="false">IF($A94="","",IF(AND($X94&lt;&gt;"",$AH94&lt;&gt;""),"Y","N"))</f>
        <v/>
      </c>
      <c r="AL94" s="30" t="str">
        <f aca="true">IF(OR($A94="",$I94=""),"",IF($BC94="Y",SUMIFS(survey_frozen!$C$2:$C$251,survey_frozen!$P$2:$P$251,$A94&amp;"|"&amp;$B94),IFERROR(COUNTIFS(INDIRECT("'"&amp;$A94&amp;"'!$B$2:$B$501"),$T94,INDIRECT("'"&amp;$A94&amp;"'!$A$2:$A$501"),"&gt;="&amp;$I94,INDIRECT("'"&amp;$A94&amp;"'!$A$2:$A$501"),"&lt;"&amp;($BA94+1)),0)))</f>
        <v/>
      </c>
      <c r="AM94" s="30" t="str">
        <f aca="true">IF(OR($A94="",$I94=""),"",IF($BC94="Y",SUMIFS(survey_frozen!$D$2:$D$251,survey_frozen!$P$2:$P$251,$A94&amp;"|"&amp;$B94),IFERROR(COUNTIFS(INDIRECT("'"&amp;$A94&amp;"'!$B$2:$B$501"),$T94,INDIRECT("'"&amp;$A94&amp;"'!$A$2:$A$501"),"&gt;="&amp;$I94,INDIRECT("'"&amp;$A94&amp;"'!$A$2:$A$501"),"&lt;"&amp;($BA94+1),INDIRECT("'"&amp;$A94&amp;"'!$C$2:$C$501"),"Yes"),0)))</f>
        <v/>
      </c>
      <c r="AN94" s="30" t="str">
        <f aca="false">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30" t="str">
        <f aca="false">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30" t="str">
        <f aca="true">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30" t="str">
        <f aca="true">IF(OR($A94="",$I94=""),"",IF($BC94="Y",SUMIFS(survey_frozen!$E$2:$E$251,survey_frozen!$P$2:$P$251,$A94&amp;"|"&amp;$B94),IFERROR(COUNTIFS(INDIRECT("'"&amp;$A94&amp;"'!$B$2:$B$501"),$T94,INDIRECT("'"&amp;$A94&amp;"'!$A$2:$A$501"),"&gt;="&amp;$I94,INDIRECT("'"&amp;$A94&amp;"'!$A$2:$A$501"),"&lt;"&amp;($BA94+1),INDIRECT("'"&amp;$A94&amp;"'!$F$2:$F$501"),"Didn't see it"),0)))</f>
        <v/>
      </c>
      <c r="AR94" s="30" t="str">
        <f aca="true">IF(OR($A94="",$I94=""),"",IF($BC94="Y",SUMIFS(survey_frozen!$F$2:$F$251,survey_frozen!$P$2:$P$251,$A94&amp;"|"&amp;$B94),IFERROR(COUNTIFS(INDIRECT("'"&amp;$A94&amp;"'!$B$2:$B$501"),$T94,INDIRECT("'"&amp;$A94&amp;"'!$A$2:$A$501"),"&gt;="&amp;$I94,INDIRECT("'"&amp;$A94&amp;"'!$A$2:$A$501"),"&lt;"&amp;($BA94+1),INDIRECT("'"&amp;$A94&amp;"'!$F$2:$F$501"),"Not for me"),0)))</f>
        <v/>
      </c>
      <c r="AS94" s="30" t="str">
        <f aca="true">IF(OR($A94="",$I94=""),"",IF($BC94="Y",SUMIFS(survey_frozen!$G$2:$G$251,survey_frozen!$P$2:$P$251,$A94&amp;"|"&amp;$B94),IFERROR(COUNTIFS(INDIRECT("'"&amp;$A94&amp;"'!$B$2:$B$501"),$T94,INDIRECT("'"&amp;$A94&amp;"'!$A$2:$A$501"),"&gt;="&amp;$I94,INDIRECT("'"&amp;$A94&amp;"'!$A$2:$A$501"),"&lt;"&amp;($BA94+1),INDIRECT("'"&amp;$A94&amp;"'!$F$2:$F$501"),"Gone by the time I looked"),0)))</f>
        <v/>
      </c>
      <c r="AT94" s="30" t="str">
        <f aca="true">IF(OR($A94="",$I94=""),"",IF($BC94="Y",SUMIFS(survey_frozen!$H$2:$H$251,survey_frozen!$P$2:$P$251,$A94&amp;"|"&amp;$B94),IFERROR(COUNTIFS(INDIRECT("'"&amp;$A94&amp;"'!$B$2:$B$501"),$T94,INDIRECT("'"&amp;$A94&amp;"'!$A$2:$A$501"),"&gt;="&amp;$I94,INDIRECT("'"&amp;$A94&amp;"'!$A$2:$A$501"),"&lt;"&amp;($BA94+1),INDIRECT("'"&amp;$A94&amp;"'!$D$2:$D$501"),"&gt;=1"),0)))</f>
        <v/>
      </c>
      <c r="AU94" s="30" t="str">
        <f aca="true">IF(OR($A94="",$I94=""),"",IF($BC94="Y",SUMIFS(survey_frozen!$I$2:$I$251,survey_frozen!$P$2:$P$251,$A94&amp;"|"&amp;$B94),IFERROR(SUMIFS(INDIRECT("'"&amp;$A94&amp;"'!$D$2:$D$501"),INDIRECT("'"&amp;$A94&amp;"'!$B$2:$B$501"),$T94,INDIRECT("'"&amp;$A94&amp;"'!$A$2:$A$501"),"&gt;="&amp;$I94,INDIRECT("'"&amp;$A94&amp;"'!$A$2:$A$501"),"&lt;"&amp;($BA94+1)),0)))</f>
        <v/>
      </c>
      <c r="AV94" s="30" t="str">
        <f aca="true">IF(OR($A94="",$I94=""),"",IF($BC94="Y",SUMIFS(survey_frozen!$J$2:$J$251,survey_frozen!$P$2:$P$251,$A94&amp;"|"&amp;$B94),IFERROR(COUNTIFS(INDIRECT("'"&amp;$A94&amp;"'!$B$2:$B$501"),$T94,INDIRECT("'"&amp;$A94&amp;"'!$A$2:$A$501"),"&gt;="&amp;$I94,INDIRECT("'"&amp;$A94&amp;"'!$A$2:$A$501"),"&lt;"&amp;($BA94+1),INDIRECT("'"&amp;$A94&amp;"'!$E$2:$E$501"),"Yes"),0)))</f>
        <v/>
      </c>
      <c r="AW94" s="30" t="str">
        <f aca="true">IF(OR($A94="",$I94=""),"",IF($BC94="Y",SUMIFS(survey_frozen!$K$2:$K$251,survey_frozen!$P$2:$P$251,$A94&amp;"|"&amp;$B94),IFERROR(COUNTIFS(INDIRECT("'"&amp;$A94&amp;"'!$B$2:$B$501"),$T94,INDIRECT("'"&amp;$A94&amp;"'!$A$2:$A$501"),"&gt;="&amp;$I94,INDIRECT("'"&amp;$A94&amp;"'!$A$2:$A$501"),"&lt;"&amp;($BA94+1),INDIRECT("'"&amp;$A94&amp;"'!$E$2:$E$501"),"Maybe"),0)))</f>
        <v/>
      </c>
      <c r="AX94" s="30" t="str">
        <f aca="true">IF(OR($A94="",$I94=""),"",IF($BC94="Y",SUMIFS(survey_frozen!$L$2:$L$251,survey_frozen!$P$2:$P$251,$A94&amp;"|"&amp;$B94),IFERROR(COUNTIFS(INDIRECT("'"&amp;$A94&amp;"'!$B$2:$B$501"),$T94,INDIRECT("'"&amp;$A94&amp;"'!$A$2:$A$501"),"&gt;="&amp;$I94,INDIRECT("'"&amp;$A94&amp;"'!$A$2:$A$501"),"&lt;"&amp;($BA94+1),INDIRECT("'"&amp;$A94&amp;"'!$E$2:$E$501"),"No"),0)))</f>
        <v/>
      </c>
      <c r="AY94" s="30" t="str">
        <f aca="true">IF(OR($A94="",$I94=""),"",IF($BC94="Y",SUMIFS(survey_frozen!$M$2:$M$251,survey_frozen!$P$2:$P$251,$A94&amp;"|"&amp;$B94),IFERROR(COUNTIFS(INDIRECT("'"&amp;$A94&amp;"'!$B$2:$B$501"),$T94,INDIRECT("'"&amp;$A94&amp;"'!$A$2:$A$501"),"&gt;="&amp;$I94,INDIRECT("'"&amp;$A94&amp;"'!$A$2:$A$501"),"&lt;"&amp;($BA94+1),INDIRECT("'"&amp;$A94&amp;"'!$G$2:$G$501"),"&lt;&gt;"),0)))</f>
        <v/>
      </c>
      <c r="AZ94" s="30" t="str">
        <f aca="false">IF($A94="","",$A94&amp;"|"&amp;$L94)</f>
        <v/>
      </c>
      <c r="BA94" s="31" t="str">
        <f aca="false">IF($A94="","",IFERROR(IF(INDEX(drops!$R$2:$R$21,MATCH($H94,drops!$A$2:$A$21,0))="","",INDEX(drops!$R$2:$R$21,MATCH($H94,drops!$A$2:$A$21,0))),""))</f>
        <v/>
      </c>
      <c r="BB94" s="30" t="n">
        <f aca="false">IF(OR($A94="",$Q94&lt;&gt;"Y"),1000000,N($AL94))</f>
        <v>1000000</v>
      </c>
      <c r="BC94" s="30" t="str">
        <f aca="false">IF($A94="","",IF(COUNTIF(survey_frozen!$P$2:$P$251,$A94&amp;"|"&amp;$B94)&gt;0,"Y",""))</f>
        <v/>
      </c>
      <c r="BD94" s="30" t="str">
        <f aca="false">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ustomFormat="false" ht="15" hidden="false" customHeight="false" outlineLevel="0" collapsed="false">
      <c r="C95" s="11"/>
      <c r="D95" s="10"/>
      <c r="E95" s="11"/>
      <c r="H95" s="30" t="str">
        <f aca="false">IF($A95="","",IFERROR(IF(INDEX(campaigns!$B$2:$B$51,MATCH($A95,campaigns!$A$2:$A$51,0))="","",INDEX(campaigns!$B$2:$B$51,MATCH($A95,campaigns!$A$2:$A$51,0))),""))</f>
        <v/>
      </c>
      <c r="I95" s="31" t="str">
        <f aca="false">IF($A95="","",IFERROR(IF(INDEX(campaigns!$BG$2:$BG$51,MATCH($A95,campaigns!$A$2:$A$51,0))="","",INDEX(campaigns!$BG$2:$BG$51,MATCH($A95,campaigns!$A$2:$A$51,0))),""))</f>
        <v/>
      </c>
      <c r="J95" s="30" t="str">
        <f aca="false">IF($A95="","",IFERROR(IF(INDEX(campaigns!$BE$2:$BE$51,MATCH($A95,campaigns!$A$2:$A$51,0))="","",INDEX(campaigns!$BE$2:$BE$51,MATCH($A95,campaigns!$A$2:$A$51,0))),""))</f>
        <v/>
      </c>
      <c r="K95" s="30" t="str">
        <f aca="false">IF($B95="","",IFERROR(IF(INDEX(offices!$O$2:$O$61,MATCH($B95,offices!$A$2:$A$61,0))="","",INDEX(offices!$O$2:$O$61,MATCH($B95,offices!$A$2:$A$61,0))),""))</f>
        <v/>
      </c>
      <c r="L95" s="30" t="str">
        <f aca="false">IF($A95="","",IF($Q95="N","",COUNTIFS($A$2:$A95,$A95,$Q$2:$Q95,"&lt;&gt;N")))</f>
        <v/>
      </c>
      <c r="M95" s="30" t="str">
        <f aca="false">IF(OR($A95="",$L95=""),"",IF(AND(config!$B$34="names_if_public",IFERROR(IF(INDEX(offices!$AG$2:$AG$61,MATCH($B95,offices!$A$2:$A$61,0))="","",INDEX(offices!$AG$2:$AG$61,MATCH($B95,offices!$A$2:$A$61,0))),"")="Y"),$K95,CHAR(64+$L95)))</f>
        <v/>
      </c>
      <c r="N95" s="30" t="str">
        <f aca="false">IF(OR($A95="",$I95=""),"",COUNTIFS(stops!$B$2:$B$151,$B95,stops!$P$2:$P$151,"&lt;"&amp;$I95,stops!$L$2:$L$151,"&lt;&gt;not_delivered")+1)</f>
        <v/>
      </c>
      <c r="O95" s="30" t="str">
        <f aca="false">IF($A95="","",IF(N($N95)&lt;=config!$B$29,"explicit","opt-out"))</f>
        <v/>
      </c>
      <c r="P95" s="30" t="str">
        <f aca="false">IF($A95="","",IF($O95="explicit",IF($D95="yes","Y",IF($D95="no","N","pending")),IF($D95="no","N",IF(AND($C95&lt;&gt;"",$I95&lt;&gt;"",$C95&lt;=WORKDAY(N($I95),-5,calendar!$A$2:$A$80)),"Y","pending"))))</f>
        <v/>
      </c>
      <c r="Q95" s="30" t="str">
        <f aca="false">IF($A95="","",IF($P95="N","N",IF($P95&lt;&gt;"Y","pending",IF(AND((COUNTIFS(stops!$A$2:$A$151,$H95,stops!$B$2:$B$151,$B95,stops!$L$2:$L$151,"declined")+COUNTIFS(stops!$A$2:$A$151,$H95,stops!$B$2:$B$151,$B95,stops!$L$2:$L$151,"building_refused")+COUNTIFS(stops!$A$2:$A$151,$H95,stops!$B$2:$B$151,$B95,stops!$L$2:$L$151,"not_delivered"))&gt;0,N($U95)=0),"N","Y"))))</f>
        <v/>
      </c>
      <c r="R95" s="30" t="str">
        <f aca="false">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30" t="str">
        <f aca="false">IF($A95="","",IF($G95&lt;&gt;"",$G95,IFERROR(IF(INDEX(offices!$AM$2:$AM$61,MATCH($B95,offices!$A$2:$A$61,0))="","",INDEX(offices!$AM$2:$AM$61,MATCH($B95,offices!$A$2:$A$61,0))),"")))</f>
        <v/>
      </c>
      <c r="T95" s="30" t="str">
        <f aca="false">IF($A95="","",$A95&amp;"."&amp;$B95)</f>
        <v/>
      </c>
      <c r="U95" s="30" t="str">
        <f aca="false">IF($A95="","",SUMIFS(inventory!$G$2:$G$801,inventory!$C$2:$C$801,$A95,inventory!$D$2:$D$801,$B95,inventory!$E$2:$E$801,"delivered"))</f>
        <v/>
      </c>
      <c r="V95" s="37" t="str">
        <f aca="false">IF($A95="","",IFERROR(1/(1/SUMPRODUCT(MAX((inventory!$C$2:$C$801=$A95)*(inventory!$D$2:$D$801=$B95)*(inventory!$E$2:$E$801="delivered")*(inventory!$A$2:$A$801+inventory!$B$2:$B$801)))),""))</f>
        <v/>
      </c>
      <c r="W95" s="30" t="str">
        <f aca="false">IF($A95="","",IFERROR(IF(INDEX(inventory!$J$2:$J$801,MATCH($A95&amp;"|"&amp;$B95&amp;"|delivered",inventory!$R$2:$R$801,0))="","",INDEX(inventory!$J$2:$J$801,MATCH($A95&amp;"|"&amp;$B95&amp;"|delivered",inventory!$R$2:$R$801,0))),""))</f>
        <v/>
      </c>
      <c r="X95" s="30" t="str">
        <f aca="false">IF($A95="","",IFERROR(IF(INDEX(photos!$H$2:$H$701,MATCH($A95&amp;"|"&amp;$B95&amp;"|placement|Y",photos!$R$2:$R$701,0))="","",INDEX(photos!$H$2:$H$701,MATCH($A95&amp;"|"&amp;$B95&amp;"|placement|Y",photos!$R$2:$R$701,0))),""))</f>
        <v/>
      </c>
      <c r="Y95" s="31" t="str">
        <f aca="false">IF($A95="","",IFERROR(IF(INDEX(photos!$E$2:$E$701,MATCH($A95&amp;"|"&amp;$B95&amp;"|placement|Y",photos!$R$2:$R$701,0))="","",INDEX(photos!$E$2:$E$701,MATCH($A95&amp;"|"&amp;$B95&amp;"|placement|Y",photos!$R$2:$R$701,0))),""))</f>
        <v/>
      </c>
      <c r="Z95" s="30" t="str">
        <f aca="false">IF($A95="","",IF(COUNTIFS(counts!$C$2:$C$701,$A95,counts!$D$2:$D$701,$B95,counts!$E$2:$E$701,"placed")=0,"",SUMIFS(counts!$F$2:$F$701,counts!$C$2:$C$701,$A95,counts!$D$2:$D$701,$B95,counts!$E$2:$E$701,"placed")))</f>
        <v/>
      </c>
      <c r="AA95" s="30" t="str">
        <f aca="false">IF($A95="","",IF($Y95="",0,N($Z95)))</f>
        <v/>
      </c>
      <c r="AB95" s="30" t="str">
        <f aca="false">IF($A95="","",IF(OR($Y95="",$I95=""),"N",IF($Y95&lt;=WORKDAY(N($I95),1,calendar!$A$2:$A$80),"Y","N")))</f>
        <v/>
      </c>
      <c r="AC95" s="33" t="str">
        <f aca="false">IF(OR($A95="",$V95="",$Y95=""),"",ROUND(($Y95+N(IFERROR(IF(INDEX(photos!$F$2:$F$701,MATCH($A95&amp;"|"&amp;$B95&amp;"|placement|Y",photos!$R$2:$R$701,0))="","",INDEX(photos!$F$2:$F$701,MATCH($A95&amp;"|"&amp;$B95&amp;"|placement|Y",photos!$R$2:$R$701,0))),""))-$V95)*24,1))</f>
        <v/>
      </c>
      <c r="AD95" s="30" t="str">
        <f aca="false">IF($A95="","",SUMIFS(inventory!$G$2:$G$801,inventory!$C$2:$C$801,$A95,inventory!$D$2:$D$801,$B95,inventory!$E$2:$E$801,"topped_up"))</f>
        <v/>
      </c>
      <c r="AE95" s="30" t="str">
        <f aca="false">IF($A95="","",IF(COUNTIFS(counts!$C$2:$C$701,$A95,counts!$D$2:$D$701,$B95,counts!$E$2:$E$701,"remaining_day3")=0,"",SUMIFS(counts!$F$2:$F$701,counts!$C$2:$C$701,$A95,counts!$D$2:$D$701,$B95,counts!$E$2:$E$701,"remaining_day3")))</f>
        <v/>
      </c>
      <c r="AF95" s="30" t="str">
        <f aca="false">IF($A95="","",IF(COUNTIFS(counts!$C$2:$C$701,$A95,counts!$D$2:$D$701,$B95,counts!$E$2:$E$701,"remaining_day5")=0,"",SUMIFS(counts!$F$2:$F$701,counts!$C$2:$C$701,$A95,counts!$D$2:$D$701,$B95,counts!$E$2:$E$701,"remaining_day5")))</f>
        <v/>
      </c>
      <c r="AG95" s="30" t="str">
        <f aca="false">IF(OR($A95="",$AF95=""),"",MAX(0,$AA95+$AD95-$AF95))</f>
        <v/>
      </c>
      <c r="AH95" s="30" t="str">
        <f aca="false">IF(OR($A95="",$AI95=""),"",IFERROR(IF(INDEX(photos!$H$2:$H$701,MATCH($A95&amp;"|"&amp;$B95&amp;"|later|Y|"&amp;$AI95,photos!$S$2:$S$701,0))="","",INDEX(photos!$H$2:$H$701,MATCH($A95&amp;"|"&amp;$B95&amp;"|later|Y|"&amp;$AI95,photos!$S$2:$S$701,0))),""))</f>
        <v/>
      </c>
      <c r="AI95" s="31" t="str">
        <f aca="false">IF($A95="","",IFERROR(1/(1/SUMPRODUCT(MAX((photos!$B$2:$B$701=$A95)*(photos!$C$2:$C$701=$B95)*(photos!$D$2:$D$701="later")*(photos!$O$2:$O$701="Y")*photos!$E$2:$E$701))),""))</f>
        <v/>
      </c>
      <c r="AJ95" s="30" t="str">
        <f aca="false">IF(OR($A95="",$AI95="",$I95=""),"",NETWORKDAYS($I95,$AI95,calendar!$A$2:$A$80))</f>
        <v/>
      </c>
      <c r="AK95" s="30" t="str">
        <f aca="false">IF($A95="","",IF(AND($X95&lt;&gt;"",$AH95&lt;&gt;""),"Y","N"))</f>
        <v/>
      </c>
      <c r="AL95" s="30" t="str">
        <f aca="true">IF(OR($A95="",$I95=""),"",IF($BC95="Y",SUMIFS(survey_frozen!$C$2:$C$251,survey_frozen!$P$2:$P$251,$A95&amp;"|"&amp;$B95),IFERROR(COUNTIFS(INDIRECT("'"&amp;$A95&amp;"'!$B$2:$B$501"),$T95,INDIRECT("'"&amp;$A95&amp;"'!$A$2:$A$501"),"&gt;="&amp;$I95,INDIRECT("'"&amp;$A95&amp;"'!$A$2:$A$501"),"&lt;"&amp;($BA95+1)),0)))</f>
        <v/>
      </c>
      <c r="AM95" s="30" t="str">
        <f aca="true">IF(OR($A95="",$I95=""),"",IF($BC95="Y",SUMIFS(survey_frozen!$D$2:$D$251,survey_frozen!$P$2:$P$251,$A95&amp;"|"&amp;$B95),IFERROR(COUNTIFS(INDIRECT("'"&amp;$A95&amp;"'!$B$2:$B$501"),$T95,INDIRECT("'"&amp;$A95&amp;"'!$A$2:$A$501"),"&gt;="&amp;$I95,INDIRECT("'"&amp;$A95&amp;"'!$A$2:$A$501"),"&lt;"&amp;($BA95+1),INDIRECT("'"&amp;$A95&amp;"'!$C$2:$C$501"),"Yes"),0)))</f>
        <v/>
      </c>
      <c r="AN95" s="30" t="str">
        <f aca="false">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30" t="str">
        <f aca="false">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30" t="str">
        <f aca="true">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30" t="str">
        <f aca="true">IF(OR($A95="",$I95=""),"",IF($BC95="Y",SUMIFS(survey_frozen!$E$2:$E$251,survey_frozen!$P$2:$P$251,$A95&amp;"|"&amp;$B95),IFERROR(COUNTIFS(INDIRECT("'"&amp;$A95&amp;"'!$B$2:$B$501"),$T95,INDIRECT("'"&amp;$A95&amp;"'!$A$2:$A$501"),"&gt;="&amp;$I95,INDIRECT("'"&amp;$A95&amp;"'!$A$2:$A$501"),"&lt;"&amp;($BA95+1),INDIRECT("'"&amp;$A95&amp;"'!$F$2:$F$501"),"Didn't see it"),0)))</f>
        <v/>
      </c>
      <c r="AR95" s="30" t="str">
        <f aca="true">IF(OR($A95="",$I95=""),"",IF($BC95="Y",SUMIFS(survey_frozen!$F$2:$F$251,survey_frozen!$P$2:$P$251,$A95&amp;"|"&amp;$B95),IFERROR(COUNTIFS(INDIRECT("'"&amp;$A95&amp;"'!$B$2:$B$501"),$T95,INDIRECT("'"&amp;$A95&amp;"'!$A$2:$A$501"),"&gt;="&amp;$I95,INDIRECT("'"&amp;$A95&amp;"'!$A$2:$A$501"),"&lt;"&amp;($BA95+1),INDIRECT("'"&amp;$A95&amp;"'!$F$2:$F$501"),"Not for me"),0)))</f>
        <v/>
      </c>
      <c r="AS95" s="30" t="str">
        <f aca="true">IF(OR($A95="",$I95=""),"",IF($BC95="Y",SUMIFS(survey_frozen!$G$2:$G$251,survey_frozen!$P$2:$P$251,$A95&amp;"|"&amp;$B95),IFERROR(COUNTIFS(INDIRECT("'"&amp;$A95&amp;"'!$B$2:$B$501"),$T95,INDIRECT("'"&amp;$A95&amp;"'!$A$2:$A$501"),"&gt;="&amp;$I95,INDIRECT("'"&amp;$A95&amp;"'!$A$2:$A$501"),"&lt;"&amp;($BA95+1),INDIRECT("'"&amp;$A95&amp;"'!$F$2:$F$501"),"Gone by the time I looked"),0)))</f>
        <v/>
      </c>
      <c r="AT95" s="30" t="str">
        <f aca="true">IF(OR($A95="",$I95=""),"",IF($BC95="Y",SUMIFS(survey_frozen!$H$2:$H$251,survey_frozen!$P$2:$P$251,$A95&amp;"|"&amp;$B95),IFERROR(COUNTIFS(INDIRECT("'"&amp;$A95&amp;"'!$B$2:$B$501"),$T95,INDIRECT("'"&amp;$A95&amp;"'!$A$2:$A$501"),"&gt;="&amp;$I95,INDIRECT("'"&amp;$A95&amp;"'!$A$2:$A$501"),"&lt;"&amp;($BA95+1),INDIRECT("'"&amp;$A95&amp;"'!$D$2:$D$501"),"&gt;=1"),0)))</f>
        <v/>
      </c>
      <c r="AU95" s="30" t="str">
        <f aca="true">IF(OR($A95="",$I95=""),"",IF($BC95="Y",SUMIFS(survey_frozen!$I$2:$I$251,survey_frozen!$P$2:$P$251,$A95&amp;"|"&amp;$B95),IFERROR(SUMIFS(INDIRECT("'"&amp;$A95&amp;"'!$D$2:$D$501"),INDIRECT("'"&amp;$A95&amp;"'!$B$2:$B$501"),$T95,INDIRECT("'"&amp;$A95&amp;"'!$A$2:$A$501"),"&gt;="&amp;$I95,INDIRECT("'"&amp;$A95&amp;"'!$A$2:$A$501"),"&lt;"&amp;($BA95+1)),0)))</f>
        <v/>
      </c>
      <c r="AV95" s="30" t="str">
        <f aca="true">IF(OR($A95="",$I95=""),"",IF($BC95="Y",SUMIFS(survey_frozen!$J$2:$J$251,survey_frozen!$P$2:$P$251,$A95&amp;"|"&amp;$B95),IFERROR(COUNTIFS(INDIRECT("'"&amp;$A95&amp;"'!$B$2:$B$501"),$T95,INDIRECT("'"&amp;$A95&amp;"'!$A$2:$A$501"),"&gt;="&amp;$I95,INDIRECT("'"&amp;$A95&amp;"'!$A$2:$A$501"),"&lt;"&amp;($BA95+1),INDIRECT("'"&amp;$A95&amp;"'!$E$2:$E$501"),"Yes"),0)))</f>
        <v/>
      </c>
      <c r="AW95" s="30" t="str">
        <f aca="true">IF(OR($A95="",$I95=""),"",IF($BC95="Y",SUMIFS(survey_frozen!$K$2:$K$251,survey_frozen!$P$2:$P$251,$A95&amp;"|"&amp;$B95),IFERROR(COUNTIFS(INDIRECT("'"&amp;$A95&amp;"'!$B$2:$B$501"),$T95,INDIRECT("'"&amp;$A95&amp;"'!$A$2:$A$501"),"&gt;="&amp;$I95,INDIRECT("'"&amp;$A95&amp;"'!$A$2:$A$501"),"&lt;"&amp;($BA95+1),INDIRECT("'"&amp;$A95&amp;"'!$E$2:$E$501"),"Maybe"),0)))</f>
        <v/>
      </c>
      <c r="AX95" s="30" t="str">
        <f aca="true">IF(OR($A95="",$I95=""),"",IF($BC95="Y",SUMIFS(survey_frozen!$L$2:$L$251,survey_frozen!$P$2:$P$251,$A95&amp;"|"&amp;$B95),IFERROR(COUNTIFS(INDIRECT("'"&amp;$A95&amp;"'!$B$2:$B$501"),$T95,INDIRECT("'"&amp;$A95&amp;"'!$A$2:$A$501"),"&gt;="&amp;$I95,INDIRECT("'"&amp;$A95&amp;"'!$A$2:$A$501"),"&lt;"&amp;($BA95+1),INDIRECT("'"&amp;$A95&amp;"'!$E$2:$E$501"),"No"),0)))</f>
        <v/>
      </c>
      <c r="AY95" s="30" t="str">
        <f aca="true">IF(OR($A95="",$I95=""),"",IF($BC95="Y",SUMIFS(survey_frozen!$M$2:$M$251,survey_frozen!$P$2:$P$251,$A95&amp;"|"&amp;$B95),IFERROR(COUNTIFS(INDIRECT("'"&amp;$A95&amp;"'!$B$2:$B$501"),$T95,INDIRECT("'"&amp;$A95&amp;"'!$A$2:$A$501"),"&gt;="&amp;$I95,INDIRECT("'"&amp;$A95&amp;"'!$A$2:$A$501"),"&lt;"&amp;($BA95+1),INDIRECT("'"&amp;$A95&amp;"'!$G$2:$G$501"),"&lt;&gt;"),0)))</f>
        <v/>
      </c>
      <c r="AZ95" s="30" t="str">
        <f aca="false">IF($A95="","",$A95&amp;"|"&amp;$L95)</f>
        <v/>
      </c>
      <c r="BA95" s="31" t="str">
        <f aca="false">IF($A95="","",IFERROR(IF(INDEX(drops!$R$2:$R$21,MATCH($H95,drops!$A$2:$A$21,0))="","",INDEX(drops!$R$2:$R$21,MATCH($H95,drops!$A$2:$A$21,0))),""))</f>
        <v/>
      </c>
      <c r="BB95" s="30" t="n">
        <f aca="false">IF(OR($A95="",$Q95&lt;&gt;"Y"),1000000,N($AL95))</f>
        <v>1000000</v>
      </c>
      <c r="BC95" s="30" t="str">
        <f aca="false">IF($A95="","",IF(COUNTIF(survey_frozen!$P$2:$P$251,$A95&amp;"|"&amp;$B95)&gt;0,"Y",""))</f>
        <v/>
      </c>
      <c r="BD95" s="30" t="str">
        <f aca="false">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ustomFormat="false" ht="15" hidden="false" customHeight="false" outlineLevel="0" collapsed="false">
      <c r="C96" s="11"/>
      <c r="D96" s="10"/>
      <c r="E96" s="11"/>
      <c r="H96" s="30" t="str">
        <f aca="false">IF($A96="","",IFERROR(IF(INDEX(campaigns!$B$2:$B$51,MATCH($A96,campaigns!$A$2:$A$51,0))="","",INDEX(campaigns!$B$2:$B$51,MATCH($A96,campaigns!$A$2:$A$51,0))),""))</f>
        <v/>
      </c>
      <c r="I96" s="31" t="str">
        <f aca="false">IF($A96="","",IFERROR(IF(INDEX(campaigns!$BG$2:$BG$51,MATCH($A96,campaigns!$A$2:$A$51,0))="","",INDEX(campaigns!$BG$2:$BG$51,MATCH($A96,campaigns!$A$2:$A$51,0))),""))</f>
        <v/>
      </c>
      <c r="J96" s="30" t="str">
        <f aca="false">IF($A96="","",IFERROR(IF(INDEX(campaigns!$BE$2:$BE$51,MATCH($A96,campaigns!$A$2:$A$51,0))="","",INDEX(campaigns!$BE$2:$BE$51,MATCH($A96,campaigns!$A$2:$A$51,0))),""))</f>
        <v/>
      </c>
      <c r="K96" s="30" t="str">
        <f aca="false">IF($B96="","",IFERROR(IF(INDEX(offices!$O$2:$O$61,MATCH($B96,offices!$A$2:$A$61,0))="","",INDEX(offices!$O$2:$O$61,MATCH($B96,offices!$A$2:$A$61,0))),""))</f>
        <v/>
      </c>
      <c r="L96" s="30" t="str">
        <f aca="false">IF($A96="","",IF($Q96="N","",COUNTIFS($A$2:$A96,$A96,$Q$2:$Q96,"&lt;&gt;N")))</f>
        <v/>
      </c>
      <c r="M96" s="30" t="str">
        <f aca="false">IF(OR($A96="",$L96=""),"",IF(AND(config!$B$34="names_if_public",IFERROR(IF(INDEX(offices!$AG$2:$AG$61,MATCH($B96,offices!$A$2:$A$61,0))="","",INDEX(offices!$AG$2:$AG$61,MATCH($B96,offices!$A$2:$A$61,0))),"")="Y"),$K96,CHAR(64+$L96)))</f>
        <v/>
      </c>
      <c r="N96" s="30" t="str">
        <f aca="false">IF(OR($A96="",$I96=""),"",COUNTIFS(stops!$B$2:$B$151,$B96,stops!$P$2:$P$151,"&lt;"&amp;$I96,stops!$L$2:$L$151,"&lt;&gt;not_delivered")+1)</f>
        <v/>
      </c>
      <c r="O96" s="30" t="str">
        <f aca="false">IF($A96="","",IF(N($N96)&lt;=config!$B$29,"explicit","opt-out"))</f>
        <v/>
      </c>
      <c r="P96" s="30" t="str">
        <f aca="false">IF($A96="","",IF($O96="explicit",IF($D96="yes","Y",IF($D96="no","N","pending")),IF($D96="no","N",IF(AND($C96&lt;&gt;"",$I96&lt;&gt;"",$C96&lt;=WORKDAY(N($I96),-5,calendar!$A$2:$A$80)),"Y","pending"))))</f>
        <v/>
      </c>
      <c r="Q96" s="30" t="str">
        <f aca="false">IF($A96="","",IF($P96="N","N",IF($P96&lt;&gt;"Y","pending",IF(AND((COUNTIFS(stops!$A$2:$A$151,$H96,stops!$B$2:$B$151,$B96,stops!$L$2:$L$151,"declined")+COUNTIFS(stops!$A$2:$A$151,$H96,stops!$B$2:$B$151,$B96,stops!$L$2:$L$151,"building_refused")+COUNTIFS(stops!$A$2:$A$151,$H96,stops!$B$2:$B$151,$B96,stops!$L$2:$L$151,"not_delivered"))&gt;0,N($U96)=0),"N","Y"))))</f>
        <v/>
      </c>
      <c r="R96" s="30" t="str">
        <f aca="false">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30" t="str">
        <f aca="false">IF($A96="","",IF($G96&lt;&gt;"",$G96,IFERROR(IF(INDEX(offices!$AM$2:$AM$61,MATCH($B96,offices!$A$2:$A$61,0))="","",INDEX(offices!$AM$2:$AM$61,MATCH($B96,offices!$A$2:$A$61,0))),"")))</f>
        <v/>
      </c>
      <c r="T96" s="30" t="str">
        <f aca="false">IF($A96="","",$A96&amp;"."&amp;$B96)</f>
        <v/>
      </c>
      <c r="U96" s="30" t="str">
        <f aca="false">IF($A96="","",SUMIFS(inventory!$G$2:$G$801,inventory!$C$2:$C$801,$A96,inventory!$D$2:$D$801,$B96,inventory!$E$2:$E$801,"delivered"))</f>
        <v/>
      </c>
      <c r="V96" s="37" t="str">
        <f aca="false">IF($A96="","",IFERROR(1/(1/SUMPRODUCT(MAX((inventory!$C$2:$C$801=$A96)*(inventory!$D$2:$D$801=$B96)*(inventory!$E$2:$E$801="delivered")*(inventory!$A$2:$A$801+inventory!$B$2:$B$801)))),""))</f>
        <v/>
      </c>
      <c r="W96" s="30" t="str">
        <f aca="false">IF($A96="","",IFERROR(IF(INDEX(inventory!$J$2:$J$801,MATCH($A96&amp;"|"&amp;$B96&amp;"|delivered",inventory!$R$2:$R$801,0))="","",INDEX(inventory!$J$2:$J$801,MATCH($A96&amp;"|"&amp;$B96&amp;"|delivered",inventory!$R$2:$R$801,0))),""))</f>
        <v/>
      </c>
      <c r="X96" s="30" t="str">
        <f aca="false">IF($A96="","",IFERROR(IF(INDEX(photos!$H$2:$H$701,MATCH($A96&amp;"|"&amp;$B96&amp;"|placement|Y",photos!$R$2:$R$701,0))="","",INDEX(photos!$H$2:$H$701,MATCH($A96&amp;"|"&amp;$B96&amp;"|placement|Y",photos!$R$2:$R$701,0))),""))</f>
        <v/>
      </c>
      <c r="Y96" s="31" t="str">
        <f aca="false">IF($A96="","",IFERROR(IF(INDEX(photos!$E$2:$E$701,MATCH($A96&amp;"|"&amp;$B96&amp;"|placement|Y",photos!$R$2:$R$701,0))="","",INDEX(photos!$E$2:$E$701,MATCH($A96&amp;"|"&amp;$B96&amp;"|placement|Y",photos!$R$2:$R$701,0))),""))</f>
        <v/>
      </c>
      <c r="Z96" s="30" t="str">
        <f aca="false">IF($A96="","",IF(COUNTIFS(counts!$C$2:$C$701,$A96,counts!$D$2:$D$701,$B96,counts!$E$2:$E$701,"placed")=0,"",SUMIFS(counts!$F$2:$F$701,counts!$C$2:$C$701,$A96,counts!$D$2:$D$701,$B96,counts!$E$2:$E$701,"placed")))</f>
        <v/>
      </c>
      <c r="AA96" s="30" t="str">
        <f aca="false">IF($A96="","",IF($Y96="",0,N($Z96)))</f>
        <v/>
      </c>
      <c r="AB96" s="30" t="str">
        <f aca="false">IF($A96="","",IF(OR($Y96="",$I96=""),"N",IF($Y96&lt;=WORKDAY(N($I96),1,calendar!$A$2:$A$80),"Y","N")))</f>
        <v/>
      </c>
      <c r="AC96" s="33" t="str">
        <f aca="false">IF(OR($A96="",$V96="",$Y96=""),"",ROUND(($Y96+N(IFERROR(IF(INDEX(photos!$F$2:$F$701,MATCH($A96&amp;"|"&amp;$B96&amp;"|placement|Y",photos!$R$2:$R$701,0))="","",INDEX(photos!$F$2:$F$701,MATCH($A96&amp;"|"&amp;$B96&amp;"|placement|Y",photos!$R$2:$R$701,0))),""))-$V96)*24,1))</f>
        <v/>
      </c>
      <c r="AD96" s="30" t="str">
        <f aca="false">IF($A96="","",SUMIFS(inventory!$G$2:$G$801,inventory!$C$2:$C$801,$A96,inventory!$D$2:$D$801,$B96,inventory!$E$2:$E$801,"topped_up"))</f>
        <v/>
      </c>
      <c r="AE96" s="30" t="str">
        <f aca="false">IF($A96="","",IF(COUNTIFS(counts!$C$2:$C$701,$A96,counts!$D$2:$D$701,$B96,counts!$E$2:$E$701,"remaining_day3")=0,"",SUMIFS(counts!$F$2:$F$701,counts!$C$2:$C$701,$A96,counts!$D$2:$D$701,$B96,counts!$E$2:$E$701,"remaining_day3")))</f>
        <v/>
      </c>
      <c r="AF96" s="30" t="str">
        <f aca="false">IF($A96="","",IF(COUNTIFS(counts!$C$2:$C$701,$A96,counts!$D$2:$D$701,$B96,counts!$E$2:$E$701,"remaining_day5")=0,"",SUMIFS(counts!$F$2:$F$701,counts!$C$2:$C$701,$A96,counts!$D$2:$D$701,$B96,counts!$E$2:$E$701,"remaining_day5")))</f>
        <v/>
      </c>
      <c r="AG96" s="30" t="str">
        <f aca="false">IF(OR($A96="",$AF96=""),"",MAX(0,$AA96+$AD96-$AF96))</f>
        <v/>
      </c>
      <c r="AH96" s="30" t="str">
        <f aca="false">IF(OR($A96="",$AI96=""),"",IFERROR(IF(INDEX(photos!$H$2:$H$701,MATCH($A96&amp;"|"&amp;$B96&amp;"|later|Y|"&amp;$AI96,photos!$S$2:$S$701,0))="","",INDEX(photos!$H$2:$H$701,MATCH($A96&amp;"|"&amp;$B96&amp;"|later|Y|"&amp;$AI96,photos!$S$2:$S$701,0))),""))</f>
        <v/>
      </c>
      <c r="AI96" s="31" t="str">
        <f aca="false">IF($A96="","",IFERROR(1/(1/SUMPRODUCT(MAX((photos!$B$2:$B$701=$A96)*(photos!$C$2:$C$701=$B96)*(photos!$D$2:$D$701="later")*(photos!$O$2:$O$701="Y")*photos!$E$2:$E$701))),""))</f>
        <v/>
      </c>
      <c r="AJ96" s="30" t="str">
        <f aca="false">IF(OR($A96="",$AI96="",$I96=""),"",NETWORKDAYS($I96,$AI96,calendar!$A$2:$A$80))</f>
        <v/>
      </c>
      <c r="AK96" s="30" t="str">
        <f aca="false">IF($A96="","",IF(AND($X96&lt;&gt;"",$AH96&lt;&gt;""),"Y","N"))</f>
        <v/>
      </c>
      <c r="AL96" s="30" t="str">
        <f aca="true">IF(OR($A96="",$I96=""),"",IF($BC96="Y",SUMIFS(survey_frozen!$C$2:$C$251,survey_frozen!$P$2:$P$251,$A96&amp;"|"&amp;$B96),IFERROR(COUNTIFS(INDIRECT("'"&amp;$A96&amp;"'!$B$2:$B$501"),$T96,INDIRECT("'"&amp;$A96&amp;"'!$A$2:$A$501"),"&gt;="&amp;$I96,INDIRECT("'"&amp;$A96&amp;"'!$A$2:$A$501"),"&lt;"&amp;($BA96+1)),0)))</f>
        <v/>
      </c>
      <c r="AM96" s="30" t="str">
        <f aca="true">IF(OR($A96="",$I96=""),"",IF($BC96="Y",SUMIFS(survey_frozen!$D$2:$D$251,survey_frozen!$P$2:$P$251,$A96&amp;"|"&amp;$B96),IFERROR(COUNTIFS(INDIRECT("'"&amp;$A96&amp;"'!$B$2:$B$501"),$T96,INDIRECT("'"&amp;$A96&amp;"'!$A$2:$A$501"),"&gt;="&amp;$I96,INDIRECT("'"&amp;$A96&amp;"'!$A$2:$A$501"),"&lt;"&amp;($BA96+1),INDIRECT("'"&amp;$A96&amp;"'!$C$2:$C$501"),"Yes"),0)))</f>
        <v/>
      </c>
      <c r="AN96" s="30" t="str">
        <f aca="false">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30" t="str">
        <f aca="false">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30" t="str">
        <f aca="true">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30" t="str">
        <f aca="true">IF(OR($A96="",$I96=""),"",IF($BC96="Y",SUMIFS(survey_frozen!$E$2:$E$251,survey_frozen!$P$2:$P$251,$A96&amp;"|"&amp;$B96),IFERROR(COUNTIFS(INDIRECT("'"&amp;$A96&amp;"'!$B$2:$B$501"),$T96,INDIRECT("'"&amp;$A96&amp;"'!$A$2:$A$501"),"&gt;="&amp;$I96,INDIRECT("'"&amp;$A96&amp;"'!$A$2:$A$501"),"&lt;"&amp;($BA96+1),INDIRECT("'"&amp;$A96&amp;"'!$F$2:$F$501"),"Didn't see it"),0)))</f>
        <v/>
      </c>
      <c r="AR96" s="30" t="str">
        <f aca="true">IF(OR($A96="",$I96=""),"",IF($BC96="Y",SUMIFS(survey_frozen!$F$2:$F$251,survey_frozen!$P$2:$P$251,$A96&amp;"|"&amp;$B96),IFERROR(COUNTIFS(INDIRECT("'"&amp;$A96&amp;"'!$B$2:$B$501"),$T96,INDIRECT("'"&amp;$A96&amp;"'!$A$2:$A$501"),"&gt;="&amp;$I96,INDIRECT("'"&amp;$A96&amp;"'!$A$2:$A$501"),"&lt;"&amp;($BA96+1),INDIRECT("'"&amp;$A96&amp;"'!$F$2:$F$501"),"Not for me"),0)))</f>
        <v/>
      </c>
      <c r="AS96" s="30" t="str">
        <f aca="true">IF(OR($A96="",$I96=""),"",IF($BC96="Y",SUMIFS(survey_frozen!$G$2:$G$251,survey_frozen!$P$2:$P$251,$A96&amp;"|"&amp;$B96),IFERROR(COUNTIFS(INDIRECT("'"&amp;$A96&amp;"'!$B$2:$B$501"),$T96,INDIRECT("'"&amp;$A96&amp;"'!$A$2:$A$501"),"&gt;="&amp;$I96,INDIRECT("'"&amp;$A96&amp;"'!$A$2:$A$501"),"&lt;"&amp;($BA96+1),INDIRECT("'"&amp;$A96&amp;"'!$F$2:$F$501"),"Gone by the time I looked"),0)))</f>
        <v/>
      </c>
      <c r="AT96" s="30" t="str">
        <f aca="true">IF(OR($A96="",$I96=""),"",IF($BC96="Y",SUMIFS(survey_frozen!$H$2:$H$251,survey_frozen!$P$2:$P$251,$A96&amp;"|"&amp;$B96),IFERROR(COUNTIFS(INDIRECT("'"&amp;$A96&amp;"'!$B$2:$B$501"),$T96,INDIRECT("'"&amp;$A96&amp;"'!$A$2:$A$501"),"&gt;="&amp;$I96,INDIRECT("'"&amp;$A96&amp;"'!$A$2:$A$501"),"&lt;"&amp;($BA96+1),INDIRECT("'"&amp;$A96&amp;"'!$D$2:$D$501"),"&gt;=1"),0)))</f>
        <v/>
      </c>
      <c r="AU96" s="30" t="str">
        <f aca="true">IF(OR($A96="",$I96=""),"",IF($BC96="Y",SUMIFS(survey_frozen!$I$2:$I$251,survey_frozen!$P$2:$P$251,$A96&amp;"|"&amp;$B96),IFERROR(SUMIFS(INDIRECT("'"&amp;$A96&amp;"'!$D$2:$D$501"),INDIRECT("'"&amp;$A96&amp;"'!$B$2:$B$501"),$T96,INDIRECT("'"&amp;$A96&amp;"'!$A$2:$A$501"),"&gt;="&amp;$I96,INDIRECT("'"&amp;$A96&amp;"'!$A$2:$A$501"),"&lt;"&amp;($BA96+1)),0)))</f>
        <v/>
      </c>
      <c r="AV96" s="30" t="str">
        <f aca="true">IF(OR($A96="",$I96=""),"",IF($BC96="Y",SUMIFS(survey_frozen!$J$2:$J$251,survey_frozen!$P$2:$P$251,$A96&amp;"|"&amp;$B96),IFERROR(COUNTIFS(INDIRECT("'"&amp;$A96&amp;"'!$B$2:$B$501"),$T96,INDIRECT("'"&amp;$A96&amp;"'!$A$2:$A$501"),"&gt;="&amp;$I96,INDIRECT("'"&amp;$A96&amp;"'!$A$2:$A$501"),"&lt;"&amp;($BA96+1),INDIRECT("'"&amp;$A96&amp;"'!$E$2:$E$501"),"Yes"),0)))</f>
        <v/>
      </c>
      <c r="AW96" s="30" t="str">
        <f aca="true">IF(OR($A96="",$I96=""),"",IF($BC96="Y",SUMIFS(survey_frozen!$K$2:$K$251,survey_frozen!$P$2:$P$251,$A96&amp;"|"&amp;$B96),IFERROR(COUNTIFS(INDIRECT("'"&amp;$A96&amp;"'!$B$2:$B$501"),$T96,INDIRECT("'"&amp;$A96&amp;"'!$A$2:$A$501"),"&gt;="&amp;$I96,INDIRECT("'"&amp;$A96&amp;"'!$A$2:$A$501"),"&lt;"&amp;($BA96+1),INDIRECT("'"&amp;$A96&amp;"'!$E$2:$E$501"),"Maybe"),0)))</f>
        <v/>
      </c>
      <c r="AX96" s="30" t="str">
        <f aca="true">IF(OR($A96="",$I96=""),"",IF($BC96="Y",SUMIFS(survey_frozen!$L$2:$L$251,survey_frozen!$P$2:$P$251,$A96&amp;"|"&amp;$B96),IFERROR(COUNTIFS(INDIRECT("'"&amp;$A96&amp;"'!$B$2:$B$501"),$T96,INDIRECT("'"&amp;$A96&amp;"'!$A$2:$A$501"),"&gt;="&amp;$I96,INDIRECT("'"&amp;$A96&amp;"'!$A$2:$A$501"),"&lt;"&amp;($BA96+1),INDIRECT("'"&amp;$A96&amp;"'!$E$2:$E$501"),"No"),0)))</f>
        <v/>
      </c>
      <c r="AY96" s="30" t="str">
        <f aca="true">IF(OR($A96="",$I96=""),"",IF($BC96="Y",SUMIFS(survey_frozen!$M$2:$M$251,survey_frozen!$P$2:$P$251,$A96&amp;"|"&amp;$B96),IFERROR(COUNTIFS(INDIRECT("'"&amp;$A96&amp;"'!$B$2:$B$501"),$T96,INDIRECT("'"&amp;$A96&amp;"'!$A$2:$A$501"),"&gt;="&amp;$I96,INDIRECT("'"&amp;$A96&amp;"'!$A$2:$A$501"),"&lt;"&amp;($BA96+1),INDIRECT("'"&amp;$A96&amp;"'!$G$2:$G$501"),"&lt;&gt;"),0)))</f>
        <v/>
      </c>
      <c r="AZ96" s="30" t="str">
        <f aca="false">IF($A96="","",$A96&amp;"|"&amp;$L96)</f>
        <v/>
      </c>
      <c r="BA96" s="31" t="str">
        <f aca="false">IF($A96="","",IFERROR(IF(INDEX(drops!$R$2:$R$21,MATCH($H96,drops!$A$2:$A$21,0))="","",INDEX(drops!$R$2:$R$21,MATCH($H96,drops!$A$2:$A$21,0))),""))</f>
        <v/>
      </c>
      <c r="BB96" s="30" t="n">
        <f aca="false">IF(OR($A96="",$Q96&lt;&gt;"Y"),1000000,N($AL96))</f>
        <v>1000000</v>
      </c>
      <c r="BC96" s="30" t="str">
        <f aca="false">IF($A96="","",IF(COUNTIF(survey_frozen!$P$2:$P$251,$A96&amp;"|"&amp;$B96)&gt;0,"Y",""))</f>
        <v/>
      </c>
      <c r="BD96" s="30" t="str">
        <f aca="false">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ustomFormat="false" ht="15" hidden="false" customHeight="false" outlineLevel="0" collapsed="false">
      <c r="C97" s="11"/>
      <c r="D97" s="10"/>
      <c r="E97" s="11"/>
      <c r="H97" s="30" t="str">
        <f aca="false">IF($A97="","",IFERROR(IF(INDEX(campaigns!$B$2:$B$51,MATCH($A97,campaigns!$A$2:$A$51,0))="","",INDEX(campaigns!$B$2:$B$51,MATCH($A97,campaigns!$A$2:$A$51,0))),""))</f>
        <v/>
      </c>
      <c r="I97" s="31" t="str">
        <f aca="false">IF($A97="","",IFERROR(IF(INDEX(campaigns!$BG$2:$BG$51,MATCH($A97,campaigns!$A$2:$A$51,0))="","",INDEX(campaigns!$BG$2:$BG$51,MATCH($A97,campaigns!$A$2:$A$51,0))),""))</f>
        <v/>
      </c>
      <c r="J97" s="30" t="str">
        <f aca="false">IF($A97="","",IFERROR(IF(INDEX(campaigns!$BE$2:$BE$51,MATCH($A97,campaigns!$A$2:$A$51,0))="","",INDEX(campaigns!$BE$2:$BE$51,MATCH($A97,campaigns!$A$2:$A$51,0))),""))</f>
        <v/>
      </c>
      <c r="K97" s="30" t="str">
        <f aca="false">IF($B97="","",IFERROR(IF(INDEX(offices!$O$2:$O$61,MATCH($B97,offices!$A$2:$A$61,0))="","",INDEX(offices!$O$2:$O$61,MATCH($B97,offices!$A$2:$A$61,0))),""))</f>
        <v/>
      </c>
      <c r="L97" s="30" t="str">
        <f aca="false">IF($A97="","",IF($Q97="N","",COUNTIFS($A$2:$A97,$A97,$Q$2:$Q97,"&lt;&gt;N")))</f>
        <v/>
      </c>
      <c r="M97" s="30" t="str">
        <f aca="false">IF(OR($A97="",$L97=""),"",IF(AND(config!$B$34="names_if_public",IFERROR(IF(INDEX(offices!$AG$2:$AG$61,MATCH($B97,offices!$A$2:$A$61,0))="","",INDEX(offices!$AG$2:$AG$61,MATCH($B97,offices!$A$2:$A$61,0))),"")="Y"),$K97,CHAR(64+$L97)))</f>
        <v/>
      </c>
      <c r="N97" s="30" t="str">
        <f aca="false">IF(OR($A97="",$I97=""),"",COUNTIFS(stops!$B$2:$B$151,$B97,stops!$P$2:$P$151,"&lt;"&amp;$I97,stops!$L$2:$L$151,"&lt;&gt;not_delivered")+1)</f>
        <v/>
      </c>
      <c r="O97" s="30" t="str">
        <f aca="false">IF($A97="","",IF(N($N97)&lt;=config!$B$29,"explicit","opt-out"))</f>
        <v/>
      </c>
      <c r="P97" s="30" t="str">
        <f aca="false">IF($A97="","",IF($O97="explicit",IF($D97="yes","Y",IF($D97="no","N","pending")),IF($D97="no","N",IF(AND($C97&lt;&gt;"",$I97&lt;&gt;"",$C97&lt;=WORKDAY(N($I97),-5,calendar!$A$2:$A$80)),"Y","pending"))))</f>
        <v/>
      </c>
      <c r="Q97" s="30" t="str">
        <f aca="false">IF($A97="","",IF($P97="N","N",IF($P97&lt;&gt;"Y","pending",IF(AND((COUNTIFS(stops!$A$2:$A$151,$H97,stops!$B$2:$B$151,$B97,stops!$L$2:$L$151,"declined")+COUNTIFS(stops!$A$2:$A$151,$H97,stops!$B$2:$B$151,$B97,stops!$L$2:$L$151,"building_refused")+COUNTIFS(stops!$A$2:$A$151,$H97,stops!$B$2:$B$151,$B97,stops!$L$2:$L$151,"not_delivered"))&gt;0,N($U97)=0),"N","Y"))))</f>
        <v/>
      </c>
      <c r="R97" s="30" t="str">
        <f aca="false">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30" t="str">
        <f aca="false">IF($A97="","",IF($G97&lt;&gt;"",$G97,IFERROR(IF(INDEX(offices!$AM$2:$AM$61,MATCH($B97,offices!$A$2:$A$61,0))="","",INDEX(offices!$AM$2:$AM$61,MATCH($B97,offices!$A$2:$A$61,0))),"")))</f>
        <v/>
      </c>
      <c r="T97" s="30" t="str">
        <f aca="false">IF($A97="","",$A97&amp;"."&amp;$B97)</f>
        <v/>
      </c>
      <c r="U97" s="30" t="str">
        <f aca="false">IF($A97="","",SUMIFS(inventory!$G$2:$G$801,inventory!$C$2:$C$801,$A97,inventory!$D$2:$D$801,$B97,inventory!$E$2:$E$801,"delivered"))</f>
        <v/>
      </c>
      <c r="V97" s="37" t="str">
        <f aca="false">IF($A97="","",IFERROR(1/(1/SUMPRODUCT(MAX((inventory!$C$2:$C$801=$A97)*(inventory!$D$2:$D$801=$B97)*(inventory!$E$2:$E$801="delivered")*(inventory!$A$2:$A$801+inventory!$B$2:$B$801)))),""))</f>
        <v/>
      </c>
      <c r="W97" s="30" t="str">
        <f aca="false">IF($A97="","",IFERROR(IF(INDEX(inventory!$J$2:$J$801,MATCH($A97&amp;"|"&amp;$B97&amp;"|delivered",inventory!$R$2:$R$801,0))="","",INDEX(inventory!$J$2:$J$801,MATCH($A97&amp;"|"&amp;$B97&amp;"|delivered",inventory!$R$2:$R$801,0))),""))</f>
        <v/>
      </c>
      <c r="X97" s="30" t="str">
        <f aca="false">IF($A97="","",IFERROR(IF(INDEX(photos!$H$2:$H$701,MATCH($A97&amp;"|"&amp;$B97&amp;"|placement|Y",photos!$R$2:$R$701,0))="","",INDEX(photos!$H$2:$H$701,MATCH($A97&amp;"|"&amp;$B97&amp;"|placement|Y",photos!$R$2:$R$701,0))),""))</f>
        <v/>
      </c>
      <c r="Y97" s="31" t="str">
        <f aca="false">IF($A97="","",IFERROR(IF(INDEX(photos!$E$2:$E$701,MATCH($A97&amp;"|"&amp;$B97&amp;"|placement|Y",photos!$R$2:$R$701,0))="","",INDEX(photos!$E$2:$E$701,MATCH($A97&amp;"|"&amp;$B97&amp;"|placement|Y",photos!$R$2:$R$701,0))),""))</f>
        <v/>
      </c>
      <c r="Z97" s="30" t="str">
        <f aca="false">IF($A97="","",IF(COUNTIFS(counts!$C$2:$C$701,$A97,counts!$D$2:$D$701,$B97,counts!$E$2:$E$701,"placed")=0,"",SUMIFS(counts!$F$2:$F$701,counts!$C$2:$C$701,$A97,counts!$D$2:$D$701,$B97,counts!$E$2:$E$701,"placed")))</f>
        <v/>
      </c>
      <c r="AA97" s="30" t="str">
        <f aca="false">IF($A97="","",IF($Y97="",0,N($Z97)))</f>
        <v/>
      </c>
      <c r="AB97" s="30" t="str">
        <f aca="false">IF($A97="","",IF(OR($Y97="",$I97=""),"N",IF($Y97&lt;=WORKDAY(N($I97),1,calendar!$A$2:$A$80),"Y","N")))</f>
        <v/>
      </c>
      <c r="AC97" s="33" t="str">
        <f aca="false">IF(OR($A97="",$V97="",$Y97=""),"",ROUND(($Y97+N(IFERROR(IF(INDEX(photos!$F$2:$F$701,MATCH($A97&amp;"|"&amp;$B97&amp;"|placement|Y",photos!$R$2:$R$701,0))="","",INDEX(photos!$F$2:$F$701,MATCH($A97&amp;"|"&amp;$B97&amp;"|placement|Y",photos!$R$2:$R$701,0))),""))-$V97)*24,1))</f>
        <v/>
      </c>
      <c r="AD97" s="30" t="str">
        <f aca="false">IF($A97="","",SUMIFS(inventory!$G$2:$G$801,inventory!$C$2:$C$801,$A97,inventory!$D$2:$D$801,$B97,inventory!$E$2:$E$801,"topped_up"))</f>
        <v/>
      </c>
      <c r="AE97" s="30" t="str">
        <f aca="false">IF($A97="","",IF(COUNTIFS(counts!$C$2:$C$701,$A97,counts!$D$2:$D$701,$B97,counts!$E$2:$E$701,"remaining_day3")=0,"",SUMIFS(counts!$F$2:$F$701,counts!$C$2:$C$701,$A97,counts!$D$2:$D$701,$B97,counts!$E$2:$E$701,"remaining_day3")))</f>
        <v/>
      </c>
      <c r="AF97" s="30" t="str">
        <f aca="false">IF($A97="","",IF(COUNTIFS(counts!$C$2:$C$701,$A97,counts!$D$2:$D$701,$B97,counts!$E$2:$E$701,"remaining_day5")=0,"",SUMIFS(counts!$F$2:$F$701,counts!$C$2:$C$701,$A97,counts!$D$2:$D$701,$B97,counts!$E$2:$E$701,"remaining_day5")))</f>
        <v/>
      </c>
      <c r="AG97" s="30" t="str">
        <f aca="false">IF(OR($A97="",$AF97=""),"",MAX(0,$AA97+$AD97-$AF97))</f>
        <v/>
      </c>
      <c r="AH97" s="30" t="str">
        <f aca="false">IF(OR($A97="",$AI97=""),"",IFERROR(IF(INDEX(photos!$H$2:$H$701,MATCH($A97&amp;"|"&amp;$B97&amp;"|later|Y|"&amp;$AI97,photos!$S$2:$S$701,0))="","",INDEX(photos!$H$2:$H$701,MATCH($A97&amp;"|"&amp;$B97&amp;"|later|Y|"&amp;$AI97,photos!$S$2:$S$701,0))),""))</f>
        <v/>
      </c>
      <c r="AI97" s="31" t="str">
        <f aca="false">IF($A97="","",IFERROR(1/(1/SUMPRODUCT(MAX((photos!$B$2:$B$701=$A97)*(photos!$C$2:$C$701=$B97)*(photos!$D$2:$D$701="later")*(photos!$O$2:$O$701="Y")*photos!$E$2:$E$701))),""))</f>
        <v/>
      </c>
      <c r="AJ97" s="30" t="str">
        <f aca="false">IF(OR($A97="",$AI97="",$I97=""),"",NETWORKDAYS($I97,$AI97,calendar!$A$2:$A$80))</f>
        <v/>
      </c>
      <c r="AK97" s="30" t="str">
        <f aca="false">IF($A97="","",IF(AND($X97&lt;&gt;"",$AH97&lt;&gt;""),"Y","N"))</f>
        <v/>
      </c>
      <c r="AL97" s="30" t="str">
        <f aca="true">IF(OR($A97="",$I97=""),"",IF($BC97="Y",SUMIFS(survey_frozen!$C$2:$C$251,survey_frozen!$P$2:$P$251,$A97&amp;"|"&amp;$B97),IFERROR(COUNTIFS(INDIRECT("'"&amp;$A97&amp;"'!$B$2:$B$501"),$T97,INDIRECT("'"&amp;$A97&amp;"'!$A$2:$A$501"),"&gt;="&amp;$I97,INDIRECT("'"&amp;$A97&amp;"'!$A$2:$A$501"),"&lt;"&amp;($BA97+1)),0)))</f>
        <v/>
      </c>
      <c r="AM97" s="30" t="str">
        <f aca="true">IF(OR($A97="",$I97=""),"",IF($BC97="Y",SUMIFS(survey_frozen!$D$2:$D$251,survey_frozen!$P$2:$P$251,$A97&amp;"|"&amp;$B97),IFERROR(COUNTIFS(INDIRECT("'"&amp;$A97&amp;"'!$B$2:$B$501"),$T97,INDIRECT("'"&amp;$A97&amp;"'!$A$2:$A$501"),"&gt;="&amp;$I97,INDIRECT("'"&amp;$A97&amp;"'!$A$2:$A$501"),"&lt;"&amp;($BA97+1),INDIRECT("'"&amp;$A97&amp;"'!$C$2:$C$501"),"Yes"),0)))</f>
        <v/>
      </c>
      <c r="AN97" s="30" t="str">
        <f aca="false">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30" t="str">
        <f aca="false">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30" t="str">
        <f aca="true">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30" t="str">
        <f aca="true">IF(OR($A97="",$I97=""),"",IF($BC97="Y",SUMIFS(survey_frozen!$E$2:$E$251,survey_frozen!$P$2:$P$251,$A97&amp;"|"&amp;$B97),IFERROR(COUNTIFS(INDIRECT("'"&amp;$A97&amp;"'!$B$2:$B$501"),$T97,INDIRECT("'"&amp;$A97&amp;"'!$A$2:$A$501"),"&gt;="&amp;$I97,INDIRECT("'"&amp;$A97&amp;"'!$A$2:$A$501"),"&lt;"&amp;($BA97+1),INDIRECT("'"&amp;$A97&amp;"'!$F$2:$F$501"),"Didn't see it"),0)))</f>
        <v/>
      </c>
      <c r="AR97" s="30" t="str">
        <f aca="true">IF(OR($A97="",$I97=""),"",IF($BC97="Y",SUMIFS(survey_frozen!$F$2:$F$251,survey_frozen!$P$2:$P$251,$A97&amp;"|"&amp;$B97),IFERROR(COUNTIFS(INDIRECT("'"&amp;$A97&amp;"'!$B$2:$B$501"),$T97,INDIRECT("'"&amp;$A97&amp;"'!$A$2:$A$501"),"&gt;="&amp;$I97,INDIRECT("'"&amp;$A97&amp;"'!$A$2:$A$501"),"&lt;"&amp;($BA97+1),INDIRECT("'"&amp;$A97&amp;"'!$F$2:$F$501"),"Not for me"),0)))</f>
        <v/>
      </c>
      <c r="AS97" s="30" t="str">
        <f aca="true">IF(OR($A97="",$I97=""),"",IF($BC97="Y",SUMIFS(survey_frozen!$G$2:$G$251,survey_frozen!$P$2:$P$251,$A97&amp;"|"&amp;$B97),IFERROR(COUNTIFS(INDIRECT("'"&amp;$A97&amp;"'!$B$2:$B$501"),$T97,INDIRECT("'"&amp;$A97&amp;"'!$A$2:$A$501"),"&gt;="&amp;$I97,INDIRECT("'"&amp;$A97&amp;"'!$A$2:$A$501"),"&lt;"&amp;($BA97+1),INDIRECT("'"&amp;$A97&amp;"'!$F$2:$F$501"),"Gone by the time I looked"),0)))</f>
        <v/>
      </c>
      <c r="AT97" s="30" t="str">
        <f aca="true">IF(OR($A97="",$I97=""),"",IF($BC97="Y",SUMIFS(survey_frozen!$H$2:$H$251,survey_frozen!$P$2:$P$251,$A97&amp;"|"&amp;$B97),IFERROR(COUNTIFS(INDIRECT("'"&amp;$A97&amp;"'!$B$2:$B$501"),$T97,INDIRECT("'"&amp;$A97&amp;"'!$A$2:$A$501"),"&gt;="&amp;$I97,INDIRECT("'"&amp;$A97&amp;"'!$A$2:$A$501"),"&lt;"&amp;($BA97+1),INDIRECT("'"&amp;$A97&amp;"'!$D$2:$D$501"),"&gt;=1"),0)))</f>
        <v/>
      </c>
      <c r="AU97" s="30" t="str">
        <f aca="true">IF(OR($A97="",$I97=""),"",IF($BC97="Y",SUMIFS(survey_frozen!$I$2:$I$251,survey_frozen!$P$2:$P$251,$A97&amp;"|"&amp;$B97),IFERROR(SUMIFS(INDIRECT("'"&amp;$A97&amp;"'!$D$2:$D$501"),INDIRECT("'"&amp;$A97&amp;"'!$B$2:$B$501"),$T97,INDIRECT("'"&amp;$A97&amp;"'!$A$2:$A$501"),"&gt;="&amp;$I97,INDIRECT("'"&amp;$A97&amp;"'!$A$2:$A$501"),"&lt;"&amp;($BA97+1)),0)))</f>
        <v/>
      </c>
      <c r="AV97" s="30" t="str">
        <f aca="true">IF(OR($A97="",$I97=""),"",IF($BC97="Y",SUMIFS(survey_frozen!$J$2:$J$251,survey_frozen!$P$2:$P$251,$A97&amp;"|"&amp;$B97),IFERROR(COUNTIFS(INDIRECT("'"&amp;$A97&amp;"'!$B$2:$B$501"),$T97,INDIRECT("'"&amp;$A97&amp;"'!$A$2:$A$501"),"&gt;="&amp;$I97,INDIRECT("'"&amp;$A97&amp;"'!$A$2:$A$501"),"&lt;"&amp;($BA97+1),INDIRECT("'"&amp;$A97&amp;"'!$E$2:$E$501"),"Yes"),0)))</f>
        <v/>
      </c>
      <c r="AW97" s="30" t="str">
        <f aca="true">IF(OR($A97="",$I97=""),"",IF($BC97="Y",SUMIFS(survey_frozen!$K$2:$K$251,survey_frozen!$P$2:$P$251,$A97&amp;"|"&amp;$B97),IFERROR(COUNTIFS(INDIRECT("'"&amp;$A97&amp;"'!$B$2:$B$501"),$T97,INDIRECT("'"&amp;$A97&amp;"'!$A$2:$A$501"),"&gt;="&amp;$I97,INDIRECT("'"&amp;$A97&amp;"'!$A$2:$A$501"),"&lt;"&amp;($BA97+1),INDIRECT("'"&amp;$A97&amp;"'!$E$2:$E$501"),"Maybe"),0)))</f>
        <v/>
      </c>
      <c r="AX97" s="30" t="str">
        <f aca="true">IF(OR($A97="",$I97=""),"",IF($BC97="Y",SUMIFS(survey_frozen!$L$2:$L$251,survey_frozen!$P$2:$P$251,$A97&amp;"|"&amp;$B97),IFERROR(COUNTIFS(INDIRECT("'"&amp;$A97&amp;"'!$B$2:$B$501"),$T97,INDIRECT("'"&amp;$A97&amp;"'!$A$2:$A$501"),"&gt;="&amp;$I97,INDIRECT("'"&amp;$A97&amp;"'!$A$2:$A$501"),"&lt;"&amp;($BA97+1),INDIRECT("'"&amp;$A97&amp;"'!$E$2:$E$501"),"No"),0)))</f>
        <v/>
      </c>
      <c r="AY97" s="30" t="str">
        <f aca="true">IF(OR($A97="",$I97=""),"",IF($BC97="Y",SUMIFS(survey_frozen!$M$2:$M$251,survey_frozen!$P$2:$P$251,$A97&amp;"|"&amp;$B97),IFERROR(COUNTIFS(INDIRECT("'"&amp;$A97&amp;"'!$B$2:$B$501"),$T97,INDIRECT("'"&amp;$A97&amp;"'!$A$2:$A$501"),"&gt;="&amp;$I97,INDIRECT("'"&amp;$A97&amp;"'!$A$2:$A$501"),"&lt;"&amp;($BA97+1),INDIRECT("'"&amp;$A97&amp;"'!$G$2:$G$501"),"&lt;&gt;"),0)))</f>
        <v/>
      </c>
      <c r="AZ97" s="30" t="str">
        <f aca="false">IF($A97="","",$A97&amp;"|"&amp;$L97)</f>
        <v/>
      </c>
      <c r="BA97" s="31" t="str">
        <f aca="false">IF($A97="","",IFERROR(IF(INDEX(drops!$R$2:$R$21,MATCH($H97,drops!$A$2:$A$21,0))="","",INDEX(drops!$R$2:$R$21,MATCH($H97,drops!$A$2:$A$21,0))),""))</f>
        <v/>
      </c>
      <c r="BB97" s="30" t="n">
        <f aca="false">IF(OR($A97="",$Q97&lt;&gt;"Y"),1000000,N($AL97))</f>
        <v>1000000</v>
      </c>
      <c r="BC97" s="30" t="str">
        <f aca="false">IF($A97="","",IF(COUNTIF(survey_frozen!$P$2:$P$251,$A97&amp;"|"&amp;$B97)&gt;0,"Y",""))</f>
        <v/>
      </c>
      <c r="BD97" s="30" t="str">
        <f aca="false">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ustomFormat="false" ht="15" hidden="false" customHeight="false" outlineLevel="0" collapsed="false">
      <c r="C98" s="11"/>
      <c r="D98" s="10"/>
      <c r="E98" s="11"/>
      <c r="H98" s="30" t="str">
        <f aca="false">IF($A98="","",IFERROR(IF(INDEX(campaigns!$B$2:$B$51,MATCH($A98,campaigns!$A$2:$A$51,0))="","",INDEX(campaigns!$B$2:$B$51,MATCH($A98,campaigns!$A$2:$A$51,0))),""))</f>
        <v/>
      </c>
      <c r="I98" s="31" t="str">
        <f aca="false">IF($A98="","",IFERROR(IF(INDEX(campaigns!$BG$2:$BG$51,MATCH($A98,campaigns!$A$2:$A$51,0))="","",INDEX(campaigns!$BG$2:$BG$51,MATCH($A98,campaigns!$A$2:$A$51,0))),""))</f>
        <v/>
      </c>
      <c r="J98" s="30" t="str">
        <f aca="false">IF($A98="","",IFERROR(IF(INDEX(campaigns!$BE$2:$BE$51,MATCH($A98,campaigns!$A$2:$A$51,0))="","",INDEX(campaigns!$BE$2:$BE$51,MATCH($A98,campaigns!$A$2:$A$51,0))),""))</f>
        <v/>
      </c>
      <c r="K98" s="30" t="str">
        <f aca="false">IF($B98="","",IFERROR(IF(INDEX(offices!$O$2:$O$61,MATCH($B98,offices!$A$2:$A$61,0))="","",INDEX(offices!$O$2:$O$61,MATCH($B98,offices!$A$2:$A$61,0))),""))</f>
        <v/>
      </c>
      <c r="L98" s="30" t="str">
        <f aca="false">IF($A98="","",IF($Q98="N","",COUNTIFS($A$2:$A98,$A98,$Q$2:$Q98,"&lt;&gt;N")))</f>
        <v/>
      </c>
      <c r="M98" s="30" t="str">
        <f aca="false">IF(OR($A98="",$L98=""),"",IF(AND(config!$B$34="names_if_public",IFERROR(IF(INDEX(offices!$AG$2:$AG$61,MATCH($B98,offices!$A$2:$A$61,0))="","",INDEX(offices!$AG$2:$AG$61,MATCH($B98,offices!$A$2:$A$61,0))),"")="Y"),$K98,CHAR(64+$L98)))</f>
        <v/>
      </c>
      <c r="N98" s="30" t="str">
        <f aca="false">IF(OR($A98="",$I98=""),"",COUNTIFS(stops!$B$2:$B$151,$B98,stops!$P$2:$P$151,"&lt;"&amp;$I98,stops!$L$2:$L$151,"&lt;&gt;not_delivered")+1)</f>
        <v/>
      </c>
      <c r="O98" s="30" t="str">
        <f aca="false">IF($A98="","",IF(N($N98)&lt;=config!$B$29,"explicit","opt-out"))</f>
        <v/>
      </c>
      <c r="P98" s="30" t="str">
        <f aca="false">IF($A98="","",IF($O98="explicit",IF($D98="yes","Y",IF($D98="no","N","pending")),IF($D98="no","N",IF(AND($C98&lt;&gt;"",$I98&lt;&gt;"",$C98&lt;=WORKDAY(N($I98),-5,calendar!$A$2:$A$80)),"Y","pending"))))</f>
        <v/>
      </c>
      <c r="Q98" s="30" t="str">
        <f aca="false">IF($A98="","",IF($P98="N","N",IF($P98&lt;&gt;"Y","pending",IF(AND((COUNTIFS(stops!$A$2:$A$151,$H98,stops!$B$2:$B$151,$B98,stops!$L$2:$L$151,"declined")+COUNTIFS(stops!$A$2:$A$151,$H98,stops!$B$2:$B$151,$B98,stops!$L$2:$L$151,"building_refused")+COUNTIFS(stops!$A$2:$A$151,$H98,stops!$B$2:$B$151,$B98,stops!$L$2:$L$151,"not_delivered"))&gt;0,N($U98)=0),"N","Y"))))</f>
        <v/>
      </c>
      <c r="R98" s="30" t="str">
        <f aca="false">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30" t="str">
        <f aca="false">IF($A98="","",IF($G98&lt;&gt;"",$G98,IFERROR(IF(INDEX(offices!$AM$2:$AM$61,MATCH($B98,offices!$A$2:$A$61,0))="","",INDEX(offices!$AM$2:$AM$61,MATCH($B98,offices!$A$2:$A$61,0))),"")))</f>
        <v/>
      </c>
      <c r="T98" s="30" t="str">
        <f aca="false">IF($A98="","",$A98&amp;"."&amp;$B98)</f>
        <v/>
      </c>
      <c r="U98" s="30" t="str">
        <f aca="false">IF($A98="","",SUMIFS(inventory!$G$2:$G$801,inventory!$C$2:$C$801,$A98,inventory!$D$2:$D$801,$B98,inventory!$E$2:$E$801,"delivered"))</f>
        <v/>
      </c>
      <c r="V98" s="37" t="str">
        <f aca="false">IF($A98="","",IFERROR(1/(1/SUMPRODUCT(MAX((inventory!$C$2:$C$801=$A98)*(inventory!$D$2:$D$801=$B98)*(inventory!$E$2:$E$801="delivered")*(inventory!$A$2:$A$801+inventory!$B$2:$B$801)))),""))</f>
        <v/>
      </c>
      <c r="W98" s="30" t="str">
        <f aca="false">IF($A98="","",IFERROR(IF(INDEX(inventory!$J$2:$J$801,MATCH($A98&amp;"|"&amp;$B98&amp;"|delivered",inventory!$R$2:$R$801,0))="","",INDEX(inventory!$J$2:$J$801,MATCH($A98&amp;"|"&amp;$B98&amp;"|delivered",inventory!$R$2:$R$801,0))),""))</f>
        <v/>
      </c>
      <c r="X98" s="30" t="str">
        <f aca="false">IF($A98="","",IFERROR(IF(INDEX(photos!$H$2:$H$701,MATCH($A98&amp;"|"&amp;$B98&amp;"|placement|Y",photos!$R$2:$R$701,0))="","",INDEX(photos!$H$2:$H$701,MATCH($A98&amp;"|"&amp;$B98&amp;"|placement|Y",photos!$R$2:$R$701,0))),""))</f>
        <v/>
      </c>
      <c r="Y98" s="31" t="str">
        <f aca="false">IF($A98="","",IFERROR(IF(INDEX(photos!$E$2:$E$701,MATCH($A98&amp;"|"&amp;$B98&amp;"|placement|Y",photos!$R$2:$R$701,0))="","",INDEX(photos!$E$2:$E$701,MATCH($A98&amp;"|"&amp;$B98&amp;"|placement|Y",photos!$R$2:$R$701,0))),""))</f>
        <v/>
      </c>
      <c r="Z98" s="30" t="str">
        <f aca="false">IF($A98="","",IF(COUNTIFS(counts!$C$2:$C$701,$A98,counts!$D$2:$D$701,$B98,counts!$E$2:$E$701,"placed")=0,"",SUMIFS(counts!$F$2:$F$701,counts!$C$2:$C$701,$A98,counts!$D$2:$D$701,$B98,counts!$E$2:$E$701,"placed")))</f>
        <v/>
      </c>
      <c r="AA98" s="30" t="str">
        <f aca="false">IF($A98="","",IF($Y98="",0,N($Z98)))</f>
        <v/>
      </c>
      <c r="AB98" s="30" t="str">
        <f aca="false">IF($A98="","",IF(OR($Y98="",$I98=""),"N",IF($Y98&lt;=WORKDAY(N($I98),1,calendar!$A$2:$A$80),"Y","N")))</f>
        <v/>
      </c>
      <c r="AC98" s="33" t="str">
        <f aca="false">IF(OR($A98="",$V98="",$Y98=""),"",ROUND(($Y98+N(IFERROR(IF(INDEX(photos!$F$2:$F$701,MATCH($A98&amp;"|"&amp;$B98&amp;"|placement|Y",photos!$R$2:$R$701,0))="","",INDEX(photos!$F$2:$F$701,MATCH($A98&amp;"|"&amp;$B98&amp;"|placement|Y",photos!$R$2:$R$701,0))),""))-$V98)*24,1))</f>
        <v/>
      </c>
      <c r="AD98" s="30" t="str">
        <f aca="false">IF($A98="","",SUMIFS(inventory!$G$2:$G$801,inventory!$C$2:$C$801,$A98,inventory!$D$2:$D$801,$B98,inventory!$E$2:$E$801,"topped_up"))</f>
        <v/>
      </c>
      <c r="AE98" s="30" t="str">
        <f aca="false">IF($A98="","",IF(COUNTIFS(counts!$C$2:$C$701,$A98,counts!$D$2:$D$701,$B98,counts!$E$2:$E$701,"remaining_day3")=0,"",SUMIFS(counts!$F$2:$F$701,counts!$C$2:$C$701,$A98,counts!$D$2:$D$701,$B98,counts!$E$2:$E$701,"remaining_day3")))</f>
        <v/>
      </c>
      <c r="AF98" s="30" t="str">
        <f aca="false">IF($A98="","",IF(COUNTIFS(counts!$C$2:$C$701,$A98,counts!$D$2:$D$701,$B98,counts!$E$2:$E$701,"remaining_day5")=0,"",SUMIFS(counts!$F$2:$F$701,counts!$C$2:$C$701,$A98,counts!$D$2:$D$701,$B98,counts!$E$2:$E$701,"remaining_day5")))</f>
        <v/>
      </c>
      <c r="AG98" s="30" t="str">
        <f aca="false">IF(OR($A98="",$AF98=""),"",MAX(0,$AA98+$AD98-$AF98))</f>
        <v/>
      </c>
      <c r="AH98" s="30" t="str">
        <f aca="false">IF(OR($A98="",$AI98=""),"",IFERROR(IF(INDEX(photos!$H$2:$H$701,MATCH($A98&amp;"|"&amp;$B98&amp;"|later|Y|"&amp;$AI98,photos!$S$2:$S$701,0))="","",INDEX(photos!$H$2:$H$701,MATCH($A98&amp;"|"&amp;$B98&amp;"|later|Y|"&amp;$AI98,photos!$S$2:$S$701,0))),""))</f>
        <v/>
      </c>
      <c r="AI98" s="31" t="str">
        <f aca="false">IF($A98="","",IFERROR(1/(1/SUMPRODUCT(MAX((photos!$B$2:$B$701=$A98)*(photos!$C$2:$C$701=$B98)*(photos!$D$2:$D$701="later")*(photos!$O$2:$O$701="Y")*photos!$E$2:$E$701))),""))</f>
        <v/>
      </c>
      <c r="AJ98" s="30" t="str">
        <f aca="false">IF(OR($A98="",$AI98="",$I98=""),"",NETWORKDAYS($I98,$AI98,calendar!$A$2:$A$80))</f>
        <v/>
      </c>
      <c r="AK98" s="30" t="str">
        <f aca="false">IF($A98="","",IF(AND($X98&lt;&gt;"",$AH98&lt;&gt;""),"Y","N"))</f>
        <v/>
      </c>
      <c r="AL98" s="30" t="str">
        <f aca="true">IF(OR($A98="",$I98=""),"",IF($BC98="Y",SUMIFS(survey_frozen!$C$2:$C$251,survey_frozen!$P$2:$P$251,$A98&amp;"|"&amp;$B98),IFERROR(COUNTIFS(INDIRECT("'"&amp;$A98&amp;"'!$B$2:$B$501"),$T98,INDIRECT("'"&amp;$A98&amp;"'!$A$2:$A$501"),"&gt;="&amp;$I98,INDIRECT("'"&amp;$A98&amp;"'!$A$2:$A$501"),"&lt;"&amp;($BA98+1)),0)))</f>
        <v/>
      </c>
      <c r="AM98" s="30" t="str">
        <f aca="true">IF(OR($A98="",$I98=""),"",IF($BC98="Y",SUMIFS(survey_frozen!$D$2:$D$251,survey_frozen!$P$2:$P$251,$A98&amp;"|"&amp;$B98),IFERROR(COUNTIFS(INDIRECT("'"&amp;$A98&amp;"'!$B$2:$B$501"),$T98,INDIRECT("'"&amp;$A98&amp;"'!$A$2:$A$501"),"&gt;="&amp;$I98,INDIRECT("'"&amp;$A98&amp;"'!$A$2:$A$501"),"&lt;"&amp;($BA98+1),INDIRECT("'"&amp;$A98&amp;"'!$C$2:$C$501"),"Yes"),0)))</f>
        <v/>
      </c>
      <c r="AN98" s="30" t="str">
        <f aca="false">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30" t="str">
        <f aca="false">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30" t="str">
        <f aca="true">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30" t="str">
        <f aca="true">IF(OR($A98="",$I98=""),"",IF($BC98="Y",SUMIFS(survey_frozen!$E$2:$E$251,survey_frozen!$P$2:$P$251,$A98&amp;"|"&amp;$B98),IFERROR(COUNTIFS(INDIRECT("'"&amp;$A98&amp;"'!$B$2:$B$501"),$T98,INDIRECT("'"&amp;$A98&amp;"'!$A$2:$A$501"),"&gt;="&amp;$I98,INDIRECT("'"&amp;$A98&amp;"'!$A$2:$A$501"),"&lt;"&amp;($BA98+1),INDIRECT("'"&amp;$A98&amp;"'!$F$2:$F$501"),"Didn't see it"),0)))</f>
        <v/>
      </c>
      <c r="AR98" s="30" t="str">
        <f aca="true">IF(OR($A98="",$I98=""),"",IF($BC98="Y",SUMIFS(survey_frozen!$F$2:$F$251,survey_frozen!$P$2:$P$251,$A98&amp;"|"&amp;$B98),IFERROR(COUNTIFS(INDIRECT("'"&amp;$A98&amp;"'!$B$2:$B$501"),$T98,INDIRECT("'"&amp;$A98&amp;"'!$A$2:$A$501"),"&gt;="&amp;$I98,INDIRECT("'"&amp;$A98&amp;"'!$A$2:$A$501"),"&lt;"&amp;($BA98+1),INDIRECT("'"&amp;$A98&amp;"'!$F$2:$F$501"),"Not for me"),0)))</f>
        <v/>
      </c>
      <c r="AS98" s="30" t="str">
        <f aca="true">IF(OR($A98="",$I98=""),"",IF($BC98="Y",SUMIFS(survey_frozen!$G$2:$G$251,survey_frozen!$P$2:$P$251,$A98&amp;"|"&amp;$B98),IFERROR(COUNTIFS(INDIRECT("'"&amp;$A98&amp;"'!$B$2:$B$501"),$T98,INDIRECT("'"&amp;$A98&amp;"'!$A$2:$A$501"),"&gt;="&amp;$I98,INDIRECT("'"&amp;$A98&amp;"'!$A$2:$A$501"),"&lt;"&amp;($BA98+1),INDIRECT("'"&amp;$A98&amp;"'!$F$2:$F$501"),"Gone by the time I looked"),0)))</f>
        <v/>
      </c>
      <c r="AT98" s="30" t="str">
        <f aca="true">IF(OR($A98="",$I98=""),"",IF($BC98="Y",SUMIFS(survey_frozen!$H$2:$H$251,survey_frozen!$P$2:$P$251,$A98&amp;"|"&amp;$B98),IFERROR(COUNTIFS(INDIRECT("'"&amp;$A98&amp;"'!$B$2:$B$501"),$T98,INDIRECT("'"&amp;$A98&amp;"'!$A$2:$A$501"),"&gt;="&amp;$I98,INDIRECT("'"&amp;$A98&amp;"'!$A$2:$A$501"),"&lt;"&amp;($BA98+1),INDIRECT("'"&amp;$A98&amp;"'!$D$2:$D$501"),"&gt;=1"),0)))</f>
        <v/>
      </c>
      <c r="AU98" s="30" t="str">
        <f aca="true">IF(OR($A98="",$I98=""),"",IF($BC98="Y",SUMIFS(survey_frozen!$I$2:$I$251,survey_frozen!$P$2:$P$251,$A98&amp;"|"&amp;$B98),IFERROR(SUMIFS(INDIRECT("'"&amp;$A98&amp;"'!$D$2:$D$501"),INDIRECT("'"&amp;$A98&amp;"'!$B$2:$B$501"),$T98,INDIRECT("'"&amp;$A98&amp;"'!$A$2:$A$501"),"&gt;="&amp;$I98,INDIRECT("'"&amp;$A98&amp;"'!$A$2:$A$501"),"&lt;"&amp;($BA98+1)),0)))</f>
        <v/>
      </c>
      <c r="AV98" s="30" t="str">
        <f aca="true">IF(OR($A98="",$I98=""),"",IF($BC98="Y",SUMIFS(survey_frozen!$J$2:$J$251,survey_frozen!$P$2:$P$251,$A98&amp;"|"&amp;$B98),IFERROR(COUNTIFS(INDIRECT("'"&amp;$A98&amp;"'!$B$2:$B$501"),$T98,INDIRECT("'"&amp;$A98&amp;"'!$A$2:$A$501"),"&gt;="&amp;$I98,INDIRECT("'"&amp;$A98&amp;"'!$A$2:$A$501"),"&lt;"&amp;($BA98+1),INDIRECT("'"&amp;$A98&amp;"'!$E$2:$E$501"),"Yes"),0)))</f>
        <v/>
      </c>
      <c r="AW98" s="30" t="str">
        <f aca="true">IF(OR($A98="",$I98=""),"",IF($BC98="Y",SUMIFS(survey_frozen!$K$2:$K$251,survey_frozen!$P$2:$P$251,$A98&amp;"|"&amp;$B98),IFERROR(COUNTIFS(INDIRECT("'"&amp;$A98&amp;"'!$B$2:$B$501"),$T98,INDIRECT("'"&amp;$A98&amp;"'!$A$2:$A$501"),"&gt;="&amp;$I98,INDIRECT("'"&amp;$A98&amp;"'!$A$2:$A$501"),"&lt;"&amp;($BA98+1),INDIRECT("'"&amp;$A98&amp;"'!$E$2:$E$501"),"Maybe"),0)))</f>
        <v/>
      </c>
      <c r="AX98" s="30" t="str">
        <f aca="true">IF(OR($A98="",$I98=""),"",IF($BC98="Y",SUMIFS(survey_frozen!$L$2:$L$251,survey_frozen!$P$2:$P$251,$A98&amp;"|"&amp;$B98),IFERROR(COUNTIFS(INDIRECT("'"&amp;$A98&amp;"'!$B$2:$B$501"),$T98,INDIRECT("'"&amp;$A98&amp;"'!$A$2:$A$501"),"&gt;="&amp;$I98,INDIRECT("'"&amp;$A98&amp;"'!$A$2:$A$501"),"&lt;"&amp;($BA98+1),INDIRECT("'"&amp;$A98&amp;"'!$E$2:$E$501"),"No"),0)))</f>
        <v/>
      </c>
      <c r="AY98" s="30" t="str">
        <f aca="true">IF(OR($A98="",$I98=""),"",IF($BC98="Y",SUMIFS(survey_frozen!$M$2:$M$251,survey_frozen!$P$2:$P$251,$A98&amp;"|"&amp;$B98),IFERROR(COUNTIFS(INDIRECT("'"&amp;$A98&amp;"'!$B$2:$B$501"),$T98,INDIRECT("'"&amp;$A98&amp;"'!$A$2:$A$501"),"&gt;="&amp;$I98,INDIRECT("'"&amp;$A98&amp;"'!$A$2:$A$501"),"&lt;"&amp;($BA98+1),INDIRECT("'"&amp;$A98&amp;"'!$G$2:$G$501"),"&lt;&gt;"),0)))</f>
        <v/>
      </c>
      <c r="AZ98" s="30" t="str">
        <f aca="false">IF($A98="","",$A98&amp;"|"&amp;$L98)</f>
        <v/>
      </c>
      <c r="BA98" s="31" t="str">
        <f aca="false">IF($A98="","",IFERROR(IF(INDEX(drops!$R$2:$R$21,MATCH($H98,drops!$A$2:$A$21,0))="","",INDEX(drops!$R$2:$R$21,MATCH($H98,drops!$A$2:$A$21,0))),""))</f>
        <v/>
      </c>
      <c r="BB98" s="30" t="n">
        <f aca="false">IF(OR($A98="",$Q98&lt;&gt;"Y"),1000000,N($AL98))</f>
        <v>1000000</v>
      </c>
      <c r="BC98" s="30" t="str">
        <f aca="false">IF($A98="","",IF(COUNTIF(survey_frozen!$P$2:$P$251,$A98&amp;"|"&amp;$B98)&gt;0,"Y",""))</f>
        <v/>
      </c>
      <c r="BD98" s="30" t="str">
        <f aca="false">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ustomFormat="false" ht="15" hidden="false" customHeight="false" outlineLevel="0" collapsed="false">
      <c r="C99" s="11"/>
      <c r="D99" s="10"/>
      <c r="E99" s="11"/>
      <c r="H99" s="30" t="str">
        <f aca="false">IF($A99="","",IFERROR(IF(INDEX(campaigns!$B$2:$B$51,MATCH($A99,campaigns!$A$2:$A$51,0))="","",INDEX(campaigns!$B$2:$B$51,MATCH($A99,campaigns!$A$2:$A$51,0))),""))</f>
        <v/>
      </c>
      <c r="I99" s="31" t="str">
        <f aca="false">IF($A99="","",IFERROR(IF(INDEX(campaigns!$BG$2:$BG$51,MATCH($A99,campaigns!$A$2:$A$51,0))="","",INDEX(campaigns!$BG$2:$BG$51,MATCH($A99,campaigns!$A$2:$A$51,0))),""))</f>
        <v/>
      </c>
      <c r="J99" s="30" t="str">
        <f aca="false">IF($A99="","",IFERROR(IF(INDEX(campaigns!$BE$2:$BE$51,MATCH($A99,campaigns!$A$2:$A$51,0))="","",INDEX(campaigns!$BE$2:$BE$51,MATCH($A99,campaigns!$A$2:$A$51,0))),""))</f>
        <v/>
      </c>
      <c r="K99" s="30" t="str">
        <f aca="false">IF($B99="","",IFERROR(IF(INDEX(offices!$O$2:$O$61,MATCH($B99,offices!$A$2:$A$61,0))="","",INDEX(offices!$O$2:$O$61,MATCH($B99,offices!$A$2:$A$61,0))),""))</f>
        <v/>
      </c>
      <c r="L99" s="30" t="str">
        <f aca="false">IF($A99="","",IF($Q99="N","",COUNTIFS($A$2:$A99,$A99,$Q$2:$Q99,"&lt;&gt;N")))</f>
        <v/>
      </c>
      <c r="M99" s="30" t="str">
        <f aca="false">IF(OR($A99="",$L99=""),"",IF(AND(config!$B$34="names_if_public",IFERROR(IF(INDEX(offices!$AG$2:$AG$61,MATCH($B99,offices!$A$2:$A$61,0))="","",INDEX(offices!$AG$2:$AG$61,MATCH($B99,offices!$A$2:$A$61,0))),"")="Y"),$K99,CHAR(64+$L99)))</f>
        <v/>
      </c>
      <c r="N99" s="30" t="str">
        <f aca="false">IF(OR($A99="",$I99=""),"",COUNTIFS(stops!$B$2:$B$151,$B99,stops!$P$2:$P$151,"&lt;"&amp;$I99,stops!$L$2:$L$151,"&lt;&gt;not_delivered")+1)</f>
        <v/>
      </c>
      <c r="O99" s="30" t="str">
        <f aca="false">IF($A99="","",IF(N($N99)&lt;=config!$B$29,"explicit","opt-out"))</f>
        <v/>
      </c>
      <c r="P99" s="30" t="str">
        <f aca="false">IF($A99="","",IF($O99="explicit",IF($D99="yes","Y",IF($D99="no","N","pending")),IF($D99="no","N",IF(AND($C99&lt;&gt;"",$I99&lt;&gt;"",$C99&lt;=WORKDAY(N($I99),-5,calendar!$A$2:$A$80)),"Y","pending"))))</f>
        <v/>
      </c>
      <c r="Q99" s="30" t="str">
        <f aca="false">IF($A99="","",IF($P99="N","N",IF($P99&lt;&gt;"Y","pending",IF(AND((COUNTIFS(stops!$A$2:$A$151,$H99,stops!$B$2:$B$151,$B99,stops!$L$2:$L$151,"declined")+COUNTIFS(stops!$A$2:$A$151,$H99,stops!$B$2:$B$151,$B99,stops!$L$2:$L$151,"building_refused")+COUNTIFS(stops!$A$2:$A$151,$H99,stops!$B$2:$B$151,$B99,stops!$L$2:$L$151,"not_delivered"))&gt;0,N($U99)=0),"N","Y"))))</f>
        <v/>
      </c>
      <c r="R99" s="30" t="str">
        <f aca="false">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30" t="str">
        <f aca="false">IF($A99="","",IF($G99&lt;&gt;"",$G99,IFERROR(IF(INDEX(offices!$AM$2:$AM$61,MATCH($B99,offices!$A$2:$A$61,0))="","",INDEX(offices!$AM$2:$AM$61,MATCH($B99,offices!$A$2:$A$61,0))),"")))</f>
        <v/>
      </c>
      <c r="T99" s="30" t="str">
        <f aca="false">IF($A99="","",$A99&amp;"."&amp;$B99)</f>
        <v/>
      </c>
      <c r="U99" s="30" t="str">
        <f aca="false">IF($A99="","",SUMIFS(inventory!$G$2:$G$801,inventory!$C$2:$C$801,$A99,inventory!$D$2:$D$801,$B99,inventory!$E$2:$E$801,"delivered"))</f>
        <v/>
      </c>
      <c r="V99" s="37" t="str">
        <f aca="false">IF($A99="","",IFERROR(1/(1/SUMPRODUCT(MAX((inventory!$C$2:$C$801=$A99)*(inventory!$D$2:$D$801=$B99)*(inventory!$E$2:$E$801="delivered")*(inventory!$A$2:$A$801+inventory!$B$2:$B$801)))),""))</f>
        <v/>
      </c>
      <c r="W99" s="30" t="str">
        <f aca="false">IF($A99="","",IFERROR(IF(INDEX(inventory!$J$2:$J$801,MATCH($A99&amp;"|"&amp;$B99&amp;"|delivered",inventory!$R$2:$R$801,0))="","",INDEX(inventory!$J$2:$J$801,MATCH($A99&amp;"|"&amp;$B99&amp;"|delivered",inventory!$R$2:$R$801,0))),""))</f>
        <v/>
      </c>
      <c r="X99" s="30" t="str">
        <f aca="false">IF($A99="","",IFERROR(IF(INDEX(photos!$H$2:$H$701,MATCH($A99&amp;"|"&amp;$B99&amp;"|placement|Y",photos!$R$2:$R$701,0))="","",INDEX(photos!$H$2:$H$701,MATCH($A99&amp;"|"&amp;$B99&amp;"|placement|Y",photos!$R$2:$R$701,0))),""))</f>
        <v/>
      </c>
      <c r="Y99" s="31" t="str">
        <f aca="false">IF($A99="","",IFERROR(IF(INDEX(photos!$E$2:$E$701,MATCH($A99&amp;"|"&amp;$B99&amp;"|placement|Y",photos!$R$2:$R$701,0))="","",INDEX(photos!$E$2:$E$701,MATCH($A99&amp;"|"&amp;$B99&amp;"|placement|Y",photos!$R$2:$R$701,0))),""))</f>
        <v/>
      </c>
      <c r="Z99" s="30" t="str">
        <f aca="false">IF($A99="","",IF(COUNTIFS(counts!$C$2:$C$701,$A99,counts!$D$2:$D$701,$B99,counts!$E$2:$E$701,"placed")=0,"",SUMIFS(counts!$F$2:$F$701,counts!$C$2:$C$701,$A99,counts!$D$2:$D$701,$B99,counts!$E$2:$E$701,"placed")))</f>
        <v/>
      </c>
      <c r="AA99" s="30" t="str">
        <f aca="false">IF($A99="","",IF($Y99="",0,N($Z99)))</f>
        <v/>
      </c>
      <c r="AB99" s="30" t="str">
        <f aca="false">IF($A99="","",IF(OR($Y99="",$I99=""),"N",IF($Y99&lt;=WORKDAY(N($I99),1,calendar!$A$2:$A$80),"Y","N")))</f>
        <v/>
      </c>
      <c r="AC99" s="33" t="str">
        <f aca="false">IF(OR($A99="",$V99="",$Y99=""),"",ROUND(($Y99+N(IFERROR(IF(INDEX(photos!$F$2:$F$701,MATCH($A99&amp;"|"&amp;$B99&amp;"|placement|Y",photos!$R$2:$R$701,0))="","",INDEX(photos!$F$2:$F$701,MATCH($A99&amp;"|"&amp;$B99&amp;"|placement|Y",photos!$R$2:$R$701,0))),""))-$V99)*24,1))</f>
        <v/>
      </c>
      <c r="AD99" s="30" t="str">
        <f aca="false">IF($A99="","",SUMIFS(inventory!$G$2:$G$801,inventory!$C$2:$C$801,$A99,inventory!$D$2:$D$801,$B99,inventory!$E$2:$E$801,"topped_up"))</f>
        <v/>
      </c>
      <c r="AE99" s="30" t="str">
        <f aca="false">IF($A99="","",IF(COUNTIFS(counts!$C$2:$C$701,$A99,counts!$D$2:$D$701,$B99,counts!$E$2:$E$701,"remaining_day3")=0,"",SUMIFS(counts!$F$2:$F$701,counts!$C$2:$C$701,$A99,counts!$D$2:$D$701,$B99,counts!$E$2:$E$701,"remaining_day3")))</f>
        <v/>
      </c>
      <c r="AF99" s="30" t="str">
        <f aca="false">IF($A99="","",IF(COUNTIFS(counts!$C$2:$C$701,$A99,counts!$D$2:$D$701,$B99,counts!$E$2:$E$701,"remaining_day5")=0,"",SUMIFS(counts!$F$2:$F$701,counts!$C$2:$C$701,$A99,counts!$D$2:$D$701,$B99,counts!$E$2:$E$701,"remaining_day5")))</f>
        <v/>
      </c>
      <c r="AG99" s="30" t="str">
        <f aca="false">IF(OR($A99="",$AF99=""),"",MAX(0,$AA99+$AD99-$AF99))</f>
        <v/>
      </c>
      <c r="AH99" s="30" t="str">
        <f aca="false">IF(OR($A99="",$AI99=""),"",IFERROR(IF(INDEX(photos!$H$2:$H$701,MATCH($A99&amp;"|"&amp;$B99&amp;"|later|Y|"&amp;$AI99,photos!$S$2:$S$701,0))="","",INDEX(photos!$H$2:$H$701,MATCH($A99&amp;"|"&amp;$B99&amp;"|later|Y|"&amp;$AI99,photos!$S$2:$S$701,0))),""))</f>
        <v/>
      </c>
      <c r="AI99" s="31" t="str">
        <f aca="false">IF($A99="","",IFERROR(1/(1/SUMPRODUCT(MAX((photos!$B$2:$B$701=$A99)*(photos!$C$2:$C$701=$B99)*(photos!$D$2:$D$701="later")*(photos!$O$2:$O$701="Y")*photos!$E$2:$E$701))),""))</f>
        <v/>
      </c>
      <c r="AJ99" s="30" t="str">
        <f aca="false">IF(OR($A99="",$AI99="",$I99=""),"",NETWORKDAYS($I99,$AI99,calendar!$A$2:$A$80))</f>
        <v/>
      </c>
      <c r="AK99" s="30" t="str">
        <f aca="false">IF($A99="","",IF(AND($X99&lt;&gt;"",$AH99&lt;&gt;""),"Y","N"))</f>
        <v/>
      </c>
      <c r="AL99" s="30" t="str">
        <f aca="true">IF(OR($A99="",$I99=""),"",IF($BC99="Y",SUMIFS(survey_frozen!$C$2:$C$251,survey_frozen!$P$2:$P$251,$A99&amp;"|"&amp;$B99),IFERROR(COUNTIFS(INDIRECT("'"&amp;$A99&amp;"'!$B$2:$B$501"),$T99,INDIRECT("'"&amp;$A99&amp;"'!$A$2:$A$501"),"&gt;="&amp;$I99,INDIRECT("'"&amp;$A99&amp;"'!$A$2:$A$501"),"&lt;"&amp;($BA99+1)),0)))</f>
        <v/>
      </c>
      <c r="AM99" s="30" t="str">
        <f aca="true">IF(OR($A99="",$I99=""),"",IF($BC99="Y",SUMIFS(survey_frozen!$D$2:$D$251,survey_frozen!$P$2:$P$251,$A99&amp;"|"&amp;$B99),IFERROR(COUNTIFS(INDIRECT("'"&amp;$A99&amp;"'!$B$2:$B$501"),$T99,INDIRECT("'"&amp;$A99&amp;"'!$A$2:$A$501"),"&gt;="&amp;$I99,INDIRECT("'"&amp;$A99&amp;"'!$A$2:$A$501"),"&lt;"&amp;($BA99+1),INDIRECT("'"&amp;$A99&amp;"'!$C$2:$C$501"),"Yes"),0)))</f>
        <v/>
      </c>
      <c r="AN99" s="30" t="str">
        <f aca="false">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30" t="str">
        <f aca="false">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30" t="str">
        <f aca="true">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30" t="str">
        <f aca="true">IF(OR($A99="",$I99=""),"",IF($BC99="Y",SUMIFS(survey_frozen!$E$2:$E$251,survey_frozen!$P$2:$P$251,$A99&amp;"|"&amp;$B99),IFERROR(COUNTIFS(INDIRECT("'"&amp;$A99&amp;"'!$B$2:$B$501"),$T99,INDIRECT("'"&amp;$A99&amp;"'!$A$2:$A$501"),"&gt;="&amp;$I99,INDIRECT("'"&amp;$A99&amp;"'!$A$2:$A$501"),"&lt;"&amp;($BA99+1),INDIRECT("'"&amp;$A99&amp;"'!$F$2:$F$501"),"Didn't see it"),0)))</f>
        <v/>
      </c>
      <c r="AR99" s="30" t="str">
        <f aca="true">IF(OR($A99="",$I99=""),"",IF($BC99="Y",SUMIFS(survey_frozen!$F$2:$F$251,survey_frozen!$P$2:$P$251,$A99&amp;"|"&amp;$B99),IFERROR(COUNTIFS(INDIRECT("'"&amp;$A99&amp;"'!$B$2:$B$501"),$T99,INDIRECT("'"&amp;$A99&amp;"'!$A$2:$A$501"),"&gt;="&amp;$I99,INDIRECT("'"&amp;$A99&amp;"'!$A$2:$A$501"),"&lt;"&amp;($BA99+1),INDIRECT("'"&amp;$A99&amp;"'!$F$2:$F$501"),"Not for me"),0)))</f>
        <v/>
      </c>
      <c r="AS99" s="30" t="str">
        <f aca="true">IF(OR($A99="",$I99=""),"",IF($BC99="Y",SUMIFS(survey_frozen!$G$2:$G$251,survey_frozen!$P$2:$P$251,$A99&amp;"|"&amp;$B99),IFERROR(COUNTIFS(INDIRECT("'"&amp;$A99&amp;"'!$B$2:$B$501"),$T99,INDIRECT("'"&amp;$A99&amp;"'!$A$2:$A$501"),"&gt;="&amp;$I99,INDIRECT("'"&amp;$A99&amp;"'!$A$2:$A$501"),"&lt;"&amp;($BA99+1),INDIRECT("'"&amp;$A99&amp;"'!$F$2:$F$501"),"Gone by the time I looked"),0)))</f>
        <v/>
      </c>
      <c r="AT99" s="30" t="str">
        <f aca="true">IF(OR($A99="",$I99=""),"",IF($BC99="Y",SUMIFS(survey_frozen!$H$2:$H$251,survey_frozen!$P$2:$P$251,$A99&amp;"|"&amp;$B99),IFERROR(COUNTIFS(INDIRECT("'"&amp;$A99&amp;"'!$B$2:$B$501"),$T99,INDIRECT("'"&amp;$A99&amp;"'!$A$2:$A$501"),"&gt;="&amp;$I99,INDIRECT("'"&amp;$A99&amp;"'!$A$2:$A$501"),"&lt;"&amp;($BA99+1),INDIRECT("'"&amp;$A99&amp;"'!$D$2:$D$501"),"&gt;=1"),0)))</f>
        <v/>
      </c>
      <c r="AU99" s="30" t="str">
        <f aca="true">IF(OR($A99="",$I99=""),"",IF($BC99="Y",SUMIFS(survey_frozen!$I$2:$I$251,survey_frozen!$P$2:$P$251,$A99&amp;"|"&amp;$B99),IFERROR(SUMIFS(INDIRECT("'"&amp;$A99&amp;"'!$D$2:$D$501"),INDIRECT("'"&amp;$A99&amp;"'!$B$2:$B$501"),$T99,INDIRECT("'"&amp;$A99&amp;"'!$A$2:$A$501"),"&gt;="&amp;$I99,INDIRECT("'"&amp;$A99&amp;"'!$A$2:$A$501"),"&lt;"&amp;($BA99+1)),0)))</f>
        <v/>
      </c>
      <c r="AV99" s="30" t="str">
        <f aca="true">IF(OR($A99="",$I99=""),"",IF($BC99="Y",SUMIFS(survey_frozen!$J$2:$J$251,survey_frozen!$P$2:$P$251,$A99&amp;"|"&amp;$B99),IFERROR(COUNTIFS(INDIRECT("'"&amp;$A99&amp;"'!$B$2:$B$501"),$T99,INDIRECT("'"&amp;$A99&amp;"'!$A$2:$A$501"),"&gt;="&amp;$I99,INDIRECT("'"&amp;$A99&amp;"'!$A$2:$A$501"),"&lt;"&amp;($BA99+1),INDIRECT("'"&amp;$A99&amp;"'!$E$2:$E$501"),"Yes"),0)))</f>
        <v/>
      </c>
      <c r="AW99" s="30" t="str">
        <f aca="true">IF(OR($A99="",$I99=""),"",IF($BC99="Y",SUMIFS(survey_frozen!$K$2:$K$251,survey_frozen!$P$2:$P$251,$A99&amp;"|"&amp;$B99),IFERROR(COUNTIFS(INDIRECT("'"&amp;$A99&amp;"'!$B$2:$B$501"),$T99,INDIRECT("'"&amp;$A99&amp;"'!$A$2:$A$501"),"&gt;="&amp;$I99,INDIRECT("'"&amp;$A99&amp;"'!$A$2:$A$501"),"&lt;"&amp;($BA99+1),INDIRECT("'"&amp;$A99&amp;"'!$E$2:$E$501"),"Maybe"),0)))</f>
        <v/>
      </c>
      <c r="AX99" s="30" t="str">
        <f aca="true">IF(OR($A99="",$I99=""),"",IF($BC99="Y",SUMIFS(survey_frozen!$L$2:$L$251,survey_frozen!$P$2:$P$251,$A99&amp;"|"&amp;$B99),IFERROR(COUNTIFS(INDIRECT("'"&amp;$A99&amp;"'!$B$2:$B$501"),$T99,INDIRECT("'"&amp;$A99&amp;"'!$A$2:$A$501"),"&gt;="&amp;$I99,INDIRECT("'"&amp;$A99&amp;"'!$A$2:$A$501"),"&lt;"&amp;($BA99+1),INDIRECT("'"&amp;$A99&amp;"'!$E$2:$E$501"),"No"),0)))</f>
        <v/>
      </c>
      <c r="AY99" s="30" t="str">
        <f aca="true">IF(OR($A99="",$I99=""),"",IF($BC99="Y",SUMIFS(survey_frozen!$M$2:$M$251,survey_frozen!$P$2:$P$251,$A99&amp;"|"&amp;$B99),IFERROR(COUNTIFS(INDIRECT("'"&amp;$A99&amp;"'!$B$2:$B$501"),$T99,INDIRECT("'"&amp;$A99&amp;"'!$A$2:$A$501"),"&gt;="&amp;$I99,INDIRECT("'"&amp;$A99&amp;"'!$A$2:$A$501"),"&lt;"&amp;($BA99+1),INDIRECT("'"&amp;$A99&amp;"'!$G$2:$G$501"),"&lt;&gt;"),0)))</f>
        <v/>
      </c>
      <c r="AZ99" s="30" t="str">
        <f aca="false">IF($A99="","",$A99&amp;"|"&amp;$L99)</f>
        <v/>
      </c>
      <c r="BA99" s="31" t="str">
        <f aca="false">IF($A99="","",IFERROR(IF(INDEX(drops!$R$2:$R$21,MATCH($H99,drops!$A$2:$A$21,0))="","",INDEX(drops!$R$2:$R$21,MATCH($H99,drops!$A$2:$A$21,0))),""))</f>
        <v/>
      </c>
      <c r="BB99" s="30" t="n">
        <f aca="false">IF(OR($A99="",$Q99&lt;&gt;"Y"),1000000,N($AL99))</f>
        <v>1000000</v>
      </c>
      <c r="BC99" s="30" t="str">
        <f aca="false">IF($A99="","",IF(COUNTIF(survey_frozen!$P$2:$P$251,$A99&amp;"|"&amp;$B99)&gt;0,"Y",""))</f>
        <v/>
      </c>
      <c r="BD99" s="30" t="str">
        <f aca="false">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ustomFormat="false" ht="15" hidden="false" customHeight="false" outlineLevel="0" collapsed="false">
      <c r="C100" s="11"/>
      <c r="D100" s="10"/>
      <c r="E100" s="11"/>
      <c r="H100" s="30" t="str">
        <f aca="false">IF($A100="","",IFERROR(IF(INDEX(campaigns!$B$2:$B$51,MATCH($A100,campaigns!$A$2:$A$51,0))="","",INDEX(campaigns!$B$2:$B$51,MATCH($A100,campaigns!$A$2:$A$51,0))),""))</f>
        <v/>
      </c>
      <c r="I100" s="31" t="str">
        <f aca="false">IF($A100="","",IFERROR(IF(INDEX(campaigns!$BG$2:$BG$51,MATCH($A100,campaigns!$A$2:$A$51,0))="","",INDEX(campaigns!$BG$2:$BG$51,MATCH($A100,campaigns!$A$2:$A$51,0))),""))</f>
        <v/>
      </c>
      <c r="J100" s="30" t="str">
        <f aca="false">IF($A100="","",IFERROR(IF(INDEX(campaigns!$BE$2:$BE$51,MATCH($A100,campaigns!$A$2:$A$51,0))="","",INDEX(campaigns!$BE$2:$BE$51,MATCH($A100,campaigns!$A$2:$A$51,0))),""))</f>
        <v/>
      </c>
      <c r="K100" s="30" t="str">
        <f aca="false">IF($B100="","",IFERROR(IF(INDEX(offices!$O$2:$O$61,MATCH($B100,offices!$A$2:$A$61,0))="","",INDEX(offices!$O$2:$O$61,MATCH($B100,offices!$A$2:$A$61,0))),""))</f>
        <v/>
      </c>
      <c r="L100" s="30" t="str">
        <f aca="false">IF($A100="","",IF($Q100="N","",COUNTIFS($A$2:$A100,$A100,$Q$2:$Q100,"&lt;&gt;N")))</f>
        <v/>
      </c>
      <c r="M100" s="30" t="str">
        <f aca="false">IF(OR($A100="",$L100=""),"",IF(AND(config!$B$34="names_if_public",IFERROR(IF(INDEX(offices!$AG$2:$AG$61,MATCH($B100,offices!$A$2:$A$61,0))="","",INDEX(offices!$AG$2:$AG$61,MATCH($B100,offices!$A$2:$A$61,0))),"")="Y"),$K100,CHAR(64+$L100)))</f>
        <v/>
      </c>
      <c r="N100" s="30" t="str">
        <f aca="false">IF(OR($A100="",$I100=""),"",COUNTIFS(stops!$B$2:$B$151,$B100,stops!$P$2:$P$151,"&lt;"&amp;$I100,stops!$L$2:$L$151,"&lt;&gt;not_delivered")+1)</f>
        <v/>
      </c>
      <c r="O100" s="30" t="str">
        <f aca="false">IF($A100="","",IF(N($N100)&lt;=config!$B$29,"explicit","opt-out"))</f>
        <v/>
      </c>
      <c r="P100" s="30" t="str">
        <f aca="false">IF($A100="","",IF($O100="explicit",IF($D100="yes","Y",IF($D100="no","N","pending")),IF($D100="no","N",IF(AND($C100&lt;&gt;"",$I100&lt;&gt;"",$C100&lt;=WORKDAY(N($I100),-5,calendar!$A$2:$A$80)),"Y","pending"))))</f>
        <v/>
      </c>
      <c r="Q100" s="30" t="str">
        <f aca="false">IF($A100="","",IF($P100="N","N",IF($P100&lt;&gt;"Y","pending",IF(AND((COUNTIFS(stops!$A$2:$A$151,$H100,stops!$B$2:$B$151,$B100,stops!$L$2:$L$151,"declined")+COUNTIFS(stops!$A$2:$A$151,$H100,stops!$B$2:$B$151,$B100,stops!$L$2:$L$151,"building_refused")+COUNTIFS(stops!$A$2:$A$151,$H100,stops!$B$2:$B$151,$B100,stops!$L$2:$L$151,"not_delivered"))&gt;0,N($U100)=0),"N","Y"))))</f>
        <v/>
      </c>
      <c r="R100" s="30" t="str">
        <f aca="false">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30" t="str">
        <f aca="false">IF($A100="","",IF($G100&lt;&gt;"",$G100,IFERROR(IF(INDEX(offices!$AM$2:$AM$61,MATCH($B100,offices!$A$2:$A$61,0))="","",INDEX(offices!$AM$2:$AM$61,MATCH($B100,offices!$A$2:$A$61,0))),"")))</f>
        <v/>
      </c>
      <c r="T100" s="30" t="str">
        <f aca="false">IF($A100="","",$A100&amp;"."&amp;$B100)</f>
        <v/>
      </c>
      <c r="U100" s="30" t="str">
        <f aca="false">IF($A100="","",SUMIFS(inventory!$G$2:$G$801,inventory!$C$2:$C$801,$A100,inventory!$D$2:$D$801,$B100,inventory!$E$2:$E$801,"delivered"))</f>
        <v/>
      </c>
      <c r="V100" s="37" t="str">
        <f aca="false">IF($A100="","",IFERROR(1/(1/SUMPRODUCT(MAX((inventory!$C$2:$C$801=$A100)*(inventory!$D$2:$D$801=$B100)*(inventory!$E$2:$E$801="delivered")*(inventory!$A$2:$A$801+inventory!$B$2:$B$801)))),""))</f>
        <v/>
      </c>
      <c r="W100" s="30" t="str">
        <f aca="false">IF($A100="","",IFERROR(IF(INDEX(inventory!$J$2:$J$801,MATCH($A100&amp;"|"&amp;$B100&amp;"|delivered",inventory!$R$2:$R$801,0))="","",INDEX(inventory!$J$2:$J$801,MATCH($A100&amp;"|"&amp;$B100&amp;"|delivered",inventory!$R$2:$R$801,0))),""))</f>
        <v/>
      </c>
      <c r="X100" s="30" t="str">
        <f aca="false">IF($A100="","",IFERROR(IF(INDEX(photos!$H$2:$H$701,MATCH($A100&amp;"|"&amp;$B100&amp;"|placement|Y",photos!$R$2:$R$701,0))="","",INDEX(photos!$H$2:$H$701,MATCH($A100&amp;"|"&amp;$B100&amp;"|placement|Y",photos!$R$2:$R$701,0))),""))</f>
        <v/>
      </c>
      <c r="Y100" s="31" t="str">
        <f aca="false">IF($A100="","",IFERROR(IF(INDEX(photos!$E$2:$E$701,MATCH($A100&amp;"|"&amp;$B100&amp;"|placement|Y",photos!$R$2:$R$701,0))="","",INDEX(photos!$E$2:$E$701,MATCH($A100&amp;"|"&amp;$B100&amp;"|placement|Y",photos!$R$2:$R$701,0))),""))</f>
        <v/>
      </c>
      <c r="Z100" s="30" t="str">
        <f aca="false">IF($A100="","",IF(COUNTIFS(counts!$C$2:$C$701,$A100,counts!$D$2:$D$701,$B100,counts!$E$2:$E$701,"placed")=0,"",SUMIFS(counts!$F$2:$F$701,counts!$C$2:$C$701,$A100,counts!$D$2:$D$701,$B100,counts!$E$2:$E$701,"placed")))</f>
        <v/>
      </c>
      <c r="AA100" s="30" t="str">
        <f aca="false">IF($A100="","",IF($Y100="",0,N($Z100)))</f>
        <v/>
      </c>
      <c r="AB100" s="30" t="str">
        <f aca="false">IF($A100="","",IF(OR($Y100="",$I100=""),"N",IF($Y100&lt;=WORKDAY(N($I100),1,calendar!$A$2:$A$80),"Y","N")))</f>
        <v/>
      </c>
      <c r="AC100" s="33" t="str">
        <f aca="false">IF(OR($A100="",$V100="",$Y100=""),"",ROUND(($Y100+N(IFERROR(IF(INDEX(photos!$F$2:$F$701,MATCH($A100&amp;"|"&amp;$B100&amp;"|placement|Y",photos!$R$2:$R$701,0))="","",INDEX(photos!$F$2:$F$701,MATCH($A100&amp;"|"&amp;$B100&amp;"|placement|Y",photos!$R$2:$R$701,0))),""))-$V100)*24,1))</f>
        <v/>
      </c>
      <c r="AD100" s="30" t="str">
        <f aca="false">IF($A100="","",SUMIFS(inventory!$G$2:$G$801,inventory!$C$2:$C$801,$A100,inventory!$D$2:$D$801,$B100,inventory!$E$2:$E$801,"topped_up"))</f>
        <v/>
      </c>
      <c r="AE100" s="30" t="str">
        <f aca="false">IF($A100="","",IF(COUNTIFS(counts!$C$2:$C$701,$A100,counts!$D$2:$D$701,$B100,counts!$E$2:$E$701,"remaining_day3")=0,"",SUMIFS(counts!$F$2:$F$701,counts!$C$2:$C$701,$A100,counts!$D$2:$D$701,$B100,counts!$E$2:$E$701,"remaining_day3")))</f>
        <v/>
      </c>
      <c r="AF100" s="30" t="str">
        <f aca="false">IF($A100="","",IF(COUNTIFS(counts!$C$2:$C$701,$A100,counts!$D$2:$D$701,$B100,counts!$E$2:$E$701,"remaining_day5")=0,"",SUMIFS(counts!$F$2:$F$701,counts!$C$2:$C$701,$A100,counts!$D$2:$D$701,$B100,counts!$E$2:$E$701,"remaining_day5")))</f>
        <v/>
      </c>
      <c r="AG100" s="30" t="str">
        <f aca="false">IF(OR($A100="",$AF100=""),"",MAX(0,$AA100+$AD100-$AF100))</f>
        <v/>
      </c>
      <c r="AH100" s="30" t="str">
        <f aca="false">IF(OR($A100="",$AI100=""),"",IFERROR(IF(INDEX(photos!$H$2:$H$701,MATCH($A100&amp;"|"&amp;$B100&amp;"|later|Y|"&amp;$AI100,photos!$S$2:$S$701,0))="","",INDEX(photos!$H$2:$H$701,MATCH($A100&amp;"|"&amp;$B100&amp;"|later|Y|"&amp;$AI100,photos!$S$2:$S$701,0))),""))</f>
        <v/>
      </c>
      <c r="AI100" s="31" t="str">
        <f aca="false">IF($A100="","",IFERROR(1/(1/SUMPRODUCT(MAX((photos!$B$2:$B$701=$A100)*(photos!$C$2:$C$701=$B100)*(photos!$D$2:$D$701="later")*(photos!$O$2:$O$701="Y")*photos!$E$2:$E$701))),""))</f>
        <v/>
      </c>
      <c r="AJ100" s="30" t="str">
        <f aca="false">IF(OR($A100="",$AI100="",$I100=""),"",NETWORKDAYS($I100,$AI100,calendar!$A$2:$A$80))</f>
        <v/>
      </c>
      <c r="AK100" s="30" t="str">
        <f aca="false">IF($A100="","",IF(AND($X100&lt;&gt;"",$AH100&lt;&gt;""),"Y","N"))</f>
        <v/>
      </c>
      <c r="AL100" s="30" t="str">
        <f aca="true">IF(OR($A100="",$I100=""),"",IF($BC100="Y",SUMIFS(survey_frozen!$C$2:$C$251,survey_frozen!$P$2:$P$251,$A100&amp;"|"&amp;$B100),IFERROR(COUNTIFS(INDIRECT("'"&amp;$A100&amp;"'!$B$2:$B$501"),$T100,INDIRECT("'"&amp;$A100&amp;"'!$A$2:$A$501"),"&gt;="&amp;$I100,INDIRECT("'"&amp;$A100&amp;"'!$A$2:$A$501"),"&lt;"&amp;($BA100+1)),0)))</f>
        <v/>
      </c>
      <c r="AM100" s="30" t="str">
        <f aca="true">IF(OR($A100="",$I100=""),"",IF($BC100="Y",SUMIFS(survey_frozen!$D$2:$D$251,survey_frozen!$P$2:$P$251,$A100&amp;"|"&amp;$B100),IFERROR(COUNTIFS(INDIRECT("'"&amp;$A100&amp;"'!$B$2:$B$501"),$T100,INDIRECT("'"&amp;$A100&amp;"'!$A$2:$A$501"),"&gt;="&amp;$I100,INDIRECT("'"&amp;$A100&amp;"'!$A$2:$A$501"),"&lt;"&amp;($BA100+1),INDIRECT("'"&amp;$A100&amp;"'!$C$2:$C$501"),"Yes"),0)))</f>
        <v/>
      </c>
      <c r="AN100" s="30" t="str">
        <f aca="false">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30" t="str">
        <f aca="false">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30" t="str">
        <f aca="true">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30" t="str">
        <f aca="true">IF(OR($A100="",$I100=""),"",IF($BC100="Y",SUMIFS(survey_frozen!$E$2:$E$251,survey_frozen!$P$2:$P$251,$A100&amp;"|"&amp;$B100),IFERROR(COUNTIFS(INDIRECT("'"&amp;$A100&amp;"'!$B$2:$B$501"),$T100,INDIRECT("'"&amp;$A100&amp;"'!$A$2:$A$501"),"&gt;="&amp;$I100,INDIRECT("'"&amp;$A100&amp;"'!$A$2:$A$501"),"&lt;"&amp;($BA100+1),INDIRECT("'"&amp;$A100&amp;"'!$F$2:$F$501"),"Didn't see it"),0)))</f>
        <v/>
      </c>
      <c r="AR100" s="30" t="str">
        <f aca="true">IF(OR($A100="",$I100=""),"",IF($BC100="Y",SUMIFS(survey_frozen!$F$2:$F$251,survey_frozen!$P$2:$P$251,$A100&amp;"|"&amp;$B100),IFERROR(COUNTIFS(INDIRECT("'"&amp;$A100&amp;"'!$B$2:$B$501"),$T100,INDIRECT("'"&amp;$A100&amp;"'!$A$2:$A$501"),"&gt;="&amp;$I100,INDIRECT("'"&amp;$A100&amp;"'!$A$2:$A$501"),"&lt;"&amp;($BA100+1),INDIRECT("'"&amp;$A100&amp;"'!$F$2:$F$501"),"Not for me"),0)))</f>
        <v/>
      </c>
      <c r="AS100" s="30" t="str">
        <f aca="true">IF(OR($A100="",$I100=""),"",IF($BC100="Y",SUMIFS(survey_frozen!$G$2:$G$251,survey_frozen!$P$2:$P$251,$A100&amp;"|"&amp;$B100),IFERROR(COUNTIFS(INDIRECT("'"&amp;$A100&amp;"'!$B$2:$B$501"),$T100,INDIRECT("'"&amp;$A100&amp;"'!$A$2:$A$501"),"&gt;="&amp;$I100,INDIRECT("'"&amp;$A100&amp;"'!$A$2:$A$501"),"&lt;"&amp;($BA100+1),INDIRECT("'"&amp;$A100&amp;"'!$F$2:$F$501"),"Gone by the time I looked"),0)))</f>
        <v/>
      </c>
      <c r="AT100" s="30" t="str">
        <f aca="true">IF(OR($A100="",$I100=""),"",IF($BC100="Y",SUMIFS(survey_frozen!$H$2:$H$251,survey_frozen!$P$2:$P$251,$A100&amp;"|"&amp;$B100),IFERROR(COUNTIFS(INDIRECT("'"&amp;$A100&amp;"'!$B$2:$B$501"),$T100,INDIRECT("'"&amp;$A100&amp;"'!$A$2:$A$501"),"&gt;="&amp;$I100,INDIRECT("'"&amp;$A100&amp;"'!$A$2:$A$501"),"&lt;"&amp;($BA100+1),INDIRECT("'"&amp;$A100&amp;"'!$D$2:$D$501"),"&gt;=1"),0)))</f>
        <v/>
      </c>
      <c r="AU100" s="30" t="str">
        <f aca="true">IF(OR($A100="",$I100=""),"",IF($BC100="Y",SUMIFS(survey_frozen!$I$2:$I$251,survey_frozen!$P$2:$P$251,$A100&amp;"|"&amp;$B100),IFERROR(SUMIFS(INDIRECT("'"&amp;$A100&amp;"'!$D$2:$D$501"),INDIRECT("'"&amp;$A100&amp;"'!$B$2:$B$501"),$T100,INDIRECT("'"&amp;$A100&amp;"'!$A$2:$A$501"),"&gt;="&amp;$I100,INDIRECT("'"&amp;$A100&amp;"'!$A$2:$A$501"),"&lt;"&amp;($BA100+1)),0)))</f>
        <v/>
      </c>
      <c r="AV100" s="30" t="str">
        <f aca="true">IF(OR($A100="",$I100=""),"",IF($BC100="Y",SUMIFS(survey_frozen!$J$2:$J$251,survey_frozen!$P$2:$P$251,$A100&amp;"|"&amp;$B100),IFERROR(COUNTIFS(INDIRECT("'"&amp;$A100&amp;"'!$B$2:$B$501"),$T100,INDIRECT("'"&amp;$A100&amp;"'!$A$2:$A$501"),"&gt;="&amp;$I100,INDIRECT("'"&amp;$A100&amp;"'!$A$2:$A$501"),"&lt;"&amp;($BA100+1),INDIRECT("'"&amp;$A100&amp;"'!$E$2:$E$501"),"Yes"),0)))</f>
        <v/>
      </c>
      <c r="AW100" s="30" t="str">
        <f aca="true">IF(OR($A100="",$I100=""),"",IF($BC100="Y",SUMIFS(survey_frozen!$K$2:$K$251,survey_frozen!$P$2:$P$251,$A100&amp;"|"&amp;$B100),IFERROR(COUNTIFS(INDIRECT("'"&amp;$A100&amp;"'!$B$2:$B$501"),$T100,INDIRECT("'"&amp;$A100&amp;"'!$A$2:$A$501"),"&gt;="&amp;$I100,INDIRECT("'"&amp;$A100&amp;"'!$A$2:$A$501"),"&lt;"&amp;($BA100+1),INDIRECT("'"&amp;$A100&amp;"'!$E$2:$E$501"),"Maybe"),0)))</f>
        <v/>
      </c>
      <c r="AX100" s="30" t="str">
        <f aca="true">IF(OR($A100="",$I100=""),"",IF($BC100="Y",SUMIFS(survey_frozen!$L$2:$L$251,survey_frozen!$P$2:$P$251,$A100&amp;"|"&amp;$B100),IFERROR(COUNTIFS(INDIRECT("'"&amp;$A100&amp;"'!$B$2:$B$501"),$T100,INDIRECT("'"&amp;$A100&amp;"'!$A$2:$A$501"),"&gt;="&amp;$I100,INDIRECT("'"&amp;$A100&amp;"'!$A$2:$A$501"),"&lt;"&amp;($BA100+1),INDIRECT("'"&amp;$A100&amp;"'!$E$2:$E$501"),"No"),0)))</f>
        <v/>
      </c>
      <c r="AY100" s="30" t="str">
        <f aca="true">IF(OR($A100="",$I100=""),"",IF($BC100="Y",SUMIFS(survey_frozen!$M$2:$M$251,survey_frozen!$P$2:$P$251,$A100&amp;"|"&amp;$B100),IFERROR(COUNTIFS(INDIRECT("'"&amp;$A100&amp;"'!$B$2:$B$501"),$T100,INDIRECT("'"&amp;$A100&amp;"'!$A$2:$A$501"),"&gt;="&amp;$I100,INDIRECT("'"&amp;$A100&amp;"'!$A$2:$A$501"),"&lt;"&amp;($BA100+1),INDIRECT("'"&amp;$A100&amp;"'!$G$2:$G$501"),"&lt;&gt;"),0)))</f>
        <v/>
      </c>
      <c r="AZ100" s="30" t="str">
        <f aca="false">IF($A100="","",$A100&amp;"|"&amp;$L100)</f>
        <v/>
      </c>
      <c r="BA100" s="31" t="str">
        <f aca="false">IF($A100="","",IFERROR(IF(INDEX(drops!$R$2:$R$21,MATCH($H100,drops!$A$2:$A$21,0))="","",INDEX(drops!$R$2:$R$21,MATCH($H100,drops!$A$2:$A$21,0))),""))</f>
        <v/>
      </c>
      <c r="BB100" s="30" t="n">
        <f aca="false">IF(OR($A100="",$Q100&lt;&gt;"Y"),1000000,N($AL100))</f>
        <v>1000000</v>
      </c>
      <c r="BC100" s="30" t="str">
        <f aca="false">IF($A100="","",IF(COUNTIF(survey_frozen!$P$2:$P$251,$A100&amp;"|"&amp;$B100)&gt;0,"Y",""))</f>
        <v/>
      </c>
      <c r="BD100" s="30" t="str">
        <f aca="false">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ustomFormat="false" ht="15" hidden="false" customHeight="false" outlineLevel="0" collapsed="false">
      <c r="C101" s="11"/>
      <c r="D101" s="10"/>
      <c r="E101" s="11"/>
      <c r="H101" s="30" t="str">
        <f aca="false">IF($A101="","",IFERROR(IF(INDEX(campaigns!$B$2:$B$51,MATCH($A101,campaigns!$A$2:$A$51,0))="","",INDEX(campaigns!$B$2:$B$51,MATCH($A101,campaigns!$A$2:$A$51,0))),""))</f>
        <v/>
      </c>
      <c r="I101" s="31" t="str">
        <f aca="false">IF($A101="","",IFERROR(IF(INDEX(campaigns!$BG$2:$BG$51,MATCH($A101,campaigns!$A$2:$A$51,0))="","",INDEX(campaigns!$BG$2:$BG$51,MATCH($A101,campaigns!$A$2:$A$51,0))),""))</f>
        <v/>
      </c>
      <c r="J101" s="30" t="str">
        <f aca="false">IF($A101="","",IFERROR(IF(INDEX(campaigns!$BE$2:$BE$51,MATCH($A101,campaigns!$A$2:$A$51,0))="","",INDEX(campaigns!$BE$2:$BE$51,MATCH($A101,campaigns!$A$2:$A$51,0))),""))</f>
        <v/>
      </c>
      <c r="K101" s="30" t="str">
        <f aca="false">IF($B101="","",IFERROR(IF(INDEX(offices!$O$2:$O$61,MATCH($B101,offices!$A$2:$A$61,0))="","",INDEX(offices!$O$2:$O$61,MATCH($B101,offices!$A$2:$A$61,0))),""))</f>
        <v/>
      </c>
      <c r="L101" s="30" t="str">
        <f aca="false">IF($A101="","",IF($Q101="N","",COUNTIFS($A$2:$A101,$A101,$Q$2:$Q101,"&lt;&gt;N")))</f>
        <v/>
      </c>
      <c r="M101" s="30" t="str">
        <f aca="false">IF(OR($A101="",$L101=""),"",IF(AND(config!$B$34="names_if_public",IFERROR(IF(INDEX(offices!$AG$2:$AG$61,MATCH($B101,offices!$A$2:$A$61,0))="","",INDEX(offices!$AG$2:$AG$61,MATCH($B101,offices!$A$2:$A$61,0))),"")="Y"),$K101,CHAR(64+$L101)))</f>
        <v/>
      </c>
      <c r="N101" s="30" t="str">
        <f aca="false">IF(OR($A101="",$I101=""),"",COUNTIFS(stops!$B$2:$B$151,$B101,stops!$P$2:$P$151,"&lt;"&amp;$I101,stops!$L$2:$L$151,"&lt;&gt;not_delivered")+1)</f>
        <v/>
      </c>
      <c r="O101" s="30" t="str">
        <f aca="false">IF($A101="","",IF(N($N101)&lt;=config!$B$29,"explicit","opt-out"))</f>
        <v/>
      </c>
      <c r="P101" s="30" t="str">
        <f aca="false">IF($A101="","",IF($O101="explicit",IF($D101="yes","Y",IF($D101="no","N","pending")),IF($D101="no","N",IF(AND($C101&lt;&gt;"",$I101&lt;&gt;"",$C101&lt;=WORKDAY(N($I101),-5,calendar!$A$2:$A$80)),"Y","pending"))))</f>
        <v/>
      </c>
      <c r="Q101" s="30" t="str">
        <f aca="false">IF($A101="","",IF($P101="N","N",IF($P101&lt;&gt;"Y","pending",IF(AND((COUNTIFS(stops!$A$2:$A$151,$H101,stops!$B$2:$B$151,$B101,stops!$L$2:$L$151,"declined")+COUNTIFS(stops!$A$2:$A$151,$H101,stops!$B$2:$B$151,$B101,stops!$L$2:$L$151,"building_refused")+COUNTIFS(stops!$A$2:$A$151,$H101,stops!$B$2:$B$151,$B101,stops!$L$2:$L$151,"not_delivered"))&gt;0,N($U101)=0),"N","Y"))))</f>
        <v/>
      </c>
      <c r="R101" s="30" t="str">
        <f aca="false">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30" t="str">
        <f aca="false">IF($A101="","",IF($G101&lt;&gt;"",$G101,IFERROR(IF(INDEX(offices!$AM$2:$AM$61,MATCH($B101,offices!$A$2:$A$61,0))="","",INDEX(offices!$AM$2:$AM$61,MATCH($B101,offices!$A$2:$A$61,0))),"")))</f>
        <v/>
      </c>
      <c r="T101" s="30" t="str">
        <f aca="false">IF($A101="","",$A101&amp;"."&amp;$B101)</f>
        <v/>
      </c>
      <c r="U101" s="30" t="str">
        <f aca="false">IF($A101="","",SUMIFS(inventory!$G$2:$G$801,inventory!$C$2:$C$801,$A101,inventory!$D$2:$D$801,$B101,inventory!$E$2:$E$801,"delivered"))</f>
        <v/>
      </c>
      <c r="V101" s="37" t="str">
        <f aca="false">IF($A101="","",IFERROR(1/(1/SUMPRODUCT(MAX((inventory!$C$2:$C$801=$A101)*(inventory!$D$2:$D$801=$B101)*(inventory!$E$2:$E$801="delivered")*(inventory!$A$2:$A$801+inventory!$B$2:$B$801)))),""))</f>
        <v/>
      </c>
      <c r="W101" s="30" t="str">
        <f aca="false">IF($A101="","",IFERROR(IF(INDEX(inventory!$J$2:$J$801,MATCH($A101&amp;"|"&amp;$B101&amp;"|delivered",inventory!$R$2:$R$801,0))="","",INDEX(inventory!$J$2:$J$801,MATCH($A101&amp;"|"&amp;$B101&amp;"|delivered",inventory!$R$2:$R$801,0))),""))</f>
        <v/>
      </c>
      <c r="X101" s="30" t="str">
        <f aca="false">IF($A101="","",IFERROR(IF(INDEX(photos!$H$2:$H$701,MATCH($A101&amp;"|"&amp;$B101&amp;"|placement|Y",photos!$R$2:$R$701,0))="","",INDEX(photos!$H$2:$H$701,MATCH($A101&amp;"|"&amp;$B101&amp;"|placement|Y",photos!$R$2:$R$701,0))),""))</f>
        <v/>
      </c>
      <c r="Y101" s="31" t="str">
        <f aca="false">IF($A101="","",IFERROR(IF(INDEX(photos!$E$2:$E$701,MATCH($A101&amp;"|"&amp;$B101&amp;"|placement|Y",photos!$R$2:$R$701,0))="","",INDEX(photos!$E$2:$E$701,MATCH($A101&amp;"|"&amp;$B101&amp;"|placement|Y",photos!$R$2:$R$701,0))),""))</f>
        <v/>
      </c>
      <c r="Z101" s="30" t="str">
        <f aca="false">IF($A101="","",IF(COUNTIFS(counts!$C$2:$C$701,$A101,counts!$D$2:$D$701,$B101,counts!$E$2:$E$701,"placed")=0,"",SUMIFS(counts!$F$2:$F$701,counts!$C$2:$C$701,$A101,counts!$D$2:$D$701,$B101,counts!$E$2:$E$701,"placed")))</f>
        <v/>
      </c>
      <c r="AA101" s="30" t="str">
        <f aca="false">IF($A101="","",IF($Y101="",0,N($Z101)))</f>
        <v/>
      </c>
      <c r="AB101" s="30" t="str">
        <f aca="false">IF($A101="","",IF(OR($Y101="",$I101=""),"N",IF($Y101&lt;=WORKDAY(N($I101),1,calendar!$A$2:$A$80),"Y","N")))</f>
        <v/>
      </c>
      <c r="AC101" s="33" t="str">
        <f aca="false">IF(OR($A101="",$V101="",$Y101=""),"",ROUND(($Y101+N(IFERROR(IF(INDEX(photos!$F$2:$F$701,MATCH($A101&amp;"|"&amp;$B101&amp;"|placement|Y",photos!$R$2:$R$701,0))="","",INDEX(photos!$F$2:$F$701,MATCH($A101&amp;"|"&amp;$B101&amp;"|placement|Y",photos!$R$2:$R$701,0))),""))-$V101)*24,1))</f>
        <v/>
      </c>
      <c r="AD101" s="30" t="str">
        <f aca="false">IF($A101="","",SUMIFS(inventory!$G$2:$G$801,inventory!$C$2:$C$801,$A101,inventory!$D$2:$D$801,$B101,inventory!$E$2:$E$801,"topped_up"))</f>
        <v/>
      </c>
      <c r="AE101" s="30" t="str">
        <f aca="false">IF($A101="","",IF(COUNTIFS(counts!$C$2:$C$701,$A101,counts!$D$2:$D$701,$B101,counts!$E$2:$E$701,"remaining_day3")=0,"",SUMIFS(counts!$F$2:$F$701,counts!$C$2:$C$701,$A101,counts!$D$2:$D$701,$B101,counts!$E$2:$E$701,"remaining_day3")))</f>
        <v/>
      </c>
      <c r="AF101" s="30" t="str">
        <f aca="false">IF($A101="","",IF(COUNTIFS(counts!$C$2:$C$701,$A101,counts!$D$2:$D$701,$B101,counts!$E$2:$E$701,"remaining_day5")=0,"",SUMIFS(counts!$F$2:$F$701,counts!$C$2:$C$701,$A101,counts!$D$2:$D$701,$B101,counts!$E$2:$E$701,"remaining_day5")))</f>
        <v/>
      </c>
      <c r="AG101" s="30" t="str">
        <f aca="false">IF(OR($A101="",$AF101=""),"",MAX(0,$AA101+$AD101-$AF101))</f>
        <v/>
      </c>
      <c r="AH101" s="30" t="str">
        <f aca="false">IF(OR($A101="",$AI101=""),"",IFERROR(IF(INDEX(photos!$H$2:$H$701,MATCH($A101&amp;"|"&amp;$B101&amp;"|later|Y|"&amp;$AI101,photos!$S$2:$S$701,0))="","",INDEX(photos!$H$2:$H$701,MATCH($A101&amp;"|"&amp;$B101&amp;"|later|Y|"&amp;$AI101,photos!$S$2:$S$701,0))),""))</f>
        <v/>
      </c>
      <c r="AI101" s="31" t="str">
        <f aca="false">IF($A101="","",IFERROR(1/(1/SUMPRODUCT(MAX((photos!$B$2:$B$701=$A101)*(photos!$C$2:$C$701=$B101)*(photos!$D$2:$D$701="later")*(photos!$O$2:$O$701="Y")*photos!$E$2:$E$701))),""))</f>
        <v/>
      </c>
      <c r="AJ101" s="30" t="str">
        <f aca="false">IF(OR($A101="",$AI101="",$I101=""),"",NETWORKDAYS($I101,$AI101,calendar!$A$2:$A$80))</f>
        <v/>
      </c>
      <c r="AK101" s="30" t="str">
        <f aca="false">IF($A101="","",IF(AND($X101&lt;&gt;"",$AH101&lt;&gt;""),"Y","N"))</f>
        <v/>
      </c>
      <c r="AL101" s="30" t="str">
        <f aca="true">IF(OR($A101="",$I101=""),"",IF($BC101="Y",SUMIFS(survey_frozen!$C$2:$C$251,survey_frozen!$P$2:$P$251,$A101&amp;"|"&amp;$B101),IFERROR(COUNTIFS(INDIRECT("'"&amp;$A101&amp;"'!$B$2:$B$501"),$T101,INDIRECT("'"&amp;$A101&amp;"'!$A$2:$A$501"),"&gt;="&amp;$I101,INDIRECT("'"&amp;$A101&amp;"'!$A$2:$A$501"),"&lt;"&amp;($BA101+1)),0)))</f>
        <v/>
      </c>
      <c r="AM101" s="30" t="str">
        <f aca="true">IF(OR($A101="",$I101=""),"",IF($BC101="Y",SUMIFS(survey_frozen!$D$2:$D$251,survey_frozen!$P$2:$P$251,$A101&amp;"|"&amp;$B101),IFERROR(COUNTIFS(INDIRECT("'"&amp;$A101&amp;"'!$B$2:$B$501"),$T101,INDIRECT("'"&amp;$A101&amp;"'!$A$2:$A$501"),"&gt;="&amp;$I101,INDIRECT("'"&amp;$A101&amp;"'!$A$2:$A$501"),"&lt;"&amp;($BA101+1),INDIRECT("'"&amp;$A101&amp;"'!$C$2:$C$501"),"Yes"),0)))</f>
        <v/>
      </c>
      <c r="AN101" s="30" t="str">
        <f aca="false">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30" t="str">
        <f aca="false">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30" t="str">
        <f aca="true">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30" t="str">
        <f aca="true">IF(OR($A101="",$I101=""),"",IF($BC101="Y",SUMIFS(survey_frozen!$E$2:$E$251,survey_frozen!$P$2:$P$251,$A101&amp;"|"&amp;$B101),IFERROR(COUNTIFS(INDIRECT("'"&amp;$A101&amp;"'!$B$2:$B$501"),$T101,INDIRECT("'"&amp;$A101&amp;"'!$A$2:$A$501"),"&gt;="&amp;$I101,INDIRECT("'"&amp;$A101&amp;"'!$A$2:$A$501"),"&lt;"&amp;($BA101+1),INDIRECT("'"&amp;$A101&amp;"'!$F$2:$F$501"),"Didn't see it"),0)))</f>
        <v/>
      </c>
      <c r="AR101" s="30" t="str">
        <f aca="true">IF(OR($A101="",$I101=""),"",IF($BC101="Y",SUMIFS(survey_frozen!$F$2:$F$251,survey_frozen!$P$2:$P$251,$A101&amp;"|"&amp;$B101),IFERROR(COUNTIFS(INDIRECT("'"&amp;$A101&amp;"'!$B$2:$B$501"),$T101,INDIRECT("'"&amp;$A101&amp;"'!$A$2:$A$501"),"&gt;="&amp;$I101,INDIRECT("'"&amp;$A101&amp;"'!$A$2:$A$501"),"&lt;"&amp;($BA101+1),INDIRECT("'"&amp;$A101&amp;"'!$F$2:$F$501"),"Not for me"),0)))</f>
        <v/>
      </c>
      <c r="AS101" s="30" t="str">
        <f aca="true">IF(OR($A101="",$I101=""),"",IF($BC101="Y",SUMIFS(survey_frozen!$G$2:$G$251,survey_frozen!$P$2:$P$251,$A101&amp;"|"&amp;$B101),IFERROR(COUNTIFS(INDIRECT("'"&amp;$A101&amp;"'!$B$2:$B$501"),$T101,INDIRECT("'"&amp;$A101&amp;"'!$A$2:$A$501"),"&gt;="&amp;$I101,INDIRECT("'"&amp;$A101&amp;"'!$A$2:$A$501"),"&lt;"&amp;($BA101+1),INDIRECT("'"&amp;$A101&amp;"'!$F$2:$F$501"),"Gone by the time I looked"),0)))</f>
        <v/>
      </c>
      <c r="AT101" s="30" t="str">
        <f aca="true">IF(OR($A101="",$I101=""),"",IF($BC101="Y",SUMIFS(survey_frozen!$H$2:$H$251,survey_frozen!$P$2:$P$251,$A101&amp;"|"&amp;$B101),IFERROR(COUNTIFS(INDIRECT("'"&amp;$A101&amp;"'!$B$2:$B$501"),$T101,INDIRECT("'"&amp;$A101&amp;"'!$A$2:$A$501"),"&gt;="&amp;$I101,INDIRECT("'"&amp;$A101&amp;"'!$A$2:$A$501"),"&lt;"&amp;($BA101+1),INDIRECT("'"&amp;$A101&amp;"'!$D$2:$D$501"),"&gt;=1"),0)))</f>
        <v/>
      </c>
      <c r="AU101" s="30" t="str">
        <f aca="true">IF(OR($A101="",$I101=""),"",IF($BC101="Y",SUMIFS(survey_frozen!$I$2:$I$251,survey_frozen!$P$2:$P$251,$A101&amp;"|"&amp;$B101),IFERROR(SUMIFS(INDIRECT("'"&amp;$A101&amp;"'!$D$2:$D$501"),INDIRECT("'"&amp;$A101&amp;"'!$B$2:$B$501"),$T101,INDIRECT("'"&amp;$A101&amp;"'!$A$2:$A$501"),"&gt;="&amp;$I101,INDIRECT("'"&amp;$A101&amp;"'!$A$2:$A$501"),"&lt;"&amp;($BA101+1)),0)))</f>
        <v/>
      </c>
      <c r="AV101" s="30" t="str">
        <f aca="true">IF(OR($A101="",$I101=""),"",IF($BC101="Y",SUMIFS(survey_frozen!$J$2:$J$251,survey_frozen!$P$2:$P$251,$A101&amp;"|"&amp;$B101),IFERROR(COUNTIFS(INDIRECT("'"&amp;$A101&amp;"'!$B$2:$B$501"),$T101,INDIRECT("'"&amp;$A101&amp;"'!$A$2:$A$501"),"&gt;="&amp;$I101,INDIRECT("'"&amp;$A101&amp;"'!$A$2:$A$501"),"&lt;"&amp;($BA101+1),INDIRECT("'"&amp;$A101&amp;"'!$E$2:$E$501"),"Yes"),0)))</f>
        <v/>
      </c>
      <c r="AW101" s="30" t="str">
        <f aca="true">IF(OR($A101="",$I101=""),"",IF($BC101="Y",SUMIFS(survey_frozen!$K$2:$K$251,survey_frozen!$P$2:$P$251,$A101&amp;"|"&amp;$B101),IFERROR(COUNTIFS(INDIRECT("'"&amp;$A101&amp;"'!$B$2:$B$501"),$T101,INDIRECT("'"&amp;$A101&amp;"'!$A$2:$A$501"),"&gt;="&amp;$I101,INDIRECT("'"&amp;$A101&amp;"'!$A$2:$A$501"),"&lt;"&amp;($BA101+1),INDIRECT("'"&amp;$A101&amp;"'!$E$2:$E$501"),"Maybe"),0)))</f>
        <v/>
      </c>
      <c r="AX101" s="30" t="str">
        <f aca="true">IF(OR($A101="",$I101=""),"",IF($BC101="Y",SUMIFS(survey_frozen!$L$2:$L$251,survey_frozen!$P$2:$P$251,$A101&amp;"|"&amp;$B101),IFERROR(COUNTIFS(INDIRECT("'"&amp;$A101&amp;"'!$B$2:$B$501"),$T101,INDIRECT("'"&amp;$A101&amp;"'!$A$2:$A$501"),"&gt;="&amp;$I101,INDIRECT("'"&amp;$A101&amp;"'!$A$2:$A$501"),"&lt;"&amp;($BA101+1),INDIRECT("'"&amp;$A101&amp;"'!$E$2:$E$501"),"No"),0)))</f>
        <v/>
      </c>
      <c r="AY101" s="30" t="str">
        <f aca="true">IF(OR($A101="",$I101=""),"",IF($BC101="Y",SUMIFS(survey_frozen!$M$2:$M$251,survey_frozen!$P$2:$P$251,$A101&amp;"|"&amp;$B101),IFERROR(COUNTIFS(INDIRECT("'"&amp;$A101&amp;"'!$B$2:$B$501"),$T101,INDIRECT("'"&amp;$A101&amp;"'!$A$2:$A$501"),"&gt;="&amp;$I101,INDIRECT("'"&amp;$A101&amp;"'!$A$2:$A$501"),"&lt;"&amp;($BA101+1),INDIRECT("'"&amp;$A101&amp;"'!$G$2:$G$501"),"&lt;&gt;"),0)))</f>
        <v/>
      </c>
      <c r="AZ101" s="30" t="str">
        <f aca="false">IF($A101="","",$A101&amp;"|"&amp;$L101)</f>
        <v/>
      </c>
      <c r="BA101" s="31" t="str">
        <f aca="false">IF($A101="","",IFERROR(IF(INDEX(drops!$R$2:$R$21,MATCH($H101,drops!$A$2:$A$21,0))="","",INDEX(drops!$R$2:$R$21,MATCH($H101,drops!$A$2:$A$21,0))),""))</f>
        <v/>
      </c>
      <c r="BB101" s="30" t="n">
        <f aca="false">IF(OR($A101="",$Q101&lt;&gt;"Y"),1000000,N($AL101))</f>
        <v>1000000</v>
      </c>
      <c r="BC101" s="30" t="str">
        <f aca="false">IF($A101="","",IF(COUNTIF(survey_frozen!$P$2:$P$251,$A101&amp;"|"&amp;$B101)&gt;0,"Y",""))</f>
        <v/>
      </c>
      <c r="BD101" s="30" t="str">
        <f aca="false">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ustomFormat="false" ht="15" hidden="false" customHeight="false" outlineLevel="0" collapsed="false">
      <c r="C102" s="11"/>
      <c r="D102" s="10"/>
      <c r="E102" s="11"/>
      <c r="H102" s="30" t="str">
        <f aca="false">IF($A102="","",IFERROR(IF(INDEX(campaigns!$B$2:$B$51,MATCH($A102,campaigns!$A$2:$A$51,0))="","",INDEX(campaigns!$B$2:$B$51,MATCH($A102,campaigns!$A$2:$A$51,0))),""))</f>
        <v/>
      </c>
      <c r="I102" s="31" t="str">
        <f aca="false">IF($A102="","",IFERROR(IF(INDEX(campaigns!$BG$2:$BG$51,MATCH($A102,campaigns!$A$2:$A$51,0))="","",INDEX(campaigns!$BG$2:$BG$51,MATCH($A102,campaigns!$A$2:$A$51,0))),""))</f>
        <v/>
      </c>
      <c r="J102" s="30" t="str">
        <f aca="false">IF($A102="","",IFERROR(IF(INDEX(campaigns!$BE$2:$BE$51,MATCH($A102,campaigns!$A$2:$A$51,0))="","",INDEX(campaigns!$BE$2:$BE$51,MATCH($A102,campaigns!$A$2:$A$51,0))),""))</f>
        <v/>
      </c>
      <c r="K102" s="30" t="str">
        <f aca="false">IF($B102="","",IFERROR(IF(INDEX(offices!$O$2:$O$61,MATCH($B102,offices!$A$2:$A$61,0))="","",INDEX(offices!$O$2:$O$61,MATCH($B102,offices!$A$2:$A$61,0))),""))</f>
        <v/>
      </c>
      <c r="L102" s="30" t="str">
        <f aca="false">IF($A102="","",IF($Q102="N","",COUNTIFS($A$2:$A102,$A102,$Q$2:$Q102,"&lt;&gt;N")))</f>
        <v/>
      </c>
      <c r="M102" s="30" t="str">
        <f aca="false">IF(OR($A102="",$L102=""),"",IF(AND(config!$B$34="names_if_public",IFERROR(IF(INDEX(offices!$AG$2:$AG$61,MATCH($B102,offices!$A$2:$A$61,0))="","",INDEX(offices!$AG$2:$AG$61,MATCH($B102,offices!$A$2:$A$61,0))),"")="Y"),$K102,CHAR(64+$L102)))</f>
        <v/>
      </c>
      <c r="N102" s="30" t="str">
        <f aca="false">IF(OR($A102="",$I102=""),"",COUNTIFS(stops!$B$2:$B$151,$B102,stops!$P$2:$P$151,"&lt;"&amp;$I102,stops!$L$2:$L$151,"&lt;&gt;not_delivered")+1)</f>
        <v/>
      </c>
      <c r="O102" s="30" t="str">
        <f aca="false">IF($A102="","",IF(N($N102)&lt;=config!$B$29,"explicit","opt-out"))</f>
        <v/>
      </c>
      <c r="P102" s="30" t="str">
        <f aca="false">IF($A102="","",IF($O102="explicit",IF($D102="yes","Y",IF($D102="no","N","pending")),IF($D102="no","N",IF(AND($C102&lt;&gt;"",$I102&lt;&gt;"",$C102&lt;=WORKDAY(N($I102),-5,calendar!$A$2:$A$80)),"Y","pending"))))</f>
        <v/>
      </c>
      <c r="Q102" s="30" t="str">
        <f aca="false">IF($A102="","",IF($P102="N","N",IF($P102&lt;&gt;"Y","pending",IF(AND((COUNTIFS(stops!$A$2:$A$151,$H102,stops!$B$2:$B$151,$B102,stops!$L$2:$L$151,"declined")+COUNTIFS(stops!$A$2:$A$151,$H102,stops!$B$2:$B$151,$B102,stops!$L$2:$L$151,"building_refused")+COUNTIFS(stops!$A$2:$A$151,$H102,stops!$B$2:$B$151,$B102,stops!$L$2:$L$151,"not_delivered"))&gt;0,N($U102)=0),"N","Y"))))</f>
        <v/>
      </c>
      <c r="R102" s="30" t="str">
        <f aca="false">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30" t="str">
        <f aca="false">IF($A102="","",IF($G102&lt;&gt;"",$G102,IFERROR(IF(INDEX(offices!$AM$2:$AM$61,MATCH($B102,offices!$A$2:$A$61,0))="","",INDEX(offices!$AM$2:$AM$61,MATCH($B102,offices!$A$2:$A$61,0))),"")))</f>
        <v/>
      </c>
      <c r="T102" s="30" t="str">
        <f aca="false">IF($A102="","",$A102&amp;"."&amp;$B102)</f>
        <v/>
      </c>
      <c r="U102" s="30" t="str">
        <f aca="false">IF($A102="","",SUMIFS(inventory!$G$2:$G$801,inventory!$C$2:$C$801,$A102,inventory!$D$2:$D$801,$B102,inventory!$E$2:$E$801,"delivered"))</f>
        <v/>
      </c>
      <c r="V102" s="37" t="str">
        <f aca="false">IF($A102="","",IFERROR(1/(1/SUMPRODUCT(MAX((inventory!$C$2:$C$801=$A102)*(inventory!$D$2:$D$801=$B102)*(inventory!$E$2:$E$801="delivered")*(inventory!$A$2:$A$801+inventory!$B$2:$B$801)))),""))</f>
        <v/>
      </c>
      <c r="W102" s="30" t="str">
        <f aca="false">IF($A102="","",IFERROR(IF(INDEX(inventory!$J$2:$J$801,MATCH($A102&amp;"|"&amp;$B102&amp;"|delivered",inventory!$R$2:$R$801,0))="","",INDEX(inventory!$J$2:$J$801,MATCH($A102&amp;"|"&amp;$B102&amp;"|delivered",inventory!$R$2:$R$801,0))),""))</f>
        <v/>
      </c>
      <c r="X102" s="30" t="str">
        <f aca="false">IF($A102="","",IFERROR(IF(INDEX(photos!$H$2:$H$701,MATCH($A102&amp;"|"&amp;$B102&amp;"|placement|Y",photos!$R$2:$R$701,0))="","",INDEX(photos!$H$2:$H$701,MATCH($A102&amp;"|"&amp;$B102&amp;"|placement|Y",photos!$R$2:$R$701,0))),""))</f>
        <v/>
      </c>
      <c r="Y102" s="31" t="str">
        <f aca="false">IF($A102="","",IFERROR(IF(INDEX(photos!$E$2:$E$701,MATCH($A102&amp;"|"&amp;$B102&amp;"|placement|Y",photos!$R$2:$R$701,0))="","",INDEX(photos!$E$2:$E$701,MATCH($A102&amp;"|"&amp;$B102&amp;"|placement|Y",photos!$R$2:$R$701,0))),""))</f>
        <v/>
      </c>
      <c r="Z102" s="30" t="str">
        <f aca="false">IF($A102="","",IF(COUNTIFS(counts!$C$2:$C$701,$A102,counts!$D$2:$D$701,$B102,counts!$E$2:$E$701,"placed")=0,"",SUMIFS(counts!$F$2:$F$701,counts!$C$2:$C$701,$A102,counts!$D$2:$D$701,$B102,counts!$E$2:$E$701,"placed")))</f>
        <v/>
      </c>
      <c r="AA102" s="30" t="str">
        <f aca="false">IF($A102="","",IF($Y102="",0,N($Z102)))</f>
        <v/>
      </c>
      <c r="AB102" s="30" t="str">
        <f aca="false">IF($A102="","",IF(OR($Y102="",$I102=""),"N",IF($Y102&lt;=WORKDAY(N($I102),1,calendar!$A$2:$A$80),"Y","N")))</f>
        <v/>
      </c>
      <c r="AC102" s="33" t="str">
        <f aca="false">IF(OR($A102="",$V102="",$Y102=""),"",ROUND(($Y102+N(IFERROR(IF(INDEX(photos!$F$2:$F$701,MATCH($A102&amp;"|"&amp;$B102&amp;"|placement|Y",photos!$R$2:$R$701,0))="","",INDEX(photos!$F$2:$F$701,MATCH($A102&amp;"|"&amp;$B102&amp;"|placement|Y",photos!$R$2:$R$701,0))),""))-$V102)*24,1))</f>
        <v/>
      </c>
      <c r="AD102" s="30" t="str">
        <f aca="false">IF($A102="","",SUMIFS(inventory!$G$2:$G$801,inventory!$C$2:$C$801,$A102,inventory!$D$2:$D$801,$B102,inventory!$E$2:$E$801,"topped_up"))</f>
        <v/>
      </c>
      <c r="AE102" s="30" t="str">
        <f aca="false">IF($A102="","",IF(COUNTIFS(counts!$C$2:$C$701,$A102,counts!$D$2:$D$701,$B102,counts!$E$2:$E$701,"remaining_day3")=0,"",SUMIFS(counts!$F$2:$F$701,counts!$C$2:$C$701,$A102,counts!$D$2:$D$701,$B102,counts!$E$2:$E$701,"remaining_day3")))</f>
        <v/>
      </c>
      <c r="AF102" s="30" t="str">
        <f aca="false">IF($A102="","",IF(COUNTIFS(counts!$C$2:$C$701,$A102,counts!$D$2:$D$701,$B102,counts!$E$2:$E$701,"remaining_day5")=0,"",SUMIFS(counts!$F$2:$F$701,counts!$C$2:$C$701,$A102,counts!$D$2:$D$701,$B102,counts!$E$2:$E$701,"remaining_day5")))</f>
        <v/>
      </c>
      <c r="AG102" s="30" t="str">
        <f aca="false">IF(OR($A102="",$AF102=""),"",MAX(0,$AA102+$AD102-$AF102))</f>
        <v/>
      </c>
      <c r="AH102" s="30" t="str">
        <f aca="false">IF(OR($A102="",$AI102=""),"",IFERROR(IF(INDEX(photos!$H$2:$H$701,MATCH($A102&amp;"|"&amp;$B102&amp;"|later|Y|"&amp;$AI102,photos!$S$2:$S$701,0))="","",INDEX(photos!$H$2:$H$701,MATCH($A102&amp;"|"&amp;$B102&amp;"|later|Y|"&amp;$AI102,photos!$S$2:$S$701,0))),""))</f>
        <v/>
      </c>
      <c r="AI102" s="31" t="str">
        <f aca="false">IF($A102="","",IFERROR(1/(1/SUMPRODUCT(MAX((photos!$B$2:$B$701=$A102)*(photos!$C$2:$C$701=$B102)*(photos!$D$2:$D$701="later")*(photos!$O$2:$O$701="Y")*photos!$E$2:$E$701))),""))</f>
        <v/>
      </c>
      <c r="AJ102" s="30" t="str">
        <f aca="false">IF(OR($A102="",$AI102="",$I102=""),"",NETWORKDAYS($I102,$AI102,calendar!$A$2:$A$80))</f>
        <v/>
      </c>
      <c r="AK102" s="30" t="str">
        <f aca="false">IF($A102="","",IF(AND($X102&lt;&gt;"",$AH102&lt;&gt;""),"Y","N"))</f>
        <v/>
      </c>
      <c r="AL102" s="30" t="str">
        <f aca="true">IF(OR($A102="",$I102=""),"",IF($BC102="Y",SUMIFS(survey_frozen!$C$2:$C$251,survey_frozen!$P$2:$P$251,$A102&amp;"|"&amp;$B102),IFERROR(COUNTIFS(INDIRECT("'"&amp;$A102&amp;"'!$B$2:$B$501"),$T102,INDIRECT("'"&amp;$A102&amp;"'!$A$2:$A$501"),"&gt;="&amp;$I102,INDIRECT("'"&amp;$A102&amp;"'!$A$2:$A$501"),"&lt;"&amp;($BA102+1)),0)))</f>
        <v/>
      </c>
      <c r="AM102" s="30" t="str">
        <f aca="true">IF(OR($A102="",$I102=""),"",IF($BC102="Y",SUMIFS(survey_frozen!$D$2:$D$251,survey_frozen!$P$2:$P$251,$A102&amp;"|"&amp;$B102),IFERROR(COUNTIFS(INDIRECT("'"&amp;$A102&amp;"'!$B$2:$B$501"),$T102,INDIRECT("'"&amp;$A102&amp;"'!$A$2:$A$501"),"&gt;="&amp;$I102,INDIRECT("'"&amp;$A102&amp;"'!$A$2:$A$501"),"&lt;"&amp;($BA102+1),INDIRECT("'"&amp;$A102&amp;"'!$C$2:$C$501"),"Yes"),0)))</f>
        <v/>
      </c>
      <c r="AN102" s="30" t="str">
        <f aca="false">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30" t="str">
        <f aca="false">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30" t="str">
        <f aca="true">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30" t="str">
        <f aca="true">IF(OR($A102="",$I102=""),"",IF($BC102="Y",SUMIFS(survey_frozen!$E$2:$E$251,survey_frozen!$P$2:$P$251,$A102&amp;"|"&amp;$B102),IFERROR(COUNTIFS(INDIRECT("'"&amp;$A102&amp;"'!$B$2:$B$501"),$T102,INDIRECT("'"&amp;$A102&amp;"'!$A$2:$A$501"),"&gt;="&amp;$I102,INDIRECT("'"&amp;$A102&amp;"'!$A$2:$A$501"),"&lt;"&amp;($BA102+1),INDIRECT("'"&amp;$A102&amp;"'!$F$2:$F$501"),"Didn't see it"),0)))</f>
        <v/>
      </c>
      <c r="AR102" s="30" t="str">
        <f aca="true">IF(OR($A102="",$I102=""),"",IF($BC102="Y",SUMIFS(survey_frozen!$F$2:$F$251,survey_frozen!$P$2:$P$251,$A102&amp;"|"&amp;$B102),IFERROR(COUNTIFS(INDIRECT("'"&amp;$A102&amp;"'!$B$2:$B$501"),$T102,INDIRECT("'"&amp;$A102&amp;"'!$A$2:$A$501"),"&gt;="&amp;$I102,INDIRECT("'"&amp;$A102&amp;"'!$A$2:$A$501"),"&lt;"&amp;($BA102+1),INDIRECT("'"&amp;$A102&amp;"'!$F$2:$F$501"),"Not for me"),0)))</f>
        <v/>
      </c>
      <c r="AS102" s="30" t="str">
        <f aca="true">IF(OR($A102="",$I102=""),"",IF($BC102="Y",SUMIFS(survey_frozen!$G$2:$G$251,survey_frozen!$P$2:$P$251,$A102&amp;"|"&amp;$B102),IFERROR(COUNTIFS(INDIRECT("'"&amp;$A102&amp;"'!$B$2:$B$501"),$T102,INDIRECT("'"&amp;$A102&amp;"'!$A$2:$A$501"),"&gt;="&amp;$I102,INDIRECT("'"&amp;$A102&amp;"'!$A$2:$A$501"),"&lt;"&amp;($BA102+1),INDIRECT("'"&amp;$A102&amp;"'!$F$2:$F$501"),"Gone by the time I looked"),0)))</f>
        <v/>
      </c>
      <c r="AT102" s="30" t="str">
        <f aca="true">IF(OR($A102="",$I102=""),"",IF($BC102="Y",SUMIFS(survey_frozen!$H$2:$H$251,survey_frozen!$P$2:$P$251,$A102&amp;"|"&amp;$B102),IFERROR(COUNTIFS(INDIRECT("'"&amp;$A102&amp;"'!$B$2:$B$501"),$T102,INDIRECT("'"&amp;$A102&amp;"'!$A$2:$A$501"),"&gt;="&amp;$I102,INDIRECT("'"&amp;$A102&amp;"'!$A$2:$A$501"),"&lt;"&amp;($BA102+1),INDIRECT("'"&amp;$A102&amp;"'!$D$2:$D$501"),"&gt;=1"),0)))</f>
        <v/>
      </c>
      <c r="AU102" s="30" t="str">
        <f aca="true">IF(OR($A102="",$I102=""),"",IF($BC102="Y",SUMIFS(survey_frozen!$I$2:$I$251,survey_frozen!$P$2:$P$251,$A102&amp;"|"&amp;$B102),IFERROR(SUMIFS(INDIRECT("'"&amp;$A102&amp;"'!$D$2:$D$501"),INDIRECT("'"&amp;$A102&amp;"'!$B$2:$B$501"),$T102,INDIRECT("'"&amp;$A102&amp;"'!$A$2:$A$501"),"&gt;="&amp;$I102,INDIRECT("'"&amp;$A102&amp;"'!$A$2:$A$501"),"&lt;"&amp;($BA102+1)),0)))</f>
        <v/>
      </c>
      <c r="AV102" s="30" t="str">
        <f aca="true">IF(OR($A102="",$I102=""),"",IF($BC102="Y",SUMIFS(survey_frozen!$J$2:$J$251,survey_frozen!$P$2:$P$251,$A102&amp;"|"&amp;$B102),IFERROR(COUNTIFS(INDIRECT("'"&amp;$A102&amp;"'!$B$2:$B$501"),$T102,INDIRECT("'"&amp;$A102&amp;"'!$A$2:$A$501"),"&gt;="&amp;$I102,INDIRECT("'"&amp;$A102&amp;"'!$A$2:$A$501"),"&lt;"&amp;($BA102+1),INDIRECT("'"&amp;$A102&amp;"'!$E$2:$E$501"),"Yes"),0)))</f>
        <v/>
      </c>
      <c r="AW102" s="30" t="str">
        <f aca="true">IF(OR($A102="",$I102=""),"",IF($BC102="Y",SUMIFS(survey_frozen!$K$2:$K$251,survey_frozen!$P$2:$P$251,$A102&amp;"|"&amp;$B102),IFERROR(COUNTIFS(INDIRECT("'"&amp;$A102&amp;"'!$B$2:$B$501"),$T102,INDIRECT("'"&amp;$A102&amp;"'!$A$2:$A$501"),"&gt;="&amp;$I102,INDIRECT("'"&amp;$A102&amp;"'!$A$2:$A$501"),"&lt;"&amp;($BA102+1),INDIRECT("'"&amp;$A102&amp;"'!$E$2:$E$501"),"Maybe"),0)))</f>
        <v/>
      </c>
      <c r="AX102" s="30" t="str">
        <f aca="true">IF(OR($A102="",$I102=""),"",IF($BC102="Y",SUMIFS(survey_frozen!$L$2:$L$251,survey_frozen!$P$2:$P$251,$A102&amp;"|"&amp;$B102),IFERROR(COUNTIFS(INDIRECT("'"&amp;$A102&amp;"'!$B$2:$B$501"),$T102,INDIRECT("'"&amp;$A102&amp;"'!$A$2:$A$501"),"&gt;="&amp;$I102,INDIRECT("'"&amp;$A102&amp;"'!$A$2:$A$501"),"&lt;"&amp;($BA102+1),INDIRECT("'"&amp;$A102&amp;"'!$E$2:$E$501"),"No"),0)))</f>
        <v/>
      </c>
      <c r="AY102" s="30" t="str">
        <f aca="true">IF(OR($A102="",$I102=""),"",IF($BC102="Y",SUMIFS(survey_frozen!$M$2:$M$251,survey_frozen!$P$2:$P$251,$A102&amp;"|"&amp;$B102),IFERROR(COUNTIFS(INDIRECT("'"&amp;$A102&amp;"'!$B$2:$B$501"),$T102,INDIRECT("'"&amp;$A102&amp;"'!$A$2:$A$501"),"&gt;="&amp;$I102,INDIRECT("'"&amp;$A102&amp;"'!$A$2:$A$501"),"&lt;"&amp;($BA102+1),INDIRECT("'"&amp;$A102&amp;"'!$G$2:$G$501"),"&lt;&gt;"),0)))</f>
        <v/>
      </c>
      <c r="AZ102" s="30" t="str">
        <f aca="false">IF($A102="","",$A102&amp;"|"&amp;$L102)</f>
        <v/>
      </c>
      <c r="BA102" s="31" t="str">
        <f aca="false">IF($A102="","",IFERROR(IF(INDEX(drops!$R$2:$R$21,MATCH($H102,drops!$A$2:$A$21,0))="","",INDEX(drops!$R$2:$R$21,MATCH($H102,drops!$A$2:$A$21,0))),""))</f>
        <v/>
      </c>
      <c r="BB102" s="30" t="n">
        <f aca="false">IF(OR($A102="",$Q102&lt;&gt;"Y"),1000000,N($AL102))</f>
        <v>1000000</v>
      </c>
      <c r="BC102" s="30" t="str">
        <f aca="false">IF($A102="","",IF(COUNTIF(survey_frozen!$P$2:$P$251,$A102&amp;"|"&amp;$B102)&gt;0,"Y",""))</f>
        <v/>
      </c>
      <c r="BD102" s="30" t="str">
        <f aca="false">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ustomFormat="false" ht="15" hidden="false" customHeight="false" outlineLevel="0" collapsed="false">
      <c r="C103" s="11"/>
      <c r="D103" s="10"/>
      <c r="E103" s="11"/>
      <c r="H103" s="30" t="str">
        <f aca="false">IF($A103="","",IFERROR(IF(INDEX(campaigns!$B$2:$B$51,MATCH($A103,campaigns!$A$2:$A$51,0))="","",INDEX(campaigns!$B$2:$B$51,MATCH($A103,campaigns!$A$2:$A$51,0))),""))</f>
        <v/>
      </c>
      <c r="I103" s="31" t="str">
        <f aca="false">IF($A103="","",IFERROR(IF(INDEX(campaigns!$BG$2:$BG$51,MATCH($A103,campaigns!$A$2:$A$51,0))="","",INDEX(campaigns!$BG$2:$BG$51,MATCH($A103,campaigns!$A$2:$A$51,0))),""))</f>
        <v/>
      </c>
      <c r="J103" s="30" t="str">
        <f aca="false">IF($A103="","",IFERROR(IF(INDEX(campaigns!$BE$2:$BE$51,MATCH($A103,campaigns!$A$2:$A$51,0))="","",INDEX(campaigns!$BE$2:$BE$51,MATCH($A103,campaigns!$A$2:$A$51,0))),""))</f>
        <v/>
      </c>
      <c r="K103" s="30" t="str">
        <f aca="false">IF($B103="","",IFERROR(IF(INDEX(offices!$O$2:$O$61,MATCH($B103,offices!$A$2:$A$61,0))="","",INDEX(offices!$O$2:$O$61,MATCH($B103,offices!$A$2:$A$61,0))),""))</f>
        <v/>
      </c>
      <c r="L103" s="30" t="str">
        <f aca="false">IF($A103="","",IF($Q103="N","",COUNTIFS($A$2:$A103,$A103,$Q$2:$Q103,"&lt;&gt;N")))</f>
        <v/>
      </c>
      <c r="M103" s="30" t="str">
        <f aca="false">IF(OR($A103="",$L103=""),"",IF(AND(config!$B$34="names_if_public",IFERROR(IF(INDEX(offices!$AG$2:$AG$61,MATCH($B103,offices!$A$2:$A$61,0))="","",INDEX(offices!$AG$2:$AG$61,MATCH($B103,offices!$A$2:$A$61,0))),"")="Y"),$K103,CHAR(64+$L103)))</f>
        <v/>
      </c>
      <c r="N103" s="30" t="str">
        <f aca="false">IF(OR($A103="",$I103=""),"",COUNTIFS(stops!$B$2:$B$151,$B103,stops!$P$2:$P$151,"&lt;"&amp;$I103,stops!$L$2:$L$151,"&lt;&gt;not_delivered")+1)</f>
        <v/>
      </c>
      <c r="O103" s="30" t="str">
        <f aca="false">IF($A103="","",IF(N($N103)&lt;=config!$B$29,"explicit","opt-out"))</f>
        <v/>
      </c>
      <c r="P103" s="30" t="str">
        <f aca="false">IF($A103="","",IF($O103="explicit",IF($D103="yes","Y",IF($D103="no","N","pending")),IF($D103="no","N",IF(AND($C103&lt;&gt;"",$I103&lt;&gt;"",$C103&lt;=WORKDAY(N($I103),-5,calendar!$A$2:$A$80)),"Y","pending"))))</f>
        <v/>
      </c>
      <c r="Q103" s="30" t="str">
        <f aca="false">IF($A103="","",IF($P103="N","N",IF($P103&lt;&gt;"Y","pending",IF(AND((COUNTIFS(stops!$A$2:$A$151,$H103,stops!$B$2:$B$151,$B103,stops!$L$2:$L$151,"declined")+COUNTIFS(stops!$A$2:$A$151,$H103,stops!$B$2:$B$151,$B103,stops!$L$2:$L$151,"building_refused")+COUNTIFS(stops!$A$2:$A$151,$H103,stops!$B$2:$B$151,$B103,stops!$L$2:$L$151,"not_delivered"))&gt;0,N($U103)=0),"N","Y"))))</f>
        <v/>
      </c>
      <c r="R103" s="30" t="str">
        <f aca="false">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30" t="str">
        <f aca="false">IF($A103="","",IF($G103&lt;&gt;"",$G103,IFERROR(IF(INDEX(offices!$AM$2:$AM$61,MATCH($B103,offices!$A$2:$A$61,0))="","",INDEX(offices!$AM$2:$AM$61,MATCH($B103,offices!$A$2:$A$61,0))),"")))</f>
        <v/>
      </c>
      <c r="T103" s="30" t="str">
        <f aca="false">IF($A103="","",$A103&amp;"."&amp;$B103)</f>
        <v/>
      </c>
      <c r="U103" s="30" t="str">
        <f aca="false">IF($A103="","",SUMIFS(inventory!$G$2:$G$801,inventory!$C$2:$C$801,$A103,inventory!$D$2:$D$801,$B103,inventory!$E$2:$E$801,"delivered"))</f>
        <v/>
      </c>
      <c r="V103" s="37" t="str">
        <f aca="false">IF($A103="","",IFERROR(1/(1/SUMPRODUCT(MAX((inventory!$C$2:$C$801=$A103)*(inventory!$D$2:$D$801=$B103)*(inventory!$E$2:$E$801="delivered")*(inventory!$A$2:$A$801+inventory!$B$2:$B$801)))),""))</f>
        <v/>
      </c>
      <c r="W103" s="30" t="str">
        <f aca="false">IF($A103="","",IFERROR(IF(INDEX(inventory!$J$2:$J$801,MATCH($A103&amp;"|"&amp;$B103&amp;"|delivered",inventory!$R$2:$R$801,0))="","",INDEX(inventory!$J$2:$J$801,MATCH($A103&amp;"|"&amp;$B103&amp;"|delivered",inventory!$R$2:$R$801,0))),""))</f>
        <v/>
      </c>
      <c r="X103" s="30" t="str">
        <f aca="false">IF($A103="","",IFERROR(IF(INDEX(photos!$H$2:$H$701,MATCH($A103&amp;"|"&amp;$B103&amp;"|placement|Y",photos!$R$2:$R$701,0))="","",INDEX(photos!$H$2:$H$701,MATCH($A103&amp;"|"&amp;$B103&amp;"|placement|Y",photos!$R$2:$R$701,0))),""))</f>
        <v/>
      </c>
      <c r="Y103" s="31" t="str">
        <f aca="false">IF($A103="","",IFERROR(IF(INDEX(photos!$E$2:$E$701,MATCH($A103&amp;"|"&amp;$B103&amp;"|placement|Y",photos!$R$2:$R$701,0))="","",INDEX(photos!$E$2:$E$701,MATCH($A103&amp;"|"&amp;$B103&amp;"|placement|Y",photos!$R$2:$R$701,0))),""))</f>
        <v/>
      </c>
      <c r="Z103" s="30" t="str">
        <f aca="false">IF($A103="","",IF(COUNTIFS(counts!$C$2:$C$701,$A103,counts!$D$2:$D$701,$B103,counts!$E$2:$E$701,"placed")=0,"",SUMIFS(counts!$F$2:$F$701,counts!$C$2:$C$701,$A103,counts!$D$2:$D$701,$B103,counts!$E$2:$E$701,"placed")))</f>
        <v/>
      </c>
      <c r="AA103" s="30" t="str">
        <f aca="false">IF($A103="","",IF($Y103="",0,N($Z103)))</f>
        <v/>
      </c>
      <c r="AB103" s="30" t="str">
        <f aca="false">IF($A103="","",IF(OR($Y103="",$I103=""),"N",IF($Y103&lt;=WORKDAY(N($I103),1,calendar!$A$2:$A$80),"Y","N")))</f>
        <v/>
      </c>
      <c r="AC103" s="33" t="str">
        <f aca="false">IF(OR($A103="",$V103="",$Y103=""),"",ROUND(($Y103+N(IFERROR(IF(INDEX(photos!$F$2:$F$701,MATCH($A103&amp;"|"&amp;$B103&amp;"|placement|Y",photos!$R$2:$R$701,0))="","",INDEX(photos!$F$2:$F$701,MATCH($A103&amp;"|"&amp;$B103&amp;"|placement|Y",photos!$R$2:$R$701,0))),""))-$V103)*24,1))</f>
        <v/>
      </c>
      <c r="AD103" s="30" t="str">
        <f aca="false">IF($A103="","",SUMIFS(inventory!$G$2:$G$801,inventory!$C$2:$C$801,$A103,inventory!$D$2:$D$801,$B103,inventory!$E$2:$E$801,"topped_up"))</f>
        <v/>
      </c>
      <c r="AE103" s="30" t="str">
        <f aca="false">IF($A103="","",IF(COUNTIFS(counts!$C$2:$C$701,$A103,counts!$D$2:$D$701,$B103,counts!$E$2:$E$701,"remaining_day3")=0,"",SUMIFS(counts!$F$2:$F$701,counts!$C$2:$C$701,$A103,counts!$D$2:$D$701,$B103,counts!$E$2:$E$701,"remaining_day3")))</f>
        <v/>
      </c>
      <c r="AF103" s="30" t="str">
        <f aca="false">IF($A103="","",IF(COUNTIFS(counts!$C$2:$C$701,$A103,counts!$D$2:$D$701,$B103,counts!$E$2:$E$701,"remaining_day5")=0,"",SUMIFS(counts!$F$2:$F$701,counts!$C$2:$C$701,$A103,counts!$D$2:$D$701,$B103,counts!$E$2:$E$701,"remaining_day5")))</f>
        <v/>
      </c>
      <c r="AG103" s="30" t="str">
        <f aca="false">IF(OR($A103="",$AF103=""),"",MAX(0,$AA103+$AD103-$AF103))</f>
        <v/>
      </c>
      <c r="AH103" s="30" t="str">
        <f aca="false">IF(OR($A103="",$AI103=""),"",IFERROR(IF(INDEX(photos!$H$2:$H$701,MATCH($A103&amp;"|"&amp;$B103&amp;"|later|Y|"&amp;$AI103,photos!$S$2:$S$701,0))="","",INDEX(photos!$H$2:$H$701,MATCH($A103&amp;"|"&amp;$B103&amp;"|later|Y|"&amp;$AI103,photos!$S$2:$S$701,0))),""))</f>
        <v/>
      </c>
      <c r="AI103" s="31" t="str">
        <f aca="false">IF($A103="","",IFERROR(1/(1/SUMPRODUCT(MAX((photos!$B$2:$B$701=$A103)*(photos!$C$2:$C$701=$B103)*(photos!$D$2:$D$701="later")*(photos!$O$2:$O$701="Y")*photos!$E$2:$E$701))),""))</f>
        <v/>
      </c>
      <c r="AJ103" s="30" t="str">
        <f aca="false">IF(OR($A103="",$AI103="",$I103=""),"",NETWORKDAYS($I103,$AI103,calendar!$A$2:$A$80))</f>
        <v/>
      </c>
      <c r="AK103" s="30" t="str">
        <f aca="false">IF($A103="","",IF(AND($X103&lt;&gt;"",$AH103&lt;&gt;""),"Y","N"))</f>
        <v/>
      </c>
      <c r="AL103" s="30" t="str">
        <f aca="true">IF(OR($A103="",$I103=""),"",IF($BC103="Y",SUMIFS(survey_frozen!$C$2:$C$251,survey_frozen!$P$2:$P$251,$A103&amp;"|"&amp;$B103),IFERROR(COUNTIFS(INDIRECT("'"&amp;$A103&amp;"'!$B$2:$B$501"),$T103,INDIRECT("'"&amp;$A103&amp;"'!$A$2:$A$501"),"&gt;="&amp;$I103,INDIRECT("'"&amp;$A103&amp;"'!$A$2:$A$501"),"&lt;"&amp;($BA103+1)),0)))</f>
        <v/>
      </c>
      <c r="AM103" s="30" t="str">
        <f aca="true">IF(OR($A103="",$I103=""),"",IF($BC103="Y",SUMIFS(survey_frozen!$D$2:$D$251,survey_frozen!$P$2:$P$251,$A103&amp;"|"&amp;$B103),IFERROR(COUNTIFS(INDIRECT("'"&amp;$A103&amp;"'!$B$2:$B$501"),$T103,INDIRECT("'"&amp;$A103&amp;"'!$A$2:$A$501"),"&gt;="&amp;$I103,INDIRECT("'"&amp;$A103&amp;"'!$A$2:$A$501"),"&lt;"&amp;($BA103+1),INDIRECT("'"&amp;$A103&amp;"'!$C$2:$C$501"),"Yes"),0)))</f>
        <v/>
      </c>
      <c r="AN103" s="30" t="str">
        <f aca="false">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30" t="str">
        <f aca="false">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30" t="str">
        <f aca="true">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30" t="str">
        <f aca="true">IF(OR($A103="",$I103=""),"",IF($BC103="Y",SUMIFS(survey_frozen!$E$2:$E$251,survey_frozen!$P$2:$P$251,$A103&amp;"|"&amp;$B103),IFERROR(COUNTIFS(INDIRECT("'"&amp;$A103&amp;"'!$B$2:$B$501"),$T103,INDIRECT("'"&amp;$A103&amp;"'!$A$2:$A$501"),"&gt;="&amp;$I103,INDIRECT("'"&amp;$A103&amp;"'!$A$2:$A$501"),"&lt;"&amp;($BA103+1),INDIRECT("'"&amp;$A103&amp;"'!$F$2:$F$501"),"Didn't see it"),0)))</f>
        <v/>
      </c>
      <c r="AR103" s="30" t="str">
        <f aca="true">IF(OR($A103="",$I103=""),"",IF($BC103="Y",SUMIFS(survey_frozen!$F$2:$F$251,survey_frozen!$P$2:$P$251,$A103&amp;"|"&amp;$B103),IFERROR(COUNTIFS(INDIRECT("'"&amp;$A103&amp;"'!$B$2:$B$501"),$T103,INDIRECT("'"&amp;$A103&amp;"'!$A$2:$A$501"),"&gt;="&amp;$I103,INDIRECT("'"&amp;$A103&amp;"'!$A$2:$A$501"),"&lt;"&amp;($BA103+1),INDIRECT("'"&amp;$A103&amp;"'!$F$2:$F$501"),"Not for me"),0)))</f>
        <v/>
      </c>
      <c r="AS103" s="30" t="str">
        <f aca="true">IF(OR($A103="",$I103=""),"",IF($BC103="Y",SUMIFS(survey_frozen!$G$2:$G$251,survey_frozen!$P$2:$P$251,$A103&amp;"|"&amp;$B103),IFERROR(COUNTIFS(INDIRECT("'"&amp;$A103&amp;"'!$B$2:$B$501"),$T103,INDIRECT("'"&amp;$A103&amp;"'!$A$2:$A$501"),"&gt;="&amp;$I103,INDIRECT("'"&amp;$A103&amp;"'!$A$2:$A$501"),"&lt;"&amp;($BA103+1),INDIRECT("'"&amp;$A103&amp;"'!$F$2:$F$501"),"Gone by the time I looked"),0)))</f>
        <v/>
      </c>
      <c r="AT103" s="30" t="str">
        <f aca="true">IF(OR($A103="",$I103=""),"",IF($BC103="Y",SUMIFS(survey_frozen!$H$2:$H$251,survey_frozen!$P$2:$P$251,$A103&amp;"|"&amp;$B103),IFERROR(COUNTIFS(INDIRECT("'"&amp;$A103&amp;"'!$B$2:$B$501"),$T103,INDIRECT("'"&amp;$A103&amp;"'!$A$2:$A$501"),"&gt;="&amp;$I103,INDIRECT("'"&amp;$A103&amp;"'!$A$2:$A$501"),"&lt;"&amp;($BA103+1),INDIRECT("'"&amp;$A103&amp;"'!$D$2:$D$501"),"&gt;=1"),0)))</f>
        <v/>
      </c>
      <c r="AU103" s="30" t="str">
        <f aca="true">IF(OR($A103="",$I103=""),"",IF($BC103="Y",SUMIFS(survey_frozen!$I$2:$I$251,survey_frozen!$P$2:$P$251,$A103&amp;"|"&amp;$B103),IFERROR(SUMIFS(INDIRECT("'"&amp;$A103&amp;"'!$D$2:$D$501"),INDIRECT("'"&amp;$A103&amp;"'!$B$2:$B$501"),$T103,INDIRECT("'"&amp;$A103&amp;"'!$A$2:$A$501"),"&gt;="&amp;$I103,INDIRECT("'"&amp;$A103&amp;"'!$A$2:$A$501"),"&lt;"&amp;($BA103+1)),0)))</f>
        <v/>
      </c>
      <c r="AV103" s="30" t="str">
        <f aca="true">IF(OR($A103="",$I103=""),"",IF($BC103="Y",SUMIFS(survey_frozen!$J$2:$J$251,survey_frozen!$P$2:$P$251,$A103&amp;"|"&amp;$B103),IFERROR(COUNTIFS(INDIRECT("'"&amp;$A103&amp;"'!$B$2:$B$501"),$T103,INDIRECT("'"&amp;$A103&amp;"'!$A$2:$A$501"),"&gt;="&amp;$I103,INDIRECT("'"&amp;$A103&amp;"'!$A$2:$A$501"),"&lt;"&amp;($BA103+1),INDIRECT("'"&amp;$A103&amp;"'!$E$2:$E$501"),"Yes"),0)))</f>
        <v/>
      </c>
      <c r="AW103" s="30" t="str">
        <f aca="true">IF(OR($A103="",$I103=""),"",IF($BC103="Y",SUMIFS(survey_frozen!$K$2:$K$251,survey_frozen!$P$2:$P$251,$A103&amp;"|"&amp;$B103),IFERROR(COUNTIFS(INDIRECT("'"&amp;$A103&amp;"'!$B$2:$B$501"),$T103,INDIRECT("'"&amp;$A103&amp;"'!$A$2:$A$501"),"&gt;="&amp;$I103,INDIRECT("'"&amp;$A103&amp;"'!$A$2:$A$501"),"&lt;"&amp;($BA103+1),INDIRECT("'"&amp;$A103&amp;"'!$E$2:$E$501"),"Maybe"),0)))</f>
        <v/>
      </c>
      <c r="AX103" s="30" t="str">
        <f aca="true">IF(OR($A103="",$I103=""),"",IF($BC103="Y",SUMIFS(survey_frozen!$L$2:$L$251,survey_frozen!$P$2:$P$251,$A103&amp;"|"&amp;$B103),IFERROR(COUNTIFS(INDIRECT("'"&amp;$A103&amp;"'!$B$2:$B$501"),$T103,INDIRECT("'"&amp;$A103&amp;"'!$A$2:$A$501"),"&gt;="&amp;$I103,INDIRECT("'"&amp;$A103&amp;"'!$A$2:$A$501"),"&lt;"&amp;($BA103+1),INDIRECT("'"&amp;$A103&amp;"'!$E$2:$E$501"),"No"),0)))</f>
        <v/>
      </c>
      <c r="AY103" s="30" t="str">
        <f aca="true">IF(OR($A103="",$I103=""),"",IF($BC103="Y",SUMIFS(survey_frozen!$M$2:$M$251,survey_frozen!$P$2:$P$251,$A103&amp;"|"&amp;$B103),IFERROR(COUNTIFS(INDIRECT("'"&amp;$A103&amp;"'!$B$2:$B$501"),$T103,INDIRECT("'"&amp;$A103&amp;"'!$A$2:$A$501"),"&gt;="&amp;$I103,INDIRECT("'"&amp;$A103&amp;"'!$A$2:$A$501"),"&lt;"&amp;($BA103+1),INDIRECT("'"&amp;$A103&amp;"'!$G$2:$G$501"),"&lt;&gt;"),0)))</f>
        <v/>
      </c>
      <c r="AZ103" s="30" t="str">
        <f aca="false">IF($A103="","",$A103&amp;"|"&amp;$L103)</f>
        <v/>
      </c>
      <c r="BA103" s="31" t="str">
        <f aca="false">IF($A103="","",IFERROR(IF(INDEX(drops!$R$2:$R$21,MATCH($H103,drops!$A$2:$A$21,0))="","",INDEX(drops!$R$2:$R$21,MATCH($H103,drops!$A$2:$A$21,0))),""))</f>
        <v/>
      </c>
      <c r="BB103" s="30" t="n">
        <f aca="false">IF(OR($A103="",$Q103&lt;&gt;"Y"),1000000,N($AL103))</f>
        <v>1000000</v>
      </c>
      <c r="BC103" s="30" t="str">
        <f aca="false">IF($A103="","",IF(COUNTIF(survey_frozen!$P$2:$P$251,$A103&amp;"|"&amp;$B103)&gt;0,"Y",""))</f>
        <v/>
      </c>
      <c r="BD103" s="30" t="str">
        <f aca="false">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ustomFormat="false" ht="15" hidden="false" customHeight="false" outlineLevel="0" collapsed="false">
      <c r="C104" s="11"/>
      <c r="D104" s="10"/>
      <c r="E104" s="11"/>
      <c r="H104" s="30" t="str">
        <f aca="false">IF($A104="","",IFERROR(IF(INDEX(campaigns!$B$2:$B$51,MATCH($A104,campaigns!$A$2:$A$51,0))="","",INDEX(campaigns!$B$2:$B$51,MATCH($A104,campaigns!$A$2:$A$51,0))),""))</f>
        <v/>
      </c>
      <c r="I104" s="31" t="str">
        <f aca="false">IF($A104="","",IFERROR(IF(INDEX(campaigns!$BG$2:$BG$51,MATCH($A104,campaigns!$A$2:$A$51,0))="","",INDEX(campaigns!$BG$2:$BG$51,MATCH($A104,campaigns!$A$2:$A$51,0))),""))</f>
        <v/>
      </c>
      <c r="J104" s="30" t="str">
        <f aca="false">IF($A104="","",IFERROR(IF(INDEX(campaigns!$BE$2:$BE$51,MATCH($A104,campaigns!$A$2:$A$51,0))="","",INDEX(campaigns!$BE$2:$BE$51,MATCH($A104,campaigns!$A$2:$A$51,0))),""))</f>
        <v/>
      </c>
      <c r="K104" s="30" t="str">
        <f aca="false">IF($B104="","",IFERROR(IF(INDEX(offices!$O$2:$O$61,MATCH($B104,offices!$A$2:$A$61,0))="","",INDEX(offices!$O$2:$O$61,MATCH($B104,offices!$A$2:$A$61,0))),""))</f>
        <v/>
      </c>
      <c r="L104" s="30" t="str">
        <f aca="false">IF($A104="","",IF($Q104="N","",COUNTIFS($A$2:$A104,$A104,$Q$2:$Q104,"&lt;&gt;N")))</f>
        <v/>
      </c>
      <c r="M104" s="30" t="str">
        <f aca="false">IF(OR($A104="",$L104=""),"",IF(AND(config!$B$34="names_if_public",IFERROR(IF(INDEX(offices!$AG$2:$AG$61,MATCH($B104,offices!$A$2:$A$61,0))="","",INDEX(offices!$AG$2:$AG$61,MATCH($B104,offices!$A$2:$A$61,0))),"")="Y"),$K104,CHAR(64+$L104)))</f>
        <v/>
      </c>
      <c r="N104" s="30" t="str">
        <f aca="false">IF(OR($A104="",$I104=""),"",COUNTIFS(stops!$B$2:$B$151,$B104,stops!$P$2:$P$151,"&lt;"&amp;$I104,stops!$L$2:$L$151,"&lt;&gt;not_delivered")+1)</f>
        <v/>
      </c>
      <c r="O104" s="30" t="str">
        <f aca="false">IF($A104="","",IF(N($N104)&lt;=config!$B$29,"explicit","opt-out"))</f>
        <v/>
      </c>
      <c r="P104" s="30" t="str">
        <f aca="false">IF($A104="","",IF($O104="explicit",IF($D104="yes","Y",IF($D104="no","N","pending")),IF($D104="no","N",IF(AND($C104&lt;&gt;"",$I104&lt;&gt;"",$C104&lt;=WORKDAY(N($I104),-5,calendar!$A$2:$A$80)),"Y","pending"))))</f>
        <v/>
      </c>
      <c r="Q104" s="30" t="str">
        <f aca="false">IF($A104="","",IF($P104="N","N",IF($P104&lt;&gt;"Y","pending",IF(AND((COUNTIFS(stops!$A$2:$A$151,$H104,stops!$B$2:$B$151,$B104,stops!$L$2:$L$151,"declined")+COUNTIFS(stops!$A$2:$A$151,$H104,stops!$B$2:$B$151,$B104,stops!$L$2:$L$151,"building_refused")+COUNTIFS(stops!$A$2:$A$151,$H104,stops!$B$2:$B$151,$B104,stops!$L$2:$L$151,"not_delivered"))&gt;0,N($U104)=0),"N","Y"))))</f>
        <v/>
      </c>
      <c r="R104" s="30" t="str">
        <f aca="false">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30" t="str">
        <f aca="false">IF($A104="","",IF($G104&lt;&gt;"",$G104,IFERROR(IF(INDEX(offices!$AM$2:$AM$61,MATCH($B104,offices!$A$2:$A$61,0))="","",INDEX(offices!$AM$2:$AM$61,MATCH($B104,offices!$A$2:$A$61,0))),"")))</f>
        <v/>
      </c>
      <c r="T104" s="30" t="str">
        <f aca="false">IF($A104="","",$A104&amp;"."&amp;$B104)</f>
        <v/>
      </c>
      <c r="U104" s="30" t="str">
        <f aca="false">IF($A104="","",SUMIFS(inventory!$G$2:$G$801,inventory!$C$2:$C$801,$A104,inventory!$D$2:$D$801,$B104,inventory!$E$2:$E$801,"delivered"))</f>
        <v/>
      </c>
      <c r="V104" s="37" t="str">
        <f aca="false">IF($A104="","",IFERROR(1/(1/SUMPRODUCT(MAX((inventory!$C$2:$C$801=$A104)*(inventory!$D$2:$D$801=$B104)*(inventory!$E$2:$E$801="delivered")*(inventory!$A$2:$A$801+inventory!$B$2:$B$801)))),""))</f>
        <v/>
      </c>
      <c r="W104" s="30" t="str">
        <f aca="false">IF($A104="","",IFERROR(IF(INDEX(inventory!$J$2:$J$801,MATCH($A104&amp;"|"&amp;$B104&amp;"|delivered",inventory!$R$2:$R$801,0))="","",INDEX(inventory!$J$2:$J$801,MATCH($A104&amp;"|"&amp;$B104&amp;"|delivered",inventory!$R$2:$R$801,0))),""))</f>
        <v/>
      </c>
      <c r="X104" s="30" t="str">
        <f aca="false">IF($A104="","",IFERROR(IF(INDEX(photos!$H$2:$H$701,MATCH($A104&amp;"|"&amp;$B104&amp;"|placement|Y",photos!$R$2:$R$701,0))="","",INDEX(photos!$H$2:$H$701,MATCH($A104&amp;"|"&amp;$B104&amp;"|placement|Y",photos!$R$2:$R$701,0))),""))</f>
        <v/>
      </c>
      <c r="Y104" s="31" t="str">
        <f aca="false">IF($A104="","",IFERROR(IF(INDEX(photos!$E$2:$E$701,MATCH($A104&amp;"|"&amp;$B104&amp;"|placement|Y",photos!$R$2:$R$701,0))="","",INDEX(photos!$E$2:$E$701,MATCH($A104&amp;"|"&amp;$B104&amp;"|placement|Y",photos!$R$2:$R$701,0))),""))</f>
        <v/>
      </c>
      <c r="Z104" s="30" t="str">
        <f aca="false">IF($A104="","",IF(COUNTIFS(counts!$C$2:$C$701,$A104,counts!$D$2:$D$701,$B104,counts!$E$2:$E$701,"placed")=0,"",SUMIFS(counts!$F$2:$F$701,counts!$C$2:$C$701,$A104,counts!$D$2:$D$701,$B104,counts!$E$2:$E$701,"placed")))</f>
        <v/>
      </c>
      <c r="AA104" s="30" t="str">
        <f aca="false">IF($A104="","",IF($Y104="",0,N($Z104)))</f>
        <v/>
      </c>
      <c r="AB104" s="30" t="str">
        <f aca="false">IF($A104="","",IF(OR($Y104="",$I104=""),"N",IF($Y104&lt;=WORKDAY(N($I104),1,calendar!$A$2:$A$80),"Y","N")))</f>
        <v/>
      </c>
      <c r="AC104" s="33" t="str">
        <f aca="false">IF(OR($A104="",$V104="",$Y104=""),"",ROUND(($Y104+N(IFERROR(IF(INDEX(photos!$F$2:$F$701,MATCH($A104&amp;"|"&amp;$B104&amp;"|placement|Y",photos!$R$2:$R$701,0))="","",INDEX(photos!$F$2:$F$701,MATCH($A104&amp;"|"&amp;$B104&amp;"|placement|Y",photos!$R$2:$R$701,0))),""))-$V104)*24,1))</f>
        <v/>
      </c>
      <c r="AD104" s="30" t="str">
        <f aca="false">IF($A104="","",SUMIFS(inventory!$G$2:$G$801,inventory!$C$2:$C$801,$A104,inventory!$D$2:$D$801,$B104,inventory!$E$2:$E$801,"topped_up"))</f>
        <v/>
      </c>
      <c r="AE104" s="30" t="str">
        <f aca="false">IF($A104="","",IF(COUNTIFS(counts!$C$2:$C$701,$A104,counts!$D$2:$D$701,$B104,counts!$E$2:$E$701,"remaining_day3")=0,"",SUMIFS(counts!$F$2:$F$701,counts!$C$2:$C$701,$A104,counts!$D$2:$D$701,$B104,counts!$E$2:$E$701,"remaining_day3")))</f>
        <v/>
      </c>
      <c r="AF104" s="30" t="str">
        <f aca="false">IF($A104="","",IF(COUNTIFS(counts!$C$2:$C$701,$A104,counts!$D$2:$D$701,$B104,counts!$E$2:$E$701,"remaining_day5")=0,"",SUMIFS(counts!$F$2:$F$701,counts!$C$2:$C$701,$A104,counts!$D$2:$D$701,$B104,counts!$E$2:$E$701,"remaining_day5")))</f>
        <v/>
      </c>
      <c r="AG104" s="30" t="str">
        <f aca="false">IF(OR($A104="",$AF104=""),"",MAX(0,$AA104+$AD104-$AF104))</f>
        <v/>
      </c>
      <c r="AH104" s="30" t="str">
        <f aca="false">IF(OR($A104="",$AI104=""),"",IFERROR(IF(INDEX(photos!$H$2:$H$701,MATCH($A104&amp;"|"&amp;$B104&amp;"|later|Y|"&amp;$AI104,photos!$S$2:$S$701,0))="","",INDEX(photos!$H$2:$H$701,MATCH($A104&amp;"|"&amp;$B104&amp;"|later|Y|"&amp;$AI104,photos!$S$2:$S$701,0))),""))</f>
        <v/>
      </c>
      <c r="AI104" s="31" t="str">
        <f aca="false">IF($A104="","",IFERROR(1/(1/SUMPRODUCT(MAX((photos!$B$2:$B$701=$A104)*(photos!$C$2:$C$701=$B104)*(photos!$D$2:$D$701="later")*(photos!$O$2:$O$701="Y")*photos!$E$2:$E$701))),""))</f>
        <v/>
      </c>
      <c r="AJ104" s="30" t="str">
        <f aca="false">IF(OR($A104="",$AI104="",$I104=""),"",NETWORKDAYS($I104,$AI104,calendar!$A$2:$A$80))</f>
        <v/>
      </c>
      <c r="AK104" s="30" t="str">
        <f aca="false">IF($A104="","",IF(AND($X104&lt;&gt;"",$AH104&lt;&gt;""),"Y","N"))</f>
        <v/>
      </c>
      <c r="AL104" s="30" t="str">
        <f aca="true">IF(OR($A104="",$I104=""),"",IF($BC104="Y",SUMIFS(survey_frozen!$C$2:$C$251,survey_frozen!$P$2:$P$251,$A104&amp;"|"&amp;$B104),IFERROR(COUNTIFS(INDIRECT("'"&amp;$A104&amp;"'!$B$2:$B$501"),$T104,INDIRECT("'"&amp;$A104&amp;"'!$A$2:$A$501"),"&gt;="&amp;$I104,INDIRECT("'"&amp;$A104&amp;"'!$A$2:$A$501"),"&lt;"&amp;($BA104+1)),0)))</f>
        <v/>
      </c>
      <c r="AM104" s="30" t="str">
        <f aca="true">IF(OR($A104="",$I104=""),"",IF($BC104="Y",SUMIFS(survey_frozen!$D$2:$D$251,survey_frozen!$P$2:$P$251,$A104&amp;"|"&amp;$B104),IFERROR(COUNTIFS(INDIRECT("'"&amp;$A104&amp;"'!$B$2:$B$501"),$T104,INDIRECT("'"&amp;$A104&amp;"'!$A$2:$A$501"),"&gt;="&amp;$I104,INDIRECT("'"&amp;$A104&amp;"'!$A$2:$A$501"),"&lt;"&amp;($BA104+1),INDIRECT("'"&amp;$A104&amp;"'!$C$2:$C$501"),"Yes"),0)))</f>
        <v/>
      </c>
      <c r="AN104" s="30" t="str">
        <f aca="false">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30" t="str">
        <f aca="false">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30" t="str">
        <f aca="true">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30" t="str">
        <f aca="true">IF(OR($A104="",$I104=""),"",IF($BC104="Y",SUMIFS(survey_frozen!$E$2:$E$251,survey_frozen!$P$2:$P$251,$A104&amp;"|"&amp;$B104),IFERROR(COUNTIFS(INDIRECT("'"&amp;$A104&amp;"'!$B$2:$B$501"),$T104,INDIRECT("'"&amp;$A104&amp;"'!$A$2:$A$501"),"&gt;="&amp;$I104,INDIRECT("'"&amp;$A104&amp;"'!$A$2:$A$501"),"&lt;"&amp;($BA104+1),INDIRECT("'"&amp;$A104&amp;"'!$F$2:$F$501"),"Didn't see it"),0)))</f>
        <v/>
      </c>
      <c r="AR104" s="30" t="str">
        <f aca="true">IF(OR($A104="",$I104=""),"",IF($BC104="Y",SUMIFS(survey_frozen!$F$2:$F$251,survey_frozen!$P$2:$P$251,$A104&amp;"|"&amp;$B104),IFERROR(COUNTIFS(INDIRECT("'"&amp;$A104&amp;"'!$B$2:$B$501"),$T104,INDIRECT("'"&amp;$A104&amp;"'!$A$2:$A$501"),"&gt;="&amp;$I104,INDIRECT("'"&amp;$A104&amp;"'!$A$2:$A$501"),"&lt;"&amp;($BA104+1),INDIRECT("'"&amp;$A104&amp;"'!$F$2:$F$501"),"Not for me"),0)))</f>
        <v/>
      </c>
      <c r="AS104" s="30" t="str">
        <f aca="true">IF(OR($A104="",$I104=""),"",IF($BC104="Y",SUMIFS(survey_frozen!$G$2:$G$251,survey_frozen!$P$2:$P$251,$A104&amp;"|"&amp;$B104),IFERROR(COUNTIFS(INDIRECT("'"&amp;$A104&amp;"'!$B$2:$B$501"),$T104,INDIRECT("'"&amp;$A104&amp;"'!$A$2:$A$501"),"&gt;="&amp;$I104,INDIRECT("'"&amp;$A104&amp;"'!$A$2:$A$501"),"&lt;"&amp;($BA104+1),INDIRECT("'"&amp;$A104&amp;"'!$F$2:$F$501"),"Gone by the time I looked"),0)))</f>
        <v/>
      </c>
      <c r="AT104" s="30" t="str">
        <f aca="true">IF(OR($A104="",$I104=""),"",IF($BC104="Y",SUMIFS(survey_frozen!$H$2:$H$251,survey_frozen!$P$2:$P$251,$A104&amp;"|"&amp;$B104),IFERROR(COUNTIFS(INDIRECT("'"&amp;$A104&amp;"'!$B$2:$B$501"),$T104,INDIRECT("'"&amp;$A104&amp;"'!$A$2:$A$501"),"&gt;="&amp;$I104,INDIRECT("'"&amp;$A104&amp;"'!$A$2:$A$501"),"&lt;"&amp;($BA104+1),INDIRECT("'"&amp;$A104&amp;"'!$D$2:$D$501"),"&gt;=1"),0)))</f>
        <v/>
      </c>
      <c r="AU104" s="30" t="str">
        <f aca="true">IF(OR($A104="",$I104=""),"",IF($BC104="Y",SUMIFS(survey_frozen!$I$2:$I$251,survey_frozen!$P$2:$P$251,$A104&amp;"|"&amp;$B104),IFERROR(SUMIFS(INDIRECT("'"&amp;$A104&amp;"'!$D$2:$D$501"),INDIRECT("'"&amp;$A104&amp;"'!$B$2:$B$501"),$T104,INDIRECT("'"&amp;$A104&amp;"'!$A$2:$A$501"),"&gt;="&amp;$I104,INDIRECT("'"&amp;$A104&amp;"'!$A$2:$A$501"),"&lt;"&amp;($BA104+1)),0)))</f>
        <v/>
      </c>
      <c r="AV104" s="30" t="str">
        <f aca="true">IF(OR($A104="",$I104=""),"",IF($BC104="Y",SUMIFS(survey_frozen!$J$2:$J$251,survey_frozen!$P$2:$P$251,$A104&amp;"|"&amp;$B104),IFERROR(COUNTIFS(INDIRECT("'"&amp;$A104&amp;"'!$B$2:$B$501"),$T104,INDIRECT("'"&amp;$A104&amp;"'!$A$2:$A$501"),"&gt;="&amp;$I104,INDIRECT("'"&amp;$A104&amp;"'!$A$2:$A$501"),"&lt;"&amp;($BA104+1),INDIRECT("'"&amp;$A104&amp;"'!$E$2:$E$501"),"Yes"),0)))</f>
        <v/>
      </c>
      <c r="AW104" s="30" t="str">
        <f aca="true">IF(OR($A104="",$I104=""),"",IF($BC104="Y",SUMIFS(survey_frozen!$K$2:$K$251,survey_frozen!$P$2:$P$251,$A104&amp;"|"&amp;$B104),IFERROR(COUNTIFS(INDIRECT("'"&amp;$A104&amp;"'!$B$2:$B$501"),$T104,INDIRECT("'"&amp;$A104&amp;"'!$A$2:$A$501"),"&gt;="&amp;$I104,INDIRECT("'"&amp;$A104&amp;"'!$A$2:$A$501"),"&lt;"&amp;($BA104+1),INDIRECT("'"&amp;$A104&amp;"'!$E$2:$E$501"),"Maybe"),0)))</f>
        <v/>
      </c>
      <c r="AX104" s="30" t="str">
        <f aca="true">IF(OR($A104="",$I104=""),"",IF($BC104="Y",SUMIFS(survey_frozen!$L$2:$L$251,survey_frozen!$P$2:$P$251,$A104&amp;"|"&amp;$B104),IFERROR(COUNTIFS(INDIRECT("'"&amp;$A104&amp;"'!$B$2:$B$501"),$T104,INDIRECT("'"&amp;$A104&amp;"'!$A$2:$A$501"),"&gt;="&amp;$I104,INDIRECT("'"&amp;$A104&amp;"'!$A$2:$A$501"),"&lt;"&amp;($BA104+1),INDIRECT("'"&amp;$A104&amp;"'!$E$2:$E$501"),"No"),0)))</f>
        <v/>
      </c>
      <c r="AY104" s="30" t="str">
        <f aca="true">IF(OR($A104="",$I104=""),"",IF($BC104="Y",SUMIFS(survey_frozen!$M$2:$M$251,survey_frozen!$P$2:$P$251,$A104&amp;"|"&amp;$B104),IFERROR(COUNTIFS(INDIRECT("'"&amp;$A104&amp;"'!$B$2:$B$501"),$T104,INDIRECT("'"&amp;$A104&amp;"'!$A$2:$A$501"),"&gt;="&amp;$I104,INDIRECT("'"&amp;$A104&amp;"'!$A$2:$A$501"),"&lt;"&amp;($BA104+1),INDIRECT("'"&amp;$A104&amp;"'!$G$2:$G$501"),"&lt;&gt;"),0)))</f>
        <v/>
      </c>
      <c r="AZ104" s="30" t="str">
        <f aca="false">IF($A104="","",$A104&amp;"|"&amp;$L104)</f>
        <v/>
      </c>
      <c r="BA104" s="31" t="str">
        <f aca="false">IF($A104="","",IFERROR(IF(INDEX(drops!$R$2:$R$21,MATCH($H104,drops!$A$2:$A$21,0))="","",INDEX(drops!$R$2:$R$21,MATCH($H104,drops!$A$2:$A$21,0))),""))</f>
        <v/>
      </c>
      <c r="BB104" s="30" t="n">
        <f aca="false">IF(OR($A104="",$Q104&lt;&gt;"Y"),1000000,N($AL104))</f>
        <v>1000000</v>
      </c>
      <c r="BC104" s="30" t="str">
        <f aca="false">IF($A104="","",IF(COUNTIF(survey_frozen!$P$2:$P$251,$A104&amp;"|"&amp;$B104)&gt;0,"Y",""))</f>
        <v/>
      </c>
      <c r="BD104" s="30" t="str">
        <f aca="false">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ustomFormat="false" ht="15" hidden="false" customHeight="false" outlineLevel="0" collapsed="false">
      <c r="C105" s="11"/>
      <c r="D105" s="10"/>
      <c r="E105" s="11"/>
      <c r="H105" s="30" t="str">
        <f aca="false">IF($A105="","",IFERROR(IF(INDEX(campaigns!$B$2:$B$51,MATCH($A105,campaigns!$A$2:$A$51,0))="","",INDEX(campaigns!$B$2:$B$51,MATCH($A105,campaigns!$A$2:$A$51,0))),""))</f>
        <v/>
      </c>
      <c r="I105" s="31" t="str">
        <f aca="false">IF($A105="","",IFERROR(IF(INDEX(campaigns!$BG$2:$BG$51,MATCH($A105,campaigns!$A$2:$A$51,0))="","",INDEX(campaigns!$BG$2:$BG$51,MATCH($A105,campaigns!$A$2:$A$51,0))),""))</f>
        <v/>
      </c>
      <c r="J105" s="30" t="str">
        <f aca="false">IF($A105="","",IFERROR(IF(INDEX(campaigns!$BE$2:$BE$51,MATCH($A105,campaigns!$A$2:$A$51,0))="","",INDEX(campaigns!$BE$2:$BE$51,MATCH($A105,campaigns!$A$2:$A$51,0))),""))</f>
        <v/>
      </c>
      <c r="K105" s="30" t="str">
        <f aca="false">IF($B105="","",IFERROR(IF(INDEX(offices!$O$2:$O$61,MATCH($B105,offices!$A$2:$A$61,0))="","",INDEX(offices!$O$2:$O$61,MATCH($B105,offices!$A$2:$A$61,0))),""))</f>
        <v/>
      </c>
      <c r="L105" s="30" t="str">
        <f aca="false">IF($A105="","",IF($Q105="N","",COUNTIFS($A$2:$A105,$A105,$Q$2:$Q105,"&lt;&gt;N")))</f>
        <v/>
      </c>
      <c r="M105" s="30" t="str">
        <f aca="false">IF(OR($A105="",$L105=""),"",IF(AND(config!$B$34="names_if_public",IFERROR(IF(INDEX(offices!$AG$2:$AG$61,MATCH($B105,offices!$A$2:$A$61,0))="","",INDEX(offices!$AG$2:$AG$61,MATCH($B105,offices!$A$2:$A$61,0))),"")="Y"),$K105,CHAR(64+$L105)))</f>
        <v/>
      </c>
      <c r="N105" s="30" t="str">
        <f aca="false">IF(OR($A105="",$I105=""),"",COUNTIFS(stops!$B$2:$B$151,$B105,stops!$P$2:$P$151,"&lt;"&amp;$I105,stops!$L$2:$L$151,"&lt;&gt;not_delivered")+1)</f>
        <v/>
      </c>
      <c r="O105" s="30" t="str">
        <f aca="false">IF($A105="","",IF(N($N105)&lt;=config!$B$29,"explicit","opt-out"))</f>
        <v/>
      </c>
      <c r="P105" s="30" t="str">
        <f aca="false">IF($A105="","",IF($O105="explicit",IF($D105="yes","Y",IF($D105="no","N","pending")),IF($D105="no","N",IF(AND($C105&lt;&gt;"",$I105&lt;&gt;"",$C105&lt;=WORKDAY(N($I105),-5,calendar!$A$2:$A$80)),"Y","pending"))))</f>
        <v/>
      </c>
      <c r="Q105" s="30" t="str">
        <f aca="false">IF($A105="","",IF($P105="N","N",IF($P105&lt;&gt;"Y","pending",IF(AND((COUNTIFS(stops!$A$2:$A$151,$H105,stops!$B$2:$B$151,$B105,stops!$L$2:$L$151,"declined")+COUNTIFS(stops!$A$2:$A$151,$H105,stops!$B$2:$B$151,$B105,stops!$L$2:$L$151,"building_refused")+COUNTIFS(stops!$A$2:$A$151,$H105,stops!$B$2:$B$151,$B105,stops!$L$2:$L$151,"not_delivered"))&gt;0,N($U105)=0),"N","Y"))))</f>
        <v/>
      </c>
      <c r="R105" s="30" t="str">
        <f aca="false">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30" t="str">
        <f aca="false">IF($A105="","",IF($G105&lt;&gt;"",$G105,IFERROR(IF(INDEX(offices!$AM$2:$AM$61,MATCH($B105,offices!$A$2:$A$61,0))="","",INDEX(offices!$AM$2:$AM$61,MATCH($B105,offices!$A$2:$A$61,0))),"")))</f>
        <v/>
      </c>
      <c r="T105" s="30" t="str">
        <f aca="false">IF($A105="","",$A105&amp;"."&amp;$B105)</f>
        <v/>
      </c>
      <c r="U105" s="30" t="str">
        <f aca="false">IF($A105="","",SUMIFS(inventory!$G$2:$G$801,inventory!$C$2:$C$801,$A105,inventory!$D$2:$D$801,$B105,inventory!$E$2:$E$801,"delivered"))</f>
        <v/>
      </c>
      <c r="V105" s="37" t="str">
        <f aca="false">IF($A105="","",IFERROR(1/(1/SUMPRODUCT(MAX((inventory!$C$2:$C$801=$A105)*(inventory!$D$2:$D$801=$B105)*(inventory!$E$2:$E$801="delivered")*(inventory!$A$2:$A$801+inventory!$B$2:$B$801)))),""))</f>
        <v/>
      </c>
      <c r="W105" s="30" t="str">
        <f aca="false">IF($A105="","",IFERROR(IF(INDEX(inventory!$J$2:$J$801,MATCH($A105&amp;"|"&amp;$B105&amp;"|delivered",inventory!$R$2:$R$801,0))="","",INDEX(inventory!$J$2:$J$801,MATCH($A105&amp;"|"&amp;$B105&amp;"|delivered",inventory!$R$2:$R$801,0))),""))</f>
        <v/>
      </c>
      <c r="X105" s="30" t="str">
        <f aca="false">IF($A105="","",IFERROR(IF(INDEX(photos!$H$2:$H$701,MATCH($A105&amp;"|"&amp;$B105&amp;"|placement|Y",photos!$R$2:$R$701,0))="","",INDEX(photos!$H$2:$H$701,MATCH($A105&amp;"|"&amp;$B105&amp;"|placement|Y",photos!$R$2:$R$701,0))),""))</f>
        <v/>
      </c>
      <c r="Y105" s="31" t="str">
        <f aca="false">IF($A105="","",IFERROR(IF(INDEX(photos!$E$2:$E$701,MATCH($A105&amp;"|"&amp;$B105&amp;"|placement|Y",photos!$R$2:$R$701,0))="","",INDEX(photos!$E$2:$E$701,MATCH($A105&amp;"|"&amp;$B105&amp;"|placement|Y",photos!$R$2:$R$701,0))),""))</f>
        <v/>
      </c>
      <c r="Z105" s="30" t="str">
        <f aca="false">IF($A105="","",IF(COUNTIFS(counts!$C$2:$C$701,$A105,counts!$D$2:$D$701,$B105,counts!$E$2:$E$701,"placed")=0,"",SUMIFS(counts!$F$2:$F$701,counts!$C$2:$C$701,$A105,counts!$D$2:$D$701,$B105,counts!$E$2:$E$701,"placed")))</f>
        <v/>
      </c>
      <c r="AA105" s="30" t="str">
        <f aca="false">IF($A105="","",IF($Y105="",0,N($Z105)))</f>
        <v/>
      </c>
      <c r="AB105" s="30" t="str">
        <f aca="false">IF($A105="","",IF(OR($Y105="",$I105=""),"N",IF($Y105&lt;=WORKDAY(N($I105),1,calendar!$A$2:$A$80),"Y","N")))</f>
        <v/>
      </c>
      <c r="AC105" s="33" t="str">
        <f aca="false">IF(OR($A105="",$V105="",$Y105=""),"",ROUND(($Y105+N(IFERROR(IF(INDEX(photos!$F$2:$F$701,MATCH($A105&amp;"|"&amp;$B105&amp;"|placement|Y",photos!$R$2:$R$701,0))="","",INDEX(photos!$F$2:$F$701,MATCH($A105&amp;"|"&amp;$B105&amp;"|placement|Y",photos!$R$2:$R$701,0))),""))-$V105)*24,1))</f>
        <v/>
      </c>
      <c r="AD105" s="30" t="str">
        <f aca="false">IF($A105="","",SUMIFS(inventory!$G$2:$G$801,inventory!$C$2:$C$801,$A105,inventory!$D$2:$D$801,$B105,inventory!$E$2:$E$801,"topped_up"))</f>
        <v/>
      </c>
      <c r="AE105" s="30" t="str">
        <f aca="false">IF($A105="","",IF(COUNTIFS(counts!$C$2:$C$701,$A105,counts!$D$2:$D$701,$B105,counts!$E$2:$E$701,"remaining_day3")=0,"",SUMIFS(counts!$F$2:$F$701,counts!$C$2:$C$701,$A105,counts!$D$2:$D$701,$B105,counts!$E$2:$E$701,"remaining_day3")))</f>
        <v/>
      </c>
      <c r="AF105" s="30" t="str">
        <f aca="false">IF($A105="","",IF(COUNTIFS(counts!$C$2:$C$701,$A105,counts!$D$2:$D$701,$B105,counts!$E$2:$E$701,"remaining_day5")=0,"",SUMIFS(counts!$F$2:$F$701,counts!$C$2:$C$701,$A105,counts!$D$2:$D$701,$B105,counts!$E$2:$E$701,"remaining_day5")))</f>
        <v/>
      </c>
      <c r="AG105" s="30" t="str">
        <f aca="false">IF(OR($A105="",$AF105=""),"",MAX(0,$AA105+$AD105-$AF105))</f>
        <v/>
      </c>
      <c r="AH105" s="30" t="str">
        <f aca="false">IF(OR($A105="",$AI105=""),"",IFERROR(IF(INDEX(photos!$H$2:$H$701,MATCH($A105&amp;"|"&amp;$B105&amp;"|later|Y|"&amp;$AI105,photos!$S$2:$S$701,0))="","",INDEX(photos!$H$2:$H$701,MATCH($A105&amp;"|"&amp;$B105&amp;"|later|Y|"&amp;$AI105,photos!$S$2:$S$701,0))),""))</f>
        <v/>
      </c>
      <c r="AI105" s="31" t="str">
        <f aca="false">IF($A105="","",IFERROR(1/(1/SUMPRODUCT(MAX((photos!$B$2:$B$701=$A105)*(photos!$C$2:$C$701=$B105)*(photos!$D$2:$D$701="later")*(photos!$O$2:$O$701="Y")*photos!$E$2:$E$701))),""))</f>
        <v/>
      </c>
      <c r="AJ105" s="30" t="str">
        <f aca="false">IF(OR($A105="",$AI105="",$I105=""),"",NETWORKDAYS($I105,$AI105,calendar!$A$2:$A$80))</f>
        <v/>
      </c>
      <c r="AK105" s="30" t="str">
        <f aca="false">IF($A105="","",IF(AND($X105&lt;&gt;"",$AH105&lt;&gt;""),"Y","N"))</f>
        <v/>
      </c>
      <c r="AL105" s="30" t="str">
        <f aca="true">IF(OR($A105="",$I105=""),"",IF($BC105="Y",SUMIFS(survey_frozen!$C$2:$C$251,survey_frozen!$P$2:$P$251,$A105&amp;"|"&amp;$B105),IFERROR(COUNTIFS(INDIRECT("'"&amp;$A105&amp;"'!$B$2:$B$501"),$T105,INDIRECT("'"&amp;$A105&amp;"'!$A$2:$A$501"),"&gt;="&amp;$I105,INDIRECT("'"&amp;$A105&amp;"'!$A$2:$A$501"),"&lt;"&amp;($BA105+1)),0)))</f>
        <v/>
      </c>
      <c r="AM105" s="30" t="str">
        <f aca="true">IF(OR($A105="",$I105=""),"",IF($BC105="Y",SUMIFS(survey_frozen!$D$2:$D$251,survey_frozen!$P$2:$P$251,$A105&amp;"|"&amp;$B105),IFERROR(COUNTIFS(INDIRECT("'"&amp;$A105&amp;"'!$B$2:$B$501"),$T105,INDIRECT("'"&amp;$A105&amp;"'!$A$2:$A$501"),"&gt;="&amp;$I105,INDIRECT("'"&amp;$A105&amp;"'!$A$2:$A$501"),"&lt;"&amp;($BA105+1),INDIRECT("'"&amp;$A105&amp;"'!$C$2:$C$501"),"Yes"),0)))</f>
        <v/>
      </c>
      <c r="AN105" s="30" t="str">
        <f aca="false">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30" t="str">
        <f aca="false">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30" t="str">
        <f aca="true">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30" t="str">
        <f aca="true">IF(OR($A105="",$I105=""),"",IF($BC105="Y",SUMIFS(survey_frozen!$E$2:$E$251,survey_frozen!$P$2:$P$251,$A105&amp;"|"&amp;$B105),IFERROR(COUNTIFS(INDIRECT("'"&amp;$A105&amp;"'!$B$2:$B$501"),$T105,INDIRECT("'"&amp;$A105&amp;"'!$A$2:$A$501"),"&gt;="&amp;$I105,INDIRECT("'"&amp;$A105&amp;"'!$A$2:$A$501"),"&lt;"&amp;($BA105+1),INDIRECT("'"&amp;$A105&amp;"'!$F$2:$F$501"),"Didn't see it"),0)))</f>
        <v/>
      </c>
      <c r="AR105" s="30" t="str">
        <f aca="true">IF(OR($A105="",$I105=""),"",IF($BC105="Y",SUMIFS(survey_frozen!$F$2:$F$251,survey_frozen!$P$2:$P$251,$A105&amp;"|"&amp;$B105),IFERROR(COUNTIFS(INDIRECT("'"&amp;$A105&amp;"'!$B$2:$B$501"),$T105,INDIRECT("'"&amp;$A105&amp;"'!$A$2:$A$501"),"&gt;="&amp;$I105,INDIRECT("'"&amp;$A105&amp;"'!$A$2:$A$501"),"&lt;"&amp;($BA105+1),INDIRECT("'"&amp;$A105&amp;"'!$F$2:$F$501"),"Not for me"),0)))</f>
        <v/>
      </c>
      <c r="AS105" s="30" t="str">
        <f aca="true">IF(OR($A105="",$I105=""),"",IF($BC105="Y",SUMIFS(survey_frozen!$G$2:$G$251,survey_frozen!$P$2:$P$251,$A105&amp;"|"&amp;$B105),IFERROR(COUNTIFS(INDIRECT("'"&amp;$A105&amp;"'!$B$2:$B$501"),$T105,INDIRECT("'"&amp;$A105&amp;"'!$A$2:$A$501"),"&gt;="&amp;$I105,INDIRECT("'"&amp;$A105&amp;"'!$A$2:$A$501"),"&lt;"&amp;($BA105+1),INDIRECT("'"&amp;$A105&amp;"'!$F$2:$F$501"),"Gone by the time I looked"),0)))</f>
        <v/>
      </c>
      <c r="AT105" s="30" t="str">
        <f aca="true">IF(OR($A105="",$I105=""),"",IF($BC105="Y",SUMIFS(survey_frozen!$H$2:$H$251,survey_frozen!$P$2:$P$251,$A105&amp;"|"&amp;$B105),IFERROR(COUNTIFS(INDIRECT("'"&amp;$A105&amp;"'!$B$2:$B$501"),$T105,INDIRECT("'"&amp;$A105&amp;"'!$A$2:$A$501"),"&gt;="&amp;$I105,INDIRECT("'"&amp;$A105&amp;"'!$A$2:$A$501"),"&lt;"&amp;($BA105+1),INDIRECT("'"&amp;$A105&amp;"'!$D$2:$D$501"),"&gt;=1"),0)))</f>
        <v/>
      </c>
      <c r="AU105" s="30" t="str">
        <f aca="true">IF(OR($A105="",$I105=""),"",IF($BC105="Y",SUMIFS(survey_frozen!$I$2:$I$251,survey_frozen!$P$2:$P$251,$A105&amp;"|"&amp;$B105),IFERROR(SUMIFS(INDIRECT("'"&amp;$A105&amp;"'!$D$2:$D$501"),INDIRECT("'"&amp;$A105&amp;"'!$B$2:$B$501"),$T105,INDIRECT("'"&amp;$A105&amp;"'!$A$2:$A$501"),"&gt;="&amp;$I105,INDIRECT("'"&amp;$A105&amp;"'!$A$2:$A$501"),"&lt;"&amp;($BA105+1)),0)))</f>
        <v/>
      </c>
      <c r="AV105" s="30" t="str">
        <f aca="true">IF(OR($A105="",$I105=""),"",IF($BC105="Y",SUMIFS(survey_frozen!$J$2:$J$251,survey_frozen!$P$2:$P$251,$A105&amp;"|"&amp;$B105),IFERROR(COUNTIFS(INDIRECT("'"&amp;$A105&amp;"'!$B$2:$B$501"),$T105,INDIRECT("'"&amp;$A105&amp;"'!$A$2:$A$501"),"&gt;="&amp;$I105,INDIRECT("'"&amp;$A105&amp;"'!$A$2:$A$501"),"&lt;"&amp;($BA105+1),INDIRECT("'"&amp;$A105&amp;"'!$E$2:$E$501"),"Yes"),0)))</f>
        <v/>
      </c>
      <c r="AW105" s="30" t="str">
        <f aca="true">IF(OR($A105="",$I105=""),"",IF($BC105="Y",SUMIFS(survey_frozen!$K$2:$K$251,survey_frozen!$P$2:$P$251,$A105&amp;"|"&amp;$B105),IFERROR(COUNTIFS(INDIRECT("'"&amp;$A105&amp;"'!$B$2:$B$501"),$T105,INDIRECT("'"&amp;$A105&amp;"'!$A$2:$A$501"),"&gt;="&amp;$I105,INDIRECT("'"&amp;$A105&amp;"'!$A$2:$A$501"),"&lt;"&amp;($BA105+1),INDIRECT("'"&amp;$A105&amp;"'!$E$2:$E$501"),"Maybe"),0)))</f>
        <v/>
      </c>
      <c r="AX105" s="30" t="str">
        <f aca="true">IF(OR($A105="",$I105=""),"",IF($BC105="Y",SUMIFS(survey_frozen!$L$2:$L$251,survey_frozen!$P$2:$P$251,$A105&amp;"|"&amp;$B105),IFERROR(COUNTIFS(INDIRECT("'"&amp;$A105&amp;"'!$B$2:$B$501"),$T105,INDIRECT("'"&amp;$A105&amp;"'!$A$2:$A$501"),"&gt;="&amp;$I105,INDIRECT("'"&amp;$A105&amp;"'!$A$2:$A$501"),"&lt;"&amp;($BA105+1),INDIRECT("'"&amp;$A105&amp;"'!$E$2:$E$501"),"No"),0)))</f>
        <v/>
      </c>
      <c r="AY105" s="30" t="str">
        <f aca="true">IF(OR($A105="",$I105=""),"",IF($BC105="Y",SUMIFS(survey_frozen!$M$2:$M$251,survey_frozen!$P$2:$P$251,$A105&amp;"|"&amp;$B105),IFERROR(COUNTIFS(INDIRECT("'"&amp;$A105&amp;"'!$B$2:$B$501"),$T105,INDIRECT("'"&amp;$A105&amp;"'!$A$2:$A$501"),"&gt;="&amp;$I105,INDIRECT("'"&amp;$A105&amp;"'!$A$2:$A$501"),"&lt;"&amp;($BA105+1),INDIRECT("'"&amp;$A105&amp;"'!$G$2:$G$501"),"&lt;&gt;"),0)))</f>
        <v/>
      </c>
      <c r="AZ105" s="30" t="str">
        <f aca="false">IF($A105="","",$A105&amp;"|"&amp;$L105)</f>
        <v/>
      </c>
      <c r="BA105" s="31" t="str">
        <f aca="false">IF($A105="","",IFERROR(IF(INDEX(drops!$R$2:$R$21,MATCH($H105,drops!$A$2:$A$21,0))="","",INDEX(drops!$R$2:$R$21,MATCH($H105,drops!$A$2:$A$21,0))),""))</f>
        <v/>
      </c>
      <c r="BB105" s="30" t="n">
        <f aca="false">IF(OR($A105="",$Q105&lt;&gt;"Y"),1000000,N($AL105))</f>
        <v>1000000</v>
      </c>
      <c r="BC105" s="30" t="str">
        <f aca="false">IF($A105="","",IF(COUNTIF(survey_frozen!$P$2:$P$251,$A105&amp;"|"&amp;$B105)&gt;0,"Y",""))</f>
        <v/>
      </c>
      <c r="BD105" s="30" t="str">
        <f aca="false">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ustomFormat="false" ht="15" hidden="false" customHeight="false" outlineLevel="0" collapsed="false">
      <c r="C106" s="11"/>
      <c r="D106" s="10"/>
      <c r="E106" s="11"/>
      <c r="H106" s="30" t="str">
        <f aca="false">IF($A106="","",IFERROR(IF(INDEX(campaigns!$B$2:$B$51,MATCH($A106,campaigns!$A$2:$A$51,0))="","",INDEX(campaigns!$B$2:$B$51,MATCH($A106,campaigns!$A$2:$A$51,0))),""))</f>
        <v/>
      </c>
      <c r="I106" s="31" t="str">
        <f aca="false">IF($A106="","",IFERROR(IF(INDEX(campaigns!$BG$2:$BG$51,MATCH($A106,campaigns!$A$2:$A$51,0))="","",INDEX(campaigns!$BG$2:$BG$51,MATCH($A106,campaigns!$A$2:$A$51,0))),""))</f>
        <v/>
      </c>
      <c r="J106" s="30" t="str">
        <f aca="false">IF($A106="","",IFERROR(IF(INDEX(campaigns!$BE$2:$BE$51,MATCH($A106,campaigns!$A$2:$A$51,0))="","",INDEX(campaigns!$BE$2:$BE$51,MATCH($A106,campaigns!$A$2:$A$51,0))),""))</f>
        <v/>
      </c>
      <c r="K106" s="30" t="str">
        <f aca="false">IF($B106="","",IFERROR(IF(INDEX(offices!$O$2:$O$61,MATCH($B106,offices!$A$2:$A$61,0))="","",INDEX(offices!$O$2:$O$61,MATCH($B106,offices!$A$2:$A$61,0))),""))</f>
        <v/>
      </c>
      <c r="L106" s="30" t="str">
        <f aca="false">IF($A106="","",IF($Q106="N","",COUNTIFS($A$2:$A106,$A106,$Q$2:$Q106,"&lt;&gt;N")))</f>
        <v/>
      </c>
      <c r="M106" s="30" t="str">
        <f aca="false">IF(OR($A106="",$L106=""),"",IF(AND(config!$B$34="names_if_public",IFERROR(IF(INDEX(offices!$AG$2:$AG$61,MATCH($B106,offices!$A$2:$A$61,0))="","",INDEX(offices!$AG$2:$AG$61,MATCH($B106,offices!$A$2:$A$61,0))),"")="Y"),$K106,CHAR(64+$L106)))</f>
        <v/>
      </c>
      <c r="N106" s="30" t="str">
        <f aca="false">IF(OR($A106="",$I106=""),"",COUNTIFS(stops!$B$2:$B$151,$B106,stops!$P$2:$P$151,"&lt;"&amp;$I106,stops!$L$2:$L$151,"&lt;&gt;not_delivered")+1)</f>
        <v/>
      </c>
      <c r="O106" s="30" t="str">
        <f aca="false">IF($A106="","",IF(N($N106)&lt;=config!$B$29,"explicit","opt-out"))</f>
        <v/>
      </c>
      <c r="P106" s="30" t="str">
        <f aca="false">IF($A106="","",IF($O106="explicit",IF($D106="yes","Y",IF($D106="no","N","pending")),IF($D106="no","N",IF(AND($C106&lt;&gt;"",$I106&lt;&gt;"",$C106&lt;=WORKDAY(N($I106),-5,calendar!$A$2:$A$80)),"Y","pending"))))</f>
        <v/>
      </c>
      <c r="Q106" s="30" t="str">
        <f aca="false">IF($A106="","",IF($P106="N","N",IF($P106&lt;&gt;"Y","pending",IF(AND((COUNTIFS(stops!$A$2:$A$151,$H106,stops!$B$2:$B$151,$B106,stops!$L$2:$L$151,"declined")+COUNTIFS(stops!$A$2:$A$151,$H106,stops!$B$2:$B$151,$B106,stops!$L$2:$L$151,"building_refused")+COUNTIFS(stops!$A$2:$A$151,$H106,stops!$B$2:$B$151,$B106,stops!$L$2:$L$151,"not_delivered"))&gt;0,N($U106)=0),"N","Y"))))</f>
        <v/>
      </c>
      <c r="R106" s="30" t="str">
        <f aca="false">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30" t="str">
        <f aca="false">IF($A106="","",IF($G106&lt;&gt;"",$G106,IFERROR(IF(INDEX(offices!$AM$2:$AM$61,MATCH($B106,offices!$A$2:$A$61,0))="","",INDEX(offices!$AM$2:$AM$61,MATCH($B106,offices!$A$2:$A$61,0))),"")))</f>
        <v/>
      </c>
      <c r="T106" s="30" t="str">
        <f aca="false">IF($A106="","",$A106&amp;"."&amp;$B106)</f>
        <v/>
      </c>
      <c r="U106" s="30" t="str">
        <f aca="false">IF($A106="","",SUMIFS(inventory!$G$2:$G$801,inventory!$C$2:$C$801,$A106,inventory!$D$2:$D$801,$B106,inventory!$E$2:$E$801,"delivered"))</f>
        <v/>
      </c>
      <c r="V106" s="37" t="str">
        <f aca="false">IF($A106="","",IFERROR(1/(1/SUMPRODUCT(MAX((inventory!$C$2:$C$801=$A106)*(inventory!$D$2:$D$801=$B106)*(inventory!$E$2:$E$801="delivered")*(inventory!$A$2:$A$801+inventory!$B$2:$B$801)))),""))</f>
        <v/>
      </c>
      <c r="W106" s="30" t="str">
        <f aca="false">IF($A106="","",IFERROR(IF(INDEX(inventory!$J$2:$J$801,MATCH($A106&amp;"|"&amp;$B106&amp;"|delivered",inventory!$R$2:$R$801,0))="","",INDEX(inventory!$J$2:$J$801,MATCH($A106&amp;"|"&amp;$B106&amp;"|delivered",inventory!$R$2:$R$801,0))),""))</f>
        <v/>
      </c>
      <c r="X106" s="30" t="str">
        <f aca="false">IF($A106="","",IFERROR(IF(INDEX(photos!$H$2:$H$701,MATCH($A106&amp;"|"&amp;$B106&amp;"|placement|Y",photos!$R$2:$R$701,0))="","",INDEX(photos!$H$2:$H$701,MATCH($A106&amp;"|"&amp;$B106&amp;"|placement|Y",photos!$R$2:$R$701,0))),""))</f>
        <v/>
      </c>
      <c r="Y106" s="31" t="str">
        <f aca="false">IF($A106="","",IFERROR(IF(INDEX(photos!$E$2:$E$701,MATCH($A106&amp;"|"&amp;$B106&amp;"|placement|Y",photos!$R$2:$R$701,0))="","",INDEX(photos!$E$2:$E$701,MATCH($A106&amp;"|"&amp;$B106&amp;"|placement|Y",photos!$R$2:$R$701,0))),""))</f>
        <v/>
      </c>
      <c r="Z106" s="30" t="str">
        <f aca="false">IF($A106="","",IF(COUNTIFS(counts!$C$2:$C$701,$A106,counts!$D$2:$D$701,$B106,counts!$E$2:$E$701,"placed")=0,"",SUMIFS(counts!$F$2:$F$701,counts!$C$2:$C$701,$A106,counts!$D$2:$D$701,$B106,counts!$E$2:$E$701,"placed")))</f>
        <v/>
      </c>
      <c r="AA106" s="30" t="str">
        <f aca="false">IF($A106="","",IF($Y106="",0,N($Z106)))</f>
        <v/>
      </c>
      <c r="AB106" s="30" t="str">
        <f aca="false">IF($A106="","",IF(OR($Y106="",$I106=""),"N",IF($Y106&lt;=WORKDAY(N($I106),1,calendar!$A$2:$A$80),"Y","N")))</f>
        <v/>
      </c>
      <c r="AC106" s="33" t="str">
        <f aca="false">IF(OR($A106="",$V106="",$Y106=""),"",ROUND(($Y106+N(IFERROR(IF(INDEX(photos!$F$2:$F$701,MATCH($A106&amp;"|"&amp;$B106&amp;"|placement|Y",photos!$R$2:$R$701,0))="","",INDEX(photos!$F$2:$F$701,MATCH($A106&amp;"|"&amp;$B106&amp;"|placement|Y",photos!$R$2:$R$701,0))),""))-$V106)*24,1))</f>
        <v/>
      </c>
      <c r="AD106" s="30" t="str">
        <f aca="false">IF($A106="","",SUMIFS(inventory!$G$2:$G$801,inventory!$C$2:$C$801,$A106,inventory!$D$2:$D$801,$B106,inventory!$E$2:$E$801,"topped_up"))</f>
        <v/>
      </c>
      <c r="AE106" s="30" t="str">
        <f aca="false">IF($A106="","",IF(COUNTIFS(counts!$C$2:$C$701,$A106,counts!$D$2:$D$701,$B106,counts!$E$2:$E$701,"remaining_day3")=0,"",SUMIFS(counts!$F$2:$F$701,counts!$C$2:$C$701,$A106,counts!$D$2:$D$701,$B106,counts!$E$2:$E$701,"remaining_day3")))</f>
        <v/>
      </c>
      <c r="AF106" s="30" t="str">
        <f aca="false">IF($A106="","",IF(COUNTIFS(counts!$C$2:$C$701,$A106,counts!$D$2:$D$701,$B106,counts!$E$2:$E$701,"remaining_day5")=0,"",SUMIFS(counts!$F$2:$F$701,counts!$C$2:$C$701,$A106,counts!$D$2:$D$701,$B106,counts!$E$2:$E$701,"remaining_day5")))</f>
        <v/>
      </c>
      <c r="AG106" s="30" t="str">
        <f aca="false">IF(OR($A106="",$AF106=""),"",MAX(0,$AA106+$AD106-$AF106))</f>
        <v/>
      </c>
      <c r="AH106" s="30" t="str">
        <f aca="false">IF(OR($A106="",$AI106=""),"",IFERROR(IF(INDEX(photos!$H$2:$H$701,MATCH($A106&amp;"|"&amp;$B106&amp;"|later|Y|"&amp;$AI106,photos!$S$2:$S$701,0))="","",INDEX(photos!$H$2:$H$701,MATCH($A106&amp;"|"&amp;$B106&amp;"|later|Y|"&amp;$AI106,photos!$S$2:$S$701,0))),""))</f>
        <v/>
      </c>
      <c r="AI106" s="31" t="str">
        <f aca="false">IF($A106="","",IFERROR(1/(1/SUMPRODUCT(MAX((photos!$B$2:$B$701=$A106)*(photos!$C$2:$C$701=$B106)*(photos!$D$2:$D$701="later")*(photos!$O$2:$O$701="Y")*photos!$E$2:$E$701))),""))</f>
        <v/>
      </c>
      <c r="AJ106" s="30" t="str">
        <f aca="false">IF(OR($A106="",$AI106="",$I106=""),"",NETWORKDAYS($I106,$AI106,calendar!$A$2:$A$80))</f>
        <v/>
      </c>
      <c r="AK106" s="30" t="str">
        <f aca="false">IF($A106="","",IF(AND($X106&lt;&gt;"",$AH106&lt;&gt;""),"Y","N"))</f>
        <v/>
      </c>
      <c r="AL106" s="30" t="str">
        <f aca="true">IF(OR($A106="",$I106=""),"",IF($BC106="Y",SUMIFS(survey_frozen!$C$2:$C$251,survey_frozen!$P$2:$P$251,$A106&amp;"|"&amp;$B106),IFERROR(COUNTIFS(INDIRECT("'"&amp;$A106&amp;"'!$B$2:$B$501"),$T106,INDIRECT("'"&amp;$A106&amp;"'!$A$2:$A$501"),"&gt;="&amp;$I106,INDIRECT("'"&amp;$A106&amp;"'!$A$2:$A$501"),"&lt;"&amp;($BA106+1)),0)))</f>
        <v/>
      </c>
      <c r="AM106" s="30" t="str">
        <f aca="true">IF(OR($A106="",$I106=""),"",IF($BC106="Y",SUMIFS(survey_frozen!$D$2:$D$251,survey_frozen!$P$2:$P$251,$A106&amp;"|"&amp;$B106),IFERROR(COUNTIFS(INDIRECT("'"&amp;$A106&amp;"'!$B$2:$B$501"),$T106,INDIRECT("'"&amp;$A106&amp;"'!$A$2:$A$501"),"&gt;="&amp;$I106,INDIRECT("'"&amp;$A106&amp;"'!$A$2:$A$501"),"&lt;"&amp;($BA106+1),INDIRECT("'"&amp;$A106&amp;"'!$C$2:$C$501"),"Yes"),0)))</f>
        <v/>
      </c>
      <c r="AN106" s="30" t="str">
        <f aca="false">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30" t="str">
        <f aca="false">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30" t="str">
        <f aca="true">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30" t="str">
        <f aca="true">IF(OR($A106="",$I106=""),"",IF($BC106="Y",SUMIFS(survey_frozen!$E$2:$E$251,survey_frozen!$P$2:$P$251,$A106&amp;"|"&amp;$B106),IFERROR(COUNTIFS(INDIRECT("'"&amp;$A106&amp;"'!$B$2:$B$501"),$T106,INDIRECT("'"&amp;$A106&amp;"'!$A$2:$A$501"),"&gt;="&amp;$I106,INDIRECT("'"&amp;$A106&amp;"'!$A$2:$A$501"),"&lt;"&amp;($BA106+1),INDIRECT("'"&amp;$A106&amp;"'!$F$2:$F$501"),"Didn't see it"),0)))</f>
        <v/>
      </c>
      <c r="AR106" s="30" t="str">
        <f aca="true">IF(OR($A106="",$I106=""),"",IF($BC106="Y",SUMIFS(survey_frozen!$F$2:$F$251,survey_frozen!$P$2:$P$251,$A106&amp;"|"&amp;$B106),IFERROR(COUNTIFS(INDIRECT("'"&amp;$A106&amp;"'!$B$2:$B$501"),$T106,INDIRECT("'"&amp;$A106&amp;"'!$A$2:$A$501"),"&gt;="&amp;$I106,INDIRECT("'"&amp;$A106&amp;"'!$A$2:$A$501"),"&lt;"&amp;($BA106+1),INDIRECT("'"&amp;$A106&amp;"'!$F$2:$F$501"),"Not for me"),0)))</f>
        <v/>
      </c>
      <c r="AS106" s="30" t="str">
        <f aca="true">IF(OR($A106="",$I106=""),"",IF($BC106="Y",SUMIFS(survey_frozen!$G$2:$G$251,survey_frozen!$P$2:$P$251,$A106&amp;"|"&amp;$B106),IFERROR(COUNTIFS(INDIRECT("'"&amp;$A106&amp;"'!$B$2:$B$501"),$T106,INDIRECT("'"&amp;$A106&amp;"'!$A$2:$A$501"),"&gt;="&amp;$I106,INDIRECT("'"&amp;$A106&amp;"'!$A$2:$A$501"),"&lt;"&amp;($BA106+1),INDIRECT("'"&amp;$A106&amp;"'!$F$2:$F$501"),"Gone by the time I looked"),0)))</f>
        <v/>
      </c>
      <c r="AT106" s="30" t="str">
        <f aca="true">IF(OR($A106="",$I106=""),"",IF($BC106="Y",SUMIFS(survey_frozen!$H$2:$H$251,survey_frozen!$P$2:$P$251,$A106&amp;"|"&amp;$B106),IFERROR(COUNTIFS(INDIRECT("'"&amp;$A106&amp;"'!$B$2:$B$501"),$T106,INDIRECT("'"&amp;$A106&amp;"'!$A$2:$A$501"),"&gt;="&amp;$I106,INDIRECT("'"&amp;$A106&amp;"'!$A$2:$A$501"),"&lt;"&amp;($BA106+1),INDIRECT("'"&amp;$A106&amp;"'!$D$2:$D$501"),"&gt;=1"),0)))</f>
        <v/>
      </c>
      <c r="AU106" s="30" t="str">
        <f aca="true">IF(OR($A106="",$I106=""),"",IF($BC106="Y",SUMIFS(survey_frozen!$I$2:$I$251,survey_frozen!$P$2:$P$251,$A106&amp;"|"&amp;$B106),IFERROR(SUMIFS(INDIRECT("'"&amp;$A106&amp;"'!$D$2:$D$501"),INDIRECT("'"&amp;$A106&amp;"'!$B$2:$B$501"),$T106,INDIRECT("'"&amp;$A106&amp;"'!$A$2:$A$501"),"&gt;="&amp;$I106,INDIRECT("'"&amp;$A106&amp;"'!$A$2:$A$501"),"&lt;"&amp;($BA106+1)),0)))</f>
        <v/>
      </c>
      <c r="AV106" s="30" t="str">
        <f aca="true">IF(OR($A106="",$I106=""),"",IF($BC106="Y",SUMIFS(survey_frozen!$J$2:$J$251,survey_frozen!$P$2:$P$251,$A106&amp;"|"&amp;$B106),IFERROR(COUNTIFS(INDIRECT("'"&amp;$A106&amp;"'!$B$2:$B$501"),$T106,INDIRECT("'"&amp;$A106&amp;"'!$A$2:$A$501"),"&gt;="&amp;$I106,INDIRECT("'"&amp;$A106&amp;"'!$A$2:$A$501"),"&lt;"&amp;($BA106+1),INDIRECT("'"&amp;$A106&amp;"'!$E$2:$E$501"),"Yes"),0)))</f>
        <v/>
      </c>
      <c r="AW106" s="30" t="str">
        <f aca="true">IF(OR($A106="",$I106=""),"",IF($BC106="Y",SUMIFS(survey_frozen!$K$2:$K$251,survey_frozen!$P$2:$P$251,$A106&amp;"|"&amp;$B106),IFERROR(COUNTIFS(INDIRECT("'"&amp;$A106&amp;"'!$B$2:$B$501"),$T106,INDIRECT("'"&amp;$A106&amp;"'!$A$2:$A$501"),"&gt;="&amp;$I106,INDIRECT("'"&amp;$A106&amp;"'!$A$2:$A$501"),"&lt;"&amp;($BA106+1),INDIRECT("'"&amp;$A106&amp;"'!$E$2:$E$501"),"Maybe"),0)))</f>
        <v/>
      </c>
      <c r="AX106" s="30" t="str">
        <f aca="true">IF(OR($A106="",$I106=""),"",IF($BC106="Y",SUMIFS(survey_frozen!$L$2:$L$251,survey_frozen!$P$2:$P$251,$A106&amp;"|"&amp;$B106),IFERROR(COUNTIFS(INDIRECT("'"&amp;$A106&amp;"'!$B$2:$B$501"),$T106,INDIRECT("'"&amp;$A106&amp;"'!$A$2:$A$501"),"&gt;="&amp;$I106,INDIRECT("'"&amp;$A106&amp;"'!$A$2:$A$501"),"&lt;"&amp;($BA106+1),INDIRECT("'"&amp;$A106&amp;"'!$E$2:$E$501"),"No"),0)))</f>
        <v/>
      </c>
      <c r="AY106" s="30" t="str">
        <f aca="true">IF(OR($A106="",$I106=""),"",IF($BC106="Y",SUMIFS(survey_frozen!$M$2:$M$251,survey_frozen!$P$2:$P$251,$A106&amp;"|"&amp;$B106),IFERROR(COUNTIFS(INDIRECT("'"&amp;$A106&amp;"'!$B$2:$B$501"),$T106,INDIRECT("'"&amp;$A106&amp;"'!$A$2:$A$501"),"&gt;="&amp;$I106,INDIRECT("'"&amp;$A106&amp;"'!$A$2:$A$501"),"&lt;"&amp;($BA106+1),INDIRECT("'"&amp;$A106&amp;"'!$G$2:$G$501"),"&lt;&gt;"),0)))</f>
        <v/>
      </c>
      <c r="AZ106" s="30" t="str">
        <f aca="false">IF($A106="","",$A106&amp;"|"&amp;$L106)</f>
        <v/>
      </c>
      <c r="BA106" s="31" t="str">
        <f aca="false">IF($A106="","",IFERROR(IF(INDEX(drops!$R$2:$R$21,MATCH($H106,drops!$A$2:$A$21,0))="","",INDEX(drops!$R$2:$R$21,MATCH($H106,drops!$A$2:$A$21,0))),""))</f>
        <v/>
      </c>
      <c r="BB106" s="30" t="n">
        <f aca="false">IF(OR($A106="",$Q106&lt;&gt;"Y"),1000000,N($AL106))</f>
        <v>1000000</v>
      </c>
      <c r="BC106" s="30" t="str">
        <f aca="false">IF($A106="","",IF(COUNTIF(survey_frozen!$P$2:$P$251,$A106&amp;"|"&amp;$B106)&gt;0,"Y",""))</f>
        <v/>
      </c>
      <c r="BD106" s="30" t="str">
        <f aca="false">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ustomFormat="false" ht="15" hidden="false" customHeight="false" outlineLevel="0" collapsed="false">
      <c r="C107" s="11"/>
      <c r="D107" s="10"/>
      <c r="E107" s="11"/>
      <c r="H107" s="30" t="str">
        <f aca="false">IF($A107="","",IFERROR(IF(INDEX(campaigns!$B$2:$B$51,MATCH($A107,campaigns!$A$2:$A$51,0))="","",INDEX(campaigns!$B$2:$B$51,MATCH($A107,campaigns!$A$2:$A$51,0))),""))</f>
        <v/>
      </c>
      <c r="I107" s="31" t="str">
        <f aca="false">IF($A107="","",IFERROR(IF(INDEX(campaigns!$BG$2:$BG$51,MATCH($A107,campaigns!$A$2:$A$51,0))="","",INDEX(campaigns!$BG$2:$BG$51,MATCH($A107,campaigns!$A$2:$A$51,0))),""))</f>
        <v/>
      </c>
      <c r="J107" s="30" t="str">
        <f aca="false">IF($A107="","",IFERROR(IF(INDEX(campaigns!$BE$2:$BE$51,MATCH($A107,campaigns!$A$2:$A$51,0))="","",INDEX(campaigns!$BE$2:$BE$51,MATCH($A107,campaigns!$A$2:$A$51,0))),""))</f>
        <v/>
      </c>
      <c r="K107" s="30" t="str">
        <f aca="false">IF($B107="","",IFERROR(IF(INDEX(offices!$O$2:$O$61,MATCH($B107,offices!$A$2:$A$61,0))="","",INDEX(offices!$O$2:$O$61,MATCH($B107,offices!$A$2:$A$61,0))),""))</f>
        <v/>
      </c>
      <c r="L107" s="30" t="str">
        <f aca="false">IF($A107="","",IF($Q107="N","",COUNTIFS($A$2:$A107,$A107,$Q$2:$Q107,"&lt;&gt;N")))</f>
        <v/>
      </c>
      <c r="M107" s="30" t="str">
        <f aca="false">IF(OR($A107="",$L107=""),"",IF(AND(config!$B$34="names_if_public",IFERROR(IF(INDEX(offices!$AG$2:$AG$61,MATCH($B107,offices!$A$2:$A$61,0))="","",INDEX(offices!$AG$2:$AG$61,MATCH($B107,offices!$A$2:$A$61,0))),"")="Y"),$K107,CHAR(64+$L107)))</f>
        <v/>
      </c>
      <c r="N107" s="30" t="str">
        <f aca="false">IF(OR($A107="",$I107=""),"",COUNTIFS(stops!$B$2:$B$151,$B107,stops!$P$2:$P$151,"&lt;"&amp;$I107,stops!$L$2:$L$151,"&lt;&gt;not_delivered")+1)</f>
        <v/>
      </c>
      <c r="O107" s="30" t="str">
        <f aca="false">IF($A107="","",IF(N($N107)&lt;=config!$B$29,"explicit","opt-out"))</f>
        <v/>
      </c>
      <c r="P107" s="30" t="str">
        <f aca="false">IF($A107="","",IF($O107="explicit",IF($D107="yes","Y",IF($D107="no","N","pending")),IF($D107="no","N",IF(AND($C107&lt;&gt;"",$I107&lt;&gt;"",$C107&lt;=WORKDAY(N($I107),-5,calendar!$A$2:$A$80)),"Y","pending"))))</f>
        <v/>
      </c>
      <c r="Q107" s="30" t="str">
        <f aca="false">IF($A107="","",IF($P107="N","N",IF($P107&lt;&gt;"Y","pending",IF(AND((COUNTIFS(stops!$A$2:$A$151,$H107,stops!$B$2:$B$151,$B107,stops!$L$2:$L$151,"declined")+COUNTIFS(stops!$A$2:$A$151,$H107,stops!$B$2:$B$151,$B107,stops!$L$2:$L$151,"building_refused")+COUNTIFS(stops!$A$2:$A$151,$H107,stops!$B$2:$B$151,$B107,stops!$L$2:$L$151,"not_delivered"))&gt;0,N($U107)=0),"N","Y"))))</f>
        <v/>
      </c>
      <c r="R107" s="30" t="str">
        <f aca="false">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30" t="str">
        <f aca="false">IF($A107="","",IF($G107&lt;&gt;"",$G107,IFERROR(IF(INDEX(offices!$AM$2:$AM$61,MATCH($B107,offices!$A$2:$A$61,0))="","",INDEX(offices!$AM$2:$AM$61,MATCH($B107,offices!$A$2:$A$61,0))),"")))</f>
        <v/>
      </c>
      <c r="T107" s="30" t="str">
        <f aca="false">IF($A107="","",$A107&amp;"."&amp;$B107)</f>
        <v/>
      </c>
      <c r="U107" s="30" t="str">
        <f aca="false">IF($A107="","",SUMIFS(inventory!$G$2:$G$801,inventory!$C$2:$C$801,$A107,inventory!$D$2:$D$801,$B107,inventory!$E$2:$E$801,"delivered"))</f>
        <v/>
      </c>
      <c r="V107" s="37" t="str">
        <f aca="false">IF($A107="","",IFERROR(1/(1/SUMPRODUCT(MAX((inventory!$C$2:$C$801=$A107)*(inventory!$D$2:$D$801=$B107)*(inventory!$E$2:$E$801="delivered")*(inventory!$A$2:$A$801+inventory!$B$2:$B$801)))),""))</f>
        <v/>
      </c>
      <c r="W107" s="30" t="str">
        <f aca="false">IF($A107="","",IFERROR(IF(INDEX(inventory!$J$2:$J$801,MATCH($A107&amp;"|"&amp;$B107&amp;"|delivered",inventory!$R$2:$R$801,0))="","",INDEX(inventory!$J$2:$J$801,MATCH($A107&amp;"|"&amp;$B107&amp;"|delivered",inventory!$R$2:$R$801,0))),""))</f>
        <v/>
      </c>
      <c r="X107" s="30" t="str">
        <f aca="false">IF($A107="","",IFERROR(IF(INDEX(photos!$H$2:$H$701,MATCH($A107&amp;"|"&amp;$B107&amp;"|placement|Y",photos!$R$2:$R$701,0))="","",INDEX(photos!$H$2:$H$701,MATCH($A107&amp;"|"&amp;$B107&amp;"|placement|Y",photos!$R$2:$R$701,0))),""))</f>
        <v/>
      </c>
      <c r="Y107" s="31" t="str">
        <f aca="false">IF($A107="","",IFERROR(IF(INDEX(photos!$E$2:$E$701,MATCH($A107&amp;"|"&amp;$B107&amp;"|placement|Y",photos!$R$2:$R$701,0))="","",INDEX(photos!$E$2:$E$701,MATCH($A107&amp;"|"&amp;$B107&amp;"|placement|Y",photos!$R$2:$R$701,0))),""))</f>
        <v/>
      </c>
      <c r="Z107" s="30" t="str">
        <f aca="false">IF($A107="","",IF(COUNTIFS(counts!$C$2:$C$701,$A107,counts!$D$2:$D$701,$B107,counts!$E$2:$E$701,"placed")=0,"",SUMIFS(counts!$F$2:$F$701,counts!$C$2:$C$701,$A107,counts!$D$2:$D$701,$B107,counts!$E$2:$E$701,"placed")))</f>
        <v/>
      </c>
      <c r="AA107" s="30" t="str">
        <f aca="false">IF($A107="","",IF($Y107="",0,N($Z107)))</f>
        <v/>
      </c>
      <c r="AB107" s="30" t="str">
        <f aca="false">IF($A107="","",IF(OR($Y107="",$I107=""),"N",IF($Y107&lt;=WORKDAY(N($I107),1,calendar!$A$2:$A$80),"Y","N")))</f>
        <v/>
      </c>
      <c r="AC107" s="33" t="str">
        <f aca="false">IF(OR($A107="",$V107="",$Y107=""),"",ROUND(($Y107+N(IFERROR(IF(INDEX(photos!$F$2:$F$701,MATCH($A107&amp;"|"&amp;$B107&amp;"|placement|Y",photos!$R$2:$R$701,0))="","",INDEX(photos!$F$2:$F$701,MATCH($A107&amp;"|"&amp;$B107&amp;"|placement|Y",photos!$R$2:$R$701,0))),""))-$V107)*24,1))</f>
        <v/>
      </c>
      <c r="AD107" s="30" t="str">
        <f aca="false">IF($A107="","",SUMIFS(inventory!$G$2:$G$801,inventory!$C$2:$C$801,$A107,inventory!$D$2:$D$801,$B107,inventory!$E$2:$E$801,"topped_up"))</f>
        <v/>
      </c>
      <c r="AE107" s="30" t="str">
        <f aca="false">IF($A107="","",IF(COUNTIFS(counts!$C$2:$C$701,$A107,counts!$D$2:$D$701,$B107,counts!$E$2:$E$701,"remaining_day3")=0,"",SUMIFS(counts!$F$2:$F$701,counts!$C$2:$C$701,$A107,counts!$D$2:$D$701,$B107,counts!$E$2:$E$701,"remaining_day3")))</f>
        <v/>
      </c>
      <c r="AF107" s="30" t="str">
        <f aca="false">IF($A107="","",IF(COUNTIFS(counts!$C$2:$C$701,$A107,counts!$D$2:$D$701,$B107,counts!$E$2:$E$701,"remaining_day5")=0,"",SUMIFS(counts!$F$2:$F$701,counts!$C$2:$C$701,$A107,counts!$D$2:$D$701,$B107,counts!$E$2:$E$701,"remaining_day5")))</f>
        <v/>
      </c>
      <c r="AG107" s="30" t="str">
        <f aca="false">IF(OR($A107="",$AF107=""),"",MAX(0,$AA107+$AD107-$AF107))</f>
        <v/>
      </c>
      <c r="AH107" s="30" t="str">
        <f aca="false">IF(OR($A107="",$AI107=""),"",IFERROR(IF(INDEX(photos!$H$2:$H$701,MATCH($A107&amp;"|"&amp;$B107&amp;"|later|Y|"&amp;$AI107,photos!$S$2:$S$701,0))="","",INDEX(photos!$H$2:$H$701,MATCH($A107&amp;"|"&amp;$B107&amp;"|later|Y|"&amp;$AI107,photos!$S$2:$S$701,0))),""))</f>
        <v/>
      </c>
      <c r="AI107" s="31" t="str">
        <f aca="false">IF($A107="","",IFERROR(1/(1/SUMPRODUCT(MAX((photos!$B$2:$B$701=$A107)*(photos!$C$2:$C$701=$B107)*(photos!$D$2:$D$701="later")*(photos!$O$2:$O$701="Y")*photos!$E$2:$E$701))),""))</f>
        <v/>
      </c>
      <c r="AJ107" s="30" t="str">
        <f aca="false">IF(OR($A107="",$AI107="",$I107=""),"",NETWORKDAYS($I107,$AI107,calendar!$A$2:$A$80))</f>
        <v/>
      </c>
      <c r="AK107" s="30" t="str">
        <f aca="false">IF($A107="","",IF(AND($X107&lt;&gt;"",$AH107&lt;&gt;""),"Y","N"))</f>
        <v/>
      </c>
      <c r="AL107" s="30" t="str">
        <f aca="true">IF(OR($A107="",$I107=""),"",IF($BC107="Y",SUMIFS(survey_frozen!$C$2:$C$251,survey_frozen!$P$2:$P$251,$A107&amp;"|"&amp;$B107),IFERROR(COUNTIFS(INDIRECT("'"&amp;$A107&amp;"'!$B$2:$B$501"),$T107,INDIRECT("'"&amp;$A107&amp;"'!$A$2:$A$501"),"&gt;="&amp;$I107,INDIRECT("'"&amp;$A107&amp;"'!$A$2:$A$501"),"&lt;"&amp;($BA107+1)),0)))</f>
        <v/>
      </c>
      <c r="AM107" s="30" t="str">
        <f aca="true">IF(OR($A107="",$I107=""),"",IF($BC107="Y",SUMIFS(survey_frozen!$D$2:$D$251,survey_frozen!$P$2:$P$251,$A107&amp;"|"&amp;$B107),IFERROR(COUNTIFS(INDIRECT("'"&amp;$A107&amp;"'!$B$2:$B$501"),$T107,INDIRECT("'"&amp;$A107&amp;"'!$A$2:$A$501"),"&gt;="&amp;$I107,INDIRECT("'"&amp;$A107&amp;"'!$A$2:$A$501"),"&lt;"&amp;($BA107+1),INDIRECT("'"&amp;$A107&amp;"'!$C$2:$C$501"),"Yes"),0)))</f>
        <v/>
      </c>
      <c r="AN107" s="30" t="str">
        <f aca="false">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30" t="str">
        <f aca="false">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30" t="str">
        <f aca="true">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30" t="str">
        <f aca="true">IF(OR($A107="",$I107=""),"",IF($BC107="Y",SUMIFS(survey_frozen!$E$2:$E$251,survey_frozen!$P$2:$P$251,$A107&amp;"|"&amp;$B107),IFERROR(COUNTIFS(INDIRECT("'"&amp;$A107&amp;"'!$B$2:$B$501"),$T107,INDIRECT("'"&amp;$A107&amp;"'!$A$2:$A$501"),"&gt;="&amp;$I107,INDIRECT("'"&amp;$A107&amp;"'!$A$2:$A$501"),"&lt;"&amp;($BA107+1),INDIRECT("'"&amp;$A107&amp;"'!$F$2:$F$501"),"Didn't see it"),0)))</f>
        <v/>
      </c>
      <c r="AR107" s="30" t="str">
        <f aca="true">IF(OR($A107="",$I107=""),"",IF($BC107="Y",SUMIFS(survey_frozen!$F$2:$F$251,survey_frozen!$P$2:$P$251,$A107&amp;"|"&amp;$B107),IFERROR(COUNTIFS(INDIRECT("'"&amp;$A107&amp;"'!$B$2:$B$501"),$T107,INDIRECT("'"&amp;$A107&amp;"'!$A$2:$A$501"),"&gt;="&amp;$I107,INDIRECT("'"&amp;$A107&amp;"'!$A$2:$A$501"),"&lt;"&amp;($BA107+1),INDIRECT("'"&amp;$A107&amp;"'!$F$2:$F$501"),"Not for me"),0)))</f>
        <v/>
      </c>
      <c r="AS107" s="30" t="str">
        <f aca="true">IF(OR($A107="",$I107=""),"",IF($BC107="Y",SUMIFS(survey_frozen!$G$2:$G$251,survey_frozen!$P$2:$P$251,$A107&amp;"|"&amp;$B107),IFERROR(COUNTIFS(INDIRECT("'"&amp;$A107&amp;"'!$B$2:$B$501"),$T107,INDIRECT("'"&amp;$A107&amp;"'!$A$2:$A$501"),"&gt;="&amp;$I107,INDIRECT("'"&amp;$A107&amp;"'!$A$2:$A$501"),"&lt;"&amp;($BA107+1),INDIRECT("'"&amp;$A107&amp;"'!$F$2:$F$501"),"Gone by the time I looked"),0)))</f>
        <v/>
      </c>
      <c r="AT107" s="30" t="str">
        <f aca="true">IF(OR($A107="",$I107=""),"",IF($BC107="Y",SUMIFS(survey_frozen!$H$2:$H$251,survey_frozen!$P$2:$P$251,$A107&amp;"|"&amp;$B107),IFERROR(COUNTIFS(INDIRECT("'"&amp;$A107&amp;"'!$B$2:$B$501"),$T107,INDIRECT("'"&amp;$A107&amp;"'!$A$2:$A$501"),"&gt;="&amp;$I107,INDIRECT("'"&amp;$A107&amp;"'!$A$2:$A$501"),"&lt;"&amp;($BA107+1),INDIRECT("'"&amp;$A107&amp;"'!$D$2:$D$501"),"&gt;=1"),0)))</f>
        <v/>
      </c>
      <c r="AU107" s="30" t="str">
        <f aca="true">IF(OR($A107="",$I107=""),"",IF($BC107="Y",SUMIFS(survey_frozen!$I$2:$I$251,survey_frozen!$P$2:$P$251,$A107&amp;"|"&amp;$B107),IFERROR(SUMIFS(INDIRECT("'"&amp;$A107&amp;"'!$D$2:$D$501"),INDIRECT("'"&amp;$A107&amp;"'!$B$2:$B$501"),$T107,INDIRECT("'"&amp;$A107&amp;"'!$A$2:$A$501"),"&gt;="&amp;$I107,INDIRECT("'"&amp;$A107&amp;"'!$A$2:$A$501"),"&lt;"&amp;($BA107+1)),0)))</f>
        <v/>
      </c>
      <c r="AV107" s="30" t="str">
        <f aca="true">IF(OR($A107="",$I107=""),"",IF($BC107="Y",SUMIFS(survey_frozen!$J$2:$J$251,survey_frozen!$P$2:$P$251,$A107&amp;"|"&amp;$B107),IFERROR(COUNTIFS(INDIRECT("'"&amp;$A107&amp;"'!$B$2:$B$501"),$T107,INDIRECT("'"&amp;$A107&amp;"'!$A$2:$A$501"),"&gt;="&amp;$I107,INDIRECT("'"&amp;$A107&amp;"'!$A$2:$A$501"),"&lt;"&amp;($BA107+1),INDIRECT("'"&amp;$A107&amp;"'!$E$2:$E$501"),"Yes"),0)))</f>
        <v/>
      </c>
      <c r="AW107" s="30" t="str">
        <f aca="true">IF(OR($A107="",$I107=""),"",IF($BC107="Y",SUMIFS(survey_frozen!$K$2:$K$251,survey_frozen!$P$2:$P$251,$A107&amp;"|"&amp;$B107),IFERROR(COUNTIFS(INDIRECT("'"&amp;$A107&amp;"'!$B$2:$B$501"),$T107,INDIRECT("'"&amp;$A107&amp;"'!$A$2:$A$501"),"&gt;="&amp;$I107,INDIRECT("'"&amp;$A107&amp;"'!$A$2:$A$501"),"&lt;"&amp;($BA107+1),INDIRECT("'"&amp;$A107&amp;"'!$E$2:$E$501"),"Maybe"),0)))</f>
        <v/>
      </c>
      <c r="AX107" s="30" t="str">
        <f aca="true">IF(OR($A107="",$I107=""),"",IF($BC107="Y",SUMIFS(survey_frozen!$L$2:$L$251,survey_frozen!$P$2:$P$251,$A107&amp;"|"&amp;$B107),IFERROR(COUNTIFS(INDIRECT("'"&amp;$A107&amp;"'!$B$2:$B$501"),$T107,INDIRECT("'"&amp;$A107&amp;"'!$A$2:$A$501"),"&gt;="&amp;$I107,INDIRECT("'"&amp;$A107&amp;"'!$A$2:$A$501"),"&lt;"&amp;($BA107+1),INDIRECT("'"&amp;$A107&amp;"'!$E$2:$E$501"),"No"),0)))</f>
        <v/>
      </c>
      <c r="AY107" s="30" t="str">
        <f aca="true">IF(OR($A107="",$I107=""),"",IF($BC107="Y",SUMIFS(survey_frozen!$M$2:$M$251,survey_frozen!$P$2:$P$251,$A107&amp;"|"&amp;$B107),IFERROR(COUNTIFS(INDIRECT("'"&amp;$A107&amp;"'!$B$2:$B$501"),$T107,INDIRECT("'"&amp;$A107&amp;"'!$A$2:$A$501"),"&gt;="&amp;$I107,INDIRECT("'"&amp;$A107&amp;"'!$A$2:$A$501"),"&lt;"&amp;($BA107+1),INDIRECT("'"&amp;$A107&amp;"'!$G$2:$G$501"),"&lt;&gt;"),0)))</f>
        <v/>
      </c>
      <c r="AZ107" s="30" t="str">
        <f aca="false">IF($A107="","",$A107&amp;"|"&amp;$L107)</f>
        <v/>
      </c>
      <c r="BA107" s="31" t="str">
        <f aca="false">IF($A107="","",IFERROR(IF(INDEX(drops!$R$2:$R$21,MATCH($H107,drops!$A$2:$A$21,0))="","",INDEX(drops!$R$2:$R$21,MATCH($H107,drops!$A$2:$A$21,0))),""))</f>
        <v/>
      </c>
      <c r="BB107" s="30" t="n">
        <f aca="false">IF(OR($A107="",$Q107&lt;&gt;"Y"),1000000,N($AL107))</f>
        <v>1000000</v>
      </c>
      <c r="BC107" s="30" t="str">
        <f aca="false">IF($A107="","",IF(COUNTIF(survey_frozen!$P$2:$P$251,$A107&amp;"|"&amp;$B107)&gt;0,"Y",""))</f>
        <v/>
      </c>
      <c r="BD107" s="30" t="str">
        <f aca="false">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ustomFormat="false" ht="15" hidden="false" customHeight="false" outlineLevel="0" collapsed="false">
      <c r="C108" s="11"/>
      <c r="D108" s="10"/>
      <c r="E108" s="11"/>
      <c r="H108" s="30" t="str">
        <f aca="false">IF($A108="","",IFERROR(IF(INDEX(campaigns!$B$2:$B$51,MATCH($A108,campaigns!$A$2:$A$51,0))="","",INDEX(campaigns!$B$2:$B$51,MATCH($A108,campaigns!$A$2:$A$51,0))),""))</f>
        <v/>
      </c>
      <c r="I108" s="31" t="str">
        <f aca="false">IF($A108="","",IFERROR(IF(INDEX(campaigns!$BG$2:$BG$51,MATCH($A108,campaigns!$A$2:$A$51,0))="","",INDEX(campaigns!$BG$2:$BG$51,MATCH($A108,campaigns!$A$2:$A$51,0))),""))</f>
        <v/>
      </c>
      <c r="J108" s="30" t="str">
        <f aca="false">IF($A108="","",IFERROR(IF(INDEX(campaigns!$BE$2:$BE$51,MATCH($A108,campaigns!$A$2:$A$51,0))="","",INDEX(campaigns!$BE$2:$BE$51,MATCH($A108,campaigns!$A$2:$A$51,0))),""))</f>
        <v/>
      </c>
      <c r="K108" s="30" t="str">
        <f aca="false">IF($B108="","",IFERROR(IF(INDEX(offices!$O$2:$O$61,MATCH($B108,offices!$A$2:$A$61,0))="","",INDEX(offices!$O$2:$O$61,MATCH($B108,offices!$A$2:$A$61,0))),""))</f>
        <v/>
      </c>
      <c r="L108" s="30" t="str">
        <f aca="false">IF($A108="","",IF($Q108="N","",COUNTIFS($A$2:$A108,$A108,$Q$2:$Q108,"&lt;&gt;N")))</f>
        <v/>
      </c>
      <c r="M108" s="30" t="str">
        <f aca="false">IF(OR($A108="",$L108=""),"",IF(AND(config!$B$34="names_if_public",IFERROR(IF(INDEX(offices!$AG$2:$AG$61,MATCH($B108,offices!$A$2:$A$61,0))="","",INDEX(offices!$AG$2:$AG$61,MATCH($B108,offices!$A$2:$A$61,0))),"")="Y"),$K108,CHAR(64+$L108)))</f>
        <v/>
      </c>
      <c r="N108" s="30" t="str">
        <f aca="false">IF(OR($A108="",$I108=""),"",COUNTIFS(stops!$B$2:$B$151,$B108,stops!$P$2:$P$151,"&lt;"&amp;$I108,stops!$L$2:$L$151,"&lt;&gt;not_delivered")+1)</f>
        <v/>
      </c>
      <c r="O108" s="30" t="str">
        <f aca="false">IF($A108="","",IF(N($N108)&lt;=config!$B$29,"explicit","opt-out"))</f>
        <v/>
      </c>
      <c r="P108" s="30" t="str">
        <f aca="false">IF($A108="","",IF($O108="explicit",IF($D108="yes","Y",IF($D108="no","N","pending")),IF($D108="no","N",IF(AND($C108&lt;&gt;"",$I108&lt;&gt;"",$C108&lt;=WORKDAY(N($I108),-5,calendar!$A$2:$A$80)),"Y","pending"))))</f>
        <v/>
      </c>
      <c r="Q108" s="30" t="str">
        <f aca="false">IF($A108="","",IF($P108="N","N",IF($P108&lt;&gt;"Y","pending",IF(AND((COUNTIFS(stops!$A$2:$A$151,$H108,stops!$B$2:$B$151,$B108,stops!$L$2:$L$151,"declined")+COUNTIFS(stops!$A$2:$A$151,$H108,stops!$B$2:$B$151,$B108,stops!$L$2:$L$151,"building_refused")+COUNTIFS(stops!$A$2:$A$151,$H108,stops!$B$2:$B$151,$B108,stops!$L$2:$L$151,"not_delivered"))&gt;0,N($U108)=0),"N","Y"))))</f>
        <v/>
      </c>
      <c r="R108" s="30" t="str">
        <f aca="false">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30" t="str">
        <f aca="false">IF($A108="","",IF($G108&lt;&gt;"",$G108,IFERROR(IF(INDEX(offices!$AM$2:$AM$61,MATCH($B108,offices!$A$2:$A$61,0))="","",INDEX(offices!$AM$2:$AM$61,MATCH($B108,offices!$A$2:$A$61,0))),"")))</f>
        <v/>
      </c>
      <c r="T108" s="30" t="str">
        <f aca="false">IF($A108="","",$A108&amp;"."&amp;$B108)</f>
        <v/>
      </c>
      <c r="U108" s="30" t="str">
        <f aca="false">IF($A108="","",SUMIFS(inventory!$G$2:$G$801,inventory!$C$2:$C$801,$A108,inventory!$D$2:$D$801,$B108,inventory!$E$2:$E$801,"delivered"))</f>
        <v/>
      </c>
      <c r="V108" s="37" t="str">
        <f aca="false">IF($A108="","",IFERROR(1/(1/SUMPRODUCT(MAX((inventory!$C$2:$C$801=$A108)*(inventory!$D$2:$D$801=$B108)*(inventory!$E$2:$E$801="delivered")*(inventory!$A$2:$A$801+inventory!$B$2:$B$801)))),""))</f>
        <v/>
      </c>
      <c r="W108" s="30" t="str">
        <f aca="false">IF($A108="","",IFERROR(IF(INDEX(inventory!$J$2:$J$801,MATCH($A108&amp;"|"&amp;$B108&amp;"|delivered",inventory!$R$2:$R$801,0))="","",INDEX(inventory!$J$2:$J$801,MATCH($A108&amp;"|"&amp;$B108&amp;"|delivered",inventory!$R$2:$R$801,0))),""))</f>
        <v/>
      </c>
      <c r="X108" s="30" t="str">
        <f aca="false">IF($A108="","",IFERROR(IF(INDEX(photos!$H$2:$H$701,MATCH($A108&amp;"|"&amp;$B108&amp;"|placement|Y",photos!$R$2:$R$701,0))="","",INDEX(photos!$H$2:$H$701,MATCH($A108&amp;"|"&amp;$B108&amp;"|placement|Y",photos!$R$2:$R$701,0))),""))</f>
        <v/>
      </c>
      <c r="Y108" s="31" t="str">
        <f aca="false">IF($A108="","",IFERROR(IF(INDEX(photos!$E$2:$E$701,MATCH($A108&amp;"|"&amp;$B108&amp;"|placement|Y",photos!$R$2:$R$701,0))="","",INDEX(photos!$E$2:$E$701,MATCH($A108&amp;"|"&amp;$B108&amp;"|placement|Y",photos!$R$2:$R$701,0))),""))</f>
        <v/>
      </c>
      <c r="Z108" s="30" t="str">
        <f aca="false">IF($A108="","",IF(COUNTIFS(counts!$C$2:$C$701,$A108,counts!$D$2:$D$701,$B108,counts!$E$2:$E$701,"placed")=0,"",SUMIFS(counts!$F$2:$F$701,counts!$C$2:$C$701,$A108,counts!$D$2:$D$701,$B108,counts!$E$2:$E$701,"placed")))</f>
        <v/>
      </c>
      <c r="AA108" s="30" t="str">
        <f aca="false">IF($A108="","",IF($Y108="",0,N($Z108)))</f>
        <v/>
      </c>
      <c r="AB108" s="30" t="str">
        <f aca="false">IF($A108="","",IF(OR($Y108="",$I108=""),"N",IF($Y108&lt;=WORKDAY(N($I108),1,calendar!$A$2:$A$80),"Y","N")))</f>
        <v/>
      </c>
      <c r="AC108" s="33" t="str">
        <f aca="false">IF(OR($A108="",$V108="",$Y108=""),"",ROUND(($Y108+N(IFERROR(IF(INDEX(photos!$F$2:$F$701,MATCH($A108&amp;"|"&amp;$B108&amp;"|placement|Y",photos!$R$2:$R$701,0))="","",INDEX(photos!$F$2:$F$701,MATCH($A108&amp;"|"&amp;$B108&amp;"|placement|Y",photos!$R$2:$R$701,0))),""))-$V108)*24,1))</f>
        <v/>
      </c>
      <c r="AD108" s="30" t="str">
        <f aca="false">IF($A108="","",SUMIFS(inventory!$G$2:$G$801,inventory!$C$2:$C$801,$A108,inventory!$D$2:$D$801,$B108,inventory!$E$2:$E$801,"topped_up"))</f>
        <v/>
      </c>
      <c r="AE108" s="30" t="str">
        <f aca="false">IF($A108="","",IF(COUNTIFS(counts!$C$2:$C$701,$A108,counts!$D$2:$D$701,$B108,counts!$E$2:$E$701,"remaining_day3")=0,"",SUMIFS(counts!$F$2:$F$701,counts!$C$2:$C$701,$A108,counts!$D$2:$D$701,$B108,counts!$E$2:$E$701,"remaining_day3")))</f>
        <v/>
      </c>
      <c r="AF108" s="30" t="str">
        <f aca="false">IF($A108="","",IF(COUNTIFS(counts!$C$2:$C$701,$A108,counts!$D$2:$D$701,$B108,counts!$E$2:$E$701,"remaining_day5")=0,"",SUMIFS(counts!$F$2:$F$701,counts!$C$2:$C$701,$A108,counts!$D$2:$D$701,$B108,counts!$E$2:$E$701,"remaining_day5")))</f>
        <v/>
      </c>
      <c r="AG108" s="30" t="str">
        <f aca="false">IF(OR($A108="",$AF108=""),"",MAX(0,$AA108+$AD108-$AF108))</f>
        <v/>
      </c>
      <c r="AH108" s="30" t="str">
        <f aca="false">IF(OR($A108="",$AI108=""),"",IFERROR(IF(INDEX(photos!$H$2:$H$701,MATCH($A108&amp;"|"&amp;$B108&amp;"|later|Y|"&amp;$AI108,photos!$S$2:$S$701,0))="","",INDEX(photos!$H$2:$H$701,MATCH($A108&amp;"|"&amp;$B108&amp;"|later|Y|"&amp;$AI108,photos!$S$2:$S$701,0))),""))</f>
        <v/>
      </c>
      <c r="AI108" s="31" t="str">
        <f aca="false">IF($A108="","",IFERROR(1/(1/SUMPRODUCT(MAX((photos!$B$2:$B$701=$A108)*(photos!$C$2:$C$701=$B108)*(photos!$D$2:$D$701="later")*(photos!$O$2:$O$701="Y")*photos!$E$2:$E$701))),""))</f>
        <v/>
      </c>
      <c r="AJ108" s="30" t="str">
        <f aca="false">IF(OR($A108="",$AI108="",$I108=""),"",NETWORKDAYS($I108,$AI108,calendar!$A$2:$A$80))</f>
        <v/>
      </c>
      <c r="AK108" s="30" t="str">
        <f aca="false">IF($A108="","",IF(AND($X108&lt;&gt;"",$AH108&lt;&gt;""),"Y","N"))</f>
        <v/>
      </c>
      <c r="AL108" s="30" t="str">
        <f aca="true">IF(OR($A108="",$I108=""),"",IF($BC108="Y",SUMIFS(survey_frozen!$C$2:$C$251,survey_frozen!$P$2:$P$251,$A108&amp;"|"&amp;$B108),IFERROR(COUNTIFS(INDIRECT("'"&amp;$A108&amp;"'!$B$2:$B$501"),$T108,INDIRECT("'"&amp;$A108&amp;"'!$A$2:$A$501"),"&gt;="&amp;$I108,INDIRECT("'"&amp;$A108&amp;"'!$A$2:$A$501"),"&lt;"&amp;($BA108+1)),0)))</f>
        <v/>
      </c>
      <c r="AM108" s="30" t="str">
        <f aca="true">IF(OR($A108="",$I108=""),"",IF($BC108="Y",SUMIFS(survey_frozen!$D$2:$D$251,survey_frozen!$P$2:$P$251,$A108&amp;"|"&amp;$B108),IFERROR(COUNTIFS(INDIRECT("'"&amp;$A108&amp;"'!$B$2:$B$501"),$T108,INDIRECT("'"&amp;$A108&amp;"'!$A$2:$A$501"),"&gt;="&amp;$I108,INDIRECT("'"&amp;$A108&amp;"'!$A$2:$A$501"),"&lt;"&amp;($BA108+1),INDIRECT("'"&amp;$A108&amp;"'!$C$2:$C$501"),"Yes"),0)))</f>
        <v/>
      </c>
      <c r="AN108" s="30" t="str">
        <f aca="false">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30" t="str">
        <f aca="false">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30" t="str">
        <f aca="true">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30" t="str">
        <f aca="true">IF(OR($A108="",$I108=""),"",IF($BC108="Y",SUMIFS(survey_frozen!$E$2:$E$251,survey_frozen!$P$2:$P$251,$A108&amp;"|"&amp;$B108),IFERROR(COUNTIFS(INDIRECT("'"&amp;$A108&amp;"'!$B$2:$B$501"),$T108,INDIRECT("'"&amp;$A108&amp;"'!$A$2:$A$501"),"&gt;="&amp;$I108,INDIRECT("'"&amp;$A108&amp;"'!$A$2:$A$501"),"&lt;"&amp;($BA108+1),INDIRECT("'"&amp;$A108&amp;"'!$F$2:$F$501"),"Didn't see it"),0)))</f>
        <v/>
      </c>
      <c r="AR108" s="30" t="str">
        <f aca="true">IF(OR($A108="",$I108=""),"",IF($BC108="Y",SUMIFS(survey_frozen!$F$2:$F$251,survey_frozen!$P$2:$P$251,$A108&amp;"|"&amp;$B108),IFERROR(COUNTIFS(INDIRECT("'"&amp;$A108&amp;"'!$B$2:$B$501"),$T108,INDIRECT("'"&amp;$A108&amp;"'!$A$2:$A$501"),"&gt;="&amp;$I108,INDIRECT("'"&amp;$A108&amp;"'!$A$2:$A$501"),"&lt;"&amp;($BA108+1),INDIRECT("'"&amp;$A108&amp;"'!$F$2:$F$501"),"Not for me"),0)))</f>
        <v/>
      </c>
      <c r="AS108" s="30" t="str">
        <f aca="true">IF(OR($A108="",$I108=""),"",IF($BC108="Y",SUMIFS(survey_frozen!$G$2:$G$251,survey_frozen!$P$2:$P$251,$A108&amp;"|"&amp;$B108),IFERROR(COUNTIFS(INDIRECT("'"&amp;$A108&amp;"'!$B$2:$B$501"),$T108,INDIRECT("'"&amp;$A108&amp;"'!$A$2:$A$501"),"&gt;="&amp;$I108,INDIRECT("'"&amp;$A108&amp;"'!$A$2:$A$501"),"&lt;"&amp;($BA108+1),INDIRECT("'"&amp;$A108&amp;"'!$F$2:$F$501"),"Gone by the time I looked"),0)))</f>
        <v/>
      </c>
      <c r="AT108" s="30" t="str">
        <f aca="true">IF(OR($A108="",$I108=""),"",IF($BC108="Y",SUMIFS(survey_frozen!$H$2:$H$251,survey_frozen!$P$2:$P$251,$A108&amp;"|"&amp;$B108),IFERROR(COUNTIFS(INDIRECT("'"&amp;$A108&amp;"'!$B$2:$B$501"),$T108,INDIRECT("'"&amp;$A108&amp;"'!$A$2:$A$501"),"&gt;="&amp;$I108,INDIRECT("'"&amp;$A108&amp;"'!$A$2:$A$501"),"&lt;"&amp;($BA108+1),INDIRECT("'"&amp;$A108&amp;"'!$D$2:$D$501"),"&gt;=1"),0)))</f>
        <v/>
      </c>
      <c r="AU108" s="30" t="str">
        <f aca="true">IF(OR($A108="",$I108=""),"",IF($BC108="Y",SUMIFS(survey_frozen!$I$2:$I$251,survey_frozen!$P$2:$P$251,$A108&amp;"|"&amp;$B108),IFERROR(SUMIFS(INDIRECT("'"&amp;$A108&amp;"'!$D$2:$D$501"),INDIRECT("'"&amp;$A108&amp;"'!$B$2:$B$501"),$T108,INDIRECT("'"&amp;$A108&amp;"'!$A$2:$A$501"),"&gt;="&amp;$I108,INDIRECT("'"&amp;$A108&amp;"'!$A$2:$A$501"),"&lt;"&amp;($BA108+1)),0)))</f>
        <v/>
      </c>
      <c r="AV108" s="30" t="str">
        <f aca="true">IF(OR($A108="",$I108=""),"",IF($BC108="Y",SUMIFS(survey_frozen!$J$2:$J$251,survey_frozen!$P$2:$P$251,$A108&amp;"|"&amp;$B108),IFERROR(COUNTIFS(INDIRECT("'"&amp;$A108&amp;"'!$B$2:$B$501"),$T108,INDIRECT("'"&amp;$A108&amp;"'!$A$2:$A$501"),"&gt;="&amp;$I108,INDIRECT("'"&amp;$A108&amp;"'!$A$2:$A$501"),"&lt;"&amp;($BA108+1),INDIRECT("'"&amp;$A108&amp;"'!$E$2:$E$501"),"Yes"),0)))</f>
        <v/>
      </c>
      <c r="AW108" s="30" t="str">
        <f aca="true">IF(OR($A108="",$I108=""),"",IF($BC108="Y",SUMIFS(survey_frozen!$K$2:$K$251,survey_frozen!$P$2:$P$251,$A108&amp;"|"&amp;$B108),IFERROR(COUNTIFS(INDIRECT("'"&amp;$A108&amp;"'!$B$2:$B$501"),$T108,INDIRECT("'"&amp;$A108&amp;"'!$A$2:$A$501"),"&gt;="&amp;$I108,INDIRECT("'"&amp;$A108&amp;"'!$A$2:$A$501"),"&lt;"&amp;($BA108+1),INDIRECT("'"&amp;$A108&amp;"'!$E$2:$E$501"),"Maybe"),0)))</f>
        <v/>
      </c>
      <c r="AX108" s="30" t="str">
        <f aca="true">IF(OR($A108="",$I108=""),"",IF($BC108="Y",SUMIFS(survey_frozen!$L$2:$L$251,survey_frozen!$P$2:$P$251,$A108&amp;"|"&amp;$B108),IFERROR(COUNTIFS(INDIRECT("'"&amp;$A108&amp;"'!$B$2:$B$501"),$T108,INDIRECT("'"&amp;$A108&amp;"'!$A$2:$A$501"),"&gt;="&amp;$I108,INDIRECT("'"&amp;$A108&amp;"'!$A$2:$A$501"),"&lt;"&amp;($BA108+1),INDIRECT("'"&amp;$A108&amp;"'!$E$2:$E$501"),"No"),0)))</f>
        <v/>
      </c>
      <c r="AY108" s="30" t="str">
        <f aca="true">IF(OR($A108="",$I108=""),"",IF($BC108="Y",SUMIFS(survey_frozen!$M$2:$M$251,survey_frozen!$P$2:$P$251,$A108&amp;"|"&amp;$B108),IFERROR(COUNTIFS(INDIRECT("'"&amp;$A108&amp;"'!$B$2:$B$501"),$T108,INDIRECT("'"&amp;$A108&amp;"'!$A$2:$A$501"),"&gt;="&amp;$I108,INDIRECT("'"&amp;$A108&amp;"'!$A$2:$A$501"),"&lt;"&amp;($BA108+1),INDIRECT("'"&amp;$A108&amp;"'!$G$2:$G$501"),"&lt;&gt;"),0)))</f>
        <v/>
      </c>
      <c r="AZ108" s="30" t="str">
        <f aca="false">IF($A108="","",$A108&amp;"|"&amp;$L108)</f>
        <v/>
      </c>
      <c r="BA108" s="31" t="str">
        <f aca="false">IF($A108="","",IFERROR(IF(INDEX(drops!$R$2:$R$21,MATCH($H108,drops!$A$2:$A$21,0))="","",INDEX(drops!$R$2:$R$21,MATCH($H108,drops!$A$2:$A$21,0))),""))</f>
        <v/>
      </c>
      <c r="BB108" s="30" t="n">
        <f aca="false">IF(OR($A108="",$Q108&lt;&gt;"Y"),1000000,N($AL108))</f>
        <v>1000000</v>
      </c>
      <c r="BC108" s="30" t="str">
        <f aca="false">IF($A108="","",IF(COUNTIF(survey_frozen!$P$2:$P$251,$A108&amp;"|"&amp;$B108)&gt;0,"Y",""))</f>
        <v/>
      </c>
      <c r="BD108" s="30" t="str">
        <f aca="false">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ustomFormat="false" ht="15" hidden="false" customHeight="false" outlineLevel="0" collapsed="false">
      <c r="C109" s="11"/>
      <c r="D109" s="10"/>
      <c r="E109" s="11"/>
      <c r="H109" s="30" t="str">
        <f aca="false">IF($A109="","",IFERROR(IF(INDEX(campaigns!$B$2:$B$51,MATCH($A109,campaigns!$A$2:$A$51,0))="","",INDEX(campaigns!$B$2:$B$51,MATCH($A109,campaigns!$A$2:$A$51,0))),""))</f>
        <v/>
      </c>
      <c r="I109" s="31" t="str">
        <f aca="false">IF($A109="","",IFERROR(IF(INDEX(campaigns!$BG$2:$BG$51,MATCH($A109,campaigns!$A$2:$A$51,0))="","",INDEX(campaigns!$BG$2:$BG$51,MATCH($A109,campaigns!$A$2:$A$51,0))),""))</f>
        <v/>
      </c>
      <c r="J109" s="30" t="str">
        <f aca="false">IF($A109="","",IFERROR(IF(INDEX(campaigns!$BE$2:$BE$51,MATCH($A109,campaigns!$A$2:$A$51,0))="","",INDEX(campaigns!$BE$2:$BE$51,MATCH($A109,campaigns!$A$2:$A$51,0))),""))</f>
        <v/>
      </c>
      <c r="K109" s="30" t="str">
        <f aca="false">IF($B109="","",IFERROR(IF(INDEX(offices!$O$2:$O$61,MATCH($B109,offices!$A$2:$A$61,0))="","",INDEX(offices!$O$2:$O$61,MATCH($B109,offices!$A$2:$A$61,0))),""))</f>
        <v/>
      </c>
      <c r="L109" s="30" t="str">
        <f aca="false">IF($A109="","",IF($Q109="N","",COUNTIFS($A$2:$A109,$A109,$Q$2:$Q109,"&lt;&gt;N")))</f>
        <v/>
      </c>
      <c r="M109" s="30" t="str">
        <f aca="false">IF(OR($A109="",$L109=""),"",IF(AND(config!$B$34="names_if_public",IFERROR(IF(INDEX(offices!$AG$2:$AG$61,MATCH($B109,offices!$A$2:$A$61,0))="","",INDEX(offices!$AG$2:$AG$61,MATCH($B109,offices!$A$2:$A$61,0))),"")="Y"),$K109,CHAR(64+$L109)))</f>
        <v/>
      </c>
      <c r="N109" s="30" t="str">
        <f aca="false">IF(OR($A109="",$I109=""),"",COUNTIFS(stops!$B$2:$B$151,$B109,stops!$P$2:$P$151,"&lt;"&amp;$I109,stops!$L$2:$L$151,"&lt;&gt;not_delivered")+1)</f>
        <v/>
      </c>
      <c r="O109" s="30" t="str">
        <f aca="false">IF($A109="","",IF(N($N109)&lt;=config!$B$29,"explicit","opt-out"))</f>
        <v/>
      </c>
      <c r="P109" s="30" t="str">
        <f aca="false">IF($A109="","",IF($O109="explicit",IF($D109="yes","Y",IF($D109="no","N","pending")),IF($D109="no","N",IF(AND($C109&lt;&gt;"",$I109&lt;&gt;"",$C109&lt;=WORKDAY(N($I109),-5,calendar!$A$2:$A$80)),"Y","pending"))))</f>
        <v/>
      </c>
      <c r="Q109" s="30" t="str">
        <f aca="false">IF($A109="","",IF($P109="N","N",IF($P109&lt;&gt;"Y","pending",IF(AND((COUNTIFS(stops!$A$2:$A$151,$H109,stops!$B$2:$B$151,$B109,stops!$L$2:$L$151,"declined")+COUNTIFS(stops!$A$2:$A$151,$H109,stops!$B$2:$B$151,$B109,stops!$L$2:$L$151,"building_refused")+COUNTIFS(stops!$A$2:$A$151,$H109,stops!$B$2:$B$151,$B109,stops!$L$2:$L$151,"not_delivered"))&gt;0,N($U109)=0),"N","Y"))))</f>
        <v/>
      </c>
      <c r="R109" s="30" t="str">
        <f aca="false">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30" t="str">
        <f aca="false">IF($A109="","",IF($G109&lt;&gt;"",$G109,IFERROR(IF(INDEX(offices!$AM$2:$AM$61,MATCH($B109,offices!$A$2:$A$61,0))="","",INDEX(offices!$AM$2:$AM$61,MATCH($B109,offices!$A$2:$A$61,0))),"")))</f>
        <v/>
      </c>
      <c r="T109" s="30" t="str">
        <f aca="false">IF($A109="","",$A109&amp;"."&amp;$B109)</f>
        <v/>
      </c>
      <c r="U109" s="30" t="str">
        <f aca="false">IF($A109="","",SUMIFS(inventory!$G$2:$G$801,inventory!$C$2:$C$801,$A109,inventory!$D$2:$D$801,$B109,inventory!$E$2:$E$801,"delivered"))</f>
        <v/>
      </c>
      <c r="V109" s="37" t="str">
        <f aca="false">IF($A109="","",IFERROR(1/(1/SUMPRODUCT(MAX((inventory!$C$2:$C$801=$A109)*(inventory!$D$2:$D$801=$B109)*(inventory!$E$2:$E$801="delivered")*(inventory!$A$2:$A$801+inventory!$B$2:$B$801)))),""))</f>
        <v/>
      </c>
      <c r="W109" s="30" t="str">
        <f aca="false">IF($A109="","",IFERROR(IF(INDEX(inventory!$J$2:$J$801,MATCH($A109&amp;"|"&amp;$B109&amp;"|delivered",inventory!$R$2:$R$801,0))="","",INDEX(inventory!$J$2:$J$801,MATCH($A109&amp;"|"&amp;$B109&amp;"|delivered",inventory!$R$2:$R$801,0))),""))</f>
        <v/>
      </c>
      <c r="X109" s="30" t="str">
        <f aca="false">IF($A109="","",IFERROR(IF(INDEX(photos!$H$2:$H$701,MATCH($A109&amp;"|"&amp;$B109&amp;"|placement|Y",photos!$R$2:$R$701,0))="","",INDEX(photos!$H$2:$H$701,MATCH($A109&amp;"|"&amp;$B109&amp;"|placement|Y",photos!$R$2:$R$701,0))),""))</f>
        <v/>
      </c>
      <c r="Y109" s="31" t="str">
        <f aca="false">IF($A109="","",IFERROR(IF(INDEX(photos!$E$2:$E$701,MATCH($A109&amp;"|"&amp;$B109&amp;"|placement|Y",photos!$R$2:$R$701,0))="","",INDEX(photos!$E$2:$E$701,MATCH($A109&amp;"|"&amp;$B109&amp;"|placement|Y",photos!$R$2:$R$701,0))),""))</f>
        <v/>
      </c>
      <c r="Z109" s="30" t="str">
        <f aca="false">IF($A109="","",IF(COUNTIFS(counts!$C$2:$C$701,$A109,counts!$D$2:$D$701,$B109,counts!$E$2:$E$701,"placed")=0,"",SUMIFS(counts!$F$2:$F$701,counts!$C$2:$C$701,$A109,counts!$D$2:$D$701,$B109,counts!$E$2:$E$701,"placed")))</f>
        <v/>
      </c>
      <c r="AA109" s="30" t="str">
        <f aca="false">IF($A109="","",IF($Y109="",0,N($Z109)))</f>
        <v/>
      </c>
      <c r="AB109" s="30" t="str">
        <f aca="false">IF($A109="","",IF(OR($Y109="",$I109=""),"N",IF($Y109&lt;=WORKDAY(N($I109),1,calendar!$A$2:$A$80),"Y","N")))</f>
        <v/>
      </c>
      <c r="AC109" s="33" t="str">
        <f aca="false">IF(OR($A109="",$V109="",$Y109=""),"",ROUND(($Y109+N(IFERROR(IF(INDEX(photos!$F$2:$F$701,MATCH($A109&amp;"|"&amp;$B109&amp;"|placement|Y",photos!$R$2:$R$701,0))="","",INDEX(photos!$F$2:$F$701,MATCH($A109&amp;"|"&amp;$B109&amp;"|placement|Y",photos!$R$2:$R$701,0))),""))-$V109)*24,1))</f>
        <v/>
      </c>
      <c r="AD109" s="30" t="str">
        <f aca="false">IF($A109="","",SUMIFS(inventory!$G$2:$G$801,inventory!$C$2:$C$801,$A109,inventory!$D$2:$D$801,$B109,inventory!$E$2:$E$801,"topped_up"))</f>
        <v/>
      </c>
      <c r="AE109" s="30" t="str">
        <f aca="false">IF($A109="","",IF(COUNTIFS(counts!$C$2:$C$701,$A109,counts!$D$2:$D$701,$B109,counts!$E$2:$E$701,"remaining_day3")=0,"",SUMIFS(counts!$F$2:$F$701,counts!$C$2:$C$701,$A109,counts!$D$2:$D$701,$B109,counts!$E$2:$E$701,"remaining_day3")))</f>
        <v/>
      </c>
      <c r="AF109" s="30" t="str">
        <f aca="false">IF($A109="","",IF(COUNTIFS(counts!$C$2:$C$701,$A109,counts!$D$2:$D$701,$B109,counts!$E$2:$E$701,"remaining_day5")=0,"",SUMIFS(counts!$F$2:$F$701,counts!$C$2:$C$701,$A109,counts!$D$2:$D$701,$B109,counts!$E$2:$E$701,"remaining_day5")))</f>
        <v/>
      </c>
      <c r="AG109" s="30" t="str">
        <f aca="false">IF(OR($A109="",$AF109=""),"",MAX(0,$AA109+$AD109-$AF109))</f>
        <v/>
      </c>
      <c r="AH109" s="30" t="str">
        <f aca="false">IF(OR($A109="",$AI109=""),"",IFERROR(IF(INDEX(photos!$H$2:$H$701,MATCH($A109&amp;"|"&amp;$B109&amp;"|later|Y|"&amp;$AI109,photos!$S$2:$S$701,0))="","",INDEX(photos!$H$2:$H$701,MATCH($A109&amp;"|"&amp;$B109&amp;"|later|Y|"&amp;$AI109,photos!$S$2:$S$701,0))),""))</f>
        <v/>
      </c>
      <c r="AI109" s="31" t="str">
        <f aca="false">IF($A109="","",IFERROR(1/(1/SUMPRODUCT(MAX((photos!$B$2:$B$701=$A109)*(photos!$C$2:$C$701=$B109)*(photos!$D$2:$D$701="later")*(photos!$O$2:$O$701="Y")*photos!$E$2:$E$701))),""))</f>
        <v/>
      </c>
      <c r="AJ109" s="30" t="str">
        <f aca="false">IF(OR($A109="",$AI109="",$I109=""),"",NETWORKDAYS($I109,$AI109,calendar!$A$2:$A$80))</f>
        <v/>
      </c>
      <c r="AK109" s="30" t="str">
        <f aca="false">IF($A109="","",IF(AND($X109&lt;&gt;"",$AH109&lt;&gt;""),"Y","N"))</f>
        <v/>
      </c>
      <c r="AL109" s="30" t="str">
        <f aca="true">IF(OR($A109="",$I109=""),"",IF($BC109="Y",SUMIFS(survey_frozen!$C$2:$C$251,survey_frozen!$P$2:$P$251,$A109&amp;"|"&amp;$B109),IFERROR(COUNTIFS(INDIRECT("'"&amp;$A109&amp;"'!$B$2:$B$501"),$T109,INDIRECT("'"&amp;$A109&amp;"'!$A$2:$A$501"),"&gt;="&amp;$I109,INDIRECT("'"&amp;$A109&amp;"'!$A$2:$A$501"),"&lt;"&amp;($BA109+1)),0)))</f>
        <v/>
      </c>
      <c r="AM109" s="30" t="str">
        <f aca="true">IF(OR($A109="",$I109=""),"",IF($BC109="Y",SUMIFS(survey_frozen!$D$2:$D$251,survey_frozen!$P$2:$P$251,$A109&amp;"|"&amp;$B109),IFERROR(COUNTIFS(INDIRECT("'"&amp;$A109&amp;"'!$B$2:$B$501"),$T109,INDIRECT("'"&amp;$A109&amp;"'!$A$2:$A$501"),"&gt;="&amp;$I109,INDIRECT("'"&amp;$A109&amp;"'!$A$2:$A$501"),"&lt;"&amp;($BA109+1),INDIRECT("'"&amp;$A109&amp;"'!$C$2:$C$501"),"Yes"),0)))</f>
        <v/>
      </c>
      <c r="AN109" s="30" t="str">
        <f aca="false">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30" t="str">
        <f aca="false">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30" t="str">
        <f aca="true">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30" t="str">
        <f aca="true">IF(OR($A109="",$I109=""),"",IF($BC109="Y",SUMIFS(survey_frozen!$E$2:$E$251,survey_frozen!$P$2:$P$251,$A109&amp;"|"&amp;$B109),IFERROR(COUNTIFS(INDIRECT("'"&amp;$A109&amp;"'!$B$2:$B$501"),$T109,INDIRECT("'"&amp;$A109&amp;"'!$A$2:$A$501"),"&gt;="&amp;$I109,INDIRECT("'"&amp;$A109&amp;"'!$A$2:$A$501"),"&lt;"&amp;($BA109+1),INDIRECT("'"&amp;$A109&amp;"'!$F$2:$F$501"),"Didn't see it"),0)))</f>
        <v/>
      </c>
      <c r="AR109" s="30" t="str">
        <f aca="true">IF(OR($A109="",$I109=""),"",IF($BC109="Y",SUMIFS(survey_frozen!$F$2:$F$251,survey_frozen!$P$2:$P$251,$A109&amp;"|"&amp;$B109),IFERROR(COUNTIFS(INDIRECT("'"&amp;$A109&amp;"'!$B$2:$B$501"),$T109,INDIRECT("'"&amp;$A109&amp;"'!$A$2:$A$501"),"&gt;="&amp;$I109,INDIRECT("'"&amp;$A109&amp;"'!$A$2:$A$501"),"&lt;"&amp;($BA109+1),INDIRECT("'"&amp;$A109&amp;"'!$F$2:$F$501"),"Not for me"),0)))</f>
        <v/>
      </c>
      <c r="AS109" s="30" t="str">
        <f aca="true">IF(OR($A109="",$I109=""),"",IF($BC109="Y",SUMIFS(survey_frozen!$G$2:$G$251,survey_frozen!$P$2:$P$251,$A109&amp;"|"&amp;$B109),IFERROR(COUNTIFS(INDIRECT("'"&amp;$A109&amp;"'!$B$2:$B$501"),$T109,INDIRECT("'"&amp;$A109&amp;"'!$A$2:$A$501"),"&gt;="&amp;$I109,INDIRECT("'"&amp;$A109&amp;"'!$A$2:$A$501"),"&lt;"&amp;($BA109+1),INDIRECT("'"&amp;$A109&amp;"'!$F$2:$F$501"),"Gone by the time I looked"),0)))</f>
        <v/>
      </c>
      <c r="AT109" s="30" t="str">
        <f aca="true">IF(OR($A109="",$I109=""),"",IF($BC109="Y",SUMIFS(survey_frozen!$H$2:$H$251,survey_frozen!$P$2:$P$251,$A109&amp;"|"&amp;$B109),IFERROR(COUNTIFS(INDIRECT("'"&amp;$A109&amp;"'!$B$2:$B$501"),$T109,INDIRECT("'"&amp;$A109&amp;"'!$A$2:$A$501"),"&gt;="&amp;$I109,INDIRECT("'"&amp;$A109&amp;"'!$A$2:$A$501"),"&lt;"&amp;($BA109+1),INDIRECT("'"&amp;$A109&amp;"'!$D$2:$D$501"),"&gt;=1"),0)))</f>
        <v/>
      </c>
      <c r="AU109" s="30" t="str">
        <f aca="true">IF(OR($A109="",$I109=""),"",IF($BC109="Y",SUMIFS(survey_frozen!$I$2:$I$251,survey_frozen!$P$2:$P$251,$A109&amp;"|"&amp;$B109),IFERROR(SUMIFS(INDIRECT("'"&amp;$A109&amp;"'!$D$2:$D$501"),INDIRECT("'"&amp;$A109&amp;"'!$B$2:$B$501"),$T109,INDIRECT("'"&amp;$A109&amp;"'!$A$2:$A$501"),"&gt;="&amp;$I109,INDIRECT("'"&amp;$A109&amp;"'!$A$2:$A$501"),"&lt;"&amp;($BA109+1)),0)))</f>
        <v/>
      </c>
      <c r="AV109" s="30" t="str">
        <f aca="true">IF(OR($A109="",$I109=""),"",IF($BC109="Y",SUMIFS(survey_frozen!$J$2:$J$251,survey_frozen!$P$2:$P$251,$A109&amp;"|"&amp;$B109),IFERROR(COUNTIFS(INDIRECT("'"&amp;$A109&amp;"'!$B$2:$B$501"),$T109,INDIRECT("'"&amp;$A109&amp;"'!$A$2:$A$501"),"&gt;="&amp;$I109,INDIRECT("'"&amp;$A109&amp;"'!$A$2:$A$501"),"&lt;"&amp;($BA109+1),INDIRECT("'"&amp;$A109&amp;"'!$E$2:$E$501"),"Yes"),0)))</f>
        <v/>
      </c>
      <c r="AW109" s="30" t="str">
        <f aca="true">IF(OR($A109="",$I109=""),"",IF($BC109="Y",SUMIFS(survey_frozen!$K$2:$K$251,survey_frozen!$P$2:$P$251,$A109&amp;"|"&amp;$B109),IFERROR(COUNTIFS(INDIRECT("'"&amp;$A109&amp;"'!$B$2:$B$501"),$T109,INDIRECT("'"&amp;$A109&amp;"'!$A$2:$A$501"),"&gt;="&amp;$I109,INDIRECT("'"&amp;$A109&amp;"'!$A$2:$A$501"),"&lt;"&amp;($BA109+1),INDIRECT("'"&amp;$A109&amp;"'!$E$2:$E$501"),"Maybe"),0)))</f>
        <v/>
      </c>
      <c r="AX109" s="30" t="str">
        <f aca="true">IF(OR($A109="",$I109=""),"",IF($BC109="Y",SUMIFS(survey_frozen!$L$2:$L$251,survey_frozen!$P$2:$P$251,$A109&amp;"|"&amp;$B109),IFERROR(COUNTIFS(INDIRECT("'"&amp;$A109&amp;"'!$B$2:$B$501"),$T109,INDIRECT("'"&amp;$A109&amp;"'!$A$2:$A$501"),"&gt;="&amp;$I109,INDIRECT("'"&amp;$A109&amp;"'!$A$2:$A$501"),"&lt;"&amp;($BA109+1),INDIRECT("'"&amp;$A109&amp;"'!$E$2:$E$501"),"No"),0)))</f>
        <v/>
      </c>
      <c r="AY109" s="30" t="str">
        <f aca="true">IF(OR($A109="",$I109=""),"",IF($BC109="Y",SUMIFS(survey_frozen!$M$2:$M$251,survey_frozen!$P$2:$P$251,$A109&amp;"|"&amp;$B109),IFERROR(COUNTIFS(INDIRECT("'"&amp;$A109&amp;"'!$B$2:$B$501"),$T109,INDIRECT("'"&amp;$A109&amp;"'!$A$2:$A$501"),"&gt;="&amp;$I109,INDIRECT("'"&amp;$A109&amp;"'!$A$2:$A$501"),"&lt;"&amp;($BA109+1),INDIRECT("'"&amp;$A109&amp;"'!$G$2:$G$501"),"&lt;&gt;"),0)))</f>
        <v/>
      </c>
      <c r="AZ109" s="30" t="str">
        <f aca="false">IF($A109="","",$A109&amp;"|"&amp;$L109)</f>
        <v/>
      </c>
      <c r="BA109" s="31" t="str">
        <f aca="false">IF($A109="","",IFERROR(IF(INDEX(drops!$R$2:$R$21,MATCH($H109,drops!$A$2:$A$21,0))="","",INDEX(drops!$R$2:$R$21,MATCH($H109,drops!$A$2:$A$21,0))),""))</f>
        <v/>
      </c>
      <c r="BB109" s="30" t="n">
        <f aca="false">IF(OR($A109="",$Q109&lt;&gt;"Y"),1000000,N($AL109))</f>
        <v>1000000</v>
      </c>
      <c r="BC109" s="30" t="str">
        <f aca="false">IF($A109="","",IF(COUNTIF(survey_frozen!$P$2:$P$251,$A109&amp;"|"&amp;$B109)&gt;0,"Y",""))</f>
        <v/>
      </c>
      <c r="BD109" s="30" t="str">
        <f aca="false">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ustomFormat="false" ht="15" hidden="false" customHeight="false" outlineLevel="0" collapsed="false">
      <c r="C110" s="11"/>
      <c r="D110" s="10"/>
      <c r="E110" s="11"/>
      <c r="H110" s="30" t="str">
        <f aca="false">IF($A110="","",IFERROR(IF(INDEX(campaigns!$B$2:$B$51,MATCH($A110,campaigns!$A$2:$A$51,0))="","",INDEX(campaigns!$B$2:$B$51,MATCH($A110,campaigns!$A$2:$A$51,0))),""))</f>
        <v/>
      </c>
      <c r="I110" s="31" t="str">
        <f aca="false">IF($A110="","",IFERROR(IF(INDEX(campaigns!$BG$2:$BG$51,MATCH($A110,campaigns!$A$2:$A$51,0))="","",INDEX(campaigns!$BG$2:$BG$51,MATCH($A110,campaigns!$A$2:$A$51,0))),""))</f>
        <v/>
      </c>
      <c r="J110" s="30" t="str">
        <f aca="false">IF($A110="","",IFERROR(IF(INDEX(campaigns!$BE$2:$BE$51,MATCH($A110,campaigns!$A$2:$A$51,0))="","",INDEX(campaigns!$BE$2:$BE$51,MATCH($A110,campaigns!$A$2:$A$51,0))),""))</f>
        <v/>
      </c>
      <c r="K110" s="30" t="str">
        <f aca="false">IF($B110="","",IFERROR(IF(INDEX(offices!$O$2:$O$61,MATCH($B110,offices!$A$2:$A$61,0))="","",INDEX(offices!$O$2:$O$61,MATCH($B110,offices!$A$2:$A$61,0))),""))</f>
        <v/>
      </c>
      <c r="L110" s="30" t="str">
        <f aca="false">IF($A110="","",IF($Q110="N","",COUNTIFS($A$2:$A110,$A110,$Q$2:$Q110,"&lt;&gt;N")))</f>
        <v/>
      </c>
      <c r="M110" s="30" t="str">
        <f aca="false">IF(OR($A110="",$L110=""),"",IF(AND(config!$B$34="names_if_public",IFERROR(IF(INDEX(offices!$AG$2:$AG$61,MATCH($B110,offices!$A$2:$A$61,0))="","",INDEX(offices!$AG$2:$AG$61,MATCH($B110,offices!$A$2:$A$61,0))),"")="Y"),$K110,CHAR(64+$L110)))</f>
        <v/>
      </c>
      <c r="N110" s="30" t="str">
        <f aca="false">IF(OR($A110="",$I110=""),"",COUNTIFS(stops!$B$2:$B$151,$B110,stops!$P$2:$P$151,"&lt;"&amp;$I110,stops!$L$2:$L$151,"&lt;&gt;not_delivered")+1)</f>
        <v/>
      </c>
      <c r="O110" s="30" t="str">
        <f aca="false">IF($A110="","",IF(N($N110)&lt;=config!$B$29,"explicit","opt-out"))</f>
        <v/>
      </c>
      <c r="P110" s="30" t="str">
        <f aca="false">IF($A110="","",IF($O110="explicit",IF($D110="yes","Y",IF($D110="no","N","pending")),IF($D110="no","N",IF(AND($C110&lt;&gt;"",$I110&lt;&gt;"",$C110&lt;=WORKDAY(N($I110),-5,calendar!$A$2:$A$80)),"Y","pending"))))</f>
        <v/>
      </c>
      <c r="Q110" s="30" t="str">
        <f aca="false">IF($A110="","",IF($P110="N","N",IF($P110&lt;&gt;"Y","pending",IF(AND((COUNTIFS(stops!$A$2:$A$151,$H110,stops!$B$2:$B$151,$B110,stops!$L$2:$L$151,"declined")+COUNTIFS(stops!$A$2:$A$151,$H110,stops!$B$2:$B$151,$B110,stops!$L$2:$L$151,"building_refused")+COUNTIFS(stops!$A$2:$A$151,$H110,stops!$B$2:$B$151,$B110,stops!$L$2:$L$151,"not_delivered"))&gt;0,N($U110)=0),"N","Y"))))</f>
        <v/>
      </c>
      <c r="R110" s="30" t="str">
        <f aca="false">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30" t="str">
        <f aca="false">IF($A110="","",IF($G110&lt;&gt;"",$G110,IFERROR(IF(INDEX(offices!$AM$2:$AM$61,MATCH($B110,offices!$A$2:$A$61,0))="","",INDEX(offices!$AM$2:$AM$61,MATCH($B110,offices!$A$2:$A$61,0))),"")))</f>
        <v/>
      </c>
      <c r="T110" s="30" t="str">
        <f aca="false">IF($A110="","",$A110&amp;"."&amp;$B110)</f>
        <v/>
      </c>
      <c r="U110" s="30" t="str">
        <f aca="false">IF($A110="","",SUMIFS(inventory!$G$2:$G$801,inventory!$C$2:$C$801,$A110,inventory!$D$2:$D$801,$B110,inventory!$E$2:$E$801,"delivered"))</f>
        <v/>
      </c>
      <c r="V110" s="37" t="str">
        <f aca="false">IF($A110="","",IFERROR(1/(1/SUMPRODUCT(MAX((inventory!$C$2:$C$801=$A110)*(inventory!$D$2:$D$801=$B110)*(inventory!$E$2:$E$801="delivered")*(inventory!$A$2:$A$801+inventory!$B$2:$B$801)))),""))</f>
        <v/>
      </c>
      <c r="W110" s="30" t="str">
        <f aca="false">IF($A110="","",IFERROR(IF(INDEX(inventory!$J$2:$J$801,MATCH($A110&amp;"|"&amp;$B110&amp;"|delivered",inventory!$R$2:$R$801,0))="","",INDEX(inventory!$J$2:$J$801,MATCH($A110&amp;"|"&amp;$B110&amp;"|delivered",inventory!$R$2:$R$801,0))),""))</f>
        <v/>
      </c>
      <c r="X110" s="30" t="str">
        <f aca="false">IF($A110="","",IFERROR(IF(INDEX(photos!$H$2:$H$701,MATCH($A110&amp;"|"&amp;$B110&amp;"|placement|Y",photos!$R$2:$R$701,0))="","",INDEX(photos!$H$2:$H$701,MATCH($A110&amp;"|"&amp;$B110&amp;"|placement|Y",photos!$R$2:$R$701,0))),""))</f>
        <v/>
      </c>
      <c r="Y110" s="31" t="str">
        <f aca="false">IF($A110="","",IFERROR(IF(INDEX(photos!$E$2:$E$701,MATCH($A110&amp;"|"&amp;$B110&amp;"|placement|Y",photos!$R$2:$R$701,0))="","",INDEX(photos!$E$2:$E$701,MATCH($A110&amp;"|"&amp;$B110&amp;"|placement|Y",photos!$R$2:$R$701,0))),""))</f>
        <v/>
      </c>
      <c r="Z110" s="30" t="str">
        <f aca="false">IF($A110="","",IF(COUNTIFS(counts!$C$2:$C$701,$A110,counts!$D$2:$D$701,$B110,counts!$E$2:$E$701,"placed")=0,"",SUMIFS(counts!$F$2:$F$701,counts!$C$2:$C$701,$A110,counts!$D$2:$D$701,$B110,counts!$E$2:$E$701,"placed")))</f>
        <v/>
      </c>
      <c r="AA110" s="30" t="str">
        <f aca="false">IF($A110="","",IF($Y110="",0,N($Z110)))</f>
        <v/>
      </c>
      <c r="AB110" s="30" t="str">
        <f aca="false">IF($A110="","",IF(OR($Y110="",$I110=""),"N",IF($Y110&lt;=WORKDAY(N($I110),1,calendar!$A$2:$A$80),"Y","N")))</f>
        <v/>
      </c>
      <c r="AC110" s="33" t="str">
        <f aca="false">IF(OR($A110="",$V110="",$Y110=""),"",ROUND(($Y110+N(IFERROR(IF(INDEX(photos!$F$2:$F$701,MATCH($A110&amp;"|"&amp;$B110&amp;"|placement|Y",photos!$R$2:$R$701,0))="","",INDEX(photos!$F$2:$F$701,MATCH($A110&amp;"|"&amp;$B110&amp;"|placement|Y",photos!$R$2:$R$701,0))),""))-$V110)*24,1))</f>
        <v/>
      </c>
      <c r="AD110" s="30" t="str">
        <f aca="false">IF($A110="","",SUMIFS(inventory!$G$2:$G$801,inventory!$C$2:$C$801,$A110,inventory!$D$2:$D$801,$B110,inventory!$E$2:$E$801,"topped_up"))</f>
        <v/>
      </c>
      <c r="AE110" s="30" t="str">
        <f aca="false">IF($A110="","",IF(COUNTIFS(counts!$C$2:$C$701,$A110,counts!$D$2:$D$701,$B110,counts!$E$2:$E$701,"remaining_day3")=0,"",SUMIFS(counts!$F$2:$F$701,counts!$C$2:$C$701,$A110,counts!$D$2:$D$701,$B110,counts!$E$2:$E$701,"remaining_day3")))</f>
        <v/>
      </c>
      <c r="AF110" s="30" t="str">
        <f aca="false">IF($A110="","",IF(COUNTIFS(counts!$C$2:$C$701,$A110,counts!$D$2:$D$701,$B110,counts!$E$2:$E$701,"remaining_day5")=0,"",SUMIFS(counts!$F$2:$F$701,counts!$C$2:$C$701,$A110,counts!$D$2:$D$701,$B110,counts!$E$2:$E$701,"remaining_day5")))</f>
        <v/>
      </c>
      <c r="AG110" s="30" t="str">
        <f aca="false">IF(OR($A110="",$AF110=""),"",MAX(0,$AA110+$AD110-$AF110))</f>
        <v/>
      </c>
      <c r="AH110" s="30" t="str">
        <f aca="false">IF(OR($A110="",$AI110=""),"",IFERROR(IF(INDEX(photos!$H$2:$H$701,MATCH($A110&amp;"|"&amp;$B110&amp;"|later|Y|"&amp;$AI110,photos!$S$2:$S$701,0))="","",INDEX(photos!$H$2:$H$701,MATCH($A110&amp;"|"&amp;$B110&amp;"|later|Y|"&amp;$AI110,photos!$S$2:$S$701,0))),""))</f>
        <v/>
      </c>
      <c r="AI110" s="31" t="str">
        <f aca="false">IF($A110="","",IFERROR(1/(1/SUMPRODUCT(MAX((photos!$B$2:$B$701=$A110)*(photos!$C$2:$C$701=$B110)*(photos!$D$2:$D$701="later")*(photos!$O$2:$O$701="Y")*photos!$E$2:$E$701))),""))</f>
        <v/>
      </c>
      <c r="AJ110" s="30" t="str">
        <f aca="false">IF(OR($A110="",$AI110="",$I110=""),"",NETWORKDAYS($I110,$AI110,calendar!$A$2:$A$80))</f>
        <v/>
      </c>
      <c r="AK110" s="30" t="str">
        <f aca="false">IF($A110="","",IF(AND($X110&lt;&gt;"",$AH110&lt;&gt;""),"Y","N"))</f>
        <v/>
      </c>
      <c r="AL110" s="30" t="str">
        <f aca="true">IF(OR($A110="",$I110=""),"",IF($BC110="Y",SUMIFS(survey_frozen!$C$2:$C$251,survey_frozen!$P$2:$P$251,$A110&amp;"|"&amp;$B110),IFERROR(COUNTIFS(INDIRECT("'"&amp;$A110&amp;"'!$B$2:$B$501"),$T110,INDIRECT("'"&amp;$A110&amp;"'!$A$2:$A$501"),"&gt;="&amp;$I110,INDIRECT("'"&amp;$A110&amp;"'!$A$2:$A$501"),"&lt;"&amp;($BA110+1)),0)))</f>
        <v/>
      </c>
      <c r="AM110" s="30" t="str">
        <f aca="true">IF(OR($A110="",$I110=""),"",IF($BC110="Y",SUMIFS(survey_frozen!$D$2:$D$251,survey_frozen!$P$2:$P$251,$A110&amp;"|"&amp;$B110),IFERROR(COUNTIFS(INDIRECT("'"&amp;$A110&amp;"'!$B$2:$B$501"),$T110,INDIRECT("'"&amp;$A110&amp;"'!$A$2:$A$501"),"&gt;="&amp;$I110,INDIRECT("'"&amp;$A110&amp;"'!$A$2:$A$501"),"&lt;"&amp;($BA110+1),INDIRECT("'"&amp;$A110&amp;"'!$C$2:$C$501"),"Yes"),0)))</f>
        <v/>
      </c>
      <c r="AN110" s="30" t="str">
        <f aca="false">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30" t="str">
        <f aca="false">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30" t="str">
        <f aca="true">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30" t="str">
        <f aca="true">IF(OR($A110="",$I110=""),"",IF($BC110="Y",SUMIFS(survey_frozen!$E$2:$E$251,survey_frozen!$P$2:$P$251,$A110&amp;"|"&amp;$B110),IFERROR(COUNTIFS(INDIRECT("'"&amp;$A110&amp;"'!$B$2:$B$501"),$T110,INDIRECT("'"&amp;$A110&amp;"'!$A$2:$A$501"),"&gt;="&amp;$I110,INDIRECT("'"&amp;$A110&amp;"'!$A$2:$A$501"),"&lt;"&amp;($BA110+1),INDIRECT("'"&amp;$A110&amp;"'!$F$2:$F$501"),"Didn't see it"),0)))</f>
        <v/>
      </c>
      <c r="AR110" s="30" t="str">
        <f aca="true">IF(OR($A110="",$I110=""),"",IF($BC110="Y",SUMIFS(survey_frozen!$F$2:$F$251,survey_frozen!$P$2:$P$251,$A110&amp;"|"&amp;$B110),IFERROR(COUNTIFS(INDIRECT("'"&amp;$A110&amp;"'!$B$2:$B$501"),$T110,INDIRECT("'"&amp;$A110&amp;"'!$A$2:$A$501"),"&gt;="&amp;$I110,INDIRECT("'"&amp;$A110&amp;"'!$A$2:$A$501"),"&lt;"&amp;($BA110+1),INDIRECT("'"&amp;$A110&amp;"'!$F$2:$F$501"),"Not for me"),0)))</f>
        <v/>
      </c>
      <c r="AS110" s="30" t="str">
        <f aca="true">IF(OR($A110="",$I110=""),"",IF($BC110="Y",SUMIFS(survey_frozen!$G$2:$G$251,survey_frozen!$P$2:$P$251,$A110&amp;"|"&amp;$B110),IFERROR(COUNTIFS(INDIRECT("'"&amp;$A110&amp;"'!$B$2:$B$501"),$T110,INDIRECT("'"&amp;$A110&amp;"'!$A$2:$A$501"),"&gt;="&amp;$I110,INDIRECT("'"&amp;$A110&amp;"'!$A$2:$A$501"),"&lt;"&amp;($BA110+1),INDIRECT("'"&amp;$A110&amp;"'!$F$2:$F$501"),"Gone by the time I looked"),0)))</f>
        <v/>
      </c>
      <c r="AT110" s="30" t="str">
        <f aca="true">IF(OR($A110="",$I110=""),"",IF($BC110="Y",SUMIFS(survey_frozen!$H$2:$H$251,survey_frozen!$P$2:$P$251,$A110&amp;"|"&amp;$B110),IFERROR(COUNTIFS(INDIRECT("'"&amp;$A110&amp;"'!$B$2:$B$501"),$T110,INDIRECT("'"&amp;$A110&amp;"'!$A$2:$A$501"),"&gt;="&amp;$I110,INDIRECT("'"&amp;$A110&amp;"'!$A$2:$A$501"),"&lt;"&amp;($BA110+1),INDIRECT("'"&amp;$A110&amp;"'!$D$2:$D$501"),"&gt;=1"),0)))</f>
        <v/>
      </c>
      <c r="AU110" s="30" t="str">
        <f aca="true">IF(OR($A110="",$I110=""),"",IF($BC110="Y",SUMIFS(survey_frozen!$I$2:$I$251,survey_frozen!$P$2:$P$251,$A110&amp;"|"&amp;$B110),IFERROR(SUMIFS(INDIRECT("'"&amp;$A110&amp;"'!$D$2:$D$501"),INDIRECT("'"&amp;$A110&amp;"'!$B$2:$B$501"),$T110,INDIRECT("'"&amp;$A110&amp;"'!$A$2:$A$501"),"&gt;="&amp;$I110,INDIRECT("'"&amp;$A110&amp;"'!$A$2:$A$501"),"&lt;"&amp;($BA110+1)),0)))</f>
        <v/>
      </c>
      <c r="AV110" s="30" t="str">
        <f aca="true">IF(OR($A110="",$I110=""),"",IF($BC110="Y",SUMIFS(survey_frozen!$J$2:$J$251,survey_frozen!$P$2:$P$251,$A110&amp;"|"&amp;$B110),IFERROR(COUNTIFS(INDIRECT("'"&amp;$A110&amp;"'!$B$2:$B$501"),$T110,INDIRECT("'"&amp;$A110&amp;"'!$A$2:$A$501"),"&gt;="&amp;$I110,INDIRECT("'"&amp;$A110&amp;"'!$A$2:$A$501"),"&lt;"&amp;($BA110+1),INDIRECT("'"&amp;$A110&amp;"'!$E$2:$E$501"),"Yes"),0)))</f>
        <v/>
      </c>
      <c r="AW110" s="30" t="str">
        <f aca="true">IF(OR($A110="",$I110=""),"",IF($BC110="Y",SUMIFS(survey_frozen!$K$2:$K$251,survey_frozen!$P$2:$P$251,$A110&amp;"|"&amp;$B110),IFERROR(COUNTIFS(INDIRECT("'"&amp;$A110&amp;"'!$B$2:$B$501"),$T110,INDIRECT("'"&amp;$A110&amp;"'!$A$2:$A$501"),"&gt;="&amp;$I110,INDIRECT("'"&amp;$A110&amp;"'!$A$2:$A$501"),"&lt;"&amp;($BA110+1),INDIRECT("'"&amp;$A110&amp;"'!$E$2:$E$501"),"Maybe"),0)))</f>
        <v/>
      </c>
      <c r="AX110" s="30" t="str">
        <f aca="true">IF(OR($A110="",$I110=""),"",IF($BC110="Y",SUMIFS(survey_frozen!$L$2:$L$251,survey_frozen!$P$2:$P$251,$A110&amp;"|"&amp;$B110),IFERROR(COUNTIFS(INDIRECT("'"&amp;$A110&amp;"'!$B$2:$B$501"),$T110,INDIRECT("'"&amp;$A110&amp;"'!$A$2:$A$501"),"&gt;="&amp;$I110,INDIRECT("'"&amp;$A110&amp;"'!$A$2:$A$501"),"&lt;"&amp;($BA110+1),INDIRECT("'"&amp;$A110&amp;"'!$E$2:$E$501"),"No"),0)))</f>
        <v/>
      </c>
      <c r="AY110" s="30" t="str">
        <f aca="true">IF(OR($A110="",$I110=""),"",IF($BC110="Y",SUMIFS(survey_frozen!$M$2:$M$251,survey_frozen!$P$2:$P$251,$A110&amp;"|"&amp;$B110),IFERROR(COUNTIFS(INDIRECT("'"&amp;$A110&amp;"'!$B$2:$B$501"),$T110,INDIRECT("'"&amp;$A110&amp;"'!$A$2:$A$501"),"&gt;="&amp;$I110,INDIRECT("'"&amp;$A110&amp;"'!$A$2:$A$501"),"&lt;"&amp;($BA110+1),INDIRECT("'"&amp;$A110&amp;"'!$G$2:$G$501"),"&lt;&gt;"),0)))</f>
        <v/>
      </c>
      <c r="AZ110" s="30" t="str">
        <f aca="false">IF($A110="","",$A110&amp;"|"&amp;$L110)</f>
        <v/>
      </c>
      <c r="BA110" s="31" t="str">
        <f aca="false">IF($A110="","",IFERROR(IF(INDEX(drops!$R$2:$R$21,MATCH($H110,drops!$A$2:$A$21,0))="","",INDEX(drops!$R$2:$R$21,MATCH($H110,drops!$A$2:$A$21,0))),""))</f>
        <v/>
      </c>
      <c r="BB110" s="30" t="n">
        <f aca="false">IF(OR($A110="",$Q110&lt;&gt;"Y"),1000000,N($AL110))</f>
        <v>1000000</v>
      </c>
      <c r="BC110" s="30" t="str">
        <f aca="false">IF($A110="","",IF(COUNTIF(survey_frozen!$P$2:$P$251,$A110&amp;"|"&amp;$B110)&gt;0,"Y",""))</f>
        <v/>
      </c>
      <c r="BD110" s="30" t="str">
        <f aca="false">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ustomFormat="false" ht="15" hidden="false" customHeight="false" outlineLevel="0" collapsed="false">
      <c r="C111" s="11"/>
      <c r="D111" s="10"/>
      <c r="E111" s="11"/>
      <c r="H111" s="30" t="str">
        <f aca="false">IF($A111="","",IFERROR(IF(INDEX(campaigns!$B$2:$B$51,MATCH($A111,campaigns!$A$2:$A$51,0))="","",INDEX(campaigns!$B$2:$B$51,MATCH($A111,campaigns!$A$2:$A$51,0))),""))</f>
        <v/>
      </c>
      <c r="I111" s="31" t="str">
        <f aca="false">IF($A111="","",IFERROR(IF(INDEX(campaigns!$BG$2:$BG$51,MATCH($A111,campaigns!$A$2:$A$51,0))="","",INDEX(campaigns!$BG$2:$BG$51,MATCH($A111,campaigns!$A$2:$A$51,0))),""))</f>
        <v/>
      </c>
      <c r="J111" s="30" t="str">
        <f aca="false">IF($A111="","",IFERROR(IF(INDEX(campaigns!$BE$2:$BE$51,MATCH($A111,campaigns!$A$2:$A$51,0))="","",INDEX(campaigns!$BE$2:$BE$51,MATCH($A111,campaigns!$A$2:$A$51,0))),""))</f>
        <v/>
      </c>
      <c r="K111" s="30" t="str">
        <f aca="false">IF($B111="","",IFERROR(IF(INDEX(offices!$O$2:$O$61,MATCH($B111,offices!$A$2:$A$61,0))="","",INDEX(offices!$O$2:$O$61,MATCH($B111,offices!$A$2:$A$61,0))),""))</f>
        <v/>
      </c>
      <c r="L111" s="30" t="str">
        <f aca="false">IF($A111="","",IF($Q111="N","",COUNTIFS($A$2:$A111,$A111,$Q$2:$Q111,"&lt;&gt;N")))</f>
        <v/>
      </c>
      <c r="M111" s="30" t="str">
        <f aca="false">IF(OR($A111="",$L111=""),"",IF(AND(config!$B$34="names_if_public",IFERROR(IF(INDEX(offices!$AG$2:$AG$61,MATCH($B111,offices!$A$2:$A$61,0))="","",INDEX(offices!$AG$2:$AG$61,MATCH($B111,offices!$A$2:$A$61,0))),"")="Y"),$K111,CHAR(64+$L111)))</f>
        <v/>
      </c>
      <c r="N111" s="30" t="str">
        <f aca="false">IF(OR($A111="",$I111=""),"",COUNTIFS(stops!$B$2:$B$151,$B111,stops!$P$2:$P$151,"&lt;"&amp;$I111,stops!$L$2:$L$151,"&lt;&gt;not_delivered")+1)</f>
        <v/>
      </c>
      <c r="O111" s="30" t="str">
        <f aca="false">IF($A111="","",IF(N($N111)&lt;=config!$B$29,"explicit","opt-out"))</f>
        <v/>
      </c>
      <c r="P111" s="30" t="str">
        <f aca="false">IF($A111="","",IF($O111="explicit",IF($D111="yes","Y",IF($D111="no","N","pending")),IF($D111="no","N",IF(AND($C111&lt;&gt;"",$I111&lt;&gt;"",$C111&lt;=WORKDAY(N($I111),-5,calendar!$A$2:$A$80)),"Y","pending"))))</f>
        <v/>
      </c>
      <c r="Q111" s="30" t="str">
        <f aca="false">IF($A111="","",IF($P111="N","N",IF($P111&lt;&gt;"Y","pending",IF(AND((COUNTIFS(stops!$A$2:$A$151,$H111,stops!$B$2:$B$151,$B111,stops!$L$2:$L$151,"declined")+COUNTIFS(stops!$A$2:$A$151,$H111,stops!$B$2:$B$151,$B111,stops!$L$2:$L$151,"building_refused")+COUNTIFS(stops!$A$2:$A$151,$H111,stops!$B$2:$B$151,$B111,stops!$L$2:$L$151,"not_delivered"))&gt;0,N($U111)=0),"N","Y"))))</f>
        <v/>
      </c>
      <c r="R111" s="30" t="str">
        <f aca="false">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30" t="str">
        <f aca="false">IF($A111="","",IF($G111&lt;&gt;"",$G111,IFERROR(IF(INDEX(offices!$AM$2:$AM$61,MATCH($B111,offices!$A$2:$A$61,0))="","",INDEX(offices!$AM$2:$AM$61,MATCH($B111,offices!$A$2:$A$61,0))),"")))</f>
        <v/>
      </c>
      <c r="T111" s="30" t="str">
        <f aca="false">IF($A111="","",$A111&amp;"."&amp;$B111)</f>
        <v/>
      </c>
      <c r="U111" s="30" t="str">
        <f aca="false">IF($A111="","",SUMIFS(inventory!$G$2:$G$801,inventory!$C$2:$C$801,$A111,inventory!$D$2:$D$801,$B111,inventory!$E$2:$E$801,"delivered"))</f>
        <v/>
      </c>
      <c r="V111" s="37" t="str">
        <f aca="false">IF($A111="","",IFERROR(1/(1/SUMPRODUCT(MAX((inventory!$C$2:$C$801=$A111)*(inventory!$D$2:$D$801=$B111)*(inventory!$E$2:$E$801="delivered")*(inventory!$A$2:$A$801+inventory!$B$2:$B$801)))),""))</f>
        <v/>
      </c>
      <c r="W111" s="30" t="str">
        <f aca="false">IF($A111="","",IFERROR(IF(INDEX(inventory!$J$2:$J$801,MATCH($A111&amp;"|"&amp;$B111&amp;"|delivered",inventory!$R$2:$R$801,0))="","",INDEX(inventory!$J$2:$J$801,MATCH($A111&amp;"|"&amp;$B111&amp;"|delivered",inventory!$R$2:$R$801,0))),""))</f>
        <v/>
      </c>
      <c r="X111" s="30" t="str">
        <f aca="false">IF($A111="","",IFERROR(IF(INDEX(photos!$H$2:$H$701,MATCH($A111&amp;"|"&amp;$B111&amp;"|placement|Y",photos!$R$2:$R$701,0))="","",INDEX(photos!$H$2:$H$701,MATCH($A111&amp;"|"&amp;$B111&amp;"|placement|Y",photos!$R$2:$R$701,0))),""))</f>
        <v/>
      </c>
      <c r="Y111" s="31" t="str">
        <f aca="false">IF($A111="","",IFERROR(IF(INDEX(photos!$E$2:$E$701,MATCH($A111&amp;"|"&amp;$B111&amp;"|placement|Y",photos!$R$2:$R$701,0))="","",INDEX(photos!$E$2:$E$701,MATCH($A111&amp;"|"&amp;$B111&amp;"|placement|Y",photos!$R$2:$R$701,0))),""))</f>
        <v/>
      </c>
      <c r="Z111" s="30" t="str">
        <f aca="false">IF($A111="","",IF(COUNTIFS(counts!$C$2:$C$701,$A111,counts!$D$2:$D$701,$B111,counts!$E$2:$E$701,"placed")=0,"",SUMIFS(counts!$F$2:$F$701,counts!$C$2:$C$701,$A111,counts!$D$2:$D$701,$B111,counts!$E$2:$E$701,"placed")))</f>
        <v/>
      </c>
      <c r="AA111" s="30" t="str">
        <f aca="false">IF($A111="","",IF($Y111="",0,N($Z111)))</f>
        <v/>
      </c>
      <c r="AB111" s="30" t="str">
        <f aca="false">IF($A111="","",IF(OR($Y111="",$I111=""),"N",IF($Y111&lt;=WORKDAY(N($I111),1,calendar!$A$2:$A$80),"Y","N")))</f>
        <v/>
      </c>
      <c r="AC111" s="33" t="str">
        <f aca="false">IF(OR($A111="",$V111="",$Y111=""),"",ROUND(($Y111+N(IFERROR(IF(INDEX(photos!$F$2:$F$701,MATCH($A111&amp;"|"&amp;$B111&amp;"|placement|Y",photos!$R$2:$R$701,0))="","",INDEX(photos!$F$2:$F$701,MATCH($A111&amp;"|"&amp;$B111&amp;"|placement|Y",photos!$R$2:$R$701,0))),""))-$V111)*24,1))</f>
        <v/>
      </c>
      <c r="AD111" s="30" t="str">
        <f aca="false">IF($A111="","",SUMIFS(inventory!$G$2:$G$801,inventory!$C$2:$C$801,$A111,inventory!$D$2:$D$801,$B111,inventory!$E$2:$E$801,"topped_up"))</f>
        <v/>
      </c>
      <c r="AE111" s="30" t="str">
        <f aca="false">IF($A111="","",IF(COUNTIFS(counts!$C$2:$C$701,$A111,counts!$D$2:$D$701,$B111,counts!$E$2:$E$701,"remaining_day3")=0,"",SUMIFS(counts!$F$2:$F$701,counts!$C$2:$C$701,$A111,counts!$D$2:$D$701,$B111,counts!$E$2:$E$701,"remaining_day3")))</f>
        <v/>
      </c>
      <c r="AF111" s="30" t="str">
        <f aca="false">IF($A111="","",IF(COUNTIFS(counts!$C$2:$C$701,$A111,counts!$D$2:$D$701,$B111,counts!$E$2:$E$701,"remaining_day5")=0,"",SUMIFS(counts!$F$2:$F$701,counts!$C$2:$C$701,$A111,counts!$D$2:$D$701,$B111,counts!$E$2:$E$701,"remaining_day5")))</f>
        <v/>
      </c>
      <c r="AG111" s="30" t="str">
        <f aca="false">IF(OR($A111="",$AF111=""),"",MAX(0,$AA111+$AD111-$AF111))</f>
        <v/>
      </c>
      <c r="AH111" s="30" t="str">
        <f aca="false">IF(OR($A111="",$AI111=""),"",IFERROR(IF(INDEX(photos!$H$2:$H$701,MATCH($A111&amp;"|"&amp;$B111&amp;"|later|Y|"&amp;$AI111,photos!$S$2:$S$701,0))="","",INDEX(photos!$H$2:$H$701,MATCH($A111&amp;"|"&amp;$B111&amp;"|later|Y|"&amp;$AI111,photos!$S$2:$S$701,0))),""))</f>
        <v/>
      </c>
      <c r="AI111" s="31" t="str">
        <f aca="false">IF($A111="","",IFERROR(1/(1/SUMPRODUCT(MAX((photos!$B$2:$B$701=$A111)*(photos!$C$2:$C$701=$B111)*(photos!$D$2:$D$701="later")*(photos!$O$2:$O$701="Y")*photos!$E$2:$E$701))),""))</f>
        <v/>
      </c>
      <c r="AJ111" s="30" t="str">
        <f aca="false">IF(OR($A111="",$AI111="",$I111=""),"",NETWORKDAYS($I111,$AI111,calendar!$A$2:$A$80))</f>
        <v/>
      </c>
      <c r="AK111" s="30" t="str">
        <f aca="false">IF($A111="","",IF(AND($X111&lt;&gt;"",$AH111&lt;&gt;""),"Y","N"))</f>
        <v/>
      </c>
      <c r="AL111" s="30" t="str">
        <f aca="true">IF(OR($A111="",$I111=""),"",IF($BC111="Y",SUMIFS(survey_frozen!$C$2:$C$251,survey_frozen!$P$2:$P$251,$A111&amp;"|"&amp;$B111),IFERROR(COUNTIFS(INDIRECT("'"&amp;$A111&amp;"'!$B$2:$B$501"),$T111,INDIRECT("'"&amp;$A111&amp;"'!$A$2:$A$501"),"&gt;="&amp;$I111,INDIRECT("'"&amp;$A111&amp;"'!$A$2:$A$501"),"&lt;"&amp;($BA111+1)),0)))</f>
        <v/>
      </c>
      <c r="AM111" s="30" t="str">
        <f aca="true">IF(OR($A111="",$I111=""),"",IF($BC111="Y",SUMIFS(survey_frozen!$D$2:$D$251,survey_frozen!$P$2:$P$251,$A111&amp;"|"&amp;$B111),IFERROR(COUNTIFS(INDIRECT("'"&amp;$A111&amp;"'!$B$2:$B$501"),$T111,INDIRECT("'"&amp;$A111&amp;"'!$A$2:$A$501"),"&gt;="&amp;$I111,INDIRECT("'"&amp;$A111&amp;"'!$A$2:$A$501"),"&lt;"&amp;($BA111+1),INDIRECT("'"&amp;$A111&amp;"'!$C$2:$C$501"),"Yes"),0)))</f>
        <v/>
      </c>
      <c r="AN111" s="30" t="str">
        <f aca="false">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30" t="str">
        <f aca="false">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30" t="str">
        <f aca="true">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30" t="str">
        <f aca="true">IF(OR($A111="",$I111=""),"",IF($BC111="Y",SUMIFS(survey_frozen!$E$2:$E$251,survey_frozen!$P$2:$P$251,$A111&amp;"|"&amp;$B111),IFERROR(COUNTIFS(INDIRECT("'"&amp;$A111&amp;"'!$B$2:$B$501"),$T111,INDIRECT("'"&amp;$A111&amp;"'!$A$2:$A$501"),"&gt;="&amp;$I111,INDIRECT("'"&amp;$A111&amp;"'!$A$2:$A$501"),"&lt;"&amp;($BA111+1),INDIRECT("'"&amp;$A111&amp;"'!$F$2:$F$501"),"Didn't see it"),0)))</f>
        <v/>
      </c>
      <c r="AR111" s="30" t="str">
        <f aca="true">IF(OR($A111="",$I111=""),"",IF($BC111="Y",SUMIFS(survey_frozen!$F$2:$F$251,survey_frozen!$P$2:$P$251,$A111&amp;"|"&amp;$B111),IFERROR(COUNTIFS(INDIRECT("'"&amp;$A111&amp;"'!$B$2:$B$501"),$T111,INDIRECT("'"&amp;$A111&amp;"'!$A$2:$A$501"),"&gt;="&amp;$I111,INDIRECT("'"&amp;$A111&amp;"'!$A$2:$A$501"),"&lt;"&amp;($BA111+1),INDIRECT("'"&amp;$A111&amp;"'!$F$2:$F$501"),"Not for me"),0)))</f>
        <v/>
      </c>
      <c r="AS111" s="30" t="str">
        <f aca="true">IF(OR($A111="",$I111=""),"",IF($BC111="Y",SUMIFS(survey_frozen!$G$2:$G$251,survey_frozen!$P$2:$P$251,$A111&amp;"|"&amp;$B111),IFERROR(COUNTIFS(INDIRECT("'"&amp;$A111&amp;"'!$B$2:$B$501"),$T111,INDIRECT("'"&amp;$A111&amp;"'!$A$2:$A$501"),"&gt;="&amp;$I111,INDIRECT("'"&amp;$A111&amp;"'!$A$2:$A$501"),"&lt;"&amp;($BA111+1),INDIRECT("'"&amp;$A111&amp;"'!$F$2:$F$501"),"Gone by the time I looked"),0)))</f>
        <v/>
      </c>
      <c r="AT111" s="30" t="str">
        <f aca="true">IF(OR($A111="",$I111=""),"",IF($BC111="Y",SUMIFS(survey_frozen!$H$2:$H$251,survey_frozen!$P$2:$P$251,$A111&amp;"|"&amp;$B111),IFERROR(COUNTIFS(INDIRECT("'"&amp;$A111&amp;"'!$B$2:$B$501"),$T111,INDIRECT("'"&amp;$A111&amp;"'!$A$2:$A$501"),"&gt;="&amp;$I111,INDIRECT("'"&amp;$A111&amp;"'!$A$2:$A$501"),"&lt;"&amp;($BA111+1),INDIRECT("'"&amp;$A111&amp;"'!$D$2:$D$501"),"&gt;=1"),0)))</f>
        <v/>
      </c>
      <c r="AU111" s="30" t="str">
        <f aca="true">IF(OR($A111="",$I111=""),"",IF($BC111="Y",SUMIFS(survey_frozen!$I$2:$I$251,survey_frozen!$P$2:$P$251,$A111&amp;"|"&amp;$B111),IFERROR(SUMIFS(INDIRECT("'"&amp;$A111&amp;"'!$D$2:$D$501"),INDIRECT("'"&amp;$A111&amp;"'!$B$2:$B$501"),$T111,INDIRECT("'"&amp;$A111&amp;"'!$A$2:$A$501"),"&gt;="&amp;$I111,INDIRECT("'"&amp;$A111&amp;"'!$A$2:$A$501"),"&lt;"&amp;($BA111+1)),0)))</f>
        <v/>
      </c>
      <c r="AV111" s="30" t="str">
        <f aca="true">IF(OR($A111="",$I111=""),"",IF($BC111="Y",SUMIFS(survey_frozen!$J$2:$J$251,survey_frozen!$P$2:$P$251,$A111&amp;"|"&amp;$B111),IFERROR(COUNTIFS(INDIRECT("'"&amp;$A111&amp;"'!$B$2:$B$501"),$T111,INDIRECT("'"&amp;$A111&amp;"'!$A$2:$A$501"),"&gt;="&amp;$I111,INDIRECT("'"&amp;$A111&amp;"'!$A$2:$A$501"),"&lt;"&amp;($BA111+1),INDIRECT("'"&amp;$A111&amp;"'!$E$2:$E$501"),"Yes"),0)))</f>
        <v/>
      </c>
      <c r="AW111" s="30" t="str">
        <f aca="true">IF(OR($A111="",$I111=""),"",IF($BC111="Y",SUMIFS(survey_frozen!$K$2:$K$251,survey_frozen!$P$2:$P$251,$A111&amp;"|"&amp;$B111),IFERROR(COUNTIFS(INDIRECT("'"&amp;$A111&amp;"'!$B$2:$B$501"),$T111,INDIRECT("'"&amp;$A111&amp;"'!$A$2:$A$501"),"&gt;="&amp;$I111,INDIRECT("'"&amp;$A111&amp;"'!$A$2:$A$501"),"&lt;"&amp;($BA111+1),INDIRECT("'"&amp;$A111&amp;"'!$E$2:$E$501"),"Maybe"),0)))</f>
        <v/>
      </c>
      <c r="AX111" s="30" t="str">
        <f aca="true">IF(OR($A111="",$I111=""),"",IF($BC111="Y",SUMIFS(survey_frozen!$L$2:$L$251,survey_frozen!$P$2:$P$251,$A111&amp;"|"&amp;$B111),IFERROR(COUNTIFS(INDIRECT("'"&amp;$A111&amp;"'!$B$2:$B$501"),$T111,INDIRECT("'"&amp;$A111&amp;"'!$A$2:$A$501"),"&gt;="&amp;$I111,INDIRECT("'"&amp;$A111&amp;"'!$A$2:$A$501"),"&lt;"&amp;($BA111+1),INDIRECT("'"&amp;$A111&amp;"'!$E$2:$E$501"),"No"),0)))</f>
        <v/>
      </c>
      <c r="AY111" s="30" t="str">
        <f aca="true">IF(OR($A111="",$I111=""),"",IF($BC111="Y",SUMIFS(survey_frozen!$M$2:$M$251,survey_frozen!$P$2:$P$251,$A111&amp;"|"&amp;$B111),IFERROR(COUNTIFS(INDIRECT("'"&amp;$A111&amp;"'!$B$2:$B$501"),$T111,INDIRECT("'"&amp;$A111&amp;"'!$A$2:$A$501"),"&gt;="&amp;$I111,INDIRECT("'"&amp;$A111&amp;"'!$A$2:$A$501"),"&lt;"&amp;($BA111+1),INDIRECT("'"&amp;$A111&amp;"'!$G$2:$G$501"),"&lt;&gt;"),0)))</f>
        <v/>
      </c>
      <c r="AZ111" s="30" t="str">
        <f aca="false">IF($A111="","",$A111&amp;"|"&amp;$L111)</f>
        <v/>
      </c>
      <c r="BA111" s="31" t="str">
        <f aca="false">IF($A111="","",IFERROR(IF(INDEX(drops!$R$2:$R$21,MATCH($H111,drops!$A$2:$A$21,0))="","",INDEX(drops!$R$2:$R$21,MATCH($H111,drops!$A$2:$A$21,0))),""))</f>
        <v/>
      </c>
      <c r="BB111" s="30" t="n">
        <f aca="false">IF(OR($A111="",$Q111&lt;&gt;"Y"),1000000,N($AL111))</f>
        <v>1000000</v>
      </c>
      <c r="BC111" s="30" t="str">
        <f aca="false">IF($A111="","",IF(COUNTIF(survey_frozen!$P$2:$P$251,$A111&amp;"|"&amp;$B111)&gt;0,"Y",""))</f>
        <v/>
      </c>
      <c r="BD111" s="30" t="str">
        <f aca="false">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ustomFormat="false" ht="15" hidden="false" customHeight="false" outlineLevel="0" collapsed="false">
      <c r="C112" s="11"/>
      <c r="D112" s="10"/>
      <c r="E112" s="11"/>
      <c r="H112" s="30" t="str">
        <f aca="false">IF($A112="","",IFERROR(IF(INDEX(campaigns!$B$2:$B$51,MATCH($A112,campaigns!$A$2:$A$51,0))="","",INDEX(campaigns!$B$2:$B$51,MATCH($A112,campaigns!$A$2:$A$51,0))),""))</f>
        <v/>
      </c>
      <c r="I112" s="31" t="str">
        <f aca="false">IF($A112="","",IFERROR(IF(INDEX(campaigns!$BG$2:$BG$51,MATCH($A112,campaigns!$A$2:$A$51,0))="","",INDEX(campaigns!$BG$2:$BG$51,MATCH($A112,campaigns!$A$2:$A$51,0))),""))</f>
        <v/>
      </c>
      <c r="J112" s="30" t="str">
        <f aca="false">IF($A112="","",IFERROR(IF(INDEX(campaigns!$BE$2:$BE$51,MATCH($A112,campaigns!$A$2:$A$51,0))="","",INDEX(campaigns!$BE$2:$BE$51,MATCH($A112,campaigns!$A$2:$A$51,0))),""))</f>
        <v/>
      </c>
      <c r="K112" s="30" t="str">
        <f aca="false">IF($B112="","",IFERROR(IF(INDEX(offices!$O$2:$O$61,MATCH($B112,offices!$A$2:$A$61,0))="","",INDEX(offices!$O$2:$O$61,MATCH($B112,offices!$A$2:$A$61,0))),""))</f>
        <v/>
      </c>
      <c r="L112" s="30" t="str">
        <f aca="false">IF($A112="","",IF($Q112="N","",COUNTIFS($A$2:$A112,$A112,$Q$2:$Q112,"&lt;&gt;N")))</f>
        <v/>
      </c>
      <c r="M112" s="30" t="str">
        <f aca="false">IF(OR($A112="",$L112=""),"",IF(AND(config!$B$34="names_if_public",IFERROR(IF(INDEX(offices!$AG$2:$AG$61,MATCH($B112,offices!$A$2:$A$61,0))="","",INDEX(offices!$AG$2:$AG$61,MATCH($B112,offices!$A$2:$A$61,0))),"")="Y"),$K112,CHAR(64+$L112)))</f>
        <v/>
      </c>
      <c r="N112" s="30" t="str">
        <f aca="false">IF(OR($A112="",$I112=""),"",COUNTIFS(stops!$B$2:$B$151,$B112,stops!$P$2:$P$151,"&lt;"&amp;$I112,stops!$L$2:$L$151,"&lt;&gt;not_delivered")+1)</f>
        <v/>
      </c>
      <c r="O112" s="30" t="str">
        <f aca="false">IF($A112="","",IF(N($N112)&lt;=config!$B$29,"explicit","opt-out"))</f>
        <v/>
      </c>
      <c r="P112" s="30" t="str">
        <f aca="false">IF($A112="","",IF($O112="explicit",IF($D112="yes","Y",IF($D112="no","N","pending")),IF($D112="no","N",IF(AND($C112&lt;&gt;"",$I112&lt;&gt;"",$C112&lt;=WORKDAY(N($I112),-5,calendar!$A$2:$A$80)),"Y","pending"))))</f>
        <v/>
      </c>
      <c r="Q112" s="30" t="str">
        <f aca="false">IF($A112="","",IF($P112="N","N",IF($P112&lt;&gt;"Y","pending",IF(AND((COUNTIFS(stops!$A$2:$A$151,$H112,stops!$B$2:$B$151,$B112,stops!$L$2:$L$151,"declined")+COUNTIFS(stops!$A$2:$A$151,$H112,stops!$B$2:$B$151,$B112,stops!$L$2:$L$151,"building_refused")+COUNTIFS(stops!$A$2:$A$151,$H112,stops!$B$2:$B$151,$B112,stops!$L$2:$L$151,"not_delivered"))&gt;0,N($U112)=0),"N","Y"))))</f>
        <v/>
      </c>
      <c r="R112" s="30" t="str">
        <f aca="false">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30" t="str">
        <f aca="false">IF($A112="","",IF($G112&lt;&gt;"",$G112,IFERROR(IF(INDEX(offices!$AM$2:$AM$61,MATCH($B112,offices!$A$2:$A$61,0))="","",INDEX(offices!$AM$2:$AM$61,MATCH($B112,offices!$A$2:$A$61,0))),"")))</f>
        <v/>
      </c>
      <c r="T112" s="30" t="str">
        <f aca="false">IF($A112="","",$A112&amp;"."&amp;$B112)</f>
        <v/>
      </c>
      <c r="U112" s="30" t="str">
        <f aca="false">IF($A112="","",SUMIFS(inventory!$G$2:$G$801,inventory!$C$2:$C$801,$A112,inventory!$D$2:$D$801,$B112,inventory!$E$2:$E$801,"delivered"))</f>
        <v/>
      </c>
      <c r="V112" s="37" t="str">
        <f aca="false">IF($A112="","",IFERROR(1/(1/SUMPRODUCT(MAX((inventory!$C$2:$C$801=$A112)*(inventory!$D$2:$D$801=$B112)*(inventory!$E$2:$E$801="delivered")*(inventory!$A$2:$A$801+inventory!$B$2:$B$801)))),""))</f>
        <v/>
      </c>
      <c r="W112" s="30" t="str">
        <f aca="false">IF($A112="","",IFERROR(IF(INDEX(inventory!$J$2:$J$801,MATCH($A112&amp;"|"&amp;$B112&amp;"|delivered",inventory!$R$2:$R$801,0))="","",INDEX(inventory!$J$2:$J$801,MATCH($A112&amp;"|"&amp;$B112&amp;"|delivered",inventory!$R$2:$R$801,0))),""))</f>
        <v/>
      </c>
      <c r="X112" s="30" t="str">
        <f aca="false">IF($A112="","",IFERROR(IF(INDEX(photos!$H$2:$H$701,MATCH($A112&amp;"|"&amp;$B112&amp;"|placement|Y",photos!$R$2:$R$701,0))="","",INDEX(photos!$H$2:$H$701,MATCH($A112&amp;"|"&amp;$B112&amp;"|placement|Y",photos!$R$2:$R$701,0))),""))</f>
        <v/>
      </c>
      <c r="Y112" s="31" t="str">
        <f aca="false">IF($A112="","",IFERROR(IF(INDEX(photos!$E$2:$E$701,MATCH($A112&amp;"|"&amp;$B112&amp;"|placement|Y",photos!$R$2:$R$701,0))="","",INDEX(photos!$E$2:$E$701,MATCH($A112&amp;"|"&amp;$B112&amp;"|placement|Y",photos!$R$2:$R$701,0))),""))</f>
        <v/>
      </c>
      <c r="Z112" s="30" t="str">
        <f aca="false">IF($A112="","",IF(COUNTIFS(counts!$C$2:$C$701,$A112,counts!$D$2:$D$701,$B112,counts!$E$2:$E$701,"placed")=0,"",SUMIFS(counts!$F$2:$F$701,counts!$C$2:$C$701,$A112,counts!$D$2:$D$701,$B112,counts!$E$2:$E$701,"placed")))</f>
        <v/>
      </c>
      <c r="AA112" s="30" t="str">
        <f aca="false">IF($A112="","",IF($Y112="",0,N($Z112)))</f>
        <v/>
      </c>
      <c r="AB112" s="30" t="str">
        <f aca="false">IF($A112="","",IF(OR($Y112="",$I112=""),"N",IF($Y112&lt;=WORKDAY(N($I112),1,calendar!$A$2:$A$80),"Y","N")))</f>
        <v/>
      </c>
      <c r="AC112" s="33" t="str">
        <f aca="false">IF(OR($A112="",$V112="",$Y112=""),"",ROUND(($Y112+N(IFERROR(IF(INDEX(photos!$F$2:$F$701,MATCH($A112&amp;"|"&amp;$B112&amp;"|placement|Y",photos!$R$2:$R$701,0))="","",INDEX(photos!$F$2:$F$701,MATCH($A112&amp;"|"&amp;$B112&amp;"|placement|Y",photos!$R$2:$R$701,0))),""))-$V112)*24,1))</f>
        <v/>
      </c>
      <c r="AD112" s="30" t="str">
        <f aca="false">IF($A112="","",SUMIFS(inventory!$G$2:$G$801,inventory!$C$2:$C$801,$A112,inventory!$D$2:$D$801,$B112,inventory!$E$2:$E$801,"topped_up"))</f>
        <v/>
      </c>
      <c r="AE112" s="30" t="str">
        <f aca="false">IF($A112="","",IF(COUNTIFS(counts!$C$2:$C$701,$A112,counts!$D$2:$D$701,$B112,counts!$E$2:$E$701,"remaining_day3")=0,"",SUMIFS(counts!$F$2:$F$701,counts!$C$2:$C$701,$A112,counts!$D$2:$D$701,$B112,counts!$E$2:$E$701,"remaining_day3")))</f>
        <v/>
      </c>
      <c r="AF112" s="30" t="str">
        <f aca="false">IF($A112="","",IF(COUNTIFS(counts!$C$2:$C$701,$A112,counts!$D$2:$D$701,$B112,counts!$E$2:$E$701,"remaining_day5")=0,"",SUMIFS(counts!$F$2:$F$701,counts!$C$2:$C$701,$A112,counts!$D$2:$D$701,$B112,counts!$E$2:$E$701,"remaining_day5")))</f>
        <v/>
      </c>
      <c r="AG112" s="30" t="str">
        <f aca="false">IF(OR($A112="",$AF112=""),"",MAX(0,$AA112+$AD112-$AF112))</f>
        <v/>
      </c>
      <c r="AH112" s="30" t="str">
        <f aca="false">IF(OR($A112="",$AI112=""),"",IFERROR(IF(INDEX(photos!$H$2:$H$701,MATCH($A112&amp;"|"&amp;$B112&amp;"|later|Y|"&amp;$AI112,photos!$S$2:$S$701,0))="","",INDEX(photos!$H$2:$H$701,MATCH($A112&amp;"|"&amp;$B112&amp;"|later|Y|"&amp;$AI112,photos!$S$2:$S$701,0))),""))</f>
        <v/>
      </c>
      <c r="AI112" s="31" t="str">
        <f aca="false">IF($A112="","",IFERROR(1/(1/SUMPRODUCT(MAX((photos!$B$2:$B$701=$A112)*(photos!$C$2:$C$701=$B112)*(photos!$D$2:$D$701="later")*(photos!$O$2:$O$701="Y")*photos!$E$2:$E$701))),""))</f>
        <v/>
      </c>
      <c r="AJ112" s="30" t="str">
        <f aca="false">IF(OR($A112="",$AI112="",$I112=""),"",NETWORKDAYS($I112,$AI112,calendar!$A$2:$A$80))</f>
        <v/>
      </c>
      <c r="AK112" s="30" t="str">
        <f aca="false">IF($A112="","",IF(AND($X112&lt;&gt;"",$AH112&lt;&gt;""),"Y","N"))</f>
        <v/>
      </c>
      <c r="AL112" s="30" t="str">
        <f aca="true">IF(OR($A112="",$I112=""),"",IF($BC112="Y",SUMIFS(survey_frozen!$C$2:$C$251,survey_frozen!$P$2:$P$251,$A112&amp;"|"&amp;$B112),IFERROR(COUNTIFS(INDIRECT("'"&amp;$A112&amp;"'!$B$2:$B$501"),$T112,INDIRECT("'"&amp;$A112&amp;"'!$A$2:$A$501"),"&gt;="&amp;$I112,INDIRECT("'"&amp;$A112&amp;"'!$A$2:$A$501"),"&lt;"&amp;($BA112+1)),0)))</f>
        <v/>
      </c>
      <c r="AM112" s="30" t="str">
        <f aca="true">IF(OR($A112="",$I112=""),"",IF($BC112="Y",SUMIFS(survey_frozen!$D$2:$D$251,survey_frozen!$P$2:$P$251,$A112&amp;"|"&amp;$B112),IFERROR(COUNTIFS(INDIRECT("'"&amp;$A112&amp;"'!$B$2:$B$501"),$T112,INDIRECT("'"&amp;$A112&amp;"'!$A$2:$A$501"),"&gt;="&amp;$I112,INDIRECT("'"&amp;$A112&amp;"'!$A$2:$A$501"),"&lt;"&amp;($BA112+1),INDIRECT("'"&amp;$A112&amp;"'!$C$2:$C$501"),"Yes"),0)))</f>
        <v/>
      </c>
      <c r="AN112" s="30" t="str">
        <f aca="false">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30" t="str">
        <f aca="false">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30" t="str">
        <f aca="true">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30" t="str">
        <f aca="true">IF(OR($A112="",$I112=""),"",IF($BC112="Y",SUMIFS(survey_frozen!$E$2:$E$251,survey_frozen!$P$2:$P$251,$A112&amp;"|"&amp;$B112),IFERROR(COUNTIFS(INDIRECT("'"&amp;$A112&amp;"'!$B$2:$B$501"),$T112,INDIRECT("'"&amp;$A112&amp;"'!$A$2:$A$501"),"&gt;="&amp;$I112,INDIRECT("'"&amp;$A112&amp;"'!$A$2:$A$501"),"&lt;"&amp;($BA112+1),INDIRECT("'"&amp;$A112&amp;"'!$F$2:$F$501"),"Didn't see it"),0)))</f>
        <v/>
      </c>
      <c r="AR112" s="30" t="str">
        <f aca="true">IF(OR($A112="",$I112=""),"",IF($BC112="Y",SUMIFS(survey_frozen!$F$2:$F$251,survey_frozen!$P$2:$P$251,$A112&amp;"|"&amp;$B112),IFERROR(COUNTIFS(INDIRECT("'"&amp;$A112&amp;"'!$B$2:$B$501"),$T112,INDIRECT("'"&amp;$A112&amp;"'!$A$2:$A$501"),"&gt;="&amp;$I112,INDIRECT("'"&amp;$A112&amp;"'!$A$2:$A$501"),"&lt;"&amp;($BA112+1),INDIRECT("'"&amp;$A112&amp;"'!$F$2:$F$501"),"Not for me"),0)))</f>
        <v/>
      </c>
      <c r="AS112" s="30" t="str">
        <f aca="true">IF(OR($A112="",$I112=""),"",IF($BC112="Y",SUMIFS(survey_frozen!$G$2:$G$251,survey_frozen!$P$2:$P$251,$A112&amp;"|"&amp;$B112),IFERROR(COUNTIFS(INDIRECT("'"&amp;$A112&amp;"'!$B$2:$B$501"),$T112,INDIRECT("'"&amp;$A112&amp;"'!$A$2:$A$501"),"&gt;="&amp;$I112,INDIRECT("'"&amp;$A112&amp;"'!$A$2:$A$501"),"&lt;"&amp;($BA112+1),INDIRECT("'"&amp;$A112&amp;"'!$F$2:$F$501"),"Gone by the time I looked"),0)))</f>
        <v/>
      </c>
      <c r="AT112" s="30" t="str">
        <f aca="true">IF(OR($A112="",$I112=""),"",IF($BC112="Y",SUMIFS(survey_frozen!$H$2:$H$251,survey_frozen!$P$2:$P$251,$A112&amp;"|"&amp;$B112),IFERROR(COUNTIFS(INDIRECT("'"&amp;$A112&amp;"'!$B$2:$B$501"),$T112,INDIRECT("'"&amp;$A112&amp;"'!$A$2:$A$501"),"&gt;="&amp;$I112,INDIRECT("'"&amp;$A112&amp;"'!$A$2:$A$501"),"&lt;"&amp;($BA112+1),INDIRECT("'"&amp;$A112&amp;"'!$D$2:$D$501"),"&gt;=1"),0)))</f>
        <v/>
      </c>
      <c r="AU112" s="30" t="str">
        <f aca="true">IF(OR($A112="",$I112=""),"",IF($BC112="Y",SUMIFS(survey_frozen!$I$2:$I$251,survey_frozen!$P$2:$P$251,$A112&amp;"|"&amp;$B112),IFERROR(SUMIFS(INDIRECT("'"&amp;$A112&amp;"'!$D$2:$D$501"),INDIRECT("'"&amp;$A112&amp;"'!$B$2:$B$501"),$T112,INDIRECT("'"&amp;$A112&amp;"'!$A$2:$A$501"),"&gt;="&amp;$I112,INDIRECT("'"&amp;$A112&amp;"'!$A$2:$A$501"),"&lt;"&amp;($BA112+1)),0)))</f>
        <v/>
      </c>
      <c r="AV112" s="30" t="str">
        <f aca="true">IF(OR($A112="",$I112=""),"",IF($BC112="Y",SUMIFS(survey_frozen!$J$2:$J$251,survey_frozen!$P$2:$P$251,$A112&amp;"|"&amp;$B112),IFERROR(COUNTIFS(INDIRECT("'"&amp;$A112&amp;"'!$B$2:$B$501"),$T112,INDIRECT("'"&amp;$A112&amp;"'!$A$2:$A$501"),"&gt;="&amp;$I112,INDIRECT("'"&amp;$A112&amp;"'!$A$2:$A$501"),"&lt;"&amp;($BA112+1),INDIRECT("'"&amp;$A112&amp;"'!$E$2:$E$501"),"Yes"),0)))</f>
        <v/>
      </c>
      <c r="AW112" s="30" t="str">
        <f aca="true">IF(OR($A112="",$I112=""),"",IF($BC112="Y",SUMIFS(survey_frozen!$K$2:$K$251,survey_frozen!$P$2:$P$251,$A112&amp;"|"&amp;$B112),IFERROR(COUNTIFS(INDIRECT("'"&amp;$A112&amp;"'!$B$2:$B$501"),$T112,INDIRECT("'"&amp;$A112&amp;"'!$A$2:$A$501"),"&gt;="&amp;$I112,INDIRECT("'"&amp;$A112&amp;"'!$A$2:$A$501"),"&lt;"&amp;($BA112+1),INDIRECT("'"&amp;$A112&amp;"'!$E$2:$E$501"),"Maybe"),0)))</f>
        <v/>
      </c>
      <c r="AX112" s="30" t="str">
        <f aca="true">IF(OR($A112="",$I112=""),"",IF($BC112="Y",SUMIFS(survey_frozen!$L$2:$L$251,survey_frozen!$P$2:$P$251,$A112&amp;"|"&amp;$B112),IFERROR(COUNTIFS(INDIRECT("'"&amp;$A112&amp;"'!$B$2:$B$501"),$T112,INDIRECT("'"&amp;$A112&amp;"'!$A$2:$A$501"),"&gt;="&amp;$I112,INDIRECT("'"&amp;$A112&amp;"'!$A$2:$A$501"),"&lt;"&amp;($BA112+1),INDIRECT("'"&amp;$A112&amp;"'!$E$2:$E$501"),"No"),0)))</f>
        <v/>
      </c>
      <c r="AY112" s="30" t="str">
        <f aca="true">IF(OR($A112="",$I112=""),"",IF($BC112="Y",SUMIFS(survey_frozen!$M$2:$M$251,survey_frozen!$P$2:$P$251,$A112&amp;"|"&amp;$B112),IFERROR(COUNTIFS(INDIRECT("'"&amp;$A112&amp;"'!$B$2:$B$501"),$T112,INDIRECT("'"&amp;$A112&amp;"'!$A$2:$A$501"),"&gt;="&amp;$I112,INDIRECT("'"&amp;$A112&amp;"'!$A$2:$A$501"),"&lt;"&amp;($BA112+1),INDIRECT("'"&amp;$A112&amp;"'!$G$2:$G$501"),"&lt;&gt;"),0)))</f>
        <v/>
      </c>
      <c r="AZ112" s="30" t="str">
        <f aca="false">IF($A112="","",$A112&amp;"|"&amp;$L112)</f>
        <v/>
      </c>
      <c r="BA112" s="31" t="str">
        <f aca="false">IF($A112="","",IFERROR(IF(INDEX(drops!$R$2:$R$21,MATCH($H112,drops!$A$2:$A$21,0))="","",INDEX(drops!$R$2:$R$21,MATCH($H112,drops!$A$2:$A$21,0))),""))</f>
        <v/>
      </c>
      <c r="BB112" s="30" t="n">
        <f aca="false">IF(OR($A112="",$Q112&lt;&gt;"Y"),1000000,N($AL112))</f>
        <v>1000000</v>
      </c>
      <c r="BC112" s="30" t="str">
        <f aca="false">IF($A112="","",IF(COUNTIF(survey_frozen!$P$2:$P$251,$A112&amp;"|"&amp;$B112)&gt;0,"Y",""))</f>
        <v/>
      </c>
      <c r="BD112" s="30" t="str">
        <f aca="false">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ustomFormat="false" ht="15" hidden="false" customHeight="false" outlineLevel="0" collapsed="false">
      <c r="C113" s="11"/>
      <c r="D113" s="10"/>
      <c r="E113" s="11"/>
      <c r="H113" s="30" t="str">
        <f aca="false">IF($A113="","",IFERROR(IF(INDEX(campaigns!$B$2:$B$51,MATCH($A113,campaigns!$A$2:$A$51,0))="","",INDEX(campaigns!$B$2:$B$51,MATCH($A113,campaigns!$A$2:$A$51,0))),""))</f>
        <v/>
      </c>
      <c r="I113" s="31" t="str">
        <f aca="false">IF($A113="","",IFERROR(IF(INDEX(campaigns!$BG$2:$BG$51,MATCH($A113,campaigns!$A$2:$A$51,0))="","",INDEX(campaigns!$BG$2:$BG$51,MATCH($A113,campaigns!$A$2:$A$51,0))),""))</f>
        <v/>
      </c>
      <c r="J113" s="30" t="str">
        <f aca="false">IF($A113="","",IFERROR(IF(INDEX(campaigns!$BE$2:$BE$51,MATCH($A113,campaigns!$A$2:$A$51,0))="","",INDEX(campaigns!$BE$2:$BE$51,MATCH($A113,campaigns!$A$2:$A$51,0))),""))</f>
        <v/>
      </c>
      <c r="K113" s="30" t="str">
        <f aca="false">IF($B113="","",IFERROR(IF(INDEX(offices!$O$2:$O$61,MATCH($B113,offices!$A$2:$A$61,0))="","",INDEX(offices!$O$2:$O$61,MATCH($B113,offices!$A$2:$A$61,0))),""))</f>
        <v/>
      </c>
      <c r="L113" s="30" t="str">
        <f aca="false">IF($A113="","",IF($Q113="N","",COUNTIFS($A$2:$A113,$A113,$Q$2:$Q113,"&lt;&gt;N")))</f>
        <v/>
      </c>
      <c r="M113" s="30" t="str">
        <f aca="false">IF(OR($A113="",$L113=""),"",IF(AND(config!$B$34="names_if_public",IFERROR(IF(INDEX(offices!$AG$2:$AG$61,MATCH($B113,offices!$A$2:$A$61,0))="","",INDEX(offices!$AG$2:$AG$61,MATCH($B113,offices!$A$2:$A$61,0))),"")="Y"),$K113,CHAR(64+$L113)))</f>
        <v/>
      </c>
      <c r="N113" s="30" t="str">
        <f aca="false">IF(OR($A113="",$I113=""),"",COUNTIFS(stops!$B$2:$B$151,$B113,stops!$P$2:$P$151,"&lt;"&amp;$I113,stops!$L$2:$L$151,"&lt;&gt;not_delivered")+1)</f>
        <v/>
      </c>
      <c r="O113" s="30" t="str">
        <f aca="false">IF($A113="","",IF(N($N113)&lt;=config!$B$29,"explicit","opt-out"))</f>
        <v/>
      </c>
      <c r="P113" s="30" t="str">
        <f aca="false">IF($A113="","",IF($O113="explicit",IF($D113="yes","Y",IF($D113="no","N","pending")),IF($D113="no","N",IF(AND($C113&lt;&gt;"",$I113&lt;&gt;"",$C113&lt;=WORKDAY(N($I113),-5,calendar!$A$2:$A$80)),"Y","pending"))))</f>
        <v/>
      </c>
      <c r="Q113" s="30" t="str">
        <f aca="false">IF($A113="","",IF($P113="N","N",IF($P113&lt;&gt;"Y","pending",IF(AND((COUNTIFS(stops!$A$2:$A$151,$H113,stops!$B$2:$B$151,$B113,stops!$L$2:$L$151,"declined")+COUNTIFS(stops!$A$2:$A$151,$H113,stops!$B$2:$B$151,$B113,stops!$L$2:$L$151,"building_refused")+COUNTIFS(stops!$A$2:$A$151,$H113,stops!$B$2:$B$151,$B113,stops!$L$2:$L$151,"not_delivered"))&gt;0,N($U113)=0),"N","Y"))))</f>
        <v/>
      </c>
      <c r="R113" s="30" t="str">
        <f aca="false">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30" t="str">
        <f aca="false">IF($A113="","",IF($G113&lt;&gt;"",$G113,IFERROR(IF(INDEX(offices!$AM$2:$AM$61,MATCH($B113,offices!$A$2:$A$61,0))="","",INDEX(offices!$AM$2:$AM$61,MATCH($B113,offices!$A$2:$A$61,0))),"")))</f>
        <v/>
      </c>
      <c r="T113" s="30" t="str">
        <f aca="false">IF($A113="","",$A113&amp;"."&amp;$B113)</f>
        <v/>
      </c>
      <c r="U113" s="30" t="str">
        <f aca="false">IF($A113="","",SUMIFS(inventory!$G$2:$G$801,inventory!$C$2:$C$801,$A113,inventory!$D$2:$D$801,$B113,inventory!$E$2:$E$801,"delivered"))</f>
        <v/>
      </c>
      <c r="V113" s="37" t="str">
        <f aca="false">IF($A113="","",IFERROR(1/(1/SUMPRODUCT(MAX((inventory!$C$2:$C$801=$A113)*(inventory!$D$2:$D$801=$B113)*(inventory!$E$2:$E$801="delivered")*(inventory!$A$2:$A$801+inventory!$B$2:$B$801)))),""))</f>
        <v/>
      </c>
      <c r="W113" s="30" t="str">
        <f aca="false">IF($A113="","",IFERROR(IF(INDEX(inventory!$J$2:$J$801,MATCH($A113&amp;"|"&amp;$B113&amp;"|delivered",inventory!$R$2:$R$801,0))="","",INDEX(inventory!$J$2:$J$801,MATCH($A113&amp;"|"&amp;$B113&amp;"|delivered",inventory!$R$2:$R$801,0))),""))</f>
        <v/>
      </c>
      <c r="X113" s="30" t="str">
        <f aca="false">IF($A113="","",IFERROR(IF(INDEX(photos!$H$2:$H$701,MATCH($A113&amp;"|"&amp;$B113&amp;"|placement|Y",photos!$R$2:$R$701,0))="","",INDEX(photos!$H$2:$H$701,MATCH($A113&amp;"|"&amp;$B113&amp;"|placement|Y",photos!$R$2:$R$701,0))),""))</f>
        <v/>
      </c>
      <c r="Y113" s="31" t="str">
        <f aca="false">IF($A113="","",IFERROR(IF(INDEX(photos!$E$2:$E$701,MATCH($A113&amp;"|"&amp;$B113&amp;"|placement|Y",photos!$R$2:$R$701,0))="","",INDEX(photos!$E$2:$E$701,MATCH($A113&amp;"|"&amp;$B113&amp;"|placement|Y",photos!$R$2:$R$701,0))),""))</f>
        <v/>
      </c>
      <c r="Z113" s="30" t="str">
        <f aca="false">IF($A113="","",IF(COUNTIFS(counts!$C$2:$C$701,$A113,counts!$D$2:$D$701,$B113,counts!$E$2:$E$701,"placed")=0,"",SUMIFS(counts!$F$2:$F$701,counts!$C$2:$C$701,$A113,counts!$D$2:$D$701,$B113,counts!$E$2:$E$701,"placed")))</f>
        <v/>
      </c>
      <c r="AA113" s="30" t="str">
        <f aca="false">IF($A113="","",IF($Y113="",0,N($Z113)))</f>
        <v/>
      </c>
      <c r="AB113" s="30" t="str">
        <f aca="false">IF($A113="","",IF(OR($Y113="",$I113=""),"N",IF($Y113&lt;=WORKDAY(N($I113),1,calendar!$A$2:$A$80),"Y","N")))</f>
        <v/>
      </c>
      <c r="AC113" s="33" t="str">
        <f aca="false">IF(OR($A113="",$V113="",$Y113=""),"",ROUND(($Y113+N(IFERROR(IF(INDEX(photos!$F$2:$F$701,MATCH($A113&amp;"|"&amp;$B113&amp;"|placement|Y",photos!$R$2:$R$701,0))="","",INDEX(photos!$F$2:$F$701,MATCH($A113&amp;"|"&amp;$B113&amp;"|placement|Y",photos!$R$2:$R$701,0))),""))-$V113)*24,1))</f>
        <v/>
      </c>
      <c r="AD113" s="30" t="str">
        <f aca="false">IF($A113="","",SUMIFS(inventory!$G$2:$G$801,inventory!$C$2:$C$801,$A113,inventory!$D$2:$D$801,$B113,inventory!$E$2:$E$801,"topped_up"))</f>
        <v/>
      </c>
      <c r="AE113" s="30" t="str">
        <f aca="false">IF($A113="","",IF(COUNTIFS(counts!$C$2:$C$701,$A113,counts!$D$2:$D$701,$B113,counts!$E$2:$E$701,"remaining_day3")=0,"",SUMIFS(counts!$F$2:$F$701,counts!$C$2:$C$701,$A113,counts!$D$2:$D$701,$B113,counts!$E$2:$E$701,"remaining_day3")))</f>
        <v/>
      </c>
      <c r="AF113" s="30" t="str">
        <f aca="false">IF($A113="","",IF(COUNTIFS(counts!$C$2:$C$701,$A113,counts!$D$2:$D$701,$B113,counts!$E$2:$E$701,"remaining_day5")=0,"",SUMIFS(counts!$F$2:$F$701,counts!$C$2:$C$701,$A113,counts!$D$2:$D$701,$B113,counts!$E$2:$E$701,"remaining_day5")))</f>
        <v/>
      </c>
      <c r="AG113" s="30" t="str">
        <f aca="false">IF(OR($A113="",$AF113=""),"",MAX(0,$AA113+$AD113-$AF113))</f>
        <v/>
      </c>
      <c r="AH113" s="30" t="str">
        <f aca="false">IF(OR($A113="",$AI113=""),"",IFERROR(IF(INDEX(photos!$H$2:$H$701,MATCH($A113&amp;"|"&amp;$B113&amp;"|later|Y|"&amp;$AI113,photos!$S$2:$S$701,0))="","",INDEX(photos!$H$2:$H$701,MATCH($A113&amp;"|"&amp;$B113&amp;"|later|Y|"&amp;$AI113,photos!$S$2:$S$701,0))),""))</f>
        <v/>
      </c>
      <c r="AI113" s="31" t="str">
        <f aca="false">IF($A113="","",IFERROR(1/(1/SUMPRODUCT(MAX((photos!$B$2:$B$701=$A113)*(photos!$C$2:$C$701=$B113)*(photos!$D$2:$D$701="later")*(photos!$O$2:$O$701="Y")*photos!$E$2:$E$701))),""))</f>
        <v/>
      </c>
      <c r="AJ113" s="30" t="str">
        <f aca="false">IF(OR($A113="",$AI113="",$I113=""),"",NETWORKDAYS($I113,$AI113,calendar!$A$2:$A$80))</f>
        <v/>
      </c>
      <c r="AK113" s="30" t="str">
        <f aca="false">IF($A113="","",IF(AND($X113&lt;&gt;"",$AH113&lt;&gt;""),"Y","N"))</f>
        <v/>
      </c>
      <c r="AL113" s="30" t="str">
        <f aca="true">IF(OR($A113="",$I113=""),"",IF($BC113="Y",SUMIFS(survey_frozen!$C$2:$C$251,survey_frozen!$P$2:$P$251,$A113&amp;"|"&amp;$B113),IFERROR(COUNTIFS(INDIRECT("'"&amp;$A113&amp;"'!$B$2:$B$501"),$T113,INDIRECT("'"&amp;$A113&amp;"'!$A$2:$A$501"),"&gt;="&amp;$I113,INDIRECT("'"&amp;$A113&amp;"'!$A$2:$A$501"),"&lt;"&amp;($BA113+1)),0)))</f>
        <v/>
      </c>
      <c r="AM113" s="30" t="str">
        <f aca="true">IF(OR($A113="",$I113=""),"",IF($BC113="Y",SUMIFS(survey_frozen!$D$2:$D$251,survey_frozen!$P$2:$P$251,$A113&amp;"|"&amp;$B113),IFERROR(COUNTIFS(INDIRECT("'"&amp;$A113&amp;"'!$B$2:$B$501"),$T113,INDIRECT("'"&amp;$A113&amp;"'!$A$2:$A$501"),"&gt;="&amp;$I113,INDIRECT("'"&amp;$A113&amp;"'!$A$2:$A$501"),"&lt;"&amp;($BA113+1),INDIRECT("'"&amp;$A113&amp;"'!$C$2:$C$501"),"Yes"),0)))</f>
        <v/>
      </c>
      <c r="AN113" s="30" t="str">
        <f aca="false">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30" t="str">
        <f aca="false">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30" t="str">
        <f aca="true">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30" t="str">
        <f aca="true">IF(OR($A113="",$I113=""),"",IF($BC113="Y",SUMIFS(survey_frozen!$E$2:$E$251,survey_frozen!$P$2:$P$251,$A113&amp;"|"&amp;$B113),IFERROR(COUNTIFS(INDIRECT("'"&amp;$A113&amp;"'!$B$2:$B$501"),$T113,INDIRECT("'"&amp;$A113&amp;"'!$A$2:$A$501"),"&gt;="&amp;$I113,INDIRECT("'"&amp;$A113&amp;"'!$A$2:$A$501"),"&lt;"&amp;($BA113+1),INDIRECT("'"&amp;$A113&amp;"'!$F$2:$F$501"),"Didn't see it"),0)))</f>
        <v/>
      </c>
      <c r="AR113" s="30" t="str">
        <f aca="true">IF(OR($A113="",$I113=""),"",IF($BC113="Y",SUMIFS(survey_frozen!$F$2:$F$251,survey_frozen!$P$2:$P$251,$A113&amp;"|"&amp;$B113),IFERROR(COUNTIFS(INDIRECT("'"&amp;$A113&amp;"'!$B$2:$B$501"),$T113,INDIRECT("'"&amp;$A113&amp;"'!$A$2:$A$501"),"&gt;="&amp;$I113,INDIRECT("'"&amp;$A113&amp;"'!$A$2:$A$501"),"&lt;"&amp;($BA113+1),INDIRECT("'"&amp;$A113&amp;"'!$F$2:$F$501"),"Not for me"),0)))</f>
        <v/>
      </c>
      <c r="AS113" s="30" t="str">
        <f aca="true">IF(OR($A113="",$I113=""),"",IF($BC113="Y",SUMIFS(survey_frozen!$G$2:$G$251,survey_frozen!$P$2:$P$251,$A113&amp;"|"&amp;$B113),IFERROR(COUNTIFS(INDIRECT("'"&amp;$A113&amp;"'!$B$2:$B$501"),$T113,INDIRECT("'"&amp;$A113&amp;"'!$A$2:$A$501"),"&gt;="&amp;$I113,INDIRECT("'"&amp;$A113&amp;"'!$A$2:$A$501"),"&lt;"&amp;($BA113+1),INDIRECT("'"&amp;$A113&amp;"'!$F$2:$F$501"),"Gone by the time I looked"),0)))</f>
        <v/>
      </c>
      <c r="AT113" s="30" t="str">
        <f aca="true">IF(OR($A113="",$I113=""),"",IF($BC113="Y",SUMIFS(survey_frozen!$H$2:$H$251,survey_frozen!$P$2:$P$251,$A113&amp;"|"&amp;$B113),IFERROR(COUNTIFS(INDIRECT("'"&amp;$A113&amp;"'!$B$2:$B$501"),$T113,INDIRECT("'"&amp;$A113&amp;"'!$A$2:$A$501"),"&gt;="&amp;$I113,INDIRECT("'"&amp;$A113&amp;"'!$A$2:$A$501"),"&lt;"&amp;($BA113+1),INDIRECT("'"&amp;$A113&amp;"'!$D$2:$D$501"),"&gt;=1"),0)))</f>
        <v/>
      </c>
      <c r="AU113" s="30" t="str">
        <f aca="true">IF(OR($A113="",$I113=""),"",IF($BC113="Y",SUMIFS(survey_frozen!$I$2:$I$251,survey_frozen!$P$2:$P$251,$A113&amp;"|"&amp;$B113),IFERROR(SUMIFS(INDIRECT("'"&amp;$A113&amp;"'!$D$2:$D$501"),INDIRECT("'"&amp;$A113&amp;"'!$B$2:$B$501"),$T113,INDIRECT("'"&amp;$A113&amp;"'!$A$2:$A$501"),"&gt;="&amp;$I113,INDIRECT("'"&amp;$A113&amp;"'!$A$2:$A$501"),"&lt;"&amp;($BA113+1)),0)))</f>
        <v/>
      </c>
      <c r="AV113" s="30" t="str">
        <f aca="true">IF(OR($A113="",$I113=""),"",IF($BC113="Y",SUMIFS(survey_frozen!$J$2:$J$251,survey_frozen!$P$2:$P$251,$A113&amp;"|"&amp;$B113),IFERROR(COUNTIFS(INDIRECT("'"&amp;$A113&amp;"'!$B$2:$B$501"),$T113,INDIRECT("'"&amp;$A113&amp;"'!$A$2:$A$501"),"&gt;="&amp;$I113,INDIRECT("'"&amp;$A113&amp;"'!$A$2:$A$501"),"&lt;"&amp;($BA113+1),INDIRECT("'"&amp;$A113&amp;"'!$E$2:$E$501"),"Yes"),0)))</f>
        <v/>
      </c>
      <c r="AW113" s="30" t="str">
        <f aca="true">IF(OR($A113="",$I113=""),"",IF($BC113="Y",SUMIFS(survey_frozen!$K$2:$K$251,survey_frozen!$P$2:$P$251,$A113&amp;"|"&amp;$B113),IFERROR(COUNTIFS(INDIRECT("'"&amp;$A113&amp;"'!$B$2:$B$501"),$T113,INDIRECT("'"&amp;$A113&amp;"'!$A$2:$A$501"),"&gt;="&amp;$I113,INDIRECT("'"&amp;$A113&amp;"'!$A$2:$A$501"),"&lt;"&amp;($BA113+1),INDIRECT("'"&amp;$A113&amp;"'!$E$2:$E$501"),"Maybe"),0)))</f>
        <v/>
      </c>
      <c r="AX113" s="30" t="str">
        <f aca="true">IF(OR($A113="",$I113=""),"",IF($BC113="Y",SUMIFS(survey_frozen!$L$2:$L$251,survey_frozen!$P$2:$P$251,$A113&amp;"|"&amp;$B113),IFERROR(COUNTIFS(INDIRECT("'"&amp;$A113&amp;"'!$B$2:$B$501"),$T113,INDIRECT("'"&amp;$A113&amp;"'!$A$2:$A$501"),"&gt;="&amp;$I113,INDIRECT("'"&amp;$A113&amp;"'!$A$2:$A$501"),"&lt;"&amp;($BA113+1),INDIRECT("'"&amp;$A113&amp;"'!$E$2:$E$501"),"No"),0)))</f>
        <v/>
      </c>
      <c r="AY113" s="30" t="str">
        <f aca="true">IF(OR($A113="",$I113=""),"",IF($BC113="Y",SUMIFS(survey_frozen!$M$2:$M$251,survey_frozen!$P$2:$P$251,$A113&amp;"|"&amp;$B113),IFERROR(COUNTIFS(INDIRECT("'"&amp;$A113&amp;"'!$B$2:$B$501"),$T113,INDIRECT("'"&amp;$A113&amp;"'!$A$2:$A$501"),"&gt;="&amp;$I113,INDIRECT("'"&amp;$A113&amp;"'!$A$2:$A$501"),"&lt;"&amp;($BA113+1),INDIRECT("'"&amp;$A113&amp;"'!$G$2:$G$501"),"&lt;&gt;"),0)))</f>
        <v/>
      </c>
      <c r="AZ113" s="30" t="str">
        <f aca="false">IF($A113="","",$A113&amp;"|"&amp;$L113)</f>
        <v/>
      </c>
      <c r="BA113" s="31" t="str">
        <f aca="false">IF($A113="","",IFERROR(IF(INDEX(drops!$R$2:$R$21,MATCH($H113,drops!$A$2:$A$21,0))="","",INDEX(drops!$R$2:$R$21,MATCH($H113,drops!$A$2:$A$21,0))),""))</f>
        <v/>
      </c>
      <c r="BB113" s="30" t="n">
        <f aca="false">IF(OR($A113="",$Q113&lt;&gt;"Y"),1000000,N($AL113))</f>
        <v>1000000</v>
      </c>
      <c r="BC113" s="30" t="str">
        <f aca="false">IF($A113="","",IF(COUNTIF(survey_frozen!$P$2:$P$251,$A113&amp;"|"&amp;$B113)&gt;0,"Y",""))</f>
        <v/>
      </c>
      <c r="BD113" s="30" t="str">
        <f aca="false">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ustomFormat="false" ht="15" hidden="false" customHeight="false" outlineLevel="0" collapsed="false">
      <c r="C114" s="11"/>
      <c r="D114" s="10"/>
      <c r="E114" s="11"/>
      <c r="H114" s="30" t="str">
        <f aca="false">IF($A114="","",IFERROR(IF(INDEX(campaigns!$B$2:$B$51,MATCH($A114,campaigns!$A$2:$A$51,0))="","",INDEX(campaigns!$B$2:$B$51,MATCH($A114,campaigns!$A$2:$A$51,0))),""))</f>
        <v/>
      </c>
      <c r="I114" s="31" t="str">
        <f aca="false">IF($A114="","",IFERROR(IF(INDEX(campaigns!$BG$2:$BG$51,MATCH($A114,campaigns!$A$2:$A$51,0))="","",INDEX(campaigns!$BG$2:$BG$51,MATCH($A114,campaigns!$A$2:$A$51,0))),""))</f>
        <v/>
      </c>
      <c r="J114" s="30" t="str">
        <f aca="false">IF($A114="","",IFERROR(IF(INDEX(campaigns!$BE$2:$BE$51,MATCH($A114,campaigns!$A$2:$A$51,0))="","",INDEX(campaigns!$BE$2:$BE$51,MATCH($A114,campaigns!$A$2:$A$51,0))),""))</f>
        <v/>
      </c>
      <c r="K114" s="30" t="str">
        <f aca="false">IF($B114="","",IFERROR(IF(INDEX(offices!$O$2:$O$61,MATCH($B114,offices!$A$2:$A$61,0))="","",INDEX(offices!$O$2:$O$61,MATCH($B114,offices!$A$2:$A$61,0))),""))</f>
        <v/>
      </c>
      <c r="L114" s="30" t="str">
        <f aca="false">IF($A114="","",IF($Q114="N","",COUNTIFS($A$2:$A114,$A114,$Q$2:$Q114,"&lt;&gt;N")))</f>
        <v/>
      </c>
      <c r="M114" s="30" t="str">
        <f aca="false">IF(OR($A114="",$L114=""),"",IF(AND(config!$B$34="names_if_public",IFERROR(IF(INDEX(offices!$AG$2:$AG$61,MATCH($B114,offices!$A$2:$A$61,0))="","",INDEX(offices!$AG$2:$AG$61,MATCH($B114,offices!$A$2:$A$61,0))),"")="Y"),$K114,CHAR(64+$L114)))</f>
        <v/>
      </c>
      <c r="N114" s="30" t="str">
        <f aca="false">IF(OR($A114="",$I114=""),"",COUNTIFS(stops!$B$2:$B$151,$B114,stops!$P$2:$P$151,"&lt;"&amp;$I114,stops!$L$2:$L$151,"&lt;&gt;not_delivered")+1)</f>
        <v/>
      </c>
      <c r="O114" s="30" t="str">
        <f aca="false">IF($A114="","",IF(N($N114)&lt;=config!$B$29,"explicit","opt-out"))</f>
        <v/>
      </c>
      <c r="P114" s="30" t="str">
        <f aca="false">IF($A114="","",IF($O114="explicit",IF($D114="yes","Y",IF($D114="no","N","pending")),IF($D114="no","N",IF(AND($C114&lt;&gt;"",$I114&lt;&gt;"",$C114&lt;=WORKDAY(N($I114),-5,calendar!$A$2:$A$80)),"Y","pending"))))</f>
        <v/>
      </c>
      <c r="Q114" s="30" t="str">
        <f aca="false">IF($A114="","",IF($P114="N","N",IF($P114&lt;&gt;"Y","pending",IF(AND((COUNTIFS(stops!$A$2:$A$151,$H114,stops!$B$2:$B$151,$B114,stops!$L$2:$L$151,"declined")+COUNTIFS(stops!$A$2:$A$151,$H114,stops!$B$2:$B$151,$B114,stops!$L$2:$L$151,"building_refused")+COUNTIFS(stops!$A$2:$A$151,$H114,stops!$B$2:$B$151,$B114,stops!$L$2:$L$151,"not_delivered"))&gt;0,N($U114)=0),"N","Y"))))</f>
        <v/>
      </c>
      <c r="R114" s="30" t="str">
        <f aca="false">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30" t="str">
        <f aca="false">IF($A114="","",IF($G114&lt;&gt;"",$G114,IFERROR(IF(INDEX(offices!$AM$2:$AM$61,MATCH($B114,offices!$A$2:$A$61,0))="","",INDEX(offices!$AM$2:$AM$61,MATCH($B114,offices!$A$2:$A$61,0))),"")))</f>
        <v/>
      </c>
      <c r="T114" s="30" t="str">
        <f aca="false">IF($A114="","",$A114&amp;"."&amp;$B114)</f>
        <v/>
      </c>
      <c r="U114" s="30" t="str">
        <f aca="false">IF($A114="","",SUMIFS(inventory!$G$2:$G$801,inventory!$C$2:$C$801,$A114,inventory!$D$2:$D$801,$B114,inventory!$E$2:$E$801,"delivered"))</f>
        <v/>
      </c>
      <c r="V114" s="37" t="str">
        <f aca="false">IF($A114="","",IFERROR(1/(1/SUMPRODUCT(MAX((inventory!$C$2:$C$801=$A114)*(inventory!$D$2:$D$801=$B114)*(inventory!$E$2:$E$801="delivered")*(inventory!$A$2:$A$801+inventory!$B$2:$B$801)))),""))</f>
        <v/>
      </c>
      <c r="W114" s="30" t="str">
        <f aca="false">IF($A114="","",IFERROR(IF(INDEX(inventory!$J$2:$J$801,MATCH($A114&amp;"|"&amp;$B114&amp;"|delivered",inventory!$R$2:$R$801,0))="","",INDEX(inventory!$J$2:$J$801,MATCH($A114&amp;"|"&amp;$B114&amp;"|delivered",inventory!$R$2:$R$801,0))),""))</f>
        <v/>
      </c>
      <c r="X114" s="30" t="str">
        <f aca="false">IF($A114="","",IFERROR(IF(INDEX(photos!$H$2:$H$701,MATCH($A114&amp;"|"&amp;$B114&amp;"|placement|Y",photos!$R$2:$R$701,0))="","",INDEX(photos!$H$2:$H$701,MATCH($A114&amp;"|"&amp;$B114&amp;"|placement|Y",photos!$R$2:$R$701,0))),""))</f>
        <v/>
      </c>
      <c r="Y114" s="31" t="str">
        <f aca="false">IF($A114="","",IFERROR(IF(INDEX(photos!$E$2:$E$701,MATCH($A114&amp;"|"&amp;$B114&amp;"|placement|Y",photos!$R$2:$R$701,0))="","",INDEX(photos!$E$2:$E$701,MATCH($A114&amp;"|"&amp;$B114&amp;"|placement|Y",photos!$R$2:$R$701,0))),""))</f>
        <v/>
      </c>
      <c r="Z114" s="30" t="str">
        <f aca="false">IF($A114="","",IF(COUNTIFS(counts!$C$2:$C$701,$A114,counts!$D$2:$D$701,$B114,counts!$E$2:$E$701,"placed")=0,"",SUMIFS(counts!$F$2:$F$701,counts!$C$2:$C$701,$A114,counts!$D$2:$D$701,$B114,counts!$E$2:$E$701,"placed")))</f>
        <v/>
      </c>
      <c r="AA114" s="30" t="str">
        <f aca="false">IF($A114="","",IF($Y114="",0,N($Z114)))</f>
        <v/>
      </c>
      <c r="AB114" s="30" t="str">
        <f aca="false">IF($A114="","",IF(OR($Y114="",$I114=""),"N",IF($Y114&lt;=WORKDAY(N($I114),1,calendar!$A$2:$A$80),"Y","N")))</f>
        <v/>
      </c>
      <c r="AC114" s="33" t="str">
        <f aca="false">IF(OR($A114="",$V114="",$Y114=""),"",ROUND(($Y114+N(IFERROR(IF(INDEX(photos!$F$2:$F$701,MATCH($A114&amp;"|"&amp;$B114&amp;"|placement|Y",photos!$R$2:$R$701,0))="","",INDEX(photos!$F$2:$F$701,MATCH($A114&amp;"|"&amp;$B114&amp;"|placement|Y",photos!$R$2:$R$701,0))),""))-$V114)*24,1))</f>
        <v/>
      </c>
      <c r="AD114" s="30" t="str">
        <f aca="false">IF($A114="","",SUMIFS(inventory!$G$2:$G$801,inventory!$C$2:$C$801,$A114,inventory!$D$2:$D$801,$B114,inventory!$E$2:$E$801,"topped_up"))</f>
        <v/>
      </c>
      <c r="AE114" s="30" t="str">
        <f aca="false">IF($A114="","",IF(COUNTIFS(counts!$C$2:$C$701,$A114,counts!$D$2:$D$701,$B114,counts!$E$2:$E$701,"remaining_day3")=0,"",SUMIFS(counts!$F$2:$F$701,counts!$C$2:$C$701,$A114,counts!$D$2:$D$701,$B114,counts!$E$2:$E$701,"remaining_day3")))</f>
        <v/>
      </c>
      <c r="AF114" s="30" t="str">
        <f aca="false">IF($A114="","",IF(COUNTIFS(counts!$C$2:$C$701,$A114,counts!$D$2:$D$701,$B114,counts!$E$2:$E$701,"remaining_day5")=0,"",SUMIFS(counts!$F$2:$F$701,counts!$C$2:$C$701,$A114,counts!$D$2:$D$701,$B114,counts!$E$2:$E$701,"remaining_day5")))</f>
        <v/>
      </c>
      <c r="AG114" s="30" t="str">
        <f aca="false">IF(OR($A114="",$AF114=""),"",MAX(0,$AA114+$AD114-$AF114))</f>
        <v/>
      </c>
      <c r="AH114" s="30" t="str">
        <f aca="false">IF(OR($A114="",$AI114=""),"",IFERROR(IF(INDEX(photos!$H$2:$H$701,MATCH($A114&amp;"|"&amp;$B114&amp;"|later|Y|"&amp;$AI114,photos!$S$2:$S$701,0))="","",INDEX(photos!$H$2:$H$701,MATCH($A114&amp;"|"&amp;$B114&amp;"|later|Y|"&amp;$AI114,photos!$S$2:$S$701,0))),""))</f>
        <v/>
      </c>
      <c r="AI114" s="31" t="str">
        <f aca="false">IF($A114="","",IFERROR(1/(1/SUMPRODUCT(MAX((photos!$B$2:$B$701=$A114)*(photos!$C$2:$C$701=$B114)*(photos!$D$2:$D$701="later")*(photos!$O$2:$O$701="Y")*photos!$E$2:$E$701))),""))</f>
        <v/>
      </c>
      <c r="AJ114" s="30" t="str">
        <f aca="false">IF(OR($A114="",$AI114="",$I114=""),"",NETWORKDAYS($I114,$AI114,calendar!$A$2:$A$80))</f>
        <v/>
      </c>
      <c r="AK114" s="30" t="str">
        <f aca="false">IF($A114="","",IF(AND($X114&lt;&gt;"",$AH114&lt;&gt;""),"Y","N"))</f>
        <v/>
      </c>
      <c r="AL114" s="30" t="str">
        <f aca="true">IF(OR($A114="",$I114=""),"",IF($BC114="Y",SUMIFS(survey_frozen!$C$2:$C$251,survey_frozen!$P$2:$P$251,$A114&amp;"|"&amp;$B114),IFERROR(COUNTIFS(INDIRECT("'"&amp;$A114&amp;"'!$B$2:$B$501"),$T114,INDIRECT("'"&amp;$A114&amp;"'!$A$2:$A$501"),"&gt;="&amp;$I114,INDIRECT("'"&amp;$A114&amp;"'!$A$2:$A$501"),"&lt;"&amp;($BA114+1)),0)))</f>
        <v/>
      </c>
      <c r="AM114" s="30" t="str">
        <f aca="true">IF(OR($A114="",$I114=""),"",IF($BC114="Y",SUMIFS(survey_frozen!$D$2:$D$251,survey_frozen!$P$2:$P$251,$A114&amp;"|"&amp;$B114),IFERROR(COUNTIFS(INDIRECT("'"&amp;$A114&amp;"'!$B$2:$B$501"),$T114,INDIRECT("'"&amp;$A114&amp;"'!$A$2:$A$501"),"&gt;="&amp;$I114,INDIRECT("'"&amp;$A114&amp;"'!$A$2:$A$501"),"&lt;"&amp;($BA114+1),INDIRECT("'"&amp;$A114&amp;"'!$C$2:$C$501"),"Yes"),0)))</f>
        <v/>
      </c>
      <c r="AN114" s="30" t="str">
        <f aca="false">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30" t="str">
        <f aca="false">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30" t="str">
        <f aca="true">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30" t="str">
        <f aca="true">IF(OR($A114="",$I114=""),"",IF($BC114="Y",SUMIFS(survey_frozen!$E$2:$E$251,survey_frozen!$P$2:$P$251,$A114&amp;"|"&amp;$B114),IFERROR(COUNTIFS(INDIRECT("'"&amp;$A114&amp;"'!$B$2:$B$501"),$T114,INDIRECT("'"&amp;$A114&amp;"'!$A$2:$A$501"),"&gt;="&amp;$I114,INDIRECT("'"&amp;$A114&amp;"'!$A$2:$A$501"),"&lt;"&amp;($BA114+1),INDIRECT("'"&amp;$A114&amp;"'!$F$2:$F$501"),"Didn't see it"),0)))</f>
        <v/>
      </c>
      <c r="AR114" s="30" t="str">
        <f aca="true">IF(OR($A114="",$I114=""),"",IF($BC114="Y",SUMIFS(survey_frozen!$F$2:$F$251,survey_frozen!$P$2:$P$251,$A114&amp;"|"&amp;$B114),IFERROR(COUNTIFS(INDIRECT("'"&amp;$A114&amp;"'!$B$2:$B$501"),$T114,INDIRECT("'"&amp;$A114&amp;"'!$A$2:$A$501"),"&gt;="&amp;$I114,INDIRECT("'"&amp;$A114&amp;"'!$A$2:$A$501"),"&lt;"&amp;($BA114+1),INDIRECT("'"&amp;$A114&amp;"'!$F$2:$F$501"),"Not for me"),0)))</f>
        <v/>
      </c>
      <c r="AS114" s="30" t="str">
        <f aca="true">IF(OR($A114="",$I114=""),"",IF($BC114="Y",SUMIFS(survey_frozen!$G$2:$G$251,survey_frozen!$P$2:$P$251,$A114&amp;"|"&amp;$B114),IFERROR(COUNTIFS(INDIRECT("'"&amp;$A114&amp;"'!$B$2:$B$501"),$T114,INDIRECT("'"&amp;$A114&amp;"'!$A$2:$A$501"),"&gt;="&amp;$I114,INDIRECT("'"&amp;$A114&amp;"'!$A$2:$A$501"),"&lt;"&amp;($BA114+1),INDIRECT("'"&amp;$A114&amp;"'!$F$2:$F$501"),"Gone by the time I looked"),0)))</f>
        <v/>
      </c>
      <c r="AT114" s="30" t="str">
        <f aca="true">IF(OR($A114="",$I114=""),"",IF($BC114="Y",SUMIFS(survey_frozen!$H$2:$H$251,survey_frozen!$P$2:$P$251,$A114&amp;"|"&amp;$B114),IFERROR(COUNTIFS(INDIRECT("'"&amp;$A114&amp;"'!$B$2:$B$501"),$T114,INDIRECT("'"&amp;$A114&amp;"'!$A$2:$A$501"),"&gt;="&amp;$I114,INDIRECT("'"&amp;$A114&amp;"'!$A$2:$A$501"),"&lt;"&amp;($BA114+1),INDIRECT("'"&amp;$A114&amp;"'!$D$2:$D$501"),"&gt;=1"),0)))</f>
        <v/>
      </c>
      <c r="AU114" s="30" t="str">
        <f aca="true">IF(OR($A114="",$I114=""),"",IF($BC114="Y",SUMIFS(survey_frozen!$I$2:$I$251,survey_frozen!$P$2:$P$251,$A114&amp;"|"&amp;$B114),IFERROR(SUMIFS(INDIRECT("'"&amp;$A114&amp;"'!$D$2:$D$501"),INDIRECT("'"&amp;$A114&amp;"'!$B$2:$B$501"),$T114,INDIRECT("'"&amp;$A114&amp;"'!$A$2:$A$501"),"&gt;="&amp;$I114,INDIRECT("'"&amp;$A114&amp;"'!$A$2:$A$501"),"&lt;"&amp;($BA114+1)),0)))</f>
        <v/>
      </c>
      <c r="AV114" s="30" t="str">
        <f aca="true">IF(OR($A114="",$I114=""),"",IF($BC114="Y",SUMIFS(survey_frozen!$J$2:$J$251,survey_frozen!$P$2:$P$251,$A114&amp;"|"&amp;$B114),IFERROR(COUNTIFS(INDIRECT("'"&amp;$A114&amp;"'!$B$2:$B$501"),$T114,INDIRECT("'"&amp;$A114&amp;"'!$A$2:$A$501"),"&gt;="&amp;$I114,INDIRECT("'"&amp;$A114&amp;"'!$A$2:$A$501"),"&lt;"&amp;($BA114+1),INDIRECT("'"&amp;$A114&amp;"'!$E$2:$E$501"),"Yes"),0)))</f>
        <v/>
      </c>
      <c r="AW114" s="30" t="str">
        <f aca="true">IF(OR($A114="",$I114=""),"",IF($BC114="Y",SUMIFS(survey_frozen!$K$2:$K$251,survey_frozen!$P$2:$P$251,$A114&amp;"|"&amp;$B114),IFERROR(COUNTIFS(INDIRECT("'"&amp;$A114&amp;"'!$B$2:$B$501"),$T114,INDIRECT("'"&amp;$A114&amp;"'!$A$2:$A$501"),"&gt;="&amp;$I114,INDIRECT("'"&amp;$A114&amp;"'!$A$2:$A$501"),"&lt;"&amp;($BA114+1),INDIRECT("'"&amp;$A114&amp;"'!$E$2:$E$501"),"Maybe"),0)))</f>
        <v/>
      </c>
      <c r="AX114" s="30" t="str">
        <f aca="true">IF(OR($A114="",$I114=""),"",IF($BC114="Y",SUMIFS(survey_frozen!$L$2:$L$251,survey_frozen!$P$2:$P$251,$A114&amp;"|"&amp;$B114),IFERROR(COUNTIFS(INDIRECT("'"&amp;$A114&amp;"'!$B$2:$B$501"),$T114,INDIRECT("'"&amp;$A114&amp;"'!$A$2:$A$501"),"&gt;="&amp;$I114,INDIRECT("'"&amp;$A114&amp;"'!$A$2:$A$501"),"&lt;"&amp;($BA114+1),INDIRECT("'"&amp;$A114&amp;"'!$E$2:$E$501"),"No"),0)))</f>
        <v/>
      </c>
      <c r="AY114" s="30" t="str">
        <f aca="true">IF(OR($A114="",$I114=""),"",IF($BC114="Y",SUMIFS(survey_frozen!$M$2:$M$251,survey_frozen!$P$2:$P$251,$A114&amp;"|"&amp;$B114),IFERROR(COUNTIFS(INDIRECT("'"&amp;$A114&amp;"'!$B$2:$B$501"),$T114,INDIRECT("'"&amp;$A114&amp;"'!$A$2:$A$501"),"&gt;="&amp;$I114,INDIRECT("'"&amp;$A114&amp;"'!$A$2:$A$501"),"&lt;"&amp;($BA114+1),INDIRECT("'"&amp;$A114&amp;"'!$G$2:$G$501"),"&lt;&gt;"),0)))</f>
        <v/>
      </c>
      <c r="AZ114" s="30" t="str">
        <f aca="false">IF($A114="","",$A114&amp;"|"&amp;$L114)</f>
        <v/>
      </c>
      <c r="BA114" s="31" t="str">
        <f aca="false">IF($A114="","",IFERROR(IF(INDEX(drops!$R$2:$R$21,MATCH($H114,drops!$A$2:$A$21,0))="","",INDEX(drops!$R$2:$R$21,MATCH($H114,drops!$A$2:$A$21,0))),""))</f>
        <v/>
      </c>
      <c r="BB114" s="30" t="n">
        <f aca="false">IF(OR($A114="",$Q114&lt;&gt;"Y"),1000000,N($AL114))</f>
        <v>1000000</v>
      </c>
      <c r="BC114" s="30" t="str">
        <f aca="false">IF($A114="","",IF(COUNTIF(survey_frozen!$P$2:$P$251,$A114&amp;"|"&amp;$B114)&gt;0,"Y",""))</f>
        <v/>
      </c>
      <c r="BD114" s="30" t="str">
        <f aca="false">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ustomFormat="false" ht="15" hidden="false" customHeight="false" outlineLevel="0" collapsed="false">
      <c r="C115" s="11"/>
      <c r="D115" s="10"/>
      <c r="E115" s="11"/>
      <c r="H115" s="30" t="str">
        <f aca="false">IF($A115="","",IFERROR(IF(INDEX(campaigns!$B$2:$B$51,MATCH($A115,campaigns!$A$2:$A$51,0))="","",INDEX(campaigns!$B$2:$B$51,MATCH($A115,campaigns!$A$2:$A$51,0))),""))</f>
        <v/>
      </c>
      <c r="I115" s="31" t="str">
        <f aca="false">IF($A115="","",IFERROR(IF(INDEX(campaigns!$BG$2:$BG$51,MATCH($A115,campaigns!$A$2:$A$51,0))="","",INDEX(campaigns!$BG$2:$BG$51,MATCH($A115,campaigns!$A$2:$A$51,0))),""))</f>
        <v/>
      </c>
      <c r="J115" s="30" t="str">
        <f aca="false">IF($A115="","",IFERROR(IF(INDEX(campaigns!$BE$2:$BE$51,MATCH($A115,campaigns!$A$2:$A$51,0))="","",INDEX(campaigns!$BE$2:$BE$51,MATCH($A115,campaigns!$A$2:$A$51,0))),""))</f>
        <v/>
      </c>
      <c r="K115" s="30" t="str">
        <f aca="false">IF($B115="","",IFERROR(IF(INDEX(offices!$O$2:$O$61,MATCH($B115,offices!$A$2:$A$61,0))="","",INDEX(offices!$O$2:$O$61,MATCH($B115,offices!$A$2:$A$61,0))),""))</f>
        <v/>
      </c>
      <c r="L115" s="30" t="str">
        <f aca="false">IF($A115="","",IF($Q115="N","",COUNTIFS($A$2:$A115,$A115,$Q$2:$Q115,"&lt;&gt;N")))</f>
        <v/>
      </c>
      <c r="M115" s="30" t="str">
        <f aca="false">IF(OR($A115="",$L115=""),"",IF(AND(config!$B$34="names_if_public",IFERROR(IF(INDEX(offices!$AG$2:$AG$61,MATCH($B115,offices!$A$2:$A$61,0))="","",INDEX(offices!$AG$2:$AG$61,MATCH($B115,offices!$A$2:$A$61,0))),"")="Y"),$K115,CHAR(64+$L115)))</f>
        <v/>
      </c>
      <c r="N115" s="30" t="str">
        <f aca="false">IF(OR($A115="",$I115=""),"",COUNTIFS(stops!$B$2:$B$151,$B115,stops!$P$2:$P$151,"&lt;"&amp;$I115,stops!$L$2:$L$151,"&lt;&gt;not_delivered")+1)</f>
        <v/>
      </c>
      <c r="O115" s="30" t="str">
        <f aca="false">IF($A115="","",IF(N($N115)&lt;=config!$B$29,"explicit","opt-out"))</f>
        <v/>
      </c>
      <c r="P115" s="30" t="str">
        <f aca="false">IF($A115="","",IF($O115="explicit",IF($D115="yes","Y",IF($D115="no","N","pending")),IF($D115="no","N",IF(AND($C115&lt;&gt;"",$I115&lt;&gt;"",$C115&lt;=WORKDAY(N($I115),-5,calendar!$A$2:$A$80)),"Y","pending"))))</f>
        <v/>
      </c>
      <c r="Q115" s="30" t="str">
        <f aca="false">IF($A115="","",IF($P115="N","N",IF($P115&lt;&gt;"Y","pending",IF(AND((COUNTIFS(stops!$A$2:$A$151,$H115,stops!$B$2:$B$151,$B115,stops!$L$2:$L$151,"declined")+COUNTIFS(stops!$A$2:$A$151,$H115,stops!$B$2:$B$151,$B115,stops!$L$2:$L$151,"building_refused")+COUNTIFS(stops!$A$2:$A$151,$H115,stops!$B$2:$B$151,$B115,stops!$L$2:$L$151,"not_delivered"))&gt;0,N($U115)=0),"N","Y"))))</f>
        <v/>
      </c>
      <c r="R115" s="30" t="str">
        <f aca="false">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30" t="str">
        <f aca="false">IF($A115="","",IF($G115&lt;&gt;"",$G115,IFERROR(IF(INDEX(offices!$AM$2:$AM$61,MATCH($B115,offices!$A$2:$A$61,0))="","",INDEX(offices!$AM$2:$AM$61,MATCH($B115,offices!$A$2:$A$61,0))),"")))</f>
        <v/>
      </c>
      <c r="T115" s="30" t="str">
        <f aca="false">IF($A115="","",$A115&amp;"."&amp;$B115)</f>
        <v/>
      </c>
      <c r="U115" s="30" t="str">
        <f aca="false">IF($A115="","",SUMIFS(inventory!$G$2:$G$801,inventory!$C$2:$C$801,$A115,inventory!$D$2:$D$801,$B115,inventory!$E$2:$E$801,"delivered"))</f>
        <v/>
      </c>
      <c r="V115" s="37" t="str">
        <f aca="false">IF($A115="","",IFERROR(1/(1/SUMPRODUCT(MAX((inventory!$C$2:$C$801=$A115)*(inventory!$D$2:$D$801=$B115)*(inventory!$E$2:$E$801="delivered")*(inventory!$A$2:$A$801+inventory!$B$2:$B$801)))),""))</f>
        <v/>
      </c>
      <c r="W115" s="30" t="str">
        <f aca="false">IF($A115="","",IFERROR(IF(INDEX(inventory!$J$2:$J$801,MATCH($A115&amp;"|"&amp;$B115&amp;"|delivered",inventory!$R$2:$R$801,0))="","",INDEX(inventory!$J$2:$J$801,MATCH($A115&amp;"|"&amp;$B115&amp;"|delivered",inventory!$R$2:$R$801,0))),""))</f>
        <v/>
      </c>
      <c r="X115" s="30" t="str">
        <f aca="false">IF($A115="","",IFERROR(IF(INDEX(photos!$H$2:$H$701,MATCH($A115&amp;"|"&amp;$B115&amp;"|placement|Y",photos!$R$2:$R$701,0))="","",INDEX(photos!$H$2:$H$701,MATCH($A115&amp;"|"&amp;$B115&amp;"|placement|Y",photos!$R$2:$R$701,0))),""))</f>
        <v/>
      </c>
      <c r="Y115" s="31" t="str">
        <f aca="false">IF($A115="","",IFERROR(IF(INDEX(photos!$E$2:$E$701,MATCH($A115&amp;"|"&amp;$B115&amp;"|placement|Y",photos!$R$2:$R$701,0))="","",INDEX(photos!$E$2:$E$701,MATCH($A115&amp;"|"&amp;$B115&amp;"|placement|Y",photos!$R$2:$R$701,0))),""))</f>
        <v/>
      </c>
      <c r="Z115" s="30" t="str">
        <f aca="false">IF($A115="","",IF(COUNTIFS(counts!$C$2:$C$701,$A115,counts!$D$2:$D$701,$B115,counts!$E$2:$E$701,"placed")=0,"",SUMIFS(counts!$F$2:$F$701,counts!$C$2:$C$701,$A115,counts!$D$2:$D$701,$B115,counts!$E$2:$E$701,"placed")))</f>
        <v/>
      </c>
      <c r="AA115" s="30" t="str">
        <f aca="false">IF($A115="","",IF($Y115="",0,N($Z115)))</f>
        <v/>
      </c>
      <c r="AB115" s="30" t="str">
        <f aca="false">IF($A115="","",IF(OR($Y115="",$I115=""),"N",IF($Y115&lt;=WORKDAY(N($I115),1,calendar!$A$2:$A$80),"Y","N")))</f>
        <v/>
      </c>
      <c r="AC115" s="33" t="str">
        <f aca="false">IF(OR($A115="",$V115="",$Y115=""),"",ROUND(($Y115+N(IFERROR(IF(INDEX(photos!$F$2:$F$701,MATCH($A115&amp;"|"&amp;$B115&amp;"|placement|Y",photos!$R$2:$R$701,0))="","",INDEX(photos!$F$2:$F$701,MATCH($A115&amp;"|"&amp;$B115&amp;"|placement|Y",photos!$R$2:$R$701,0))),""))-$V115)*24,1))</f>
        <v/>
      </c>
      <c r="AD115" s="30" t="str">
        <f aca="false">IF($A115="","",SUMIFS(inventory!$G$2:$G$801,inventory!$C$2:$C$801,$A115,inventory!$D$2:$D$801,$B115,inventory!$E$2:$E$801,"topped_up"))</f>
        <v/>
      </c>
      <c r="AE115" s="30" t="str">
        <f aca="false">IF($A115="","",IF(COUNTIFS(counts!$C$2:$C$701,$A115,counts!$D$2:$D$701,$B115,counts!$E$2:$E$701,"remaining_day3")=0,"",SUMIFS(counts!$F$2:$F$701,counts!$C$2:$C$701,$A115,counts!$D$2:$D$701,$B115,counts!$E$2:$E$701,"remaining_day3")))</f>
        <v/>
      </c>
      <c r="AF115" s="30" t="str">
        <f aca="false">IF($A115="","",IF(COUNTIFS(counts!$C$2:$C$701,$A115,counts!$D$2:$D$701,$B115,counts!$E$2:$E$701,"remaining_day5")=0,"",SUMIFS(counts!$F$2:$F$701,counts!$C$2:$C$701,$A115,counts!$D$2:$D$701,$B115,counts!$E$2:$E$701,"remaining_day5")))</f>
        <v/>
      </c>
      <c r="AG115" s="30" t="str">
        <f aca="false">IF(OR($A115="",$AF115=""),"",MAX(0,$AA115+$AD115-$AF115))</f>
        <v/>
      </c>
      <c r="AH115" s="30" t="str">
        <f aca="false">IF(OR($A115="",$AI115=""),"",IFERROR(IF(INDEX(photos!$H$2:$H$701,MATCH($A115&amp;"|"&amp;$B115&amp;"|later|Y|"&amp;$AI115,photos!$S$2:$S$701,0))="","",INDEX(photos!$H$2:$H$701,MATCH($A115&amp;"|"&amp;$B115&amp;"|later|Y|"&amp;$AI115,photos!$S$2:$S$701,0))),""))</f>
        <v/>
      </c>
      <c r="AI115" s="31" t="str">
        <f aca="false">IF($A115="","",IFERROR(1/(1/SUMPRODUCT(MAX((photos!$B$2:$B$701=$A115)*(photos!$C$2:$C$701=$B115)*(photos!$D$2:$D$701="later")*(photos!$O$2:$O$701="Y")*photos!$E$2:$E$701))),""))</f>
        <v/>
      </c>
      <c r="AJ115" s="30" t="str">
        <f aca="false">IF(OR($A115="",$AI115="",$I115=""),"",NETWORKDAYS($I115,$AI115,calendar!$A$2:$A$80))</f>
        <v/>
      </c>
      <c r="AK115" s="30" t="str">
        <f aca="false">IF($A115="","",IF(AND($X115&lt;&gt;"",$AH115&lt;&gt;""),"Y","N"))</f>
        <v/>
      </c>
      <c r="AL115" s="30" t="str">
        <f aca="true">IF(OR($A115="",$I115=""),"",IF($BC115="Y",SUMIFS(survey_frozen!$C$2:$C$251,survey_frozen!$P$2:$P$251,$A115&amp;"|"&amp;$B115),IFERROR(COUNTIFS(INDIRECT("'"&amp;$A115&amp;"'!$B$2:$B$501"),$T115,INDIRECT("'"&amp;$A115&amp;"'!$A$2:$A$501"),"&gt;="&amp;$I115,INDIRECT("'"&amp;$A115&amp;"'!$A$2:$A$501"),"&lt;"&amp;($BA115+1)),0)))</f>
        <v/>
      </c>
      <c r="AM115" s="30" t="str">
        <f aca="true">IF(OR($A115="",$I115=""),"",IF($BC115="Y",SUMIFS(survey_frozen!$D$2:$D$251,survey_frozen!$P$2:$P$251,$A115&amp;"|"&amp;$B115),IFERROR(COUNTIFS(INDIRECT("'"&amp;$A115&amp;"'!$B$2:$B$501"),$T115,INDIRECT("'"&amp;$A115&amp;"'!$A$2:$A$501"),"&gt;="&amp;$I115,INDIRECT("'"&amp;$A115&amp;"'!$A$2:$A$501"),"&lt;"&amp;($BA115+1),INDIRECT("'"&amp;$A115&amp;"'!$C$2:$C$501"),"Yes"),0)))</f>
        <v/>
      </c>
      <c r="AN115" s="30" t="str">
        <f aca="false">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30" t="str">
        <f aca="false">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30" t="str">
        <f aca="true">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30" t="str">
        <f aca="true">IF(OR($A115="",$I115=""),"",IF($BC115="Y",SUMIFS(survey_frozen!$E$2:$E$251,survey_frozen!$P$2:$P$251,$A115&amp;"|"&amp;$B115),IFERROR(COUNTIFS(INDIRECT("'"&amp;$A115&amp;"'!$B$2:$B$501"),$T115,INDIRECT("'"&amp;$A115&amp;"'!$A$2:$A$501"),"&gt;="&amp;$I115,INDIRECT("'"&amp;$A115&amp;"'!$A$2:$A$501"),"&lt;"&amp;($BA115+1),INDIRECT("'"&amp;$A115&amp;"'!$F$2:$F$501"),"Didn't see it"),0)))</f>
        <v/>
      </c>
      <c r="AR115" s="30" t="str">
        <f aca="true">IF(OR($A115="",$I115=""),"",IF($BC115="Y",SUMIFS(survey_frozen!$F$2:$F$251,survey_frozen!$P$2:$P$251,$A115&amp;"|"&amp;$B115),IFERROR(COUNTIFS(INDIRECT("'"&amp;$A115&amp;"'!$B$2:$B$501"),$T115,INDIRECT("'"&amp;$A115&amp;"'!$A$2:$A$501"),"&gt;="&amp;$I115,INDIRECT("'"&amp;$A115&amp;"'!$A$2:$A$501"),"&lt;"&amp;($BA115+1),INDIRECT("'"&amp;$A115&amp;"'!$F$2:$F$501"),"Not for me"),0)))</f>
        <v/>
      </c>
      <c r="AS115" s="30" t="str">
        <f aca="true">IF(OR($A115="",$I115=""),"",IF($BC115="Y",SUMIFS(survey_frozen!$G$2:$G$251,survey_frozen!$P$2:$P$251,$A115&amp;"|"&amp;$B115),IFERROR(COUNTIFS(INDIRECT("'"&amp;$A115&amp;"'!$B$2:$B$501"),$T115,INDIRECT("'"&amp;$A115&amp;"'!$A$2:$A$501"),"&gt;="&amp;$I115,INDIRECT("'"&amp;$A115&amp;"'!$A$2:$A$501"),"&lt;"&amp;($BA115+1),INDIRECT("'"&amp;$A115&amp;"'!$F$2:$F$501"),"Gone by the time I looked"),0)))</f>
        <v/>
      </c>
      <c r="AT115" s="30" t="str">
        <f aca="true">IF(OR($A115="",$I115=""),"",IF($BC115="Y",SUMIFS(survey_frozen!$H$2:$H$251,survey_frozen!$P$2:$P$251,$A115&amp;"|"&amp;$B115),IFERROR(COUNTIFS(INDIRECT("'"&amp;$A115&amp;"'!$B$2:$B$501"),$T115,INDIRECT("'"&amp;$A115&amp;"'!$A$2:$A$501"),"&gt;="&amp;$I115,INDIRECT("'"&amp;$A115&amp;"'!$A$2:$A$501"),"&lt;"&amp;($BA115+1),INDIRECT("'"&amp;$A115&amp;"'!$D$2:$D$501"),"&gt;=1"),0)))</f>
        <v/>
      </c>
      <c r="AU115" s="30" t="str">
        <f aca="true">IF(OR($A115="",$I115=""),"",IF($BC115="Y",SUMIFS(survey_frozen!$I$2:$I$251,survey_frozen!$P$2:$P$251,$A115&amp;"|"&amp;$B115),IFERROR(SUMIFS(INDIRECT("'"&amp;$A115&amp;"'!$D$2:$D$501"),INDIRECT("'"&amp;$A115&amp;"'!$B$2:$B$501"),$T115,INDIRECT("'"&amp;$A115&amp;"'!$A$2:$A$501"),"&gt;="&amp;$I115,INDIRECT("'"&amp;$A115&amp;"'!$A$2:$A$501"),"&lt;"&amp;($BA115+1)),0)))</f>
        <v/>
      </c>
      <c r="AV115" s="30" t="str">
        <f aca="true">IF(OR($A115="",$I115=""),"",IF($BC115="Y",SUMIFS(survey_frozen!$J$2:$J$251,survey_frozen!$P$2:$P$251,$A115&amp;"|"&amp;$B115),IFERROR(COUNTIFS(INDIRECT("'"&amp;$A115&amp;"'!$B$2:$B$501"),$T115,INDIRECT("'"&amp;$A115&amp;"'!$A$2:$A$501"),"&gt;="&amp;$I115,INDIRECT("'"&amp;$A115&amp;"'!$A$2:$A$501"),"&lt;"&amp;($BA115+1),INDIRECT("'"&amp;$A115&amp;"'!$E$2:$E$501"),"Yes"),0)))</f>
        <v/>
      </c>
      <c r="AW115" s="30" t="str">
        <f aca="true">IF(OR($A115="",$I115=""),"",IF($BC115="Y",SUMIFS(survey_frozen!$K$2:$K$251,survey_frozen!$P$2:$P$251,$A115&amp;"|"&amp;$B115),IFERROR(COUNTIFS(INDIRECT("'"&amp;$A115&amp;"'!$B$2:$B$501"),$T115,INDIRECT("'"&amp;$A115&amp;"'!$A$2:$A$501"),"&gt;="&amp;$I115,INDIRECT("'"&amp;$A115&amp;"'!$A$2:$A$501"),"&lt;"&amp;($BA115+1),INDIRECT("'"&amp;$A115&amp;"'!$E$2:$E$501"),"Maybe"),0)))</f>
        <v/>
      </c>
      <c r="AX115" s="30" t="str">
        <f aca="true">IF(OR($A115="",$I115=""),"",IF($BC115="Y",SUMIFS(survey_frozen!$L$2:$L$251,survey_frozen!$P$2:$P$251,$A115&amp;"|"&amp;$B115),IFERROR(COUNTIFS(INDIRECT("'"&amp;$A115&amp;"'!$B$2:$B$501"),$T115,INDIRECT("'"&amp;$A115&amp;"'!$A$2:$A$501"),"&gt;="&amp;$I115,INDIRECT("'"&amp;$A115&amp;"'!$A$2:$A$501"),"&lt;"&amp;($BA115+1),INDIRECT("'"&amp;$A115&amp;"'!$E$2:$E$501"),"No"),0)))</f>
        <v/>
      </c>
      <c r="AY115" s="30" t="str">
        <f aca="true">IF(OR($A115="",$I115=""),"",IF($BC115="Y",SUMIFS(survey_frozen!$M$2:$M$251,survey_frozen!$P$2:$P$251,$A115&amp;"|"&amp;$B115),IFERROR(COUNTIFS(INDIRECT("'"&amp;$A115&amp;"'!$B$2:$B$501"),$T115,INDIRECT("'"&amp;$A115&amp;"'!$A$2:$A$501"),"&gt;="&amp;$I115,INDIRECT("'"&amp;$A115&amp;"'!$A$2:$A$501"),"&lt;"&amp;($BA115+1),INDIRECT("'"&amp;$A115&amp;"'!$G$2:$G$501"),"&lt;&gt;"),0)))</f>
        <v/>
      </c>
      <c r="AZ115" s="30" t="str">
        <f aca="false">IF($A115="","",$A115&amp;"|"&amp;$L115)</f>
        <v/>
      </c>
      <c r="BA115" s="31" t="str">
        <f aca="false">IF($A115="","",IFERROR(IF(INDEX(drops!$R$2:$R$21,MATCH($H115,drops!$A$2:$A$21,0))="","",INDEX(drops!$R$2:$R$21,MATCH($H115,drops!$A$2:$A$21,0))),""))</f>
        <v/>
      </c>
      <c r="BB115" s="30" t="n">
        <f aca="false">IF(OR($A115="",$Q115&lt;&gt;"Y"),1000000,N($AL115))</f>
        <v>1000000</v>
      </c>
      <c r="BC115" s="30" t="str">
        <f aca="false">IF($A115="","",IF(COUNTIF(survey_frozen!$P$2:$P$251,$A115&amp;"|"&amp;$B115)&gt;0,"Y",""))</f>
        <v/>
      </c>
      <c r="BD115" s="30" t="str">
        <f aca="false">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ustomFormat="false" ht="15" hidden="false" customHeight="false" outlineLevel="0" collapsed="false">
      <c r="C116" s="11"/>
      <c r="D116" s="10"/>
      <c r="E116" s="11"/>
      <c r="H116" s="30" t="str">
        <f aca="false">IF($A116="","",IFERROR(IF(INDEX(campaigns!$B$2:$B$51,MATCH($A116,campaigns!$A$2:$A$51,0))="","",INDEX(campaigns!$B$2:$B$51,MATCH($A116,campaigns!$A$2:$A$51,0))),""))</f>
        <v/>
      </c>
      <c r="I116" s="31" t="str">
        <f aca="false">IF($A116="","",IFERROR(IF(INDEX(campaigns!$BG$2:$BG$51,MATCH($A116,campaigns!$A$2:$A$51,0))="","",INDEX(campaigns!$BG$2:$BG$51,MATCH($A116,campaigns!$A$2:$A$51,0))),""))</f>
        <v/>
      </c>
      <c r="J116" s="30" t="str">
        <f aca="false">IF($A116="","",IFERROR(IF(INDEX(campaigns!$BE$2:$BE$51,MATCH($A116,campaigns!$A$2:$A$51,0))="","",INDEX(campaigns!$BE$2:$BE$51,MATCH($A116,campaigns!$A$2:$A$51,0))),""))</f>
        <v/>
      </c>
      <c r="K116" s="30" t="str">
        <f aca="false">IF($B116="","",IFERROR(IF(INDEX(offices!$O$2:$O$61,MATCH($B116,offices!$A$2:$A$61,0))="","",INDEX(offices!$O$2:$O$61,MATCH($B116,offices!$A$2:$A$61,0))),""))</f>
        <v/>
      </c>
      <c r="L116" s="30" t="str">
        <f aca="false">IF($A116="","",IF($Q116="N","",COUNTIFS($A$2:$A116,$A116,$Q$2:$Q116,"&lt;&gt;N")))</f>
        <v/>
      </c>
      <c r="M116" s="30" t="str">
        <f aca="false">IF(OR($A116="",$L116=""),"",IF(AND(config!$B$34="names_if_public",IFERROR(IF(INDEX(offices!$AG$2:$AG$61,MATCH($B116,offices!$A$2:$A$61,0))="","",INDEX(offices!$AG$2:$AG$61,MATCH($B116,offices!$A$2:$A$61,0))),"")="Y"),$K116,CHAR(64+$L116)))</f>
        <v/>
      </c>
      <c r="N116" s="30" t="str">
        <f aca="false">IF(OR($A116="",$I116=""),"",COUNTIFS(stops!$B$2:$B$151,$B116,stops!$P$2:$P$151,"&lt;"&amp;$I116,stops!$L$2:$L$151,"&lt;&gt;not_delivered")+1)</f>
        <v/>
      </c>
      <c r="O116" s="30" t="str">
        <f aca="false">IF($A116="","",IF(N($N116)&lt;=config!$B$29,"explicit","opt-out"))</f>
        <v/>
      </c>
      <c r="P116" s="30" t="str">
        <f aca="false">IF($A116="","",IF($O116="explicit",IF($D116="yes","Y",IF($D116="no","N","pending")),IF($D116="no","N",IF(AND($C116&lt;&gt;"",$I116&lt;&gt;"",$C116&lt;=WORKDAY(N($I116),-5,calendar!$A$2:$A$80)),"Y","pending"))))</f>
        <v/>
      </c>
      <c r="Q116" s="30" t="str">
        <f aca="false">IF($A116="","",IF($P116="N","N",IF($P116&lt;&gt;"Y","pending",IF(AND((COUNTIFS(stops!$A$2:$A$151,$H116,stops!$B$2:$B$151,$B116,stops!$L$2:$L$151,"declined")+COUNTIFS(stops!$A$2:$A$151,$H116,stops!$B$2:$B$151,$B116,stops!$L$2:$L$151,"building_refused")+COUNTIFS(stops!$A$2:$A$151,$H116,stops!$B$2:$B$151,$B116,stops!$L$2:$L$151,"not_delivered"))&gt;0,N($U116)=0),"N","Y"))))</f>
        <v/>
      </c>
      <c r="R116" s="30" t="str">
        <f aca="false">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30" t="str">
        <f aca="false">IF($A116="","",IF($G116&lt;&gt;"",$G116,IFERROR(IF(INDEX(offices!$AM$2:$AM$61,MATCH($B116,offices!$A$2:$A$61,0))="","",INDEX(offices!$AM$2:$AM$61,MATCH($B116,offices!$A$2:$A$61,0))),"")))</f>
        <v/>
      </c>
      <c r="T116" s="30" t="str">
        <f aca="false">IF($A116="","",$A116&amp;"."&amp;$B116)</f>
        <v/>
      </c>
      <c r="U116" s="30" t="str">
        <f aca="false">IF($A116="","",SUMIFS(inventory!$G$2:$G$801,inventory!$C$2:$C$801,$A116,inventory!$D$2:$D$801,$B116,inventory!$E$2:$E$801,"delivered"))</f>
        <v/>
      </c>
      <c r="V116" s="37" t="str">
        <f aca="false">IF($A116="","",IFERROR(1/(1/SUMPRODUCT(MAX((inventory!$C$2:$C$801=$A116)*(inventory!$D$2:$D$801=$B116)*(inventory!$E$2:$E$801="delivered")*(inventory!$A$2:$A$801+inventory!$B$2:$B$801)))),""))</f>
        <v/>
      </c>
      <c r="W116" s="30" t="str">
        <f aca="false">IF($A116="","",IFERROR(IF(INDEX(inventory!$J$2:$J$801,MATCH($A116&amp;"|"&amp;$B116&amp;"|delivered",inventory!$R$2:$R$801,0))="","",INDEX(inventory!$J$2:$J$801,MATCH($A116&amp;"|"&amp;$B116&amp;"|delivered",inventory!$R$2:$R$801,0))),""))</f>
        <v/>
      </c>
      <c r="X116" s="30" t="str">
        <f aca="false">IF($A116="","",IFERROR(IF(INDEX(photos!$H$2:$H$701,MATCH($A116&amp;"|"&amp;$B116&amp;"|placement|Y",photos!$R$2:$R$701,0))="","",INDEX(photos!$H$2:$H$701,MATCH($A116&amp;"|"&amp;$B116&amp;"|placement|Y",photos!$R$2:$R$701,0))),""))</f>
        <v/>
      </c>
      <c r="Y116" s="31" t="str">
        <f aca="false">IF($A116="","",IFERROR(IF(INDEX(photos!$E$2:$E$701,MATCH($A116&amp;"|"&amp;$B116&amp;"|placement|Y",photos!$R$2:$R$701,0))="","",INDEX(photos!$E$2:$E$701,MATCH($A116&amp;"|"&amp;$B116&amp;"|placement|Y",photos!$R$2:$R$701,0))),""))</f>
        <v/>
      </c>
      <c r="Z116" s="30" t="str">
        <f aca="false">IF($A116="","",IF(COUNTIFS(counts!$C$2:$C$701,$A116,counts!$D$2:$D$701,$B116,counts!$E$2:$E$701,"placed")=0,"",SUMIFS(counts!$F$2:$F$701,counts!$C$2:$C$701,$A116,counts!$D$2:$D$701,$B116,counts!$E$2:$E$701,"placed")))</f>
        <v/>
      </c>
      <c r="AA116" s="30" t="str">
        <f aca="false">IF($A116="","",IF($Y116="",0,N($Z116)))</f>
        <v/>
      </c>
      <c r="AB116" s="30" t="str">
        <f aca="false">IF($A116="","",IF(OR($Y116="",$I116=""),"N",IF($Y116&lt;=WORKDAY(N($I116),1,calendar!$A$2:$A$80),"Y","N")))</f>
        <v/>
      </c>
      <c r="AC116" s="33" t="str">
        <f aca="false">IF(OR($A116="",$V116="",$Y116=""),"",ROUND(($Y116+N(IFERROR(IF(INDEX(photos!$F$2:$F$701,MATCH($A116&amp;"|"&amp;$B116&amp;"|placement|Y",photos!$R$2:$R$701,0))="","",INDEX(photos!$F$2:$F$701,MATCH($A116&amp;"|"&amp;$B116&amp;"|placement|Y",photos!$R$2:$R$701,0))),""))-$V116)*24,1))</f>
        <v/>
      </c>
      <c r="AD116" s="30" t="str">
        <f aca="false">IF($A116="","",SUMIFS(inventory!$G$2:$G$801,inventory!$C$2:$C$801,$A116,inventory!$D$2:$D$801,$B116,inventory!$E$2:$E$801,"topped_up"))</f>
        <v/>
      </c>
      <c r="AE116" s="30" t="str">
        <f aca="false">IF($A116="","",IF(COUNTIFS(counts!$C$2:$C$701,$A116,counts!$D$2:$D$701,$B116,counts!$E$2:$E$701,"remaining_day3")=0,"",SUMIFS(counts!$F$2:$F$701,counts!$C$2:$C$701,$A116,counts!$D$2:$D$701,$B116,counts!$E$2:$E$701,"remaining_day3")))</f>
        <v/>
      </c>
      <c r="AF116" s="30" t="str">
        <f aca="false">IF($A116="","",IF(COUNTIFS(counts!$C$2:$C$701,$A116,counts!$D$2:$D$701,$B116,counts!$E$2:$E$701,"remaining_day5")=0,"",SUMIFS(counts!$F$2:$F$701,counts!$C$2:$C$701,$A116,counts!$D$2:$D$701,$B116,counts!$E$2:$E$701,"remaining_day5")))</f>
        <v/>
      </c>
      <c r="AG116" s="30" t="str">
        <f aca="false">IF(OR($A116="",$AF116=""),"",MAX(0,$AA116+$AD116-$AF116))</f>
        <v/>
      </c>
      <c r="AH116" s="30" t="str">
        <f aca="false">IF(OR($A116="",$AI116=""),"",IFERROR(IF(INDEX(photos!$H$2:$H$701,MATCH($A116&amp;"|"&amp;$B116&amp;"|later|Y|"&amp;$AI116,photos!$S$2:$S$701,0))="","",INDEX(photos!$H$2:$H$701,MATCH($A116&amp;"|"&amp;$B116&amp;"|later|Y|"&amp;$AI116,photos!$S$2:$S$701,0))),""))</f>
        <v/>
      </c>
      <c r="AI116" s="31" t="str">
        <f aca="false">IF($A116="","",IFERROR(1/(1/SUMPRODUCT(MAX((photos!$B$2:$B$701=$A116)*(photos!$C$2:$C$701=$B116)*(photos!$D$2:$D$701="later")*(photos!$O$2:$O$701="Y")*photos!$E$2:$E$701))),""))</f>
        <v/>
      </c>
      <c r="AJ116" s="30" t="str">
        <f aca="false">IF(OR($A116="",$AI116="",$I116=""),"",NETWORKDAYS($I116,$AI116,calendar!$A$2:$A$80))</f>
        <v/>
      </c>
      <c r="AK116" s="30" t="str">
        <f aca="false">IF($A116="","",IF(AND($X116&lt;&gt;"",$AH116&lt;&gt;""),"Y","N"))</f>
        <v/>
      </c>
      <c r="AL116" s="30" t="str">
        <f aca="true">IF(OR($A116="",$I116=""),"",IF($BC116="Y",SUMIFS(survey_frozen!$C$2:$C$251,survey_frozen!$P$2:$P$251,$A116&amp;"|"&amp;$B116),IFERROR(COUNTIFS(INDIRECT("'"&amp;$A116&amp;"'!$B$2:$B$501"),$T116,INDIRECT("'"&amp;$A116&amp;"'!$A$2:$A$501"),"&gt;="&amp;$I116,INDIRECT("'"&amp;$A116&amp;"'!$A$2:$A$501"),"&lt;"&amp;($BA116+1)),0)))</f>
        <v/>
      </c>
      <c r="AM116" s="30" t="str">
        <f aca="true">IF(OR($A116="",$I116=""),"",IF($BC116="Y",SUMIFS(survey_frozen!$D$2:$D$251,survey_frozen!$P$2:$P$251,$A116&amp;"|"&amp;$B116),IFERROR(COUNTIFS(INDIRECT("'"&amp;$A116&amp;"'!$B$2:$B$501"),$T116,INDIRECT("'"&amp;$A116&amp;"'!$A$2:$A$501"),"&gt;="&amp;$I116,INDIRECT("'"&amp;$A116&amp;"'!$A$2:$A$501"),"&lt;"&amp;($BA116+1),INDIRECT("'"&amp;$A116&amp;"'!$C$2:$C$501"),"Yes"),0)))</f>
        <v/>
      </c>
      <c r="AN116" s="30" t="str">
        <f aca="false">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30" t="str">
        <f aca="false">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30" t="str">
        <f aca="true">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30" t="str">
        <f aca="true">IF(OR($A116="",$I116=""),"",IF($BC116="Y",SUMIFS(survey_frozen!$E$2:$E$251,survey_frozen!$P$2:$P$251,$A116&amp;"|"&amp;$B116),IFERROR(COUNTIFS(INDIRECT("'"&amp;$A116&amp;"'!$B$2:$B$501"),$T116,INDIRECT("'"&amp;$A116&amp;"'!$A$2:$A$501"),"&gt;="&amp;$I116,INDIRECT("'"&amp;$A116&amp;"'!$A$2:$A$501"),"&lt;"&amp;($BA116+1),INDIRECT("'"&amp;$A116&amp;"'!$F$2:$F$501"),"Didn't see it"),0)))</f>
        <v/>
      </c>
      <c r="AR116" s="30" t="str">
        <f aca="true">IF(OR($A116="",$I116=""),"",IF($BC116="Y",SUMIFS(survey_frozen!$F$2:$F$251,survey_frozen!$P$2:$P$251,$A116&amp;"|"&amp;$B116),IFERROR(COUNTIFS(INDIRECT("'"&amp;$A116&amp;"'!$B$2:$B$501"),$T116,INDIRECT("'"&amp;$A116&amp;"'!$A$2:$A$501"),"&gt;="&amp;$I116,INDIRECT("'"&amp;$A116&amp;"'!$A$2:$A$501"),"&lt;"&amp;($BA116+1),INDIRECT("'"&amp;$A116&amp;"'!$F$2:$F$501"),"Not for me"),0)))</f>
        <v/>
      </c>
      <c r="AS116" s="30" t="str">
        <f aca="true">IF(OR($A116="",$I116=""),"",IF($BC116="Y",SUMIFS(survey_frozen!$G$2:$G$251,survey_frozen!$P$2:$P$251,$A116&amp;"|"&amp;$B116),IFERROR(COUNTIFS(INDIRECT("'"&amp;$A116&amp;"'!$B$2:$B$501"),$T116,INDIRECT("'"&amp;$A116&amp;"'!$A$2:$A$501"),"&gt;="&amp;$I116,INDIRECT("'"&amp;$A116&amp;"'!$A$2:$A$501"),"&lt;"&amp;($BA116+1),INDIRECT("'"&amp;$A116&amp;"'!$F$2:$F$501"),"Gone by the time I looked"),0)))</f>
        <v/>
      </c>
      <c r="AT116" s="30" t="str">
        <f aca="true">IF(OR($A116="",$I116=""),"",IF($BC116="Y",SUMIFS(survey_frozen!$H$2:$H$251,survey_frozen!$P$2:$P$251,$A116&amp;"|"&amp;$B116),IFERROR(COUNTIFS(INDIRECT("'"&amp;$A116&amp;"'!$B$2:$B$501"),$T116,INDIRECT("'"&amp;$A116&amp;"'!$A$2:$A$501"),"&gt;="&amp;$I116,INDIRECT("'"&amp;$A116&amp;"'!$A$2:$A$501"),"&lt;"&amp;($BA116+1),INDIRECT("'"&amp;$A116&amp;"'!$D$2:$D$501"),"&gt;=1"),0)))</f>
        <v/>
      </c>
      <c r="AU116" s="30" t="str">
        <f aca="true">IF(OR($A116="",$I116=""),"",IF($BC116="Y",SUMIFS(survey_frozen!$I$2:$I$251,survey_frozen!$P$2:$P$251,$A116&amp;"|"&amp;$B116),IFERROR(SUMIFS(INDIRECT("'"&amp;$A116&amp;"'!$D$2:$D$501"),INDIRECT("'"&amp;$A116&amp;"'!$B$2:$B$501"),$T116,INDIRECT("'"&amp;$A116&amp;"'!$A$2:$A$501"),"&gt;="&amp;$I116,INDIRECT("'"&amp;$A116&amp;"'!$A$2:$A$501"),"&lt;"&amp;($BA116+1)),0)))</f>
        <v/>
      </c>
      <c r="AV116" s="30" t="str">
        <f aca="true">IF(OR($A116="",$I116=""),"",IF($BC116="Y",SUMIFS(survey_frozen!$J$2:$J$251,survey_frozen!$P$2:$P$251,$A116&amp;"|"&amp;$B116),IFERROR(COUNTIFS(INDIRECT("'"&amp;$A116&amp;"'!$B$2:$B$501"),$T116,INDIRECT("'"&amp;$A116&amp;"'!$A$2:$A$501"),"&gt;="&amp;$I116,INDIRECT("'"&amp;$A116&amp;"'!$A$2:$A$501"),"&lt;"&amp;($BA116+1),INDIRECT("'"&amp;$A116&amp;"'!$E$2:$E$501"),"Yes"),0)))</f>
        <v/>
      </c>
      <c r="AW116" s="30" t="str">
        <f aca="true">IF(OR($A116="",$I116=""),"",IF($BC116="Y",SUMIFS(survey_frozen!$K$2:$K$251,survey_frozen!$P$2:$P$251,$A116&amp;"|"&amp;$B116),IFERROR(COUNTIFS(INDIRECT("'"&amp;$A116&amp;"'!$B$2:$B$501"),$T116,INDIRECT("'"&amp;$A116&amp;"'!$A$2:$A$501"),"&gt;="&amp;$I116,INDIRECT("'"&amp;$A116&amp;"'!$A$2:$A$501"),"&lt;"&amp;($BA116+1),INDIRECT("'"&amp;$A116&amp;"'!$E$2:$E$501"),"Maybe"),0)))</f>
        <v/>
      </c>
      <c r="AX116" s="30" t="str">
        <f aca="true">IF(OR($A116="",$I116=""),"",IF($BC116="Y",SUMIFS(survey_frozen!$L$2:$L$251,survey_frozen!$P$2:$P$251,$A116&amp;"|"&amp;$B116),IFERROR(COUNTIFS(INDIRECT("'"&amp;$A116&amp;"'!$B$2:$B$501"),$T116,INDIRECT("'"&amp;$A116&amp;"'!$A$2:$A$501"),"&gt;="&amp;$I116,INDIRECT("'"&amp;$A116&amp;"'!$A$2:$A$501"),"&lt;"&amp;($BA116+1),INDIRECT("'"&amp;$A116&amp;"'!$E$2:$E$501"),"No"),0)))</f>
        <v/>
      </c>
      <c r="AY116" s="30" t="str">
        <f aca="true">IF(OR($A116="",$I116=""),"",IF($BC116="Y",SUMIFS(survey_frozen!$M$2:$M$251,survey_frozen!$P$2:$P$251,$A116&amp;"|"&amp;$B116),IFERROR(COUNTIFS(INDIRECT("'"&amp;$A116&amp;"'!$B$2:$B$501"),$T116,INDIRECT("'"&amp;$A116&amp;"'!$A$2:$A$501"),"&gt;="&amp;$I116,INDIRECT("'"&amp;$A116&amp;"'!$A$2:$A$501"),"&lt;"&amp;($BA116+1),INDIRECT("'"&amp;$A116&amp;"'!$G$2:$G$501"),"&lt;&gt;"),0)))</f>
        <v/>
      </c>
      <c r="AZ116" s="30" t="str">
        <f aca="false">IF($A116="","",$A116&amp;"|"&amp;$L116)</f>
        <v/>
      </c>
      <c r="BA116" s="31" t="str">
        <f aca="false">IF($A116="","",IFERROR(IF(INDEX(drops!$R$2:$R$21,MATCH($H116,drops!$A$2:$A$21,0))="","",INDEX(drops!$R$2:$R$21,MATCH($H116,drops!$A$2:$A$21,0))),""))</f>
        <v/>
      </c>
      <c r="BB116" s="30" t="n">
        <f aca="false">IF(OR($A116="",$Q116&lt;&gt;"Y"),1000000,N($AL116))</f>
        <v>1000000</v>
      </c>
      <c r="BC116" s="30" t="str">
        <f aca="false">IF($A116="","",IF(COUNTIF(survey_frozen!$P$2:$P$251,$A116&amp;"|"&amp;$B116)&gt;0,"Y",""))</f>
        <v/>
      </c>
      <c r="BD116" s="30" t="str">
        <f aca="false">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ustomFormat="false" ht="15" hidden="false" customHeight="false" outlineLevel="0" collapsed="false">
      <c r="C117" s="11"/>
      <c r="D117" s="10"/>
      <c r="E117" s="11"/>
      <c r="H117" s="30" t="str">
        <f aca="false">IF($A117="","",IFERROR(IF(INDEX(campaigns!$B$2:$B$51,MATCH($A117,campaigns!$A$2:$A$51,0))="","",INDEX(campaigns!$B$2:$B$51,MATCH($A117,campaigns!$A$2:$A$51,0))),""))</f>
        <v/>
      </c>
      <c r="I117" s="31" t="str">
        <f aca="false">IF($A117="","",IFERROR(IF(INDEX(campaigns!$BG$2:$BG$51,MATCH($A117,campaigns!$A$2:$A$51,0))="","",INDEX(campaigns!$BG$2:$BG$51,MATCH($A117,campaigns!$A$2:$A$51,0))),""))</f>
        <v/>
      </c>
      <c r="J117" s="30" t="str">
        <f aca="false">IF($A117="","",IFERROR(IF(INDEX(campaigns!$BE$2:$BE$51,MATCH($A117,campaigns!$A$2:$A$51,0))="","",INDEX(campaigns!$BE$2:$BE$51,MATCH($A117,campaigns!$A$2:$A$51,0))),""))</f>
        <v/>
      </c>
      <c r="K117" s="30" t="str">
        <f aca="false">IF($B117="","",IFERROR(IF(INDEX(offices!$O$2:$O$61,MATCH($B117,offices!$A$2:$A$61,0))="","",INDEX(offices!$O$2:$O$61,MATCH($B117,offices!$A$2:$A$61,0))),""))</f>
        <v/>
      </c>
      <c r="L117" s="30" t="str">
        <f aca="false">IF($A117="","",IF($Q117="N","",COUNTIFS($A$2:$A117,$A117,$Q$2:$Q117,"&lt;&gt;N")))</f>
        <v/>
      </c>
      <c r="M117" s="30" t="str">
        <f aca="false">IF(OR($A117="",$L117=""),"",IF(AND(config!$B$34="names_if_public",IFERROR(IF(INDEX(offices!$AG$2:$AG$61,MATCH($B117,offices!$A$2:$A$61,0))="","",INDEX(offices!$AG$2:$AG$61,MATCH($B117,offices!$A$2:$A$61,0))),"")="Y"),$K117,CHAR(64+$L117)))</f>
        <v/>
      </c>
      <c r="N117" s="30" t="str">
        <f aca="false">IF(OR($A117="",$I117=""),"",COUNTIFS(stops!$B$2:$B$151,$B117,stops!$P$2:$P$151,"&lt;"&amp;$I117,stops!$L$2:$L$151,"&lt;&gt;not_delivered")+1)</f>
        <v/>
      </c>
      <c r="O117" s="30" t="str">
        <f aca="false">IF($A117="","",IF(N($N117)&lt;=config!$B$29,"explicit","opt-out"))</f>
        <v/>
      </c>
      <c r="P117" s="30" t="str">
        <f aca="false">IF($A117="","",IF($O117="explicit",IF($D117="yes","Y",IF($D117="no","N","pending")),IF($D117="no","N",IF(AND($C117&lt;&gt;"",$I117&lt;&gt;"",$C117&lt;=WORKDAY(N($I117),-5,calendar!$A$2:$A$80)),"Y","pending"))))</f>
        <v/>
      </c>
      <c r="Q117" s="30" t="str">
        <f aca="false">IF($A117="","",IF($P117="N","N",IF($P117&lt;&gt;"Y","pending",IF(AND((COUNTIFS(stops!$A$2:$A$151,$H117,stops!$B$2:$B$151,$B117,stops!$L$2:$L$151,"declined")+COUNTIFS(stops!$A$2:$A$151,$H117,stops!$B$2:$B$151,$B117,stops!$L$2:$L$151,"building_refused")+COUNTIFS(stops!$A$2:$A$151,$H117,stops!$B$2:$B$151,$B117,stops!$L$2:$L$151,"not_delivered"))&gt;0,N($U117)=0),"N","Y"))))</f>
        <v/>
      </c>
      <c r="R117" s="30" t="str">
        <f aca="false">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30" t="str">
        <f aca="false">IF($A117="","",IF($G117&lt;&gt;"",$G117,IFERROR(IF(INDEX(offices!$AM$2:$AM$61,MATCH($B117,offices!$A$2:$A$61,0))="","",INDEX(offices!$AM$2:$AM$61,MATCH($B117,offices!$A$2:$A$61,0))),"")))</f>
        <v/>
      </c>
      <c r="T117" s="30" t="str">
        <f aca="false">IF($A117="","",$A117&amp;"."&amp;$B117)</f>
        <v/>
      </c>
      <c r="U117" s="30" t="str">
        <f aca="false">IF($A117="","",SUMIFS(inventory!$G$2:$G$801,inventory!$C$2:$C$801,$A117,inventory!$D$2:$D$801,$B117,inventory!$E$2:$E$801,"delivered"))</f>
        <v/>
      </c>
      <c r="V117" s="37" t="str">
        <f aca="false">IF($A117="","",IFERROR(1/(1/SUMPRODUCT(MAX((inventory!$C$2:$C$801=$A117)*(inventory!$D$2:$D$801=$B117)*(inventory!$E$2:$E$801="delivered")*(inventory!$A$2:$A$801+inventory!$B$2:$B$801)))),""))</f>
        <v/>
      </c>
      <c r="W117" s="30" t="str">
        <f aca="false">IF($A117="","",IFERROR(IF(INDEX(inventory!$J$2:$J$801,MATCH($A117&amp;"|"&amp;$B117&amp;"|delivered",inventory!$R$2:$R$801,0))="","",INDEX(inventory!$J$2:$J$801,MATCH($A117&amp;"|"&amp;$B117&amp;"|delivered",inventory!$R$2:$R$801,0))),""))</f>
        <v/>
      </c>
      <c r="X117" s="30" t="str">
        <f aca="false">IF($A117="","",IFERROR(IF(INDEX(photos!$H$2:$H$701,MATCH($A117&amp;"|"&amp;$B117&amp;"|placement|Y",photos!$R$2:$R$701,0))="","",INDEX(photos!$H$2:$H$701,MATCH($A117&amp;"|"&amp;$B117&amp;"|placement|Y",photos!$R$2:$R$701,0))),""))</f>
        <v/>
      </c>
      <c r="Y117" s="31" t="str">
        <f aca="false">IF($A117="","",IFERROR(IF(INDEX(photos!$E$2:$E$701,MATCH($A117&amp;"|"&amp;$B117&amp;"|placement|Y",photos!$R$2:$R$701,0))="","",INDEX(photos!$E$2:$E$701,MATCH($A117&amp;"|"&amp;$B117&amp;"|placement|Y",photos!$R$2:$R$701,0))),""))</f>
        <v/>
      </c>
      <c r="Z117" s="30" t="str">
        <f aca="false">IF($A117="","",IF(COUNTIFS(counts!$C$2:$C$701,$A117,counts!$D$2:$D$701,$B117,counts!$E$2:$E$701,"placed")=0,"",SUMIFS(counts!$F$2:$F$701,counts!$C$2:$C$701,$A117,counts!$D$2:$D$701,$B117,counts!$E$2:$E$701,"placed")))</f>
        <v/>
      </c>
      <c r="AA117" s="30" t="str">
        <f aca="false">IF($A117="","",IF($Y117="",0,N($Z117)))</f>
        <v/>
      </c>
      <c r="AB117" s="30" t="str">
        <f aca="false">IF($A117="","",IF(OR($Y117="",$I117=""),"N",IF($Y117&lt;=WORKDAY(N($I117),1,calendar!$A$2:$A$80),"Y","N")))</f>
        <v/>
      </c>
      <c r="AC117" s="33" t="str">
        <f aca="false">IF(OR($A117="",$V117="",$Y117=""),"",ROUND(($Y117+N(IFERROR(IF(INDEX(photos!$F$2:$F$701,MATCH($A117&amp;"|"&amp;$B117&amp;"|placement|Y",photos!$R$2:$R$701,0))="","",INDEX(photos!$F$2:$F$701,MATCH($A117&amp;"|"&amp;$B117&amp;"|placement|Y",photos!$R$2:$R$701,0))),""))-$V117)*24,1))</f>
        <v/>
      </c>
      <c r="AD117" s="30" t="str">
        <f aca="false">IF($A117="","",SUMIFS(inventory!$G$2:$G$801,inventory!$C$2:$C$801,$A117,inventory!$D$2:$D$801,$B117,inventory!$E$2:$E$801,"topped_up"))</f>
        <v/>
      </c>
      <c r="AE117" s="30" t="str">
        <f aca="false">IF($A117="","",IF(COUNTIFS(counts!$C$2:$C$701,$A117,counts!$D$2:$D$701,$B117,counts!$E$2:$E$701,"remaining_day3")=0,"",SUMIFS(counts!$F$2:$F$701,counts!$C$2:$C$701,$A117,counts!$D$2:$D$701,$B117,counts!$E$2:$E$701,"remaining_day3")))</f>
        <v/>
      </c>
      <c r="AF117" s="30" t="str">
        <f aca="false">IF($A117="","",IF(COUNTIFS(counts!$C$2:$C$701,$A117,counts!$D$2:$D$701,$B117,counts!$E$2:$E$701,"remaining_day5")=0,"",SUMIFS(counts!$F$2:$F$701,counts!$C$2:$C$701,$A117,counts!$D$2:$D$701,$B117,counts!$E$2:$E$701,"remaining_day5")))</f>
        <v/>
      </c>
      <c r="AG117" s="30" t="str">
        <f aca="false">IF(OR($A117="",$AF117=""),"",MAX(0,$AA117+$AD117-$AF117))</f>
        <v/>
      </c>
      <c r="AH117" s="30" t="str">
        <f aca="false">IF(OR($A117="",$AI117=""),"",IFERROR(IF(INDEX(photos!$H$2:$H$701,MATCH($A117&amp;"|"&amp;$B117&amp;"|later|Y|"&amp;$AI117,photos!$S$2:$S$701,0))="","",INDEX(photos!$H$2:$H$701,MATCH($A117&amp;"|"&amp;$B117&amp;"|later|Y|"&amp;$AI117,photos!$S$2:$S$701,0))),""))</f>
        <v/>
      </c>
      <c r="AI117" s="31" t="str">
        <f aca="false">IF($A117="","",IFERROR(1/(1/SUMPRODUCT(MAX((photos!$B$2:$B$701=$A117)*(photos!$C$2:$C$701=$B117)*(photos!$D$2:$D$701="later")*(photos!$O$2:$O$701="Y")*photos!$E$2:$E$701))),""))</f>
        <v/>
      </c>
      <c r="AJ117" s="30" t="str">
        <f aca="false">IF(OR($A117="",$AI117="",$I117=""),"",NETWORKDAYS($I117,$AI117,calendar!$A$2:$A$80))</f>
        <v/>
      </c>
      <c r="AK117" s="30" t="str">
        <f aca="false">IF($A117="","",IF(AND($X117&lt;&gt;"",$AH117&lt;&gt;""),"Y","N"))</f>
        <v/>
      </c>
      <c r="AL117" s="30" t="str">
        <f aca="true">IF(OR($A117="",$I117=""),"",IF($BC117="Y",SUMIFS(survey_frozen!$C$2:$C$251,survey_frozen!$P$2:$P$251,$A117&amp;"|"&amp;$B117),IFERROR(COUNTIFS(INDIRECT("'"&amp;$A117&amp;"'!$B$2:$B$501"),$T117,INDIRECT("'"&amp;$A117&amp;"'!$A$2:$A$501"),"&gt;="&amp;$I117,INDIRECT("'"&amp;$A117&amp;"'!$A$2:$A$501"),"&lt;"&amp;($BA117+1)),0)))</f>
        <v/>
      </c>
      <c r="AM117" s="30" t="str">
        <f aca="true">IF(OR($A117="",$I117=""),"",IF($BC117="Y",SUMIFS(survey_frozen!$D$2:$D$251,survey_frozen!$P$2:$P$251,$A117&amp;"|"&amp;$B117),IFERROR(COUNTIFS(INDIRECT("'"&amp;$A117&amp;"'!$B$2:$B$501"),$T117,INDIRECT("'"&amp;$A117&amp;"'!$A$2:$A$501"),"&gt;="&amp;$I117,INDIRECT("'"&amp;$A117&amp;"'!$A$2:$A$501"),"&lt;"&amp;($BA117+1),INDIRECT("'"&amp;$A117&amp;"'!$C$2:$C$501"),"Yes"),0)))</f>
        <v/>
      </c>
      <c r="AN117" s="30" t="str">
        <f aca="false">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30" t="str">
        <f aca="false">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30" t="str">
        <f aca="true">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30" t="str">
        <f aca="true">IF(OR($A117="",$I117=""),"",IF($BC117="Y",SUMIFS(survey_frozen!$E$2:$E$251,survey_frozen!$P$2:$P$251,$A117&amp;"|"&amp;$B117),IFERROR(COUNTIFS(INDIRECT("'"&amp;$A117&amp;"'!$B$2:$B$501"),$T117,INDIRECT("'"&amp;$A117&amp;"'!$A$2:$A$501"),"&gt;="&amp;$I117,INDIRECT("'"&amp;$A117&amp;"'!$A$2:$A$501"),"&lt;"&amp;($BA117+1),INDIRECT("'"&amp;$A117&amp;"'!$F$2:$F$501"),"Didn't see it"),0)))</f>
        <v/>
      </c>
      <c r="AR117" s="30" t="str">
        <f aca="true">IF(OR($A117="",$I117=""),"",IF($BC117="Y",SUMIFS(survey_frozen!$F$2:$F$251,survey_frozen!$P$2:$P$251,$A117&amp;"|"&amp;$B117),IFERROR(COUNTIFS(INDIRECT("'"&amp;$A117&amp;"'!$B$2:$B$501"),$T117,INDIRECT("'"&amp;$A117&amp;"'!$A$2:$A$501"),"&gt;="&amp;$I117,INDIRECT("'"&amp;$A117&amp;"'!$A$2:$A$501"),"&lt;"&amp;($BA117+1),INDIRECT("'"&amp;$A117&amp;"'!$F$2:$F$501"),"Not for me"),0)))</f>
        <v/>
      </c>
      <c r="AS117" s="30" t="str">
        <f aca="true">IF(OR($A117="",$I117=""),"",IF($BC117="Y",SUMIFS(survey_frozen!$G$2:$G$251,survey_frozen!$P$2:$P$251,$A117&amp;"|"&amp;$B117),IFERROR(COUNTIFS(INDIRECT("'"&amp;$A117&amp;"'!$B$2:$B$501"),$T117,INDIRECT("'"&amp;$A117&amp;"'!$A$2:$A$501"),"&gt;="&amp;$I117,INDIRECT("'"&amp;$A117&amp;"'!$A$2:$A$501"),"&lt;"&amp;($BA117+1),INDIRECT("'"&amp;$A117&amp;"'!$F$2:$F$501"),"Gone by the time I looked"),0)))</f>
        <v/>
      </c>
      <c r="AT117" s="30" t="str">
        <f aca="true">IF(OR($A117="",$I117=""),"",IF($BC117="Y",SUMIFS(survey_frozen!$H$2:$H$251,survey_frozen!$P$2:$P$251,$A117&amp;"|"&amp;$B117),IFERROR(COUNTIFS(INDIRECT("'"&amp;$A117&amp;"'!$B$2:$B$501"),$T117,INDIRECT("'"&amp;$A117&amp;"'!$A$2:$A$501"),"&gt;="&amp;$I117,INDIRECT("'"&amp;$A117&amp;"'!$A$2:$A$501"),"&lt;"&amp;($BA117+1),INDIRECT("'"&amp;$A117&amp;"'!$D$2:$D$501"),"&gt;=1"),0)))</f>
        <v/>
      </c>
      <c r="AU117" s="30" t="str">
        <f aca="true">IF(OR($A117="",$I117=""),"",IF($BC117="Y",SUMIFS(survey_frozen!$I$2:$I$251,survey_frozen!$P$2:$P$251,$A117&amp;"|"&amp;$B117),IFERROR(SUMIFS(INDIRECT("'"&amp;$A117&amp;"'!$D$2:$D$501"),INDIRECT("'"&amp;$A117&amp;"'!$B$2:$B$501"),$T117,INDIRECT("'"&amp;$A117&amp;"'!$A$2:$A$501"),"&gt;="&amp;$I117,INDIRECT("'"&amp;$A117&amp;"'!$A$2:$A$501"),"&lt;"&amp;($BA117+1)),0)))</f>
        <v/>
      </c>
      <c r="AV117" s="30" t="str">
        <f aca="true">IF(OR($A117="",$I117=""),"",IF($BC117="Y",SUMIFS(survey_frozen!$J$2:$J$251,survey_frozen!$P$2:$P$251,$A117&amp;"|"&amp;$B117),IFERROR(COUNTIFS(INDIRECT("'"&amp;$A117&amp;"'!$B$2:$B$501"),$T117,INDIRECT("'"&amp;$A117&amp;"'!$A$2:$A$501"),"&gt;="&amp;$I117,INDIRECT("'"&amp;$A117&amp;"'!$A$2:$A$501"),"&lt;"&amp;($BA117+1),INDIRECT("'"&amp;$A117&amp;"'!$E$2:$E$501"),"Yes"),0)))</f>
        <v/>
      </c>
      <c r="AW117" s="30" t="str">
        <f aca="true">IF(OR($A117="",$I117=""),"",IF($BC117="Y",SUMIFS(survey_frozen!$K$2:$K$251,survey_frozen!$P$2:$P$251,$A117&amp;"|"&amp;$B117),IFERROR(COUNTIFS(INDIRECT("'"&amp;$A117&amp;"'!$B$2:$B$501"),$T117,INDIRECT("'"&amp;$A117&amp;"'!$A$2:$A$501"),"&gt;="&amp;$I117,INDIRECT("'"&amp;$A117&amp;"'!$A$2:$A$501"),"&lt;"&amp;($BA117+1),INDIRECT("'"&amp;$A117&amp;"'!$E$2:$E$501"),"Maybe"),0)))</f>
        <v/>
      </c>
      <c r="AX117" s="30" t="str">
        <f aca="true">IF(OR($A117="",$I117=""),"",IF($BC117="Y",SUMIFS(survey_frozen!$L$2:$L$251,survey_frozen!$P$2:$P$251,$A117&amp;"|"&amp;$B117),IFERROR(COUNTIFS(INDIRECT("'"&amp;$A117&amp;"'!$B$2:$B$501"),$T117,INDIRECT("'"&amp;$A117&amp;"'!$A$2:$A$501"),"&gt;="&amp;$I117,INDIRECT("'"&amp;$A117&amp;"'!$A$2:$A$501"),"&lt;"&amp;($BA117+1),INDIRECT("'"&amp;$A117&amp;"'!$E$2:$E$501"),"No"),0)))</f>
        <v/>
      </c>
      <c r="AY117" s="30" t="str">
        <f aca="true">IF(OR($A117="",$I117=""),"",IF($BC117="Y",SUMIFS(survey_frozen!$M$2:$M$251,survey_frozen!$P$2:$P$251,$A117&amp;"|"&amp;$B117),IFERROR(COUNTIFS(INDIRECT("'"&amp;$A117&amp;"'!$B$2:$B$501"),$T117,INDIRECT("'"&amp;$A117&amp;"'!$A$2:$A$501"),"&gt;="&amp;$I117,INDIRECT("'"&amp;$A117&amp;"'!$A$2:$A$501"),"&lt;"&amp;($BA117+1),INDIRECT("'"&amp;$A117&amp;"'!$G$2:$G$501"),"&lt;&gt;"),0)))</f>
        <v/>
      </c>
      <c r="AZ117" s="30" t="str">
        <f aca="false">IF($A117="","",$A117&amp;"|"&amp;$L117)</f>
        <v/>
      </c>
      <c r="BA117" s="31" t="str">
        <f aca="false">IF($A117="","",IFERROR(IF(INDEX(drops!$R$2:$R$21,MATCH($H117,drops!$A$2:$A$21,0))="","",INDEX(drops!$R$2:$R$21,MATCH($H117,drops!$A$2:$A$21,0))),""))</f>
        <v/>
      </c>
      <c r="BB117" s="30" t="n">
        <f aca="false">IF(OR($A117="",$Q117&lt;&gt;"Y"),1000000,N($AL117))</f>
        <v>1000000</v>
      </c>
      <c r="BC117" s="30" t="str">
        <f aca="false">IF($A117="","",IF(COUNTIF(survey_frozen!$P$2:$P$251,$A117&amp;"|"&amp;$B117)&gt;0,"Y",""))</f>
        <v/>
      </c>
      <c r="BD117" s="30" t="str">
        <f aca="false">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ustomFormat="false" ht="15" hidden="false" customHeight="false" outlineLevel="0" collapsed="false">
      <c r="C118" s="11"/>
      <c r="D118" s="10"/>
      <c r="E118" s="11"/>
      <c r="H118" s="30" t="str">
        <f aca="false">IF($A118="","",IFERROR(IF(INDEX(campaigns!$B$2:$B$51,MATCH($A118,campaigns!$A$2:$A$51,0))="","",INDEX(campaigns!$B$2:$B$51,MATCH($A118,campaigns!$A$2:$A$51,0))),""))</f>
        <v/>
      </c>
      <c r="I118" s="31" t="str">
        <f aca="false">IF($A118="","",IFERROR(IF(INDEX(campaigns!$BG$2:$BG$51,MATCH($A118,campaigns!$A$2:$A$51,0))="","",INDEX(campaigns!$BG$2:$BG$51,MATCH($A118,campaigns!$A$2:$A$51,0))),""))</f>
        <v/>
      </c>
      <c r="J118" s="30" t="str">
        <f aca="false">IF($A118="","",IFERROR(IF(INDEX(campaigns!$BE$2:$BE$51,MATCH($A118,campaigns!$A$2:$A$51,0))="","",INDEX(campaigns!$BE$2:$BE$51,MATCH($A118,campaigns!$A$2:$A$51,0))),""))</f>
        <v/>
      </c>
      <c r="K118" s="30" t="str">
        <f aca="false">IF($B118="","",IFERROR(IF(INDEX(offices!$O$2:$O$61,MATCH($B118,offices!$A$2:$A$61,0))="","",INDEX(offices!$O$2:$O$61,MATCH($B118,offices!$A$2:$A$61,0))),""))</f>
        <v/>
      </c>
      <c r="L118" s="30" t="str">
        <f aca="false">IF($A118="","",IF($Q118="N","",COUNTIFS($A$2:$A118,$A118,$Q$2:$Q118,"&lt;&gt;N")))</f>
        <v/>
      </c>
      <c r="M118" s="30" t="str">
        <f aca="false">IF(OR($A118="",$L118=""),"",IF(AND(config!$B$34="names_if_public",IFERROR(IF(INDEX(offices!$AG$2:$AG$61,MATCH($B118,offices!$A$2:$A$61,0))="","",INDEX(offices!$AG$2:$AG$61,MATCH($B118,offices!$A$2:$A$61,0))),"")="Y"),$K118,CHAR(64+$L118)))</f>
        <v/>
      </c>
      <c r="N118" s="30" t="str">
        <f aca="false">IF(OR($A118="",$I118=""),"",COUNTIFS(stops!$B$2:$B$151,$B118,stops!$P$2:$P$151,"&lt;"&amp;$I118,stops!$L$2:$L$151,"&lt;&gt;not_delivered")+1)</f>
        <v/>
      </c>
      <c r="O118" s="30" t="str">
        <f aca="false">IF($A118="","",IF(N($N118)&lt;=config!$B$29,"explicit","opt-out"))</f>
        <v/>
      </c>
      <c r="P118" s="30" t="str">
        <f aca="false">IF($A118="","",IF($O118="explicit",IF($D118="yes","Y",IF($D118="no","N","pending")),IF($D118="no","N",IF(AND($C118&lt;&gt;"",$I118&lt;&gt;"",$C118&lt;=WORKDAY(N($I118),-5,calendar!$A$2:$A$80)),"Y","pending"))))</f>
        <v/>
      </c>
      <c r="Q118" s="30" t="str">
        <f aca="false">IF($A118="","",IF($P118="N","N",IF($P118&lt;&gt;"Y","pending",IF(AND((COUNTIFS(stops!$A$2:$A$151,$H118,stops!$B$2:$B$151,$B118,stops!$L$2:$L$151,"declined")+COUNTIFS(stops!$A$2:$A$151,$H118,stops!$B$2:$B$151,$B118,stops!$L$2:$L$151,"building_refused")+COUNTIFS(stops!$A$2:$A$151,$H118,stops!$B$2:$B$151,$B118,stops!$L$2:$L$151,"not_delivered"))&gt;0,N($U118)=0),"N","Y"))))</f>
        <v/>
      </c>
      <c r="R118" s="30" t="str">
        <f aca="false">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30" t="str">
        <f aca="false">IF($A118="","",IF($G118&lt;&gt;"",$G118,IFERROR(IF(INDEX(offices!$AM$2:$AM$61,MATCH($B118,offices!$A$2:$A$61,0))="","",INDEX(offices!$AM$2:$AM$61,MATCH($B118,offices!$A$2:$A$61,0))),"")))</f>
        <v/>
      </c>
      <c r="T118" s="30" t="str">
        <f aca="false">IF($A118="","",$A118&amp;"."&amp;$B118)</f>
        <v/>
      </c>
      <c r="U118" s="30" t="str">
        <f aca="false">IF($A118="","",SUMIFS(inventory!$G$2:$G$801,inventory!$C$2:$C$801,$A118,inventory!$D$2:$D$801,$B118,inventory!$E$2:$E$801,"delivered"))</f>
        <v/>
      </c>
      <c r="V118" s="37" t="str">
        <f aca="false">IF($A118="","",IFERROR(1/(1/SUMPRODUCT(MAX((inventory!$C$2:$C$801=$A118)*(inventory!$D$2:$D$801=$B118)*(inventory!$E$2:$E$801="delivered")*(inventory!$A$2:$A$801+inventory!$B$2:$B$801)))),""))</f>
        <v/>
      </c>
      <c r="W118" s="30" t="str">
        <f aca="false">IF($A118="","",IFERROR(IF(INDEX(inventory!$J$2:$J$801,MATCH($A118&amp;"|"&amp;$B118&amp;"|delivered",inventory!$R$2:$R$801,0))="","",INDEX(inventory!$J$2:$J$801,MATCH($A118&amp;"|"&amp;$B118&amp;"|delivered",inventory!$R$2:$R$801,0))),""))</f>
        <v/>
      </c>
      <c r="X118" s="30" t="str">
        <f aca="false">IF($A118="","",IFERROR(IF(INDEX(photos!$H$2:$H$701,MATCH($A118&amp;"|"&amp;$B118&amp;"|placement|Y",photos!$R$2:$R$701,0))="","",INDEX(photos!$H$2:$H$701,MATCH($A118&amp;"|"&amp;$B118&amp;"|placement|Y",photos!$R$2:$R$701,0))),""))</f>
        <v/>
      </c>
      <c r="Y118" s="31" t="str">
        <f aca="false">IF($A118="","",IFERROR(IF(INDEX(photos!$E$2:$E$701,MATCH($A118&amp;"|"&amp;$B118&amp;"|placement|Y",photos!$R$2:$R$701,0))="","",INDEX(photos!$E$2:$E$701,MATCH($A118&amp;"|"&amp;$B118&amp;"|placement|Y",photos!$R$2:$R$701,0))),""))</f>
        <v/>
      </c>
      <c r="Z118" s="30" t="str">
        <f aca="false">IF($A118="","",IF(COUNTIFS(counts!$C$2:$C$701,$A118,counts!$D$2:$D$701,$B118,counts!$E$2:$E$701,"placed")=0,"",SUMIFS(counts!$F$2:$F$701,counts!$C$2:$C$701,$A118,counts!$D$2:$D$701,$B118,counts!$E$2:$E$701,"placed")))</f>
        <v/>
      </c>
      <c r="AA118" s="30" t="str">
        <f aca="false">IF($A118="","",IF($Y118="",0,N($Z118)))</f>
        <v/>
      </c>
      <c r="AB118" s="30" t="str">
        <f aca="false">IF($A118="","",IF(OR($Y118="",$I118=""),"N",IF($Y118&lt;=WORKDAY(N($I118),1,calendar!$A$2:$A$80),"Y","N")))</f>
        <v/>
      </c>
      <c r="AC118" s="33" t="str">
        <f aca="false">IF(OR($A118="",$V118="",$Y118=""),"",ROUND(($Y118+N(IFERROR(IF(INDEX(photos!$F$2:$F$701,MATCH($A118&amp;"|"&amp;$B118&amp;"|placement|Y",photos!$R$2:$R$701,0))="","",INDEX(photos!$F$2:$F$701,MATCH($A118&amp;"|"&amp;$B118&amp;"|placement|Y",photos!$R$2:$R$701,0))),""))-$V118)*24,1))</f>
        <v/>
      </c>
      <c r="AD118" s="30" t="str">
        <f aca="false">IF($A118="","",SUMIFS(inventory!$G$2:$G$801,inventory!$C$2:$C$801,$A118,inventory!$D$2:$D$801,$B118,inventory!$E$2:$E$801,"topped_up"))</f>
        <v/>
      </c>
      <c r="AE118" s="30" t="str">
        <f aca="false">IF($A118="","",IF(COUNTIFS(counts!$C$2:$C$701,$A118,counts!$D$2:$D$701,$B118,counts!$E$2:$E$701,"remaining_day3")=0,"",SUMIFS(counts!$F$2:$F$701,counts!$C$2:$C$701,$A118,counts!$D$2:$D$701,$B118,counts!$E$2:$E$701,"remaining_day3")))</f>
        <v/>
      </c>
      <c r="AF118" s="30" t="str">
        <f aca="false">IF($A118="","",IF(COUNTIFS(counts!$C$2:$C$701,$A118,counts!$D$2:$D$701,$B118,counts!$E$2:$E$701,"remaining_day5")=0,"",SUMIFS(counts!$F$2:$F$701,counts!$C$2:$C$701,$A118,counts!$D$2:$D$701,$B118,counts!$E$2:$E$701,"remaining_day5")))</f>
        <v/>
      </c>
      <c r="AG118" s="30" t="str">
        <f aca="false">IF(OR($A118="",$AF118=""),"",MAX(0,$AA118+$AD118-$AF118))</f>
        <v/>
      </c>
      <c r="AH118" s="30" t="str">
        <f aca="false">IF(OR($A118="",$AI118=""),"",IFERROR(IF(INDEX(photos!$H$2:$H$701,MATCH($A118&amp;"|"&amp;$B118&amp;"|later|Y|"&amp;$AI118,photos!$S$2:$S$701,0))="","",INDEX(photos!$H$2:$H$701,MATCH($A118&amp;"|"&amp;$B118&amp;"|later|Y|"&amp;$AI118,photos!$S$2:$S$701,0))),""))</f>
        <v/>
      </c>
      <c r="AI118" s="31" t="str">
        <f aca="false">IF($A118="","",IFERROR(1/(1/SUMPRODUCT(MAX((photos!$B$2:$B$701=$A118)*(photos!$C$2:$C$701=$B118)*(photos!$D$2:$D$701="later")*(photos!$O$2:$O$701="Y")*photos!$E$2:$E$701))),""))</f>
        <v/>
      </c>
      <c r="AJ118" s="30" t="str">
        <f aca="false">IF(OR($A118="",$AI118="",$I118=""),"",NETWORKDAYS($I118,$AI118,calendar!$A$2:$A$80))</f>
        <v/>
      </c>
      <c r="AK118" s="30" t="str">
        <f aca="false">IF($A118="","",IF(AND($X118&lt;&gt;"",$AH118&lt;&gt;""),"Y","N"))</f>
        <v/>
      </c>
      <c r="AL118" s="30" t="str">
        <f aca="true">IF(OR($A118="",$I118=""),"",IF($BC118="Y",SUMIFS(survey_frozen!$C$2:$C$251,survey_frozen!$P$2:$P$251,$A118&amp;"|"&amp;$B118),IFERROR(COUNTIFS(INDIRECT("'"&amp;$A118&amp;"'!$B$2:$B$501"),$T118,INDIRECT("'"&amp;$A118&amp;"'!$A$2:$A$501"),"&gt;="&amp;$I118,INDIRECT("'"&amp;$A118&amp;"'!$A$2:$A$501"),"&lt;"&amp;($BA118+1)),0)))</f>
        <v/>
      </c>
      <c r="AM118" s="30" t="str">
        <f aca="true">IF(OR($A118="",$I118=""),"",IF($BC118="Y",SUMIFS(survey_frozen!$D$2:$D$251,survey_frozen!$P$2:$P$251,$A118&amp;"|"&amp;$B118),IFERROR(COUNTIFS(INDIRECT("'"&amp;$A118&amp;"'!$B$2:$B$501"),$T118,INDIRECT("'"&amp;$A118&amp;"'!$A$2:$A$501"),"&gt;="&amp;$I118,INDIRECT("'"&amp;$A118&amp;"'!$A$2:$A$501"),"&lt;"&amp;($BA118+1),INDIRECT("'"&amp;$A118&amp;"'!$C$2:$C$501"),"Yes"),0)))</f>
        <v/>
      </c>
      <c r="AN118" s="30" t="str">
        <f aca="false">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30" t="str">
        <f aca="false">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30" t="str">
        <f aca="true">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30" t="str">
        <f aca="true">IF(OR($A118="",$I118=""),"",IF($BC118="Y",SUMIFS(survey_frozen!$E$2:$E$251,survey_frozen!$P$2:$P$251,$A118&amp;"|"&amp;$B118),IFERROR(COUNTIFS(INDIRECT("'"&amp;$A118&amp;"'!$B$2:$B$501"),$T118,INDIRECT("'"&amp;$A118&amp;"'!$A$2:$A$501"),"&gt;="&amp;$I118,INDIRECT("'"&amp;$A118&amp;"'!$A$2:$A$501"),"&lt;"&amp;($BA118+1),INDIRECT("'"&amp;$A118&amp;"'!$F$2:$F$501"),"Didn't see it"),0)))</f>
        <v/>
      </c>
      <c r="AR118" s="30" t="str">
        <f aca="true">IF(OR($A118="",$I118=""),"",IF($BC118="Y",SUMIFS(survey_frozen!$F$2:$F$251,survey_frozen!$P$2:$P$251,$A118&amp;"|"&amp;$B118),IFERROR(COUNTIFS(INDIRECT("'"&amp;$A118&amp;"'!$B$2:$B$501"),$T118,INDIRECT("'"&amp;$A118&amp;"'!$A$2:$A$501"),"&gt;="&amp;$I118,INDIRECT("'"&amp;$A118&amp;"'!$A$2:$A$501"),"&lt;"&amp;($BA118+1),INDIRECT("'"&amp;$A118&amp;"'!$F$2:$F$501"),"Not for me"),0)))</f>
        <v/>
      </c>
      <c r="AS118" s="30" t="str">
        <f aca="true">IF(OR($A118="",$I118=""),"",IF($BC118="Y",SUMIFS(survey_frozen!$G$2:$G$251,survey_frozen!$P$2:$P$251,$A118&amp;"|"&amp;$B118),IFERROR(COUNTIFS(INDIRECT("'"&amp;$A118&amp;"'!$B$2:$B$501"),$T118,INDIRECT("'"&amp;$A118&amp;"'!$A$2:$A$501"),"&gt;="&amp;$I118,INDIRECT("'"&amp;$A118&amp;"'!$A$2:$A$501"),"&lt;"&amp;($BA118+1),INDIRECT("'"&amp;$A118&amp;"'!$F$2:$F$501"),"Gone by the time I looked"),0)))</f>
        <v/>
      </c>
      <c r="AT118" s="30" t="str">
        <f aca="true">IF(OR($A118="",$I118=""),"",IF($BC118="Y",SUMIFS(survey_frozen!$H$2:$H$251,survey_frozen!$P$2:$P$251,$A118&amp;"|"&amp;$B118),IFERROR(COUNTIFS(INDIRECT("'"&amp;$A118&amp;"'!$B$2:$B$501"),$T118,INDIRECT("'"&amp;$A118&amp;"'!$A$2:$A$501"),"&gt;="&amp;$I118,INDIRECT("'"&amp;$A118&amp;"'!$A$2:$A$501"),"&lt;"&amp;($BA118+1),INDIRECT("'"&amp;$A118&amp;"'!$D$2:$D$501"),"&gt;=1"),0)))</f>
        <v/>
      </c>
      <c r="AU118" s="30" t="str">
        <f aca="true">IF(OR($A118="",$I118=""),"",IF($BC118="Y",SUMIFS(survey_frozen!$I$2:$I$251,survey_frozen!$P$2:$P$251,$A118&amp;"|"&amp;$B118),IFERROR(SUMIFS(INDIRECT("'"&amp;$A118&amp;"'!$D$2:$D$501"),INDIRECT("'"&amp;$A118&amp;"'!$B$2:$B$501"),$T118,INDIRECT("'"&amp;$A118&amp;"'!$A$2:$A$501"),"&gt;="&amp;$I118,INDIRECT("'"&amp;$A118&amp;"'!$A$2:$A$501"),"&lt;"&amp;($BA118+1)),0)))</f>
        <v/>
      </c>
      <c r="AV118" s="30" t="str">
        <f aca="true">IF(OR($A118="",$I118=""),"",IF($BC118="Y",SUMIFS(survey_frozen!$J$2:$J$251,survey_frozen!$P$2:$P$251,$A118&amp;"|"&amp;$B118),IFERROR(COUNTIFS(INDIRECT("'"&amp;$A118&amp;"'!$B$2:$B$501"),$T118,INDIRECT("'"&amp;$A118&amp;"'!$A$2:$A$501"),"&gt;="&amp;$I118,INDIRECT("'"&amp;$A118&amp;"'!$A$2:$A$501"),"&lt;"&amp;($BA118+1),INDIRECT("'"&amp;$A118&amp;"'!$E$2:$E$501"),"Yes"),0)))</f>
        <v/>
      </c>
      <c r="AW118" s="30" t="str">
        <f aca="true">IF(OR($A118="",$I118=""),"",IF($BC118="Y",SUMIFS(survey_frozen!$K$2:$K$251,survey_frozen!$P$2:$P$251,$A118&amp;"|"&amp;$B118),IFERROR(COUNTIFS(INDIRECT("'"&amp;$A118&amp;"'!$B$2:$B$501"),$T118,INDIRECT("'"&amp;$A118&amp;"'!$A$2:$A$501"),"&gt;="&amp;$I118,INDIRECT("'"&amp;$A118&amp;"'!$A$2:$A$501"),"&lt;"&amp;($BA118+1),INDIRECT("'"&amp;$A118&amp;"'!$E$2:$E$501"),"Maybe"),0)))</f>
        <v/>
      </c>
      <c r="AX118" s="30" t="str">
        <f aca="true">IF(OR($A118="",$I118=""),"",IF($BC118="Y",SUMIFS(survey_frozen!$L$2:$L$251,survey_frozen!$P$2:$P$251,$A118&amp;"|"&amp;$B118),IFERROR(COUNTIFS(INDIRECT("'"&amp;$A118&amp;"'!$B$2:$B$501"),$T118,INDIRECT("'"&amp;$A118&amp;"'!$A$2:$A$501"),"&gt;="&amp;$I118,INDIRECT("'"&amp;$A118&amp;"'!$A$2:$A$501"),"&lt;"&amp;($BA118+1),INDIRECT("'"&amp;$A118&amp;"'!$E$2:$E$501"),"No"),0)))</f>
        <v/>
      </c>
      <c r="AY118" s="30" t="str">
        <f aca="true">IF(OR($A118="",$I118=""),"",IF($BC118="Y",SUMIFS(survey_frozen!$M$2:$M$251,survey_frozen!$P$2:$P$251,$A118&amp;"|"&amp;$B118),IFERROR(COUNTIFS(INDIRECT("'"&amp;$A118&amp;"'!$B$2:$B$501"),$T118,INDIRECT("'"&amp;$A118&amp;"'!$A$2:$A$501"),"&gt;="&amp;$I118,INDIRECT("'"&amp;$A118&amp;"'!$A$2:$A$501"),"&lt;"&amp;($BA118+1),INDIRECT("'"&amp;$A118&amp;"'!$G$2:$G$501"),"&lt;&gt;"),0)))</f>
        <v/>
      </c>
      <c r="AZ118" s="30" t="str">
        <f aca="false">IF($A118="","",$A118&amp;"|"&amp;$L118)</f>
        <v/>
      </c>
      <c r="BA118" s="31" t="str">
        <f aca="false">IF($A118="","",IFERROR(IF(INDEX(drops!$R$2:$R$21,MATCH($H118,drops!$A$2:$A$21,0))="","",INDEX(drops!$R$2:$R$21,MATCH($H118,drops!$A$2:$A$21,0))),""))</f>
        <v/>
      </c>
      <c r="BB118" s="30" t="n">
        <f aca="false">IF(OR($A118="",$Q118&lt;&gt;"Y"),1000000,N($AL118))</f>
        <v>1000000</v>
      </c>
      <c r="BC118" s="30" t="str">
        <f aca="false">IF($A118="","",IF(COUNTIF(survey_frozen!$P$2:$P$251,$A118&amp;"|"&amp;$B118)&gt;0,"Y",""))</f>
        <v/>
      </c>
      <c r="BD118" s="30" t="str">
        <f aca="false">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ustomFormat="false" ht="15" hidden="false" customHeight="false" outlineLevel="0" collapsed="false">
      <c r="C119" s="11"/>
      <c r="D119" s="10"/>
      <c r="E119" s="11"/>
      <c r="H119" s="30" t="str">
        <f aca="false">IF($A119="","",IFERROR(IF(INDEX(campaigns!$B$2:$B$51,MATCH($A119,campaigns!$A$2:$A$51,0))="","",INDEX(campaigns!$B$2:$B$51,MATCH($A119,campaigns!$A$2:$A$51,0))),""))</f>
        <v/>
      </c>
      <c r="I119" s="31" t="str">
        <f aca="false">IF($A119="","",IFERROR(IF(INDEX(campaigns!$BG$2:$BG$51,MATCH($A119,campaigns!$A$2:$A$51,0))="","",INDEX(campaigns!$BG$2:$BG$51,MATCH($A119,campaigns!$A$2:$A$51,0))),""))</f>
        <v/>
      </c>
      <c r="J119" s="30" t="str">
        <f aca="false">IF($A119="","",IFERROR(IF(INDEX(campaigns!$BE$2:$BE$51,MATCH($A119,campaigns!$A$2:$A$51,0))="","",INDEX(campaigns!$BE$2:$BE$51,MATCH($A119,campaigns!$A$2:$A$51,0))),""))</f>
        <v/>
      </c>
      <c r="K119" s="30" t="str">
        <f aca="false">IF($B119="","",IFERROR(IF(INDEX(offices!$O$2:$O$61,MATCH($B119,offices!$A$2:$A$61,0))="","",INDEX(offices!$O$2:$O$61,MATCH($B119,offices!$A$2:$A$61,0))),""))</f>
        <v/>
      </c>
      <c r="L119" s="30" t="str">
        <f aca="false">IF($A119="","",IF($Q119="N","",COUNTIFS($A$2:$A119,$A119,$Q$2:$Q119,"&lt;&gt;N")))</f>
        <v/>
      </c>
      <c r="M119" s="30" t="str">
        <f aca="false">IF(OR($A119="",$L119=""),"",IF(AND(config!$B$34="names_if_public",IFERROR(IF(INDEX(offices!$AG$2:$AG$61,MATCH($B119,offices!$A$2:$A$61,0))="","",INDEX(offices!$AG$2:$AG$61,MATCH($B119,offices!$A$2:$A$61,0))),"")="Y"),$K119,CHAR(64+$L119)))</f>
        <v/>
      </c>
      <c r="N119" s="30" t="str">
        <f aca="false">IF(OR($A119="",$I119=""),"",COUNTIFS(stops!$B$2:$B$151,$B119,stops!$P$2:$P$151,"&lt;"&amp;$I119,stops!$L$2:$L$151,"&lt;&gt;not_delivered")+1)</f>
        <v/>
      </c>
      <c r="O119" s="30" t="str">
        <f aca="false">IF($A119="","",IF(N($N119)&lt;=config!$B$29,"explicit","opt-out"))</f>
        <v/>
      </c>
      <c r="P119" s="30" t="str">
        <f aca="false">IF($A119="","",IF($O119="explicit",IF($D119="yes","Y",IF($D119="no","N","pending")),IF($D119="no","N",IF(AND($C119&lt;&gt;"",$I119&lt;&gt;"",$C119&lt;=WORKDAY(N($I119),-5,calendar!$A$2:$A$80)),"Y","pending"))))</f>
        <v/>
      </c>
      <c r="Q119" s="30" t="str">
        <f aca="false">IF($A119="","",IF($P119="N","N",IF($P119&lt;&gt;"Y","pending",IF(AND((COUNTIFS(stops!$A$2:$A$151,$H119,stops!$B$2:$B$151,$B119,stops!$L$2:$L$151,"declined")+COUNTIFS(stops!$A$2:$A$151,$H119,stops!$B$2:$B$151,$B119,stops!$L$2:$L$151,"building_refused")+COUNTIFS(stops!$A$2:$A$151,$H119,stops!$B$2:$B$151,$B119,stops!$L$2:$L$151,"not_delivered"))&gt;0,N($U119)=0),"N","Y"))))</f>
        <v/>
      </c>
      <c r="R119" s="30" t="str">
        <f aca="false">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30" t="str">
        <f aca="false">IF($A119="","",IF($G119&lt;&gt;"",$G119,IFERROR(IF(INDEX(offices!$AM$2:$AM$61,MATCH($B119,offices!$A$2:$A$61,0))="","",INDEX(offices!$AM$2:$AM$61,MATCH($B119,offices!$A$2:$A$61,0))),"")))</f>
        <v/>
      </c>
      <c r="T119" s="30" t="str">
        <f aca="false">IF($A119="","",$A119&amp;"."&amp;$B119)</f>
        <v/>
      </c>
      <c r="U119" s="30" t="str">
        <f aca="false">IF($A119="","",SUMIFS(inventory!$G$2:$G$801,inventory!$C$2:$C$801,$A119,inventory!$D$2:$D$801,$B119,inventory!$E$2:$E$801,"delivered"))</f>
        <v/>
      </c>
      <c r="V119" s="37" t="str">
        <f aca="false">IF($A119="","",IFERROR(1/(1/SUMPRODUCT(MAX((inventory!$C$2:$C$801=$A119)*(inventory!$D$2:$D$801=$B119)*(inventory!$E$2:$E$801="delivered")*(inventory!$A$2:$A$801+inventory!$B$2:$B$801)))),""))</f>
        <v/>
      </c>
      <c r="W119" s="30" t="str">
        <f aca="false">IF($A119="","",IFERROR(IF(INDEX(inventory!$J$2:$J$801,MATCH($A119&amp;"|"&amp;$B119&amp;"|delivered",inventory!$R$2:$R$801,0))="","",INDEX(inventory!$J$2:$J$801,MATCH($A119&amp;"|"&amp;$B119&amp;"|delivered",inventory!$R$2:$R$801,0))),""))</f>
        <v/>
      </c>
      <c r="X119" s="30" t="str">
        <f aca="false">IF($A119="","",IFERROR(IF(INDEX(photos!$H$2:$H$701,MATCH($A119&amp;"|"&amp;$B119&amp;"|placement|Y",photos!$R$2:$R$701,0))="","",INDEX(photos!$H$2:$H$701,MATCH($A119&amp;"|"&amp;$B119&amp;"|placement|Y",photos!$R$2:$R$701,0))),""))</f>
        <v/>
      </c>
      <c r="Y119" s="31" t="str">
        <f aca="false">IF($A119="","",IFERROR(IF(INDEX(photos!$E$2:$E$701,MATCH($A119&amp;"|"&amp;$B119&amp;"|placement|Y",photos!$R$2:$R$701,0))="","",INDEX(photos!$E$2:$E$701,MATCH($A119&amp;"|"&amp;$B119&amp;"|placement|Y",photos!$R$2:$R$701,0))),""))</f>
        <v/>
      </c>
      <c r="Z119" s="30" t="str">
        <f aca="false">IF($A119="","",IF(COUNTIFS(counts!$C$2:$C$701,$A119,counts!$D$2:$D$701,$B119,counts!$E$2:$E$701,"placed")=0,"",SUMIFS(counts!$F$2:$F$701,counts!$C$2:$C$701,$A119,counts!$D$2:$D$701,$B119,counts!$E$2:$E$701,"placed")))</f>
        <v/>
      </c>
      <c r="AA119" s="30" t="str">
        <f aca="false">IF($A119="","",IF($Y119="",0,N($Z119)))</f>
        <v/>
      </c>
      <c r="AB119" s="30" t="str">
        <f aca="false">IF($A119="","",IF(OR($Y119="",$I119=""),"N",IF($Y119&lt;=WORKDAY(N($I119),1,calendar!$A$2:$A$80),"Y","N")))</f>
        <v/>
      </c>
      <c r="AC119" s="33" t="str">
        <f aca="false">IF(OR($A119="",$V119="",$Y119=""),"",ROUND(($Y119+N(IFERROR(IF(INDEX(photos!$F$2:$F$701,MATCH($A119&amp;"|"&amp;$B119&amp;"|placement|Y",photos!$R$2:$R$701,0))="","",INDEX(photos!$F$2:$F$701,MATCH($A119&amp;"|"&amp;$B119&amp;"|placement|Y",photos!$R$2:$R$701,0))),""))-$V119)*24,1))</f>
        <v/>
      </c>
      <c r="AD119" s="30" t="str">
        <f aca="false">IF($A119="","",SUMIFS(inventory!$G$2:$G$801,inventory!$C$2:$C$801,$A119,inventory!$D$2:$D$801,$B119,inventory!$E$2:$E$801,"topped_up"))</f>
        <v/>
      </c>
      <c r="AE119" s="30" t="str">
        <f aca="false">IF($A119="","",IF(COUNTIFS(counts!$C$2:$C$701,$A119,counts!$D$2:$D$701,$B119,counts!$E$2:$E$701,"remaining_day3")=0,"",SUMIFS(counts!$F$2:$F$701,counts!$C$2:$C$701,$A119,counts!$D$2:$D$701,$B119,counts!$E$2:$E$701,"remaining_day3")))</f>
        <v/>
      </c>
      <c r="AF119" s="30" t="str">
        <f aca="false">IF($A119="","",IF(COUNTIFS(counts!$C$2:$C$701,$A119,counts!$D$2:$D$701,$B119,counts!$E$2:$E$701,"remaining_day5")=0,"",SUMIFS(counts!$F$2:$F$701,counts!$C$2:$C$701,$A119,counts!$D$2:$D$701,$B119,counts!$E$2:$E$701,"remaining_day5")))</f>
        <v/>
      </c>
      <c r="AG119" s="30" t="str">
        <f aca="false">IF(OR($A119="",$AF119=""),"",MAX(0,$AA119+$AD119-$AF119))</f>
        <v/>
      </c>
      <c r="AH119" s="30" t="str">
        <f aca="false">IF(OR($A119="",$AI119=""),"",IFERROR(IF(INDEX(photos!$H$2:$H$701,MATCH($A119&amp;"|"&amp;$B119&amp;"|later|Y|"&amp;$AI119,photos!$S$2:$S$701,0))="","",INDEX(photos!$H$2:$H$701,MATCH($A119&amp;"|"&amp;$B119&amp;"|later|Y|"&amp;$AI119,photos!$S$2:$S$701,0))),""))</f>
        <v/>
      </c>
      <c r="AI119" s="31" t="str">
        <f aca="false">IF($A119="","",IFERROR(1/(1/SUMPRODUCT(MAX((photos!$B$2:$B$701=$A119)*(photos!$C$2:$C$701=$B119)*(photos!$D$2:$D$701="later")*(photos!$O$2:$O$701="Y")*photos!$E$2:$E$701))),""))</f>
        <v/>
      </c>
      <c r="AJ119" s="30" t="str">
        <f aca="false">IF(OR($A119="",$AI119="",$I119=""),"",NETWORKDAYS($I119,$AI119,calendar!$A$2:$A$80))</f>
        <v/>
      </c>
      <c r="AK119" s="30" t="str">
        <f aca="false">IF($A119="","",IF(AND($X119&lt;&gt;"",$AH119&lt;&gt;""),"Y","N"))</f>
        <v/>
      </c>
      <c r="AL119" s="30" t="str">
        <f aca="true">IF(OR($A119="",$I119=""),"",IF($BC119="Y",SUMIFS(survey_frozen!$C$2:$C$251,survey_frozen!$P$2:$P$251,$A119&amp;"|"&amp;$B119),IFERROR(COUNTIFS(INDIRECT("'"&amp;$A119&amp;"'!$B$2:$B$501"),$T119,INDIRECT("'"&amp;$A119&amp;"'!$A$2:$A$501"),"&gt;="&amp;$I119,INDIRECT("'"&amp;$A119&amp;"'!$A$2:$A$501"),"&lt;"&amp;($BA119+1)),0)))</f>
        <v/>
      </c>
      <c r="AM119" s="30" t="str">
        <f aca="true">IF(OR($A119="",$I119=""),"",IF($BC119="Y",SUMIFS(survey_frozen!$D$2:$D$251,survey_frozen!$P$2:$P$251,$A119&amp;"|"&amp;$B119),IFERROR(COUNTIFS(INDIRECT("'"&amp;$A119&amp;"'!$B$2:$B$501"),$T119,INDIRECT("'"&amp;$A119&amp;"'!$A$2:$A$501"),"&gt;="&amp;$I119,INDIRECT("'"&amp;$A119&amp;"'!$A$2:$A$501"),"&lt;"&amp;($BA119+1),INDIRECT("'"&amp;$A119&amp;"'!$C$2:$C$501"),"Yes"),0)))</f>
        <v/>
      </c>
      <c r="AN119" s="30" t="str">
        <f aca="false">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30" t="str">
        <f aca="false">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30" t="str">
        <f aca="true">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30" t="str">
        <f aca="true">IF(OR($A119="",$I119=""),"",IF($BC119="Y",SUMIFS(survey_frozen!$E$2:$E$251,survey_frozen!$P$2:$P$251,$A119&amp;"|"&amp;$B119),IFERROR(COUNTIFS(INDIRECT("'"&amp;$A119&amp;"'!$B$2:$B$501"),$T119,INDIRECT("'"&amp;$A119&amp;"'!$A$2:$A$501"),"&gt;="&amp;$I119,INDIRECT("'"&amp;$A119&amp;"'!$A$2:$A$501"),"&lt;"&amp;($BA119+1),INDIRECT("'"&amp;$A119&amp;"'!$F$2:$F$501"),"Didn't see it"),0)))</f>
        <v/>
      </c>
      <c r="AR119" s="30" t="str">
        <f aca="true">IF(OR($A119="",$I119=""),"",IF($BC119="Y",SUMIFS(survey_frozen!$F$2:$F$251,survey_frozen!$P$2:$P$251,$A119&amp;"|"&amp;$B119),IFERROR(COUNTIFS(INDIRECT("'"&amp;$A119&amp;"'!$B$2:$B$501"),$T119,INDIRECT("'"&amp;$A119&amp;"'!$A$2:$A$501"),"&gt;="&amp;$I119,INDIRECT("'"&amp;$A119&amp;"'!$A$2:$A$501"),"&lt;"&amp;($BA119+1),INDIRECT("'"&amp;$A119&amp;"'!$F$2:$F$501"),"Not for me"),0)))</f>
        <v/>
      </c>
      <c r="AS119" s="30" t="str">
        <f aca="true">IF(OR($A119="",$I119=""),"",IF($BC119="Y",SUMIFS(survey_frozen!$G$2:$G$251,survey_frozen!$P$2:$P$251,$A119&amp;"|"&amp;$B119),IFERROR(COUNTIFS(INDIRECT("'"&amp;$A119&amp;"'!$B$2:$B$501"),$T119,INDIRECT("'"&amp;$A119&amp;"'!$A$2:$A$501"),"&gt;="&amp;$I119,INDIRECT("'"&amp;$A119&amp;"'!$A$2:$A$501"),"&lt;"&amp;($BA119+1),INDIRECT("'"&amp;$A119&amp;"'!$F$2:$F$501"),"Gone by the time I looked"),0)))</f>
        <v/>
      </c>
      <c r="AT119" s="30" t="str">
        <f aca="true">IF(OR($A119="",$I119=""),"",IF($BC119="Y",SUMIFS(survey_frozen!$H$2:$H$251,survey_frozen!$P$2:$P$251,$A119&amp;"|"&amp;$B119),IFERROR(COUNTIFS(INDIRECT("'"&amp;$A119&amp;"'!$B$2:$B$501"),$T119,INDIRECT("'"&amp;$A119&amp;"'!$A$2:$A$501"),"&gt;="&amp;$I119,INDIRECT("'"&amp;$A119&amp;"'!$A$2:$A$501"),"&lt;"&amp;($BA119+1),INDIRECT("'"&amp;$A119&amp;"'!$D$2:$D$501"),"&gt;=1"),0)))</f>
        <v/>
      </c>
      <c r="AU119" s="30" t="str">
        <f aca="true">IF(OR($A119="",$I119=""),"",IF($BC119="Y",SUMIFS(survey_frozen!$I$2:$I$251,survey_frozen!$P$2:$P$251,$A119&amp;"|"&amp;$B119),IFERROR(SUMIFS(INDIRECT("'"&amp;$A119&amp;"'!$D$2:$D$501"),INDIRECT("'"&amp;$A119&amp;"'!$B$2:$B$501"),$T119,INDIRECT("'"&amp;$A119&amp;"'!$A$2:$A$501"),"&gt;="&amp;$I119,INDIRECT("'"&amp;$A119&amp;"'!$A$2:$A$501"),"&lt;"&amp;($BA119+1)),0)))</f>
        <v/>
      </c>
      <c r="AV119" s="30" t="str">
        <f aca="true">IF(OR($A119="",$I119=""),"",IF($BC119="Y",SUMIFS(survey_frozen!$J$2:$J$251,survey_frozen!$P$2:$P$251,$A119&amp;"|"&amp;$B119),IFERROR(COUNTIFS(INDIRECT("'"&amp;$A119&amp;"'!$B$2:$B$501"),$T119,INDIRECT("'"&amp;$A119&amp;"'!$A$2:$A$501"),"&gt;="&amp;$I119,INDIRECT("'"&amp;$A119&amp;"'!$A$2:$A$501"),"&lt;"&amp;($BA119+1),INDIRECT("'"&amp;$A119&amp;"'!$E$2:$E$501"),"Yes"),0)))</f>
        <v/>
      </c>
      <c r="AW119" s="30" t="str">
        <f aca="true">IF(OR($A119="",$I119=""),"",IF($BC119="Y",SUMIFS(survey_frozen!$K$2:$K$251,survey_frozen!$P$2:$P$251,$A119&amp;"|"&amp;$B119),IFERROR(COUNTIFS(INDIRECT("'"&amp;$A119&amp;"'!$B$2:$B$501"),$T119,INDIRECT("'"&amp;$A119&amp;"'!$A$2:$A$501"),"&gt;="&amp;$I119,INDIRECT("'"&amp;$A119&amp;"'!$A$2:$A$501"),"&lt;"&amp;($BA119+1),INDIRECT("'"&amp;$A119&amp;"'!$E$2:$E$501"),"Maybe"),0)))</f>
        <v/>
      </c>
      <c r="AX119" s="30" t="str">
        <f aca="true">IF(OR($A119="",$I119=""),"",IF($BC119="Y",SUMIFS(survey_frozen!$L$2:$L$251,survey_frozen!$P$2:$P$251,$A119&amp;"|"&amp;$B119),IFERROR(COUNTIFS(INDIRECT("'"&amp;$A119&amp;"'!$B$2:$B$501"),$T119,INDIRECT("'"&amp;$A119&amp;"'!$A$2:$A$501"),"&gt;="&amp;$I119,INDIRECT("'"&amp;$A119&amp;"'!$A$2:$A$501"),"&lt;"&amp;($BA119+1),INDIRECT("'"&amp;$A119&amp;"'!$E$2:$E$501"),"No"),0)))</f>
        <v/>
      </c>
      <c r="AY119" s="30" t="str">
        <f aca="true">IF(OR($A119="",$I119=""),"",IF($BC119="Y",SUMIFS(survey_frozen!$M$2:$M$251,survey_frozen!$P$2:$P$251,$A119&amp;"|"&amp;$B119),IFERROR(COUNTIFS(INDIRECT("'"&amp;$A119&amp;"'!$B$2:$B$501"),$T119,INDIRECT("'"&amp;$A119&amp;"'!$A$2:$A$501"),"&gt;="&amp;$I119,INDIRECT("'"&amp;$A119&amp;"'!$A$2:$A$501"),"&lt;"&amp;($BA119+1),INDIRECT("'"&amp;$A119&amp;"'!$G$2:$G$501"),"&lt;&gt;"),0)))</f>
        <v/>
      </c>
      <c r="AZ119" s="30" t="str">
        <f aca="false">IF($A119="","",$A119&amp;"|"&amp;$L119)</f>
        <v/>
      </c>
      <c r="BA119" s="31" t="str">
        <f aca="false">IF($A119="","",IFERROR(IF(INDEX(drops!$R$2:$R$21,MATCH($H119,drops!$A$2:$A$21,0))="","",INDEX(drops!$R$2:$R$21,MATCH($H119,drops!$A$2:$A$21,0))),""))</f>
        <v/>
      </c>
      <c r="BB119" s="30" t="n">
        <f aca="false">IF(OR($A119="",$Q119&lt;&gt;"Y"),1000000,N($AL119))</f>
        <v>1000000</v>
      </c>
      <c r="BC119" s="30" t="str">
        <f aca="false">IF($A119="","",IF(COUNTIF(survey_frozen!$P$2:$P$251,$A119&amp;"|"&amp;$B119)&gt;0,"Y",""))</f>
        <v/>
      </c>
      <c r="BD119" s="30" t="str">
        <f aca="false">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ustomFormat="false" ht="15" hidden="false" customHeight="false" outlineLevel="0" collapsed="false">
      <c r="C120" s="11"/>
      <c r="D120" s="10"/>
      <c r="E120" s="11"/>
      <c r="H120" s="30" t="str">
        <f aca="false">IF($A120="","",IFERROR(IF(INDEX(campaigns!$B$2:$B$51,MATCH($A120,campaigns!$A$2:$A$51,0))="","",INDEX(campaigns!$B$2:$B$51,MATCH($A120,campaigns!$A$2:$A$51,0))),""))</f>
        <v/>
      </c>
      <c r="I120" s="31" t="str">
        <f aca="false">IF($A120="","",IFERROR(IF(INDEX(campaigns!$BG$2:$BG$51,MATCH($A120,campaigns!$A$2:$A$51,0))="","",INDEX(campaigns!$BG$2:$BG$51,MATCH($A120,campaigns!$A$2:$A$51,0))),""))</f>
        <v/>
      </c>
      <c r="J120" s="30" t="str">
        <f aca="false">IF($A120="","",IFERROR(IF(INDEX(campaigns!$BE$2:$BE$51,MATCH($A120,campaigns!$A$2:$A$51,0))="","",INDEX(campaigns!$BE$2:$BE$51,MATCH($A120,campaigns!$A$2:$A$51,0))),""))</f>
        <v/>
      </c>
      <c r="K120" s="30" t="str">
        <f aca="false">IF($B120="","",IFERROR(IF(INDEX(offices!$O$2:$O$61,MATCH($B120,offices!$A$2:$A$61,0))="","",INDEX(offices!$O$2:$O$61,MATCH($B120,offices!$A$2:$A$61,0))),""))</f>
        <v/>
      </c>
      <c r="L120" s="30" t="str">
        <f aca="false">IF($A120="","",IF($Q120="N","",COUNTIFS($A$2:$A120,$A120,$Q$2:$Q120,"&lt;&gt;N")))</f>
        <v/>
      </c>
      <c r="M120" s="30" t="str">
        <f aca="false">IF(OR($A120="",$L120=""),"",IF(AND(config!$B$34="names_if_public",IFERROR(IF(INDEX(offices!$AG$2:$AG$61,MATCH($B120,offices!$A$2:$A$61,0))="","",INDEX(offices!$AG$2:$AG$61,MATCH($B120,offices!$A$2:$A$61,0))),"")="Y"),$K120,CHAR(64+$L120)))</f>
        <v/>
      </c>
      <c r="N120" s="30" t="str">
        <f aca="false">IF(OR($A120="",$I120=""),"",COUNTIFS(stops!$B$2:$B$151,$B120,stops!$P$2:$P$151,"&lt;"&amp;$I120,stops!$L$2:$L$151,"&lt;&gt;not_delivered")+1)</f>
        <v/>
      </c>
      <c r="O120" s="30" t="str">
        <f aca="false">IF($A120="","",IF(N($N120)&lt;=config!$B$29,"explicit","opt-out"))</f>
        <v/>
      </c>
      <c r="P120" s="30" t="str">
        <f aca="false">IF($A120="","",IF($O120="explicit",IF($D120="yes","Y",IF($D120="no","N","pending")),IF($D120="no","N",IF(AND($C120&lt;&gt;"",$I120&lt;&gt;"",$C120&lt;=WORKDAY(N($I120),-5,calendar!$A$2:$A$80)),"Y","pending"))))</f>
        <v/>
      </c>
      <c r="Q120" s="30" t="str">
        <f aca="false">IF($A120="","",IF($P120="N","N",IF($P120&lt;&gt;"Y","pending",IF(AND((COUNTIFS(stops!$A$2:$A$151,$H120,stops!$B$2:$B$151,$B120,stops!$L$2:$L$151,"declined")+COUNTIFS(stops!$A$2:$A$151,$H120,stops!$B$2:$B$151,$B120,stops!$L$2:$L$151,"building_refused")+COUNTIFS(stops!$A$2:$A$151,$H120,stops!$B$2:$B$151,$B120,stops!$L$2:$L$151,"not_delivered"))&gt;0,N($U120)=0),"N","Y"))))</f>
        <v/>
      </c>
      <c r="R120" s="30" t="str">
        <f aca="false">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30" t="str">
        <f aca="false">IF($A120="","",IF($G120&lt;&gt;"",$G120,IFERROR(IF(INDEX(offices!$AM$2:$AM$61,MATCH($B120,offices!$A$2:$A$61,0))="","",INDEX(offices!$AM$2:$AM$61,MATCH($B120,offices!$A$2:$A$61,0))),"")))</f>
        <v/>
      </c>
      <c r="T120" s="30" t="str">
        <f aca="false">IF($A120="","",$A120&amp;"."&amp;$B120)</f>
        <v/>
      </c>
      <c r="U120" s="30" t="str">
        <f aca="false">IF($A120="","",SUMIFS(inventory!$G$2:$G$801,inventory!$C$2:$C$801,$A120,inventory!$D$2:$D$801,$B120,inventory!$E$2:$E$801,"delivered"))</f>
        <v/>
      </c>
      <c r="V120" s="37" t="str">
        <f aca="false">IF($A120="","",IFERROR(1/(1/SUMPRODUCT(MAX((inventory!$C$2:$C$801=$A120)*(inventory!$D$2:$D$801=$B120)*(inventory!$E$2:$E$801="delivered")*(inventory!$A$2:$A$801+inventory!$B$2:$B$801)))),""))</f>
        <v/>
      </c>
      <c r="W120" s="30" t="str">
        <f aca="false">IF($A120="","",IFERROR(IF(INDEX(inventory!$J$2:$J$801,MATCH($A120&amp;"|"&amp;$B120&amp;"|delivered",inventory!$R$2:$R$801,0))="","",INDEX(inventory!$J$2:$J$801,MATCH($A120&amp;"|"&amp;$B120&amp;"|delivered",inventory!$R$2:$R$801,0))),""))</f>
        <v/>
      </c>
      <c r="X120" s="30" t="str">
        <f aca="false">IF($A120="","",IFERROR(IF(INDEX(photos!$H$2:$H$701,MATCH($A120&amp;"|"&amp;$B120&amp;"|placement|Y",photos!$R$2:$R$701,0))="","",INDEX(photos!$H$2:$H$701,MATCH($A120&amp;"|"&amp;$B120&amp;"|placement|Y",photos!$R$2:$R$701,0))),""))</f>
        <v/>
      </c>
      <c r="Y120" s="31" t="str">
        <f aca="false">IF($A120="","",IFERROR(IF(INDEX(photos!$E$2:$E$701,MATCH($A120&amp;"|"&amp;$B120&amp;"|placement|Y",photos!$R$2:$R$701,0))="","",INDEX(photos!$E$2:$E$701,MATCH($A120&amp;"|"&amp;$B120&amp;"|placement|Y",photos!$R$2:$R$701,0))),""))</f>
        <v/>
      </c>
      <c r="Z120" s="30" t="str">
        <f aca="false">IF($A120="","",IF(COUNTIFS(counts!$C$2:$C$701,$A120,counts!$D$2:$D$701,$B120,counts!$E$2:$E$701,"placed")=0,"",SUMIFS(counts!$F$2:$F$701,counts!$C$2:$C$701,$A120,counts!$D$2:$D$701,$B120,counts!$E$2:$E$701,"placed")))</f>
        <v/>
      </c>
      <c r="AA120" s="30" t="str">
        <f aca="false">IF($A120="","",IF($Y120="",0,N($Z120)))</f>
        <v/>
      </c>
      <c r="AB120" s="30" t="str">
        <f aca="false">IF($A120="","",IF(OR($Y120="",$I120=""),"N",IF($Y120&lt;=WORKDAY(N($I120),1,calendar!$A$2:$A$80),"Y","N")))</f>
        <v/>
      </c>
      <c r="AC120" s="33" t="str">
        <f aca="false">IF(OR($A120="",$V120="",$Y120=""),"",ROUND(($Y120+N(IFERROR(IF(INDEX(photos!$F$2:$F$701,MATCH($A120&amp;"|"&amp;$B120&amp;"|placement|Y",photos!$R$2:$R$701,0))="","",INDEX(photos!$F$2:$F$701,MATCH($A120&amp;"|"&amp;$B120&amp;"|placement|Y",photos!$R$2:$R$701,0))),""))-$V120)*24,1))</f>
        <v/>
      </c>
      <c r="AD120" s="30" t="str">
        <f aca="false">IF($A120="","",SUMIFS(inventory!$G$2:$G$801,inventory!$C$2:$C$801,$A120,inventory!$D$2:$D$801,$B120,inventory!$E$2:$E$801,"topped_up"))</f>
        <v/>
      </c>
      <c r="AE120" s="30" t="str">
        <f aca="false">IF($A120="","",IF(COUNTIFS(counts!$C$2:$C$701,$A120,counts!$D$2:$D$701,$B120,counts!$E$2:$E$701,"remaining_day3")=0,"",SUMIFS(counts!$F$2:$F$701,counts!$C$2:$C$701,$A120,counts!$D$2:$D$701,$B120,counts!$E$2:$E$701,"remaining_day3")))</f>
        <v/>
      </c>
      <c r="AF120" s="30" t="str">
        <f aca="false">IF($A120="","",IF(COUNTIFS(counts!$C$2:$C$701,$A120,counts!$D$2:$D$701,$B120,counts!$E$2:$E$701,"remaining_day5")=0,"",SUMIFS(counts!$F$2:$F$701,counts!$C$2:$C$701,$A120,counts!$D$2:$D$701,$B120,counts!$E$2:$E$701,"remaining_day5")))</f>
        <v/>
      </c>
      <c r="AG120" s="30" t="str">
        <f aca="false">IF(OR($A120="",$AF120=""),"",MAX(0,$AA120+$AD120-$AF120))</f>
        <v/>
      </c>
      <c r="AH120" s="30" t="str">
        <f aca="false">IF(OR($A120="",$AI120=""),"",IFERROR(IF(INDEX(photos!$H$2:$H$701,MATCH($A120&amp;"|"&amp;$B120&amp;"|later|Y|"&amp;$AI120,photos!$S$2:$S$701,0))="","",INDEX(photos!$H$2:$H$701,MATCH($A120&amp;"|"&amp;$B120&amp;"|later|Y|"&amp;$AI120,photos!$S$2:$S$701,0))),""))</f>
        <v/>
      </c>
      <c r="AI120" s="31" t="str">
        <f aca="false">IF($A120="","",IFERROR(1/(1/SUMPRODUCT(MAX((photos!$B$2:$B$701=$A120)*(photos!$C$2:$C$701=$B120)*(photos!$D$2:$D$701="later")*(photos!$O$2:$O$701="Y")*photos!$E$2:$E$701))),""))</f>
        <v/>
      </c>
      <c r="AJ120" s="30" t="str">
        <f aca="false">IF(OR($A120="",$AI120="",$I120=""),"",NETWORKDAYS($I120,$AI120,calendar!$A$2:$A$80))</f>
        <v/>
      </c>
      <c r="AK120" s="30" t="str">
        <f aca="false">IF($A120="","",IF(AND($X120&lt;&gt;"",$AH120&lt;&gt;""),"Y","N"))</f>
        <v/>
      </c>
      <c r="AL120" s="30" t="str">
        <f aca="true">IF(OR($A120="",$I120=""),"",IF($BC120="Y",SUMIFS(survey_frozen!$C$2:$C$251,survey_frozen!$P$2:$P$251,$A120&amp;"|"&amp;$B120),IFERROR(COUNTIFS(INDIRECT("'"&amp;$A120&amp;"'!$B$2:$B$501"),$T120,INDIRECT("'"&amp;$A120&amp;"'!$A$2:$A$501"),"&gt;="&amp;$I120,INDIRECT("'"&amp;$A120&amp;"'!$A$2:$A$501"),"&lt;"&amp;($BA120+1)),0)))</f>
        <v/>
      </c>
      <c r="AM120" s="30" t="str">
        <f aca="true">IF(OR($A120="",$I120=""),"",IF($BC120="Y",SUMIFS(survey_frozen!$D$2:$D$251,survey_frozen!$P$2:$P$251,$A120&amp;"|"&amp;$B120),IFERROR(COUNTIFS(INDIRECT("'"&amp;$A120&amp;"'!$B$2:$B$501"),$T120,INDIRECT("'"&amp;$A120&amp;"'!$A$2:$A$501"),"&gt;="&amp;$I120,INDIRECT("'"&amp;$A120&amp;"'!$A$2:$A$501"),"&lt;"&amp;($BA120+1),INDIRECT("'"&amp;$A120&amp;"'!$C$2:$C$501"),"Yes"),0)))</f>
        <v/>
      </c>
      <c r="AN120" s="30" t="str">
        <f aca="false">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30" t="str">
        <f aca="false">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30" t="str">
        <f aca="true">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30" t="str">
        <f aca="true">IF(OR($A120="",$I120=""),"",IF($BC120="Y",SUMIFS(survey_frozen!$E$2:$E$251,survey_frozen!$P$2:$P$251,$A120&amp;"|"&amp;$B120),IFERROR(COUNTIFS(INDIRECT("'"&amp;$A120&amp;"'!$B$2:$B$501"),$T120,INDIRECT("'"&amp;$A120&amp;"'!$A$2:$A$501"),"&gt;="&amp;$I120,INDIRECT("'"&amp;$A120&amp;"'!$A$2:$A$501"),"&lt;"&amp;($BA120+1),INDIRECT("'"&amp;$A120&amp;"'!$F$2:$F$501"),"Didn't see it"),0)))</f>
        <v/>
      </c>
      <c r="AR120" s="30" t="str">
        <f aca="true">IF(OR($A120="",$I120=""),"",IF($BC120="Y",SUMIFS(survey_frozen!$F$2:$F$251,survey_frozen!$P$2:$P$251,$A120&amp;"|"&amp;$B120),IFERROR(COUNTIFS(INDIRECT("'"&amp;$A120&amp;"'!$B$2:$B$501"),$T120,INDIRECT("'"&amp;$A120&amp;"'!$A$2:$A$501"),"&gt;="&amp;$I120,INDIRECT("'"&amp;$A120&amp;"'!$A$2:$A$501"),"&lt;"&amp;($BA120+1),INDIRECT("'"&amp;$A120&amp;"'!$F$2:$F$501"),"Not for me"),0)))</f>
        <v/>
      </c>
      <c r="AS120" s="30" t="str">
        <f aca="true">IF(OR($A120="",$I120=""),"",IF($BC120="Y",SUMIFS(survey_frozen!$G$2:$G$251,survey_frozen!$P$2:$P$251,$A120&amp;"|"&amp;$B120),IFERROR(COUNTIFS(INDIRECT("'"&amp;$A120&amp;"'!$B$2:$B$501"),$T120,INDIRECT("'"&amp;$A120&amp;"'!$A$2:$A$501"),"&gt;="&amp;$I120,INDIRECT("'"&amp;$A120&amp;"'!$A$2:$A$501"),"&lt;"&amp;($BA120+1),INDIRECT("'"&amp;$A120&amp;"'!$F$2:$F$501"),"Gone by the time I looked"),0)))</f>
        <v/>
      </c>
      <c r="AT120" s="30" t="str">
        <f aca="true">IF(OR($A120="",$I120=""),"",IF($BC120="Y",SUMIFS(survey_frozen!$H$2:$H$251,survey_frozen!$P$2:$P$251,$A120&amp;"|"&amp;$B120),IFERROR(COUNTIFS(INDIRECT("'"&amp;$A120&amp;"'!$B$2:$B$501"),$T120,INDIRECT("'"&amp;$A120&amp;"'!$A$2:$A$501"),"&gt;="&amp;$I120,INDIRECT("'"&amp;$A120&amp;"'!$A$2:$A$501"),"&lt;"&amp;($BA120+1),INDIRECT("'"&amp;$A120&amp;"'!$D$2:$D$501"),"&gt;=1"),0)))</f>
        <v/>
      </c>
      <c r="AU120" s="30" t="str">
        <f aca="true">IF(OR($A120="",$I120=""),"",IF($BC120="Y",SUMIFS(survey_frozen!$I$2:$I$251,survey_frozen!$P$2:$P$251,$A120&amp;"|"&amp;$B120),IFERROR(SUMIFS(INDIRECT("'"&amp;$A120&amp;"'!$D$2:$D$501"),INDIRECT("'"&amp;$A120&amp;"'!$B$2:$B$501"),$T120,INDIRECT("'"&amp;$A120&amp;"'!$A$2:$A$501"),"&gt;="&amp;$I120,INDIRECT("'"&amp;$A120&amp;"'!$A$2:$A$501"),"&lt;"&amp;($BA120+1)),0)))</f>
        <v/>
      </c>
      <c r="AV120" s="30" t="str">
        <f aca="true">IF(OR($A120="",$I120=""),"",IF($BC120="Y",SUMIFS(survey_frozen!$J$2:$J$251,survey_frozen!$P$2:$P$251,$A120&amp;"|"&amp;$B120),IFERROR(COUNTIFS(INDIRECT("'"&amp;$A120&amp;"'!$B$2:$B$501"),$T120,INDIRECT("'"&amp;$A120&amp;"'!$A$2:$A$501"),"&gt;="&amp;$I120,INDIRECT("'"&amp;$A120&amp;"'!$A$2:$A$501"),"&lt;"&amp;($BA120+1),INDIRECT("'"&amp;$A120&amp;"'!$E$2:$E$501"),"Yes"),0)))</f>
        <v/>
      </c>
      <c r="AW120" s="30" t="str">
        <f aca="true">IF(OR($A120="",$I120=""),"",IF($BC120="Y",SUMIFS(survey_frozen!$K$2:$K$251,survey_frozen!$P$2:$P$251,$A120&amp;"|"&amp;$B120),IFERROR(COUNTIFS(INDIRECT("'"&amp;$A120&amp;"'!$B$2:$B$501"),$T120,INDIRECT("'"&amp;$A120&amp;"'!$A$2:$A$501"),"&gt;="&amp;$I120,INDIRECT("'"&amp;$A120&amp;"'!$A$2:$A$501"),"&lt;"&amp;($BA120+1),INDIRECT("'"&amp;$A120&amp;"'!$E$2:$E$501"),"Maybe"),0)))</f>
        <v/>
      </c>
      <c r="AX120" s="30" t="str">
        <f aca="true">IF(OR($A120="",$I120=""),"",IF($BC120="Y",SUMIFS(survey_frozen!$L$2:$L$251,survey_frozen!$P$2:$P$251,$A120&amp;"|"&amp;$B120),IFERROR(COUNTIFS(INDIRECT("'"&amp;$A120&amp;"'!$B$2:$B$501"),$T120,INDIRECT("'"&amp;$A120&amp;"'!$A$2:$A$501"),"&gt;="&amp;$I120,INDIRECT("'"&amp;$A120&amp;"'!$A$2:$A$501"),"&lt;"&amp;($BA120+1),INDIRECT("'"&amp;$A120&amp;"'!$E$2:$E$501"),"No"),0)))</f>
        <v/>
      </c>
      <c r="AY120" s="30" t="str">
        <f aca="true">IF(OR($A120="",$I120=""),"",IF($BC120="Y",SUMIFS(survey_frozen!$M$2:$M$251,survey_frozen!$P$2:$P$251,$A120&amp;"|"&amp;$B120),IFERROR(COUNTIFS(INDIRECT("'"&amp;$A120&amp;"'!$B$2:$B$501"),$T120,INDIRECT("'"&amp;$A120&amp;"'!$A$2:$A$501"),"&gt;="&amp;$I120,INDIRECT("'"&amp;$A120&amp;"'!$A$2:$A$501"),"&lt;"&amp;($BA120+1),INDIRECT("'"&amp;$A120&amp;"'!$G$2:$G$501"),"&lt;&gt;"),0)))</f>
        <v/>
      </c>
      <c r="AZ120" s="30" t="str">
        <f aca="false">IF($A120="","",$A120&amp;"|"&amp;$L120)</f>
        <v/>
      </c>
      <c r="BA120" s="31" t="str">
        <f aca="false">IF($A120="","",IFERROR(IF(INDEX(drops!$R$2:$R$21,MATCH($H120,drops!$A$2:$A$21,0))="","",INDEX(drops!$R$2:$R$21,MATCH($H120,drops!$A$2:$A$21,0))),""))</f>
        <v/>
      </c>
      <c r="BB120" s="30" t="n">
        <f aca="false">IF(OR($A120="",$Q120&lt;&gt;"Y"),1000000,N($AL120))</f>
        <v>1000000</v>
      </c>
      <c r="BC120" s="30" t="str">
        <f aca="false">IF($A120="","",IF(COUNTIF(survey_frozen!$P$2:$P$251,$A120&amp;"|"&amp;$B120)&gt;0,"Y",""))</f>
        <v/>
      </c>
      <c r="BD120" s="30" t="str">
        <f aca="false">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ustomFormat="false" ht="15" hidden="false" customHeight="false" outlineLevel="0" collapsed="false">
      <c r="C121" s="11"/>
      <c r="D121" s="10"/>
      <c r="E121" s="11"/>
      <c r="H121" s="30" t="str">
        <f aca="false">IF($A121="","",IFERROR(IF(INDEX(campaigns!$B$2:$B$51,MATCH($A121,campaigns!$A$2:$A$51,0))="","",INDEX(campaigns!$B$2:$B$51,MATCH($A121,campaigns!$A$2:$A$51,0))),""))</f>
        <v/>
      </c>
      <c r="I121" s="31" t="str">
        <f aca="false">IF($A121="","",IFERROR(IF(INDEX(campaigns!$BG$2:$BG$51,MATCH($A121,campaigns!$A$2:$A$51,0))="","",INDEX(campaigns!$BG$2:$BG$51,MATCH($A121,campaigns!$A$2:$A$51,0))),""))</f>
        <v/>
      </c>
      <c r="J121" s="30" t="str">
        <f aca="false">IF($A121="","",IFERROR(IF(INDEX(campaigns!$BE$2:$BE$51,MATCH($A121,campaigns!$A$2:$A$51,0))="","",INDEX(campaigns!$BE$2:$BE$51,MATCH($A121,campaigns!$A$2:$A$51,0))),""))</f>
        <v/>
      </c>
      <c r="K121" s="30" t="str">
        <f aca="false">IF($B121="","",IFERROR(IF(INDEX(offices!$O$2:$O$61,MATCH($B121,offices!$A$2:$A$61,0))="","",INDEX(offices!$O$2:$O$61,MATCH($B121,offices!$A$2:$A$61,0))),""))</f>
        <v/>
      </c>
      <c r="L121" s="30" t="str">
        <f aca="false">IF($A121="","",IF($Q121="N","",COUNTIFS($A$2:$A121,$A121,$Q$2:$Q121,"&lt;&gt;N")))</f>
        <v/>
      </c>
      <c r="M121" s="30" t="str">
        <f aca="false">IF(OR($A121="",$L121=""),"",IF(AND(config!$B$34="names_if_public",IFERROR(IF(INDEX(offices!$AG$2:$AG$61,MATCH($B121,offices!$A$2:$A$61,0))="","",INDEX(offices!$AG$2:$AG$61,MATCH($B121,offices!$A$2:$A$61,0))),"")="Y"),$K121,CHAR(64+$L121)))</f>
        <v/>
      </c>
      <c r="N121" s="30" t="str">
        <f aca="false">IF(OR($A121="",$I121=""),"",COUNTIFS(stops!$B$2:$B$151,$B121,stops!$P$2:$P$151,"&lt;"&amp;$I121,stops!$L$2:$L$151,"&lt;&gt;not_delivered")+1)</f>
        <v/>
      </c>
      <c r="O121" s="30" t="str">
        <f aca="false">IF($A121="","",IF(N($N121)&lt;=config!$B$29,"explicit","opt-out"))</f>
        <v/>
      </c>
      <c r="P121" s="30" t="str">
        <f aca="false">IF($A121="","",IF($O121="explicit",IF($D121="yes","Y",IF($D121="no","N","pending")),IF($D121="no","N",IF(AND($C121&lt;&gt;"",$I121&lt;&gt;"",$C121&lt;=WORKDAY(N($I121),-5,calendar!$A$2:$A$80)),"Y","pending"))))</f>
        <v/>
      </c>
      <c r="Q121" s="30" t="str">
        <f aca="false">IF($A121="","",IF($P121="N","N",IF($P121&lt;&gt;"Y","pending",IF(AND((COUNTIFS(stops!$A$2:$A$151,$H121,stops!$B$2:$B$151,$B121,stops!$L$2:$L$151,"declined")+COUNTIFS(stops!$A$2:$A$151,$H121,stops!$B$2:$B$151,$B121,stops!$L$2:$L$151,"building_refused")+COUNTIFS(stops!$A$2:$A$151,$H121,stops!$B$2:$B$151,$B121,stops!$L$2:$L$151,"not_delivered"))&gt;0,N($U121)=0),"N","Y"))))</f>
        <v/>
      </c>
      <c r="R121" s="30" t="str">
        <f aca="false">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30" t="str">
        <f aca="false">IF($A121="","",IF($G121&lt;&gt;"",$G121,IFERROR(IF(INDEX(offices!$AM$2:$AM$61,MATCH($B121,offices!$A$2:$A$61,0))="","",INDEX(offices!$AM$2:$AM$61,MATCH($B121,offices!$A$2:$A$61,0))),"")))</f>
        <v/>
      </c>
      <c r="T121" s="30" t="str">
        <f aca="false">IF($A121="","",$A121&amp;"."&amp;$B121)</f>
        <v/>
      </c>
      <c r="U121" s="30" t="str">
        <f aca="false">IF($A121="","",SUMIFS(inventory!$G$2:$G$801,inventory!$C$2:$C$801,$A121,inventory!$D$2:$D$801,$B121,inventory!$E$2:$E$801,"delivered"))</f>
        <v/>
      </c>
      <c r="V121" s="37" t="str">
        <f aca="false">IF($A121="","",IFERROR(1/(1/SUMPRODUCT(MAX((inventory!$C$2:$C$801=$A121)*(inventory!$D$2:$D$801=$B121)*(inventory!$E$2:$E$801="delivered")*(inventory!$A$2:$A$801+inventory!$B$2:$B$801)))),""))</f>
        <v/>
      </c>
      <c r="W121" s="30" t="str">
        <f aca="false">IF($A121="","",IFERROR(IF(INDEX(inventory!$J$2:$J$801,MATCH($A121&amp;"|"&amp;$B121&amp;"|delivered",inventory!$R$2:$R$801,0))="","",INDEX(inventory!$J$2:$J$801,MATCH($A121&amp;"|"&amp;$B121&amp;"|delivered",inventory!$R$2:$R$801,0))),""))</f>
        <v/>
      </c>
      <c r="X121" s="30" t="str">
        <f aca="false">IF($A121="","",IFERROR(IF(INDEX(photos!$H$2:$H$701,MATCH($A121&amp;"|"&amp;$B121&amp;"|placement|Y",photos!$R$2:$R$701,0))="","",INDEX(photos!$H$2:$H$701,MATCH($A121&amp;"|"&amp;$B121&amp;"|placement|Y",photos!$R$2:$R$701,0))),""))</f>
        <v/>
      </c>
      <c r="Y121" s="31" t="str">
        <f aca="false">IF($A121="","",IFERROR(IF(INDEX(photos!$E$2:$E$701,MATCH($A121&amp;"|"&amp;$B121&amp;"|placement|Y",photos!$R$2:$R$701,0))="","",INDEX(photos!$E$2:$E$701,MATCH($A121&amp;"|"&amp;$B121&amp;"|placement|Y",photos!$R$2:$R$701,0))),""))</f>
        <v/>
      </c>
      <c r="Z121" s="30" t="str">
        <f aca="false">IF($A121="","",IF(COUNTIFS(counts!$C$2:$C$701,$A121,counts!$D$2:$D$701,$B121,counts!$E$2:$E$701,"placed")=0,"",SUMIFS(counts!$F$2:$F$701,counts!$C$2:$C$701,$A121,counts!$D$2:$D$701,$B121,counts!$E$2:$E$701,"placed")))</f>
        <v/>
      </c>
      <c r="AA121" s="30" t="str">
        <f aca="false">IF($A121="","",IF($Y121="",0,N($Z121)))</f>
        <v/>
      </c>
      <c r="AB121" s="30" t="str">
        <f aca="false">IF($A121="","",IF(OR($Y121="",$I121=""),"N",IF($Y121&lt;=WORKDAY(N($I121),1,calendar!$A$2:$A$80),"Y","N")))</f>
        <v/>
      </c>
      <c r="AC121" s="33" t="str">
        <f aca="false">IF(OR($A121="",$V121="",$Y121=""),"",ROUND(($Y121+N(IFERROR(IF(INDEX(photos!$F$2:$F$701,MATCH($A121&amp;"|"&amp;$B121&amp;"|placement|Y",photos!$R$2:$R$701,0))="","",INDEX(photos!$F$2:$F$701,MATCH($A121&amp;"|"&amp;$B121&amp;"|placement|Y",photos!$R$2:$R$701,0))),""))-$V121)*24,1))</f>
        <v/>
      </c>
      <c r="AD121" s="30" t="str">
        <f aca="false">IF($A121="","",SUMIFS(inventory!$G$2:$G$801,inventory!$C$2:$C$801,$A121,inventory!$D$2:$D$801,$B121,inventory!$E$2:$E$801,"topped_up"))</f>
        <v/>
      </c>
      <c r="AE121" s="30" t="str">
        <f aca="false">IF($A121="","",IF(COUNTIFS(counts!$C$2:$C$701,$A121,counts!$D$2:$D$701,$B121,counts!$E$2:$E$701,"remaining_day3")=0,"",SUMIFS(counts!$F$2:$F$701,counts!$C$2:$C$701,$A121,counts!$D$2:$D$701,$B121,counts!$E$2:$E$701,"remaining_day3")))</f>
        <v/>
      </c>
      <c r="AF121" s="30" t="str">
        <f aca="false">IF($A121="","",IF(COUNTIFS(counts!$C$2:$C$701,$A121,counts!$D$2:$D$701,$B121,counts!$E$2:$E$701,"remaining_day5")=0,"",SUMIFS(counts!$F$2:$F$701,counts!$C$2:$C$701,$A121,counts!$D$2:$D$701,$B121,counts!$E$2:$E$701,"remaining_day5")))</f>
        <v/>
      </c>
      <c r="AG121" s="30" t="str">
        <f aca="false">IF(OR($A121="",$AF121=""),"",MAX(0,$AA121+$AD121-$AF121))</f>
        <v/>
      </c>
      <c r="AH121" s="30" t="str">
        <f aca="false">IF(OR($A121="",$AI121=""),"",IFERROR(IF(INDEX(photos!$H$2:$H$701,MATCH($A121&amp;"|"&amp;$B121&amp;"|later|Y|"&amp;$AI121,photos!$S$2:$S$701,0))="","",INDEX(photos!$H$2:$H$701,MATCH($A121&amp;"|"&amp;$B121&amp;"|later|Y|"&amp;$AI121,photos!$S$2:$S$701,0))),""))</f>
        <v/>
      </c>
      <c r="AI121" s="31" t="str">
        <f aca="false">IF($A121="","",IFERROR(1/(1/SUMPRODUCT(MAX((photos!$B$2:$B$701=$A121)*(photos!$C$2:$C$701=$B121)*(photos!$D$2:$D$701="later")*(photos!$O$2:$O$701="Y")*photos!$E$2:$E$701))),""))</f>
        <v/>
      </c>
      <c r="AJ121" s="30" t="str">
        <f aca="false">IF(OR($A121="",$AI121="",$I121=""),"",NETWORKDAYS($I121,$AI121,calendar!$A$2:$A$80))</f>
        <v/>
      </c>
      <c r="AK121" s="30" t="str">
        <f aca="false">IF($A121="","",IF(AND($X121&lt;&gt;"",$AH121&lt;&gt;""),"Y","N"))</f>
        <v/>
      </c>
      <c r="AL121" s="30" t="str">
        <f aca="true">IF(OR($A121="",$I121=""),"",IF($BC121="Y",SUMIFS(survey_frozen!$C$2:$C$251,survey_frozen!$P$2:$P$251,$A121&amp;"|"&amp;$B121),IFERROR(COUNTIFS(INDIRECT("'"&amp;$A121&amp;"'!$B$2:$B$501"),$T121,INDIRECT("'"&amp;$A121&amp;"'!$A$2:$A$501"),"&gt;="&amp;$I121,INDIRECT("'"&amp;$A121&amp;"'!$A$2:$A$501"),"&lt;"&amp;($BA121+1)),0)))</f>
        <v/>
      </c>
      <c r="AM121" s="30" t="str">
        <f aca="true">IF(OR($A121="",$I121=""),"",IF($BC121="Y",SUMIFS(survey_frozen!$D$2:$D$251,survey_frozen!$P$2:$P$251,$A121&amp;"|"&amp;$B121),IFERROR(COUNTIFS(INDIRECT("'"&amp;$A121&amp;"'!$B$2:$B$501"),$T121,INDIRECT("'"&amp;$A121&amp;"'!$A$2:$A$501"),"&gt;="&amp;$I121,INDIRECT("'"&amp;$A121&amp;"'!$A$2:$A$501"),"&lt;"&amp;($BA121+1),INDIRECT("'"&amp;$A121&amp;"'!$C$2:$C$501"),"Yes"),0)))</f>
        <v/>
      </c>
      <c r="AN121" s="30" t="str">
        <f aca="false">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30" t="str">
        <f aca="false">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30" t="str">
        <f aca="true">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30" t="str">
        <f aca="true">IF(OR($A121="",$I121=""),"",IF($BC121="Y",SUMIFS(survey_frozen!$E$2:$E$251,survey_frozen!$P$2:$P$251,$A121&amp;"|"&amp;$B121),IFERROR(COUNTIFS(INDIRECT("'"&amp;$A121&amp;"'!$B$2:$B$501"),$T121,INDIRECT("'"&amp;$A121&amp;"'!$A$2:$A$501"),"&gt;="&amp;$I121,INDIRECT("'"&amp;$A121&amp;"'!$A$2:$A$501"),"&lt;"&amp;($BA121+1),INDIRECT("'"&amp;$A121&amp;"'!$F$2:$F$501"),"Didn't see it"),0)))</f>
        <v/>
      </c>
      <c r="AR121" s="30" t="str">
        <f aca="true">IF(OR($A121="",$I121=""),"",IF($BC121="Y",SUMIFS(survey_frozen!$F$2:$F$251,survey_frozen!$P$2:$P$251,$A121&amp;"|"&amp;$B121),IFERROR(COUNTIFS(INDIRECT("'"&amp;$A121&amp;"'!$B$2:$B$501"),$T121,INDIRECT("'"&amp;$A121&amp;"'!$A$2:$A$501"),"&gt;="&amp;$I121,INDIRECT("'"&amp;$A121&amp;"'!$A$2:$A$501"),"&lt;"&amp;($BA121+1),INDIRECT("'"&amp;$A121&amp;"'!$F$2:$F$501"),"Not for me"),0)))</f>
        <v/>
      </c>
      <c r="AS121" s="30" t="str">
        <f aca="true">IF(OR($A121="",$I121=""),"",IF($BC121="Y",SUMIFS(survey_frozen!$G$2:$G$251,survey_frozen!$P$2:$P$251,$A121&amp;"|"&amp;$B121),IFERROR(COUNTIFS(INDIRECT("'"&amp;$A121&amp;"'!$B$2:$B$501"),$T121,INDIRECT("'"&amp;$A121&amp;"'!$A$2:$A$501"),"&gt;="&amp;$I121,INDIRECT("'"&amp;$A121&amp;"'!$A$2:$A$501"),"&lt;"&amp;($BA121+1),INDIRECT("'"&amp;$A121&amp;"'!$F$2:$F$501"),"Gone by the time I looked"),0)))</f>
        <v/>
      </c>
      <c r="AT121" s="30" t="str">
        <f aca="true">IF(OR($A121="",$I121=""),"",IF($BC121="Y",SUMIFS(survey_frozen!$H$2:$H$251,survey_frozen!$P$2:$P$251,$A121&amp;"|"&amp;$B121),IFERROR(COUNTIFS(INDIRECT("'"&amp;$A121&amp;"'!$B$2:$B$501"),$T121,INDIRECT("'"&amp;$A121&amp;"'!$A$2:$A$501"),"&gt;="&amp;$I121,INDIRECT("'"&amp;$A121&amp;"'!$A$2:$A$501"),"&lt;"&amp;($BA121+1),INDIRECT("'"&amp;$A121&amp;"'!$D$2:$D$501"),"&gt;=1"),0)))</f>
        <v/>
      </c>
      <c r="AU121" s="30" t="str">
        <f aca="true">IF(OR($A121="",$I121=""),"",IF($BC121="Y",SUMIFS(survey_frozen!$I$2:$I$251,survey_frozen!$P$2:$P$251,$A121&amp;"|"&amp;$B121),IFERROR(SUMIFS(INDIRECT("'"&amp;$A121&amp;"'!$D$2:$D$501"),INDIRECT("'"&amp;$A121&amp;"'!$B$2:$B$501"),$T121,INDIRECT("'"&amp;$A121&amp;"'!$A$2:$A$501"),"&gt;="&amp;$I121,INDIRECT("'"&amp;$A121&amp;"'!$A$2:$A$501"),"&lt;"&amp;($BA121+1)),0)))</f>
        <v/>
      </c>
      <c r="AV121" s="30" t="str">
        <f aca="true">IF(OR($A121="",$I121=""),"",IF($BC121="Y",SUMIFS(survey_frozen!$J$2:$J$251,survey_frozen!$P$2:$P$251,$A121&amp;"|"&amp;$B121),IFERROR(COUNTIFS(INDIRECT("'"&amp;$A121&amp;"'!$B$2:$B$501"),$T121,INDIRECT("'"&amp;$A121&amp;"'!$A$2:$A$501"),"&gt;="&amp;$I121,INDIRECT("'"&amp;$A121&amp;"'!$A$2:$A$501"),"&lt;"&amp;($BA121+1),INDIRECT("'"&amp;$A121&amp;"'!$E$2:$E$501"),"Yes"),0)))</f>
        <v/>
      </c>
      <c r="AW121" s="30" t="str">
        <f aca="true">IF(OR($A121="",$I121=""),"",IF($BC121="Y",SUMIFS(survey_frozen!$K$2:$K$251,survey_frozen!$P$2:$P$251,$A121&amp;"|"&amp;$B121),IFERROR(COUNTIFS(INDIRECT("'"&amp;$A121&amp;"'!$B$2:$B$501"),$T121,INDIRECT("'"&amp;$A121&amp;"'!$A$2:$A$501"),"&gt;="&amp;$I121,INDIRECT("'"&amp;$A121&amp;"'!$A$2:$A$501"),"&lt;"&amp;($BA121+1),INDIRECT("'"&amp;$A121&amp;"'!$E$2:$E$501"),"Maybe"),0)))</f>
        <v/>
      </c>
      <c r="AX121" s="30" t="str">
        <f aca="true">IF(OR($A121="",$I121=""),"",IF($BC121="Y",SUMIFS(survey_frozen!$L$2:$L$251,survey_frozen!$P$2:$P$251,$A121&amp;"|"&amp;$B121),IFERROR(COUNTIFS(INDIRECT("'"&amp;$A121&amp;"'!$B$2:$B$501"),$T121,INDIRECT("'"&amp;$A121&amp;"'!$A$2:$A$501"),"&gt;="&amp;$I121,INDIRECT("'"&amp;$A121&amp;"'!$A$2:$A$501"),"&lt;"&amp;($BA121+1),INDIRECT("'"&amp;$A121&amp;"'!$E$2:$E$501"),"No"),0)))</f>
        <v/>
      </c>
      <c r="AY121" s="30" t="str">
        <f aca="true">IF(OR($A121="",$I121=""),"",IF($BC121="Y",SUMIFS(survey_frozen!$M$2:$M$251,survey_frozen!$P$2:$P$251,$A121&amp;"|"&amp;$B121),IFERROR(COUNTIFS(INDIRECT("'"&amp;$A121&amp;"'!$B$2:$B$501"),$T121,INDIRECT("'"&amp;$A121&amp;"'!$A$2:$A$501"),"&gt;="&amp;$I121,INDIRECT("'"&amp;$A121&amp;"'!$A$2:$A$501"),"&lt;"&amp;($BA121+1),INDIRECT("'"&amp;$A121&amp;"'!$G$2:$G$501"),"&lt;&gt;"),0)))</f>
        <v/>
      </c>
      <c r="AZ121" s="30" t="str">
        <f aca="false">IF($A121="","",$A121&amp;"|"&amp;$L121)</f>
        <v/>
      </c>
      <c r="BA121" s="31" t="str">
        <f aca="false">IF($A121="","",IFERROR(IF(INDEX(drops!$R$2:$R$21,MATCH($H121,drops!$A$2:$A$21,0))="","",INDEX(drops!$R$2:$R$21,MATCH($H121,drops!$A$2:$A$21,0))),""))</f>
        <v/>
      </c>
      <c r="BB121" s="30" t="n">
        <f aca="false">IF(OR($A121="",$Q121&lt;&gt;"Y"),1000000,N($AL121))</f>
        <v>1000000</v>
      </c>
      <c r="BC121" s="30" t="str">
        <f aca="false">IF($A121="","",IF(COUNTIF(survey_frozen!$P$2:$P$251,$A121&amp;"|"&amp;$B121)&gt;0,"Y",""))</f>
        <v/>
      </c>
      <c r="BD121" s="30" t="str">
        <f aca="false">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ustomFormat="false" ht="15" hidden="false" customHeight="false" outlineLevel="0" collapsed="false">
      <c r="C122" s="11"/>
      <c r="D122" s="10"/>
      <c r="E122" s="11"/>
      <c r="H122" s="30" t="str">
        <f aca="false">IF($A122="","",IFERROR(IF(INDEX(campaigns!$B$2:$B$51,MATCH($A122,campaigns!$A$2:$A$51,0))="","",INDEX(campaigns!$B$2:$B$51,MATCH($A122,campaigns!$A$2:$A$51,0))),""))</f>
        <v/>
      </c>
      <c r="I122" s="31" t="str">
        <f aca="false">IF($A122="","",IFERROR(IF(INDEX(campaigns!$BG$2:$BG$51,MATCH($A122,campaigns!$A$2:$A$51,0))="","",INDEX(campaigns!$BG$2:$BG$51,MATCH($A122,campaigns!$A$2:$A$51,0))),""))</f>
        <v/>
      </c>
      <c r="J122" s="30" t="str">
        <f aca="false">IF($A122="","",IFERROR(IF(INDEX(campaigns!$BE$2:$BE$51,MATCH($A122,campaigns!$A$2:$A$51,0))="","",INDEX(campaigns!$BE$2:$BE$51,MATCH($A122,campaigns!$A$2:$A$51,0))),""))</f>
        <v/>
      </c>
      <c r="K122" s="30" t="str">
        <f aca="false">IF($B122="","",IFERROR(IF(INDEX(offices!$O$2:$O$61,MATCH($B122,offices!$A$2:$A$61,0))="","",INDEX(offices!$O$2:$O$61,MATCH($B122,offices!$A$2:$A$61,0))),""))</f>
        <v/>
      </c>
      <c r="L122" s="30" t="str">
        <f aca="false">IF($A122="","",IF($Q122="N","",COUNTIFS($A$2:$A122,$A122,$Q$2:$Q122,"&lt;&gt;N")))</f>
        <v/>
      </c>
      <c r="M122" s="30" t="str">
        <f aca="false">IF(OR($A122="",$L122=""),"",IF(AND(config!$B$34="names_if_public",IFERROR(IF(INDEX(offices!$AG$2:$AG$61,MATCH($B122,offices!$A$2:$A$61,0))="","",INDEX(offices!$AG$2:$AG$61,MATCH($B122,offices!$A$2:$A$61,0))),"")="Y"),$K122,CHAR(64+$L122)))</f>
        <v/>
      </c>
      <c r="N122" s="30" t="str">
        <f aca="false">IF(OR($A122="",$I122=""),"",COUNTIFS(stops!$B$2:$B$151,$B122,stops!$P$2:$P$151,"&lt;"&amp;$I122,stops!$L$2:$L$151,"&lt;&gt;not_delivered")+1)</f>
        <v/>
      </c>
      <c r="O122" s="30" t="str">
        <f aca="false">IF($A122="","",IF(N($N122)&lt;=config!$B$29,"explicit","opt-out"))</f>
        <v/>
      </c>
      <c r="P122" s="30" t="str">
        <f aca="false">IF($A122="","",IF($O122="explicit",IF($D122="yes","Y",IF($D122="no","N","pending")),IF($D122="no","N",IF(AND($C122&lt;&gt;"",$I122&lt;&gt;"",$C122&lt;=WORKDAY(N($I122),-5,calendar!$A$2:$A$80)),"Y","pending"))))</f>
        <v/>
      </c>
      <c r="Q122" s="30" t="str">
        <f aca="false">IF($A122="","",IF($P122="N","N",IF($P122&lt;&gt;"Y","pending",IF(AND((COUNTIFS(stops!$A$2:$A$151,$H122,stops!$B$2:$B$151,$B122,stops!$L$2:$L$151,"declined")+COUNTIFS(stops!$A$2:$A$151,$H122,stops!$B$2:$B$151,$B122,stops!$L$2:$L$151,"building_refused")+COUNTIFS(stops!$A$2:$A$151,$H122,stops!$B$2:$B$151,$B122,stops!$L$2:$L$151,"not_delivered"))&gt;0,N($U122)=0),"N","Y"))))</f>
        <v/>
      </c>
      <c r="R122" s="30" t="str">
        <f aca="false">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30" t="str">
        <f aca="false">IF($A122="","",IF($G122&lt;&gt;"",$G122,IFERROR(IF(INDEX(offices!$AM$2:$AM$61,MATCH($B122,offices!$A$2:$A$61,0))="","",INDEX(offices!$AM$2:$AM$61,MATCH($B122,offices!$A$2:$A$61,0))),"")))</f>
        <v/>
      </c>
      <c r="T122" s="30" t="str">
        <f aca="false">IF($A122="","",$A122&amp;"."&amp;$B122)</f>
        <v/>
      </c>
      <c r="U122" s="30" t="str">
        <f aca="false">IF($A122="","",SUMIFS(inventory!$G$2:$G$801,inventory!$C$2:$C$801,$A122,inventory!$D$2:$D$801,$B122,inventory!$E$2:$E$801,"delivered"))</f>
        <v/>
      </c>
      <c r="V122" s="37" t="str">
        <f aca="false">IF($A122="","",IFERROR(1/(1/SUMPRODUCT(MAX((inventory!$C$2:$C$801=$A122)*(inventory!$D$2:$D$801=$B122)*(inventory!$E$2:$E$801="delivered")*(inventory!$A$2:$A$801+inventory!$B$2:$B$801)))),""))</f>
        <v/>
      </c>
      <c r="W122" s="30" t="str">
        <f aca="false">IF($A122="","",IFERROR(IF(INDEX(inventory!$J$2:$J$801,MATCH($A122&amp;"|"&amp;$B122&amp;"|delivered",inventory!$R$2:$R$801,0))="","",INDEX(inventory!$J$2:$J$801,MATCH($A122&amp;"|"&amp;$B122&amp;"|delivered",inventory!$R$2:$R$801,0))),""))</f>
        <v/>
      </c>
      <c r="X122" s="30" t="str">
        <f aca="false">IF($A122="","",IFERROR(IF(INDEX(photos!$H$2:$H$701,MATCH($A122&amp;"|"&amp;$B122&amp;"|placement|Y",photos!$R$2:$R$701,0))="","",INDEX(photos!$H$2:$H$701,MATCH($A122&amp;"|"&amp;$B122&amp;"|placement|Y",photos!$R$2:$R$701,0))),""))</f>
        <v/>
      </c>
      <c r="Y122" s="31" t="str">
        <f aca="false">IF($A122="","",IFERROR(IF(INDEX(photos!$E$2:$E$701,MATCH($A122&amp;"|"&amp;$B122&amp;"|placement|Y",photos!$R$2:$R$701,0))="","",INDEX(photos!$E$2:$E$701,MATCH($A122&amp;"|"&amp;$B122&amp;"|placement|Y",photos!$R$2:$R$701,0))),""))</f>
        <v/>
      </c>
      <c r="Z122" s="30" t="str">
        <f aca="false">IF($A122="","",IF(COUNTIFS(counts!$C$2:$C$701,$A122,counts!$D$2:$D$701,$B122,counts!$E$2:$E$701,"placed")=0,"",SUMIFS(counts!$F$2:$F$701,counts!$C$2:$C$701,$A122,counts!$D$2:$D$701,$B122,counts!$E$2:$E$701,"placed")))</f>
        <v/>
      </c>
      <c r="AA122" s="30" t="str">
        <f aca="false">IF($A122="","",IF($Y122="",0,N($Z122)))</f>
        <v/>
      </c>
      <c r="AB122" s="30" t="str">
        <f aca="false">IF($A122="","",IF(OR($Y122="",$I122=""),"N",IF($Y122&lt;=WORKDAY(N($I122),1,calendar!$A$2:$A$80),"Y","N")))</f>
        <v/>
      </c>
      <c r="AC122" s="33" t="str">
        <f aca="false">IF(OR($A122="",$V122="",$Y122=""),"",ROUND(($Y122+N(IFERROR(IF(INDEX(photos!$F$2:$F$701,MATCH($A122&amp;"|"&amp;$B122&amp;"|placement|Y",photos!$R$2:$R$701,0))="","",INDEX(photos!$F$2:$F$701,MATCH($A122&amp;"|"&amp;$B122&amp;"|placement|Y",photos!$R$2:$R$701,0))),""))-$V122)*24,1))</f>
        <v/>
      </c>
      <c r="AD122" s="30" t="str">
        <f aca="false">IF($A122="","",SUMIFS(inventory!$G$2:$G$801,inventory!$C$2:$C$801,$A122,inventory!$D$2:$D$801,$B122,inventory!$E$2:$E$801,"topped_up"))</f>
        <v/>
      </c>
      <c r="AE122" s="30" t="str">
        <f aca="false">IF($A122="","",IF(COUNTIFS(counts!$C$2:$C$701,$A122,counts!$D$2:$D$701,$B122,counts!$E$2:$E$701,"remaining_day3")=0,"",SUMIFS(counts!$F$2:$F$701,counts!$C$2:$C$701,$A122,counts!$D$2:$D$701,$B122,counts!$E$2:$E$701,"remaining_day3")))</f>
        <v/>
      </c>
      <c r="AF122" s="30" t="str">
        <f aca="false">IF($A122="","",IF(COUNTIFS(counts!$C$2:$C$701,$A122,counts!$D$2:$D$701,$B122,counts!$E$2:$E$701,"remaining_day5")=0,"",SUMIFS(counts!$F$2:$F$701,counts!$C$2:$C$701,$A122,counts!$D$2:$D$701,$B122,counts!$E$2:$E$701,"remaining_day5")))</f>
        <v/>
      </c>
      <c r="AG122" s="30" t="str">
        <f aca="false">IF(OR($A122="",$AF122=""),"",MAX(0,$AA122+$AD122-$AF122))</f>
        <v/>
      </c>
      <c r="AH122" s="30" t="str">
        <f aca="false">IF(OR($A122="",$AI122=""),"",IFERROR(IF(INDEX(photos!$H$2:$H$701,MATCH($A122&amp;"|"&amp;$B122&amp;"|later|Y|"&amp;$AI122,photos!$S$2:$S$701,0))="","",INDEX(photos!$H$2:$H$701,MATCH($A122&amp;"|"&amp;$B122&amp;"|later|Y|"&amp;$AI122,photos!$S$2:$S$701,0))),""))</f>
        <v/>
      </c>
      <c r="AI122" s="31" t="str">
        <f aca="false">IF($A122="","",IFERROR(1/(1/SUMPRODUCT(MAX((photos!$B$2:$B$701=$A122)*(photos!$C$2:$C$701=$B122)*(photos!$D$2:$D$701="later")*(photos!$O$2:$O$701="Y")*photos!$E$2:$E$701))),""))</f>
        <v/>
      </c>
      <c r="AJ122" s="30" t="str">
        <f aca="false">IF(OR($A122="",$AI122="",$I122=""),"",NETWORKDAYS($I122,$AI122,calendar!$A$2:$A$80))</f>
        <v/>
      </c>
      <c r="AK122" s="30" t="str">
        <f aca="false">IF($A122="","",IF(AND($X122&lt;&gt;"",$AH122&lt;&gt;""),"Y","N"))</f>
        <v/>
      </c>
      <c r="AL122" s="30" t="str">
        <f aca="true">IF(OR($A122="",$I122=""),"",IF($BC122="Y",SUMIFS(survey_frozen!$C$2:$C$251,survey_frozen!$P$2:$P$251,$A122&amp;"|"&amp;$B122),IFERROR(COUNTIFS(INDIRECT("'"&amp;$A122&amp;"'!$B$2:$B$501"),$T122,INDIRECT("'"&amp;$A122&amp;"'!$A$2:$A$501"),"&gt;="&amp;$I122,INDIRECT("'"&amp;$A122&amp;"'!$A$2:$A$501"),"&lt;"&amp;($BA122+1)),0)))</f>
        <v/>
      </c>
      <c r="AM122" s="30" t="str">
        <f aca="true">IF(OR($A122="",$I122=""),"",IF($BC122="Y",SUMIFS(survey_frozen!$D$2:$D$251,survey_frozen!$P$2:$P$251,$A122&amp;"|"&amp;$B122),IFERROR(COUNTIFS(INDIRECT("'"&amp;$A122&amp;"'!$B$2:$B$501"),$T122,INDIRECT("'"&amp;$A122&amp;"'!$A$2:$A$501"),"&gt;="&amp;$I122,INDIRECT("'"&amp;$A122&amp;"'!$A$2:$A$501"),"&lt;"&amp;($BA122+1),INDIRECT("'"&amp;$A122&amp;"'!$C$2:$C$501"),"Yes"),0)))</f>
        <v/>
      </c>
      <c r="AN122" s="30" t="str">
        <f aca="false">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30" t="str">
        <f aca="false">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30" t="str">
        <f aca="true">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30" t="str">
        <f aca="true">IF(OR($A122="",$I122=""),"",IF($BC122="Y",SUMIFS(survey_frozen!$E$2:$E$251,survey_frozen!$P$2:$P$251,$A122&amp;"|"&amp;$B122),IFERROR(COUNTIFS(INDIRECT("'"&amp;$A122&amp;"'!$B$2:$B$501"),$T122,INDIRECT("'"&amp;$A122&amp;"'!$A$2:$A$501"),"&gt;="&amp;$I122,INDIRECT("'"&amp;$A122&amp;"'!$A$2:$A$501"),"&lt;"&amp;($BA122+1),INDIRECT("'"&amp;$A122&amp;"'!$F$2:$F$501"),"Didn't see it"),0)))</f>
        <v/>
      </c>
      <c r="AR122" s="30" t="str">
        <f aca="true">IF(OR($A122="",$I122=""),"",IF($BC122="Y",SUMIFS(survey_frozen!$F$2:$F$251,survey_frozen!$P$2:$P$251,$A122&amp;"|"&amp;$B122),IFERROR(COUNTIFS(INDIRECT("'"&amp;$A122&amp;"'!$B$2:$B$501"),$T122,INDIRECT("'"&amp;$A122&amp;"'!$A$2:$A$501"),"&gt;="&amp;$I122,INDIRECT("'"&amp;$A122&amp;"'!$A$2:$A$501"),"&lt;"&amp;($BA122+1),INDIRECT("'"&amp;$A122&amp;"'!$F$2:$F$501"),"Not for me"),0)))</f>
        <v/>
      </c>
      <c r="AS122" s="30" t="str">
        <f aca="true">IF(OR($A122="",$I122=""),"",IF($BC122="Y",SUMIFS(survey_frozen!$G$2:$G$251,survey_frozen!$P$2:$P$251,$A122&amp;"|"&amp;$B122),IFERROR(COUNTIFS(INDIRECT("'"&amp;$A122&amp;"'!$B$2:$B$501"),$T122,INDIRECT("'"&amp;$A122&amp;"'!$A$2:$A$501"),"&gt;="&amp;$I122,INDIRECT("'"&amp;$A122&amp;"'!$A$2:$A$501"),"&lt;"&amp;($BA122+1),INDIRECT("'"&amp;$A122&amp;"'!$F$2:$F$501"),"Gone by the time I looked"),0)))</f>
        <v/>
      </c>
      <c r="AT122" s="30" t="str">
        <f aca="true">IF(OR($A122="",$I122=""),"",IF($BC122="Y",SUMIFS(survey_frozen!$H$2:$H$251,survey_frozen!$P$2:$P$251,$A122&amp;"|"&amp;$B122),IFERROR(COUNTIFS(INDIRECT("'"&amp;$A122&amp;"'!$B$2:$B$501"),$T122,INDIRECT("'"&amp;$A122&amp;"'!$A$2:$A$501"),"&gt;="&amp;$I122,INDIRECT("'"&amp;$A122&amp;"'!$A$2:$A$501"),"&lt;"&amp;($BA122+1),INDIRECT("'"&amp;$A122&amp;"'!$D$2:$D$501"),"&gt;=1"),0)))</f>
        <v/>
      </c>
      <c r="AU122" s="30" t="str">
        <f aca="true">IF(OR($A122="",$I122=""),"",IF($BC122="Y",SUMIFS(survey_frozen!$I$2:$I$251,survey_frozen!$P$2:$P$251,$A122&amp;"|"&amp;$B122),IFERROR(SUMIFS(INDIRECT("'"&amp;$A122&amp;"'!$D$2:$D$501"),INDIRECT("'"&amp;$A122&amp;"'!$B$2:$B$501"),$T122,INDIRECT("'"&amp;$A122&amp;"'!$A$2:$A$501"),"&gt;="&amp;$I122,INDIRECT("'"&amp;$A122&amp;"'!$A$2:$A$501"),"&lt;"&amp;($BA122+1)),0)))</f>
        <v/>
      </c>
      <c r="AV122" s="30" t="str">
        <f aca="true">IF(OR($A122="",$I122=""),"",IF($BC122="Y",SUMIFS(survey_frozen!$J$2:$J$251,survey_frozen!$P$2:$P$251,$A122&amp;"|"&amp;$B122),IFERROR(COUNTIFS(INDIRECT("'"&amp;$A122&amp;"'!$B$2:$B$501"),$T122,INDIRECT("'"&amp;$A122&amp;"'!$A$2:$A$501"),"&gt;="&amp;$I122,INDIRECT("'"&amp;$A122&amp;"'!$A$2:$A$501"),"&lt;"&amp;($BA122+1),INDIRECT("'"&amp;$A122&amp;"'!$E$2:$E$501"),"Yes"),0)))</f>
        <v/>
      </c>
      <c r="AW122" s="30" t="str">
        <f aca="true">IF(OR($A122="",$I122=""),"",IF($BC122="Y",SUMIFS(survey_frozen!$K$2:$K$251,survey_frozen!$P$2:$P$251,$A122&amp;"|"&amp;$B122),IFERROR(COUNTIFS(INDIRECT("'"&amp;$A122&amp;"'!$B$2:$B$501"),$T122,INDIRECT("'"&amp;$A122&amp;"'!$A$2:$A$501"),"&gt;="&amp;$I122,INDIRECT("'"&amp;$A122&amp;"'!$A$2:$A$501"),"&lt;"&amp;($BA122+1),INDIRECT("'"&amp;$A122&amp;"'!$E$2:$E$501"),"Maybe"),0)))</f>
        <v/>
      </c>
      <c r="AX122" s="30" t="str">
        <f aca="true">IF(OR($A122="",$I122=""),"",IF($BC122="Y",SUMIFS(survey_frozen!$L$2:$L$251,survey_frozen!$P$2:$P$251,$A122&amp;"|"&amp;$B122),IFERROR(COUNTIFS(INDIRECT("'"&amp;$A122&amp;"'!$B$2:$B$501"),$T122,INDIRECT("'"&amp;$A122&amp;"'!$A$2:$A$501"),"&gt;="&amp;$I122,INDIRECT("'"&amp;$A122&amp;"'!$A$2:$A$501"),"&lt;"&amp;($BA122+1),INDIRECT("'"&amp;$A122&amp;"'!$E$2:$E$501"),"No"),0)))</f>
        <v/>
      </c>
      <c r="AY122" s="30" t="str">
        <f aca="true">IF(OR($A122="",$I122=""),"",IF($BC122="Y",SUMIFS(survey_frozen!$M$2:$M$251,survey_frozen!$P$2:$P$251,$A122&amp;"|"&amp;$B122),IFERROR(COUNTIFS(INDIRECT("'"&amp;$A122&amp;"'!$B$2:$B$501"),$T122,INDIRECT("'"&amp;$A122&amp;"'!$A$2:$A$501"),"&gt;="&amp;$I122,INDIRECT("'"&amp;$A122&amp;"'!$A$2:$A$501"),"&lt;"&amp;($BA122+1),INDIRECT("'"&amp;$A122&amp;"'!$G$2:$G$501"),"&lt;&gt;"),0)))</f>
        <v/>
      </c>
      <c r="AZ122" s="30" t="str">
        <f aca="false">IF($A122="","",$A122&amp;"|"&amp;$L122)</f>
        <v/>
      </c>
      <c r="BA122" s="31" t="str">
        <f aca="false">IF($A122="","",IFERROR(IF(INDEX(drops!$R$2:$R$21,MATCH($H122,drops!$A$2:$A$21,0))="","",INDEX(drops!$R$2:$R$21,MATCH($H122,drops!$A$2:$A$21,0))),""))</f>
        <v/>
      </c>
      <c r="BB122" s="30" t="n">
        <f aca="false">IF(OR($A122="",$Q122&lt;&gt;"Y"),1000000,N($AL122))</f>
        <v>1000000</v>
      </c>
      <c r="BC122" s="30" t="str">
        <f aca="false">IF($A122="","",IF(COUNTIF(survey_frozen!$P$2:$P$251,$A122&amp;"|"&amp;$B122)&gt;0,"Y",""))</f>
        <v/>
      </c>
      <c r="BD122" s="30" t="str">
        <f aca="false">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ustomFormat="false" ht="15" hidden="false" customHeight="false" outlineLevel="0" collapsed="false">
      <c r="C123" s="11"/>
      <c r="D123" s="10"/>
      <c r="E123" s="11"/>
      <c r="H123" s="30" t="str">
        <f aca="false">IF($A123="","",IFERROR(IF(INDEX(campaigns!$B$2:$B$51,MATCH($A123,campaigns!$A$2:$A$51,0))="","",INDEX(campaigns!$B$2:$B$51,MATCH($A123,campaigns!$A$2:$A$51,0))),""))</f>
        <v/>
      </c>
      <c r="I123" s="31" t="str">
        <f aca="false">IF($A123="","",IFERROR(IF(INDEX(campaigns!$BG$2:$BG$51,MATCH($A123,campaigns!$A$2:$A$51,0))="","",INDEX(campaigns!$BG$2:$BG$51,MATCH($A123,campaigns!$A$2:$A$51,0))),""))</f>
        <v/>
      </c>
      <c r="J123" s="30" t="str">
        <f aca="false">IF($A123="","",IFERROR(IF(INDEX(campaigns!$BE$2:$BE$51,MATCH($A123,campaigns!$A$2:$A$51,0))="","",INDEX(campaigns!$BE$2:$BE$51,MATCH($A123,campaigns!$A$2:$A$51,0))),""))</f>
        <v/>
      </c>
      <c r="K123" s="30" t="str">
        <f aca="false">IF($B123="","",IFERROR(IF(INDEX(offices!$O$2:$O$61,MATCH($B123,offices!$A$2:$A$61,0))="","",INDEX(offices!$O$2:$O$61,MATCH($B123,offices!$A$2:$A$61,0))),""))</f>
        <v/>
      </c>
      <c r="L123" s="30" t="str">
        <f aca="false">IF($A123="","",IF($Q123="N","",COUNTIFS($A$2:$A123,$A123,$Q$2:$Q123,"&lt;&gt;N")))</f>
        <v/>
      </c>
      <c r="M123" s="30" t="str">
        <f aca="false">IF(OR($A123="",$L123=""),"",IF(AND(config!$B$34="names_if_public",IFERROR(IF(INDEX(offices!$AG$2:$AG$61,MATCH($B123,offices!$A$2:$A$61,0))="","",INDEX(offices!$AG$2:$AG$61,MATCH($B123,offices!$A$2:$A$61,0))),"")="Y"),$K123,CHAR(64+$L123)))</f>
        <v/>
      </c>
      <c r="N123" s="30" t="str">
        <f aca="false">IF(OR($A123="",$I123=""),"",COUNTIFS(stops!$B$2:$B$151,$B123,stops!$P$2:$P$151,"&lt;"&amp;$I123,stops!$L$2:$L$151,"&lt;&gt;not_delivered")+1)</f>
        <v/>
      </c>
      <c r="O123" s="30" t="str">
        <f aca="false">IF($A123="","",IF(N($N123)&lt;=config!$B$29,"explicit","opt-out"))</f>
        <v/>
      </c>
      <c r="P123" s="30" t="str">
        <f aca="false">IF($A123="","",IF($O123="explicit",IF($D123="yes","Y",IF($D123="no","N","pending")),IF($D123="no","N",IF(AND($C123&lt;&gt;"",$I123&lt;&gt;"",$C123&lt;=WORKDAY(N($I123),-5,calendar!$A$2:$A$80)),"Y","pending"))))</f>
        <v/>
      </c>
      <c r="Q123" s="30" t="str">
        <f aca="false">IF($A123="","",IF($P123="N","N",IF($P123&lt;&gt;"Y","pending",IF(AND((COUNTIFS(stops!$A$2:$A$151,$H123,stops!$B$2:$B$151,$B123,stops!$L$2:$L$151,"declined")+COUNTIFS(stops!$A$2:$A$151,$H123,stops!$B$2:$B$151,$B123,stops!$L$2:$L$151,"building_refused")+COUNTIFS(stops!$A$2:$A$151,$H123,stops!$B$2:$B$151,$B123,stops!$L$2:$L$151,"not_delivered"))&gt;0,N($U123)=0),"N","Y"))))</f>
        <v/>
      </c>
      <c r="R123" s="30" t="str">
        <f aca="false">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30" t="str">
        <f aca="false">IF($A123="","",IF($G123&lt;&gt;"",$G123,IFERROR(IF(INDEX(offices!$AM$2:$AM$61,MATCH($B123,offices!$A$2:$A$61,0))="","",INDEX(offices!$AM$2:$AM$61,MATCH($B123,offices!$A$2:$A$61,0))),"")))</f>
        <v/>
      </c>
      <c r="T123" s="30" t="str">
        <f aca="false">IF($A123="","",$A123&amp;"."&amp;$B123)</f>
        <v/>
      </c>
      <c r="U123" s="30" t="str">
        <f aca="false">IF($A123="","",SUMIFS(inventory!$G$2:$G$801,inventory!$C$2:$C$801,$A123,inventory!$D$2:$D$801,$B123,inventory!$E$2:$E$801,"delivered"))</f>
        <v/>
      </c>
      <c r="V123" s="37" t="str">
        <f aca="false">IF($A123="","",IFERROR(1/(1/SUMPRODUCT(MAX((inventory!$C$2:$C$801=$A123)*(inventory!$D$2:$D$801=$B123)*(inventory!$E$2:$E$801="delivered")*(inventory!$A$2:$A$801+inventory!$B$2:$B$801)))),""))</f>
        <v/>
      </c>
      <c r="W123" s="30" t="str">
        <f aca="false">IF($A123="","",IFERROR(IF(INDEX(inventory!$J$2:$J$801,MATCH($A123&amp;"|"&amp;$B123&amp;"|delivered",inventory!$R$2:$R$801,0))="","",INDEX(inventory!$J$2:$J$801,MATCH($A123&amp;"|"&amp;$B123&amp;"|delivered",inventory!$R$2:$R$801,0))),""))</f>
        <v/>
      </c>
      <c r="X123" s="30" t="str">
        <f aca="false">IF($A123="","",IFERROR(IF(INDEX(photos!$H$2:$H$701,MATCH($A123&amp;"|"&amp;$B123&amp;"|placement|Y",photos!$R$2:$R$701,0))="","",INDEX(photos!$H$2:$H$701,MATCH($A123&amp;"|"&amp;$B123&amp;"|placement|Y",photos!$R$2:$R$701,0))),""))</f>
        <v/>
      </c>
      <c r="Y123" s="31" t="str">
        <f aca="false">IF($A123="","",IFERROR(IF(INDEX(photos!$E$2:$E$701,MATCH($A123&amp;"|"&amp;$B123&amp;"|placement|Y",photos!$R$2:$R$701,0))="","",INDEX(photos!$E$2:$E$701,MATCH($A123&amp;"|"&amp;$B123&amp;"|placement|Y",photos!$R$2:$R$701,0))),""))</f>
        <v/>
      </c>
      <c r="Z123" s="30" t="str">
        <f aca="false">IF($A123="","",IF(COUNTIFS(counts!$C$2:$C$701,$A123,counts!$D$2:$D$701,$B123,counts!$E$2:$E$701,"placed")=0,"",SUMIFS(counts!$F$2:$F$701,counts!$C$2:$C$701,$A123,counts!$D$2:$D$701,$B123,counts!$E$2:$E$701,"placed")))</f>
        <v/>
      </c>
      <c r="AA123" s="30" t="str">
        <f aca="false">IF($A123="","",IF($Y123="",0,N($Z123)))</f>
        <v/>
      </c>
      <c r="AB123" s="30" t="str">
        <f aca="false">IF($A123="","",IF(OR($Y123="",$I123=""),"N",IF($Y123&lt;=WORKDAY(N($I123),1,calendar!$A$2:$A$80),"Y","N")))</f>
        <v/>
      </c>
      <c r="AC123" s="33" t="str">
        <f aca="false">IF(OR($A123="",$V123="",$Y123=""),"",ROUND(($Y123+N(IFERROR(IF(INDEX(photos!$F$2:$F$701,MATCH($A123&amp;"|"&amp;$B123&amp;"|placement|Y",photos!$R$2:$R$701,0))="","",INDEX(photos!$F$2:$F$701,MATCH($A123&amp;"|"&amp;$B123&amp;"|placement|Y",photos!$R$2:$R$701,0))),""))-$V123)*24,1))</f>
        <v/>
      </c>
      <c r="AD123" s="30" t="str">
        <f aca="false">IF($A123="","",SUMIFS(inventory!$G$2:$G$801,inventory!$C$2:$C$801,$A123,inventory!$D$2:$D$801,$B123,inventory!$E$2:$E$801,"topped_up"))</f>
        <v/>
      </c>
      <c r="AE123" s="30" t="str">
        <f aca="false">IF($A123="","",IF(COUNTIFS(counts!$C$2:$C$701,$A123,counts!$D$2:$D$701,$B123,counts!$E$2:$E$701,"remaining_day3")=0,"",SUMIFS(counts!$F$2:$F$701,counts!$C$2:$C$701,$A123,counts!$D$2:$D$701,$B123,counts!$E$2:$E$701,"remaining_day3")))</f>
        <v/>
      </c>
      <c r="AF123" s="30" t="str">
        <f aca="false">IF($A123="","",IF(COUNTIFS(counts!$C$2:$C$701,$A123,counts!$D$2:$D$701,$B123,counts!$E$2:$E$701,"remaining_day5")=0,"",SUMIFS(counts!$F$2:$F$701,counts!$C$2:$C$701,$A123,counts!$D$2:$D$701,$B123,counts!$E$2:$E$701,"remaining_day5")))</f>
        <v/>
      </c>
      <c r="AG123" s="30" t="str">
        <f aca="false">IF(OR($A123="",$AF123=""),"",MAX(0,$AA123+$AD123-$AF123))</f>
        <v/>
      </c>
      <c r="AH123" s="30" t="str">
        <f aca="false">IF(OR($A123="",$AI123=""),"",IFERROR(IF(INDEX(photos!$H$2:$H$701,MATCH($A123&amp;"|"&amp;$B123&amp;"|later|Y|"&amp;$AI123,photos!$S$2:$S$701,0))="","",INDEX(photos!$H$2:$H$701,MATCH($A123&amp;"|"&amp;$B123&amp;"|later|Y|"&amp;$AI123,photos!$S$2:$S$701,0))),""))</f>
        <v/>
      </c>
      <c r="AI123" s="31" t="str">
        <f aca="false">IF($A123="","",IFERROR(1/(1/SUMPRODUCT(MAX((photos!$B$2:$B$701=$A123)*(photos!$C$2:$C$701=$B123)*(photos!$D$2:$D$701="later")*(photos!$O$2:$O$701="Y")*photos!$E$2:$E$701))),""))</f>
        <v/>
      </c>
      <c r="AJ123" s="30" t="str">
        <f aca="false">IF(OR($A123="",$AI123="",$I123=""),"",NETWORKDAYS($I123,$AI123,calendar!$A$2:$A$80))</f>
        <v/>
      </c>
      <c r="AK123" s="30" t="str">
        <f aca="false">IF($A123="","",IF(AND($X123&lt;&gt;"",$AH123&lt;&gt;""),"Y","N"))</f>
        <v/>
      </c>
      <c r="AL123" s="30" t="str">
        <f aca="true">IF(OR($A123="",$I123=""),"",IF($BC123="Y",SUMIFS(survey_frozen!$C$2:$C$251,survey_frozen!$P$2:$P$251,$A123&amp;"|"&amp;$B123),IFERROR(COUNTIFS(INDIRECT("'"&amp;$A123&amp;"'!$B$2:$B$501"),$T123,INDIRECT("'"&amp;$A123&amp;"'!$A$2:$A$501"),"&gt;="&amp;$I123,INDIRECT("'"&amp;$A123&amp;"'!$A$2:$A$501"),"&lt;"&amp;($BA123+1)),0)))</f>
        <v/>
      </c>
      <c r="AM123" s="30" t="str">
        <f aca="true">IF(OR($A123="",$I123=""),"",IF($BC123="Y",SUMIFS(survey_frozen!$D$2:$D$251,survey_frozen!$P$2:$P$251,$A123&amp;"|"&amp;$B123),IFERROR(COUNTIFS(INDIRECT("'"&amp;$A123&amp;"'!$B$2:$B$501"),$T123,INDIRECT("'"&amp;$A123&amp;"'!$A$2:$A$501"),"&gt;="&amp;$I123,INDIRECT("'"&amp;$A123&amp;"'!$A$2:$A$501"),"&lt;"&amp;($BA123+1),INDIRECT("'"&amp;$A123&amp;"'!$C$2:$C$501"),"Yes"),0)))</f>
        <v/>
      </c>
      <c r="AN123" s="30" t="str">
        <f aca="false">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30" t="str">
        <f aca="false">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30" t="str">
        <f aca="true">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30" t="str">
        <f aca="true">IF(OR($A123="",$I123=""),"",IF($BC123="Y",SUMIFS(survey_frozen!$E$2:$E$251,survey_frozen!$P$2:$P$251,$A123&amp;"|"&amp;$B123),IFERROR(COUNTIFS(INDIRECT("'"&amp;$A123&amp;"'!$B$2:$B$501"),$T123,INDIRECT("'"&amp;$A123&amp;"'!$A$2:$A$501"),"&gt;="&amp;$I123,INDIRECT("'"&amp;$A123&amp;"'!$A$2:$A$501"),"&lt;"&amp;($BA123+1),INDIRECT("'"&amp;$A123&amp;"'!$F$2:$F$501"),"Didn't see it"),0)))</f>
        <v/>
      </c>
      <c r="AR123" s="30" t="str">
        <f aca="true">IF(OR($A123="",$I123=""),"",IF($BC123="Y",SUMIFS(survey_frozen!$F$2:$F$251,survey_frozen!$P$2:$P$251,$A123&amp;"|"&amp;$B123),IFERROR(COUNTIFS(INDIRECT("'"&amp;$A123&amp;"'!$B$2:$B$501"),$T123,INDIRECT("'"&amp;$A123&amp;"'!$A$2:$A$501"),"&gt;="&amp;$I123,INDIRECT("'"&amp;$A123&amp;"'!$A$2:$A$501"),"&lt;"&amp;($BA123+1),INDIRECT("'"&amp;$A123&amp;"'!$F$2:$F$501"),"Not for me"),0)))</f>
        <v/>
      </c>
      <c r="AS123" s="30" t="str">
        <f aca="true">IF(OR($A123="",$I123=""),"",IF($BC123="Y",SUMIFS(survey_frozen!$G$2:$G$251,survey_frozen!$P$2:$P$251,$A123&amp;"|"&amp;$B123),IFERROR(COUNTIFS(INDIRECT("'"&amp;$A123&amp;"'!$B$2:$B$501"),$T123,INDIRECT("'"&amp;$A123&amp;"'!$A$2:$A$501"),"&gt;="&amp;$I123,INDIRECT("'"&amp;$A123&amp;"'!$A$2:$A$501"),"&lt;"&amp;($BA123+1),INDIRECT("'"&amp;$A123&amp;"'!$F$2:$F$501"),"Gone by the time I looked"),0)))</f>
        <v/>
      </c>
      <c r="AT123" s="30" t="str">
        <f aca="true">IF(OR($A123="",$I123=""),"",IF($BC123="Y",SUMIFS(survey_frozen!$H$2:$H$251,survey_frozen!$P$2:$P$251,$A123&amp;"|"&amp;$B123),IFERROR(COUNTIFS(INDIRECT("'"&amp;$A123&amp;"'!$B$2:$B$501"),$T123,INDIRECT("'"&amp;$A123&amp;"'!$A$2:$A$501"),"&gt;="&amp;$I123,INDIRECT("'"&amp;$A123&amp;"'!$A$2:$A$501"),"&lt;"&amp;($BA123+1),INDIRECT("'"&amp;$A123&amp;"'!$D$2:$D$501"),"&gt;=1"),0)))</f>
        <v/>
      </c>
      <c r="AU123" s="30" t="str">
        <f aca="true">IF(OR($A123="",$I123=""),"",IF($BC123="Y",SUMIFS(survey_frozen!$I$2:$I$251,survey_frozen!$P$2:$P$251,$A123&amp;"|"&amp;$B123),IFERROR(SUMIFS(INDIRECT("'"&amp;$A123&amp;"'!$D$2:$D$501"),INDIRECT("'"&amp;$A123&amp;"'!$B$2:$B$501"),$T123,INDIRECT("'"&amp;$A123&amp;"'!$A$2:$A$501"),"&gt;="&amp;$I123,INDIRECT("'"&amp;$A123&amp;"'!$A$2:$A$501"),"&lt;"&amp;($BA123+1)),0)))</f>
        <v/>
      </c>
      <c r="AV123" s="30" t="str">
        <f aca="true">IF(OR($A123="",$I123=""),"",IF($BC123="Y",SUMIFS(survey_frozen!$J$2:$J$251,survey_frozen!$P$2:$P$251,$A123&amp;"|"&amp;$B123),IFERROR(COUNTIFS(INDIRECT("'"&amp;$A123&amp;"'!$B$2:$B$501"),$T123,INDIRECT("'"&amp;$A123&amp;"'!$A$2:$A$501"),"&gt;="&amp;$I123,INDIRECT("'"&amp;$A123&amp;"'!$A$2:$A$501"),"&lt;"&amp;($BA123+1),INDIRECT("'"&amp;$A123&amp;"'!$E$2:$E$501"),"Yes"),0)))</f>
        <v/>
      </c>
      <c r="AW123" s="30" t="str">
        <f aca="true">IF(OR($A123="",$I123=""),"",IF($BC123="Y",SUMIFS(survey_frozen!$K$2:$K$251,survey_frozen!$P$2:$P$251,$A123&amp;"|"&amp;$B123),IFERROR(COUNTIFS(INDIRECT("'"&amp;$A123&amp;"'!$B$2:$B$501"),$T123,INDIRECT("'"&amp;$A123&amp;"'!$A$2:$A$501"),"&gt;="&amp;$I123,INDIRECT("'"&amp;$A123&amp;"'!$A$2:$A$501"),"&lt;"&amp;($BA123+1),INDIRECT("'"&amp;$A123&amp;"'!$E$2:$E$501"),"Maybe"),0)))</f>
        <v/>
      </c>
      <c r="AX123" s="30" t="str">
        <f aca="true">IF(OR($A123="",$I123=""),"",IF($BC123="Y",SUMIFS(survey_frozen!$L$2:$L$251,survey_frozen!$P$2:$P$251,$A123&amp;"|"&amp;$B123),IFERROR(COUNTIFS(INDIRECT("'"&amp;$A123&amp;"'!$B$2:$B$501"),$T123,INDIRECT("'"&amp;$A123&amp;"'!$A$2:$A$501"),"&gt;="&amp;$I123,INDIRECT("'"&amp;$A123&amp;"'!$A$2:$A$501"),"&lt;"&amp;($BA123+1),INDIRECT("'"&amp;$A123&amp;"'!$E$2:$E$501"),"No"),0)))</f>
        <v/>
      </c>
      <c r="AY123" s="30" t="str">
        <f aca="true">IF(OR($A123="",$I123=""),"",IF($BC123="Y",SUMIFS(survey_frozen!$M$2:$M$251,survey_frozen!$P$2:$P$251,$A123&amp;"|"&amp;$B123),IFERROR(COUNTIFS(INDIRECT("'"&amp;$A123&amp;"'!$B$2:$B$501"),$T123,INDIRECT("'"&amp;$A123&amp;"'!$A$2:$A$501"),"&gt;="&amp;$I123,INDIRECT("'"&amp;$A123&amp;"'!$A$2:$A$501"),"&lt;"&amp;($BA123+1),INDIRECT("'"&amp;$A123&amp;"'!$G$2:$G$501"),"&lt;&gt;"),0)))</f>
        <v/>
      </c>
      <c r="AZ123" s="30" t="str">
        <f aca="false">IF($A123="","",$A123&amp;"|"&amp;$L123)</f>
        <v/>
      </c>
      <c r="BA123" s="31" t="str">
        <f aca="false">IF($A123="","",IFERROR(IF(INDEX(drops!$R$2:$R$21,MATCH($H123,drops!$A$2:$A$21,0))="","",INDEX(drops!$R$2:$R$21,MATCH($H123,drops!$A$2:$A$21,0))),""))</f>
        <v/>
      </c>
      <c r="BB123" s="30" t="n">
        <f aca="false">IF(OR($A123="",$Q123&lt;&gt;"Y"),1000000,N($AL123))</f>
        <v>1000000</v>
      </c>
      <c r="BC123" s="30" t="str">
        <f aca="false">IF($A123="","",IF(COUNTIF(survey_frozen!$P$2:$P$251,$A123&amp;"|"&amp;$B123)&gt;0,"Y",""))</f>
        <v/>
      </c>
      <c r="BD123" s="30" t="str">
        <f aca="false">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ustomFormat="false" ht="15" hidden="false" customHeight="false" outlineLevel="0" collapsed="false">
      <c r="C124" s="11"/>
      <c r="D124" s="10"/>
      <c r="E124" s="11"/>
      <c r="H124" s="30" t="str">
        <f aca="false">IF($A124="","",IFERROR(IF(INDEX(campaigns!$B$2:$B$51,MATCH($A124,campaigns!$A$2:$A$51,0))="","",INDEX(campaigns!$B$2:$B$51,MATCH($A124,campaigns!$A$2:$A$51,0))),""))</f>
        <v/>
      </c>
      <c r="I124" s="31" t="str">
        <f aca="false">IF($A124="","",IFERROR(IF(INDEX(campaigns!$BG$2:$BG$51,MATCH($A124,campaigns!$A$2:$A$51,0))="","",INDEX(campaigns!$BG$2:$BG$51,MATCH($A124,campaigns!$A$2:$A$51,0))),""))</f>
        <v/>
      </c>
      <c r="J124" s="30" t="str">
        <f aca="false">IF($A124="","",IFERROR(IF(INDEX(campaigns!$BE$2:$BE$51,MATCH($A124,campaigns!$A$2:$A$51,0))="","",INDEX(campaigns!$BE$2:$BE$51,MATCH($A124,campaigns!$A$2:$A$51,0))),""))</f>
        <v/>
      </c>
      <c r="K124" s="30" t="str">
        <f aca="false">IF($B124="","",IFERROR(IF(INDEX(offices!$O$2:$O$61,MATCH($B124,offices!$A$2:$A$61,0))="","",INDEX(offices!$O$2:$O$61,MATCH($B124,offices!$A$2:$A$61,0))),""))</f>
        <v/>
      </c>
      <c r="L124" s="30" t="str">
        <f aca="false">IF($A124="","",IF($Q124="N","",COUNTIFS($A$2:$A124,$A124,$Q$2:$Q124,"&lt;&gt;N")))</f>
        <v/>
      </c>
      <c r="M124" s="30" t="str">
        <f aca="false">IF(OR($A124="",$L124=""),"",IF(AND(config!$B$34="names_if_public",IFERROR(IF(INDEX(offices!$AG$2:$AG$61,MATCH($B124,offices!$A$2:$A$61,0))="","",INDEX(offices!$AG$2:$AG$61,MATCH($B124,offices!$A$2:$A$61,0))),"")="Y"),$K124,CHAR(64+$L124)))</f>
        <v/>
      </c>
      <c r="N124" s="30" t="str">
        <f aca="false">IF(OR($A124="",$I124=""),"",COUNTIFS(stops!$B$2:$B$151,$B124,stops!$P$2:$P$151,"&lt;"&amp;$I124,stops!$L$2:$L$151,"&lt;&gt;not_delivered")+1)</f>
        <v/>
      </c>
      <c r="O124" s="30" t="str">
        <f aca="false">IF($A124="","",IF(N($N124)&lt;=config!$B$29,"explicit","opt-out"))</f>
        <v/>
      </c>
      <c r="P124" s="30" t="str">
        <f aca="false">IF($A124="","",IF($O124="explicit",IF($D124="yes","Y",IF($D124="no","N","pending")),IF($D124="no","N",IF(AND($C124&lt;&gt;"",$I124&lt;&gt;"",$C124&lt;=WORKDAY(N($I124),-5,calendar!$A$2:$A$80)),"Y","pending"))))</f>
        <v/>
      </c>
      <c r="Q124" s="30" t="str">
        <f aca="false">IF($A124="","",IF($P124="N","N",IF($P124&lt;&gt;"Y","pending",IF(AND((COUNTIFS(stops!$A$2:$A$151,$H124,stops!$B$2:$B$151,$B124,stops!$L$2:$L$151,"declined")+COUNTIFS(stops!$A$2:$A$151,$H124,stops!$B$2:$B$151,$B124,stops!$L$2:$L$151,"building_refused")+COUNTIFS(stops!$A$2:$A$151,$H124,stops!$B$2:$B$151,$B124,stops!$L$2:$L$151,"not_delivered"))&gt;0,N($U124)=0),"N","Y"))))</f>
        <v/>
      </c>
      <c r="R124" s="30" t="str">
        <f aca="false">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30" t="str">
        <f aca="false">IF($A124="","",IF($G124&lt;&gt;"",$G124,IFERROR(IF(INDEX(offices!$AM$2:$AM$61,MATCH($B124,offices!$A$2:$A$61,0))="","",INDEX(offices!$AM$2:$AM$61,MATCH($B124,offices!$A$2:$A$61,0))),"")))</f>
        <v/>
      </c>
      <c r="T124" s="30" t="str">
        <f aca="false">IF($A124="","",$A124&amp;"."&amp;$B124)</f>
        <v/>
      </c>
      <c r="U124" s="30" t="str">
        <f aca="false">IF($A124="","",SUMIFS(inventory!$G$2:$G$801,inventory!$C$2:$C$801,$A124,inventory!$D$2:$D$801,$B124,inventory!$E$2:$E$801,"delivered"))</f>
        <v/>
      </c>
      <c r="V124" s="37" t="str">
        <f aca="false">IF($A124="","",IFERROR(1/(1/SUMPRODUCT(MAX((inventory!$C$2:$C$801=$A124)*(inventory!$D$2:$D$801=$B124)*(inventory!$E$2:$E$801="delivered")*(inventory!$A$2:$A$801+inventory!$B$2:$B$801)))),""))</f>
        <v/>
      </c>
      <c r="W124" s="30" t="str">
        <f aca="false">IF($A124="","",IFERROR(IF(INDEX(inventory!$J$2:$J$801,MATCH($A124&amp;"|"&amp;$B124&amp;"|delivered",inventory!$R$2:$R$801,0))="","",INDEX(inventory!$J$2:$J$801,MATCH($A124&amp;"|"&amp;$B124&amp;"|delivered",inventory!$R$2:$R$801,0))),""))</f>
        <v/>
      </c>
      <c r="X124" s="30" t="str">
        <f aca="false">IF($A124="","",IFERROR(IF(INDEX(photos!$H$2:$H$701,MATCH($A124&amp;"|"&amp;$B124&amp;"|placement|Y",photos!$R$2:$R$701,0))="","",INDEX(photos!$H$2:$H$701,MATCH($A124&amp;"|"&amp;$B124&amp;"|placement|Y",photos!$R$2:$R$701,0))),""))</f>
        <v/>
      </c>
      <c r="Y124" s="31" t="str">
        <f aca="false">IF($A124="","",IFERROR(IF(INDEX(photos!$E$2:$E$701,MATCH($A124&amp;"|"&amp;$B124&amp;"|placement|Y",photos!$R$2:$R$701,0))="","",INDEX(photos!$E$2:$E$701,MATCH($A124&amp;"|"&amp;$B124&amp;"|placement|Y",photos!$R$2:$R$701,0))),""))</f>
        <v/>
      </c>
      <c r="Z124" s="30" t="str">
        <f aca="false">IF($A124="","",IF(COUNTIFS(counts!$C$2:$C$701,$A124,counts!$D$2:$D$701,$B124,counts!$E$2:$E$701,"placed")=0,"",SUMIFS(counts!$F$2:$F$701,counts!$C$2:$C$701,$A124,counts!$D$2:$D$701,$B124,counts!$E$2:$E$701,"placed")))</f>
        <v/>
      </c>
      <c r="AA124" s="30" t="str">
        <f aca="false">IF($A124="","",IF($Y124="",0,N($Z124)))</f>
        <v/>
      </c>
      <c r="AB124" s="30" t="str">
        <f aca="false">IF($A124="","",IF(OR($Y124="",$I124=""),"N",IF($Y124&lt;=WORKDAY(N($I124),1,calendar!$A$2:$A$80),"Y","N")))</f>
        <v/>
      </c>
      <c r="AC124" s="33" t="str">
        <f aca="false">IF(OR($A124="",$V124="",$Y124=""),"",ROUND(($Y124+N(IFERROR(IF(INDEX(photos!$F$2:$F$701,MATCH($A124&amp;"|"&amp;$B124&amp;"|placement|Y",photos!$R$2:$R$701,0))="","",INDEX(photos!$F$2:$F$701,MATCH($A124&amp;"|"&amp;$B124&amp;"|placement|Y",photos!$R$2:$R$701,0))),""))-$V124)*24,1))</f>
        <v/>
      </c>
      <c r="AD124" s="30" t="str">
        <f aca="false">IF($A124="","",SUMIFS(inventory!$G$2:$G$801,inventory!$C$2:$C$801,$A124,inventory!$D$2:$D$801,$B124,inventory!$E$2:$E$801,"topped_up"))</f>
        <v/>
      </c>
      <c r="AE124" s="30" t="str">
        <f aca="false">IF($A124="","",IF(COUNTIFS(counts!$C$2:$C$701,$A124,counts!$D$2:$D$701,$B124,counts!$E$2:$E$701,"remaining_day3")=0,"",SUMIFS(counts!$F$2:$F$701,counts!$C$2:$C$701,$A124,counts!$D$2:$D$701,$B124,counts!$E$2:$E$701,"remaining_day3")))</f>
        <v/>
      </c>
      <c r="AF124" s="30" t="str">
        <f aca="false">IF($A124="","",IF(COUNTIFS(counts!$C$2:$C$701,$A124,counts!$D$2:$D$701,$B124,counts!$E$2:$E$701,"remaining_day5")=0,"",SUMIFS(counts!$F$2:$F$701,counts!$C$2:$C$701,$A124,counts!$D$2:$D$701,$B124,counts!$E$2:$E$701,"remaining_day5")))</f>
        <v/>
      </c>
      <c r="AG124" s="30" t="str">
        <f aca="false">IF(OR($A124="",$AF124=""),"",MAX(0,$AA124+$AD124-$AF124))</f>
        <v/>
      </c>
      <c r="AH124" s="30" t="str">
        <f aca="false">IF(OR($A124="",$AI124=""),"",IFERROR(IF(INDEX(photos!$H$2:$H$701,MATCH($A124&amp;"|"&amp;$B124&amp;"|later|Y|"&amp;$AI124,photos!$S$2:$S$701,0))="","",INDEX(photos!$H$2:$H$701,MATCH($A124&amp;"|"&amp;$B124&amp;"|later|Y|"&amp;$AI124,photos!$S$2:$S$701,0))),""))</f>
        <v/>
      </c>
      <c r="AI124" s="31" t="str">
        <f aca="false">IF($A124="","",IFERROR(1/(1/SUMPRODUCT(MAX((photos!$B$2:$B$701=$A124)*(photos!$C$2:$C$701=$B124)*(photos!$D$2:$D$701="later")*(photos!$O$2:$O$701="Y")*photos!$E$2:$E$701))),""))</f>
        <v/>
      </c>
      <c r="AJ124" s="30" t="str">
        <f aca="false">IF(OR($A124="",$AI124="",$I124=""),"",NETWORKDAYS($I124,$AI124,calendar!$A$2:$A$80))</f>
        <v/>
      </c>
      <c r="AK124" s="30" t="str">
        <f aca="false">IF($A124="","",IF(AND($X124&lt;&gt;"",$AH124&lt;&gt;""),"Y","N"))</f>
        <v/>
      </c>
      <c r="AL124" s="30" t="str">
        <f aca="true">IF(OR($A124="",$I124=""),"",IF($BC124="Y",SUMIFS(survey_frozen!$C$2:$C$251,survey_frozen!$P$2:$P$251,$A124&amp;"|"&amp;$B124),IFERROR(COUNTIFS(INDIRECT("'"&amp;$A124&amp;"'!$B$2:$B$501"),$T124,INDIRECT("'"&amp;$A124&amp;"'!$A$2:$A$501"),"&gt;="&amp;$I124,INDIRECT("'"&amp;$A124&amp;"'!$A$2:$A$501"),"&lt;"&amp;($BA124+1)),0)))</f>
        <v/>
      </c>
      <c r="AM124" s="30" t="str">
        <f aca="true">IF(OR($A124="",$I124=""),"",IF($BC124="Y",SUMIFS(survey_frozen!$D$2:$D$251,survey_frozen!$P$2:$P$251,$A124&amp;"|"&amp;$B124),IFERROR(COUNTIFS(INDIRECT("'"&amp;$A124&amp;"'!$B$2:$B$501"),$T124,INDIRECT("'"&amp;$A124&amp;"'!$A$2:$A$501"),"&gt;="&amp;$I124,INDIRECT("'"&amp;$A124&amp;"'!$A$2:$A$501"),"&lt;"&amp;($BA124+1),INDIRECT("'"&amp;$A124&amp;"'!$C$2:$C$501"),"Yes"),0)))</f>
        <v/>
      </c>
      <c r="AN124" s="30" t="str">
        <f aca="false">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30" t="str">
        <f aca="false">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30" t="str">
        <f aca="true">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30" t="str">
        <f aca="true">IF(OR($A124="",$I124=""),"",IF($BC124="Y",SUMIFS(survey_frozen!$E$2:$E$251,survey_frozen!$P$2:$P$251,$A124&amp;"|"&amp;$B124),IFERROR(COUNTIFS(INDIRECT("'"&amp;$A124&amp;"'!$B$2:$B$501"),$T124,INDIRECT("'"&amp;$A124&amp;"'!$A$2:$A$501"),"&gt;="&amp;$I124,INDIRECT("'"&amp;$A124&amp;"'!$A$2:$A$501"),"&lt;"&amp;($BA124+1),INDIRECT("'"&amp;$A124&amp;"'!$F$2:$F$501"),"Didn't see it"),0)))</f>
        <v/>
      </c>
      <c r="AR124" s="30" t="str">
        <f aca="true">IF(OR($A124="",$I124=""),"",IF($BC124="Y",SUMIFS(survey_frozen!$F$2:$F$251,survey_frozen!$P$2:$P$251,$A124&amp;"|"&amp;$B124),IFERROR(COUNTIFS(INDIRECT("'"&amp;$A124&amp;"'!$B$2:$B$501"),$T124,INDIRECT("'"&amp;$A124&amp;"'!$A$2:$A$501"),"&gt;="&amp;$I124,INDIRECT("'"&amp;$A124&amp;"'!$A$2:$A$501"),"&lt;"&amp;($BA124+1),INDIRECT("'"&amp;$A124&amp;"'!$F$2:$F$501"),"Not for me"),0)))</f>
        <v/>
      </c>
      <c r="AS124" s="30" t="str">
        <f aca="true">IF(OR($A124="",$I124=""),"",IF($BC124="Y",SUMIFS(survey_frozen!$G$2:$G$251,survey_frozen!$P$2:$P$251,$A124&amp;"|"&amp;$B124),IFERROR(COUNTIFS(INDIRECT("'"&amp;$A124&amp;"'!$B$2:$B$501"),$T124,INDIRECT("'"&amp;$A124&amp;"'!$A$2:$A$501"),"&gt;="&amp;$I124,INDIRECT("'"&amp;$A124&amp;"'!$A$2:$A$501"),"&lt;"&amp;($BA124+1),INDIRECT("'"&amp;$A124&amp;"'!$F$2:$F$501"),"Gone by the time I looked"),0)))</f>
        <v/>
      </c>
      <c r="AT124" s="30" t="str">
        <f aca="true">IF(OR($A124="",$I124=""),"",IF($BC124="Y",SUMIFS(survey_frozen!$H$2:$H$251,survey_frozen!$P$2:$P$251,$A124&amp;"|"&amp;$B124),IFERROR(COUNTIFS(INDIRECT("'"&amp;$A124&amp;"'!$B$2:$B$501"),$T124,INDIRECT("'"&amp;$A124&amp;"'!$A$2:$A$501"),"&gt;="&amp;$I124,INDIRECT("'"&amp;$A124&amp;"'!$A$2:$A$501"),"&lt;"&amp;($BA124+1),INDIRECT("'"&amp;$A124&amp;"'!$D$2:$D$501"),"&gt;=1"),0)))</f>
        <v/>
      </c>
      <c r="AU124" s="30" t="str">
        <f aca="true">IF(OR($A124="",$I124=""),"",IF($BC124="Y",SUMIFS(survey_frozen!$I$2:$I$251,survey_frozen!$P$2:$P$251,$A124&amp;"|"&amp;$B124),IFERROR(SUMIFS(INDIRECT("'"&amp;$A124&amp;"'!$D$2:$D$501"),INDIRECT("'"&amp;$A124&amp;"'!$B$2:$B$501"),$T124,INDIRECT("'"&amp;$A124&amp;"'!$A$2:$A$501"),"&gt;="&amp;$I124,INDIRECT("'"&amp;$A124&amp;"'!$A$2:$A$501"),"&lt;"&amp;($BA124+1)),0)))</f>
        <v/>
      </c>
      <c r="AV124" s="30" t="str">
        <f aca="true">IF(OR($A124="",$I124=""),"",IF($BC124="Y",SUMIFS(survey_frozen!$J$2:$J$251,survey_frozen!$P$2:$P$251,$A124&amp;"|"&amp;$B124),IFERROR(COUNTIFS(INDIRECT("'"&amp;$A124&amp;"'!$B$2:$B$501"),$T124,INDIRECT("'"&amp;$A124&amp;"'!$A$2:$A$501"),"&gt;="&amp;$I124,INDIRECT("'"&amp;$A124&amp;"'!$A$2:$A$501"),"&lt;"&amp;($BA124+1),INDIRECT("'"&amp;$A124&amp;"'!$E$2:$E$501"),"Yes"),0)))</f>
        <v/>
      </c>
      <c r="AW124" s="30" t="str">
        <f aca="true">IF(OR($A124="",$I124=""),"",IF($BC124="Y",SUMIFS(survey_frozen!$K$2:$K$251,survey_frozen!$P$2:$P$251,$A124&amp;"|"&amp;$B124),IFERROR(COUNTIFS(INDIRECT("'"&amp;$A124&amp;"'!$B$2:$B$501"),$T124,INDIRECT("'"&amp;$A124&amp;"'!$A$2:$A$501"),"&gt;="&amp;$I124,INDIRECT("'"&amp;$A124&amp;"'!$A$2:$A$501"),"&lt;"&amp;($BA124+1),INDIRECT("'"&amp;$A124&amp;"'!$E$2:$E$501"),"Maybe"),0)))</f>
        <v/>
      </c>
      <c r="AX124" s="30" t="str">
        <f aca="true">IF(OR($A124="",$I124=""),"",IF($BC124="Y",SUMIFS(survey_frozen!$L$2:$L$251,survey_frozen!$P$2:$P$251,$A124&amp;"|"&amp;$B124),IFERROR(COUNTIFS(INDIRECT("'"&amp;$A124&amp;"'!$B$2:$B$501"),$T124,INDIRECT("'"&amp;$A124&amp;"'!$A$2:$A$501"),"&gt;="&amp;$I124,INDIRECT("'"&amp;$A124&amp;"'!$A$2:$A$501"),"&lt;"&amp;($BA124+1),INDIRECT("'"&amp;$A124&amp;"'!$E$2:$E$501"),"No"),0)))</f>
        <v/>
      </c>
      <c r="AY124" s="30" t="str">
        <f aca="true">IF(OR($A124="",$I124=""),"",IF($BC124="Y",SUMIFS(survey_frozen!$M$2:$M$251,survey_frozen!$P$2:$P$251,$A124&amp;"|"&amp;$B124),IFERROR(COUNTIFS(INDIRECT("'"&amp;$A124&amp;"'!$B$2:$B$501"),$T124,INDIRECT("'"&amp;$A124&amp;"'!$A$2:$A$501"),"&gt;="&amp;$I124,INDIRECT("'"&amp;$A124&amp;"'!$A$2:$A$501"),"&lt;"&amp;($BA124+1),INDIRECT("'"&amp;$A124&amp;"'!$G$2:$G$501"),"&lt;&gt;"),0)))</f>
        <v/>
      </c>
      <c r="AZ124" s="30" t="str">
        <f aca="false">IF($A124="","",$A124&amp;"|"&amp;$L124)</f>
        <v/>
      </c>
      <c r="BA124" s="31" t="str">
        <f aca="false">IF($A124="","",IFERROR(IF(INDEX(drops!$R$2:$R$21,MATCH($H124,drops!$A$2:$A$21,0))="","",INDEX(drops!$R$2:$R$21,MATCH($H124,drops!$A$2:$A$21,0))),""))</f>
        <v/>
      </c>
      <c r="BB124" s="30" t="n">
        <f aca="false">IF(OR($A124="",$Q124&lt;&gt;"Y"),1000000,N($AL124))</f>
        <v>1000000</v>
      </c>
      <c r="BC124" s="30" t="str">
        <f aca="false">IF($A124="","",IF(COUNTIF(survey_frozen!$P$2:$P$251,$A124&amp;"|"&amp;$B124)&gt;0,"Y",""))</f>
        <v/>
      </c>
      <c r="BD124" s="30" t="str">
        <f aca="false">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ustomFormat="false" ht="15" hidden="false" customHeight="false" outlineLevel="0" collapsed="false">
      <c r="C125" s="11"/>
      <c r="D125" s="10"/>
      <c r="E125" s="11"/>
      <c r="H125" s="30" t="str">
        <f aca="false">IF($A125="","",IFERROR(IF(INDEX(campaigns!$B$2:$B$51,MATCH($A125,campaigns!$A$2:$A$51,0))="","",INDEX(campaigns!$B$2:$B$51,MATCH($A125,campaigns!$A$2:$A$51,0))),""))</f>
        <v/>
      </c>
      <c r="I125" s="31" t="str">
        <f aca="false">IF($A125="","",IFERROR(IF(INDEX(campaigns!$BG$2:$BG$51,MATCH($A125,campaigns!$A$2:$A$51,0))="","",INDEX(campaigns!$BG$2:$BG$51,MATCH($A125,campaigns!$A$2:$A$51,0))),""))</f>
        <v/>
      </c>
      <c r="J125" s="30" t="str">
        <f aca="false">IF($A125="","",IFERROR(IF(INDEX(campaigns!$BE$2:$BE$51,MATCH($A125,campaigns!$A$2:$A$51,0))="","",INDEX(campaigns!$BE$2:$BE$51,MATCH($A125,campaigns!$A$2:$A$51,0))),""))</f>
        <v/>
      </c>
      <c r="K125" s="30" t="str">
        <f aca="false">IF($B125="","",IFERROR(IF(INDEX(offices!$O$2:$O$61,MATCH($B125,offices!$A$2:$A$61,0))="","",INDEX(offices!$O$2:$O$61,MATCH($B125,offices!$A$2:$A$61,0))),""))</f>
        <v/>
      </c>
      <c r="L125" s="30" t="str">
        <f aca="false">IF($A125="","",IF($Q125="N","",COUNTIFS($A$2:$A125,$A125,$Q$2:$Q125,"&lt;&gt;N")))</f>
        <v/>
      </c>
      <c r="M125" s="30" t="str">
        <f aca="false">IF(OR($A125="",$L125=""),"",IF(AND(config!$B$34="names_if_public",IFERROR(IF(INDEX(offices!$AG$2:$AG$61,MATCH($B125,offices!$A$2:$A$61,0))="","",INDEX(offices!$AG$2:$AG$61,MATCH($B125,offices!$A$2:$A$61,0))),"")="Y"),$K125,CHAR(64+$L125)))</f>
        <v/>
      </c>
      <c r="N125" s="30" t="str">
        <f aca="false">IF(OR($A125="",$I125=""),"",COUNTIFS(stops!$B$2:$B$151,$B125,stops!$P$2:$P$151,"&lt;"&amp;$I125,stops!$L$2:$L$151,"&lt;&gt;not_delivered")+1)</f>
        <v/>
      </c>
      <c r="O125" s="30" t="str">
        <f aca="false">IF($A125="","",IF(N($N125)&lt;=config!$B$29,"explicit","opt-out"))</f>
        <v/>
      </c>
      <c r="P125" s="30" t="str">
        <f aca="false">IF($A125="","",IF($O125="explicit",IF($D125="yes","Y",IF($D125="no","N","pending")),IF($D125="no","N",IF(AND($C125&lt;&gt;"",$I125&lt;&gt;"",$C125&lt;=WORKDAY(N($I125),-5,calendar!$A$2:$A$80)),"Y","pending"))))</f>
        <v/>
      </c>
      <c r="Q125" s="30" t="str">
        <f aca="false">IF($A125="","",IF($P125="N","N",IF($P125&lt;&gt;"Y","pending",IF(AND((COUNTIFS(stops!$A$2:$A$151,$H125,stops!$B$2:$B$151,$B125,stops!$L$2:$L$151,"declined")+COUNTIFS(stops!$A$2:$A$151,$H125,stops!$B$2:$B$151,$B125,stops!$L$2:$L$151,"building_refused")+COUNTIFS(stops!$A$2:$A$151,$H125,stops!$B$2:$B$151,$B125,stops!$L$2:$L$151,"not_delivered"))&gt;0,N($U125)=0),"N","Y"))))</f>
        <v/>
      </c>
      <c r="R125" s="30" t="str">
        <f aca="false">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30" t="str">
        <f aca="false">IF($A125="","",IF($G125&lt;&gt;"",$G125,IFERROR(IF(INDEX(offices!$AM$2:$AM$61,MATCH($B125,offices!$A$2:$A$61,0))="","",INDEX(offices!$AM$2:$AM$61,MATCH($B125,offices!$A$2:$A$61,0))),"")))</f>
        <v/>
      </c>
      <c r="T125" s="30" t="str">
        <f aca="false">IF($A125="","",$A125&amp;"."&amp;$B125)</f>
        <v/>
      </c>
      <c r="U125" s="30" t="str">
        <f aca="false">IF($A125="","",SUMIFS(inventory!$G$2:$G$801,inventory!$C$2:$C$801,$A125,inventory!$D$2:$D$801,$B125,inventory!$E$2:$E$801,"delivered"))</f>
        <v/>
      </c>
      <c r="V125" s="37" t="str">
        <f aca="false">IF($A125="","",IFERROR(1/(1/SUMPRODUCT(MAX((inventory!$C$2:$C$801=$A125)*(inventory!$D$2:$D$801=$B125)*(inventory!$E$2:$E$801="delivered")*(inventory!$A$2:$A$801+inventory!$B$2:$B$801)))),""))</f>
        <v/>
      </c>
      <c r="W125" s="30" t="str">
        <f aca="false">IF($A125="","",IFERROR(IF(INDEX(inventory!$J$2:$J$801,MATCH($A125&amp;"|"&amp;$B125&amp;"|delivered",inventory!$R$2:$R$801,0))="","",INDEX(inventory!$J$2:$J$801,MATCH($A125&amp;"|"&amp;$B125&amp;"|delivered",inventory!$R$2:$R$801,0))),""))</f>
        <v/>
      </c>
      <c r="X125" s="30" t="str">
        <f aca="false">IF($A125="","",IFERROR(IF(INDEX(photos!$H$2:$H$701,MATCH($A125&amp;"|"&amp;$B125&amp;"|placement|Y",photos!$R$2:$R$701,0))="","",INDEX(photos!$H$2:$H$701,MATCH($A125&amp;"|"&amp;$B125&amp;"|placement|Y",photos!$R$2:$R$701,0))),""))</f>
        <v/>
      </c>
      <c r="Y125" s="31" t="str">
        <f aca="false">IF($A125="","",IFERROR(IF(INDEX(photos!$E$2:$E$701,MATCH($A125&amp;"|"&amp;$B125&amp;"|placement|Y",photos!$R$2:$R$701,0))="","",INDEX(photos!$E$2:$E$701,MATCH($A125&amp;"|"&amp;$B125&amp;"|placement|Y",photos!$R$2:$R$701,0))),""))</f>
        <v/>
      </c>
      <c r="Z125" s="30" t="str">
        <f aca="false">IF($A125="","",IF(COUNTIFS(counts!$C$2:$C$701,$A125,counts!$D$2:$D$701,$B125,counts!$E$2:$E$701,"placed")=0,"",SUMIFS(counts!$F$2:$F$701,counts!$C$2:$C$701,$A125,counts!$D$2:$D$701,$B125,counts!$E$2:$E$701,"placed")))</f>
        <v/>
      </c>
      <c r="AA125" s="30" t="str">
        <f aca="false">IF($A125="","",IF($Y125="",0,N($Z125)))</f>
        <v/>
      </c>
      <c r="AB125" s="30" t="str">
        <f aca="false">IF($A125="","",IF(OR($Y125="",$I125=""),"N",IF($Y125&lt;=WORKDAY(N($I125),1,calendar!$A$2:$A$80),"Y","N")))</f>
        <v/>
      </c>
      <c r="AC125" s="33" t="str">
        <f aca="false">IF(OR($A125="",$V125="",$Y125=""),"",ROUND(($Y125+N(IFERROR(IF(INDEX(photos!$F$2:$F$701,MATCH($A125&amp;"|"&amp;$B125&amp;"|placement|Y",photos!$R$2:$R$701,0))="","",INDEX(photos!$F$2:$F$701,MATCH($A125&amp;"|"&amp;$B125&amp;"|placement|Y",photos!$R$2:$R$701,0))),""))-$V125)*24,1))</f>
        <v/>
      </c>
      <c r="AD125" s="30" t="str">
        <f aca="false">IF($A125="","",SUMIFS(inventory!$G$2:$G$801,inventory!$C$2:$C$801,$A125,inventory!$D$2:$D$801,$B125,inventory!$E$2:$E$801,"topped_up"))</f>
        <v/>
      </c>
      <c r="AE125" s="30" t="str">
        <f aca="false">IF($A125="","",IF(COUNTIFS(counts!$C$2:$C$701,$A125,counts!$D$2:$D$701,$B125,counts!$E$2:$E$701,"remaining_day3")=0,"",SUMIFS(counts!$F$2:$F$701,counts!$C$2:$C$701,$A125,counts!$D$2:$D$701,$B125,counts!$E$2:$E$701,"remaining_day3")))</f>
        <v/>
      </c>
      <c r="AF125" s="30" t="str">
        <f aca="false">IF($A125="","",IF(COUNTIFS(counts!$C$2:$C$701,$A125,counts!$D$2:$D$701,$B125,counts!$E$2:$E$701,"remaining_day5")=0,"",SUMIFS(counts!$F$2:$F$701,counts!$C$2:$C$701,$A125,counts!$D$2:$D$701,$B125,counts!$E$2:$E$701,"remaining_day5")))</f>
        <v/>
      </c>
      <c r="AG125" s="30" t="str">
        <f aca="false">IF(OR($A125="",$AF125=""),"",MAX(0,$AA125+$AD125-$AF125))</f>
        <v/>
      </c>
      <c r="AH125" s="30" t="str">
        <f aca="false">IF(OR($A125="",$AI125=""),"",IFERROR(IF(INDEX(photos!$H$2:$H$701,MATCH($A125&amp;"|"&amp;$B125&amp;"|later|Y|"&amp;$AI125,photos!$S$2:$S$701,0))="","",INDEX(photos!$H$2:$H$701,MATCH($A125&amp;"|"&amp;$B125&amp;"|later|Y|"&amp;$AI125,photos!$S$2:$S$701,0))),""))</f>
        <v/>
      </c>
      <c r="AI125" s="31" t="str">
        <f aca="false">IF($A125="","",IFERROR(1/(1/SUMPRODUCT(MAX((photos!$B$2:$B$701=$A125)*(photos!$C$2:$C$701=$B125)*(photos!$D$2:$D$701="later")*(photos!$O$2:$O$701="Y")*photos!$E$2:$E$701))),""))</f>
        <v/>
      </c>
      <c r="AJ125" s="30" t="str">
        <f aca="false">IF(OR($A125="",$AI125="",$I125=""),"",NETWORKDAYS($I125,$AI125,calendar!$A$2:$A$80))</f>
        <v/>
      </c>
      <c r="AK125" s="30" t="str">
        <f aca="false">IF($A125="","",IF(AND($X125&lt;&gt;"",$AH125&lt;&gt;""),"Y","N"))</f>
        <v/>
      </c>
      <c r="AL125" s="30" t="str">
        <f aca="true">IF(OR($A125="",$I125=""),"",IF($BC125="Y",SUMIFS(survey_frozen!$C$2:$C$251,survey_frozen!$P$2:$P$251,$A125&amp;"|"&amp;$B125),IFERROR(COUNTIFS(INDIRECT("'"&amp;$A125&amp;"'!$B$2:$B$501"),$T125,INDIRECT("'"&amp;$A125&amp;"'!$A$2:$A$501"),"&gt;="&amp;$I125,INDIRECT("'"&amp;$A125&amp;"'!$A$2:$A$501"),"&lt;"&amp;($BA125+1)),0)))</f>
        <v/>
      </c>
      <c r="AM125" s="30" t="str">
        <f aca="true">IF(OR($A125="",$I125=""),"",IF($BC125="Y",SUMIFS(survey_frozen!$D$2:$D$251,survey_frozen!$P$2:$P$251,$A125&amp;"|"&amp;$B125),IFERROR(COUNTIFS(INDIRECT("'"&amp;$A125&amp;"'!$B$2:$B$501"),$T125,INDIRECT("'"&amp;$A125&amp;"'!$A$2:$A$501"),"&gt;="&amp;$I125,INDIRECT("'"&amp;$A125&amp;"'!$A$2:$A$501"),"&lt;"&amp;($BA125+1),INDIRECT("'"&amp;$A125&amp;"'!$C$2:$C$501"),"Yes"),0)))</f>
        <v/>
      </c>
      <c r="AN125" s="30" t="str">
        <f aca="false">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30" t="str">
        <f aca="false">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30" t="str">
        <f aca="true">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30" t="str">
        <f aca="true">IF(OR($A125="",$I125=""),"",IF($BC125="Y",SUMIFS(survey_frozen!$E$2:$E$251,survey_frozen!$P$2:$P$251,$A125&amp;"|"&amp;$B125),IFERROR(COUNTIFS(INDIRECT("'"&amp;$A125&amp;"'!$B$2:$B$501"),$T125,INDIRECT("'"&amp;$A125&amp;"'!$A$2:$A$501"),"&gt;="&amp;$I125,INDIRECT("'"&amp;$A125&amp;"'!$A$2:$A$501"),"&lt;"&amp;($BA125+1),INDIRECT("'"&amp;$A125&amp;"'!$F$2:$F$501"),"Didn't see it"),0)))</f>
        <v/>
      </c>
      <c r="AR125" s="30" t="str">
        <f aca="true">IF(OR($A125="",$I125=""),"",IF($BC125="Y",SUMIFS(survey_frozen!$F$2:$F$251,survey_frozen!$P$2:$P$251,$A125&amp;"|"&amp;$B125),IFERROR(COUNTIFS(INDIRECT("'"&amp;$A125&amp;"'!$B$2:$B$501"),$T125,INDIRECT("'"&amp;$A125&amp;"'!$A$2:$A$501"),"&gt;="&amp;$I125,INDIRECT("'"&amp;$A125&amp;"'!$A$2:$A$501"),"&lt;"&amp;($BA125+1),INDIRECT("'"&amp;$A125&amp;"'!$F$2:$F$501"),"Not for me"),0)))</f>
        <v/>
      </c>
      <c r="AS125" s="30" t="str">
        <f aca="true">IF(OR($A125="",$I125=""),"",IF($BC125="Y",SUMIFS(survey_frozen!$G$2:$G$251,survey_frozen!$P$2:$P$251,$A125&amp;"|"&amp;$B125),IFERROR(COUNTIFS(INDIRECT("'"&amp;$A125&amp;"'!$B$2:$B$501"),$T125,INDIRECT("'"&amp;$A125&amp;"'!$A$2:$A$501"),"&gt;="&amp;$I125,INDIRECT("'"&amp;$A125&amp;"'!$A$2:$A$501"),"&lt;"&amp;($BA125+1),INDIRECT("'"&amp;$A125&amp;"'!$F$2:$F$501"),"Gone by the time I looked"),0)))</f>
        <v/>
      </c>
      <c r="AT125" s="30" t="str">
        <f aca="true">IF(OR($A125="",$I125=""),"",IF($BC125="Y",SUMIFS(survey_frozen!$H$2:$H$251,survey_frozen!$P$2:$P$251,$A125&amp;"|"&amp;$B125),IFERROR(COUNTIFS(INDIRECT("'"&amp;$A125&amp;"'!$B$2:$B$501"),$T125,INDIRECT("'"&amp;$A125&amp;"'!$A$2:$A$501"),"&gt;="&amp;$I125,INDIRECT("'"&amp;$A125&amp;"'!$A$2:$A$501"),"&lt;"&amp;($BA125+1),INDIRECT("'"&amp;$A125&amp;"'!$D$2:$D$501"),"&gt;=1"),0)))</f>
        <v/>
      </c>
      <c r="AU125" s="30" t="str">
        <f aca="true">IF(OR($A125="",$I125=""),"",IF($BC125="Y",SUMIFS(survey_frozen!$I$2:$I$251,survey_frozen!$P$2:$P$251,$A125&amp;"|"&amp;$B125),IFERROR(SUMIFS(INDIRECT("'"&amp;$A125&amp;"'!$D$2:$D$501"),INDIRECT("'"&amp;$A125&amp;"'!$B$2:$B$501"),$T125,INDIRECT("'"&amp;$A125&amp;"'!$A$2:$A$501"),"&gt;="&amp;$I125,INDIRECT("'"&amp;$A125&amp;"'!$A$2:$A$501"),"&lt;"&amp;($BA125+1)),0)))</f>
        <v/>
      </c>
      <c r="AV125" s="30" t="str">
        <f aca="true">IF(OR($A125="",$I125=""),"",IF($BC125="Y",SUMIFS(survey_frozen!$J$2:$J$251,survey_frozen!$P$2:$P$251,$A125&amp;"|"&amp;$B125),IFERROR(COUNTIFS(INDIRECT("'"&amp;$A125&amp;"'!$B$2:$B$501"),$T125,INDIRECT("'"&amp;$A125&amp;"'!$A$2:$A$501"),"&gt;="&amp;$I125,INDIRECT("'"&amp;$A125&amp;"'!$A$2:$A$501"),"&lt;"&amp;($BA125+1),INDIRECT("'"&amp;$A125&amp;"'!$E$2:$E$501"),"Yes"),0)))</f>
        <v/>
      </c>
      <c r="AW125" s="30" t="str">
        <f aca="true">IF(OR($A125="",$I125=""),"",IF($BC125="Y",SUMIFS(survey_frozen!$K$2:$K$251,survey_frozen!$P$2:$P$251,$A125&amp;"|"&amp;$B125),IFERROR(COUNTIFS(INDIRECT("'"&amp;$A125&amp;"'!$B$2:$B$501"),$T125,INDIRECT("'"&amp;$A125&amp;"'!$A$2:$A$501"),"&gt;="&amp;$I125,INDIRECT("'"&amp;$A125&amp;"'!$A$2:$A$501"),"&lt;"&amp;($BA125+1),INDIRECT("'"&amp;$A125&amp;"'!$E$2:$E$501"),"Maybe"),0)))</f>
        <v/>
      </c>
      <c r="AX125" s="30" t="str">
        <f aca="true">IF(OR($A125="",$I125=""),"",IF($BC125="Y",SUMIFS(survey_frozen!$L$2:$L$251,survey_frozen!$P$2:$P$251,$A125&amp;"|"&amp;$B125),IFERROR(COUNTIFS(INDIRECT("'"&amp;$A125&amp;"'!$B$2:$B$501"),$T125,INDIRECT("'"&amp;$A125&amp;"'!$A$2:$A$501"),"&gt;="&amp;$I125,INDIRECT("'"&amp;$A125&amp;"'!$A$2:$A$501"),"&lt;"&amp;($BA125+1),INDIRECT("'"&amp;$A125&amp;"'!$E$2:$E$501"),"No"),0)))</f>
        <v/>
      </c>
      <c r="AY125" s="30" t="str">
        <f aca="true">IF(OR($A125="",$I125=""),"",IF($BC125="Y",SUMIFS(survey_frozen!$M$2:$M$251,survey_frozen!$P$2:$P$251,$A125&amp;"|"&amp;$B125),IFERROR(COUNTIFS(INDIRECT("'"&amp;$A125&amp;"'!$B$2:$B$501"),$T125,INDIRECT("'"&amp;$A125&amp;"'!$A$2:$A$501"),"&gt;="&amp;$I125,INDIRECT("'"&amp;$A125&amp;"'!$A$2:$A$501"),"&lt;"&amp;($BA125+1),INDIRECT("'"&amp;$A125&amp;"'!$G$2:$G$501"),"&lt;&gt;"),0)))</f>
        <v/>
      </c>
      <c r="AZ125" s="30" t="str">
        <f aca="false">IF($A125="","",$A125&amp;"|"&amp;$L125)</f>
        <v/>
      </c>
      <c r="BA125" s="31" t="str">
        <f aca="false">IF($A125="","",IFERROR(IF(INDEX(drops!$R$2:$R$21,MATCH($H125,drops!$A$2:$A$21,0))="","",INDEX(drops!$R$2:$R$21,MATCH($H125,drops!$A$2:$A$21,0))),""))</f>
        <v/>
      </c>
      <c r="BB125" s="30" t="n">
        <f aca="false">IF(OR($A125="",$Q125&lt;&gt;"Y"),1000000,N($AL125))</f>
        <v>1000000</v>
      </c>
      <c r="BC125" s="30" t="str">
        <f aca="false">IF($A125="","",IF(COUNTIF(survey_frozen!$P$2:$P$251,$A125&amp;"|"&amp;$B125)&gt;0,"Y",""))</f>
        <v/>
      </c>
      <c r="BD125" s="30" t="str">
        <f aca="false">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ustomFormat="false" ht="15" hidden="false" customHeight="false" outlineLevel="0" collapsed="false">
      <c r="C126" s="11"/>
      <c r="D126" s="10"/>
      <c r="E126" s="11"/>
      <c r="H126" s="30" t="str">
        <f aca="false">IF($A126="","",IFERROR(IF(INDEX(campaigns!$B$2:$B$51,MATCH($A126,campaigns!$A$2:$A$51,0))="","",INDEX(campaigns!$B$2:$B$51,MATCH($A126,campaigns!$A$2:$A$51,0))),""))</f>
        <v/>
      </c>
      <c r="I126" s="31" t="str">
        <f aca="false">IF($A126="","",IFERROR(IF(INDEX(campaigns!$BG$2:$BG$51,MATCH($A126,campaigns!$A$2:$A$51,0))="","",INDEX(campaigns!$BG$2:$BG$51,MATCH($A126,campaigns!$A$2:$A$51,0))),""))</f>
        <v/>
      </c>
      <c r="J126" s="30" t="str">
        <f aca="false">IF($A126="","",IFERROR(IF(INDEX(campaigns!$BE$2:$BE$51,MATCH($A126,campaigns!$A$2:$A$51,0))="","",INDEX(campaigns!$BE$2:$BE$51,MATCH($A126,campaigns!$A$2:$A$51,0))),""))</f>
        <v/>
      </c>
      <c r="K126" s="30" t="str">
        <f aca="false">IF($B126="","",IFERROR(IF(INDEX(offices!$O$2:$O$61,MATCH($B126,offices!$A$2:$A$61,0))="","",INDEX(offices!$O$2:$O$61,MATCH($B126,offices!$A$2:$A$61,0))),""))</f>
        <v/>
      </c>
      <c r="L126" s="30" t="str">
        <f aca="false">IF($A126="","",IF($Q126="N","",COUNTIFS($A$2:$A126,$A126,$Q$2:$Q126,"&lt;&gt;N")))</f>
        <v/>
      </c>
      <c r="M126" s="30" t="str">
        <f aca="false">IF(OR($A126="",$L126=""),"",IF(AND(config!$B$34="names_if_public",IFERROR(IF(INDEX(offices!$AG$2:$AG$61,MATCH($B126,offices!$A$2:$A$61,0))="","",INDEX(offices!$AG$2:$AG$61,MATCH($B126,offices!$A$2:$A$61,0))),"")="Y"),$K126,CHAR(64+$L126)))</f>
        <v/>
      </c>
      <c r="N126" s="30" t="str">
        <f aca="false">IF(OR($A126="",$I126=""),"",COUNTIFS(stops!$B$2:$B$151,$B126,stops!$P$2:$P$151,"&lt;"&amp;$I126,stops!$L$2:$L$151,"&lt;&gt;not_delivered")+1)</f>
        <v/>
      </c>
      <c r="O126" s="30" t="str">
        <f aca="false">IF($A126="","",IF(N($N126)&lt;=config!$B$29,"explicit","opt-out"))</f>
        <v/>
      </c>
      <c r="P126" s="30" t="str">
        <f aca="false">IF($A126="","",IF($O126="explicit",IF($D126="yes","Y",IF($D126="no","N","pending")),IF($D126="no","N",IF(AND($C126&lt;&gt;"",$I126&lt;&gt;"",$C126&lt;=WORKDAY(N($I126),-5,calendar!$A$2:$A$80)),"Y","pending"))))</f>
        <v/>
      </c>
      <c r="Q126" s="30" t="str">
        <f aca="false">IF($A126="","",IF($P126="N","N",IF($P126&lt;&gt;"Y","pending",IF(AND((COUNTIFS(stops!$A$2:$A$151,$H126,stops!$B$2:$B$151,$B126,stops!$L$2:$L$151,"declined")+COUNTIFS(stops!$A$2:$A$151,$H126,stops!$B$2:$B$151,$B126,stops!$L$2:$L$151,"building_refused")+COUNTIFS(stops!$A$2:$A$151,$H126,stops!$B$2:$B$151,$B126,stops!$L$2:$L$151,"not_delivered"))&gt;0,N($U126)=0),"N","Y"))))</f>
        <v/>
      </c>
      <c r="R126" s="30" t="str">
        <f aca="false">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30" t="str">
        <f aca="false">IF($A126="","",IF($G126&lt;&gt;"",$G126,IFERROR(IF(INDEX(offices!$AM$2:$AM$61,MATCH($B126,offices!$A$2:$A$61,0))="","",INDEX(offices!$AM$2:$AM$61,MATCH($B126,offices!$A$2:$A$61,0))),"")))</f>
        <v/>
      </c>
      <c r="T126" s="30" t="str">
        <f aca="false">IF($A126="","",$A126&amp;"."&amp;$B126)</f>
        <v/>
      </c>
      <c r="U126" s="30" t="str">
        <f aca="false">IF($A126="","",SUMIFS(inventory!$G$2:$G$801,inventory!$C$2:$C$801,$A126,inventory!$D$2:$D$801,$B126,inventory!$E$2:$E$801,"delivered"))</f>
        <v/>
      </c>
      <c r="V126" s="37" t="str">
        <f aca="false">IF($A126="","",IFERROR(1/(1/SUMPRODUCT(MAX((inventory!$C$2:$C$801=$A126)*(inventory!$D$2:$D$801=$B126)*(inventory!$E$2:$E$801="delivered")*(inventory!$A$2:$A$801+inventory!$B$2:$B$801)))),""))</f>
        <v/>
      </c>
      <c r="W126" s="30" t="str">
        <f aca="false">IF($A126="","",IFERROR(IF(INDEX(inventory!$J$2:$J$801,MATCH($A126&amp;"|"&amp;$B126&amp;"|delivered",inventory!$R$2:$R$801,0))="","",INDEX(inventory!$J$2:$J$801,MATCH($A126&amp;"|"&amp;$B126&amp;"|delivered",inventory!$R$2:$R$801,0))),""))</f>
        <v/>
      </c>
      <c r="X126" s="30" t="str">
        <f aca="false">IF($A126="","",IFERROR(IF(INDEX(photos!$H$2:$H$701,MATCH($A126&amp;"|"&amp;$B126&amp;"|placement|Y",photos!$R$2:$R$701,0))="","",INDEX(photos!$H$2:$H$701,MATCH($A126&amp;"|"&amp;$B126&amp;"|placement|Y",photos!$R$2:$R$701,0))),""))</f>
        <v/>
      </c>
      <c r="Y126" s="31" t="str">
        <f aca="false">IF($A126="","",IFERROR(IF(INDEX(photos!$E$2:$E$701,MATCH($A126&amp;"|"&amp;$B126&amp;"|placement|Y",photos!$R$2:$R$701,0))="","",INDEX(photos!$E$2:$E$701,MATCH($A126&amp;"|"&amp;$B126&amp;"|placement|Y",photos!$R$2:$R$701,0))),""))</f>
        <v/>
      </c>
      <c r="Z126" s="30" t="str">
        <f aca="false">IF($A126="","",IF(COUNTIFS(counts!$C$2:$C$701,$A126,counts!$D$2:$D$701,$B126,counts!$E$2:$E$701,"placed")=0,"",SUMIFS(counts!$F$2:$F$701,counts!$C$2:$C$701,$A126,counts!$D$2:$D$701,$B126,counts!$E$2:$E$701,"placed")))</f>
        <v/>
      </c>
      <c r="AA126" s="30" t="str">
        <f aca="false">IF($A126="","",IF($Y126="",0,N($Z126)))</f>
        <v/>
      </c>
      <c r="AB126" s="30" t="str">
        <f aca="false">IF($A126="","",IF(OR($Y126="",$I126=""),"N",IF($Y126&lt;=WORKDAY(N($I126),1,calendar!$A$2:$A$80),"Y","N")))</f>
        <v/>
      </c>
      <c r="AC126" s="33" t="str">
        <f aca="false">IF(OR($A126="",$V126="",$Y126=""),"",ROUND(($Y126+N(IFERROR(IF(INDEX(photos!$F$2:$F$701,MATCH($A126&amp;"|"&amp;$B126&amp;"|placement|Y",photos!$R$2:$R$701,0))="","",INDEX(photos!$F$2:$F$701,MATCH($A126&amp;"|"&amp;$B126&amp;"|placement|Y",photos!$R$2:$R$701,0))),""))-$V126)*24,1))</f>
        <v/>
      </c>
      <c r="AD126" s="30" t="str">
        <f aca="false">IF($A126="","",SUMIFS(inventory!$G$2:$G$801,inventory!$C$2:$C$801,$A126,inventory!$D$2:$D$801,$B126,inventory!$E$2:$E$801,"topped_up"))</f>
        <v/>
      </c>
      <c r="AE126" s="30" t="str">
        <f aca="false">IF($A126="","",IF(COUNTIFS(counts!$C$2:$C$701,$A126,counts!$D$2:$D$701,$B126,counts!$E$2:$E$701,"remaining_day3")=0,"",SUMIFS(counts!$F$2:$F$701,counts!$C$2:$C$701,$A126,counts!$D$2:$D$701,$B126,counts!$E$2:$E$701,"remaining_day3")))</f>
        <v/>
      </c>
      <c r="AF126" s="30" t="str">
        <f aca="false">IF($A126="","",IF(COUNTIFS(counts!$C$2:$C$701,$A126,counts!$D$2:$D$701,$B126,counts!$E$2:$E$701,"remaining_day5")=0,"",SUMIFS(counts!$F$2:$F$701,counts!$C$2:$C$701,$A126,counts!$D$2:$D$701,$B126,counts!$E$2:$E$701,"remaining_day5")))</f>
        <v/>
      </c>
      <c r="AG126" s="30" t="str">
        <f aca="false">IF(OR($A126="",$AF126=""),"",MAX(0,$AA126+$AD126-$AF126))</f>
        <v/>
      </c>
      <c r="AH126" s="30" t="str">
        <f aca="false">IF(OR($A126="",$AI126=""),"",IFERROR(IF(INDEX(photos!$H$2:$H$701,MATCH($A126&amp;"|"&amp;$B126&amp;"|later|Y|"&amp;$AI126,photos!$S$2:$S$701,0))="","",INDEX(photos!$H$2:$H$701,MATCH($A126&amp;"|"&amp;$B126&amp;"|later|Y|"&amp;$AI126,photos!$S$2:$S$701,0))),""))</f>
        <v/>
      </c>
      <c r="AI126" s="31" t="str">
        <f aca="false">IF($A126="","",IFERROR(1/(1/SUMPRODUCT(MAX((photos!$B$2:$B$701=$A126)*(photos!$C$2:$C$701=$B126)*(photos!$D$2:$D$701="later")*(photos!$O$2:$O$701="Y")*photos!$E$2:$E$701))),""))</f>
        <v/>
      </c>
      <c r="AJ126" s="30" t="str">
        <f aca="false">IF(OR($A126="",$AI126="",$I126=""),"",NETWORKDAYS($I126,$AI126,calendar!$A$2:$A$80))</f>
        <v/>
      </c>
      <c r="AK126" s="30" t="str">
        <f aca="false">IF($A126="","",IF(AND($X126&lt;&gt;"",$AH126&lt;&gt;""),"Y","N"))</f>
        <v/>
      </c>
      <c r="AL126" s="30" t="str">
        <f aca="true">IF(OR($A126="",$I126=""),"",IF($BC126="Y",SUMIFS(survey_frozen!$C$2:$C$251,survey_frozen!$P$2:$P$251,$A126&amp;"|"&amp;$B126),IFERROR(COUNTIFS(INDIRECT("'"&amp;$A126&amp;"'!$B$2:$B$501"),$T126,INDIRECT("'"&amp;$A126&amp;"'!$A$2:$A$501"),"&gt;="&amp;$I126,INDIRECT("'"&amp;$A126&amp;"'!$A$2:$A$501"),"&lt;"&amp;($BA126+1)),0)))</f>
        <v/>
      </c>
      <c r="AM126" s="30" t="str">
        <f aca="true">IF(OR($A126="",$I126=""),"",IF($BC126="Y",SUMIFS(survey_frozen!$D$2:$D$251,survey_frozen!$P$2:$P$251,$A126&amp;"|"&amp;$B126),IFERROR(COUNTIFS(INDIRECT("'"&amp;$A126&amp;"'!$B$2:$B$501"),$T126,INDIRECT("'"&amp;$A126&amp;"'!$A$2:$A$501"),"&gt;="&amp;$I126,INDIRECT("'"&amp;$A126&amp;"'!$A$2:$A$501"),"&lt;"&amp;($BA126+1),INDIRECT("'"&amp;$A126&amp;"'!$C$2:$C$501"),"Yes"),0)))</f>
        <v/>
      </c>
      <c r="AN126" s="30" t="str">
        <f aca="false">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30" t="str">
        <f aca="false">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30" t="str">
        <f aca="true">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30" t="str">
        <f aca="true">IF(OR($A126="",$I126=""),"",IF($BC126="Y",SUMIFS(survey_frozen!$E$2:$E$251,survey_frozen!$P$2:$P$251,$A126&amp;"|"&amp;$B126),IFERROR(COUNTIFS(INDIRECT("'"&amp;$A126&amp;"'!$B$2:$B$501"),$T126,INDIRECT("'"&amp;$A126&amp;"'!$A$2:$A$501"),"&gt;="&amp;$I126,INDIRECT("'"&amp;$A126&amp;"'!$A$2:$A$501"),"&lt;"&amp;($BA126+1),INDIRECT("'"&amp;$A126&amp;"'!$F$2:$F$501"),"Didn't see it"),0)))</f>
        <v/>
      </c>
      <c r="AR126" s="30" t="str">
        <f aca="true">IF(OR($A126="",$I126=""),"",IF($BC126="Y",SUMIFS(survey_frozen!$F$2:$F$251,survey_frozen!$P$2:$P$251,$A126&amp;"|"&amp;$B126),IFERROR(COUNTIFS(INDIRECT("'"&amp;$A126&amp;"'!$B$2:$B$501"),$T126,INDIRECT("'"&amp;$A126&amp;"'!$A$2:$A$501"),"&gt;="&amp;$I126,INDIRECT("'"&amp;$A126&amp;"'!$A$2:$A$501"),"&lt;"&amp;($BA126+1),INDIRECT("'"&amp;$A126&amp;"'!$F$2:$F$501"),"Not for me"),0)))</f>
        <v/>
      </c>
      <c r="AS126" s="30" t="str">
        <f aca="true">IF(OR($A126="",$I126=""),"",IF($BC126="Y",SUMIFS(survey_frozen!$G$2:$G$251,survey_frozen!$P$2:$P$251,$A126&amp;"|"&amp;$B126),IFERROR(COUNTIFS(INDIRECT("'"&amp;$A126&amp;"'!$B$2:$B$501"),$T126,INDIRECT("'"&amp;$A126&amp;"'!$A$2:$A$501"),"&gt;="&amp;$I126,INDIRECT("'"&amp;$A126&amp;"'!$A$2:$A$501"),"&lt;"&amp;($BA126+1),INDIRECT("'"&amp;$A126&amp;"'!$F$2:$F$501"),"Gone by the time I looked"),0)))</f>
        <v/>
      </c>
      <c r="AT126" s="30" t="str">
        <f aca="true">IF(OR($A126="",$I126=""),"",IF($BC126="Y",SUMIFS(survey_frozen!$H$2:$H$251,survey_frozen!$P$2:$P$251,$A126&amp;"|"&amp;$B126),IFERROR(COUNTIFS(INDIRECT("'"&amp;$A126&amp;"'!$B$2:$B$501"),$T126,INDIRECT("'"&amp;$A126&amp;"'!$A$2:$A$501"),"&gt;="&amp;$I126,INDIRECT("'"&amp;$A126&amp;"'!$A$2:$A$501"),"&lt;"&amp;($BA126+1),INDIRECT("'"&amp;$A126&amp;"'!$D$2:$D$501"),"&gt;=1"),0)))</f>
        <v/>
      </c>
      <c r="AU126" s="30" t="str">
        <f aca="true">IF(OR($A126="",$I126=""),"",IF($BC126="Y",SUMIFS(survey_frozen!$I$2:$I$251,survey_frozen!$P$2:$P$251,$A126&amp;"|"&amp;$B126),IFERROR(SUMIFS(INDIRECT("'"&amp;$A126&amp;"'!$D$2:$D$501"),INDIRECT("'"&amp;$A126&amp;"'!$B$2:$B$501"),$T126,INDIRECT("'"&amp;$A126&amp;"'!$A$2:$A$501"),"&gt;="&amp;$I126,INDIRECT("'"&amp;$A126&amp;"'!$A$2:$A$501"),"&lt;"&amp;($BA126+1)),0)))</f>
        <v/>
      </c>
      <c r="AV126" s="30" t="str">
        <f aca="true">IF(OR($A126="",$I126=""),"",IF($BC126="Y",SUMIFS(survey_frozen!$J$2:$J$251,survey_frozen!$P$2:$P$251,$A126&amp;"|"&amp;$B126),IFERROR(COUNTIFS(INDIRECT("'"&amp;$A126&amp;"'!$B$2:$B$501"),$T126,INDIRECT("'"&amp;$A126&amp;"'!$A$2:$A$501"),"&gt;="&amp;$I126,INDIRECT("'"&amp;$A126&amp;"'!$A$2:$A$501"),"&lt;"&amp;($BA126+1),INDIRECT("'"&amp;$A126&amp;"'!$E$2:$E$501"),"Yes"),0)))</f>
        <v/>
      </c>
      <c r="AW126" s="30" t="str">
        <f aca="true">IF(OR($A126="",$I126=""),"",IF($BC126="Y",SUMIFS(survey_frozen!$K$2:$K$251,survey_frozen!$P$2:$P$251,$A126&amp;"|"&amp;$B126),IFERROR(COUNTIFS(INDIRECT("'"&amp;$A126&amp;"'!$B$2:$B$501"),$T126,INDIRECT("'"&amp;$A126&amp;"'!$A$2:$A$501"),"&gt;="&amp;$I126,INDIRECT("'"&amp;$A126&amp;"'!$A$2:$A$501"),"&lt;"&amp;($BA126+1),INDIRECT("'"&amp;$A126&amp;"'!$E$2:$E$501"),"Maybe"),0)))</f>
        <v/>
      </c>
      <c r="AX126" s="30" t="str">
        <f aca="true">IF(OR($A126="",$I126=""),"",IF($BC126="Y",SUMIFS(survey_frozen!$L$2:$L$251,survey_frozen!$P$2:$P$251,$A126&amp;"|"&amp;$B126),IFERROR(COUNTIFS(INDIRECT("'"&amp;$A126&amp;"'!$B$2:$B$501"),$T126,INDIRECT("'"&amp;$A126&amp;"'!$A$2:$A$501"),"&gt;="&amp;$I126,INDIRECT("'"&amp;$A126&amp;"'!$A$2:$A$501"),"&lt;"&amp;($BA126+1),INDIRECT("'"&amp;$A126&amp;"'!$E$2:$E$501"),"No"),0)))</f>
        <v/>
      </c>
      <c r="AY126" s="30" t="str">
        <f aca="true">IF(OR($A126="",$I126=""),"",IF($BC126="Y",SUMIFS(survey_frozen!$M$2:$M$251,survey_frozen!$P$2:$P$251,$A126&amp;"|"&amp;$B126),IFERROR(COUNTIFS(INDIRECT("'"&amp;$A126&amp;"'!$B$2:$B$501"),$T126,INDIRECT("'"&amp;$A126&amp;"'!$A$2:$A$501"),"&gt;="&amp;$I126,INDIRECT("'"&amp;$A126&amp;"'!$A$2:$A$501"),"&lt;"&amp;($BA126+1),INDIRECT("'"&amp;$A126&amp;"'!$G$2:$G$501"),"&lt;&gt;"),0)))</f>
        <v/>
      </c>
      <c r="AZ126" s="30" t="str">
        <f aca="false">IF($A126="","",$A126&amp;"|"&amp;$L126)</f>
        <v/>
      </c>
      <c r="BA126" s="31" t="str">
        <f aca="false">IF($A126="","",IFERROR(IF(INDEX(drops!$R$2:$R$21,MATCH($H126,drops!$A$2:$A$21,0))="","",INDEX(drops!$R$2:$R$21,MATCH($H126,drops!$A$2:$A$21,0))),""))</f>
        <v/>
      </c>
      <c r="BB126" s="30" t="n">
        <f aca="false">IF(OR($A126="",$Q126&lt;&gt;"Y"),1000000,N($AL126))</f>
        <v>1000000</v>
      </c>
      <c r="BC126" s="30" t="str">
        <f aca="false">IF($A126="","",IF(COUNTIF(survey_frozen!$P$2:$P$251,$A126&amp;"|"&amp;$B126)&gt;0,"Y",""))</f>
        <v/>
      </c>
      <c r="BD126" s="30" t="str">
        <f aca="false">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ustomFormat="false" ht="15" hidden="false" customHeight="false" outlineLevel="0" collapsed="false">
      <c r="C127" s="11"/>
      <c r="D127" s="10"/>
      <c r="E127" s="11"/>
      <c r="H127" s="30" t="str">
        <f aca="false">IF($A127="","",IFERROR(IF(INDEX(campaigns!$B$2:$B$51,MATCH($A127,campaigns!$A$2:$A$51,0))="","",INDEX(campaigns!$B$2:$B$51,MATCH($A127,campaigns!$A$2:$A$51,0))),""))</f>
        <v/>
      </c>
      <c r="I127" s="31" t="str">
        <f aca="false">IF($A127="","",IFERROR(IF(INDEX(campaigns!$BG$2:$BG$51,MATCH($A127,campaigns!$A$2:$A$51,0))="","",INDEX(campaigns!$BG$2:$BG$51,MATCH($A127,campaigns!$A$2:$A$51,0))),""))</f>
        <v/>
      </c>
      <c r="J127" s="30" t="str">
        <f aca="false">IF($A127="","",IFERROR(IF(INDEX(campaigns!$BE$2:$BE$51,MATCH($A127,campaigns!$A$2:$A$51,0))="","",INDEX(campaigns!$BE$2:$BE$51,MATCH($A127,campaigns!$A$2:$A$51,0))),""))</f>
        <v/>
      </c>
      <c r="K127" s="30" t="str">
        <f aca="false">IF($B127="","",IFERROR(IF(INDEX(offices!$O$2:$O$61,MATCH($B127,offices!$A$2:$A$61,0))="","",INDEX(offices!$O$2:$O$61,MATCH($B127,offices!$A$2:$A$61,0))),""))</f>
        <v/>
      </c>
      <c r="L127" s="30" t="str">
        <f aca="false">IF($A127="","",IF($Q127="N","",COUNTIFS($A$2:$A127,$A127,$Q$2:$Q127,"&lt;&gt;N")))</f>
        <v/>
      </c>
      <c r="M127" s="30" t="str">
        <f aca="false">IF(OR($A127="",$L127=""),"",IF(AND(config!$B$34="names_if_public",IFERROR(IF(INDEX(offices!$AG$2:$AG$61,MATCH($B127,offices!$A$2:$A$61,0))="","",INDEX(offices!$AG$2:$AG$61,MATCH($B127,offices!$A$2:$A$61,0))),"")="Y"),$K127,CHAR(64+$L127)))</f>
        <v/>
      </c>
      <c r="N127" s="30" t="str">
        <f aca="false">IF(OR($A127="",$I127=""),"",COUNTIFS(stops!$B$2:$B$151,$B127,stops!$P$2:$P$151,"&lt;"&amp;$I127,stops!$L$2:$L$151,"&lt;&gt;not_delivered")+1)</f>
        <v/>
      </c>
      <c r="O127" s="30" t="str">
        <f aca="false">IF($A127="","",IF(N($N127)&lt;=config!$B$29,"explicit","opt-out"))</f>
        <v/>
      </c>
      <c r="P127" s="30" t="str">
        <f aca="false">IF($A127="","",IF($O127="explicit",IF($D127="yes","Y",IF($D127="no","N","pending")),IF($D127="no","N",IF(AND($C127&lt;&gt;"",$I127&lt;&gt;"",$C127&lt;=WORKDAY(N($I127),-5,calendar!$A$2:$A$80)),"Y","pending"))))</f>
        <v/>
      </c>
      <c r="Q127" s="30" t="str">
        <f aca="false">IF($A127="","",IF($P127="N","N",IF($P127&lt;&gt;"Y","pending",IF(AND((COUNTIFS(stops!$A$2:$A$151,$H127,stops!$B$2:$B$151,$B127,stops!$L$2:$L$151,"declined")+COUNTIFS(stops!$A$2:$A$151,$H127,stops!$B$2:$B$151,$B127,stops!$L$2:$L$151,"building_refused")+COUNTIFS(stops!$A$2:$A$151,$H127,stops!$B$2:$B$151,$B127,stops!$L$2:$L$151,"not_delivered"))&gt;0,N($U127)=0),"N","Y"))))</f>
        <v/>
      </c>
      <c r="R127" s="30" t="str">
        <f aca="false">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30" t="str">
        <f aca="false">IF($A127="","",IF($G127&lt;&gt;"",$G127,IFERROR(IF(INDEX(offices!$AM$2:$AM$61,MATCH($B127,offices!$A$2:$A$61,0))="","",INDEX(offices!$AM$2:$AM$61,MATCH($B127,offices!$A$2:$A$61,0))),"")))</f>
        <v/>
      </c>
      <c r="T127" s="30" t="str">
        <f aca="false">IF($A127="","",$A127&amp;"."&amp;$B127)</f>
        <v/>
      </c>
      <c r="U127" s="30" t="str">
        <f aca="false">IF($A127="","",SUMIFS(inventory!$G$2:$G$801,inventory!$C$2:$C$801,$A127,inventory!$D$2:$D$801,$B127,inventory!$E$2:$E$801,"delivered"))</f>
        <v/>
      </c>
      <c r="V127" s="37" t="str">
        <f aca="false">IF($A127="","",IFERROR(1/(1/SUMPRODUCT(MAX((inventory!$C$2:$C$801=$A127)*(inventory!$D$2:$D$801=$B127)*(inventory!$E$2:$E$801="delivered")*(inventory!$A$2:$A$801+inventory!$B$2:$B$801)))),""))</f>
        <v/>
      </c>
      <c r="W127" s="30" t="str">
        <f aca="false">IF($A127="","",IFERROR(IF(INDEX(inventory!$J$2:$J$801,MATCH($A127&amp;"|"&amp;$B127&amp;"|delivered",inventory!$R$2:$R$801,0))="","",INDEX(inventory!$J$2:$J$801,MATCH($A127&amp;"|"&amp;$B127&amp;"|delivered",inventory!$R$2:$R$801,0))),""))</f>
        <v/>
      </c>
      <c r="X127" s="30" t="str">
        <f aca="false">IF($A127="","",IFERROR(IF(INDEX(photos!$H$2:$H$701,MATCH($A127&amp;"|"&amp;$B127&amp;"|placement|Y",photos!$R$2:$R$701,0))="","",INDEX(photos!$H$2:$H$701,MATCH($A127&amp;"|"&amp;$B127&amp;"|placement|Y",photos!$R$2:$R$701,0))),""))</f>
        <v/>
      </c>
      <c r="Y127" s="31" t="str">
        <f aca="false">IF($A127="","",IFERROR(IF(INDEX(photos!$E$2:$E$701,MATCH($A127&amp;"|"&amp;$B127&amp;"|placement|Y",photos!$R$2:$R$701,0))="","",INDEX(photos!$E$2:$E$701,MATCH($A127&amp;"|"&amp;$B127&amp;"|placement|Y",photos!$R$2:$R$701,0))),""))</f>
        <v/>
      </c>
      <c r="Z127" s="30" t="str">
        <f aca="false">IF($A127="","",IF(COUNTIFS(counts!$C$2:$C$701,$A127,counts!$D$2:$D$701,$B127,counts!$E$2:$E$701,"placed")=0,"",SUMIFS(counts!$F$2:$F$701,counts!$C$2:$C$701,$A127,counts!$D$2:$D$701,$B127,counts!$E$2:$E$701,"placed")))</f>
        <v/>
      </c>
      <c r="AA127" s="30" t="str">
        <f aca="false">IF($A127="","",IF($Y127="",0,N($Z127)))</f>
        <v/>
      </c>
      <c r="AB127" s="30" t="str">
        <f aca="false">IF($A127="","",IF(OR($Y127="",$I127=""),"N",IF($Y127&lt;=WORKDAY(N($I127),1,calendar!$A$2:$A$80),"Y","N")))</f>
        <v/>
      </c>
      <c r="AC127" s="33" t="str">
        <f aca="false">IF(OR($A127="",$V127="",$Y127=""),"",ROUND(($Y127+N(IFERROR(IF(INDEX(photos!$F$2:$F$701,MATCH($A127&amp;"|"&amp;$B127&amp;"|placement|Y",photos!$R$2:$R$701,0))="","",INDEX(photos!$F$2:$F$701,MATCH($A127&amp;"|"&amp;$B127&amp;"|placement|Y",photos!$R$2:$R$701,0))),""))-$V127)*24,1))</f>
        <v/>
      </c>
      <c r="AD127" s="30" t="str">
        <f aca="false">IF($A127="","",SUMIFS(inventory!$G$2:$G$801,inventory!$C$2:$C$801,$A127,inventory!$D$2:$D$801,$B127,inventory!$E$2:$E$801,"topped_up"))</f>
        <v/>
      </c>
      <c r="AE127" s="30" t="str">
        <f aca="false">IF($A127="","",IF(COUNTIFS(counts!$C$2:$C$701,$A127,counts!$D$2:$D$701,$B127,counts!$E$2:$E$701,"remaining_day3")=0,"",SUMIFS(counts!$F$2:$F$701,counts!$C$2:$C$701,$A127,counts!$D$2:$D$701,$B127,counts!$E$2:$E$701,"remaining_day3")))</f>
        <v/>
      </c>
      <c r="AF127" s="30" t="str">
        <f aca="false">IF($A127="","",IF(COUNTIFS(counts!$C$2:$C$701,$A127,counts!$D$2:$D$701,$B127,counts!$E$2:$E$701,"remaining_day5")=0,"",SUMIFS(counts!$F$2:$F$701,counts!$C$2:$C$701,$A127,counts!$D$2:$D$701,$B127,counts!$E$2:$E$701,"remaining_day5")))</f>
        <v/>
      </c>
      <c r="AG127" s="30" t="str">
        <f aca="false">IF(OR($A127="",$AF127=""),"",MAX(0,$AA127+$AD127-$AF127))</f>
        <v/>
      </c>
      <c r="AH127" s="30" t="str">
        <f aca="false">IF(OR($A127="",$AI127=""),"",IFERROR(IF(INDEX(photos!$H$2:$H$701,MATCH($A127&amp;"|"&amp;$B127&amp;"|later|Y|"&amp;$AI127,photos!$S$2:$S$701,0))="","",INDEX(photos!$H$2:$H$701,MATCH($A127&amp;"|"&amp;$B127&amp;"|later|Y|"&amp;$AI127,photos!$S$2:$S$701,0))),""))</f>
        <v/>
      </c>
      <c r="AI127" s="31" t="str">
        <f aca="false">IF($A127="","",IFERROR(1/(1/SUMPRODUCT(MAX((photos!$B$2:$B$701=$A127)*(photos!$C$2:$C$701=$B127)*(photos!$D$2:$D$701="later")*(photos!$O$2:$O$701="Y")*photos!$E$2:$E$701))),""))</f>
        <v/>
      </c>
      <c r="AJ127" s="30" t="str">
        <f aca="false">IF(OR($A127="",$AI127="",$I127=""),"",NETWORKDAYS($I127,$AI127,calendar!$A$2:$A$80))</f>
        <v/>
      </c>
      <c r="AK127" s="30" t="str">
        <f aca="false">IF($A127="","",IF(AND($X127&lt;&gt;"",$AH127&lt;&gt;""),"Y","N"))</f>
        <v/>
      </c>
      <c r="AL127" s="30" t="str">
        <f aca="true">IF(OR($A127="",$I127=""),"",IF($BC127="Y",SUMIFS(survey_frozen!$C$2:$C$251,survey_frozen!$P$2:$P$251,$A127&amp;"|"&amp;$B127),IFERROR(COUNTIFS(INDIRECT("'"&amp;$A127&amp;"'!$B$2:$B$501"),$T127,INDIRECT("'"&amp;$A127&amp;"'!$A$2:$A$501"),"&gt;="&amp;$I127,INDIRECT("'"&amp;$A127&amp;"'!$A$2:$A$501"),"&lt;"&amp;($BA127+1)),0)))</f>
        <v/>
      </c>
      <c r="AM127" s="30" t="str">
        <f aca="true">IF(OR($A127="",$I127=""),"",IF($BC127="Y",SUMIFS(survey_frozen!$D$2:$D$251,survey_frozen!$P$2:$P$251,$A127&amp;"|"&amp;$B127),IFERROR(COUNTIFS(INDIRECT("'"&amp;$A127&amp;"'!$B$2:$B$501"),$T127,INDIRECT("'"&amp;$A127&amp;"'!$A$2:$A$501"),"&gt;="&amp;$I127,INDIRECT("'"&amp;$A127&amp;"'!$A$2:$A$501"),"&lt;"&amp;($BA127+1),INDIRECT("'"&amp;$A127&amp;"'!$C$2:$C$501"),"Yes"),0)))</f>
        <v/>
      </c>
      <c r="AN127" s="30" t="str">
        <f aca="false">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30" t="str">
        <f aca="false">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30" t="str">
        <f aca="true">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30" t="str">
        <f aca="true">IF(OR($A127="",$I127=""),"",IF($BC127="Y",SUMIFS(survey_frozen!$E$2:$E$251,survey_frozen!$P$2:$P$251,$A127&amp;"|"&amp;$B127),IFERROR(COUNTIFS(INDIRECT("'"&amp;$A127&amp;"'!$B$2:$B$501"),$T127,INDIRECT("'"&amp;$A127&amp;"'!$A$2:$A$501"),"&gt;="&amp;$I127,INDIRECT("'"&amp;$A127&amp;"'!$A$2:$A$501"),"&lt;"&amp;($BA127+1),INDIRECT("'"&amp;$A127&amp;"'!$F$2:$F$501"),"Didn't see it"),0)))</f>
        <v/>
      </c>
      <c r="AR127" s="30" t="str">
        <f aca="true">IF(OR($A127="",$I127=""),"",IF($BC127="Y",SUMIFS(survey_frozen!$F$2:$F$251,survey_frozen!$P$2:$P$251,$A127&amp;"|"&amp;$B127),IFERROR(COUNTIFS(INDIRECT("'"&amp;$A127&amp;"'!$B$2:$B$501"),$T127,INDIRECT("'"&amp;$A127&amp;"'!$A$2:$A$501"),"&gt;="&amp;$I127,INDIRECT("'"&amp;$A127&amp;"'!$A$2:$A$501"),"&lt;"&amp;($BA127+1),INDIRECT("'"&amp;$A127&amp;"'!$F$2:$F$501"),"Not for me"),0)))</f>
        <v/>
      </c>
      <c r="AS127" s="30" t="str">
        <f aca="true">IF(OR($A127="",$I127=""),"",IF($BC127="Y",SUMIFS(survey_frozen!$G$2:$G$251,survey_frozen!$P$2:$P$251,$A127&amp;"|"&amp;$B127),IFERROR(COUNTIFS(INDIRECT("'"&amp;$A127&amp;"'!$B$2:$B$501"),$T127,INDIRECT("'"&amp;$A127&amp;"'!$A$2:$A$501"),"&gt;="&amp;$I127,INDIRECT("'"&amp;$A127&amp;"'!$A$2:$A$501"),"&lt;"&amp;($BA127+1),INDIRECT("'"&amp;$A127&amp;"'!$F$2:$F$501"),"Gone by the time I looked"),0)))</f>
        <v/>
      </c>
      <c r="AT127" s="30" t="str">
        <f aca="true">IF(OR($A127="",$I127=""),"",IF($BC127="Y",SUMIFS(survey_frozen!$H$2:$H$251,survey_frozen!$P$2:$P$251,$A127&amp;"|"&amp;$B127),IFERROR(COUNTIFS(INDIRECT("'"&amp;$A127&amp;"'!$B$2:$B$501"),$T127,INDIRECT("'"&amp;$A127&amp;"'!$A$2:$A$501"),"&gt;="&amp;$I127,INDIRECT("'"&amp;$A127&amp;"'!$A$2:$A$501"),"&lt;"&amp;($BA127+1),INDIRECT("'"&amp;$A127&amp;"'!$D$2:$D$501"),"&gt;=1"),0)))</f>
        <v/>
      </c>
      <c r="AU127" s="30" t="str">
        <f aca="true">IF(OR($A127="",$I127=""),"",IF($BC127="Y",SUMIFS(survey_frozen!$I$2:$I$251,survey_frozen!$P$2:$P$251,$A127&amp;"|"&amp;$B127),IFERROR(SUMIFS(INDIRECT("'"&amp;$A127&amp;"'!$D$2:$D$501"),INDIRECT("'"&amp;$A127&amp;"'!$B$2:$B$501"),$T127,INDIRECT("'"&amp;$A127&amp;"'!$A$2:$A$501"),"&gt;="&amp;$I127,INDIRECT("'"&amp;$A127&amp;"'!$A$2:$A$501"),"&lt;"&amp;($BA127+1)),0)))</f>
        <v/>
      </c>
      <c r="AV127" s="30" t="str">
        <f aca="true">IF(OR($A127="",$I127=""),"",IF($BC127="Y",SUMIFS(survey_frozen!$J$2:$J$251,survey_frozen!$P$2:$P$251,$A127&amp;"|"&amp;$B127),IFERROR(COUNTIFS(INDIRECT("'"&amp;$A127&amp;"'!$B$2:$B$501"),$T127,INDIRECT("'"&amp;$A127&amp;"'!$A$2:$A$501"),"&gt;="&amp;$I127,INDIRECT("'"&amp;$A127&amp;"'!$A$2:$A$501"),"&lt;"&amp;($BA127+1),INDIRECT("'"&amp;$A127&amp;"'!$E$2:$E$501"),"Yes"),0)))</f>
        <v/>
      </c>
      <c r="AW127" s="30" t="str">
        <f aca="true">IF(OR($A127="",$I127=""),"",IF($BC127="Y",SUMIFS(survey_frozen!$K$2:$K$251,survey_frozen!$P$2:$P$251,$A127&amp;"|"&amp;$B127),IFERROR(COUNTIFS(INDIRECT("'"&amp;$A127&amp;"'!$B$2:$B$501"),$T127,INDIRECT("'"&amp;$A127&amp;"'!$A$2:$A$501"),"&gt;="&amp;$I127,INDIRECT("'"&amp;$A127&amp;"'!$A$2:$A$501"),"&lt;"&amp;($BA127+1),INDIRECT("'"&amp;$A127&amp;"'!$E$2:$E$501"),"Maybe"),0)))</f>
        <v/>
      </c>
      <c r="AX127" s="30" t="str">
        <f aca="true">IF(OR($A127="",$I127=""),"",IF($BC127="Y",SUMIFS(survey_frozen!$L$2:$L$251,survey_frozen!$P$2:$P$251,$A127&amp;"|"&amp;$B127),IFERROR(COUNTIFS(INDIRECT("'"&amp;$A127&amp;"'!$B$2:$B$501"),$T127,INDIRECT("'"&amp;$A127&amp;"'!$A$2:$A$501"),"&gt;="&amp;$I127,INDIRECT("'"&amp;$A127&amp;"'!$A$2:$A$501"),"&lt;"&amp;($BA127+1),INDIRECT("'"&amp;$A127&amp;"'!$E$2:$E$501"),"No"),0)))</f>
        <v/>
      </c>
      <c r="AY127" s="30" t="str">
        <f aca="true">IF(OR($A127="",$I127=""),"",IF($BC127="Y",SUMIFS(survey_frozen!$M$2:$M$251,survey_frozen!$P$2:$P$251,$A127&amp;"|"&amp;$B127),IFERROR(COUNTIFS(INDIRECT("'"&amp;$A127&amp;"'!$B$2:$B$501"),$T127,INDIRECT("'"&amp;$A127&amp;"'!$A$2:$A$501"),"&gt;="&amp;$I127,INDIRECT("'"&amp;$A127&amp;"'!$A$2:$A$501"),"&lt;"&amp;($BA127+1),INDIRECT("'"&amp;$A127&amp;"'!$G$2:$G$501"),"&lt;&gt;"),0)))</f>
        <v/>
      </c>
      <c r="AZ127" s="30" t="str">
        <f aca="false">IF($A127="","",$A127&amp;"|"&amp;$L127)</f>
        <v/>
      </c>
      <c r="BA127" s="31" t="str">
        <f aca="false">IF($A127="","",IFERROR(IF(INDEX(drops!$R$2:$R$21,MATCH($H127,drops!$A$2:$A$21,0))="","",INDEX(drops!$R$2:$R$21,MATCH($H127,drops!$A$2:$A$21,0))),""))</f>
        <v/>
      </c>
      <c r="BB127" s="30" t="n">
        <f aca="false">IF(OR($A127="",$Q127&lt;&gt;"Y"),1000000,N($AL127))</f>
        <v>1000000</v>
      </c>
      <c r="BC127" s="30" t="str">
        <f aca="false">IF($A127="","",IF(COUNTIF(survey_frozen!$P$2:$P$251,$A127&amp;"|"&amp;$B127)&gt;0,"Y",""))</f>
        <v/>
      </c>
      <c r="BD127" s="30" t="str">
        <f aca="false">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ustomFormat="false" ht="15" hidden="false" customHeight="false" outlineLevel="0" collapsed="false">
      <c r="C128" s="11"/>
      <c r="D128" s="10"/>
      <c r="E128" s="11"/>
      <c r="H128" s="30" t="str">
        <f aca="false">IF($A128="","",IFERROR(IF(INDEX(campaigns!$B$2:$B$51,MATCH($A128,campaigns!$A$2:$A$51,0))="","",INDEX(campaigns!$B$2:$B$51,MATCH($A128,campaigns!$A$2:$A$51,0))),""))</f>
        <v/>
      </c>
      <c r="I128" s="31" t="str">
        <f aca="false">IF($A128="","",IFERROR(IF(INDEX(campaigns!$BG$2:$BG$51,MATCH($A128,campaigns!$A$2:$A$51,0))="","",INDEX(campaigns!$BG$2:$BG$51,MATCH($A128,campaigns!$A$2:$A$51,0))),""))</f>
        <v/>
      </c>
      <c r="J128" s="30" t="str">
        <f aca="false">IF($A128="","",IFERROR(IF(INDEX(campaigns!$BE$2:$BE$51,MATCH($A128,campaigns!$A$2:$A$51,0))="","",INDEX(campaigns!$BE$2:$BE$51,MATCH($A128,campaigns!$A$2:$A$51,0))),""))</f>
        <v/>
      </c>
      <c r="K128" s="30" t="str">
        <f aca="false">IF($B128="","",IFERROR(IF(INDEX(offices!$O$2:$O$61,MATCH($B128,offices!$A$2:$A$61,0))="","",INDEX(offices!$O$2:$O$61,MATCH($B128,offices!$A$2:$A$61,0))),""))</f>
        <v/>
      </c>
      <c r="L128" s="30" t="str">
        <f aca="false">IF($A128="","",IF($Q128="N","",COUNTIFS($A$2:$A128,$A128,$Q$2:$Q128,"&lt;&gt;N")))</f>
        <v/>
      </c>
      <c r="M128" s="30" t="str">
        <f aca="false">IF(OR($A128="",$L128=""),"",IF(AND(config!$B$34="names_if_public",IFERROR(IF(INDEX(offices!$AG$2:$AG$61,MATCH($B128,offices!$A$2:$A$61,0))="","",INDEX(offices!$AG$2:$AG$61,MATCH($B128,offices!$A$2:$A$61,0))),"")="Y"),$K128,CHAR(64+$L128)))</f>
        <v/>
      </c>
      <c r="N128" s="30" t="str">
        <f aca="false">IF(OR($A128="",$I128=""),"",COUNTIFS(stops!$B$2:$B$151,$B128,stops!$P$2:$P$151,"&lt;"&amp;$I128,stops!$L$2:$L$151,"&lt;&gt;not_delivered")+1)</f>
        <v/>
      </c>
      <c r="O128" s="30" t="str">
        <f aca="false">IF($A128="","",IF(N($N128)&lt;=config!$B$29,"explicit","opt-out"))</f>
        <v/>
      </c>
      <c r="P128" s="30" t="str">
        <f aca="false">IF($A128="","",IF($O128="explicit",IF($D128="yes","Y",IF($D128="no","N","pending")),IF($D128="no","N",IF(AND($C128&lt;&gt;"",$I128&lt;&gt;"",$C128&lt;=WORKDAY(N($I128),-5,calendar!$A$2:$A$80)),"Y","pending"))))</f>
        <v/>
      </c>
      <c r="Q128" s="30" t="str">
        <f aca="false">IF($A128="","",IF($P128="N","N",IF($P128&lt;&gt;"Y","pending",IF(AND((COUNTIFS(stops!$A$2:$A$151,$H128,stops!$B$2:$B$151,$B128,stops!$L$2:$L$151,"declined")+COUNTIFS(stops!$A$2:$A$151,$H128,stops!$B$2:$B$151,$B128,stops!$L$2:$L$151,"building_refused")+COUNTIFS(stops!$A$2:$A$151,$H128,stops!$B$2:$B$151,$B128,stops!$L$2:$L$151,"not_delivered"))&gt;0,N($U128)=0),"N","Y"))))</f>
        <v/>
      </c>
      <c r="R128" s="30" t="str">
        <f aca="false">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30" t="str">
        <f aca="false">IF($A128="","",IF($G128&lt;&gt;"",$G128,IFERROR(IF(INDEX(offices!$AM$2:$AM$61,MATCH($B128,offices!$A$2:$A$61,0))="","",INDEX(offices!$AM$2:$AM$61,MATCH($B128,offices!$A$2:$A$61,0))),"")))</f>
        <v/>
      </c>
      <c r="T128" s="30" t="str">
        <f aca="false">IF($A128="","",$A128&amp;"."&amp;$B128)</f>
        <v/>
      </c>
      <c r="U128" s="30" t="str">
        <f aca="false">IF($A128="","",SUMIFS(inventory!$G$2:$G$801,inventory!$C$2:$C$801,$A128,inventory!$D$2:$D$801,$B128,inventory!$E$2:$E$801,"delivered"))</f>
        <v/>
      </c>
      <c r="V128" s="37" t="str">
        <f aca="false">IF($A128="","",IFERROR(1/(1/SUMPRODUCT(MAX((inventory!$C$2:$C$801=$A128)*(inventory!$D$2:$D$801=$B128)*(inventory!$E$2:$E$801="delivered")*(inventory!$A$2:$A$801+inventory!$B$2:$B$801)))),""))</f>
        <v/>
      </c>
      <c r="W128" s="30" t="str">
        <f aca="false">IF($A128="","",IFERROR(IF(INDEX(inventory!$J$2:$J$801,MATCH($A128&amp;"|"&amp;$B128&amp;"|delivered",inventory!$R$2:$R$801,0))="","",INDEX(inventory!$J$2:$J$801,MATCH($A128&amp;"|"&amp;$B128&amp;"|delivered",inventory!$R$2:$R$801,0))),""))</f>
        <v/>
      </c>
      <c r="X128" s="30" t="str">
        <f aca="false">IF($A128="","",IFERROR(IF(INDEX(photos!$H$2:$H$701,MATCH($A128&amp;"|"&amp;$B128&amp;"|placement|Y",photos!$R$2:$R$701,0))="","",INDEX(photos!$H$2:$H$701,MATCH($A128&amp;"|"&amp;$B128&amp;"|placement|Y",photos!$R$2:$R$701,0))),""))</f>
        <v/>
      </c>
      <c r="Y128" s="31" t="str">
        <f aca="false">IF($A128="","",IFERROR(IF(INDEX(photos!$E$2:$E$701,MATCH($A128&amp;"|"&amp;$B128&amp;"|placement|Y",photos!$R$2:$R$701,0))="","",INDEX(photos!$E$2:$E$701,MATCH($A128&amp;"|"&amp;$B128&amp;"|placement|Y",photos!$R$2:$R$701,0))),""))</f>
        <v/>
      </c>
      <c r="Z128" s="30" t="str">
        <f aca="false">IF($A128="","",IF(COUNTIFS(counts!$C$2:$C$701,$A128,counts!$D$2:$D$701,$B128,counts!$E$2:$E$701,"placed")=0,"",SUMIFS(counts!$F$2:$F$701,counts!$C$2:$C$701,$A128,counts!$D$2:$D$701,$B128,counts!$E$2:$E$701,"placed")))</f>
        <v/>
      </c>
      <c r="AA128" s="30" t="str">
        <f aca="false">IF($A128="","",IF($Y128="",0,N($Z128)))</f>
        <v/>
      </c>
      <c r="AB128" s="30" t="str">
        <f aca="false">IF($A128="","",IF(OR($Y128="",$I128=""),"N",IF($Y128&lt;=WORKDAY(N($I128),1,calendar!$A$2:$A$80),"Y","N")))</f>
        <v/>
      </c>
      <c r="AC128" s="33" t="str">
        <f aca="false">IF(OR($A128="",$V128="",$Y128=""),"",ROUND(($Y128+N(IFERROR(IF(INDEX(photos!$F$2:$F$701,MATCH($A128&amp;"|"&amp;$B128&amp;"|placement|Y",photos!$R$2:$R$701,0))="","",INDEX(photos!$F$2:$F$701,MATCH($A128&amp;"|"&amp;$B128&amp;"|placement|Y",photos!$R$2:$R$701,0))),""))-$V128)*24,1))</f>
        <v/>
      </c>
      <c r="AD128" s="30" t="str">
        <f aca="false">IF($A128="","",SUMIFS(inventory!$G$2:$G$801,inventory!$C$2:$C$801,$A128,inventory!$D$2:$D$801,$B128,inventory!$E$2:$E$801,"topped_up"))</f>
        <v/>
      </c>
      <c r="AE128" s="30" t="str">
        <f aca="false">IF($A128="","",IF(COUNTIFS(counts!$C$2:$C$701,$A128,counts!$D$2:$D$701,$B128,counts!$E$2:$E$701,"remaining_day3")=0,"",SUMIFS(counts!$F$2:$F$701,counts!$C$2:$C$701,$A128,counts!$D$2:$D$701,$B128,counts!$E$2:$E$701,"remaining_day3")))</f>
        <v/>
      </c>
      <c r="AF128" s="30" t="str">
        <f aca="false">IF($A128="","",IF(COUNTIFS(counts!$C$2:$C$701,$A128,counts!$D$2:$D$701,$B128,counts!$E$2:$E$701,"remaining_day5")=0,"",SUMIFS(counts!$F$2:$F$701,counts!$C$2:$C$701,$A128,counts!$D$2:$D$701,$B128,counts!$E$2:$E$701,"remaining_day5")))</f>
        <v/>
      </c>
      <c r="AG128" s="30" t="str">
        <f aca="false">IF(OR($A128="",$AF128=""),"",MAX(0,$AA128+$AD128-$AF128))</f>
        <v/>
      </c>
      <c r="AH128" s="30" t="str">
        <f aca="false">IF(OR($A128="",$AI128=""),"",IFERROR(IF(INDEX(photos!$H$2:$H$701,MATCH($A128&amp;"|"&amp;$B128&amp;"|later|Y|"&amp;$AI128,photos!$S$2:$S$701,0))="","",INDEX(photos!$H$2:$H$701,MATCH($A128&amp;"|"&amp;$B128&amp;"|later|Y|"&amp;$AI128,photos!$S$2:$S$701,0))),""))</f>
        <v/>
      </c>
      <c r="AI128" s="31" t="str">
        <f aca="false">IF($A128="","",IFERROR(1/(1/SUMPRODUCT(MAX((photos!$B$2:$B$701=$A128)*(photos!$C$2:$C$701=$B128)*(photos!$D$2:$D$701="later")*(photos!$O$2:$O$701="Y")*photos!$E$2:$E$701))),""))</f>
        <v/>
      </c>
      <c r="AJ128" s="30" t="str">
        <f aca="false">IF(OR($A128="",$AI128="",$I128=""),"",NETWORKDAYS($I128,$AI128,calendar!$A$2:$A$80))</f>
        <v/>
      </c>
      <c r="AK128" s="30" t="str">
        <f aca="false">IF($A128="","",IF(AND($X128&lt;&gt;"",$AH128&lt;&gt;""),"Y","N"))</f>
        <v/>
      </c>
      <c r="AL128" s="30" t="str">
        <f aca="true">IF(OR($A128="",$I128=""),"",IF($BC128="Y",SUMIFS(survey_frozen!$C$2:$C$251,survey_frozen!$P$2:$P$251,$A128&amp;"|"&amp;$B128),IFERROR(COUNTIFS(INDIRECT("'"&amp;$A128&amp;"'!$B$2:$B$501"),$T128,INDIRECT("'"&amp;$A128&amp;"'!$A$2:$A$501"),"&gt;="&amp;$I128,INDIRECT("'"&amp;$A128&amp;"'!$A$2:$A$501"),"&lt;"&amp;($BA128+1)),0)))</f>
        <v/>
      </c>
      <c r="AM128" s="30" t="str">
        <f aca="true">IF(OR($A128="",$I128=""),"",IF($BC128="Y",SUMIFS(survey_frozen!$D$2:$D$251,survey_frozen!$P$2:$P$251,$A128&amp;"|"&amp;$B128),IFERROR(COUNTIFS(INDIRECT("'"&amp;$A128&amp;"'!$B$2:$B$501"),$T128,INDIRECT("'"&amp;$A128&amp;"'!$A$2:$A$501"),"&gt;="&amp;$I128,INDIRECT("'"&amp;$A128&amp;"'!$A$2:$A$501"),"&lt;"&amp;($BA128+1),INDIRECT("'"&amp;$A128&amp;"'!$C$2:$C$501"),"Yes"),0)))</f>
        <v/>
      </c>
      <c r="AN128" s="30" t="str">
        <f aca="false">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30" t="str">
        <f aca="false">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30" t="str">
        <f aca="true">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30" t="str">
        <f aca="true">IF(OR($A128="",$I128=""),"",IF($BC128="Y",SUMIFS(survey_frozen!$E$2:$E$251,survey_frozen!$P$2:$P$251,$A128&amp;"|"&amp;$B128),IFERROR(COUNTIFS(INDIRECT("'"&amp;$A128&amp;"'!$B$2:$B$501"),$T128,INDIRECT("'"&amp;$A128&amp;"'!$A$2:$A$501"),"&gt;="&amp;$I128,INDIRECT("'"&amp;$A128&amp;"'!$A$2:$A$501"),"&lt;"&amp;($BA128+1),INDIRECT("'"&amp;$A128&amp;"'!$F$2:$F$501"),"Didn't see it"),0)))</f>
        <v/>
      </c>
      <c r="AR128" s="30" t="str">
        <f aca="true">IF(OR($A128="",$I128=""),"",IF($BC128="Y",SUMIFS(survey_frozen!$F$2:$F$251,survey_frozen!$P$2:$P$251,$A128&amp;"|"&amp;$B128),IFERROR(COUNTIFS(INDIRECT("'"&amp;$A128&amp;"'!$B$2:$B$501"),$T128,INDIRECT("'"&amp;$A128&amp;"'!$A$2:$A$501"),"&gt;="&amp;$I128,INDIRECT("'"&amp;$A128&amp;"'!$A$2:$A$501"),"&lt;"&amp;($BA128+1),INDIRECT("'"&amp;$A128&amp;"'!$F$2:$F$501"),"Not for me"),0)))</f>
        <v/>
      </c>
      <c r="AS128" s="30" t="str">
        <f aca="true">IF(OR($A128="",$I128=""),"",IF($BC128="Y",SUMIFS(survey_frozen!$G$2:$G$251,survey_frozen!$P$2:$P$251,$A128&amp;"|"&amp;$B128),IFERROR(COUNTIFS(INDIRECT("'"&amp;$A128&amp;"'!$B$2:$B$501"),$T128,INDIRECT("'"&amp;$A128&amp;"'!$A$2:$A$501"),"&gt;="&amp;$I128,INDIRECT("'"&amp;$A128&amp;"'!$A$2:$A$501"),"&lt;"&amp;($BA128+1),INDIRECT("'"&amp;$A128&amp;"'!$F$2:$F$501"),"Gone by the time I looked"),0)))</f>
        <v/>
      </c>
      <c r="AT128" s="30" t="str">
        <f aca="true">IF(OR($A128="",$I128=""),"",IF($BC128="Y",SUMIFS(survey_frozen!$H$2:$H$251,survey_frozen!$P$2:$P$251,$A128&amp;"|"&amp;$B128),IFERROR(COUNTIFS(INDIRECT("'"&amp;$A128&amp;"'!$B$2:$B$501"),$T128,INDIRECT("'"&amp;$A128&amp;"'!$A$2:$A$501"),"&gt;="&amp;$I128,INDIRECT("'"&amp;$A128&amp;"'!$A$2:$A$501"),"&lt;"&amp;($BA128+1),INDIRECT("'"&amp;$A128&amp;"'!$D$2:$D$501"),"&gt;=1"),0)))</f>
        <v/>
      </c>
      <c r="AU128" s="30" t="str">
        <f aca="true">IF(OR($A128="",$I128=""),"",IF($BC128="Y",SUMIFS(survey_frozen!$I$2:$I$251,survey_frozen!$P$2:$P$251,$A128&amp;"|"&amp;$B128),IFERROR(SUMIFS(INDIRECT("'"&amp;$A128&amp;"'!$D$2:$D$501"),INDIRECT("'"&amp;$A128&amp;"'!$B$2:$B$501"),$T128,INDIRECT("'"&amp;$A128&amp;"'!$A$2:$A$501"),"&gt;="&amp;$I128,INDIRECT("'"&amp;$A128&amp;"'!$A$2:$A$501"),"&lt;"&amp;($BA128+1)),0)))</f>
        <v/>
      </c>
      <c r="AV128" s="30" t="str">
        <f aca="true">IF(OR($A128="",$I128=""),"",IF($BC128="Y",SUMIFS(survey_frozen!$J$2:$J$251,survey_frozen!$P$2:$P$251,$A128&amp;"|"&amp;$B128),IFERROR(COUNTIFS(INDIRECT("'"&amp;$A128&amp;"'!$B$2:$B$501"),$T128,INDIRECT("'"&amp;$A128&amp;"'!$A$2:$A$501"),"&gt;="&amp;$I128,INDIRECT("'"&amp;$A128&amp;"'!$A$2:$A$501"),"&lt;"&amp;($BA128+1),INDIRECT("'"&amp;$A128&amp;"'!$E$2:$E$501"),"Yes"),0)))</f>
        <v/>
      </c>
      <c r="AW128" s="30" t="str">
        <f aca="true">IF(OR($A128="",$I128=""),"",IF($BC128="Y",SUMIFS(survey_frozen!$K$2:$K$251,survey_frozen!$P$2:$P$251,$A128&amp;"|"&amp;$B128),IFERROR(COUNTIFS(INDIRECT("'"&amp;$A128&amp;"'!$B$2:$B$501"),$T128,INDIRECT("'"&amp;$A128&amp;"'!$A$2:$A$501"),"&gt;="&amp;$I128,INDIRECT("'"&amp;$A128&amp;"'!$A$2:$A$501"),"&lt;"&amp;($BA128+1),INDIRECT("'"&amp;$A128&amp;"'!$E$2:$E$501"),"Maybe"),0)))</f>
        <v/>
      </c>
      <c r="AX128" s="30" t="str">
        <f aca="true">IF(OR($A128="",$I128=""),"",IF($BC128="Y",SUMIFS(survey_frozen!$L$2:$L$251,survey_frozen!$P$2:$P$251,$A128&amp;"|"&amp;$B128),IFERROR(COUNTIFS(INDIRECT("'"&amp;$A128&amp;"'!$B$2:$B$501"),$T128,INDIRECT("'"&amp;$A128&amp;"'!$A$2:$A$501"),"&gt;="&amp;$I128,INDIRECT("'"&amp;$A128&amp;"'!$A$2:$A$501"),"&lt;"&amp;($BA128+1),INDIRECT("'"&amp;$A128&amp;"'!$E$2:$E$501"),"No"),0)))</f>
        <v/>
      </c>
      <c r="AY128" s="30" t="str">
        <f aca="true">IF(OR($A128="",$I128=""),"",IF($BC128="Y",SUMIFS(survey_frozen!$M$2:$M$251,survey_frozen!$P$2:$P$251,$A128&amp;"|"&amp;$B128),IFERROR(COUNTIFS(INDIRECT("'"&amp;$A128&amp;"'!$B$2:$B$501"),$T128,INDIRECT("'"&amp;$A128&amp;"'!$A$2:$A$501"),"&gt;="&amp;$I128,INDIRECT("'"&amp;$A128&amp;"'!$A$2:$A$501"),"&lt;"&amp;($BA128+1),INDIRECT("'"&amp;$A128&amp;"'!$G$2:$G$501"),"&lt;&gt;"),0)))</f>
        <v/>
      </c>
      <c r="AZ128" s="30" t="str">
        <f aca="false">IF($A128="","",$A128&amp;"|"&amp;$L128)</f>
        <v/>
      </c>
      <c r="BA128" s="31" t="str">
        <f aca="false">IF($A128="","",IFERROR(IF(INDEX(drops!$R$2:$R$21,MATCH($H128,drops!$A$2:$A$21,0))="","",INDEX(drops!$R$2:$R$21,MATCH($H128,drops!$A$2:$A$21,0))),""))</f>
        <v/>
      </c>
      <c r="BB128" s="30" t="n">
        <f aca="false">IF(OR($A128="",$Q128&lt;&gt;"Y"),1000000,N($AL128))</f>
        <v>1000000</v>
      </c>
      <c r="BC128" s="30" t="str">
        <f aca="false">IF($A128="","",IF(COUNTIF(survey_frozen!$P$2:$P$251,$A128&amp;"|"&amp;$B128)&gt;0,"Y",""))</f>
        <v/>
      </c>
      <c r="BD128" s="30" t="str">
        <f aca="false">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ustomFormat="false" ht="15" hidden="false" customHeight="false" outlineLevel="0" collapsed="false">
      <c r="C129" s="11"/>
      <c r="D129" s="10"/>
      <c r="E129" s="11"/>
      <c r="H129" s="30" t="str">
        <f aca="false">IF($A129="","",IFERROR(IF(INDEX(campaigns!$B$2:$B$51,MATCH($A129,campaigns!$A$2:$A$51,0))="","",INDEX(campaigns!$B$2:$B$51,MATCH($A129,campaigns!$A$2:$A$51,0))),""))</f>
        <v/>
      </c>
      <c r="I129" s="31" t="str">
        <f aca="false">IF($A129="","",IFERROR(IF(INDEX(campaigns!$BG$2:$BG$51,MATCH($A129,campaigns!$A$2:$A$51,0))="","",INDEX(campaigns!$BG$2:$BG$51,MATCH($A129,campaigns!$A$2:$A$51,0))),""))</f>
        <v/>
      </c>
      <c r="J129" s="30" t="str">
        <f aca="false">IF($A129="","",IFERROR(IF(INDEX(campaigns!$BE$2:$BE$51,MATCH($A129,campaigns!$A$2:$A$51,0))="","",INDEX(campaigns!$BE$2:$BE$51,MATCH($A129,campaigns!$A$2:$A$51,0))),""))</f>
        <v/>
      </c>
      <c r="K129" s="30" t="str">
        <f aca="false">IF($B129="","",IFERROR(IF(INDEX(offices!$O$2:$O$61,MATCH($B129,offices!$A$2:$A$61,0))="","",INDEX(offices!$O$2:$O$61,MATCH($B129,offices!$A$2:$A$61,0))),""))</f>
        <v/>
      </c>
      <c r="L129" s="30" t="str">
        <f aca="false">IF($A129="","",IF($Q129="N","",COUNTIFS($A$2:$A129,$A129,$Q$2:$Q129,"&lt;&gt;N")))</f>
        <v/>
      </c>
      <c r="M129" s="30" t="str">
        <f aca="false">IF(OR($A129="",$L129=""),"",IF(AND(config!$B$34="names_if_public",IFERROR(IF(INDEX(offices!$AG$2:$AG$61,MATCH($B129,offices!$A$2:$A$61,0))="","",INDEX(offices!$AG$2:$AG$61,MATCH($B129,offices!$A$2:$A$61,0))),"")="Y"),$K129,CHAR(64+$L129)))</f>
        <v/>
      </c>
      <c r="N129" s="30" t="str">
        <f aca="false">IF(OR($A129="",$I129=""),"",COUNTIFS(stops!$B$2:$B$151,$B129,stops!$P$2:$P$151,"&lt;"&amp;$I129,stops!$L$2:$L$151,"&lt;&gt;not_delivered")+1)</f>
        <v/>
      </c>
      <c r="O129" s="30" t="str">
        <f aca="false">IF($A129="","",IF(N($N129)&lt;=config!$B$29,"explicit","opt-out"))</f>
        <v/>
      </c>
      <c r="P129" s="30" t="str">
        <f aca="false">IF($A129="","",IF($O129="explicit",IF($D129="yes","Y",IF($D129="no","N","pending")),IF($D129="no","N",IF(AND($C129&lt;&gt;"",$I129&lt;&gt;"",$C129&lt;=WORKDAY(N($I129),-5,calendar!$A$2:$A$80)),"Y","pending"))))</f>
        <v/>
      </c>
      <c r="Q129" s="30" t="str">
        <f aca="false">IF($A129="","",IF($P129="N","N",IF($P129&lt;&gt;"Y","pending",IF(AND((COUNTIFS(stops!$A$2:$A$151,$H129,stops!$B$2:$B$151,$B129,stops!$L$2:$L$151,"declined")+COUNTIFS(stops!$A$2:$A$151,$H129,stops!$B$2:$B$151,$B129,stops!$L$2:$L$151,"building_refused")+COUNTIFS(stops!$A$2:$A$151,$H129,stops!$B$2:$B$151,$B129,stops!$L$2:$L$151,"not_delivered"))&gt;0,N($U129)=0),"N","Y"))))</f>
        <v/>
      </c>
      <c r="R129" s="30" t="str">
        <f aca="false">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30" t="str">
        <f aca="false">IF($A129="","",IF($G129&lt;&gt;"",$G129,IFERROR(IF(INDEX(offices!$AM$2:$AM$61,MATCH($B129,offices!$A$2:$A$61,0))="","",INDEX(offices!$AM$2:$AM$61,MATCH($B129,offices!$A$2:$A$61,0))),"")))</f>
        <v/>
      </c>
      <c r="T129" s="30" t="str">
        <f aca="false">IF($A129="","",$A129&amp;"."&amp;$B129)</f>
        <v/>
      </c>
      <c r="U129" s="30" t="str">
        <f aca="false">IF($A129="","",SUMIFS(inventory!$G$2:$G$801,inventory!$C$2:$C$801,$A129,inventory!$D$2:$D$801,$B129,inventory!$E$2:$E$801,"delivered"))</f>
        <v/>
      </c>
      <c r="V129" s="37" t="str">
        <f aca="false">IF($A129="","",IFERROR(1/(1/SUMPRODUCT(MAX((inventory!$C$2:$C$801=$A129)*(inventory!$D$2:$D$801=$B129)*(inventory!$E$2:$E$801="delivered")*(inventory!$A$2:$A$801+inventory!$B$2:$B$801)))),""))</f>
        <v/>
      </c>
      <c r="W129" s="30" t="str">
        <f aca="false">IF($A129="","",IFERROR(IF(INDEX(inventory!$J$2:$J$801,MATCH($A129&amp;"|"&amp;$B129&amp;"|delivered",inventory!$R$2:$R$801,0))="","",INDEX(inventory!$J$2:$J$801,MATCH($A129&amp;"|"&amp;$B129&amp;"|delivered",inventory!$R$2:$R$801,0))),""))</f>
        <v/>
      </c>
      <c r="X129" s="30" t="str">
        <f aca="false">IF($A129="","",IFERROR(IF(INDEX(photos!$H$2:$H$701,MATCH($A129&amp;"|"&amp;$B129&amp;"|placement|Y",photos!$R$2:$R$701,0))="","",INDEX(photos!$H$2:$H$701,MATCH($A129&amp;"|"&amp;$B129&amp;"|placement|Y",photos!$R$2:$R$701,0))),""))</f>
        <v/>
      </c>
      <c r="Y129" s="31" t="str">
        <f aca="false">IF($A129="","",IFERROR(IF(INDEX(photos!$E$2:$E$701,MATCH($A129&amp;"|"&amp;$B129&amp;"|placement|Y",photos!$R$2:$R$701,0))="","",INDEX(photos!$E$2:$E$701,MATCH($A129&amp;"|"&amp;$B129&amp;"|placement|Y",photos!$R$2:$R$701,0))),""))</f>
        <v/>
      </c>
      <c r="Z129" s="30" t="str">
        <f aca="false">IF($A129="","",IF(COUNTIFS(counts!$C$2:$C$701,$A129,counts!$D$2:$D$701,$B129,counts!$E$2:$E$701,"placed")=0,"",SUMIFS(counts!$F$2:$F$701,counts!$C$2:$C$701,$A129,counts!$D$2:$D$701,$B129,counts!$E$2:$E$701,"placed")))</f>
        <v/>
      </c>
      <c r="AA129" s="30" t="str">
        <f aca="false">IF($A129="","",IF($Y129="",0,N($Z129)))</f>
        <v/>
      </c>
      <c r="AB129" s="30" t="str">
        <f aca="false">IF($A129="","",IF(OR($Y129="",$I129=""),"N",IF($Y129&lt;=WORKDAY(N($I129),1,calendar!$A$2:$A$80),"Y","N")))</f>
        <v/>
      </c>
      <c r="AC129" s="33" t="str">
        <f aca="false">IF(OR($A129="",$V129="",$Y129=""),"",ROUND(($Y129+N(IFERROR(IF(INDEX(photos!$F$2:$F$701,MATCH($A129&amp;"|"&amp;$B129&amp;"|placement|Y",photos!$R$2:$R$701,0))="","",INDEX(photos!$F$2:$F$701,MATCH($A129&amp;"|"&amp;$B129&amp;"|placement|Y",photos!$R$2:$R$701,0))),""))-$V129)*24,1))</f>
        <v/>
      </c>
      <c r="AD129" s="30" t="str">
        <f aca="false">IF($A129="","",SUMIFS(inventory!$G$2:$G$801,inventory!$C$2:$C$801,$A129,inventory!$D$2:$D$801,$B129,inventory!$E$2:$E$801,"topped_up"))</f>
        <v/>
      </c>
      <c r="AE129" s="30" t="str">
        <f aca="false">IF($A129="","",IF(COUNTIFS(counts!$C$2:$C$701,$A129,counts!$D$2:$D$701,$B129,counts!$E$2:$E$701,"remaining_day3")=0,"",SUMIFS(counts!$F$2:$F$701,counts!$C$2:$C$701,$A129,counts!$D$2:$D$701,$B129,counts!$E$2:$E$701,"remaining_day3")))</f>
        <v/>
      </c>
      <c r="AF129" s="30" t="str">
        <f aca="false">IF($A129="","",IF(COUNTIFS(counts!$C$2:$C$701,$A129,counts!$D$2:$D$701,$B129,counts!$E$2:$E$701,"remaining_day5")=0,"",SUMIFS(counts!$F$2:$F$701,counts!$C$2:$C$701,$A129,counts!$D$2:$D$701,$B129,counts!$E$2:$E$701,"remaining_day5")))</f>
        <v/>
      </c>
      <c r="AG129" s="30" t="str">
        <f aca="false">IF(OR($A129="",$AF129=""),"",MAX(0,$AA129+$AD129-$AF129))</f>
        <v/>
      </c>
      <c r="AH129" s="30" t="str">
        <f aca="false">IF(OR($A129="",$AI129=""),"",IFERROR(IF(INDEX(photos!$H$2:$H$701,MATCH($A129&amp;"|"&amp;$B129&amp;"|later|Y|"&amp;$AI129,photos!$S$2:$S$701,0))="","",INDEX(photos!$H$2:$H$701,MATCH($A129&amp;"|"&amp;$B129&amp;"|later|Y|"&amp;$AI129,photos!$S$2:$S$701,0))),""))</f>
        <v/>
      </c>
      <c r="AI129" s="31" t="str">
        <f aca="false">IF($A129="","",IFERROR(1/(1/SUMPRODUCT(MAX((photos!$B$2:$B$701=$A129)*(photos!$C$2:$C$701=$B129)*(photos!$D$2:$D$701="later")*(photos!$O$2:$O$701="Y")*photos!$E$2:$E$701))),""))</f>
        <v/>
      </c>
      <c r="AJ129" s="30" t="str">
        <f aca="false">IF(OR($A129="",$AI129="",$I129=""),"",NETWORKDAYS($I129,$AI129,calendar!$A$2:$A$80))</f>
        <v/>
      </c>
      <c r="AK129" s="30" t="str">
        <f aca="false">IF($A129="","",IF(AND($X129&lt;&gt;"",$AH129&lt;&gt;""),"Y","N"))</f>
        <v/>
      </c>
      <c r="AL129" s="30" t="str">
        <f aca="true">IF(OR($A129="",$I129=""),"",IF($BC129="Y",SUMIFS(survey_frozen!$C$2:$C$251,survey_frozen!$P$2:$P$251,$A129&amp;"|"&amp;$B129),IFERROR(COUNTIFS(INDIRECT("'"&amp;$A129&amp;"'!$B$2:$B$501"),$T129,INDIRECT("'"&amp;$A129&amp;"'!$A$2:$A$501"),"&gt;="&amp;$I129,INDIRECT("'"&amp;$A129&amp;"'!$A$2:$A$501"),"&lt;"&amp;($BA129+1)),0)))</f>
        <v/>
      </c>
      <c r="AM129" s="30" t="str">
        <f aca="true">IF(OR($A129="",$I129=""),"",IF($BC129="Y",SUMIFS(survey_frozen!$D$2:$D$251,survey_frozen!$P$2:$P$251,$A129&amp;"|"&amp;$B129),IFERROR(COUNTIFS(INDIRECT("'"&amp;$A129&amp;"'!$B$2:$B$501"),$T129,INDIRECT("'"&amp;$A129&amp;"'!$A$2:$A$501"),"&gt;="&amp;$I129,INDIRECT("'"&amp;$A129&amp;"'!$A$2:$A$501"),"&lt;"&amp;($BA129+1),INDIRECT("'"&amp;$A129&amp;"'!$C$2:$C$501"),"Yes"),0)))</f>
        <v/>
      </c>
      <c r="AN129" s="30" t="str">
        <f aca="false">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30" t="str">
        <f aca="false">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30" t="str">
        <f aca="true">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30" t="str">
        <f aca="true">IF(OR($A129="",$I129=""),"",IF($BC129="Y",SUMIFS(survey_frozen!$E$2:$E$251,survey_frozen!$P$2:$P$251,$A129&amp;"|"&amp;$B129),IFERROR(COUNTIFS(INDIRECT("'"&amp;$A129&amp;"'!$B$2:$B$501"),$T129,INDIRECT("'"&amp;$A129&amp;"'!$A$2:$A$501"),"&gt;="&amp;$I129,INDIRECT("'"&amp;$A129&amp;"'!$A$2:$A$501"),"&lt;"&amp;($BA129+1),INDIRECT("'"&amp;$A129&amp;"'!$F$2:$F$501"),"Didn't see it"),0)))</f>
        <v/>
      </c>
      <c r="AR129" s="30" t="str">
        <f aca="true">IF(OR($A129="",$I129=""),"",IF($BC129="Y",SUMIFS(survey_frozen!$F$2:$F$251,survey_frozen!$P$2:$P$251,$A129&amp;"|"&amp;$B129),IFERROR(COUNTIFS(INDIRECT("'"&amp;$A129&amp;"'!$B$2:$B$501"),$T129,INDIRECT("'"&amp;$A129&amp;"'!$A$2:$A$501"),"&gt;="&amp;$I129,INDIRECT("'"&amp;$A129&amp;"'!$A$2:$A$501"),"&lt;"&amp;($BA129+1),INDIRECT("'"&amp;$A129&amp;"'!$F$2:$F$501"),"Not for me"),0)))</f>
        <v/>
      </c>
      <c r="AS129" s="30" t="str">
        <f aca="true">IF(OR($A129="",$I129=""),"",IF($BC129="Y",SUMIFS(survey_frozen!$G$2:$G$251,survey_frozen!$P$2:$P$251,$A129&amp;"|"&amp;$B129),IFERROR(COUNTIFS(INDIRECT("'"&amp;$A129&amp;"'!$B$2:$B$501"),$T129,INDIRECT("'"&amp;$A129&amp;"'!$A$2:$A$501"),"&gt;="&amp;$I129,INDIRECT("'"&amp;$A129&amp;"'!$A$2:$A$501"),"&lt;"&amp;($BA129+1),INDIRECT("'"&amp;$A129&amp;"'!$F$2:$F$501"),"Gone by the time I looked"),0)))</f>
        <v/>
      </c>
      <c r="AT129" s="30" t="str">
        <f aca="true">IF(OR($A129="",$I129=""),"",IF($BC129="Y",SUMIFS(survey_frozen!$H$2:$H$251,survey_frozen!$P$2:$P$251,$A129&amp;"|"&amp;$B129),IFERROR(COUNTIFS(INDIRECT("'"&amp;$A129&amp;"'!$B$2:$B$501"),$T129,INDIRECT("'"&amp;$A129&amp;"'!$A$2:$A$501"),"&gt;="&amp;$I129,INDIRECT("'"&amp;$A129&amp;"'!$A$2:$A$501"),"&lt;"&amp;($BA129+1),INDIRECT("'"&amp;$A129&amp;"'!$D$2:$D$501"),"&gt;=1"),0)))</f>
        <v/>
      </c>
      <c r="AU129" s="30" t="str">
        <f aca="true">IF(OR($A129="",$I129=""),"",IF($BC129="Y",SUMIFS(survey_frozen!$I$2:$I$251,survey_frozen!$P$2:$P$251,$A129&amp;"|"&amp;$B129),IFERROR(SUMIFS(INDIRECT("'"&amp;$A129&amp;"'!$D$2:$D$501"),INDIRECT("'"&amp;$A129&amp;"'!$B$2:$B$501"),$T129,INDIRECT("'"&amp;$A129&amp;"'!$A$2:$A$501"),"&gt;="&amp;$I129,INDIRECT("'"&amp;$A129&amp;"'!$A$2:$A$501"),"&lt;"&amp;($BA129+1)),0)))</f>
        <v/>
      </c>
      <c r="AV129" s="30" t="str">
        <f aca="true">IF(OR($A129="",$I129=""),"",IF($BC129="Y",SUMIFS(survey_frozen!$J$2:$J$251,survey_frozen!$P$2:$P$251,$A129&amp;"|"&amp;$B129),IFERROR(COUNTIFS(INDIRECT("'"&amp;$A129&amp;"'!$B$2:$B$501"),$T129,INDIRECT("'"&amp;$A129&amp;"'!$A$2:$A$501"),"&gt;="&amp;$I129,INDIRECT("'"&amp;$A129&amp;"'!$A$2:$A$501"),"&lt;"&amp;($BA129+1),INDIRECT("'"&amp;$A129&amp;"'!$E$2:$E$501"),"Yes"),0)))</f>
        <v/>
      </c>
      <c r="AW129" s="30" t="str">
        <f aca="true">IF(OR($A129="",$I129=""),"",IF($BC129="Y",SUMIFS(survey_frozen!$K$2:$K$251,survey_frozen!$P$2:$P$251,$A129&amp;"|"&amp;$B129),IFERROR(COUNTIFS(INDIRECT("'"&amp;$A129&amp;"'!$B$2:$B$501"),$T129,INDIRECT("'"&amp;$A129&amp;"'!$A$2:$A$501"),"&gt;="&amp;$I129,INDIRECT("'"&amp;$A129&amp;"'!$A$2:$A$501"),"&lt;"&amp;($BA129+1),INDIRECT("'"&amp;$A129&amp;"'!$E$2:$E$501"),"Maybe"),0)))</f>
        <v/>
      </c>
      <c r="AX129" s="30" t="str">
        <f aca="true">IF(OR($A129="",$I129=""),"",IF($BC129="Y",SUMIFS(survey_frozen!$L$2:$L$251,survey_frozen!$P$2:$P$251,$A129&amp;"|"&amp;$B129),IFERROR(COUNTIFS(INDIRECT("'"&amp;$A129&amp;"'!$B$2:$B$501"),$T129,INDIRECT("'"&amp;$A129&amp;"'!$A$2:$A$501"),"&gt;="&amp;$I129,INDIRECT("'"&amp;$A129&amp;"'!$A$2:$A$501"),"&lt;"&amp;($BA129+1),INDIRECT("'"&amp;$A129&amp;"'!$E$2:$E$501"),"No"),0)))</f>
        <v/>
      </c>
      <c r="AY129" s="30" t="str">
        <f aca="true">IF(OR($A129="",$I129=""),"",IF($BC129="Y",SUMIFS(survey_frozen!$M$2:$M$251,survey_frozen!$P$2:$P$251,$A129&amp;"|"&amp;$B129),IFERROR(COUNTIFS(INDIRECT("'"&amp;$A129&amp;"'!$B$2:$B$501"),$T129,INDIRECT("'"&amp;$A129&amp;"'!$A$2:$A$501"),"&gt;="&amp;$I129,INDIRECT("'"&amp;$A129&amp;"'!$A$2:$A$501"),"&lt;"&amp;($BA129+1),INDIRECT("'"&amp;$A129&amp;"'!$G$2:$G$501"),"&lt;&gt;"),0)))</f>
        <v/>
      </c>
      <c r="AZ129" s="30" t="str">
        <f aca="false">IF($A129="","",$A129&amp;"|"&amp;$L129)</f>
        <v/>
      </c>
      <c r="BA129" s="31" t="str">
        <f aca="false">IF($A129="","",IFERROR(IF(INDEX(drops!$R$2:$R$21,MATCH($H129,drops!$A$2:$A$21,0))="","",INDEX(drops!$R$2:$R$21,MATCH($H129,drops!$A$2:$A$21,0))),""))</f>
        <v/>
      </c>
      <c r="BB129" s="30" t="n">
        <f aca="false">IF(OR($A129="",$Q129&lt;&gt;"Y"),1000000,N($AL129))</f>
        <v>1000000</v>
      </c>
      <c r="BC129" s="30" t="str">
        <f aca="false">IF($A129="","",IF(COUNTIF(survey_frozen!$P$2:$P$251,$A129&amp;"|"&amp;$B129)&gt;0,"Y",""))</f>
        <v/>
      </c>
      <c r="BD129" s="30" t="str">
        <f aca="false">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ustomFormat="false" ht="15" hidden="false" customHeight="false" outlineLevel="0" collapsed="false">
      <c r="C130" s="11"/>
      <c r="D130" s="10"/>
      <c r="E130" s="11"/>
      <c r="H130" s="30" t="str">
        <f aca="false">IF($A130="","",IFERROR(IF(INDEX(campaigns!$B$2:$B$51,MATCH($A130,campaigns!$A$2:$A$51,0))="","",INDEX(campaigns!$B$2:$B$51,MATCH($A130,campaigns!$A$2:$A$51,0))),""))</f>
        <v/>
      </c>
      <c r="I130" s="31" t="str">
        <f aca="false">IF($A130="","",IFERROR(IF(INDEX(campaigns!$BG$2:$BG$51,MATCH($A130,campaigns!$A$2:$A$51,0))="","",INDEX(campaigns!$BG$2:$BG$51,MATCH($A130,campaigns!$A$2:$A$51,0))),""))</f>
        <v/>
      </c>
      <c r="J130" s="30" t="str">
        <f aca="false">IF($A130="","",IFERROR(IF(INDEX(campaigns!$BE$2:$BE$51,MATCH($A130,campaigns!$A$2:$A$51,0))="","",INDEX(campaigns!$BE$2:$BE$51,MATCH($A130,campaigns!$A$2:$A$51,0))),""))</f>
        <v/>
      </c>
      <c r="K130" s="30" t="str">
        <f aca="false">IF($B130="","",IFERROR(IF(INDEX(offices!$O$2:$O$61,MATCH($B130,offices!$A$2:$A$61,0))="","",INDEX(offices!$O$2:$O$61,MATCH($B130,offices!$A$2:$A$61,0))),""))</f>
        <v/>
      </c>
      <c r="L130" s="30" t="str">
        <f aca="false">IF($A130="","",IF($Q130="N","",COUNTIFS($A$2:$A130,$A130,$Q$2:$Q130,"&lt;&gt;N")))</f>
        <v/>
      </c>
      <c r="M130" s="30" t="str">
        <f aca="false">IF(OR($A130="",$L130=""),"",IF(AND(config!$B$34="names_if_public",IFERROR(IF(INDEX(offices!$AG$2:$AG$61,MATCH($B130,offices!$A$2:$A$61,0))="","",INDEX(offices!$AG$2:$AG$61,MATCH($B130,offices!$A$2:$A$61,0))),"")="Y"),$K130,CHAR(64+$L130)))</f>
        <v/>
      </c>
      <c r="N130" s="30" t="str">
        <f aca="false">IF(OR($A130="",$I130=""),"",COUNTIFS(stops!$B$2:$B$151,$B130,stops!$P$2:$P$151,"&lt;"&amp;$I130,stops!$L$2:$L$151,"&lt;&gt;not_delivered")+1)</f>
        <v/>
      </c>
      <c r="O130" s="30" t="str">
        <f aca="false">IF($A130="","",IF(N($N130)&lt;=config!$B$29,"explicit","opt-out"))</f>
        <v/>
      </c>
      <c r="P130" s="30" t="str">
        <f aca="false">IF($A130="","",IF($O130="explicit",IF($D130="yes","Y",IF($D130="no","N","pending")),IF($D130="no","N",IF(AND($C130&lt;&gt;"",$I130&lt;&gt;"",$C130&lt;=WORKDAY(N($I130),-5,calendar!$A$2:$A$80)),"Y","pending"))))</f>
        <v/>
      </c>
      <c r="Q130" s="30" t="str">
        <f aca="false">IF($A130="","",IF($P130="N","N",IF($P130&lt;&gt;"Y","pending",IF(AND((COUNTIFS(stops!$A$2:$A$151,$H130,stops!$B$2:$B$151,$B130,stops!$L$2:$L$151,"declined")+COUNTIFS(stops!$A$2:$A$151,$H130,stops!$B$2:$B$151,$B130,stops!$L$2:$L$151,"building_refused")+COUNTIFS(stops!$A$2:$A$151,$H130,stops!$B$2:$B$151,$B130,stops!$L$2:$L$151,"not_delivered"))&gt;0,N($U130)=0),"N","Y"))))</f>
        <v/>
      </c>
      <c r="R130" s="30" t="str">
        <f aca="false">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30" t="str">
        <f aca="false">IF($A130="","",IF($G130&lt;&gt;"",$G130,IFERROR(IF(INDEX(offices!$AM$2:$AM$61,MATCH($B130,offices!$A$2:$A$61,0))="","",INDEX(offices!$AM$2:$AM$61,MATCH($B130,offices!$A$2:$A$61,0))),"")))</f>
        <v/>
      </c>
      <c r="T130" s="30" t="str">
        <f aca="false">IF($A130="","",$A130&amp;"."&amp;$B130)</f>
        <v/>
      </c>
      <c r="U130" s="30" t="str">
        <f aca="false">IF($A130="","",SUMIFS(inventory!$G$2:$G$801,inventory!$C$2:$C$801,$A130,inventory!$D$2:$D$801,$B130,inventory!$E$2:$E$801,"delivered"))</f>
        <v/>
      </c>
      <c r="V130" s="37" t="str">
        <f aca="false">IF($A130="","",IFERROR(1/(1/SUMPRODUCT(MAX((inventory!$C$2:$C$801=$A130)*(inventory!$D$2:$D$801=$B130)*(inventory!$E$2:$E$801="delivered")*(inventory!$A$2:$A$801+inventory!$B$2:$B$801)))),""))</f>
        <v/>
      </c>
      <c r="W130" s="30" t="str">
        <f aca="false">IF($A130="","",IFERROR(IF(INDEX(inventory!$J$2:$J$801,MATCH($A130&amp;"|"&amp;$B130&amp;"|delivered",inventory!$R$2:$R$801,0))="","",INDEX(inventory!$J$2:$J$801,MATCH($A130&amp;"|"&amp;$B130&amp;"|delivered",inventory!$R$2:$R$801,0))),""))</f>
        <v/>
      </c>
      <c r="X130" s="30" t="str">
        <f aca="false">IF($A130="","",IFERROR(IF(INDEX(photos!$H$2:$H$701,MATCH($A130&amp;"|"&amp;$B130&amp;"|placement|Y",photos!$R$2:$R$701,0))="","",INDEX(photos!$H$2:$H$701,MATCH($A130&amp;"|"&amp;$B130&amp;"|placement|Y",photos!$R$2:$R$701,0))),""))</f>
        <v/>
      </c>
      <c r="Y130" s="31" t="str">
        <f aca="false">IF($A130="","",IFERROR(IF(INDEX(photos!$E$2:$E$701,MATCH($A130&amp;"|"&amp;$B130&amp;"|placement|Y",photos!$R$2:$R$701,0))="","",INDEX(photos!$E$2:$E$701,MATCH($A130&amp;"|"&amp;$B130&amp;"|placement|Y",photos!$R$2:$R$701,0))),""))</f>
        <v/>
      </c>
      <c r="Z130" s="30" t="str">
        <f aca="false">IF($A130="","",IF(COUNTIFS(counts!$C$2:$C$701,$A130,counts!$D$2:$D$701,$B130,counts!$E$2:$E$701,"placed")=0,"",SUMIFS(counts!$F$2:$F$701,counts!$C$2:$C$701,$A130,counts!$D$2:$D$701,$B130,counts!$E$2:$E$701,"placed")))</f>
        <v/>
      </c>
      <c r="AA130" s="30" t="str">
        <f aca="false">IF($A130="","",IF($Y130="",0,N($Z130)))</f>
        <v/>
      </c>
      <c r="AB130" s="30" t="str">
        <f aca="false">IF($A130="","",IF(OR($Y130="",$I130=""),"N",IF($Y130&lt;=WORKDAY(N($I130),1,calendar!$A$2:$A$80),"Y","N")))</f>
        <v/>
      </c>
      <c r="AC130" s="33" t="str">
        <f aca="false">IF(OR($A130="",$V130="",$Y130=""),"",ROUND(($Y130+N(IFERROR(IF(INDEX(photos!$F$2:$F$701,MATCH($A130&amp;"|"&amp;$B130&amp;"|placement|Y",photos!$R$2:$R$701,0))="","",INDEX(photos!$F$2:$F$701,MATCH($A130&amp;"|"&amp;$B130&amp;"|placement|Y",photos!$R$2:$R$701,0))),""))-$V130)*24,1))</f>
        <v/>
      </c>
      <c r="AD130" s="30" t="str">
        <f aca="false">IF($A130="","",SUMIFS(inventory!$G$2:$G$801,inventory!$C$2:$C$801,$A130,inventory!$D$2:$D$801,$B130,inventory!$E$2:$E$801,"topped_up"))</f>
        <v/>
      </c>
      <c r="AE130" s="30" t="str">
        <f aca="false">IF($A130="","",IF(COUNTIFS(counts!$C$2:$C$701,$A130,counts!$D$2:$D$701,$B130,counts!$E$2:$E$701,"remaining_day3")=0,"",SUMIFS(counts!$F$2:$F$701,counts!$C$2:$C$701,$A130,counts!$D$2:$D$701,$B130,counts!$E$2:$E$701,"remaining_day3")))</f>
        <v/>
      </c>
      <c r="AF130" s="30" t="str">
        <f aca="false">IF($A130="","",IF(COUNTIFS(counts!$C$2:$C$701,$A130,counts!$D$2:$D$701,$B130,counts!$E$2:$E$701,"remaining_day5")=0,"",SUMIFS(counts!$F$2:$F$701,counts!$C$2:$C$701,$A130,counts!$D$2:$D$701,$B130,counts!$E$2:$E$701,"remaining_day5")))</f>
        <v/>
      </c>
      <c r="AG130" s="30" t="str">
        <f aca="false">IF(OR($A130="",$AF130=""),"",MAX(0,$AA130+$AD130-$AF130))</f>
        <v/>
      </c>
      <c r="AH130" s="30" t="str">
        <f aca="false">IF(OR($A130="",$AI130=""),"",IFERROR(IF(INDEX(photos!$H$2:$H$701,MATCH($A130&amp;"|"&amp;$B130&amp;"|later|Y|"&amp;$AI130,photos!$S$2:$S$701,0))="","",INDEX(photos!$H$2:$H$701,MATCH($A130&amp;"|"&amp;$B130&amp;"|later|Y|"&amp;$AI130,photos!$S$2:$S$701,0))),""))</f>
        <v/>
      </c>
      <c r="AI130" s="31" t="str">
        <f aca="false">IF($A130="","",IFERROR(1/(1/SUMPRODUCT(MAX((photos!$B$2:$B$701=$A130)*(photos!$C$2:$C$701=$B130)*(photos!$D$2:$D$701="later")*(photos!$O$2:$O$701="Y")*photos!$E$2:$E$701))),""))</f>
        <v/>
      </c>
      <c r="AJ130" s="30" t="str">
        <f aca="false">IF(OR($A130="",$AI130="",$I130=""),"",NETWORKDAYS($I130,$AI130,calendar!$A$2:$A$80))</f>
        <v/>
      </c>
      <c r="AK130" s="30" t="str">
        <f aca="false">IF($A130="","",IF(AND($X130&lt;&gt;"",$AH130&lt;&gt;""),"Y","N"))</f>
        <v/>
      </c>
      <c r="AL130" s="30" t="str">
        <f aca="true">IF(OR($A130="",$I130=""),"",IF($BC130="Y",SUMIFS(survey_frozen!$C$2:$C$251,survey_frozen!$P$2:$P$251,$A130&amp;"|"&amp;$B130),IFERROR(COUNTIFS(INDIRECT("'"&amp;$A130&amp;"'!$B$2:$B$501"),$T130,INDIRECT("'"&amp;$A130&amp;"'!$A$2:$A$501"),"&gt;="&amp;$I130,INDIRECT("'"&amp;$A130&amp;"'!$A$2:$A$501"),"&lt;"&amp;($BA130+1)),0)))</f>
        <v/>
      </c>
      <c r="AM130" s="30" t="str">
        <f aca="true">IF(OR($A130="",$I130=""),"",IF($BC130="Y",SUMIFS(survey_frozen!$D$2:$D$251,survey_frozen!$P$2:$P$251,$A130&amp;"|"&amp;$B130),IFERROR(COUNTIFS(INDIRECT("'"&amp;$A130&amp;"'!$B$2:$B$501"),$T130,INDIRECT("'"&amp;$A130&amp;"'!$A$2:$A$501"),"&gt;="&amp;$I130,INDIRECT("'"&amp;$A130&amp;"'!$A$2:$A$501"),"&lt;"&amp;($BA130+1),INDIRECT("'"&amp;$A130&amp;"'!$C$2:$C$501"),"Yes"),0)))</f>
        <v/>
      </c>
      <c r="AN130" s="30" t="str">
        <f aca="false">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30" t="str">
        <f aca="false">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30" t="str">
        <f aca="true">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30" t="str">
        <f aca="true">IF(OR($A130="",$I130=""),"",IF($BC130="Y",SUMIFS(survey_frozen!$E$2:$E$251,survey_frozen!$P$2:$P$251,$A130&amp;"|"&amp;$B130),IFERROR(COUNTIFS(INDIRECT("'"&amp;$A130&amp;"'!$B$2:$B$501"),$T130,INDIRECT("'"&amp;$A130&amp;"'!$A$2:$A$501"),"&gt;="&amp;$I130,INDIRECT("'"&amp;$A130&amp;"'!$A$2:$A$501"),"&lt;"&amp;($BA130+1),INDIRECT("'"&amp;$A130&amp;"'!$F$2:$F$501"),"Didn't see it"),0)))</f>
        <v/>
      </c>
      <c r="AR130" s="30" t="str">
        <f aca="true">IF(OR($A130="",$I130=""),"",IF($BC130="Y",SUMIFS(survey_frozen!$F$2:$F$251,survey_frozen!$P$2:$P$251,$A130&amp;"|"&amp;$B130),IFERROR(COUNTIFS(INDIRECT("'"&amp;$A130&amp;"'!$B$2:$B$501"),$T130,INDIRECT("'"&amp;$A130&amp;"'!$A$2:$A$501"),"&gt;="&amp;$I130,INDIRECT("'"&amp;$A130&amp;"'!$A$2:$A$501"),"&lt;"&amp;($BA130+1),INDIRECT("'"&amp;$A130&amp;"'!$F$2:$F$501"),"Not for me"),0)))</f>
        <v/>
      </c>
      <c r="AS130" s="30" t="str">
        <f aca="true">IF(OR($A130="",$I130=""),"",IF($BC130="Y",SUMIFS(survey_frozen!$G$2:$G$251,survey_frozen!$P$2:$P$251,$A130&amp;"|"&amp;$B130),IFERROR(COUNTIFS(INDIRECT("'"&amp;$A130&amp;"'!$B$2:$B$501"),$T130,INDIRECT("'"&amp;$A130&amp;"'!$A$2:$A$501"),"&gt;="&amp;$I130,INDIRECT("'"&amp;$A130&amp;"'!$A$2:$A$501"),"&lt;"&amp;($BA130+1),INDIRECT("'"&amp;$A130&amp;"'!$F$2:$F$501"),"Gone by the time I looked"),0)))</f>
        <v/>
      </c>
      <c r="AT130" s="30" t="str">
        <f aca="true">IF(OR($A130="",$I130=""),"",IF($BC130="Y",SUMIFS(survey_frozen!$H$2:$H$251,survey_frozen!$P$2:$P$251,$A130&amp;"|"&amp;$B130),IFERROR(COUNTIFS(INDIRECT("'"&amp;$A130&amp;"'!$B$2:$B$501"),$T130,INDIRECT("'"&amp;$A130&amp;"'!$A$2:$A$501"),"&gt;="&amp;$I130,INDIRECT("'"&amp;$A130&amp;"'!$A$2:$A$501"),"&lt;"&amp;($BA130+1),INDIRECT("'"&amp;$A130&amp;"'!$D$2:$D$501"),"&gt;=1"),0)))</f>
        <v/>
      </c>
      <c r="AU130" s="30" t="str">
        <f aca="true">IF(OR($A130="",$I130=""),"",IF($BC130="Y",SUMIFS(survey_frozen!$I$2:$I$251,survey_frozen!$P$2:$P$251,$A130&amp;"|"&amp;$B130),IFERROR(SUMIFS(INDIRECT("'"&amp;$A130&amp;"'!$D$2:$D$501"),INDIRECT("'"&amp;$A130&amp;"'!$B$2:$B$501"),$T130,INDIRECT("'"&amp;$A130&amp;"'!$A$2:$A$501"),"&gt;="&amp;$I130,INDIRECT("'"&amp;$A130&amp;"'!$A$2:$A$501"),"&lt;"&amp;($BA130+1)),0)))</f>
        <v/>
      </c>
      <c r="AV130" s="30" t="str">
        <f aca="true">IF(OR($A130="",$I130=""),"",IF($BC130="Y",SUMIFS(survey_frozen!$J$2:$J$251,survey_frozen!$P$2:$P$251,$A130&amp;"|"&amp;$B130),IFERROR(COUNTIFS(INDIRECT("'"&amp;$A130&amp;"'!$B$2:$B$501"),$T130,INDIRECT("'"&amp;$A130&amp;"'!$A$2:$A$501"),"&gt;="&amp;$I130,INDIRECT("'"&amp;$A130&amp;"'!$A$2:$A$501"),"&lt;"&amp;($BA130+1),INDIRECT("'"&amp;$A130&amp;"'!$E$2:$E$501"),"Yes"),0)))</f>
        <v/>
      </c>
      <c r="AW130" s="30" t="str">
        <f aca="true">IF(OR($A130="",$I130=""),"",IF($BC130="Y",SUMIFS(survey_frozen!$K$2:$K$251,survey_frozen!$P$2:$P$251,$A130&amp;"|"&amp;$B130),IFERROR(COUNTIFS(INDIRECT("'"&amp;$A130&amp;"'!$B$2:$B$501"),$T130,INDIRECT("'"&amp;$A130&amp;"'!$A$2:$A$501"),"&gt;="&amp;$I130,INDIRECT("'"&amp;$A130&amp;"'!$A$2:$A$501"),"&lt;"&amp;($BA130+1),INDIRECT("'"&amp;$A130&amp;"'!$E$2:$E$501"),"Maybe"),0)))</f>
        <v/>
      </c>
      <c r="AX130" s="30" t="str">
        <f aca="true">IF(OR($A130="",$I130=""),"",IF($BC130="Y",SUMIFS(survey_frozen!$L$2:$L$251,survey_frozen!$P$2:$P$251,$A130&amp;"|"&amp;$B130),IFERROR(COUNTIFS(INDIRECT("'"&amp;$A130&amp;"'!$B$2:$B$501"),$T130,INDIRECT("'"&amp;$A130&amp;"'!$A$2:$A$501"),"&gt;="&amp;$I130,INDIRECT("'"&amp;$A130&amp;"'!$A$2:$A$501"),"&lt;"&amp;($BA130+1),INDIRECT("'"&amp;$A130&amp;"'!$E$2:$E$501"),"No"),0)))</f>
        <v/>
      </c>
      <c r="AY130" s="30" t="str">
        <f aca="true">IF(OR($A130="",$I130=""),"",IF($BC130="Y",SUMIFS(survey_frozen!$M$2:$M$251,survey_frozen!$P$2:$P$251,$A130&amp;"|"&amp;$B130),IFERROR(COUNTIFS(INDIRECT("'"&amp;$A130&amp;"'!$B$2:$B$501"),$T130,INDIRECT("'"&amp;$A130&amp;"'!$A$2:$A$501"),"&gt;="&amp;$I130,INDIRECT("'"&amp;$A130&amp;"'!$A$2:$A$501"),"&lt;"&amp;($BA130+1),INDIRECT("'"&amp;$A130&amp;"'!$G$2:$G$501"),"&lt;&gt;"),0)))</f>
        <v/>
      </c>
      <c r="AZ130" s="30" t="str">
        <f aca="false">IF($A130="","",$A130&amp;"|"&amp;$L130)</f>
        <v/>
      </c>
      <c r="BA130" s="31" t="str">
        <f aca="false">IF($A130="","",IFERROR(IF(INDEX(drops!$R$2:$R$21,MATCH($H130,drops!$A$2:$A$21,0))="","",INDEX(drops!$R$2:$R$21,MATCH($H130,drops!$A$2:$A$21,0))),""))</f>
        <v/>
      </c>
      <c r="BB130" s="30" t="n">
        <f aca="false">IF(OR($A130="",$Q130&lt;&gt;"Y"),1000000,N($AL130))</f>
        <v>1000000</v>
      </c>
      <c r="BC130" s="30" t="str">
        <f aca="false">IF($A130="","",IF(COUNTIF(survey_frozen!$P$2:$P$251,$A130&amp;"|"&amp;$B130)&gt;0,"Y",""))</f>
        <v/>
      </c>
      <c r="BD130" s="30" t="str">
        <f aca="false">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ustomFormat="false" ht="15" hidden="false" customHeight="false" outlineLevel="0" collapsed="false">
      <c r="C131" s="11"/>
      <c r="D131" s="10"/>
      <c r="E131" s="11"/>
      <c r="H131" s="30" t="str">
        <f aca="false">IF($A131="","",IFERROR(IF(INDEX(campaigns!$B$2:$B$51,MATCH($A131,campaigns!$A$2:$A$51,0))="","",INDEX(campaigns!$B$2:$B$51,MATCH($A131,campaigns!$A$2:$A$51,0))),""))</f>
        <v/>
      </c>
      <c r="I131" s="31" t="str">
        <f aca="false">IF($A131="","",IFERROR(IF(INDEX(campaigns!$BG$2:$BG$51,MATCH($A131,campaigns!$A$2:$A$51,0))="","",INDEX(campaigns!$BG$2:$BG$51,MATCH($A131,campaigns!$A$2:$A$51,0))),""))</f>
        <v/>
      </c>
      <c r="J131" s="30" t="str">
        <f aca="false">IF($A131="","",IFERROR(IF(INDEX(campaigns!$BE$2:$BE$51,MATCH($A131,campaigns!$A$2:$A$51,0))="","",INDEX(campaigns!$BE$2:$BE$51,MATCH($A131,campaigns!$A$2:$A$51,0))),""))</f>
        <v/>
      </c>
      <c r="K131" s="30" t="str">
        <f aca="false">IF($B131="","",IFERROR(IF(INDEX(offices!$O$2:$O$61,MATCH($B131,offices!$A$2:$A$61,0))="","",INDEX(offices!$O$2:$O$61,MATCH($B131,offices!$A$2:$A$61,0))),""))</f>
        <v/>
      </c>
      <c r="L131" s="30" t="str">
        <f aca="false">IF($A131="","",IF($Q131="N","",COUNTIFS($A$2:$A131,$A131,$Q$2:$Q131,"&lt;&gt;N")))</f>
        <v/>
      </c>
      <c r="M131" s="30" t="str">
        <f aca="false">IF(OR($A131="",$L131=""),"",IF(AND(config!$B$34="names_if_public",IFERROR(IF(INDEX(offices!$AG$2:$AG$61,MATCH($B131,offices!$A$2:$A$61,0))="","",INDEX(offices!$AG$2:$AG$61,MATCH($B131,offices!$A$2:$A$61,0))),"")="Y"),$K131,CHAR(64+$L131)))</f>
        <v/>
      </c>
      <c r="N131" s="30" t="str">
        <f aca="false">IF(OR($A131="",$I131=""),"",COUNTIFS(stops!$B$2:$B$151,$B131,stops!$P$2:$P$151,"&lt;"&amp;$I131,stops!$L$2:$L$151,"&lt;&gt;not_delivered")+1)</f>
        <v/>
      </c>
      <c r="O131" s="30" t="str">
        <f aca="false">IF($A131="","",IF(N($N131)&lt;=config!$B$29,"explicit","opt-out"))</f>
        <v/>
      </c>
      <c r="P131" s="30" t="str">
        <f aca="false">IF($A131="","",IF($O131="explicit",IF($D131="yes","Y",IF($D131="no","N","pending")),IF($D131="no","N",IF(AND($C131&lt;&gt;"",$I131&lt;&gt;"",$C131&lt;=WORKDAY(N($I131),-5,calendar!$A$2:$A$80)),"Y","pending"))))</f>
        <v/>
      </c>
      <c r="Q131" s="30" t="str">
        <f aca="false">IF($A131="","",IF($P131="N","N",IF($P131&lt;&gt;"Y","pending",IF(AND((COUNTIFS(stops!$A$2:$A$151,$H131,stops!$B$2:$B$151,$B131,stops!$L$2:$L$151,"declined")+COUNTIFS(stops!$A$2:$A$151,$H131,stops!$B$2:$B$151,$B131,stops!$L$2:$L$151,"building_refused")+COUNTIFS(stops!$A$2:$A$151,$H131,stops!$B$2:$B$151,$B131,stops!$L$2:$L$151,"not_delivered"))&gt;0,N($U131)=0),"N","Y"))))</f>
        <v/>
      </c>
      <c r="R131" s="30" t="str">
        <f aca="false">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30" t="str">
        <f aca="false">IF($A131="","",IF($G131&lt;&gt;"",$G131,IFERROR(IF(INDEX(offices!$AM$2:$AM$61,MATCH($B131,offices!$A$2:$A$61,0))="","",INDEX(offices!$AM$2:$AM$61,MATCH($B131,offices!$A$2:$A$61,0))),"")))</f>
        <v/>
      </c>
      <c r="T131" s="30" t="str">
        <f aca="false">IF($A131="","",$A131&amp;"."&amp;$B131)</f>
        <v/>
      </c>
      <c r="U131" s="30" t="str">
        <f aca="false">IF($A131="","",SUMIFS(inventory!$G$2:$G$801,inventory!$C$2:$C$801,$A131,inventory!$D$2:$D$801,$B131,inventory!$E$2:$E$801,"delivered"))</f>
        <v/>
      </c>
      <c r="V131" s="37" t="str">
        <f aca="false">IF($A131="","",IFERROR(1/(1/SUMPRODUCT(MAX((inventory!$C$2:$C$801=$A131)*(inventory!$D$2:$D$801=$B131)*(inventory!$E$2:$E$801="delivered")*(inventory!$A$2:$A$801+inventory!$B$2:$B$801)))),""))</f>
        <v/>
      </c>
      <c r="W131" s="30" t="str">
        <f aca="false">IF($A131="","",IFERROR(IF(INDEX(inventory!$J$2:$J$801,MATCH($A131&amp;"|"&amp;$B131&amp;"|delivered",inventory!$R$2:$R$801,0))="","",INDEX(inventory!$J$2:$J$801,MATCH($A131&amp;"|"&amp;$B131&amp;"|delivered",inventory!$R$2:$R$801,0))),""))</f>
        <v/>
      </c>
      <c r="X131" s="30" t="str">
        <f aca="false">IF($A131="","",IFERROR(IF(INDEX(photos!$H$2:$H$701,MATCH($A131&amp;"|"&amp;$B131&amp;"|placement|Y",photos!$R$2:$R$701,0))="","",INDEX(photos!$H$2:$H$701,MATCH($A131&amp;"|"&amp;$B131&amp;"|placement|Y",photos!$R$2:$R$701,0))),""))</f>
        <v/>
      </c>
      <c r="Y131" s="31" t="str">
        <f aca="false">IF($A131="","",IFERROR(IF(INDEX(photos!$E$2:$E$701,MATCH($A131&amp;"|"&amp;$B131&amp;"|placement|Y",photos!$R$2:$R$701,0))="","",INDEX(photos!$E$2:$E$701,MATCH($A131&amp;"|"&amp;$B131&amp;"|placement|Y",photos!$R$2:$R$701,0))),""))</f>
        <v/>
      </c>
      <c r="Z131" s="30" t="str">
        <f aca="false">IF($A131="","",IF(COUNTIFS(counts!$C$2:$C$701,$A131,counts!$D$2:$D$701,$B131,counts!$E$2:$E$701,"placed")=0,"",SUMIFS(counts!$F$2:$F$701,counts!$C$2:$C$701,$A131,counts!$D$2:$D$701,$B131,counts!$E$2:$E$701,"placed")))</f>
        <v/>
      </c>
      <c r="AA131" s="30" t="str">
        <f aca="false">IF($A131="","",IF($Y131="",0,N($Z131)))</f>
        <v/>
      </c>
      <c r="AB131" s="30" t="str">
        <f aca="false">IF($A131="","",IF(OR($Y131="",$I131=""),"N",IF($Y131&lt;=WORKDAY(N($I131),1,calendar!$A$2:$A$80),"Y","N")))</f>
        <v/>
      </c>
      <c r="AC131" s="33" t="str">
        <f aca="false">IF(OR($A131="",$V131="",$Y131=""),"",ROUND(($Y131+N(IFERROR(IF(INDEX(photos!$F$2:$F$701,MATCH($A131&amp;"|"&amp;$B131&amp;"|placement|Y",photos!$R$2:$R$701,0))="","",INDEX(photos!$F$2:$F$701,MATCH($A131&amp;"|"&amp;$B131&amp;"|placement|Y",photos!$R$2:$R$701,0))),""))-$V131)*24,1))</f>
        <v/>
      </c>
      <c r="AD131" s="30" t="str">
        <f aca="false">IF($A131="","",SUMIFS(inventory!$G$2:$G$801,inventory!$C$2:$C$801,$A131,inventory!$D$2:$D$801,$B131,inventory!$E$2:$E$801,"topped_up"))</f>
        <v/>
      </c>
      <c r="AE131" s="30" t="str">
        <f aca="false">IF($A131="","",IF(COUNTIFS(counts!$C$2:$C$701,$A131,counts!$D$2:$D$701,$B131,counts!$E$2:$E$701,"remaining_day3")=0,"",SUMIFS(counts!$F$2:$F$701,counts!$C$2:$C$701,$A131,counts!$D$2:$D$701,$B131,counts!$E$2:$E$701,"remaining_day3")))</f>
        <v/>
      </c>
      <c r="AF131" s="30" t="str">
        <f aca="false">IF($A131="","",IF(COUNTIFS(counts!$C$2:$C$701,$A131,counts!$D$2:$D$701,$B131,counts!$E$2:$E$701,"remaining_day5")=0,"",SUMIFS(counts!$F$2:$F$701,counts!$C$2:$C$701,$A131,counts!$D$2:$D$701,$B131,counts!$E$2:$E$701,"remaining_day5")))</f>
        <v/>
      </c>
      <c r="AG131" s="30" t="str">
        <f aca="false">IF(OR($A131="",$AF131=""),"",MAX(0,$AA131+$AD131-$AF131))</f>
        <v/>
      </c>
      <c r="AH131" s="30" t="str">
        <f aca="false">IF(OR($A131="",$AI131=""),"",IFERROR(IF(INDEX(photos!$H$2:$H$701,MATCH($A131&amp;"|"&amp;$B131&amp;"|later|Y|"&amp;$AI131,photos!$S$2:$S$701,0))="","",INDEX(photos!$H$2:$H$701,MATCH($A131&amp;"|"&amp;$B131&amp;"|later|Y|"&amp;$AI131,photos!$S$2:$S$701,0))),""))</f>
        <v/>
      </c>
      <c r="AI131" s="31" t="str">
        <f aca="false">IF($A131="","",IFERROR(1/(1/SUMPRODUCT(MAX((photos!$B$2:$B$701=$A131)*(photos!$C$2:$C$701=$B131)*(photos!$D$2:$D$701="later")*(photos!$O$2:$O$701="Y")*photos!$E$2:$E$701))),""))</f>
        <v/>
      </c>
      <c r="AJ131" s="30" t="str">
        <f aca="false">IF(OR($A131="",$AI131="",$I131=""),"",NETWORKDAYS($I131,$AI131,calendar!$A$2:$A$80))</f>
        <v/>
      </c>
      <c r="AK131" s="30" t="str">
        <f aca="false">IF($A131="","",IF(AND($X131&lt;&gt;"",$AH131&lt;&gt;""),"Y","N"))</f>
        <v/>
      </c>
      <c r="AL131" s="30" t="str">
        <f aca="true">IF(OR($A131="",$I131=""),"",IF($BC131="Y",SUMIFS(survey_frozen!$C$2:$C$251,survey_frozen!$P$2:$P$251,$A131&amp;"|"&amp;$B131),IFERROR(COUNTIFS(INDIRECT("'"&amp;$A131&amp;"'!$B$2:$B$501"),$T131,INDIRECT("'"&amp;$A131&amp;"'!$A$2:$A$501"),"&gt;="&amp;$I131,INDIRECT("'"&amp;$A131&amp;"'!$A$2:$A$501"),"&lt;"&amp;($BA131+1)),0)))</f>
        <v/>
      </c>
      <c r="AM131" s="30" t="str">
        <f aca="true">IF(OR($A131="",$I131=""),"",IF($BC131="Y",SUMIFS(survey_frozen!$D$2:$D$251,survey_frozen!$P$2:$P$251,$A131&amp;"|"&amp;$B131),IFERROR(COUNTIFS(INDIRECT("'"&amp;$A131&amp;"'!$B$2:$B$501"),$T131,INDIRECT("'"&amp;$A131&amp;"'!$A$2:$A$501"),"&gt;="&amp;$I131,INDIRECT("'"&amp;$A131&amp;"'!$A$2:$A$501"),"&lt;"&amp;($BA131+1),INDIRECT("'"&amp;$A131&amp;"'!$C$2:$C$501"),"Yes"),0)))</f>
        <v/>
      </c>
      <c r="AN131" s="30" t="str">
        <f aca="false">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30" t="str">
        <f aca="false">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30" t="str">
        <f aca="true">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30" t="str">
        <f aca="true">IF(OR($A131="",$I131=""),"",IF($BC131="Y",SUMIFS(survey_frozen!$E$2:$E$251,survey_frozen!$P$2:$P$251,$A131&amp;"|"&amp;$B131),IFERROR(COUNTIFS(INDIRECT("'"&amp;$A131&amp;"'!$B$2:$B$501"),$T131,INDIRECT("'"&amp;$A131&amp;"'!$A$2:$A$501"),"&gt;="&amp;$I131,INDIRECT("'"&amp;$A131&amp;"'!$A$2:$A$501"),"&lt;"&amp;($BA131+1),INDIRECT("'"&amp;$A131&amp;"'!$F$2:$F$501"),"Didn't see it"),0)))</f>
        <v/>
      </c>
      <c r="AR131" s="30" t="str">
        <f aca="true">IF(OR($A131="",$I131=""),"",IF($BC131="Y",SUMIFS(survey_frozen!$F$2:$F$251,survey_frozen!$P$2:$P$251,$A131&amp;"|"&amp;$B131),IFERROR(COUNTIFS(INDIRECT("'"&amp;$A131&amp;"'!$B$2:$B$501"),$T131,INDIRECT("'"&amp;$A131&amp;"'!$A$2:$A$501"),"&gt;="&amp;$I131,INDIRECT("'"&amp;$A131&amp;"'!$A$2:$A$501"),"&lt;"&amp;($BA131+1),INDIRECT("'"&amp;$A131&amp;"'!$F$2:$F$501"),"Not for me"),0)))</f>
        <v/>
      </c>
      <c r="AS131" s="30" t="str">
        <f aca="true">IF(OR($A131="",$I131=""),"",IF($BC131="Y",SUMIFS(survey_frozen!$G$2:$G$251,survey_frozen!$P$2:$P$251,$A131&amp;"|"&amp;$B131),IFERROR(COUNTIFS(INDIRECT("'"&amp;$A131&amp;"'!$B$2:$B$501"),$T131,INDIRECT("'"&amp;$A131&amp;"'!$A$2:$A$501"),"&gt;="&amp;$I131,INDIRECT("'"&amp;$A131&amp;"'!$A$2:$A$501"),"&lt;"&amp;($BA131+1),INDIRECT("'"&amp;$A131&amp;"'!$F$2:$F$501"),"Gone by the time I looked"),0)))</f>
        <v/>
      </c>
      <c r="AT131" s="30" t="str">
        <f aca="true">IF(OR($A131="",$I131=""),"",IF($BC131="Y",SUMIFS(survey_frozen!$H$2:$H$251,survey_frozen!$P$2:$P$251,$A131&amp;"|"&amp;$B131),IFERROR(COUNTIFS(INDIRECT("'"&amp;$A131&amp;"'!$B$2:$B$501"),$T131,INDIRECT("'"&amp;$A131&amp;"'!$A$2:$A$501"),"&gt;="&amp;$I131,INDIRECT("'"&amp;$A131&amp;"'!$A$2:$A$501"),"&lt;"&amp;($BA131+1),INDIRECT("'"&amp;$A131&amp;"'!$D$2:$D$501"),"&gt;=1"),0)))</f>
        <v/>
      </c>
      <c r="AU131" s="30" t="str">
        <f aca="true">IF(OR($A131="",$I131=""),"",IF($BC131="Y",SUMIFS(survey_frozen!$I$2:$I$251,survey_frozen!$P$2:$P$251,$A131&amp;"|"&amp;$B131),IFERROR(SUMIFS(INDIRECT("'"&amp;$A131&amp;"'!$D$2:$D$501"),INDIRECT("'"&amp;$A131&amp;"'!$B$2:$B$501"),$T131,INDIRECT("'"&amp;$A131&amp;"'!$A$2:$A$501"),"&gt;="&amp;$I131,INDIRECT("'"&amp;$A131&amp;"'!$A$2:$A$501"),"&lt;"&amp;($BA131+1)),0)))</f>
        <v/>
      </c>
      <c r="AV131" s="30" t="str">
        <f aca="true">IF(OR($A131="",$I131=""),"",IF($BC131="Y",SUMIFS(survey_frozen!$J$2:$J$251,survey_frozen!$P$2:$P$251,$A131&amp;"|"&amp;$B131),IFERROR(COUNTIFS(INDIRECT("'"&amp;$A131&amp;"'!$B$2:$B$501"),$T131,INDIRECT("'"&amp;$A131&amp;"'!$A$2:$A$501"),"&gt;="&amp;$I131,INDIRECT("'"&amp;$A131&amp;"'!$A$2:$A$501"),"&lt;"&amp;($BA131+1),INDIRECT("'"&amp;$A131&amp;"'!$E$2:$E$501"),"Yes"),0)))</f>
        <v/>
      </c>
      <c r="AW131" s="30" t="str">
        <f aca="true">IF(OR($A131="",$I131=""),"",IF($BC131="Y",SUMIFS(survey_frozen!$K$2:$K$251,survey_frozen!$P$2:$P$251,$A131&amp;"|"&amp;$B131),IFERROR(COUNTIFS(INDIRECT("'"&amp;$A131&amp;"'!$B$2:$B$501"),$T131,INDIRECT("'"&amp;$A131&amp;"'!$A$2:$A$501"),"&gt;="&amp;$I131,INDIRECT("'"&amp;$A131&amp;"'!$A$2:$A$501"),"&lt;"&amp;($BA131+1),INDIRECT("'"&amp;$A131&amp;"'!$E$2:$E$501"),"Maybe"),0)))</f>
        <v/>
      </c>
      <c r="AX131" s="30" t="str">
        <f aca="true">IF(OR($A131="",$I131=""),"",IF($BC131="Y",SUMIFS(survey_frozen!$L$2:$L$251,survey_frozen!$P$2:$P$251,$A131&amp;"|"&amp;$B131),IFERROR(COUNTIFS(INDIRECT("'"&amp;$A131&amp;"'!$B$2:$B$501"),$T131,INDIRECT("'"&amp;$A131&amp;"'!$A$2:$A$501"),"&gt;="&amp;$I131,INDIRECT("'"&amp;$A131&amp;"'!$A$2:$A$501"),"&lt;"&amp;($BA131+1),INDIRECT("'"&amp;$A131&amp;"'!$E$2:$E$501"),"No"),0)))</f>
        <v/>
      </c>
      <c r="AY131" s="30" t="str">
        <f aca="true">IF(OR($A131="",$I131=""),"",IF($BC131="Y",SUMIFS(survey_frozen!$M$2:$M$251,survey_frozen!$P$2:$P$251,$A131&amp;"|"&amp;$B131),IFERROR(COUNTIFS(INDIRECT("'"&amp;$A131&amp;"'!$B$2:$B$501"),$T131,INDIRECT("'"&amp;$A131&amp;"'!$A$2:$A$501"),"&gt;="&amp;$I131,INDIRECT("'"&amp;$A131&amp;"'!$A$2:$A$501"),"&lt;"&amp;($BA131+1),INDIRECT("'"&amp;$A131&amp;"'!$G$2:$G$501"),"&lt;&gt;"),0)))</f>
        <v/>
      </c>
      <c r="AZ131" s="30" t="str">
        <f aca="false">IF($A131="","",$A131&amp;"|"&amp;$L131)</f>
        <v/>
      </c>
      <c r="BA131" s="31" t="str">
        <f aca="false">IF($A131="","",IFERROR(IF(INDEX(drops!$R$2:$R$21,MATCH($H131,drops!$A$2:$A$21,0))="","",INDEX(drops!$R$2:$R$21,MATCH($H131,drops!$A$2:$A$21,0))),""))</f>
        <v/>
      </c>
      <c r="BB131" s="30" t="n">
        <f aca="false">IF(OR($A131="",$Q131&lt;&gt;"Y"),1000000,N($AL131))</f>
        <v>1000000</v>
      </c>
      <c r="BC131" s="30" t="str">
        <f aca="false">IF($A131="","",IF(COUNTIF(survey_frozen!$P$2:$P$251,$A131&amp;"|"&amp;$B131)&gt;0,"Y",""))</f>
        <v/>
      </c>
      <c r="BD131" s="30" t="str">
        <f aca="false">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ustomFormat="false" ht="15" hidden="false" customHeight="false" outlineLevel="0" collapsed="false">
      <c r="C132" s="11"/>
      <c r="D132" s="10"/>
      <c r="E132" s="11"/>
      <c r="H132" s="30" t="str">
        <f aca="false">IF($A132="","",IFERROR(IF(INDEX(campaigns!$B$2:$B$51,MATCH($A132,campaigns!$A$2:$A$51,0))="","",INDEX(campaigns!$B$2:$B$51,MATCH($A132,campaigns!$A$2:$A$51,0))),""))</f>
        <v/>
      </c>
      <c r="I132" s="31" t="str">
        <f aca="false">IF($A132="","",IFERROR(IF(INDEX(campaigns!$BG$2:$BG$51,MATCH($A132,campaigns!$A$2:$A$51,0))="","",INDEX(campaigns!$BG$2:$BG$51,MATCH($A132,campaigns!$A$2:$A$51,0))),""))</f>
        <v/>
      </c>
      <c r="J132" s="30" t="str">
        <f aca="false">IF($A132="","",IFERROR(IF(INDEX(campaigns!$BE$2:$BE$51,MATCH($A132,campaigns!$A$2:$A$51,0))="","",INDEX(campaigns!$BE$2:$BE$51,MATCH($A132,campaigns!$A$2:$A$51,0))),""))</f>
        <v/>
      </c>
      <c r="K132" s="30" t="str">
        <f aca="false">IF($B132="","",IFERROR(IF(INDEX(offices!$O$2:$O$61,MATCH($B132,offices!$A$2:$A$61,0))="","",INDEX(offices!$O$2:$O$61,MATCH($B132,offices!$A$2:$A$61,0))),""))</f>
        <v/>
      </c>
      <c r="L132" s="30" t="str">
        <f aca="false">IF($A132="","",IF($Q132="N","",COUNTIFS($A$2:$A132,$A132,$Q$2:$Q132,"&lt;&gt;N")))</f>
        <v/>
      </c>
      <c r="M132" s="30" t="str">
        <f aca="false">IF(OR($A132="",$L132=""),"",IF(AND(config!$B$34="names_if_public",IFERROR(IF(INDEX(offices!$AG$2:$AG$61,MATCH($B132,offices!$A$2:$A$61,0))="","",INDEX(offices!$AG$2:$AG$61,MATCH($B132,offices!$A$2:$A$61,0))),"")="Y"),$K132,CHAR(64+$L132)))</f>
        <v/>
      </c>
      <c r="N132" s="30" t="str">
        <f aca="false">IF(OR($A132="",$I132=""),"",COUNTIFS(stops!$B$2:$B$151,$B132,stops!$P$2:$P$151,"&lt;"&amp;$I132,stops!$L$2:$L$151,"&lt;&gt;not_delivered")+1)</f>
        <v/>
      </c>
      <c r="O132" s="30" t="str">
        <f aca="false">IF($A132="","",IF(N($N132)&lt;=config!$B$29,"explicit","opt-out"))</f>
        <v/>
      </c>
      <c r="P132" s="30" t="str">
        <f aca="false">IF($A132="","",IF($O132="explicit",IF($D132="yes","Y",IF($D132="no","N","pending")),IF($D132="no","N",IF(AND($C132&lt;&gt;"",$I132&lt;&gt;"",$C132&lt;=WORKDAY(N($I132),-5,calendar!$A$2:$A$80)),"Y","pending"))))</f>
        <v/>
      </c>
      <c r="Q132" s="30" t="str">
        <f aca="false">IF($A132="","",IF($P132="N","N",IF($P132&lt;&gt;"Y","pending",IF(AND((COUNTIFS(stops!$A$2:$A$151,$H132,stops!$B$2:$B$151,$B132,stops!$L$2:$L$151,"declined")+COUNTIFS(stops!$A$2:$A$151,$H132,stops!$B$2:$B$151,$B132,stops!$L$2:$L$151,"building_refused")+COUNTIFS(stops!$A$2:$A$151,$H132,stops!$B$2:$B$151,$B132,stops!$L$2:$L$151,"not_delivered"))&gt;0,N($U132)=0),"N","Y"))))</f>
        <v/>
      </c>
      <c r="R132" s="30" t="str">
        <f aca="false">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30" t="str">
        <f aca="false">IF($A132="","",IF($G132&lt;&gt;"",$G132,IFERROR(IF(INDEX(offices!$AM$2:$AM$61,MATCH($B132,offices!$A$2:$A$61,0))="","",INDEX(offices!$AM$2:$AM$61,MATCH($B132,offices!$A$2:$A$61,0))),"")))</f>
        <v/>
      </c>
      <c r="T132" s="30" t="str">
        <f aca="false">IF($A132="","",$A132&amp;"."&amp;$B132)</f>
        <v/>
      </c>
      <c r="U132" s="30" t="str">
        <f aca="false">IF($A132="","",SUMIFS(inventory!$G$2:$G$801,inventory!$C$2:$C$801,$A132,inventory!$D$2:$D$801,$B132,inventory!$E$2:$E$801,"delivered"))</f>
        <v/>
      </c>
      <c r="V132" s="37" t="str">
        <f aca="false">IF($A132="","",IFERROR(1/(1/SUMPRODUCT(MAX((inventory!$C$2:$C$801=$A132)*(inventory!$D$2:$D$801=$B132)*(inventory!$E$2:$E$801="delivered")*(inventory!$A$2:$A$801+inventory!$B$2:$B$801)))),""))</f>
        <v/>
      </c>
      <c r="W132" s="30" t="str">
        <f aca="false">IF($A132="","",IFERROR(IF(INDEX(inventory!$J$2:$J$801,MATCH($A132&amp;"|"&amp;$B132&amp;"|delivered",inventory!$R$2:$R$801,0))="","",INDEX(inventory!$J$2:$J$801,MATCH($A132&amp;"|"&amp;$B132&amp;"|delivered",inventory!$R$2:$R$801,0))),""))</f>
        <v/>
      </c>
      <c r="X132" s="30" t="str">
        <f aca="false">IF($A132="","",IFERROR(IF(INDEX(photos!$H$2:$H$701,MATCH($A132&amp;"|"&amp;$B132&amp;"|placement|Y",photos!$R$2:$R$701,0))="","",INDEX(photos!$H$2:$H$701,MATCH($A132&amp;"|"&amp;$B132&amp;"|placement|Y",photos!$R$2:$R$701,0))),""))</f>
        <v/>
      </c>
      <c r="Y132" s="31" t="str">
        <f aca="false">IF($A132="","",IFERROR(IF(INDEX(photos!$E$2:$E$701,MATCH($A132&amp;"|"&amp;$B132&amp;"|placement|Y",photos!$R$2:$R$701,0))="","",INDEX(photos!$E$2:$E$701,MATCH($A132&amp;"|"&amp;$B132&amp;"|placement|Y",photos!$R$2:$R$701,0))),""))</f>
        <v/>
      </c>
      <c r="Z132" s="30" t="str">
        <f aca="false">IF($A132="","",IF(COUNTIFS(counts!$C$2:$C$701,$A132,counts!$D$2:$D$701,$B132,counts!$E$2:$E$701,"placed")=0,"",SUMIFS(counts!$F$2:$F$701,counts!$C$2:$C$701,$A132,counts!$D$2:$D$701,$B132,counts!$E$2:$E$701,"placed")))</f>
        <v/>
      </c>
      <c r="AA132" s="30" t="str">
        <f aca="false">IF($A132="","",IF($Y132="",0,N($Z132)))</f>
        <v/>
      </c>
      <c r="AB132" s="30" t="str">
        <f aca="false">IF($A132="","",IF(OR($Y132="",$I132=""),"N",IF($Y132&lt;=WORKDAY(N($I132),1,calendar!$A$2:$A$80),"Y","N")))</f>
        <v/>
      </c>
      <c r="AC132" s="33" t="str">
        <f aca="false">IF(OR($A132="",$V132="",$Y132=""),"",ROUND(($Y132+N(IFERROR(IF(INDEX(photos!$F$2:$F$701,MATCH($A132&amp;"|"&amp;$B132&amp;"|placement|Y",photos!$R$2:$R$701,0))="","",INDEX(photos!$F$2:$F$701,MATCH($A132&amp;"|"&amp;$B132&amp;"|placement|Y",photos!$R$2:$R$701,0))),""))-$V132)*24,1))</f>
        <v/>
      </c>
      <c r="AD132" s="30" t="str">
        <f aca="false">IF($A132="","",SUMIFS(inventory!$G$2:$G$801,inventory!$C$2:$C$801,$A132,inventory!$D$2:$D$801,$B132,inventory!$E$2:$E$801,"topped_up"))</f>
        <v/>
      </c>
      <c r="AE132" s="30" t="str">
        <f aca="false">IF($A132="","",IF(COUNTIFS(counts!$C$2:$C$701,$A132,counts!$D$2:$D$701,$B132,counts!$E$2:$E$701,"remaining_day3")=0,"",SUMIFS(counts!$F$2:$F$701,counts!$C$2:$C$701,$A132,counts!$D$2:$D$701,$B132,counts!$E$2:$E$701,"remaining_day3")))</f>
        <v/>
      </c>
      <c r="AF132" s="30" t="str">
        <f aca="false">IF($A132="","",IF(COUNTIFS(counts!$C$2:$C$701,$A132,counts!$D$2:$D$701,$B132,counts!$E$2:$E$701,"remaining_day5")=0,"",SUMIFS(counts!$F$2:$F$701,counts!$C$2:$C$701,$A132,counts!$D$2:$D$701,$B132,counts!$E$2:$E$701,"remaining_day5")))</f>
        <v/>
      </c>
      <c r="AG132" s="30" t="str">
        <f aca="false">IF(OR($A132="",$AF132=""),"",MAX(0,$AA132+$AD132-$AF132))</f>
        <v/>
      </c>
      <c r="AH132" s="30" t="str">
        <f aca="false">IF(OR($A132="",$AI132=""),"",IFERROR(IF(INDEX(photos!$H$2:$H$701,MATCH($A132&amp;"|"&amp;$B132&amp;"|later|Y|"&amp;$AI132,photos!$S$2:$S$701,0))="","",INDEX(photos!$H$2:$H$701,MATCH($A132&amp;"|"&amp;$B132&amp;"|later|Y|"&amp;$AI132,photos!$S$2:$S$701,0))),""))</f>
        <v/>
      </c>
      <c r="AI132" s="31" t="str">
        <f aca="false">IF($A132="","",IFERROR(1/(1/SUMPRODUCT(MAX((photos!$B$2:$B$701=$A132)*(photos!$C$2:$C$701=$B132)*(photos!$D$2:$D$701="later")*(photos!$O$2:$O$701="Y")*photos!$E$2:$E$701))),""))</f>
        <v/>
      </c>
      <c r="AJ132" s="30" t="str">
        <f aca="false">IF(OR($A132="",$AI132="",$I132=""),"",NETWORKDAYS($I132,$AI132,calendar!$A$2:$A$80))</f>
        <v/>
      </c>
      <c r="AK132" s="30" t="str">
        <f aca="false">IF($A132="","",IF(AND($X132&lt;&gt;"",$AH132&lt;&gt;""),"Y","N"))</f>
        <v/>
      </c>
      <c r="AL132" s="30" t="str">
        <f aca="true">IF(OR($A132="",$I132=""),"",IF($BC132="Y",SUMIFS(survey_frozen!$C$2:$C$251,survey_frozen!$P$2:$P$251,$A132&amp;"|"&amp;$B132),IFERROR(COUNTIFS(INDIRECT("'"&amp;$A132&amp;"'!$B$2:$B$501"),$T132,INDIRECT("'"&amp;$A132&amp;"'!$A$2:$A$501"),"&gt;="&amp;$I132,INDIRECT("'"&amp;$A132&amp;"'!$A$2:$A$501"),"&lt;"&amp;($BA132+1)),0)))</f>
        <v/>
      </c>
      <c r="AM132" s="30" t="str">
        <f aca="true">IF(OR($A132="",$I132=""),"",IF($BC132="Y",SUMIFS(survey_frozen!$D$2:$D$251,survey_frozen!$P$2:$P$251,$A132&amp;"|"&amp;$B132),IFERROR(COUNTIFS(INDIRECT("'"&amp;$A132&amp;"'!$B$2:$B$501"),$T132,INDIRECT("'"&amp;$A132&amp;"'!$A$2:$A$501"),"&gt;="&amp;$I132,INDIRECT("'"&amp;$A132&amp;"'!$A$2:$A$501"),"&lt;"&amp;($BA132+1),INDIRECT("'"&amp;$A132&amp;"'!$C$2:$C$501"),"Yes"),0)))</f>
        <v/>
      </c>
      <c r="AN132" s="30" t="str">
        <f aca="false">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30" t="str">
        <f aca="false">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30" t="str">
        <f aca="true">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30" t="str">
        <f aca="true">IF(OR($A132="",$I132=""),"",IF($BC132="Y",SUMIFS(survey_frozen!$E$2:$E$251,survey_frozen!$P$2:$P$251,$A132&amp;"|"&amp;$B132),IFERROR(COUNTIFS(INDIRECT("'"&amp;$A132&amp;"'!$B$2:$B$501"),$T132,INDIRECT("'"&amp;$A132&amp;"'!$A$2:$A$501"),"&gt;="&amp;$I132,INDIRECT("'"&amp;$A132&amp;"'!$A$2:$A$501"),"&lt;"&amp;($BA132+1),INDIRECT("'"&amp;$A132&amp;"'!$F$2:$F$501"),"Didn't see it"),0)))</f>
        <v/>
      </c>
      <c r="AR132" s="30" t="str">
        <f aca="true">IF(OR($A132="",$I132=""),"",IF($BC132="Y",SUMIFS(survey_frozen!$F$2:$F$251,survey_frozen!$P$2:$P$251,$A132&amp;"|"&amp;$B132),IFERROR(COUNTIFS(INDIRECT("'"&amp;$A132&amp;"'!$B$2:$B$501"),$T132,INDIRECT("'"&amp;$A132&amp;"'!$A$2:$A$501"),"&gt;="&amp;$I132,INDIRECT("'"&amp;$A132&amp;"'!$A$2:$A$501"),"&lt;"&amp;($BA132+1),INDIRECT("'"&amp;$A132&amp;"'!$F$2:$F$501"),"Not for me"),0)))</f>
        <v/>
      </c>
      <c r="AS132" s="30" t="str">
        <f aca="true">IF(OR($A132="",$I132=""),"",IF($BC132="Y",SUMIFS(survey_frozen!$G$2:$G$251,survey_frozen!$P$2:$P$251,$A132&amp;"|"&amp;$B132),IFERROR(COUNTIFS(INDIRECT("'"&amp;$A132&amp;"'!$B$2:$B$501"),$T132,INDIRECT("'"&amp;$A132&amp;"'!$A$2:$A$501"),"&gt;="&amp;$I132,INDIRECT("'"&amp;$A132&amp;"'!$A$2:$A$501"),"&lt;"&amp;($BA132+1),INDIRECT("'"&amp;$A132&amp;"'!$F$2:$F$501"),"Gone by the time I looked"),0)))</f>
        <v/>
      </c>
      <c r="AT132" s="30" t="str">
        <f aca="true">IF(OR($A132="",$I132=""),"",IF($BC132="Y",SUMIFS(survey_frozen!$H$2:$H$251,survey_frozen!$P$2:$P$251,$A132&amp;"|"&amp;$B132),IFERROR(COUNTIFS(INDIRECT("'"&amp;$A132&amp;"'!$B$2:$B$501"),$T132,INDIRECT("'"&amp;$A132&amp;"'!$A$2:$A$501"),"&gt;="&amp;$I132,INDIRECT("'"&amp;$A132&amp;"'!$A$2:$A$501"),"&lt;"&amp;($BA132+1),INDIRECT("'"&amp;$A132&amp;"'!$D$2:$D$501"),"&gt;=1"),0)))</f>
        <v/>
      </c>
      <c r="AU132" s="30" t="str">
        <f aca="true">IF(OR($A132="",$I132=""),"",IF($BC132="Y",SUMIFS(survey_frozen!$I$2:$I$251,survey_frozen!$P$2:$P$251,$A132&amp;"|"&amp;$B132),IFERROR(SUMIFS(INDIRECT("'"&amp;$A132&amp;"'!$D$2:$D$501"),INDIRECT("'"&amp;$A132&amp;"'!$B$2:$B$501"),$T132,INDIRECT("'"&amp;$A132&amp;"'!$A$2:$A$501"),"&gt;="&amp;$I132,INDIRECT("'"&amp;$A132&amp;"'!$A$2:$A$501"),"&lt;"&amp;($BA132+1)),0)))</f>
        <v/>
      </c>
      <c r="AV132" s="30" t="str">
        <f aca="true">IF(OR($A132="",$I132=""),"",IF($BC132="Y",SUMIFS(survey_frozen!$J$2:$J$251,survey_frozen!$P$2:$P$251,$A132&amp;"|"&amp;$B132),IFERROR(COUNTIFS(INDIRECT("'"&amp;$A132&amp;"'!$B$2:$B$501"),$T132,INDIRECT("'"&amp;$A132&amp;"'!$A$2:$A$501"),"&gt;="&amp;$I132,INDIRECT("'"&amp;$A132&amp;"'!$A$2:$A$501"),"&lt;"&amp;($BA132+1),INDIRECT("'"&amp;$A132&amp;"'!$E$2:$E$501"),"Yes"),0)))</f>
        <v/>
      </c>
      <c r="AW132" s="30" t="str">
        <f aca="true">IF(OR($A132="",$I132=""),"",IF($BC132="Y",SUMIFS(survey_frozen!$K$2:$K$251,survey_frozen!$P$2:$P$251,$A132&amp;"|"&amp;$B132),IFERROR(COUNTIFS(INDIRECT("'"&amp;$A132&amp;"'!$B$2:$B$501"),$T132,INDIRECT("'"&amp;$A132&amp;"'!$A$2:$A$501"),"&gt;="&amp;$I132,INDIRECT("'"&amp;$A132&amp;"'!$A$2:$A$501"),"&lt;"&amp;($BA132+1),INDIRECT("'"&amp;$A132&amp;"'!$E$2:$E$501"),"Maybe"),0)))</f>
        <v/>
      </c>
      <c r="AX132" s="30" t="str">
        <f aca="true">IF(OR($A132="",$I132=""),"",IF($BC132="Y",SUMIFS(survey_frozen!$L$2:$L$251,survey_frozen!$P$2:$P$251,$A132&amp;"|"&amp;$B132),IFERROR(COUNTIFS(INDIRECT("'"&amp;$A132&amp;"'!$B$2:$B$501"),$T132,INDIRECT("'"&amp;$A132&amp;"'!$A$2:$A$501"),"&gt;="&amp;$I132,INDIRECT("'"&amp;$A132&amp;"'!$A$2:$A$501"),"&lt;"&amp;($BA132+1),INDIRECT("'"&amp;$A132&amp;"'!$E$2:$E$501"),"No"),0)))</f>
        <v/>
      </c>
      <c r="AY132" s="30" t="str">
        <f aca="true">IF(OR($A132="",$I132=""),"",IF($BC132="Y",SUMIFS(survey_frozen!$M$2:$M$251,survey_frozen!$P$2:$P$251,$A132&amp;"|"&amp;$B132),IFERROR(COUNTIFS(INDIRECT("'"&amp;$A132&amp;"'!$B$2:$B$501"),$T132,INDIRECT("'"&amp;$A132&amp;"'!$A$2:$A$501"),"&gt;="&amp;$I132,INDIRECT("'"&amp;$A132&amp;"'!$A$2:$A$501"),"&lt;"&amp;($BA132+1),INDIRECT("'"&amp;$A132&amp;"'!$G$2:$G$501"),"&lt;&gt;"),0)))</f>
        <v/>
      </c>
      <c r="AZ132" s="30" t="str">
        <f aca="false">IF($A132="","",$A132&amp;"|"&amp;$L132)</f>
        <v/>
      </c>
      <c r="BA132" s="31" t="str">
        <f aca="false">IF($A132="","",IFERROR(IF(INDEX(drops!$R$2:$R$21,MATCH($H132,drops!$A$2:$A$21,0))="","",INDEX(drops!$R$2:$R$21,MATCH($H132,drops!$A$2:$A$21,0))),""))</f>
        <v/>
      </c>
      <c r="BB132" s="30" t="n">
        <f aca="false">IF(OR($A132="",$Q132&lt;&gt;"Y"),1000000,N($AL132))</f>
        <v>1000000</v>
      </c>
      <c r="BC132" s="30" t="str">
        <f aca="false">IF($A132="","",IF(COUNTIF(survey_frozen!$P$2:$P$251,$A132&amp;"|"&amp;$B132)&gt;0,"Y",""))</f>
        <v/>
      </c>
      <c r="BD132" s="30" t="str">
        <f aca="false">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ustomFormat="false" ht="15" hidden="false" customHeight="false" outlineLevel="0" collapsed="false">
      <c r="C133" s="11"/>
      <c r="D133" s="10"/>
      <c r="E133" s="11"/>
      <c r="H133" s="30" t="str">
        <f aca="false">IF($A133="","",IFERROR(IF(INDEX(campaigns!$B$2:$B$51,MATCH($A133,campaigns!$A$2:$A$51,0))="","",INDEX(campaigns!$B$2:$B$51,MATCH($A133,campaigns!$A$2:$A$51,0))),""))</f>
        <v/>
      </c>
      <c r="I133" s="31" t="str">
        <f aca="false">IF($A133="","",IFERROR(IF(INDEX(campaigns!$BG$2:$BG$51,MATCH($A133,campaigns!$A$2:$A$51,0))="","",INDEX(campaigns!$BG$2:$BG$51,MATCH($A133,campaigns!$A$2:$A$51,0))),""))</f>
        <v/>
      </c>
      <c r="J133" s="30" t="str">
        <f aca="false">IF($A133="","",IFERROR(IF(INDEX(campaigns!$BE$2:$BE$51,MATCH($A133,campaigns!$A$2:$A$51,0))="","",INDEX(campaigns!$BE$2:$BE$51,MATCH($A133,campaigns!$A$2:$A$51,0))),""))</f>
        <v/>
      </c>
      <c r="K133" s="30" t="str">
        <f aca="false">IF($B133="","",IFERROR(IF(INDEX(offices!$O$2:$O$61,MATCH($B133,offices!$A$2:$A$61,0))="","",INDEX(offices!$O$2:$O$61,MATCH($B133,offices!$A$2:$A$61,0))),""))</f>
        <v/>
      </c>
      <c r="L133" s="30" t="str">
        <f aca="false">IF($A133="","",IF($Q133="N","",COUNTIFS($A$2:$A133,$A133,$Q$2:$Q133,"&lt;&gt;N")))</f>
        <v/>
      </c>
      <c r="M133" s="30" t="str">
        <f aca="false">IF(OR($A133="",$L133=""),"",IF(AND(config!$B$34="names_if_public",IFERROR(IF(INDEX(offices!$AG$2:$AG$61,MATCH($B133,offices!$A$2:$A$61,0))="","",INDEX(offices!$AG$2:$AG$61,MATCH($B133,offices!$A$2:$A$61,0))),"")="Y"),$K133,CHAR(64+$L133)))</f>
        <v/>
      </c>
      <c r="N133" s="30" t="str">
        <f aca="false">IF(OR($A133="",$I133=""),"",COUNTIFS(stops!$B$2:$B$151,$B133,stops!$P$2:$P$151,"&lt;"&amp;$I133,stops!$L$2:$L$151,"&lt;&gt;not_delivered")+1)</f>
        <v/>
      </c>
      <c r="O133" s="30" t="str">
        <f aca="false">IF($A133="","",IF(N($N133)&lt;=config!$B$29,"explicit","opt-out"))</f>
        <v/>
      </c>
      <c r="P133" s="30" t="str">
        <f aca="false">IF($A133="","",IF($O133="explicit",IF($D133="yes","Y",IF($D133="no","N","pending")),IF($D133="no","N",IF(AND($C133&lt;&gt;"",$I133&lt;&gt;"",$C133&lt;=WORKDAY(N($I133),-5,calendar!$A$2:$A$80)),"Y","pending"))))</f>
        <v/>
      </c>
      <c r="Q133" s="30" t="str">
        <f aca="false">IF($A133="","",IF($P133="N","N",IF($P133&lt;&gt;"Y","pending",IF(AND((COUNTIFS(stops!$A$2:$A$151,$H133,stops!$B$2:$B$151,$B133,stops!$L$2:$L$151,"declined")+COUNTIFS(stops!$A$2:$A$151,$H133,stops!$B$2:$B$151,$B133,stops!$L$2:$L$151,"building_refused")+COUNTIFS(stops!$A$2:$A$151,$H133,stops!$B$2:$B$151,$B133,stops!$L$2:$L$151,"not_delivered"))&gt;0,N($U133)=0),"N","Y"))))</f>
        <v/>
      </c>
      <c r="R133" s="30" t="str">
        <f aca="false">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30" t="str">
        <f aca="false">IF($A133="","",IF($G133&lt;&gt;"",$G133,IFERROR(IF(INDEX(offices!$AM$2:$AM$61,MATCH($B133,offices!$A$2:$A$61,0))="","",INDEX(offices!$AM$2:$AM$61,MATCH($B133,offices!$A$2:$A$61,0))),"")))</f>
        <v/>
      </c>
      <c r="T133" s="30" t="str">
        <f aca="false">IF($A133="","",$A133&amp;"."&amp;$B133)</f>
        <v/>
      </c>
      <c r="U133" s="30" t="str">
        <f aca="false">IF($A133="","",SUMIFS(inventory!$G$2:$G$801,inventory!$C$2:$C$801,$A133,inventory!$D$2:$D$801,$B133,inventory!$E$2:$E$801,"delivered"))</f>
        <v/>
      </c>
      <c r="V133" s="37" t="str">
        <f aca="false">IF($A133="","",IFERROR(1/(1/SUMPRODUCT(MAX((inventory!$C$2:$C$801=$A133)*(inventory!$D$2:$D$801=$B133)*(inventory!$E$2:$E$801="delivered")*(inventory!$A$2:$A$801+inventory!$B$2:$B$801)))),""))</f>
        <v/>
      </c>
      <c r="W133" s="30" t="str">
        <f aca="false">IF($A133="","",IFERROR(IF(INDEX(inventory!$J$2:$J$801,MATCH($A133&amp;"|"&amp;$B133&amp;"|delivered",inventory!$R$2:$R$801,0))="","",INDEX(inventory!$J$2:$J$801,MATCH($A133&amp;"|"&amp;$B133&amp;"|delivered",inventory!$R$2:$R$801,0))),""))</f>
        <v/>
      </c>
      <c r="X133" s="30" t="str">
        <f aca="false">IF($A133="","",IFERROR(IF(INDEX(photos!$H$2:$H$701,MATCH($A133&amp;"|"&amp;$B133&amp;"|placement|Y",photos!$R$2:$R$701,0))="","",INDEX(photos!$H$2:$H$701,MATCH($A133&amp;"|"&amp;$B133&amp;"|placement|Y",photos!$R$2:$R$701,0))),""))</f>
        <v/>
      </c>
      <c r="Y133" s="31" t="str">
        <f aca="false">IF($A133="","",IFERROR(IF(INDEX(photos!$E$2:$E$701,MATCH($A133&amp;"|"&amp;$B133&amp;"|placement|Y",photos!$R$2:$R$701,0))="","",INDEX(photos!$E$2:$E$701,MATCH($A133&amp;"|"&amp;$B133&amp;"|placement|Y",photos!$R$2:$R$701,0))),""))</f>
        <v/>
      </c>
      <c r="Z133" s="30" t="str">
        <f aca="false">IF($A133="","",IF(COUNTIFS(counts!$C$2:$C$701,$A133,counts!$D$2:$D$701,$B133,counts!$E$2:$E$701,"placed")=0,"",SUMIFS(counts!$F$2:$F$701,counts!$C$2:$C$701,$A133,counts!$D$2:$D$701,$B133,counts!$E$2:$E$701,"placed")))</f>
        <v/>
      </c>
      <c r="AA133" s="30" t="str">
        <f aca="false">IF($A133="","",IF($Y133="",0,N($Z133)))</f>
        <v/>
      </c>
      <c r="AB133" s="30" t="str">
        <f aca="false">IF($A133="","",IF(OR($Y133="",$I133=""),"N",IF($Y133&lt;=WORKDAY(N($I133),1,calendar!$A$2:$A$80),"Y","N")))</f>
        <v/>
      </c>
      <c r="AC133" s="33" t="str">
        <f aca="false">IF(OR($A133="",$V133="",$Y133=""),"",ROUND(($Y133+N(IFERROR(IF(INDEX(photos!$F$2:$F$701,MATCH($A133&amp;"|"&amp;$B133&amp;"|placement|Y",photos!$R$2:$R$701,0))="","",INDEX(photos!$F$2:$F$701,MATCH($A133&amp;"|"&amp;$B133&amp;"|placement|Y",photos!$R$2:$R$701,0))),""))-$V133)*24,1))</f>
        <v/>
      </c>
      <c r="AD133" s="30" t="str">
        <f aca="false">IF($A133="","",SUMIFS(inventory!$G$2:$G$801,inventory!$C$2:$C$801,$A133,inventory!$D$2:$D$801,$B133,inventory!$E$2:$E$801,"topped_up"))</f>
        <v/>
      </c>
      <c r="AE133" s="30" t="str">
        <f aca="false">IF($A133="","",IF(COUNTIFS(counts!$C$2:$C$701,$A133,counts!$D$2:$D$701,$B133,counts!$E$2:$E$701,"remaining_day3")=0,"",SUMIFS(counts!$F$2:$F$701,counts!$C$2:$C$701,$A133,counts!$D$2:$D$701,$B133,counts!$E$2:$E$701,"remaining_day3")))</f>
        <v/>
      </c>
      <c r="AF133" s="30" t="str">
        <f aca="false">IF($A133="","",IF(COUNTIFS(counts!$C$2:$C$701,$A133,counts!$D$2:$D$701,$B133,counts!$E$2:$E$701,"remaining_day5")=0,"",SUMIFS(counts!$F$2:$F$701,counts!$C$2:$C$701,$A133,counts!$D$2:$D$701,$B133,counts!$E$2:$E$701,"remaining_day5")))</f>
        <v/>
      </c>
      <c r="AG133" s="30" t="str">
        <f aca="false">IF(OR($A133="",$AF133=""),"",MAX(0,$AA133+$AD133-$AF133))</f>
        <v/>
      </c>
      <c r="AH133" s="30" t="str">
        <f aca="false">IF(OR($A133="",$AI133=""),"",IFERROR(IF(INDEX(photos!$H$2:$H$701,MATCH($A133&amp;"|"&amp;$B133&amp;"|later|Y|"&amp;$AI133,photos!$S$2:$S$701,0))="","",INDEX(photos!$H$2:$H$701,MATCH($A133&amp;"|"&amp;$B133&amp;"|later|Y|"&amp;$AI133,photos!$S$2:$S$701,0))),""))</f>
        <v/>
      </c>
      <c r="AI133" s="31" t="str">
        <f aca="false">IF($A133="","",IFERROR(1/(1/SUMPRODUCT(MAX((photos!$B$2:$B$701=$A133)*(photos!$C$2:$C$701=$B133)*(photos!$D$2:$D$701="later")*(photos!$O$2:$O$701="Y")*photos!$E$2:$E$701))),""))</f>
        <v/>
      </c>
      <c r="AJ133" s="30" t="str">
        <f aca="false">IF(OR($A133="",$AI133="",$I133=""),"",NETWORKDAYS($I133,$AI133,calendar!$A$2:$A$80))</f>
        <v/>
      </c>
      <c r="AK133" s="30" t="str">
        <f aca="false">IF($A133="","",IF(AND($X133&lt;&gt;"",$AH133&lt;&gt;""),"Y","N"))</f>
        <v/>
      </c>
      <c r="AL133" s="30" t="str">
        <f aca="true">IF(OR($A133="",$I133=""),"",IF($BC133="Y",SUMIFS(survey_frozen!$C$2:$C$251,survey_frozen!$P$2:$P$251,$A133&amp;"|"&amp;$B133),IFERROR(COUNTIFS(INDIRECT("'"&amp;$A133&amp;"'!$B$2:$B$501"),$T133,INDIRECT("'"&amp;$A133&amp;"'!$A$2:$A$501"),"&gt;="&amp;$I133,INDIRECT("'"&amp;$A133&amp;"'!$A$2:$A$501"),"&lt;"&amp;($BA133+1)),0)))</f>
        <v/>
      </c>
      <c r="AM133" s="30" t="str">
        <f aca="true">IF(OR($A133="",$I133=""),"",IF($BC133="Y",SUMIFS(survey_frozen!$D$2:$D$251,survey_frozen!$P$2:$P$251,$A133&amp;"|"&amp;$B133),IFERROR(COUNTIFS(INDIRECT("'"&amp;$A133&amp;"'!$B$2:$B$501"),$T133,INDIRECT("'"&amp;$A133&amp;"'!$A$2:$A$501"),"&gt;="&amp;$I133,INDIRECT("'"&amp;$A133&amp;"'!$A$2:$A$501"),"&lt;"&amp;($BA133+1),INDIRECT("'"&amp;$A133&amp;"'!$C$2:$C$501"),"Yes"),0)))</f>
        <v/>
      </c>
      <c r="AN133" s="30" t="str">
        <f aca="false">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30" t="str">
        <f aca="false">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30" t="str">
        <f aca="true">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30" t="str">
        <f aca="true">IF(OR($A133="",$I133=""),"",IF($BC133="Y",SUMIFS(survey_frozen!$E$2:$E$251,survey_frozen!$P$2:$P$251,$A133&amp;"|"&amp;$B133),IFERROR(COUNTIFS(INDIRECT("'"&amp;$A133&amp;"'!$B$2:$B$501"),$T133,INDIRECT("'"&amp;$A133&amp;"'!$A$2:$A$501"),"&gt;="&amp;$I133,INDIRECT("'"&amp;$A133&amp;"'!$A$2:$A$501"),"&lt;"&amp;($BA133+1),INDIRECT("'"&amp;$A133&amp;"'!$F$2:$F$501"),"Didn't see it"),0)))</f>
        <v/>
      </c>
      <c r="AR133" s="30" t="str">
        <f aca="true">IF(OR($A133="",$I133=""),"",IF($BC133="Y",SUMIFS(survey_frozen!$F$2:$F$251,survey_frozen!$P$2:$P$251,$A133&amp;"|"&amp;$B133),IFERROR(COUNTIFS(INDIRECT("'"&amp;$A133&amp;"'!$B$2:$B$501"),$T133,INDIRECT("'"&amp;$A133&amp;"'!$A$2:$A$501"),"&gt;="&amp;$I133,INDIRECT("'"&amp;$A133&amp;"'!$A$2:$A$501"),"&lt;"&amp;($BA133+1),INDIRECT("'"&amp;$A133&amp;"'!$F$2:$F$501"),"Not for me"),0)))</f>
        <v/>
      </c>
      <c r="AS133" s="30" t="str">
        <f aca="true">IF(OR($A133="",$I133=""),"",IF($BC133="Y",SUMIFS(survey_frozen!$G$2:$G$251,survey_frozen!$P$2:$P$251,$A133&amp;"|"&amp;$B133),IFERROR(COUNTIFS(INDIRECT("'"&amp;$A133&amp;"'!$B$2:$B$501"),$T133,INDIRECT("'"&amp;$A133&amp;"'!$A$2:$A$501"),"&gt;="&amp;$I133,INDIRECT("'"&amp;$A133&amp;"'!$A$2:$A$501"),"&lt;"&amp;($BA133+1),INDIRECT("'"&amp;$A133&amp;"'!$F$2:$F$501"),"Gone by the time I looked"),0)))</f>
        <v/>
      </c>
      <c r="AT133" s="30" t="str">
        <f aca="true">IF(OR($A133="",$I133=""),"",IF($BC133="Y",SUMIFS(survey_frozen!$H$2:$H$251,survey_frozen!$P$2:$P$251,$A133&amp;"|"&amp;$B133),IFERROR(COUNTIFS(INDIRECT("'"&amp;$A133&amp;"'!$B$2:$B$501"),$T133,INDIRECT("'"&amp;$A133&amp;"'!$A$2:$A$501"),"&gt;="&amp;$I133,INDIRECT("'"&amp;$A133&amp;"'!$A$2:$A$501"),"&lt;"&amp;($BA133+1),INDIRECT("'"&amp;$A133&amp;"'!$D$2:$D$501"),"&gt;=1"),0)))</f>
        <v/>
      </c>
      <c r="AU133" s="30" t="str">
        <f aca="true">IF(OR($A133="",$I133=""),"",IF($BC133="Y",SUMIFS(survey_frozen!$I$2:$I$251,survey_frozen!$P$2:$P$251,$A133&amp;"|"&amp;$B133),IFERROR(SUMIFS(INDIRECT("'"&amp;$A133&amp;"'!$D$2:$D$501"),INDIRECT("'"&amp;$A133&amp;"'!$B$2:$B$501"),$T133,INDIRECT("'"&amp;$A133&amp;"'!$A$2:$A$501"),"&gt;="&amp;$I133,INDIRECT("'"&amp;$A133&amp;"'!$A$2:$A$501"),"&lt;"&amp;($BA133+1)),0)))</f>
        <v/>
      </c>
      <c r="AV133" s="30" t="str">
        <f aca="true">IF(OR($A133="",$I133=""),"",IF($BC133="Y",SUMIFS(survey_frozen!$J$2:$J$251,survey_frozen!$P$2:$P$251,$A133&amp;"|"&amp;$B133),IFERROR(COUNTIFS(INDIRECT("'"&amp;$A133&amp;"'!$B$2:$B$501"),$T133,INDIRECT("'"&amp;$A133&amp;"'!$A$2:$A$501"),"&gt;="&amp;$I133,INDIRECT("'"&amp;$A133&amp;"'!$A$2:$A$501"),"&lt;"&amp;($BA133+1),INDIRECT("'"&amp;$A133&amp;"'!$E$2:$E$501"),"Yes"),0)))</f>
        <v/>
      </c>
      <c r="AW133" s="30" t="str">
        <f aca="true">IF(OR($A133="",$I133=""),"",IF($BC133="Y",SUMIFS(survey_frozen!$K$2:$K$251,survey_frozen!$P$2:$P$251,$A133&amp;"|"&amp;$B133),IFERROR(COUNTIFS(INDIRECT("'"&amp;$A133&amp;"'!$B$2:$B$501"),$T133,INDIRECT("'"&amp;$A133&amp;"'!$A$2:$A$501"),"&gt;="&amp;$I133,INDIRECT("'"&amp;$A133&amp;"'!$A$2:$A$501"),"&lt;"&amp;($BA133+1),INDIRECT("'"&amp;$A133&amp;"'!$E$2:$E$501"),"Maybe"),0)))</f>
        <v/>
      </c>
      <c r="AX133" s="30" t="str">
        <f aca="true">IF(OR($A133="",$I133=""),"",IF($BC133="Y",SUMIFS(survey_frozen!$L$2:$L$251,survey_frozen!$P$2:$P$251,$A133&amp;"|"&amp;$B133),IFERROR(COUNTIFS(INDIRECT("'"&amp;$A133&amp;"'!$B$2:$B$501"),$T133,INDIRECT("'"&amp;$A133&amp;"'!$A$2:$A$501"),"&gt;="&amp;$I133,INDIRECT("'"&amp;$A133&amp;"'!$A$2:$A$501"),"&lt;"&amp;($BA133+1),INDIRECT("'"&amp;$A133&amp;"'!$E$2:$E$501"),"No"),0)))</f>
        <v/>
      </c>
      <c r="AY133" s="30" t="str">
        <f aca="true">IF(OR($A133="",$I133=""),"",IF($BC133="Y",SUMIFS(survey_frozen!$M$2:$M$251,survey_frozen!$P$2:$P$251,$A133&amp;"|"&amp;$B133),IFERROR(COUNTIFS(INDIRECT("'"&amp;$A133&amp;"'!$B$2:$B$501"),$T133,INDIRECT("'"&amp;$A133&amp;"'!$A$2:$A$501"),"&gt;="&amp;$I133,INDIRECT("'"&amp;$A133&amp;"'!$A$2:$A$501"),"&lt;"&amp;($BA133+1),INDIRECT("'"&amp;$A133&amp;"'!$G$2:$G$501"),"&lt;&gt;"),0)))</f>
        <v/>
      </c>
      <c r="AZ133" s="30" t="str">
        <f aca="false">IF($A133="","",$A133&amp;"|"&amp;$L133)</f>
        <v/>
      </c>
      <c r="BA133" s="31" t="str">
        <f aca="false">IF($A133="","",IFERROR(IF(INDEX(drops!$R$2:$R$21,MATCH($H133,drops!$A$2:$A$21,0))="","",INDEX(drops!$R$2:$R$21,MATCH($H133,drops!$A$2:$A$21,0))),""))</f>
        <v/>
      </c>
      <c r="BB133" s="30" t="n">
        <f aca="false">IF(OR($A133="",$Q133&lt;&gt;"Y"),1000000,N($AL133))</f>
        <v>1000000</v>
      </c>
      <c r="BC133" s="30" t="str">
        <f aca="false">IF($A133="","",IF(COUNTIF(survey_frozen!$P$2:$P$251,$A133&amp;"|"&amp;$B133)&gt;0,"Y",""))</f>
        <v/>
      </c>
      <c r="BD133" s="30" t="str">
        <f aca="false">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ustomFormat="false" ht="15" hidden="false" customHeight="false" outlineLevel="0" collapsed="false">
      <c r="C134" s="11"/>
      <c r="D134" s="10"/>
      <c r="E134" s="11"/>
      <c r="H134" s="30" t="str">
        <f aca="false">IF($A134="","",IFERROR(IF(INDEX(campaigns!$B$2:$B$51,MATCH($A134,campaigns!$A$2:$A$51,0))="","",INDEX(campaigns!$B$2:$B$51,MATCH($A134,campaigns!$A$2:$A$51,0))),""))</f>
        <v/>
      </c>
      <c r="I134" s="31" t="str">
        <f aca="false">IF($A134="","",IFERROR(IF(INDEX(campaigns!$BG$2:$BG$51,MATCH($A134,campaigns!$A$2:$A$51,0))="","",INDEX(campaigns!$BG$2:$BG$51,MATCH($A134,campaigns!$A$2:$A$51,0))),""))</f>
        <v/>
      </c>
      <c r="J134" s="30" t="str">
        <f aca="false">IF($A134="","",IFERROR(IF(INDEX(campaigns!$BE$2:$BE$51,MATCH($A134,campaigns!$A$2:$A$51,0))="","",INDEX(campaigns!$BE$2:$BE$51,MATCH($A134,campaigns!$A$2:$A$51,0))),""))</f>
        <v/>
      </c>
      <c r="K134" s="30" t="str">
        <f aca="false">IF($B134="","",IFERROR(IF(INDEX(offices!$O$2:$O$61,MATCH($B134,offices!$A$2:$A$61,0))="","",INDEX(offices!$O$2:$O$61,MATCH($B134,offices!$A$2:$A$61,0))),""))</f>
        <v/>
      </c>
      <c r="L134" s="30" t="str">
        <f aca="false">IF($A134="","",IF($Q134="N","",COUNTIFS($A$2:$A134,$A134,$Q$2:$Q134,"&lt;&gt;N")))</f>
        <v/>
      </c>
      <c r="M134" s="30" t="str">
        <f aca="false">IF(OR($A134="",$L134=""),"",IF(AND(config!$B$34="names_if_public",IFERROR(IF(INDEX(offices!$AG$2:$AG$61,MATCH($B134,offices!$A$2:$A$61,0))="","",INDEX(offices!$AG$2:$AG$61,MATCH($B134,offices!$A$2:$A$61,0))),"")="Y"),$K134,CHAR(64+$L134)))</f>
        <v/>
      </c>
      <c r="N134" s="30" t="str">
        <f aca="false">IF(OR($A134="",$I134=""),"",COUNTIFS(stops!$B$2:$B$151,$B134,stops!$P$2:$P$151,"&lt;"&amp;$I134,stops!$L$2:$L$151,"&lt;&gt;not_delivered")+1)</f>
        <v/>
      </c>
      <c r="O134" s="30" t="str">
        <f aca="false">IF($A134="","",IF(N($N134)&lt;=config!$B$29,"explicit","opt-out"))</f>
        <v/>
      </c>
      <c r="P134" s="30" t="str">
        <f aca="false">IF($A134="","",IF($O134="explicit",IF($D134="yes","Y",IF($D134="no","N","pending")),IF($D134="no","N",IF(AND($C134&lt;&gt;"",$I134&lt;&gt;"",$C134&lt;=WORKDAY(N($I134),-5,calendar!$A$2:$A$80)),"Y","pending"))))</f>
        <v/>
      </c>
      <c r="Q134" s="30" t="str">
        <f aca="false">IF($A134="","",IF($P134="N","N",IF($P134&lt;&gt;"Y","pending",IF(AND((COUNTIFS(stops!$A$2:$A$151,$H134,stops!$B$2:$B$151,$B134,stops!$L$2:$L$151,"declined")+COUNTIFS(stops!$A$2:$A$151,$H134,stops!$B$2:$B$151,$B134,stops!$L$2:$L$151,"building_refused")+COUNTIFS(stops!$A$2:$A$151,$H134,stops!$B$2:$B$151,$B134,stops!$L$2:$L$151,"not_delivered"))&gt;0,N($U134)=0),"N","Y"))))</f>
        <v/>
      </c>
      <c r="R134" s="30" t="str">
        <f aca="false">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30" t="str">
        <f aca="false">IF($A134="","",IF($G134&lt;&gt;"",$G134,IFERROR(IF(INDEX(offices!$AM$2:$AM$61,MATCH($B134,offices!$A$2:$A$61,0))="","",INDEX(offices!$AM$2:$AM$61,MATCH($B134,offices!$A$2:$A$61,0))),"")))</f>
        <v/>
      </c>
      <c r="T134" s="30" t="str">
        <f aca="false">IF($A134="","",$A134&amp;"."&amp;$B134)</f>
        <v/>
      </c>
      <c r="U134" s="30" t="str">
        <f aca="false">IF($A134="","",SUMIFS(inventory!$G$2:$G$801,inventory!$C$2:$C$801,$A134,inventory!$D$2:$D$801,$B134,inventory!$E$2:$E$801,"delivered"))</f>
        <v/>
      </c>
      <c r="V134" s="37" t="str">
        <f aca="false">IF($A134="","",IFERROR(1/(1/SUMPRODUCT(MAX((inventory!$C$2:$C$801=$A134)*(inventory!$D$2:$D$801=$B134)*(inventory!$E$2:$E$801="delivered")*(inventory!$A$2:$A$801+inventory!$B$2:$B$801)))),""))</f>
        <v/>
      </c>
      <c r="W134" s="30" t="str">
        <f aca="false">IF($A134="","",IFERROR(IF(INDEX(inventory!$J$2:$J$801,MATCH($A134&amp;"|"&amp;$B134&amp;"|delivered",inventory!$R$2:$R$801,0))="","",INDEX(inventory!$J$2:$J$801,MATCH($A134&amp;"|"&amp;$B134&amp;"|delivered",inventory!$R$2:$R$801,0))),""))</f>
        <v/>
      </c>
      <c r="X134" s="30" t="str">
        <f aca="false">IF($A134="","",IFERROR(IF(INDEX(photos!$H$2:$H$701,MATCH($A134&amp;"|"&amp;$B134&amp;"|placement|Y",photos!$R$2:$R$701,0))="","",INDEX(photos!$H$2:$H$701,MATCH($A134&amp;"|"&amp;$B134&amp;"|placement|Y",photos!$R$2:$R$701,0))),""))</f>
        <v/>
      </c>
      <c r="Y134" s="31" t="str">
        <f aca="false">IF($A134="","",IFERROR(IF(INDEX(photos!$E$2:$E$701,MATCH($A134&amp;"|"&amp;$B134&amp;"|placement|Y",photos!$R$2:$R$701,0))="","",INDEX(photos!$E$2:$E$701,MATCH($A134&amp;"|"&amp;$B134&amp;"|placement|Y",photos!$R$2:$R$701,0))),""))</f>
        <v/>
      </c>
      <c r="Z134" s="30" t="str">
        <f aca="false">IF($A134="","",IF(COUNTIFS(counts!$C$2:$C$701,$A134,counts!$D$2:$D$701,$B134,counts!$E$2:$E$701,"placed")=0,"",SUMIFS(counts!$F$2:$F$701,counts!$C$2:$C$701,$A134,counts!$D$2:$D$701,$B134,counts!$E$2:$E$701,"placed")))</f>
        <v/>
      </c>
      <c r="AA134" s="30" t="str">
        <f aca="false">IF($A134="","",IF($Y134="",0,N($Z134)))</f>
        <v/>
      </c>
      <c r="AB134" s="30" t="str">
        <f aca="false">IF($A134="","",IF(OR($Y134="",$I134=""),"N",IF($Y134&lt;=WORKDAY(N($I134),1,calendar!$A$2:$A$80),"Y","N")))</f>
        <v/>
      </c>
      <c r="AC134" s="33" t="str">
        <f aca="false">IF(OR($A134="",$V134="",$Y134=""),"",ROUND(($Y134+N(IFERROR(IF(INDEX(photos!$F$2:$F$701,MATCH($A134&amp;"|"&amp;$B134&amp;"|placement|Y",photos!$R$2:$R$701,0))="","",INDEX(photos!$F$2:$F$701,MATCH($A134&amp;"|"&amp;$B134&amp;"|placement|Y",photos!$R$2:$R$701,0))),""))-$V134)*24,1))</f>
        <v/>
      </c>
      <c r="AD134" s="30" t="str">
        <f aca="false">IF($A134="","",SUMIFS(inventory!$G$2:$G$801,inventory!$C$2:$C$801,$A134,inventory!$D$2:$D$801,$B134,inventory!$E$2:$E$801,"topped_up"))</f>
        <v/>
      </c>
      <c r="AE134" s="30" t="str">
        <f aca="false">IF($A134="","",IF(COUNTIFS(counts!$C$2:$C$701,$A134,counts!$D$2:$D$701,$B134,counts!$E$2:$E$701,"remaining_day3")=0,"",SUMIFS(counts!$F$2:$F$701,counts!$C$2:$C$701,$A134,counts!$D$2:$D$701,$B134,counts!$E$2:$E$701,"remaining_day3")))</f>
        <v/>
      </c>
      <c r="AF134" s="30" t="str">
        <f aca="false">IF($A134="","",IF(COUNTIFS(counts!$C$2:$C$701,$A134,counts!$D$2:$D$701,$B134,counts!$E$2:$E$701,"remaining_day5")=0,"",SUMIFS(counts!$F$2:$F$701,counts!$C$2:$C$701,$A134,counts!$D$2:$D$701,$B134,counts!$E$2:$E$701,"remaining_day5")))</f>
        <v/>
      </c>
      <c r="AG134" s="30" t="str">
        <f aca="false">IF(OR($A134="",$AF134=""),"",MAX(0,$AA134+$AD134-$AF134))</f>
        <v/>
      </c>
      <c r="AH134" s="30" t="str">
        <f aca="false">IF(OR($A134="",$AI134=""),"",IFERROR(IF(INDEX(photos!$H$2:$H$701,MATCH($A134&amp;"|"&amp;$B134&amp;"|later|Y|"&amp;$AI134,photos!$S$2:$S$701,0))="","",INDEX(photos!$H$2:$H$701,MATCH($A134&amp;"|"&amp;$B134&amp;"|later|Y|"&amp;$AI134,photos!$S$2:$S$701,0))),""))</f>
        <v/>
      </c>
      <c r="AI134" s="31" t="str">
        <f aca="false">IF($A134="","",IFERROR(1/(1/SUMPRODUCT(MAX((photos!$B$2:$B$701=$A134)*(photos!$C$2:$C$701=$B134)*(photos!$D$2:$D$701="later")*(photos!$O$2:$O$701="Y")*photos!$E$2:$E$701))),""))</f>
        <v/>
      </c>
      <c r="AJ134" s="30" t="str">
        <f aca="false">IF(OR($A134="",$AI134="",$I134=""),"",NETWORKDAYS($I134,$AI134,calendar!$A$2:$A$80))</f>
        <v/>
      </c>
      <c r="AK134" s="30" t="str">
        <f aca="false">IF($A134="","",IF(AND($X134&lt;&gt;"",$AH134&lt;&gt;""),"Y","N"))</f>
        <v/>
      </c>
      <c r="AL134" s="30" t="str">
        <f aca="true">IF(OR($A134="",$I134=""),"",IF($BC134="Y",SUMIFS(survey_frozen!$C$2:$C$251,survey_frozen!$P$2:$P$251,$A134&amp;"|"&amp;$B134),IFERROR(COUNTIFS(INDIRECT("'"&amp;$A134&amp;"'!$B$2:$B$501"),$T134,INDIRECT("'"&amp;$A134&amp;"'!$A$2:$A$501"),"&gt;="&amp;$I134,INDIRECT("'"&amp;$A134&amp;"'!$A$2:$A$501"),"&lt;"&amp;($BA134+1)),0)))</f>
        <v/>
      </c>
      <c r="AM134" s="30" t="str">
        <f aca="true">IF(OR($A134="",$I134=""),"",IF($BC134="Y",SUMIFS(survey_frozen!$D$2:$D$251,survey_frozen!$P$2:$P$251,$A134&amp;"|"&amp;$B134),IFERROR(COUNTIFS(INDIRECT("'"&amp;$A134&amp;"'!$B$2:$B$501"),$T134,INDIRECT("'"&amp;$A134&amp;"'!$A$2:$A$501"),"&gt;="&amp;$I134,INDIRECT("'"&amp;$A134&amp;"'!$A$2:$A$501"),"&lt;"&amp;($BA134+1),INDIRECT("'"&amp;$A134&amp;"'!$C$2:$C$501"),"Yes"),0)))</f>
        <v/>
      </c>
      <c r="AN134" s="30" t="str">
        <f aca="false">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30" t="str">
        <f aca="false">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30" t="str">
        <f aca="true">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30" t="str">
        <f aca="true">IF(OR($A134="",$I134=""),"",IF($BC134="Y",SUMIFS(survey_frozen!$E$2:$E$251,survey_frozen!$P$2:$P$251,$A134&amp;"|"&amp;$B134),IFERROR(COUNTIFS(INDIRECT("'"&amp;$A134&amp;"'!$B$2:$B$501"),$T134,INDIRECT("'"&amp;$A134&amp;"'!$A$2:$A$501"),"&gt;="&amp;$I134,INDIRECT("'"&amp;$A134&amp;"'!$A$2:$A$501"),"&lt;"&amp;($BA134+1),INDIRECT("'"&amp;$A134&amp;"'!$F$2:$F$501"),"Didn't see it"),0)))</f>
        <v/>
      </c>
      <c r="AR134" s="30" t="str">
        <f aca="true">IF(OR($A134="",$I134=""),"",IF($BC134="Y",SUMIFS(survey_frozen!$F$2:$F$251,survey_frozen!$P$2:$P$251,$A134&amp;"|"&amp;$B134),IFERROR(COUNTIFS(INDIRECT("'"&amp;$A134&amp;"'!$B$2:$B$501"),$T134,INDIRECT("'"&amp;$A134&amp;"'!$A$2:$A$501"),"&gt;="&amp;$I134,INDIRECT("'"&amp;$A134&amp;"'!$A$2:$A$501"),"&lt;"&amp;($BA134+1),INDIRECT("'"&amp;$A134&amp;"'!$F$2:$F$501"),"Not for me"),0)))</f>
        <v/>
      </c>
      <c r="AS134" s="30" t="str">
        <f aca="true">IF(OR($A134="",$I134=""),"",IF($BC134="Y",SUMIFS(survey_frozen!$G$2:$G$251,survey_frozen!$P$2:$P$251,$A134&amp;"|"&amp;$B134),IFERROR(COUNTIFS(INDIRECT("'"&amp;$A134&amp;"'!$B$2:$B$501"),$T134,INDIRECT("'"&amp;$A134&amp;"'!$A$2:$A$501"),"&gt;="&amp;$I134,INDIRECT("'"&amp;$A134&amp;"'!$A$2:$A$501"),"&lt;"&amp;($BA134+1),INDIRECT("'"&amp;$A134&amp;"'!$F$2:$F$501"),"Gone by the time I looked"),0)))</f>
        <v/>
      </c>
      <c r="AT134" s="30" t="str">
        <f aca="true">IF(OR($A134="",$I134=""),"",IF($BC134="Y",SUMIFS(survey_frozen!$H$2:$H$251,survey_frozen!$P$2:$P$251,$A134&amp;"|"&amp;$B134),IFERROR(COUNTIFS(INDIRECT("'"&amp;$A134&amp;"'!$B$2:$B$501"),$T134,INDIRECT("'"&amp;$A134&amp;"'!$A$2:$A$501"),"&gt;="&amp;$I134,INDIRECT("'"&amp;$A134&amp;"'!$A$2:$A$501"),"&lt;"&amp;($BA134+1),INDIRECT("'"&amp;$A134&amp;"'!$D$2:$D$501"),"&gt;=1"),0)))</f>
        <v/>
      </c>
      <c r="AU134" s="30" t="str">
        <f aca="true">IF(OR($A134="",$I134=""),"",IF($BC134="Y",SUMIFS(survey_frozen!$I$2:$I$251,survey_frozen!$P$2:$P$251,$A134&amp;"|"&amp;$B134),IFERROR(SUMIFS(INDIRECT("'"&amp;$A134&amp;"'!$D$2:$D$501"),INDIRECT("'"&amp;$A134&amp;"'!$B$2:$B$501"),$T134,INDIRECT("'"&amp;$A134&amp;"'!$A$2:$A$501"),"&gt;="&amp;$I134,INDIRECT("'"&amp;$A134&amp;"'!$A$2:$A$501"),"&lt;"&amp;($BA134+1)),0)))</f>
        <v/>
      </c>
      <c r="AV134" s="30" t="str">
        <f aca="true">IF(OR($A134="",$I134=""),"",IF($BC134="Y",SUMIFS(survey_frozen!$J$2:$J$251,survey_frozen!$P$2:$P$251,$A134&amp;"|"&amp;$B134),IFERROR(COUNTIFS(INDIRECT("'"&amp;$A134&amp;"'!$B$2:$B$501"),$T134,INDIRECT("'"&amp;$A134&amp;"'!$A$2:$A$501"),"&gt;="&amp;$I134,INDIRECT("'"&amp;$A134&amp;"'!$A$2:$A$501"),"&lt;"&amp;($BA134+1),INDIRECT("'"&amp;$A134&amp;"'!$E$2:$E$501"),"Yes"),0)))</f>
        <v/>
      </c>
      <c r="AW134" s="30" t="str">
        <f aca="true">IF(OR($A134="",$I134=""),"",IF($BC134="Y",SUMIFS(survey_frozen!$K$2:$K$251,survey_frozen!$P$2:$P$251,$A134&amp;"|"&amp;$B134),IFERROR(COUNTIFS(INDIRECT("'"&amp;$A134&amp;"'!$B$2:$B$501"),$T134,INDIRECT("'"&amp;$A134&amp;"'!$A$2:$A$501"),"&gt;="&amp;$I134,INDIRECT("'"&amp;$A134&amp;"'!$A$2:$A$501"),"&lt;"&amp;($BA134+1),INDIRECT("'"&amp;$A134&amp;"'!$E$2:$E$501"),"Maybe"),0)))</f>
        <v/>
      </c>
      <c r="AX134" s="30" t="str">
        <f aca="true">IF(OR($A134="",$I134=""),"",IF($BC134="Y",SUMIFS(survey_frozen!$L$2:$L$251,survey_frozen!$P$2:$P$251,$A134&amp;"|"&amp;$B134),IFERROR(COUNTIFS(INDIRECT("'"&amp;$A134&amp;"'!$B$2:$B$501"),$T134,INDIRECT("'"&amp;$A134&amp;"'!$A$2:$A$501"),"&gt;="&amp;$I134,INDIRECT("'"&amp;$A134&amp;"'!$A$2:$A$501"),"&lt;"&amp;($BA134+1),INDIRECT("'"&amp;$A134&amp;"'!$E$2:$E$501"),"No"),0)))</f>
        <v/>
      </c>
      <c r="AY134" s="30" t="str">
        <f aca="true">IF(OR($A134="",$I134=""),"",IF($BC134="Y",SUMIFS(survey_frozen!$M$2:$M$251,survey_frozen!$P$2:$P$251,$A134&amp;"|"&amp;$B134),IFERROR(COUNTIFS(INDIRECT("'"&amp;$A134&amp;"'!$B$2:$B$501"),$T134,INDIRECT("'"&amp;$A134&amp;"'!$A$2:$A$501"),"&gt;="&amp;$I134,INDIRECT("'"&amp;$A134&amp;"'!$A$2:$A$501"),"&lt;"&amp;($BA134+1),INDIRECT("'"&amp;$A134&amp;"'!$G$2:$G$501"),"&lt;&gt;"),0)))</f>
        <v/>
      </c>
      <c r="AZ134" s="30" t="str">
        <f aca="false">IF($A134="","",$A134&amp;"|"&amp;$L134)</f>
        <v/>
      </c>
      <c r="BA134" s="31" t="str">
        <f aca="false">IF($A134="","",IFERROR(IF(INDEX(drops!$R$2:$R$21,MATCH($H134,drops!$A$2:$A$21,0))="","",INDEX(drops!$R$2:$R$21,MATCH($H134,drops!$A$2:$A$21,0))),""))</f>
        <v/>
      </c>
      <c r="BB134" s="30" t="n">
        <f aca="false">IF(OR($A134="",$Q134&lt;&gt;"Y"),1000000,N($AL134))</f>
        <v>1000000</v>
      </c>
      <c r="BC134" s="30" t="str">
        <f aca="false">IF($A134="","",IF(COUNTIF(survey_frozen!$P$2:$P$251,$A134&amp;"|"&amp;$B134)&gt;0,"Y",""))</f>
        <v/>
      </c>
      <c r="BD134" s="30" t="str">
        <f aca="false">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ustomFormat="false" ht="15" hidden="false" customHeight="false" outlineLevel="0" collapsed="false">
      <c r="C135" s="11"/>
      <c r="D135" s="10"/>
      <c r="E135" s="11"/>
      <c r="H135" s="30" t="str">
        <f aca="false">IF($A135="","",IFERROR(IF(INDEX(campaigns!$B$2:$B$51,MATCH($A135,campaigns!$A$2:$A$51,0))="","",INDEX(campaigns!$B$2:$B$51,MATCH($A135,campaigns!$A$2:$A$51,0))),""))</f>
        <v/>
      </c>
      <c r="I135" s="31" t="str">
        <f aca="false">IF($A135="","",IFERROR(IF(INDEX(campaigns!$BG$2:$BG$51,MATCH($A135,campaigns!$A$2:$A$51,0))="","",INDEX(campaigns!$BG$2:$BG$51,MATCH($A135,campaigns!$A$2:$A$51,0))),""))</f>
        <v/>
      </c>
      <c r="J135" s="30" t="str">
        <f aca="false">IF($A135="","",IFERROR(IF(INDEX(campaigns!$BE$2:$BE$51,MATCH($A135,campaigns!$A$2:$A$51,0))="","",INDEX(campaigns!$BE$2:$BE$51,MATCH($A135,campaigns!$A$2:$A$51,0))),""))</f>
        <v/>
      </c>
      <c r="K135" s="30" t="str">
        <f aca="false">IF($B135="","",IFERROR(IF(INDEX(offices!$O$2:$O$61,MATCH($B135,offices!$A$2:$A$61,0))="","",INDEX(offices!$O$2:$O$61,MATCH($B135,offices!$A$2:$A$61,0))),""))</f>
        <v/>
      </c>
      <c r="L135" s="30" t="str">
        <f aca="false">IF($A135="","",IF($Q135="N","",COUNTIFS($A$2:$A135,$A135,$Q$2:$Q135,"&lt;&gt;N")))</f>
        <v/>
      </c>
      <c r="M135" s="30" t="str">
        <f aca="false">IF(OR($A135="",$L135=""),"",IF(AND(config!$B$34="names_if_public",IFERROR(IF(INDEX(offices!$AG$2:$AG$61,MATCH($B135,offices!$A$2:$A$61,0))="","",INDEX(offices!$AG$2:$AG$61,MATCH($B135,offices!$A$2:$A$61,0))),"")="Y"),$K135,CHAR(64+$L135)))</f>
        <v/>
      </c>
      <c r="N135" s="30" t="str">
        <f aca="false">IF(OR($A135="",$I135=""),"",COUNTIFS(stops!$B$2:$B$151,$B135,stops!$P$2:$P$151,"&lt;"&amp;$I135,stops!$L$2:$L$151,"&lt;&gt;not_delivered")+1)</f>
        <v/>
      </c>
      <c r="O135" s="30" t="str">
        <f aca="false">IF($A135="","",IF(N($N135)&lt;=config!$B$29,"explicit","opt-out"))</f>
        <v/>
      </c>
      <c r="P135" s="30" t="str">
        <f aca="false">IF($A135="","",IF($O135="explicit",IF($D135="yes","Y",IF($D135="no","N","pending")),IF($D135="no","N",IF(AND($C135&lt;&gt;"",$I135&lt;&gt;"",$C135&lt;=WORKDAY(N($I135),-5,calendar!$A$2:$A$80)),"Y","pending"))))</f>
        <v/>
      </c>
      <c r="Q135" s="30" t="str">
        <f aca="false">IF($A135="","",IF($P135="N","N",IF($P135&lt;&gt;"Y","pending",IF(AND((COUNTIFS(stops!$A$2:$A$151,$H135,stops!$B$2:$B$151,$B135,stops!$L$2:$L$151,"declined")+COUNTIFS(stops!$A$2:$A$151,$H135,stops!$B$2:$B$151,$B135,stops!$L$2:$L$151,"building_refused")+COUNTIFS(stops!$A$2:$A$151,$H135,stops!$B$2:$B$151,$B135,stops!$L$2:$L$151,"not_delivered"))&gt;0,N($U135)=0),"N","Y"))))</f>
        <v/>
      </c>
      <c r="R135" s="30" t="str">
        <f aca="false">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30" t="str">
        <f aca="false">IF($A135="","",IF($G135&lt;&gt;"",$G135,IFERROR(IF(INDEX(offices!$AM$2:$AM$61,MATCH($B135,offices!$A$2:$A$61,0))="","",INDEX(offices!$AM$2:$AM$61,MATCH($B135,offices!$A$2:$A$61,0))),"")))</f>
        <v/>
      </c>
      <c r="T135" s="30" t="str">
        <f aca="false">IF($A135="","",$A135&amp;"."&amp;$B135)</f>
        <v/>
      </c>
      <c r="U135" s="30" t="str">
        <f aca="false">IF($A135="","",SUMIFS(inventory!$G$2:$G$801,inventory!$C$2:$C$801,$A135,inventory!$D$2:$D$801,$B135,inventory!$E$2:$E$801,"delivered"))</f>
        <v/>
      </c>
      <c r="V135" s="37" t="str">
        <f aca="false">IF($A135="","",IFERROR(1/(1/SUMPRODUCT(MAX((inventory!$C$2:$C$801=$A135)*(inventory!$D$2:$D$801=$B135)*(inventory!$E$2:$E$801="delivered")*(inventory!$A$2:$A$801+inventory!$B$2:$B$801)))),""))</f>
        <v/>
      </c>
      <c r="W135" s="30" t="str">
        <f aca="false">IF($A135="","",IFERROR(IF(INDEX(inventory!$J$2:$J$801,MATCH($A135&amp;"|"&amp;$B135&amp;"|delivered",inventory!$R$2:$R$801,0))="","",INDEX(inventory!$J$2:$J$801,MATCH($A135&amp;"|"&amp;$B135&amp;"|delivered",inventory!$R$2:$R$801,0))),""))</f>
        <v/>
      </c>
      <c r="X135" s="30" t="str">
        <f aca="false">IF($A135="","",IFERROR(IF(INDEX(photos!$H$2:$H$701,MATCH($A135&amp;"|"&amp;$B135&amp;"|placement|Y",photos!$R$2:$R$701,0))="","",INDEX(photos!$H$2:$H$701,MATCH($A135&amp;"|"&amp;$B135&amp;"|placement|Y",photos!$R$2:$R$701,0))),""))</f>
        <v/>
      </c>
      <c r="Y135" s="31" t="str">
        <f aca="false">IF($A135="","",IFERROR(IF(INDEX(photos!$E$2:$E$701,MATCH($A135&amp;"|"&amp;$B135&amp;"|placement|Y",photos!$R$2:$R$701,0))="","",INDEX(photos!$E$2:$E$701,MATCH($A135&amp;"|"&amp;$B135&amp;"|placement|Y",photos!$R$2:$R$701,0))),""))</f>
        <v/>
      </c>
      <c r="Z135" s="30" t="str">
        <f aca="false">IF($A135="","",IF(COUNTIFS(counts!$C$2:$C$701,$A135,counts!$D$2:$D$701,$B135,counts!$E$2:$E$701,"placed")=0,"",SUMIFS(counts!$F$2:$F$701,counts!$C$2:$C$701,$A135,counts!$D$2:$D$701,$B135,counts!$E$2:$E$701,"placed")))</f>
        <v/>
      </c>
      <c r="AA135" s="30" t="str">
        <f aca="false">IF($A135="","",IF($Y135="",0,N($Z135)))</f>
        <v/>
      </c>
      <c r="AB135" s="30" t="str">
        <f aca="false">IF($A135="","",IF(OR($Y135="",$I135=""),"N",IF($Y135&lt;=WORKDAY(N($I135),1,calendar!$A$2:$A$80),"Y","N")))</f>
        <v/>
      </c>
      <c r="AC135" s="33" t="str">
        <f aca="false">IF(OR($A135="",$V135="",$Y135=""),"",ROUND(($Y135+N(IFERROR(IF(INDEX(photos!$F$2:$F$701,MATCH($A135&amp;"|"&amp;$B135&amp;"|placement|Y",photos!$R$2:$R$701,0))="","",INDEX(photos!$F$2:$F$701,MATCH($A135&amp;"|"&amp;$B135&amp;"|placement|Y",photos!$R$2:$R$701,0))),""))-$V135)*24,1))</f>
        <v/>
      </c>
      <c r="AD135" s="30" t="str">
        <f aca="false">IF($A135="","",SUMIFS(inventory!$G$2:$G$801,inventory!$C$2:$C$801,$A135,inventory!$D$2:$D$801,$B135,inventory!$E$2:$E$801,"topped_up"))</f>
        <v/>
      </c>
      <c r="AE135" s="30" t="str">
        <f aca="false">IF($A135="","",IF(COUNTIFS(counts!$C$2:$C$701,$A135,counts!$D$2:$D$701,$B135,counts!$E$2:$E$701,"remaining_day3")=0,"",SUMIFS(counts!$F$2:$F$701,counts!$C$2:$C$701,$A135,counts!$D$2:$D$701,$B135,counts!$E$2:$E$701,"remaining_day3")))</f>
        <v/>
      </c>
      <c r="AF135" s="30" t="str">
        <f aca="false">IF($A135="","",IF(COUNTIFS(counts!$C$2:$C$701,$A135,counts!$D$2:$D$701,$B135,counts!$E$2:$E$701,"remaining_day5")=0,"",SUMIFS(counts!$F$2:$F$701,counts!$C$2:$C$701,$A135,counts!$D$2:$D$701,$B135,counts!$E$2:$E$701,"remaining_day5")))</f>
        <v/>
      </c>
      <c r="AG135" s="30" t="str">
        <f aca="false">IF(OR($A135="",$AF135=""),"",MAX(0,$AA135+$AD135-$AF135))</f>
        <v/>
      </c>
      <c r="AH135" s="30" t="str">
        <f aca="false">IF(OR($A135="",$AI135=""),"",IFERROR(IF(INDEX(photos!$H$2:$H$701,MATCH($A135&amp;"|"&amp;$B135&amp;"|later|Y|"&amp;$AI135,photos!$S$2:$S$701,0))="","",INDEX(photos!$H$2:$H$701,MATCH($A135&amp;"|"&amp;$B135&amp;"|later|Y|"&amp;$AI135,photos!$S$2:$S$701,0))),""))</f>
        <v/>
      </c>
      <c r="AI135" s="31" t="str">
        <f aca="false">IF($A135="","",IFERROR(1/(1/SUMPRODUCT(MAX((photos!$B$2:$B$701=$A135)*(photos!$C$2:$C$701=$B135)*(photos!$D$2:$D$701="later")*(photos!$O$2:$O$701="Y")*photos!$E$2:$E$701))),""))</f>
        <v/>
      </c>
      <c r="AJ135" s="30" t="str">
        <f aca="false">IF(OR($A135="",$AI135="",$I135=""),"",NETWORKDAYS($I135,$AI135,calendar!$A$2:$A$80))</f>
        <v/>
      </c>
      <c r="AK135" s="30" t="str">
        <f aca="false">IF($A135="","",IF(AND($X135&lt;&gt;"",$AH135&lt;&gt;""),"Y","N"))</f>
        <v/>
      </c>
      <c r="AL135" s="30" t="str">
        <f aca="true">IF(OR($A135="",$I135=""),"",IF($BC135="Y",SUMIFS(survey_frozen!$C$2:$C$251,survey_frozen!$P$2:$P$251,$A135&amp;"|"&amp;$B135),IFERROR(COUNTIFS(INDIRECT("'"&amp;$A135&amp;"'!$B$2:$B$501"),$T135,INDIRECT("'"&amp;$A135&amp;"'!$A$2:$A$501"),"&gt;="&amp;$I135,INDIRECT("'"&amp;$A135&amp;"'!$A$2:$A$501"),"&lt;"&amp;($BA135+1)),0)))</f>
        <v/>
      </c>
      <c r="AM135" s="30" t="str">
        <f aca="true">IF(OR($A135="",$I135=""),"",IF($BC135="Y",SUMIFS(survey_frozen!$D$2:$D$251,survey_frozen!$P$2:$P$251,$A135&amp;"|"&amp;$B135),IFERROR(COUNTIFS(INDIRECT("'"&amp;$A135&amp;"'!$B$2:$B$501"),$T135,INDIRECT("'"&amp;$A135&amp;"'!$A$2:$A$501"),"&gt;="&amp;$I135,INDIRECT("'"&amp;$A135&amp;"'!$A$2:$A$501"),"&lt;"&amp;($BA135+1),INDIRECT("'"&amp;$A135&amp;"'!$C$2:$C$501"),"Yes"),0)))</f>
        <v/>
      </c>
      <c r="AN135" s="30" t="str">
        <f aca="false">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30" t="str">
        <f aca="false">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30" t="str">
        <f aca="true">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30" t="str">
        <f aca="true">IF(OR($A135="",$I135=""),"",IF($BC135="Y",SUMIFS(survey_frozen!$E$2:$E$251,survey_frozen!$P$2:$P$251,$A135&amp;"|"&amp;$B135),IFERROR(COUNTIFS(INDIRECT("'"&amp;$A135&amp;"'!$B$2:$B$501"),$T135,INDIRECT("'"&amp;$A135&amp;"'!$A$2:$A$501"),"&gt;="&amp;$I135,INDIRECT("'"&amp;$A135&amp;"'!$A$2:$A$501"),"&lt;"&amp;($BA135+1),INDIRECT("'"&amp;$A135&amp;"'!$F$2:$F$501"),"Didn't see it"),0)))</f>
        <v/>
      </c>
      <c r="AR135" s="30" t="str">
        <f aca="true">IF(OR($A135="",$I135=""),"",IF($BC135="Y",SUMIFS(survey_frozen!$F$2:$F$251,survey_frozen!$P$2:$P$251,$A135&amp;"|"&amp;$B135),IFERROR(COUNTIFS(INDIRECT("'"&amp;$A135&amp;"'!$B$2:$B$501"),$T135,INDIRECT("'"&amp;$A135&amp;"'!$A$2:$A$501"),"&gt;="&amp;$I135,INDIRECT("'"&amp;$A135&amp;"'!$A$2:$A$501"),"&lt;"&amp;($BA135+1),INDIRECT("'"&amp;$A135&amp;"'!$F$2:$F$501"),"Not for me"),0)))</f>
        <v/>
      </c>
      <c r="AS135" s="30" t="str">
        <f aca="true">IF(OR($A135="",$I135=""),"",IF($BC135="Y",SUMIFS(survey_frozen!$G$2:$G$251,survey_frozen!$P$2:$P$251,$A135&amp;"|"&amp;$B135),IFERROR(COUNTIFS(INDIRECT("'"&amp;$A135&amp;"'!$B$2:$B$501"),$T135,INDIRECT("'"&amp;$A135&amp;"'!$A$2:$A$501"),"&gt;="&amp;$I135,INDIRECT("'"&amp;$A135&amp;"'!$A$2:$A$501"),"&lt;"&amp;($BA135+1),INDIRECT("'"&amp;$A135&amp;"'!$F$2:$F$501"),"Gone by the time I looked"),0)))</f>
        <v/>
      </c>
      <c r="AT135" s="30" t="str">
        <f aca="true">IF(OR($A135="",$I135=""),"",IF($BC135="Y",SUMIFS(survey_frozen!$H$2:$H$251,survey_frozen!$P$2:$P$251,$A135&amp;"|"&amp;$B135),IFERROR(COUNTIFS(INDIRECT("'"&amp;$A135&amp;"'!$B$2:$B$501"),$T135,INDIRECT("'"&amp;$A135&amp;"'!$A$2:$A$501"),"&gt;="&amp;$I135,INDIRECT("'"&amp;$A135&amp;"'!$A$2:$A$501"),"&lt;"&amp;($BA135+1),INDIRECT("'"&amp;$A135&amp;"'!$D$2:$D$501"),"&gt;=1"),0)))</f>
        <v/>
      </c>
      <c r="AU135" s="30" t="str">
        <f aca="true">IF(OR($A135="",$I135=""),"",IF($BC135="Y",SUMIFS(survey_frozen!$I$2:$I$251,survey_frozen!$P$2:$P$251,$A135&amp;"|"&amp;$B135),IFERROR(SUMIFS(INDIRECT("'"&amp;$A135&amp;"'!$D$2:$D$501"),INDIRECT("'"&amp;$A135&amp;"'!$B$2:$B$501"),$T135,INDIRECT("'"&amp;$A135&amp;"'!$A$2:$A$501"),"&gt;="&amp;$I135,INDIRECT("'"&amp;$A135&amp;"'!$A$2:$A$501"),"&lt;"&amp;($BA135+1)),0)))</f>
        <v/>
      </c>
      <c r="AV135" s="30" t="str">
        <f aca="true">IF(OR($A135="",$I135=""),"",IF($BC135="Y",SUMIFS(survey_frozen!$J$2:$J$251,survey_frozen!$P$2:$P$251,$A135&amp;"|"&amp;$B135),IFERROR(COUNTIFS(INDIRECT("'"&amp;$A135&amp;"'!$B$2:$B$501"),$T135,INDIRECT("'"&amp;$A135&amp;"'!$A$2:$A$501"),"&gt;="&amp;$I135,INDIRECT("'"&amp;$A135&amp;"'!$A$2:$A$501"),"&lt;"&amp;($BA135+1),INDIRECT("'"&amp;$A135&amp;"'!$E$2:$E$501"),"Yes"),0)))</f>
        <v/>
      </c>
      <c r="AW135" s="30" t="str">
        <f aca="true">IF(OR($A135="",$I135=""),"",IF($BC135="Y",SUMIFS(survey_frozen!$K$2:$K$251,survey_frozen!$P$2:$P$251,$A135&amp;"|"&amp;$B135),IFERROR(COUNTIFS(INDIRECT("'"&amp;$A135&amp;"'!$B$2:$B$501"),$T135,INDIRECT("'"&amp;$A135&amp;"'!$A$2:$A$501"),"&gt;="&amp;$I135,INDIRECT("'"&amp;$A135&amp;"'!$A$2:$A$501"),"&lt;"&amp;($BA135+1),INDIRECT("'"&amp;$A135&amp;"'!$E$2:$E$501"),"Maybe"),0)))</f>
        <v/>
      </c>
      <c r="AX135" s="30" t="str">
        <f aca="true">IF(OR($A135="",$I135=""),"",IF($BC135="Y",SUMIFS(survey_frozen!$L$2:$L$251,survey_frozen!$P$2:$P$251,$A135&amp;"|"&amp;$B135),IFERROR(COUNTIFS(INDIRECT("'"&amp;$A135&amp;"'!$B$2:$B$501"),$T135,INDIRECT("'"&amp;$A135&amp;"'!$A$2:$A$501"),"&gt;="&amp;$I135,INDIRECT("'"&amp;$A135&amp;"'!$A$2:$A$501"),"&lt;"&amp;($BA135+1),INDIRECT("'"&amp;$A135&amp;"'!$E$2:$E$501"),"No"),0)))</f>
        <v/>
      </c>
      <c r="AY135" s="30" t="str">
        <f aca="true">IF(OR($A135="",$I135=""),"",IF($BC135="Y",SUMIFS(survey_frozen!$M$2:$M$251,survey_frozen!$P$2:$P$251,$A135&amp;"|"&amp;$B135),IFERROR(COUNTIFS(INDIRECT("'"&amp;$A135&amp;"'!$B$2:$B$501"),$T135,INDIRECT("'"&amp;$A135&amp;"'!$A$2:$A$501"),"&gt;="&amp;$I135,INDIRECT("'"&amp;$A135&amp;"'!$A$2:$A$501"),"&lt;"&amp;($BA135+1),INDIRECT("'"&amp;$A135&amp;"'!$G$2:$G$501"),"&lt;&gt;"),0)))</f>
        <v/>
      </c>
      <c r="AZ135" s="30" t="str">
        <f aca="false">IF($A135="","",$A135&amp;"|"&amp;$L135)</f>
        <v/>
      </c>
      <c r="BA135" s="31" t="str">
        <f aca="false">IF($A135="","",IFERROR(IF(INDEX(drops!$R$2:$R$21,MATCH($H135,drops!$A$2:$A$21,0))="","",INDEX(drops!$R$2:$R$21,MATCH($H135,drops!$A$2:$A$21,0))),""))</f>
        <v/>
      </c>
      <c r="BB135" s="30" t="n">
        <f aca="false">IF(OR($A135="",$Q135&lt;&gt;"Y"),1000000,N($AL135))</f>
        <v>1000000</v>
      </c>
      <c r="BC135" s="30" t="str">
        <f aca="false">IF($A135="","",IF(COUNTIF(survey_frozen!$P$2:$P$251,$A135&amp;"|"&amp;$B135)&gt;0,"Y",""))</f>
        <v/>
      </c>
      <c r="BD135" s="30" t="str">
        <f aca="false">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ustomFormat="false" ht="15" hidden="false" customHeight="false" outlineLevel="0" collapsed="false">
      <c r="C136" s="11"/>
      <c r="D136" s="10"/>
      <c r="E136" s="11"/>
      <c r="H136" s="30" t="str">
        <f aca="false">IF($A136="","",IFERROR(IF(INDEX(campaigns!$B$2:$B$51,MATCH($A136,campaigns!$A$2:$A$51,0))="","",INDEX(campaigns!$B$2:$B$51,MATCH($A136,campaigns!$A$2:$A$51,0))),""))</f>
        <v/>
      </c>
      <c r="I136" s="31" t="str">
        <f aca="false">IF($A136="","",IFERROR(IF(INDEX(campaigns!$BG$2:$BG$51,MATCH($A136,campaigns!$A$2:$A$51,0))="","",INDEX(campaigns!$BG$2:$BG$51,MATCH($A136,campaigns!$A$2:$A$51,0))),""))</f>
        <v/>
      </c>
      <c r="J136" s="30" t="str">
        <f aca="false">IF($A136="","",IFERROR(IF(INDEX(campaigns!$BE$2:$BE$51,MATCH($A136,campaigns!$A$2:$A$51,0))="","",INDEX(campaigns!$BE$2:$BE$51,MATCH($A136,campaigns!$A$2:$A$51,0))),""))</f>
        <v/>
      </c>
      <c r="K136" s="30" t="str">
        <f aca="false">IF($B136="","",IFERROR(IF(INDEX(offices!$O$2:$O$61,MATCH($B136,offices!$A$2:$A$61,0))="","",INDEX(offices!$O$2:$O$61,MATCH($B136,offices!$A$2:$A$61,0))),""))</f>
        <v/>
      </c>
      <c r="L136" s="30" t="str">
        <f aca="false">IF($A136="","",IF($Q136="N","",COUNTIFS($A$2:$A136,$A136,$Q$2:$Q136,"&lt;&gt;N")))</f>
        <v/>
      </c>
      <c r="M136" s="30" t="str">
        <f aca="false">IF(OR($A136="",$L136=""),"",IF(AND(config!$B$34="names_if_public",IFERROR(IF(INDEX(offices!$AG$2:$AG$61,MATCH($B136,offices!$A$2:$A$61,0))="","",INDEX(offices!$AG$2:$AG$61,MATCH($B136,offices!$A$2:$A$61,0))),"")="Y"),$K136,CHAR(64+$L136)))</f>
        <v/>
      </c>
      <c r="N136" s="30" t="str">
        <f aca="false">IF(OR($A136="",$I136=""),"",COUNTIFS(stops!$B$2:$B$151,$B136,stops!$P$2:$P$151,"&lt;"&amp;$I136,stops!$L$2:$L$151,"&lt;&gt;not_delivered")+1)</f>
        <v/>
      </c>
      <c r="O136" s="30" t="str">
        <f aca="false">IF($A136="","",IF(N($N136)&lt;=config!$B$29,"explicit","opt-out"))</f>
        <v/>
      </c>
      <c r="P136" s="30" t="str">
        <f aca="false">IF($A136="","",IF($O136="explicit",IF($D136="yes","Y",IF($D136="no","N","pending")),IF($D136="no","N",IF(AND($C136&lt;&gt;"",$I136&lt;&gt;"",$C136&lt;=WORKDAY(N($I136),-5,calendar!$A$2:$A$80)),"Y","pending"))))</f>
        <v/>
      </c>
      <c r="Q136" s="30" t="str">
        <f aca="false">IF($A136="","",IF($P136="N","N",IF($P136&lt;&gt;"Y","pending",IF(AND((COUNTIFS(stops!$A$2:$A$151,$H136,stops!$B$2:$B$151,$B136,stops!$L$2:$L$151,"declined")+COUNTIFS(stops!$A$2:$A$151,$H136,stops!$B$2:$B$151,$B136,stops!$L$2:$L$151,"building_refused")+COUNTIFS(stops!$A$2:$A$151,$H136,stops!$B$2:$B$151,$B136,stops!$L$2:$L$151,"not_delivered"))&gt;0,N($U136)=0),"N","Y"))))</f>
        <v/>
      </c>
      <c r="R136" s="30" t="str">
        <f aca="false">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30" t="str">
        <f aca="false">IF($A136="","",IF($G136&lt;&gt;"",$G136,IFERROR(IF(INDEX(offices!$AM$2:$AM$61,MATCH($B136,offices!$A$2:$A$61,0))="","",INDEX(offices!$AM$2:$AM$61,MATCH($B136,offices!$A$2:$A$61,0))),"")))</f>
        <v/>
      </c>
      <c r="T136" s="30" t="str">
        <f aca="false">IF($A136="","",$A136&amp;"."&amp;$B136)</f>
        <v/>
      </c>
      <c r="U136" s="30" t="str">
        <f aca="false">IF($A136="","",SUMIFS(inventory!$G$2:$G$801,inventory!$C$2:$C$801,$A136,inventory!$D$2:$D$801,$B136,inventory!$E$2:$E$801,"delivered"))</f>
        <v/>
      </c>
      <c r="V136" s="37" t="str">
        <f aca="false">IF($A136="","",IFERROR(1/(1/SUMPRODUCT(MAX((inventory!$C$2:$C$801=$A136)*(inventory!$D$2:$D$801=$B136)*(inventory!$E$2:$E$801="delivered")*(inventory!$A$2:$A$801+inventory!$B$2:$B$801)))),""))</f>
        <v/>
      </c>
      <c r="W136" s="30" t="str">
        <f aca="false">IF($A136="","",IFERROR(IF(INDEX(inventory!$J$2:$J$801,MATCH($A136&amp;"|"&amp;$B136&amp;"|delivered",inventory!$R$2:$R$801,0))="","",INDEX(inventory!$J$2:$J$801,MATCH($A136&amp;"|"&amp;$B136&amp;"|delivered",inventory!$R$2:$R$801,0))),""))</f>
        <v/>
      </c>
      <c r="X136" s="30" t="str">
        <f aca="false">IF($A136="","",IFERROR(IF(INDEX(photos!$H$2:$H$701,MATCH($A136&amp;"|"&amp;$B136&amp;"|placement|Y",photos!$R$2:$R$701,0))="","",INDEX(photos!$H$2:$H$701,MATCH($A136&amp;"|"&amp;$B136&amp;"|placement|Y",photos!$R$2:$R$701,0))),""))</f>
        <v/>
      </c>
      <c r="Y136" s="31" t="str">
        <f aca="false">IF($A136="","",IFERROR(IF(INDEX(photos!$E$2:$E$701,MATCH($A136&amp;"|"&amp;$B136&amp;"|placement|Y",photos!$R$2:$R$701,0))="","",INDEX(photos!$E$2:$E$701,MATCH($A136&amp;"|"&amp;$B136&amp;"|placement|Y",photos!$R$2:$R$701,0))),""))</f>
        <v/>
      </c>
      <c r="Z136" s="30" t="str">
        <f aca="false">IF($A136="","",IF(COUNTIFS(counts!$C$2:$C$701,$A136,counts!$D$2:$D$701,$B136,counts!$E$2:$E$701,"placed")=0,"",SUMIFS(counts!$F$2:$F$701,counts!$C$2:$C$701,$A136,counts!$D$2:$D$701,$B136,counts!$E$2:$E$701,"placed")))</f>
        <v/>
      </c>
      <c r="AA136" s="30" t="str">
        <f aca="false">IF($A136="","",IF($Y136="",0,N($Z136)))</f>
        <v/>
      </c>
      <c r="AB136" s="30" t="str">
        <f aca="false">IF($A136="","",IF(OR($Y136="",$I136=""),"N",IF($Y136&lt;=WORKDAY(N($I136),1,calendar!$A$2:$A$80),"Y","N")))</f>
        <v/>
      </c>
      <c r="AC136" s="33" t="str">
        <f aca="false">IF(OR($A136="",$V136="",$Y136=""),"",ROUND(($Y136+N(IFERROR(IF(INDEX(photos!$F$2:$F$701,MATCH($A136&amp;"|"&amp;$B136&amp;"|placement|Y",photos!$R$2:$R$701,0))="","",INDEX(photos!$F$2:$F$701,MATCH($A136&amp;"|"&amp;$B136&amp;"|placement|Y",photos!$R$2:$R$701,0))),""))-$V136)*24,1))</f>
        <v/>
      </c>
      <c r="AD136" s="30" t="str">
        <f aca="false">IF($A136="","",SUMIFS(inventory!$G$2:$G$801,inventory!$C$2:$C$801,$A136,inventory!$D$2:$D$801,$B136,inventory!$E$2:$E$801,"topped_up"))</f>
        <v/>
      </c>
      <c r="AE136" s="30" t="str">
        <f aca="false">IF($A136="","",IF(COUNTIFS(counts!$C$2:$C$701,$A136,counts!$D$2:$D$701,$B136,counts!$E$2:$E$701,"remaining_day3")=0,"",SUMIFS(counts!$F$2:$F$701,counts!$C$2:$C$701,$A136,counts!$D$2:$D$701,$B136,counts!$E$2:$E$701,"remaining_day3")))</f>
        <v/>
      </c>
      <c r="AF136" s="30" t="str">
        <f aca="false">IF($A136="","",IF(COUNTIFS(counts!$C$2:$C$701,$A136,counts!$D$2:$D$701,$B136,counts!$E$2:$E$701,"remaining_day5")=0,"",SUMIFS(counts!$F$2:$F$701,counts!$C$2:$C$701,$A136,counts!$D$2:$D$701,$B136,counts!$E$2:$E$701,"remaining_day5")))</f>
        <v/>
      </c>
      <c r="AG136" s="30" t="str">
        <f aca="false">IF(OR($A136="",$AF136=""),"",MAX(0,$AA136+$AD136-$AF136))</f>
        <v/>
      </c>
      <c r="AH136" s="30" t="str">
        <f aca="false">IF(OR($A136="",$AI136=""),"",IFERROR(IF(INDEX(photos!$H$2:$H$701,MATCH($A136&amp;"|"&amp;$B136&amp;"|later|Y|"&amp;$AI136,photos!$S$2:$S$701,0))="","",INDEX(photos!$H$2:$H$701,MATCH($A136&amp;"|"&amp;$B136&amp;"|later|Y|"&amp;$AI136,photos!$S$2:$S$701,0))),""))</f>
        <v/>
      </c>
      <c r="AI136" s="31" t="str">
        <f aca="false">IF($A136="","",IFERROR(1/(1/SUMPRODUCT(MAX((photos!$B$2:$B$701=$A136)*(photos!$C$2:$C$701=$B136)*(photos!$D$2:$D$701="later")*(photos!$O$2:$O$701="Y")*photos!$E$2:$E$701))),""))</f>
        <v/>
      </c>
      <c r="AJ136" s="30" t="str">
        <f aca="false">IF(OR($A136="",$AI136="",$I136=""),"",NETWORKDAYS($I136,$AI136,calendar!$A$2:$A$80))</f>
        <v/>
      </c>
      <c r="AK136" s="30" t="str">
        <f aca="false">IF($A136="","",IF(AND($X136&lt;&gt;"",$AH136&lt;&gt;""),"Y","N"))</f>
        <v/>
      </c>
      <c r="AL136" s="30" t="str">
        <f aca="true">IF(OR($A136="",$I136=""),"",IF($BC136="Y",SUMIFS(survey_frozen!$C$2:$C$251,survey_frozen!$P$2:$P$251,$A136&amp;"|"&amp;$B136),IFERROR(COUNTIFS(INDIRECT("'"&amp;$A136&amp;"'!$B$2:$B$501"),$T136,INDIRECT("'"&amp;$A136&amp;"'!$A$2:$A$501"),"&gt;="&amp;$I136,INDIRECT("'"&amp;$A136&amp;"'!$A$2:$A$501"),"&lt;"&amp;($BA136+1)),0)))</f>
        <v/>
      </c>
      <c r="AM136" s="30" t="str">
        <f aca="true">IF(OR($A136="",$I136=""),"",IF($BC136="Y",SUMIFS(survey_frozen!$D$2:$D$251,survey_frozen!$P$2:$P$251,$A136&amp;"|"&amp;$B136),IFERROR(COUNTIFS(INDIRECT("'"&amp;$A136&amp;"'!$B$2:$B$501"),$T136,INDIRECT("'"&amp;$A136&amp;"'!$A$2:$A$501"),"&gt;="&amp;$I136,INDIRECT("'"&amp;$A136&amp;"'!$A$2:$A$501"),"&lt;"&amp;($BA136+1),INDIRECT("'"&amp;$A136&amp;"'!$C$2:$C$501"),"Yes"),0)))</f>
        <v/>
      </c>
      <c r="AN136" s="30" t="str">
        <f aca="false">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30" t="str">
        <f aca="false">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30" t="str">
        <f aca="true">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30" t="str">
        <f aca="true">IF(OR($A136="",$I136=""),"",IF($BC136="Y",SUMIFS(survey_frozen!$E$2:$E$251,survey_frozen!$P$2:$P$251,$A136&amp;"|"&amp;$B136),IFERROR(COUNTIFS(INDIRECT("'"&amp;$A136&amp;"'!$B$2:$B$501"),$T136,INDIRECT("'"&amp;$A136&amp;"'!$A$2:$A$501"),"&gt;="&amp;$I136,INDIRECT("'"&amp;$A136&amp;"'!$A$2:$A$501"),"&lt;"&amp;($BA136+1),INDIRECT("'"&amp;$A136&amp;"'!$F$2:$F$501"),"Didn't see it"),0)))</f>
        <v/>
      </c>
      <c r="AR136" s="30" t="str">
        <f aca="true">IF(OR($A136="",$I136=""),"",IF($BC136="Y",SUMIFS(survey_frozen!$F$2:$F$251,survey_frozen!$P$2:$P$251,$A136&amp;"|"&amp;$B136),IFERROR(COUNTIFS(INDIRECT("'"&amp;$A136&amp;"'!$B$2:$B$501"),$T136,INDIRECT("'"&amp;$A136&amp;"'!$A$2:$A$501"),"&gt;="&amp;$I136,INDIRECT("'"&amp;$A136&amp;"'!$A$2:$A$501"),"&lt;"&amp;($BA136+1),INDIRECT("'"&amp;$A136&amp;"'!$F$2:$F$501"),"Not for me"),0)))</f>
        <v/>
      </c>
      <c r="AS136" s="30" t="str">
        <f aca="true">IF(OR($A136="",$I136=""),"",IF($BC136="Y",SUMIFS(survey_frozen!$G$2:$G$251,survey_frozen!$P$2:$P$251,$A136&amp;"|"&amp;$B136),IFERROR(COUNTIFS(INDIRECT("'"&amp;$A136&amp;"'!$B$2:$B$501"),$T136,INDIRECT("'"&amp;$A136&amp;"'!$A$2:$A$501"),"&gt;="&amp;$I136,INDIRECT("'"&amp;$A136&amp;"'!$A$2:$A$501"),"&lt;"&amp;($BA136+1),INDIRECT("'"&amp;$A136&amp;"'!$F$2:$F$501"),"Gone by the time I looked"),0)))</f>
        <v/>
      </c>
      <c r="AT136" s="30" t="str">
        <f aca="true">IF(OR($A136="",$I136=""),"",IF($BC136="Y",SUMIFS(survey_frozen!$H$2:$H$251,survey_frozen!$P$2:$P$251,$A136&amp;"|"&amp;$B136),IFERROR(COUNTIFS(INDIRECT("'"&amp;$A136&amp;"'!$B$2:$B$501"),$T136,INDIRECT("'"&amp;$A136&amp;"'!$A$2:$A$501"),"&gt;="&amp;$I136,INDIRECT("'"&amp;$A136&amp;"'!$A$2:$A$501"),"&lt;"&amp;($BA136+1),INDIRECT("'"&amp;$A136&amp;"'!$D$2:$D$501"),"&gt;=1"),0)))</f>
        <v/>
      </c>
      <c r="AU136" s="30" t="str">
        <f aca="true">IF(OR($A136="",$I136=""),"",IF($BC136="Y",SUMIFS(survey_frozen!$I$2:$I$251,survey_frozen!$P$2:$P$251,$A136&amp;"|"&amp;$B136),IFERROR(SUMIFS(INDIRECT("'"&amp;$A136&amp;"'!$D$2:$D$501"),INDIRECT("'"&amp;$A136&amp;"'!$B$2:$B$501"),$T136,INDIRECT("'"&amp;$A136&amp;"'!$A$2:$A$501"),"&gt;="&amp;$I136,INDIRECT("'"&amp;$A136&amp;"'!$A$2:$A$501"),"&lt;"&amp;($BA136+1)),0)))</f>
        <v/>
      </c>
      <c r="AV136" s="30" t="str">
        <f aca="true">IF(OR($A136="",$I136=""),"",IF($BC136="Y",SUMIFS(survey_frozen!$J$2:$J$251,survey_frozen!$P$2:$P$251,$A136&amp;"|"&amp;$B136),IFERROR(COUNTIFS(INDIRECT("'"&amp;$A136&amp;"'!$B$2:$B$501"),$T136,INDIRECT("'"&amp;$A136&amp;"'!$A$2:$A$501"),"&gt;="&amp;$I136,INDIRECT("'"&amp;$A136&amp;"'!$A$2:$A$501"),"&lt;"&amp;($BA136+1),INDIRECT("'"&amp;$A136&amp;"'!$E$2:$E$501"),"Yes"),0)))</f>
        <v/>
      </c>
      <c r="AW136" s="30" t="str">
        <f aca="true">IF(OR($A136="",$I136=""),"",IF($BC136="Y",SUMIFS(survey_frozen!$K$2:$K$251,survey_frozen!$P$2:$P$251,$A136&amp;"|"&amp;$B136),IFERROR(COUNTIFS(INDIRECT("'"&amp;$A136&amp;"'!$B$2:$B$501"),$T136,INDIRECT("'"&amp;$A136&amp;"'!$A$2:$A$501"),"&gt;="&amp;$I136,INDIRECT("'"&amp;$A136&amp;"'!$A$2:$A$501"),"&lt;"&amp;($BA136+1),INDIRECT("'"&amp;$A136&amp;"'!$E$2:$E$501"),"Maybe"),0)))</f>
        <v/>
      </c>
      <c r="AX136" s="30" t="str">
        <f aca="true">IF(OR($A136="",$I136=""),"",IF($BC136="Y",SUMIFS(survey_frozen!$L$2:$L$251,survey_frozen!$P$2:$P$251,$A136&amp;"|"&amp;$B136),IFERROR(COUNTIFS(INDIRECT("'"&amp;$A136&amp;"'!$B$2:$B$501"),$T136,INDIRECT("'"&amp;$A136&amp;"'!$A$2:$A$501"),"&gt;="&amp;$I136,INDIRECT("'"&amp;$A136&amp;"'!$A$2:$A$501"),"&lt;"&amp;($BA136+1),INDIRECT("'"&amp;$A136&amp;"'!$E$2:$E$501"),"No"),0)))</f>
        <v/>
      </c>
      <c r="AY136" s="30" t="str">
        <f aca="true">IF(OR($A136="",$I136=""),"",IF($BC136="Y",SUMIFS(survey_frozen!$M$2:$M$251,survey_frozen!$P$2:$P$251,$A136&amp;"|"&amp;$B136),IFERROR(COUNTIFS(INDIRECT("'"&amp;$A136&amp;"'!$B$2:$B$501"),$T136,INDIRECT("'"&amp;$A136&amp;"'!$A$2:$A$501"),"&gt;="&amp;$I136,INDIRECT("'"&amp;$A136&amp;"'!$A$2:$A$501"),"&lt;"&amp;($BA136+1),INDIRECT("'"&amp;$A136&amp;"'!$G$2:$G$501"),"&lt;&gt;"),0)))</f>
        <v/>
      </c>
      <c r="AZ136" s="30" t="str">
        <f aca="false">IF($A136="","",$A136&amp;"|"&amp;$L136)</f>
        <v/>
      </c>
      <c r="BA136" s="31" t="str">
        <f aca="false">IF($A136="","",IFERROR(IF(INDEX(drops!$R$2:$R$21,MATCH($H136,drops!$A$2:$A$21,0))="","",INDEX(drops!$R$2:$R$21,MATCH($H136,drops!$A$2:$A$21,0))),""))</f>
        <v/>
      </c>
      <c r="BB136" s="30" t="n">
        <f aca="false">IF(OR($A136="",$Q136&lt;&gt;"Y"),1000000,N($AL136))</f>
        <v>1000000</v>
      </c>
      <c r="BC136" s="30" t="str">
        <f aca="false">IF($A136="","",IF(COUNTIF(survey_frozen!$P$2:$P$251,$A136&amp;"|"&amp;$B136)&gt;0,"Y",""))</f>
        <v/>
      </c>
      <c r="BD136" s="30" t="str">
        <f aca="false">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ustomFormat="false" ht="15" hidden="false" customHeight="false" outlineLevel="0" collapsed="false">
      <c r="C137" s="11"/>
      <c r="D137" s="10"/>
      <c r="E137" s="11"/>
      <c r="H137" s="30" t="str">
        <f aca="false">IF($A137="","",IFERROR(IF(INDEX(campaigns!$B$2:$B$51,MATCH($A137,campaigns!$A$2:$A$51,0))="","",INDEX(campaigns!$B$2:$B$51,MATCH($A137,campaigns!$A$2:$A$51,0))),""))</f>
        <v/>
      </c>
      <c r="I137" s="31" t="str">
        <f aca="false">IF($A137="","",IFERROR(IF(INDEX(campaigns!$BG$2:$BG$51,MATCH($A137,campaigns!$A$2:$A$51,0))="","",INDEX(campaigns!$BG$2:$BG$51,MATCH($A137,campaigns!$A$2:$A$51,0))),""))</f>
        <v/>
      </c>
      <c r="J137" s="30" t="str">
        <f aca="false">IF($A137="","",IFERROR(IF(INDEX(campaigns!$BE$2:$BE$51,MATCH($A137,campaigns!$A$2:$A$51,0))="","",INDEX(campaigns!$BE$2:$BE$51,MATCH($A137,campaigns!$A$2:$A$51,0))),""))</f>
        <v/>
      </c>
      <c r="K137" s="30" t="str">
        <f aca="false">IF($B137="","",IFERROR(IF(INDEX(offices!$O$2:$O$61,MATCH($B137,offices!$A$2:$A$61,0))="","",INDEX(offices!$O$2:$O$61,MATCH($B137,offices!$A$2:$A$61,0))),""))</f>
        <v/>
      </c>
      <c r="L137" s="30" t="str">
        <f aca="false">IF($A137="","",IF($Q137="N","",COUNTIFS($A$2:$A137,$A137,$Q$2:$Q137,"&lt;&gt;N")))</f>
        <v/>
      </c>
      <c r="M137" s="30" t="str">
        <f aca="false">IF(OR($A137="",$L137=""),"",IF(AND(config!$B$34="names_if_public",IFERROR(IF(INDEX(offices!$AG$2:$AG$61,MATCH($B137,offices!$A$2:$A$61,0))="","",INDEX(offices!$AG$2:$AG$61,MATCH($B137,offices!$A$2:$A$61,0))),"")="Y"),$K137,CHAR(64+$L137)))</f>
        <v/>
      </c>
      <c r="N137" s="30" t="str">
        <f aca="false">IF(OR($A137="",$I137=""),"",COUNTIFS(stops!$B$2:$B$151,$B137,stops!$P$2:$P$151,"&lt;"&amp;$I137,stops!$L$2:$L$151,"&lt;&gt;not_delivered")+1)</f>
        <v/>
      </c>
      <c r="O137" s="30" t="str">
        <f aca="false">IF($A137="","",IF(N($N137)&lt;=config!$B$29,"explicit","opt-out"))</f>
        <v/>
      </c>
      <c r="P137" s="30" t="str">
        <f aca="false">IF($A137="","",IF($O137="explicit",IF($D137="yes","Y",IF($D137="no","N","pending")),IF($D137="no","N",IF(AND($C137&lt;&gt;"",$I137&lt;&gt;"",$C137&lt;=WORKDAY(N($I137),-5,calendar!$A$2:$A$80)),"Y","pending"))))</f>
        <v/>
      </c>
      <c r="Q137" s="30" t="str">
        <f aca="false">IF($A137="","",IF($P137="N","N",IF($P137&lt;&gt;"Y","pending",IF(AND((COUNTIFS(stops!$A$2:$A$151,$H137,stops!$B$2:$B$151,$B137,stops!$L$2:$L$151,"declined")+COUNTIFS(stops!$A$2:$A$151,$H137,stops!$B$2:$B$151,$B137,stops!$L$2:$L$151,"building_refused")+COUNTIFS(stops!$A$2:$A$151,$H137,stops!$B$2:$B$151,$B137,stops!$L$2:$L$151,"not_delivered"))&gt;0,N($U137)=0),"N","Y"))))</f>
        <v/>
      </c>
      <c r="R137" s="30" t="str">
        <f aca="false">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30" t="str">
        <f aca="false">IF($A137="","",IF($G137&lt;&gt;"",$G137,IFERROR(IF(INDEX(offices!$AM$2:$AM$61,MATCH($B137,offices!$A$2:$A$61,0))="","",INDEX(offices!$AM$2:$AM$61,MATCH($B137,offices!$A$2:$A$61,0))),"")))</f>
        <v/>
      </c>
      <c r="T137" s="30" t="str">
        <f aca="false">IF($A137="","",$A137&amp;"."&amp;$B137)</f>
        <v/>
      </c>
      <c r="U137" s="30" t="str">
        <f aca="false">IF($A137="","",SUMIFS(inventory!$G$2:$G$801,inventory!$C$2:$C$801,$A137,inventory!$D$2:$D$801,$B137,inventory!$E$2:$E$801,"delivered"))</f>
        <v/>
      </c>
      <c r="V137" s="37" t="str">
        <f aca="false">IF($A137="","",IFERROR(1/(1/SUMPRODUCT(MAX((inventory!$C$2:$C$801=$A137)*(inventory!$D$2:$D$801=$B137)*(inventory!$E$2:$E$801="delivered")*(inventory!$A$2:$A$801+inventory!$B$2:$B$801)))),""))</f>
        <v/>
      </c>
      <c r="W137" s="30" t="str">
        <f aca="false">IF($A137="","",IFERROR(IF(INDEX(inventory!$J$2:$J$801,MATCH($A137&amp;"|"&amp;$B137&amp;"|delivered",inventory!$R$2:$R$801,0))="","",INDEX(inventory!$J$2:$J$801,MATCH($A137&amp;"|"&amp;$B137&amp;"|delivered",inventory!$R$2:$R$801,0))),""))</f>
        <v/>
      </c>
      <c r="X137" s="30" t="str">
        <f aca="false">IF($A137="","",IFERROR(IF(INDEX(photos!$H$2:$H$701,MATCH($A137&amp;"|"&amp;$B137&amp;"|placement|Y",photos!$R$2:$R$701,0))="","",INDEX(photos!$H$2:$H$701,MATCH($A137&amp;"|"&amp;$B137&amp;"|placement|Y",photos!$R$2:$R$701,0))),""))</f>
        <v/>
      </c>
      <c r="Y137" s="31" t="str">
        <f aca="false">IF($A137="","",IFERROR(IF(INDEX(photos!$E$2:$E$701,MATCH($A137&amp;"|"&amp;$B137&amp;"|placement|Y",photos!$R$2:$R$701,0))="","",INDEX(photos!$E$2:$E$701,MATCH($A137&amp;"|"&amp;$B137&amp;"|placement|Y",photos!$R$2:$R$701,0))),""))</f>
        <v/>
      </c>
      <c r="Z137" s="30" t="str">
        <f aca="false">IF($A137="","",IF(COUNTIFS(counts!$C$2:$C$701,$A137,counts!$D$2:$D$701,$B137,counts!$E$2:$E$701,"placed")=0,"",SUMIFS(counts!$F$2:$F$701,counts!$C$2:$C$701,$A137,counts!$D$2:$D$701,$B137,counts!$E$2:$E$701,"placed")))</f>
        <v/>
      </c>
      <c r="AA137" s="30" t="str">
        <f aca="false">IF($A137="","",IF($Y137="",0,N($Z137)))</f>
        <v/>
      </c>
      <c r="AB137" s="30" t="str">
        <f aca="false">IF($A137="","",IF(OR($Y137="",$I137=""),"N",IF($Y137&lt;=WORKDAY(N($I137),1,calendar!$A$2:$A$80),"Y","N")))</f>
        <v/>
      </c>
      <c r="AC137" s="33" t="str">
        <f aca="false">IF(OR($A137="",$V137="",$Y137=""),"",ROUND(($Y137+N(IFERROR(IF(INDEX(photos!$F$2:$F$701,MATCH($A137&amp;"|"&amp;$B137&amp;"|placement|Y",photos!$R$2:$R$701,0))="","",INDEX(photos!$F$2:$F$701,MATCH($A137&amp;"|"&amp;$B137&amp;"|placement|Y",photos!$R$2:$R$701,0))),""))-$V137)*24,1))</f>
        <v/>
      </c>
      <c r="AD137" s="30" t="str">
        <f aca="false">IF($A137="","",SUMIFS(inventory!$G$2:$G$801,inventory!$C$2:$C$801,$A137,inventory!$D$2:$D$801,$B137,inventory!$E$2:$E$801,"topped_up"))</f>
        <v/>
      </c>
      <c r="AE137" s="30" t="str">
        <f aca="false">IF($A137="","",IF(COUNTIFS(counts!$C$2:$C$701,$A137,counts!$D$2:$D$701,$B137,counts!$E$2:$E$701,"remaining_day3")=0,"",SUMIFS(counts!$F$2:$F$701,counts!$C$2:$C$701,$A137,counts!$D$2:$D$701,$B137,counts!$E$2:$E$701,"remaining_day3")))</f>
        <v/>
      </c>
      <c r="AF137" s="30" t="str">
        <f aca="false">IF($A137="","",IF(COUNTIFS(counts!$C$2:$C$701,$A137,counts!$D$2:$D$701,$B137,counts!$E$2:$E$701,"remaining_day5")=0,"",SUMIFS(counts!$F$2:$F$701,counts!$C$2:$C$701,$A137,counts!$D$2:$D$701,$B137,counts!$E$2:$E$701,"remaining_day5")))</f>
        <v/>
      </c>
      <c r="AG137" s="30" t="str">
        <f aca="false">IF(OR($A137="",$AF137=""),"",MAX(0,$AA137+$AD137-$AF137))</f>
        <v/>
      </c>
      <c r="AH137" s="30" t="str">
        <f aca="false">IF(OR($A137="",$AI137=""),"",IFERROR(IF(INDEX(photos!$H$2:$H$701,MATCH($A137&amp;"|"&amp;$B137&amp;"|later|Y|"&amp;$AI137,photos!$S$2:$S$701,0))="","",INDEX(photos!$H$2:$H$701,MATCH($A137&amp;"|"&amp;$B137&amp;"|later|Y|"&amp;$AI137,photos!$S$2:$S$701,0))),""))</f>
        <v/>
      </c>
      <c r="AI137" s="31" t="str">
        <f aca="false">IF($A137="","",IFERROR(1/(1/SUMPRODUCT(MAX((photos!$B$2:$B$701=$A137)*(photos!$C$2:$C$701=$B137)*(photos!$D$2:$D$701="later")*(photos!$O$2:$O$701="Y")*photos!$E$2:$E$701))),""))</f>
        <v/>
      </c>
      <c r="AJ137" s="30" t="str">
        <f aca="false">IF(OR($A137="",$AI137="",$I137=""),"",NETWORKDAYS($I137,$AI137,calendar!$A$2:$A$80))</f>
        <v/>
      </c>
      <c r="AK137" s="30" t="str">
        <f aca="false">IF($A137="","",IF(AND($X137&lt;&gt;"",$AH137&lt;&gt;""),"Y","N"))</f>
        <v/>
      </c>
      <c r="AL137" s="30" t="str">
        <f aca="true">IF(OR($A137="",$I137=""),"",IF($BC137="Y",SUMIFS(survey_frozen!$C$2:$C$251,survey_frozen!$P$2:$P$251,$A137&amp;"|"&amp;$B137),IFERROR(COUNTIFS(INDIRECT("'"&amp;$A137&amp;"'!$B$2:$B$501"),$T137,INDIRECT("'"&amp;$A137&amp;"'!$A$2:$A$501"),"&gt;="&amp;$I137,INDIRECT("'"&amp;$A137&amp;"'!$A$2:$A$501"),"&lt;"&amp;($BA137+1)),0)))</f>
        <v/>
      </c>
      <c r="AM137" s="30" t="str">
        <f aca="true">IF(OR($A137="",$I137=""),"",IF($BC137="Y",SUMIFS(survey_frozen!$D$2:$D$251,survey_frozen!$P$2:$P$251,$A137&amp;"|"&amp;$B137),IFERROR(COUNTIFS(INDIRECT("'"&amp;$A137&amp;"'!$B$2:$B$501"),$T137,INDIRECT("'"&amp;$A137&amp;"'!$A$2:$A$501"),"&gt;="&amp;$I137,INDIRECT("'"&amp;$A137&amp;"'!$A$2:$A$501"),"&lt;"&amp;($BA137+1),INDIRECT("'"&amp;$A137&amp;"'!$C$2:$C$501"),"Yes"),0)))</f>
        <v/>
      </c>
      <c r="AN137" s="30" t="str">
        <f aca="false">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30" t="str">
        <f aca="false">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30" t="str">
        <f aca="true">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30" t="str">
        <f aca="true">IF(OR($A137="",$I137=""),"",IF($BC137="Y",SUMIFS(survey_frozen!$E$2:$E$251,survey_frozen!$P$2:$P$251,$A137&amp;"|"&amp;$B137),IFERROR(COUNTIFS(INDIRECT("'"&amp;$A137&amp;"'!$B$2:$B$501"),$T137,INDIRECT("'"&amp;$A137&amp;"'!$A$2:$A$501"),"&gt;="&amp;$I137,INDIRECT("'"&amp;$A137&amp;"'!$A$2:$A$501"),"&lt;"&amp;($BA137+1),INDIRECT("'"&amp;$A137&amp;"'!$F$2:$F$501"),"Didn't see it"),0)))</f>
        <v/>
      </c>
      <c r="AR137" s="30" t="str">
        <f aca="true">IF(OR($A137="",$I137=""),"",IF($BC137="Y",SUMIFS(survey_frozen!$F$2:$F$251,survey_frozen!$P$2:$P$251,$A137&amp;"|"&amp;$B137),IFERROR(COUNTIFS(INDIRECT("'"&amp;$A137&amp;"'!$B$2:$B$501"),$T137,INDIRECT("'"&amp;$A137&amp;"'!$A$2:$A$501"),"&gt;="&amp;$I137,INDIRECT("'"&amp;$A137&amp;"'!$A$2:$A$501"),"&lt;"&amp;($BA137+1),INDIRECT("'"&amp;$A137&amp;"'!$F$2:$F$501"),"Not for me"),0)))</f>
        <v/>
      </c>
      <c r="AS137" s="30" t="str">
        <f aca="true">IF(OR($A137="",$I137=""),"",IF($BC137="Y",SUMIFS(survey_frozen!$G$2:$G$251,survey_frozen!$P$2:$P$251,$A137&amp;"|"&amp;$B137),IFERROR(COUNTIFS(INDIRECT("'"&amp;$A137&amp;"'!$B$2:$B$501"),$T137,INDIRECT("'"&amp;$A137&amp;"'!$A$2:$A$501"),"&gt;="&amp;$I137,INDIRECT("'"&amp;$A137&amp;"'!$A$2:$A$501"),"&lt;"&amp;($BA137+1),INDIRECT("'"&amp;$A137&amp;"'!$F$2:$F$501"),"Gone by the time I looked"),0)))</f>
        <v/>
      </c>
      <c r="AT137" s="30" t="str">
        <f aca="true">IF(OR($A137="",$I137=""),"",IF($BC137="Y",SUMIFS(survey_frozen!$H$2:$H$251,survey_frozen!$P$2:$P$251,$A137&amp;"|"&amp;$B137),IFERROR(COUNTIFS(INDIRECT("'"&amp;$A137&amp;"'!$B$2:$B$501"),$T137,INDIRECT("'"&amp;$A137&amp;"'!$A$2:$A$501"),"&gt;="&amp;$I137,INDIRECT("'"&amp;$A137&amp;"'!$A$2:$A$501"),"&lt;"&amp;($BA137+1),INDIRECT("'"&amp;$A137&amp;"'!$D$2:$D$501"),"&gt;=1"),0)))</f>
        <v/>
      </c>
      <c r="AU137" s="30" t="str">
        <f aca="true">IF(OR($A137="",$I137=""),"",IF($BC137="Y",SUMIFS(survey_frozen!$I$2:$I$251,survey_frozen!$P$2:$P$251,$A137&amp;"|"&amp;$B137),IFERROR(SUMIFS(INDIRECT("'"&amp;$A137&amp;"'!$D$2:$D$501"),INDIRECT("'"&amp;$A137&amp;"'!$B$2:$B$501"),$T137,INDIRECT("'"&amp;$A137&amp;"'!$A$2:$A$501"),"&gt;="&amp;$I137,INDIRECT("'"&amp;$A137&amp;"'!$A$2:$A$501"),"&lt;"&amp;($BA137+1)),0)))</f>
        <v/>
      </c>
      <c r="AV137" s="30" t="str">
        <f aca="true">IF(OR($A137="",$I137=""),"",IF($BC137="Y",SUMIFS(survey_frozen!$J$2:$J$251,survey_frozen!$P$2:$P$251,$A137&amp;"|"&amp;$B137),IFERROR(COUNTIFS(INDIRECT("'"&amp;$A137&amp;"'!$B$2:$B$501"),$T137,INDIRECT("'"&amp;$A137&amp;"'!$A$2:$A$501"),"&gt;="&amp;$I137,INDIRECT("'"&amp;$A137&amp;"'!$A$2:$A$501"),"&lt;"&amp;($BA137+1),INDIRECT("'"&amp;$A137&amp;"'!$E$2:$E$501"),"Yes"),0)))</f>
        <v/>
      </c>
      <c r="AW137" s="30" t="str">
        <f aca="true">IF(OR($A137="",$I137=""),"",IF($BC137="Y",SUMIFS(survey_frozen!$K$2:$K$251,survey_frozen!$P$2:$P$251,$A137&amp;"|"&amp;$B137),IFERROR(COUNTIFS(INDIRECT("'"&amp;$A137&amp;"'!$B$2:$B$501"),$T137,INDIRECT("'"&amp;$A137&amp;"'!$A$2:$A$501"),"&gt;="&amp;$I137,INDIRECT("'"&amp;$A137&amp;"'!$A$2:$A$501"),"&lt;"&amp;($BA137+1),INDIRECT("'"&amp;$A137&amp;"'!$E$2:$E$501"),"Maybe"),0)))</f>
        <v/>
      </c>
      <c r="AX137" s="30" t="str">
        <f aca="true">IF(OR($A137="",$I137=""),"",IF($BC137="Y",SUMIFS(survey_frozen!$L$2:$L$251,survey_frozen!$P$2:$P$251,$A137&amp;"|"&amp;$B137),IFERROR(COUNTIFS(INDIRECT("'"&amp;$A137&amp;"'!$B$2:$B$501"),$T137,INDIRECT("'"&amp;$A137&amp;"'!$A$2:$A$501"),"&gt;="&amp;$I137,INDIRECT("'"&amp;$A137&amp;"'!$A$2:$A$501"),"&lt;"&amp;($BA137+1),INDIRECT("'"&amp;$A137&amp;"'!$E$2:$E$501"),"No"),0)))</f>
        <v/>
      </c>
      <c r="AY137" s="30" t="str">
        <f aca="true">IF(OR($A137="",$I137=""),"",IF($BC137="Y",SUMIFS(survey_frozen!$M$2:$M$251,survey_frozen!$P$2:$P$251,$A137&amp;"|"&amp;$B137),IFERROR(COUNTIFS(INDIRECT("'"&amp;$A137&amp;"'!$B$2:$B$501"),$T137,INDIRECT("'"&amp;$A137&amp;"'!$A$2:$A$501"),"&gt;="&amp;$I137,INDIRECT("'"&amp;$A137&amp;"'!$A$2:$A$501"),"&lt;"&amp;($BA137+1),INDIRECT("'"&amp;$A137&amp;"'!$G$2:$G$501"),"&lt;&gt;"),0)))</f>
        <v/>
      </c>
      <c r="AZ137" s="30" t="str">
        <f aca="false">IF($A137="","",$A137&amp;"|"&amp;$L137)</f>
        <v/>
      </c>
      <c r="BA137" s="31" t="str">
        <f aca="false">IF($A137="","",IFERROR(IF(INDEX(drops!$R$2:$R$21,MATCH($H137,drops!$A$2:$A$21,0))="","",INDEX(drops!$R$2:$R$21,MATCH($H137,drops!$A$2:$A$21,0))),""))</f>
        <v/>
      </c>
      <c r="BB137" s="30" t="n">
        <f aca="false">IF(OR($A137="",$Q137&lt;&gt;"Y"),1000000,N($AL137))</f>
        <v>1000000</v>
      </c>
      <c r="BC137" s="30" t="str">
        <f aca="false">IF($A137="","",IF(COUNTIF(survey_frozen!$P$2:$P$251,$A137&amp;"|"&amp;$B137)&gt;0,"Y",""))</f>
        <v/>
      </c>
      <c r="BD137" s="30" t="str">
        <f aca="false">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ustomFormat="false" ht="15" hidden="false" customHeight="false" outlineLevel="0" collapsed="false">
      <c r="C138" s="11"/>
      <c r="D138" s="10"/>
      <c r="E138" s="11"/>
      <c r="H138" s="30" t="str">
        <f aca="false">IF($A138="","",IFERROR(IF(INDEX(campaigns!$B$2:$B$51,MATCH($A138,campaigns!$A$2:$A$51,0))="","",INDEX(campaigns!$B$2:$B$51,MATCH($A138,campaigns!$A$2:$A$51,0))),""))</f>
        <v/>
      </c>
      <c r="I138" s="31" t="str">
        <f aca="false">IF($A138="","",IFERROR(IF(INDEX(campaigns!$BG$2:$BG$51,MATCH($A138,campaigns!$A$2:$A$51,0))="","",INDEX(campaigns!$BG$2:$BG$51,MATCH($A138,campaigns!$A$2:$A$51,0))),""))</f>
        <v/>
      </c>
      <c r="J138" s="30" t="str">
        <f aca="false">IF($A138="","",IFERROR(IF(INDEX(campaigns!$BE$2:$BE$51,MATCH($A138,campaigns!$A$2:$A$51,0))="","",INDEX(campaigns!$BE$2:$BE$51,MATCH($A138,campaigns!$A$2:$A$51,0))),""))</f>
        <v/>
      </c>
      <c r="K138" s="30" t="str">
        <f aca="false">IF($B138="","",IFERROR(IF(INDEX(offices!$O$2:$O$61,MATCH($B138,offices!$A$2:$A$61,0))="","",INDEX(offices!$O$2:$O$61,MATCH($B138,offices!$A$2:$A$61,0))),""))</f>
        <v/>
      </c>
      <c r="L138" s="30" t="str">
        <f aca="false">IF($A138="","",IF($Q138="N","",COUNTIFS($A$2:$A138,$A138,$Q$2:$Q138,"&lt;&gt;N")))</f>
        <v/>
      </c>
      <c r="M138" s="30" t="str">
        <f aca="false">IF(OR($A138="",$L138=""),"",IF(AND(config!$B$34="names_if_public",IFERROR(IF(INDEX(offices!$AG$2:$AG$61,MATCH($B138,offices!$A$2:$A$61,0))="","",INDEX(offices!$AG$2:$AG$61,MATCH($B138,offices!$A$2:$A$61,0))),"")="Y"),$K138,CHAR(64+$L138)))</f>
        <v/>
      </c>
      <c r="N138" s="30" t="str">
        <f aca="false">IF(OR($A138="",$I138=""),"",COUNTIFS(stops!$B$2:$B$151,$B138,stops!$P$2:$P$151,"&lt;"&amp;$I138,stops!$L$2:$L$151,"&lt;&gt;not_delivered")+1)</f>
        <v/>
      </c>
      <c r="O138" s="30" t="str">
        <f aca="false">IF($A138="","",IF(N($N138)&lt;=config!$B$29,"explicit","opt-out"))</f>
        <v/>
      </c>
      <c r="P138" s="30" t="str">
        <f aca="false">IF($A138="","",IF($O138="explicit",IF($D138="yes","Y",IF($D138="no","N","pending")),IF($D138="no","N",IF(AND($C138&lt;&gt;"",$I138&lt;&gt;"",$C138&lt;=WORKDAY(N($I138),-5,calendar!$A$2:$A$80)),"Y","pending"))))</f>
        <v/>
      </c>
      <c r="Q138" s="30" t="str">
        <f aca="false">IF($A138="","",IF($P138="N","N",IF($P138&lt;&gt;"Y","pending",IF(AND((COUNTIFS(stops!$A$2:$A$151,$H138,stops!$B$2:$B$151,$B138,stops!$L$2:$L$151,"declined")+COUNTIFS(stops!$A$2:$A$151,$H138,stops!$B$2:$B$151,$B138,stops!$L$2:$L$151,"building_refused")+COUNTIFS(stops!$A$2:$A$151,$H138,stops!$B$2:$B$151,$B138,stops!$L$2:$L$151,"not_delivered"))&gt;0,N($U138)=0),"N","Y"))))</f>
        <v/>
      </c>
      <c r="R138" s="30" t="str">
        <f aca="false">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30" t="str">
        <f aca="false">IF($A138="","",IF($G138&lt;&gt;"",$G138,IFERROR(IF(INDEX(offices!$AM$2:$AM$61,MATCH($B138,offices!$A$2:$A$61,0))="","",INDEX(offices!$AM$2:$AM$61,MATCH($B138,offices!$A$2:$A$61,0))),"")))</f>
        <v/>
      </c>
      <c r="T138" s="30" t="str">
        <f aca="false">IF($A138="","",$A138&amp;"."&amp;$B138)</f>
        <v/>
      </c>
      <c r="U138" s="30" t="str">
        <f aca="false">IF($A138="","",SUMIFS(inventory!$G$2:$G$801,inventory!$C$2:$C$801,$A138,inventory!$D$2:$D$801,$B138,inventory!$E$2:$E$801,"delivered"))</f>
        <v/>
      </c>
      <c r="V138" s="37" t="str">
        <f aca="false">IF($A138="","",IFERROR(1/(1/SUMPRODUCT(MAX((inventory!$C$2:$C$801=$A138)*(inventory!$D$2:$D$801=$B138)*(inventory!$E$2:$E$801="delivered")*(inventory!$A$2:$A$801+inventory!$B$2:$B$801)))),""))</f>
        <v/>
      </c>
      <c r="W138" s="30" t="str">
        <f aca="false">IF($A138="","",IFERROR(IF(INDEX(inventory!$J$2:$J$801,MATCH($A138&amp;"|"&amp;$B138&amp;"|delivered",inventory!$R$2:$R$801,0))="","",INDEX(inventory!$J$2:$J$801,MATCH($A138&amp;"|"&amp;$B138&amp;"|delivered",inventory!$R$2:$R$801,0))),""))</f>
        <v/>
      </c>
      <c r="X138" s="30" t="str">
        <f aca="false">IF($A138="","",IFERROR(IF(INDEX(photos!$H$2:$H$701,MATCH($A138&amp;"|"&amp;$B138&amp;"|placement|Y",photos!$R$2:$R$701,0))="","",INDEX(photos!$H$2:$H$701,MATCH($A138&amp;"|"&amp;$B138&amp;"|placement|Y",photos!$R$2:$R$701,0))),""))</f>
        <v/>
      </c>
      <c r="Y138" s="31" t="str">
        <f aca="false">IF($A138="","",IFERROR(IF(INDEX(photos!$E$2:$E$701,MATCH($A138&amp;"|"&amp;$B138&amp;"|placement|Y",photos!$R$2:$R$701,0))="","",INDEX(photos!$E$2:$E$701,MATCH($A138&amp;"|"&amp;$B138&amp;"|placement|Y",photos!$R$2:$R$701,0))),""))</f>
        <v/>
      </c>
      <c r="Z138" s="30" t="str">
        <f aca="false">IF($A138="","",IF(COUNTIFS(counts!$C$2:$C$701,$A138,counts!$D$2:$D$701,$B138,counts!$E$2:$E$701,"placed")=0,"",SUMIFS(counts!$F$2:$F$701,counts!$C$2:$C$701,$A138,counts!$D$2:$D$701,$B138,counts!$E$2:$E$701,"placed")))</f>
        <v/>
      </c>
      <c r="AA138" s="30" t="str">
        <f aca="false">IF($A138="","",IF($Y138="",0,N($Z138)))</f>
        <v/>
      </c>
      <c r="AB138" s="30" t="str">
        <f aca="false">IF($A138="","",IF(OR($Y138="",$I138=""),"N",IF($Y138&lt;=WORKDAY(N($I138),1,calendar!$A$2:$A$80),"Y","N")))</f>
        <v/>
      </c>
      <c r="AC138" s="33" t="str">
        <f aca="false">IF(OR($A138="",$V138="",$Y138=""),"",ROUND(($Y138+N(IFERROR(IF(INDEX(photos!$F$2:$F$701,MATCH($A138&amp;"|"&amp;$B138&amp;"|placement|Y",photos!$R$2:$R$701,0))="","",INDEX(photos!$F$2:$F$701,MATCH($A138&amp;"|"&amp;$B138&amp;"|placement|Y",photos!$R$2:$R$701,0))),""))-$V138)*24,1))</f>
        <v/>
      </c>
      <c r="AD138" s="30" t="str">
        <f aca="false">IF($A138="","",SUMIFS(inventory!$G$2:$G$801,inventory!$C$2:$C$801,$A138,inventory!$D$2:$D$801,$B138,inventory!$E$2:$E$801,"topped_up"))</f>
        <v/>
      </c>
      <c r="AE138" s="30" t="str">
        <f aca="false">IF($A138="","",IF(COUNTIFS(counts!$C$2:$C$701,$A138,counts!$D$2:$D$701,$B138,counts!$E$2:$E$701,"remaining_day3")=0,"",SUMIFS(counts!$F$2:$F$701,counts!$C$2:$C$701,$A138,counts!$D$2:$D$701,$B138,counts!$E$2:$E$701,"remaining_day3")))</f>
        <v/>
      </c>
      <c r="AF138" s="30" t="str">
        <f aca="false">IF($A138="","",IF(COUNTIFS(counts!$C$2:$C$701,$A138,counts!$D$2:$D$701,$B138,counts!$E$2:$E$701,"remaining_day5")=0,"",SUMIFS(counts!$F$2:$F$701,counts!$C$2:$C$701,$A138,counts!$D$2:$D$701,$B138,counts!$E$2:$E$701,"remaining_day5")))</f>
        <v/>
      </c>
      <c r="AG138" s="30" t="str">
        <f aca="false">IF(OR($A138="",$AF138=""),"",MAX(0,$AA138+$AD138-$AF138))</f>
        <v/>
      </c>
      <c r="AH138" s="30" t="str">
        <f aca="false">IF(OR($A138="",$AI138=""),"",IFERROR(IF(INDEX(photos!$H$2:$H$701,MATCH($A138&amp;"|"&amp;$B138&amp;"|later|Y|"&amp;$AI138,photos!$S$2:$S$701,0))="","",INDEX(photos!$H$2:$H$701,MATCH($A138&amp;"|"&amp;$B138&amp;"|later|Y|"&amp;$AI138,photos!$S$2:$S$701,0))),""))</f>
        <v/>
      </c>
      <c r="AI138" s="31" t="str">
        <f aca="false">IF($A138="","",IFERROR(1/(1/SUMPRODUCT(MAX((photos!$B$2:$B$701=$A138)*(photos!$C$2:$C$701=$B138)*(photos!$D$2:$D$701="later")*(photos!$O$2:$O$701="Y")*photos!$E$2:$E$701))),""))</f>
        <v/>
      </c>
      <c r="AJ138" s="30" t="str">
        <f aca="false">IF(OR($A138="",$AI138="",$I138=""),"",NETWORKDAYS($I138,$AI138,calendar!$A$2:$A$80))</f>
        <v/>
      </c>
      <c r="AK138" s="30" t="str">
        <f aca="false">IF($A138="","",IF(AND($X138&lt;&gt;"",$AH138&lt;&gt;""),"Y","N"))</f>
        <v/>
      </c>
      <c r="AL138" s="30" t="str">
        <f aca="true">IF(OR($A138="",$I138=""),"",IF($BC138="Y",SUMIFS(survey_frozen!$C$2:$C$251,survey_frozen!$P$2:$P$251,$A138&amp;"|"&amp;$B138),IFERROR(COUNTIFS(INDIRECT("'"&amp;$A138&amp;"'!$B$2:$B$501"),$T138,INDIRECT("'"&amp;$A138&amp;"'!$A$2:$A$501"),"&gt;="&amp;$I138,INDIRECT("'"&amp;$A138&amp;"'!$A$2:$A$501"),"&lt;"&amp;($BA138+1)),0)))</f>
        <v/>
      </c>
      <c r="AM138" s="30" t="str">
        <f aca="true">IF(OR($A138="",$I138=""),"",IF($BC138="Y",SUMIFS(survey_frozen!$D$2:$D$251,survey_frozen!$P$2:$P$251,$A138&amp;"|"&amp;$B138),IFERROR(COUNTIFS(INDIRECT("'"&amp;$A138&amp;"'!$B$2:$B$501"),$T138,INDIRECT("'"&amp;$A138&amp;"'!$A$2:$A$501"),"&gt;="&amp;$I138,INDIRECT("'"&amp;$A138&amp;"'!$A$2:$A$501"),"&lt;"&amp;($BA138+1),INDIRECT("'"&amp;$A138&amp;"'!$C$2:$C$501"),"Yes"),0)))</f>
        <v/>
      </c>
      <c r="AN138" s="30" t="str">
        <f aca="false">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30" t="str">
        <f aca="false">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30" t="str">
        <f aca="true">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30" t="str">
        <f aca="true">IF(OR($A138="",$I138=""),"",IF($BC138="Y",SUMIFS(survey_frozen!$E$2:$E$251,survey_frozen!$P$2:$P$251,$A138&amp;"|"&amp;$B138),IFERROR(COUNTIFS(INDIRECT("'"&amp;$A138&amp;"'!$B$2:$B$501"),$T138,INDIRECT("'"&amp;$A138&amp;"'!$A$2:$A$501"),"&gt;="&amp;$I138,INDIRECT("'"&amp;$A138&amp;"'!$A$2:$A$501"),"&lt;"&amp;($BA138+1),INDIRECT("'"&amp;$A138&amp;"'!$F$2:$F$501"),"Didn't see it"),0)))</f>
        <v/>
      </c>
      <c r="AR138" s="30" t="str">
        <f aca="true">IF(OR($A138="",$I138=""),"",IF($BC138="Y",SUMIFS(survey_frozen!$F$2:$F$251,survey_frozen!$P$2:$P$251,$A138&amp;"|"&amp;$B138),IFERROR(COUNTIFS(INDIRECT("'"&amp;$A138&amp;"'!$B$2:$B$501"),$T138,INDIRECT("'"&amp;$A138&amp;"'!$A$2:$A$501"),"&gt;="&amp;$I138,INDIRECT("'"&amp;$A138&amp;"'!$A$2:$A$501"),"&lt;"&amp;($BA138+1),INDIRECT("'"&amp;$A138&amp;"'!$F$2:$F$501"),"Not for me"),0)))</f>
        <v/>
      </c>
      <c r="AS138" s="30" t="str">
        <f aca="true">IF(OR($A138="",$I138=""),"",IF($BC138="Y",SUMIFS(survey_frozen!$G$2:$G$251,survey_frozen!$P$2:$P$251,$A138&amp;"|"&amp;$B138),IFERROR(COUNTIFS(INDIRECT("'"&amp;$A138&amp;"'!$B$2:$B$501"),$T138,INDIRECT("'"&amp;$A138&amp;"'!$A$2:$A$501"),"&gt;="&amp;$I138,INDIRECT("'"&amp;$A138&amp;"'!$A$2:$A$501"),"&lt;"&amp;($BA138+1),INDIRECT("'"&amp;$A138&amp;"'!$F$2:$F$501"),"Gone by the time I looked"),0)))</f>
        <v/>
      </c>
      <c r="AT138" s="30" t="str">
        <f aca="true">IF(OR($A138="",$I138=""),"",IF($BC138="Y",SUMIFS(survey_frozen!$H$2:$H$251,survey_frozen!$P$2:$P$251,$A138&amp;"|"&amp;$B138),IFERROR(COUNTIFS(INDIRECT("'"&amp;$A138&amp;"'!$B$2:$B$501"),$T138,INDIRECT("'"&amp;$A138&amp;"'!$A$2:$A$501"),"&gt;="&amp;$I138,INDIRECT("'"&amp;$A138&amp;"'!$A$2:$A$501"),"&lt;"&amp;($BA138+1),INDIRECT("'"&amp;$A138&amp;"'!$D$2:$D$501"),"&gt;=1"),0)))</f>
        <v/>
      </c>
      <c r="AU138" s="30" t="str">
        <f aca="true">IF(OR($A138="",$I138=""),"",IF($BC138="Y",SUMIFS(survey_frozen!$I$2:$I$251,survey_frozen!$P$2:$P$251,$A138&amp;"|"&amp;$B138),IFERROR(SUMIFS(INDIRECT("'"&amp;$A138&amp;"'!$D$2:$D$501"),INDIRECT("'"&amp;$A138&amp;"'!$B$2:$B$501"),$T138,INDIRECT("'"&amp;$A138&amp;"'!$A$2:$A$501"),"&gt;="&amp;$I138,INDIRECT("'"&amp;$A138&amp;"'!$A$2:$A$501"),"&lt;"&amp;($BA138+1)),0)))</f>
        <v/>
      </c>
      <c r="AV138" s="30" t="str">
        <f aca="true">IF(OR($A138="",$I138=""),"",IF($BC138="Y",SUMIFS(survey_frozen!$J$2:$J$251,survey_frozen!$P$2:$P$251,$A138&amp;"|"&amp;$B138),IFERROR(COUNTIFS(INDIRECT("'"&amp;$A138&amp;"'!$B$2:$B$501"),$T138,INDIRECT("'"&amp;$A138&amp;"'!$A$2:$A$501"),"&gt;="&amp;$I138,INDIRECT("'"&amp;$A138&amp;"'!$A$2:$A$501"),"&lt;"&amp;($BA138+1),INDIRECT("'"&amp;$A138&amp;"'!$E$2:$E$501"),"Yes"),0)))</f>
        <v/>
      </c>
      <c r="AW138" s="30" t="str">
        <f aca="true">IF(OR($A138="",$I138=""),"",IF($BC138="Y",SUMIFS(survey_frozen!$K$2:$K$251,survey_frozen!$P$2:$P$251,$A138&amp;"|"&amp;$B138),IFERROR(COUNTIFS(INDIRECT("'"&amp;$A138&amp;"'!$B$2:$B$501"),$T138,INDIRECT("'"&amp;$A138&amp;"'!$A$2:$A$501"),"&gt;="&amp;$I138,INDIRECT("'"&amp;$A138&amp;"'!$A$2:$A$501"),"&lt;"&amp;($BA138+1),INDIRECT("'"&amp;$A138&amp;"'!$E$2:$E$501"),"Maybe"),0)))</f>
        <v/>
      </c>
      <c r="AX138" s="30" t="str">
        <f aca="true">IF(OR($A138="",$I138=""),"",IF($BC138="Y",SUMIFS(survey_frozen!$L$2:$L$251,survey_frozen!$P$2:$P$251,$A138&amp;"|"&amp;$B138),IFERROR(COUNTIFS(INDIRECT("'"&amp;$A138&amp;"'!$B$2:$B$501"),$T138,INDIRECT("'"&amp;$A138&amp;"'!$A$2:$A$501"),"&gt;="&amp;$I138,INDIRECT("'"&amp;$A138&amp;"'!$A$2:$A$501"),"&lt;"&amp;($BA138+1),INDIRECT("'"&amp;$A138&amp;"'!$E$2:$E$501"),"No"),0)))</f>
        <v/>
      </c>
      <c r="AY138" s="30" t="str">
        <f aca="true">IF(OR($A138="",$I138=""),"",IF($BC138="Y",SUMIFS(survey_frozen!$M$2:$M$251,survey_frozen!$P$2:$P$251,$A138&amp;"|"&amp;$B138),IFERROR(COUNTIFS(INDIRECT("'"&amp;$A138&amp;"'!$B$2:$B$501"),$T138,INDIRECT("'"&amp;$A138&amp;"'!$A$2:$A$501"),"&gt;="&amp;$I138,INDIRECT("'"&amp;$A138&amp;"'!$A$2:$A$501"),"&lt;"&amp;($BA138+1),INDIRECT("'"&amp;$A138&amp;"'!$G$2:$G$501"),"&lt;&gt;"),0)))</f>
        <v/>
      </c>
      <c r="AZ138" s="30" t="str">
        <f aca="false">IF($A138="","",$A138&amp;"|"&amp;$L138)</f>
        <v/>
      </c>
      <c r="BA138" s="31" t="str">
        <f aca="false">IF($A138="","",IFERROR(IF(INDEX(drops!$R$2:$R$21,MATCH($H138,drops!$A$2:$A$21,0))="","",INDEX(drops!$R$2:$R$21,MATCH($H138,drops!$A$2:$A$21,0))),""))</f>
        <v/>
      </c>
      <c r="BB138" s="30" t="n">
        <f aca="false">IF(OR($A138="",$Q138&lt;&gt;"Y"),1000000,N($AL138))</f>
        <v>1000000</v>
      </c>
      <c r="BC138" s="30" t="str">
        <f aca="false">IF($A138="","",IF(COUNTIF(survey_frozen!$P$2:$P$251,$A138&amp;"|"&amp;$B138)&gt;0,"Y",""))</f>
        <v/>
      </c>
      <c r="BD138" s="30" t="str">
        <f aca="false">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ustomFormat="false" ht="15" hidden="false" customHeight="false" outlineLevel="0" collapsed="false">
      <c r="C139" s="11"/>
      <c r="D139" s="10"/>
      <c r="E139" s="11"/>
      <c r="H139" s="30" t="str">
        <f aca="false">IF($A139="","",IFERROR(IF(INDEX(campaigns!$B$2:$B$51,MATCH($A139,campaigns!$A$2:$A$51,0))="","",INDEX(campaigns!$B$2:$B$51,MATCH($A139,campaigns!$A$2:$A$51,0))),""))</f>
        <v/>
      </c>
      <c r="I139" s="31" t="str">
        <f aca="false">IF($A139="","",IFERROR(IF(INDEX(campaigns!$BG$2:$BG$51,MATCH($A139,campaigns!$A$2:$A$51,0))="","",INDEX(campaigns!$BG$2:$BG$51,MATCH($A139,campaigns!$A$2:$A$51,0))),""))</f>
        <v/>
      </c>
      <c r="J139" s="30" t="str">
        <f aca="false">IF($A139="","",IFERROR(IF(INDEX(campaigns!$BE$2:$BE$51,MATCH($A139,campaigns!$A$2:$A$51,0))="","",INDEX(campaigns!$BE$2:$BE$51,MATCH($A139,campaigns!$A$2:$A$51,0))),""))</f>
        <v/>
      </c>
      <c r="K139" s="30" t="str">
        <f aca="false">IF($B139="","",IFERROR(IF(INDEX(offices!$O$2:$O$61,MATCH($B139,offices!$A$2:$A$61,0))="","",INDEX(offices!$O$2:$O$61,MATCH($B139,offices!$A$2:$A$61,0))),""))</f>
        <v/>
      </c>
      <c r="L139" s="30" t="str">
        <f aca="false">IF($A139="","",IF($Q139="N","",COUNTIFS($A$2:$A139,$A139,$Q$2:$Q139,"&lt;&gt;N")))</f>
        <v/>
      </c>
      <c r="M139" s="30" t="str">
        <f aca="false">IF(OR($A139="",$L139=""),"",IF(AND(config!$B$34="names_if_public",IFERROR(IF(INDEX(offices!$AG$2:$AG$61,MATCH($B139,offices!$A$2:$A$61,0))="","",INDEX(offices!$AG$2:$AG$61,MATCH($B139,offices!$A$2:$A$61,0))),"")="Y"),$K139,CHAR(64+$L139)))</f>
        <v/>
      </c>
      <c r="N139" s="30" t="str">
        <f aca="false">IF(OR($A139="",$I139=""),"",COUNTIFS(stops!$B$2:$B$151,$B139,stops!$P$2:$P$151,"&lt;"&amp;$I139,stops!$L$2:$L$151,"&lt;&gt;not_delivered")+1)</f>
        <v/>
      </c>
      <c r="O139" s="30" t="str">
        <f aca="false">IF($A139="","",IF(N($N139)&lt;=config!$B$29,"explicit","opt-out"))</f>
        <v/>
      </c>
      <c r="P139" s="30" t="str">
        <f aca="false">IF($A139="","",IF($O139="explicit",IF($D139="yes","Y",IF($D139="no","N","pending")),IF($D139="no","N",IF(AND($C139&lt;&gt;"",$I139&lt;&gt;"",$C139&lt;=WORKDAY(N($I139),-5,calendar!$A$2:$A$80)),"Y","pending"))))</f>
        <v/>
      </c>
      <c r="Q139" s="30" t="str">
        <f aca="false">IF($A139="","",IF($P139="N","N",IF($P139&lt;&gt;"Y","pending",IF(AND((COUNTIFS(stops!$A$2:$A$151,$H139,stops!$B$2:$B$151,$B139,stops!$L$2:$L$151,"declined")+COUNTIFS(stops!$A$2:$A$151,$H139,stops!$B$2:$B$151,$B139,stops!$L$2:$L$151,"building_refused")+COUNTIFS(stops!$A$2:$A$151,$H139,stops!$B$2:$B$151,$B139,stops!$L$2:$L$151,"not_delivered"))&gt;0,N($U139)=0),"N","Y"))))</f>
        <v/>
      </c>
      <c r="R139" s="30" t="str">
        <f aca="false">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30" t="str">
        <f aca="false">IF($A139="","",IF($G139&lt;&gt;"",$G139,IFERROR(IF(INDEX(offices!$AM$2:$AM$61,MATCH($B139,offices!$A$2:$A$61,0))="","",INDEX(offices!$AM$2:$AM$61,MATCH($B139,offices!$A$2:$A$61,0))),"")))</f>
        <v/>
      </c>
      <c r="T139" s="30" t="str">
        <f aca="false">IF($A139="","",$A139&amp;"."&amp;$B139)</f>
        <v/>
      </c>
      <c r="U139" s="30" t="str">
        <f aca="false">IF($A139="","",SUMIFS(inventory!$G$2:$G$801,inventory!$C$2:$C$801,$A139,inventory!$D$2:$D$801,$B139,inventory!$E$2:$E$801,"delivered"))</f>
        <v/>
      </c>
      <c r="V139" s="37" t="str">
        <f aca="false">IF($A139="","",IFERROR(1/(1/SUMPRODUCT(MAX((inventory!$C$2:$C$801=$A139)*(inventory!$D$2:$D$801=$B139)*(inventory!$E$2:$E$801="delivered")*(inventory!$A$2:$A$801+inventory!$B$2:$B$801)))),""))</f>
        <v/>
      </c>
      <c r="W139" s="30" t="str">
        <f aca="false">IF($A139="","",IFERROR(IF(INDEX(inventory!$J$2:$J$801,MATCH($A139&amp;"|"&amp;$B139&amp;"|delivered",inventory!$R$2:$R$801,0))="","",INDEX(inventory!$J$2:$J$801,MATCH($A139&amp;"|"&amp;$B139&amp;"|delivered",inventory!$R$2:$R$801,0))),""))</f>
        <v/>
      </c>
      <c r="X139" s="30" t="str">
        <f aca="false">IF($A139="","",IFERROR(IF(INDEX(photos!$H$2:$H$701,MATCH($A139&amp;"|"&amp;$B139&amp;"|placement|Y",photos!$R$2:$R$701,0))="","",INDEX(photos!$H$2:$H$701,MATCH($A139&amp;"|"&amp;$B139&amp;"|placement|Y",photos!$R$2:$R$701,0))),""))</f>
        <v/>
      </c>
      <c r="Y139" s="31" t="str">
        <f aca="false">IF($A139="","",IFERROR(IF(INDEX(photos!$E$2:$E$701,MATCH($A139&amp;"|"&amp;$B139&amp;"|placement|Y",photos!$R$2:$R$701,0))="","",INDEX(photos!$E$2:$E$701,MATCH($A139&amp;"|"&amp;$B139&amp;"|placement|Y",photos!$R$2:$R$701,0))),""))</f>
        <v/>
      </c>
      <c r="Z139" s="30" t="str">
        <f aca="false">IF($A139="","",IF(COUNTIFS(counts!$C$2:$C$701,$A139,counts!$D$2:$D$701,$B139,counts!$E$2:$E$701,"placed")=0,"",SUMIFS(counts!$F$2:$F$701,counts!$C$2:$C$701,$A139,counts!$D$2:$D$701,$B139,counts!$E$2:$E$701,"placed")))</f>
        <v/>
      </c>
      <c r="AA139" s="30" t="str">
        <f aca="false">IF($A139="","",IF($Y139="",0,N($Z139)))</f>
        <v/>
      </c>
      <c r="AB139" s="30" t="str">
        <f aca="false">IF($A139="","",IF(OR($Y139="",$I139=""),"N",IF($Y139&lt;=WORKDAY(N($I139),1,calendar!$A$2:$A$80),"Y","N")))</f>
        <v/>
      </c>
      <c r="AC139" s="33" t="str">
        <f aca="false">IF(OR($A139="",$V139="",$Y139=""),"",ROUND(($Y139+N(IFERROR(IF(INDEX(photos!$F$2:$F$701,MATCH($A139&amp;"|"&amp;$B139&amp;"|placement|Y",photos!$R$2:$R$701,0))="","",INDEX(photos!$F$2:$F$701,MATCH($A139&amp;"|"&amp;$B139&amp;"|placement|Y",photos!$R$2:$R$701,0))),""))-$V139)*24,1))</f>
        <v/>
      </c>
      <c r="AD139" s="30" t="str">
        <f aca="false">IF($A139="","",SUMIFS(inventory!$G$2:$G$801,inventory!$C$2:$C$801,$A139,inventory!$D$2:$D$801,$B139,inventory!$E$2:$E$801,"topped_up"))</f>
        <v/>
      </c>
      <c r="AE139" s="30" t="str">
        <f aca="false">IF($A139="","",IF(COUNTIFS(counts!$C$2:$C$701,$A139,counts!$D$2:$D$701,$B139,counts!$E$2:$E$701,"remaining_day3")=0,"",SUMIFS(counts!$F$2:$F$701,counts!$C$2:$C$701,$A139,counts!$D$2:$D$701,$B139,counts!$E$2:$E$701,"remaining_day3")))</f>
        <v/>
      </c>
      <c r="AF139" s="30" t="str">
        <f aca="false">IF($A139="","",IF(COUNTIFS(counts!$C$2:$C$701,$A139,counts!$D$2:$D$701,$B139,counts!$E$2:$E$701,"remaining_day5")=0,"",SUMIFS(counts!$F$2:$F$701,counts!$C$2:$C$701,$A139,counts!$D$2:$D$701,$B139,counts!$E$2:$E$701,"remaining_day5")))</f>
        <v/>
      </c>
      <c r="AG139" s="30" t="str">
        <f aca="false">IF(OR($A139="",$AF139=""),"",MAX(0,$AA139+$AD139-$AF139))</f>
        <v/>
      </c>
      <c r="AH139" s="30" t="str">
        <f aca="false">IF(OR($A139="",$AI139=""),"",IFERROR(IF(INDEX(photos!$H$2:$H$701,MATCH($A139&amp;"|"&amp;$B139&amp;"|later|Y|"&amp;$AI139,photos!$S$2:$S$701,0))="","",INDEX(photos!$H$2:$H$701,MATCH($A139&amp;"|"&amp;$B139&amp;"|later|Y|"&amp;$AI139,photos!$S$2:$S$701,0))),""))</f>
        <v/>
      </c>
      <c r="AI139" s="31" t="str">
        <f aca="false">IF($A139="","",IFERROR(1/(1/SUMPRODUCT(MAX((photos!$B$2:$B$701=$A139)*(photos!$C$2:$C$701=$B139)*(photos!$D$2:$D$701="later")*(photos!$O$2:$O$701="Y")*photos!$E$2:$E$701))),""))</f>
        <v/>
      </c>
      <c r="AJ139" s="30" t="str">
        <f aca="false">IF(OR($A139="",$AI139="",$I139=""),"",NETWORKDAYS($I139,$AI139,calendar!$A$2:$A$80))</f>
        <v/>
      </c>
      <c r="AK139" s="30" t="str">
        <f aca="false">IF($A139="","",IF(AND($X139&lt;&gt;"",$AH139&lt;&gt;""),"Y","N"))</f>
        <v/>
      </c>
      <c r="AL139" s="30" t="str">
        <f aca="true">IF(OR($A139="",$I139=""),"",IF($BC139="Y",SUMIFS(survey_frozen!$C$2:$C$251,survey_frozen!$P$2:$P$251,$A139&amp;"|"&amp;$B139),IFERROR(COUNTIFS(INDIRECT("'"&amp;$A139&amp;"'!$B$2:$B$501"),$T139,INDIRECT("'"&amp;$A139&amp;"'!$A$2:$A$501"),"&gt;="&amp;$I139,INDIRECT("'"&amp;$A139&amp;"'!$A$2:$A$501"),"&lt;"&amp;($BA139+1)),0)))</f>
        <v/>
      </c>
      <c r="AM139" s="30" t="str">
        <f aca="true">IF(OR($A139="",$I139=""),"",IF($BC139="Y",SUMIFS(survey_frozen!$D$2:$D$251,survey_frozen!$P$2:$P$251,$A139&amp;"|"&amp;$B139),IFERROR(COUNTIFS(INDIRECT("'"&amp;$A139&amp;"'!$B$2:$B$501"),$T139,INDIRECT("'"&amp;$A139&amp;"'!$A$2:$A$501"),"&gt;="&amp;$I139,INDIRECT("'"&amp;$A139&amp;"'!$A$2:$A$501"),"&lt;"&amp;($BA139+1),INDIRECT("'"&amp;$A139&amp;"'!$C$2:$C$501"),"Yes"),0)))</f>
        <v/>
      </c>
      <c r="AN139" s="30" t="str">
        <f aca="false">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30" t="str">
        <f aca="false">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30" t="str">
        <f aca="true">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30" t="str">
        <f aca="true">IF(OR($A139="",$I139=""),"",IF($BC139="Y",SUMIFS(survey_frozen!$E$2:$E$251,survey_frozen!$P$2:$P$251,$A139&amp;"|"&amp;$B139),IFERROR(COUNTIFS(INDIRECT("'"&amp;$A139&amp;"'!$B$2:$B$501"),$T139,INDIRECT("'"&amp;$A139&amp;"'!$A$2:$A$501"),"&gt;="&amp;$I139,INDIRECT("'"&amp;$A139&amp;"'!$A$2:$A$501"),"&lt;"&amp;($BA139+1),INDIRECT("'"&amp;$A139&amp;"'!$F$2:$F$501"),"Didn't see it"),0)))</f>
        <v/>
      </c>
      <c r="AR139" s="30" t="str">
        <f aca="true">IF(OR($A139="",$I139=""),"",IF($BC139="Y",SUMIFS(survey_frozen!$F$2:$F$251,survey_frozen!$P$2:$P$251,$A139&amp;"|"&amp;$B139),IFERROR(COUNTIFS(INDIRECT("'"&amp;$A139&amp;"'!$B$2:$B$501"),$T139,INDIRECT("'"&amp;$A139&amp;"'!$A$2:$A$501"),"&gt;="&amp;$I139,INDIRECT("'"&amp;$A139&amp;"'!$A$2:$A$501"),"&lt;"&amp;($BA139+1),INDIRECT("'"&amp;$A139&amp;"'!$F$2:$F$501"),"Not for me"),0)))</f>
        <v/>
      </c>
      <c r="AS139" s="30" t="str">
        <f aca="true">IF(OR($A139="",$I139=""),"",IF($BC139="Y",SUMIFS(survey_frozen!$G$2:$G$251,survey_frozen!$P$2:$P$251,$A139&amp;"|"&amp;$B139),IFERROR(COUNTIFS(INDIRECT("'"&amp;$A139&amp;"'!$B$2:$B$501"),$T139,INDIRECT("'"&amp;$A139&amp;"'!$A$2:$A$501"),"&gt;="&amp;$I139,INDIRECT("'"&amp;$A139&amp;"'!$A$2:$A$501"),"&lt;"&amp;($BA139+1),INDIRECT("'"&amp;$A139&amp;"'!$F$2:$F$501"),"Gone by the time I looked"),0)))</f>
        <v/>
      </c>
      <c r="AT139" s="30" t="str">
        <f aca="true">IF(OR($A139="",$I139=""),"",IF($BC139="Y",SUMIFS(survey_frozen!$H$2:$H$251,survey_frozen!$P$2:$P$251,$A139&amp;"|"&amp;$B139),IFERROR(COUNTIFS(INDIRECT("'"&amp;$A139&amp;"'!$B$2:$B$501"),$T139,INDIRECT("'"&amp;$A139&amp;"'!$A$2:$A$501"),"&gt;="&amp;$I139,INDIRECT("'"&amp;$A139&amp;"'!$A$2:$A$501"),"&lt;"&amp;($BA139+1),INDIRECT("'"&amp;$A139&amp;"'!$D$2:$D$501"),"&gt;=1"),0)))</f>
        <v/>
      </c>
      <c r="AU139" s="30" t="str">
        <f aca="true">IF(OR($A139="",$I139=""),"",IF($BC139="Y",SUMIFS(survey_frozen!$I$2:$I$251,survey_frozen!$P$2:$P$251,$A139&amp;"|"&amp;$B139),IFERROR(SUMIFS(INDIRECT("'"&amp;$A139&amp;"'!$D$2:$D$501"),INDIRECT("'"&amp;$A139&amp;"'!$B$2:$B$501"),$T139,INDIRECT("'"&amp;$A139&amp;"'!$A$2:$A$501"),"&gt;="&amp;$I139,INDIRECT("'"&amp;$A139&amp;"'!$A$2:$A$501"),"&lt;"&amp;($BA139+1)),0)))</f>
        <v/>
      </c>
      <c r="AV139" s="30" t="str">
        <f aca="true">IF(OR($A139="",$I139=""),"",IF($BC139="Y",SUMIFS(survey_frozen!$J$2:$J$251,survey_frozen!$P$2:$P$251,$A139&amp;"|"&amp;$B139),IFERROR(COUNTIFS(INDIRECT("'"&amp;$A139&amp;"'!$B$2:$B$501"),$T139,INDIRECT("'"&amp;$A139&amp;"'!$A$2:$A$501"),"&gt;="&amp;$I139,INDIRECT("'"&amp;$A139&amp;"'!$A$2:$A$501"),"&lt;"&amp;($BA139+1),INDIRECT("'"&amp;$A139&amp;"'!$E$2:$E$501"),"Yes"),0)))</f>
        <v/>
      </c>
      <c r="AW139" s="30" t="str">
        <f aca="true">IF(OR($A139="",$I139=""),"",IF($BC139="Y",SUMIFS(survey_frozen!$K$2:$K$251,survey_frozen!$P$2:$P$251,$A139&amp;"|"&amp;$B139),IFERROR(COUNTIFS(INDIRECT("'"&amp;$A139&amp;"'!$B$2:$B$501"),$T139,INDIRECT("'"&amp;$A139&amp;"'!$A$2:$A$501"),"&gt;="&amp;$I139,INDIRECT("'"&amp;$A139&amp;"'!$A$2:$A$501"),"&lt;"&amp;($BA139+1),INDIRECT("'"&amp;$A139&amp;"'!$E$2:$E$501"),"Maybe"),0)))</f>
        <v/>
      </c>
      <c r="AX139" s="30" t="str">
        <f aca="true">IF(OR($A139="",$I139=""),"",IF($BC139="Y",SUMIFS(survey_frozen!$L$2:$L$251,survey_frozen!$P$2:$P$251,$A139&amp;"|"&amp;$B139),IFERROR(COUNTIFS(INDIRECT("'"&amp;$A139&amp;"'!$B$2:$B$501"),$T139,INDIRECT("'"&amp;$A139&amp;"'!$A$2:$A$501"),"&gt;="&amp;$I139,INDIRECT("'"&amp;$A139&amp;"'!$A$2:$A$501"),"&lt;"&amp;($BA139+1),INDIRECT("'"&amp;$A139&amp;"'!$E$2:$E$501"),"No"),0)))</f>
        <v/>
      </c>
      <c r="AY139" s="30" t="str">
        <f aca="true">IF(OR($A139="",$I139=""),"",IF($BC139="Y",SUMIFS(survey_frozen!$M$2:$M$251,survey_frozen!$P$2:$P$251,$A139&amp;"|"&amp;$B139),IFERROR(COUNTIFS(INDIRECT("'"&amp;$A139&amp;"'!$B$2:$B$501"),$T139,INDIRECT("'"&amp;$A139&amp;"'!$A$2:$A$501"),"&gt;="&amp;$I139,INDIRECT("'"&amp;$A139&amp;"'!$A$2:$A$501"),"&lt;"&amp;($BA139+1),INDIRECT("'"&amp;$A139&amp;"'!$G$2:$G$501"),"&lt;&gt;"),0)))</f>
        <v/>
      </c>
      <c r="AZ139" s="30" t="str">
        <f aca="false">IF($A139="","",$A139&amp;"|"&amp;$L139)</f>
        <v/>
      </c>
      <c r="BA139" s="31" t="str">
        <f aca="false">IF($A139="","",IFERROR(IF(INDEX(drops!$R$2:$R$21,MATCH($H139,drops!$A$2:$A$21,0))="","",INDEX(drops!$R$2:$R$21,MATCH($H139,drops!$A$2:$A$21,0))),""))</f>
        <v/>
      </c>
      <c r="BB139" s="30" t="n">
        <f aca="false">IF(OR($A139="",$Q139&lt;&gt;"Y"),1000000,N($AL139))</f>
        <v>1000000</v>
      </c>
      <c r="BC139" s="30" t="str">
        <f aca="false">IF($A139="","",IF(COUNTIF(survey_frozen!$P$2:$P$251,$A139&amp;"|"&amp;$B139)&gt;0,"Y",""))</f>
        <v/>
      </c>
      <c r="BD139" s="30" t="str">
        <f aca="false">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ustomFormat="false" ht="15" hidden="false" customHeight="false" outlineLevel="0" collapsed="false">
      <c r="C140" s="11"/>
      <c r="D140" s="10"/>
      <c r="E140" s="11"/>
      <c r="H140" s="30" t="str">
        <f aca="false">IF($A140="","",IFERROR(IF(INDEX(campaigns!$B$2:$B$51,MATCH($A140,campaigns!$A$2:$A$51,0))="","",INDEX(campaigns!$B$2:$B$51,MATCH($A140,campaigns!$A$2:$A$51,0))),""))</f>
        <v/>
      </c>
      <c r="I140" s="31" t="str">
        <f aca="false">IF($A140="","",IFERROR(IF(INDEX(campaigns!$BG$2:$BG$51,MATCH($A140,campaigns!$A$2:$A$51,0))="","",INDEX(campaigns!$BG$2:$BG$51,MATCH($A140,campaigns!$A$2:$A$51,0))),""))</f>
        <v/>
      </c>
      <c r="J140" s="30" t="str">
        <f aca="false">IF($A140="","",IFERROR(IF(INDEX(campaigns!$BE$2:$BE$51,MATCH($A140,campaigns!$A$2:$A$51,0))="","",INDEX(campaigns!$BE$2:$BE$51,MATCH($A140,campaigns!$A$2:$A$51,0))),""))</f>
        <v/>
      </c>
      <c r="K140" s="30" t="str">
        <f aca="false">IF($B140="","",IFERROR(IF(INDEX(offices!$O$2:$O$61,MATCH($B140,offices!$A$2:$A$61,0))="","",INDEX(offices!$O$2:$O$61,MATCH($B140,offices!$A$2:$A$61,0))),""))</f>
        <v/>
      </c>
      <c r="L140" s="30" t="str">
        <f aca="false">IF($A140="","",IF($Q140="N","",COUNTIFS($A$2:$A140,$A140,$Q$2:$Q140,"&lt;&gt;N")))</f>
        <v/>
      </c>
      <c r="M140" s="30" t="str">
        <f aca="false">IF(OR($A140="",$L140=""),"",IF(AND(config!$B$34="names_if_public",IFERROR(IF(INDEX(offices!$AG$2:$AG$61,MATCH($B140,offices!$A$2:$A$61,0))="","",INDEX(offices!$AG$2:$AG$61,MATCH($B140,offices!$A$2:$A$61,0))),"")="Y"),$K140,CHAR(64+$L140)))</f>
        <v/>
      </c>
      <c r="N140" s="30" t="str">
        <f aca="false">IF(OR($A140="",$I140=""),"",COUNTIFS(stops!$B$2:$B$151,$B140,stops!$P$2:$P$151,"&lt;"&amp;$I140,stops!$L$2:$L$151,"&lt;&gt;not_delivered")+1)</f>
        <v/>
      </c>
      <c r="O140" s="30" t="str">
        <f aca="false">IF($A140="","",IF(N($N140)&lt;=config!$B$29,"explicit","opt-out"))</f>
        <v/>
      </c>
      <c r="P140" s="30" t="str">
        <f aca="false">IF($A140="","",IF($O140="explicit",IF($D140="yes","Y",IF($D140="no","N","pending")),IF($D140="no","N",IF(AND($C140&lt;&gt;"",$I140&lt;&gt;"",$C140&lt;=WORKDAY(N($I140),-5,calendar!$A$2:$A$80)),"Y","pending"))))</f>
        <v/>
      </c>
      <c r="Q140" s="30" t="str">
        <f aca="false">IF($A140="","",IF($P140="N","N",IF($P140&lt;&gt;"Y","pending",IF(AND((COUNTIFS(stops!$A$2:$A$151,$H140,stops!$B$2:$B$151,$B140,stops!$L$2:$L$151,"declined")+COUNTIFS(stops!$A$2:$A$151,$H140,stops!$B$2:$B$151,$B140,stops!$L$2:$L$151,"building_refused")+COUNTIFS(stops!$A$2:$A$151,$H140,stops!$B$2:$B$151,$B140,stops!$L$2:$L$151,"not_delivered"))&gt;0,N($U140)=0),"N","Y"))))</f>
        <v/>
      </c>
      <c r="R140" s="30" t="str">
        <f aca="false">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30" t="str">
        <f aca="false">IF($A140="","",IF($G140&lt;&gt;"",$G140,IFERROR(IF(INDEX(offices!$AM$2:$AM$61,MATCH($B140,offices!$A$2:$A$61,0))="","",INDEX(offices!$AM$2:$AM$61,MATCH($B140,offices!$A$2:$A$61,0))),"")))</f>
        <v/>
      </c>
      <c r="T140" s="30" t="str">
        <f aca="false">IF($A140="","",$A140&amp;"."&amp;$B140)</f>
        <v/>
      </c>
      <c r="U140" s="30" t="str">
        <f aca="false">IF($A140="","",SUMIFS(inventory!$G$2:$G$801,inventory!$C$2:$C$801,$A140,inventory!$D$2:$D$801,$B140,inventory!$E$2:$E$801,"delivered"))</f>
        <v/>
      </c>
      <c r="V140" s="37" t="str">
        <f aca="false">IF($A140="","",IFERROR(1/(1/SUMPRODUCT(MAX((inventory!$C$2:$C$801=$A140)*(inventory!$D$2:$D$801=$B140)*(inventory!$E$2:$E$801="delivered")*(inventory!$A$2:$A$801+inventory!$B$2:$B$801)))),""))</f>
        <v/>
      </c>
      <c r="W140" s="30" t="str">
        <f aca="false">IF($A140="","",IFERROR(IF(INDEX(inventory!$J$2:$J$801,MATCH($A140&amp;"|"&amp;$B140&amp;"|delivered",inventory!$R$2:$R$801,0))="","",INDEX(inventory!$J$2:$J$801,MATCH($A140&amp;"|"&amp;$B140&amp;"|delivered",inventory!$R$2:$R$801,0))),""))</f>
        <v/>
      </c>
      <c r="X140" s="30" t="str">
        <f aca="false">IF($A140="","",IFERROR(IF(INDEX(photos!$H$2:$H$701,MATCH($A140&amp;"|"&amp;$B140&amp;"|placement|Y",photos!$R$2:$R$701,0))="","",INDEX(photos!$H$2:$H$701,MATCH($A140&amp;"|"&amp;$B140&amp;"|placement|Y",photos!$R$2:$R$701,0))),""))</f>
        <v/>
      </c>
      <c r="Y140" s="31" t="str">
        <f aca="false">IF($A140="","",IFERROR(IF(INDEX(photos!$E$2:$E$701,MATCH($A140&amp;"|"&amp;$B140&amp;"|placement|Y",photos!$R$2:$R$701,0))="","",INDEX(photos!$E$2:$E$701,MATCH($A140&amp;"|"&amp;$B140&amp;"|placement|Y",photos!$R$2:$R$701,0))),""))</f>
        <v/>
      </c>
      <c r="Z140" s="30" t="str">
        <f aca="false">IF($A140="","",IF(COUNTIFS(counts!$C$2:$C$701,$A140,counts!$D$2:$D$701,$B140,counts!$E$2:$E$701,"placed")=0,"",SUMIFS(counts!$F$2:$F$701,counts!$C$2:$C$701,$A140,counts!$D$2:$D$701,$B140,counts!$E$2:$E$701,"placed")))</f>
        <v/>
      </c>
      <c r="AA140" s="30" t="str">
        <f aca="false">IF($A140="","",IF($Y140="",0,N($Z140)))</f>
        <v/>
      </c>
      <c r="AB140" s="30" t="str">
        <f aca="false">IF($A140="","",IF(OR($Y140="",$I140=""),"N",IF($Y140&lt;=WORKDAY(N($I140),1,calendar!$A$2:$A$80),"Y","N")))</f>
        <v/>
      </c>
      <c r="AC140" s="33" t="str">
        <f aca="false">IF(OR($A140="",$V140="",$Y140=""),"",ROUND(($Y140+N(IFERROR(IF(INDEX(photos!$F$2:$F$701,MATCH($A140&amp;"|"&amp;$B140&amp;"|placement|Y",photos!$R$2:$R$701,0))="","",INDEX(photos!$F$2:$F$701,MATCH($A140&amp;"|"&amp;$B140&amp;"|placement|Y",photos!$R$2:$R$701,0))),""))-$V140)*24,1))</f>
        <v/>
      </c>
      <c r="AD140" s="30" t="str">
        <f aca="false">IF($A140="","",SUMIFS(inventory!$G$2:$G$801,inventory!$C$2:$C$801,$A140,inventory!$D$2:$D$801,$B140,inventory!$E$2:$E$801,"topped_up"))</f>
        <v/>
      </c>
      <c r="AE140" s="30" t="str">
        <f aca="false">IF($A140="","",IF(COUNTIFS(counts!$C$2:$C$701,$A140,counts!$D$2:$D$701,$B140,counts!$E$2:$E$701,"remaining_day3")=0,"",SUMIFS(counts!$F$2:$F$701,counts!$C$2:$C$701,$A140,counts!$D$2:$D$701,$B140,counts!$E$2:$E$701,"remaining_day3")))</f>
        <v/>
      </c>
      <c r="AF140" s="30" t="str">
        <f aca="false">IF($A140="","",IF(COUNTIFS(counts!$C$2:$C$701,$A140,counts!$D$2:$D$701,$B140,counts!$E$2:$E$701,"remaining_day5")=0,"",SUMIFS(counts!$F$2:$F$701,counts!$C$2:$C$701,$A140,counts!$D$2:$D$701,$B140,counts!$E$2:$E$701,"remaining_day5")))</f>
        <v/>
      </c>
      <c r="AG140" s="30" t="str">
        <f aca="false">IF(OR($A140="",$AF140=""),"",MAX(0,$AA140+$AD140-$AF140))</f>
        <v/>
      </c>
      <c r="AH140" s="30" t="str">
        <f aca="false">IF(OR($A140="",$AI140=""),"",IFERROR(IF(INDEX(photos!$H$2:$H$701,MATCH($A140&amp;"|"&amp;$B140&amp;"|later|Y|"&amp;$AI140,photos!$S$2:$S$701,0))="","",INDEX(photos!$H$2:$H$701,MATCH($A140&amp;"|"&amp;$B140&amp;"|later|Y|"&amp;$AI140,photos!$S$2:$S$701,0))),""))</f>
        <v/>
      </c>
      <c r="AI140" s="31" t="str">
        <f aca="false">IF($A140="","",IFERROR(1/(1/SUMPRODUCT(MAX((photos!$B$2:$B$701=$A140)*(photos!$C$2:$C$701=$B140)*(photos!$D$2:$D$701="later")*(photos!$O$2:$O$701="Y")*photos!$E$2:$E$701))),""))</f>
        <v/>
      </c>
      <c r="AJ140" s="30" t="str">
        <f aca="false">IF(OR($A140="",$AI140="",$I140=""),"",NETWORKDAYS($I140,$AI140,calendar!$A$2:$A$80))</f>
        <v/>
      </c>
      <c r="AK140" s="30" t="str">
        <f aca="false">IF($A140="","",IF(AND($X140&lt;&gt;"",$AH140&lt;&gt;""),"Y","N"))</f>
        <v/>
      </c>
      <c r="AL140" s="30" t="str">
        <f aca="true">IF(OR($A140="",$I140=""),"",IF($BC140="Y",SUMIFS(survey_frozen!$C$2:$C$251,survey_frozen!$P$2:$P$251,$A140&amp;"|"&amp;$B140),IFERROR(COUNTIFS(INDIRECT("'"&amp;$A140&amp;"'!$B$2:$B$501"),$T140,INDIRECT("'"&amp;$A140&amp;"'!$A$2:$A$501"),"&gt;="&amp;$I140,INDIRECT("'"&amp;$A140&amp;"'!$A$2:$A$501"),"&lt;"&amp;($BA140+1)),0)))</f>
        <v/>
      </c>
      <c r="AM140" s="30" t="str">
        <f aca="true">IF(OR($A140="",$I140=""),"",IF($BC140="Y",SUMIFS(survey_frozen!$D$2:$D$251,survey_frozen!$P$2:$P$251,$A140&amp;"|"&amp;$B140),IFERROR(COUNTIFS(INDIRECT("'"&amp;$A140&amp;"'!$B$2:$B$501"),$T140,INDIRECT("'"&amp;$A140&amp;"'!$A$2:$A$501"),"&gt;="&amp;$I140,INDIRECT("'"&amp;$A140&amp;"'!$A$2:$A$501"),"&lt;"&amp;($BA140+1),INDIRECT("'"&amp;$A140&amp;"'!$C$2:$C$501"),"Yes"),0)))</f>
        <v/>
      </c>
      <c r="AN140" s="30" t="str">
        <f aca="false">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30" t="str">
        <f aca="false">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30" t="str">
        <f aca="true">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30" t="str">
        <f aca="true">IF(OR($A140="",$I140=""),"",IF($BC140="Y",SUMIFS(survey_frozen!$E$2:$E$251,survey_frozen!$P$2:$P$251,$A140&amp;"|"&amp;$B140),IFERROR(COUNTIFS(INDIRECT("'"&amp;$A140&amp;"'!$B$2:$B$501"),$T140,INDIRECT("'"&amp;$A140&amp;"'!$A$2:$A$501"),"&gt;="&amp;$I140,INDIRECT("'"&amp;$A140&amp;"'!$A$2:$A$501"),"&lt;"&amp;($BA140+1),INDIRECT("'"&amp;$A140&amp;"'!$F$2:$F$501"),"Didn't see it"),0)))</f>
        <v/>
      </c>
      <c r="AR140" s="30" t="str">
        <f aca="true">IF(OR($A140="",$I140=""),"",IF($BC140="Y",SUMIFS(survey_frozen!$F$2:$F$251,survey_frozen!$P$2:$P$251,$A140&amp;"|"&amp;$B140),IFERROR(COUNTIFS(INDIRECT("'"&amp;$A140&amp;"'!$B$2:$B$501"),$T140,INDIRECT("'"&amp;$A140&amp;"'!$A$2:$A$501"),"&gt;="&amp;$I140,INDIRECT("'"&amp;$A140&amp;"'!$A$2:$A$501"),"&lt;"&amp;($BA140+1),INDIRECT("'"&amp;$A140&amp;"'!$F$2:$F$501"),"Not for me"),0)))</f>
        <v/>
      </c>
      <c r="AS140" s="30" t="str">
        <f aca="true">IF(OR($A140="",$I140=""),"",IF($BC140="Y",SUMIFS(survey_frozen!$G$2:$G$251,survey_frozen!$P$2:$P$251,$A140&amp;"|"&amp;$B140),IFERROR(COUNTIFS(INDIRECT("'"&amp;$A140&amp;"'!$B$2:$B$501"),$T140,INDIRECT("'"&amp;$A140&amp;"'!$A$2:$A$501"),"&gt;="&amp;$I140,INDIRECT("'"&amp;$A140&amp;"'!$A$2:$A$501"),"&lt;"&amp;($BA140+1),INDIRECT("'"&amp;$A140&amp;"'!$F$2:$F$501"),"Gone by the time I looked"),0)))</f>
        <v/>
      </c>
      <c r="AT140" s="30" t="str">
        <f aca="true">IF(OR($A140="",$I140=""),"",IF($BC140="Y",SUMIFS(survey_frozen!$H$2:$H$251,survey_frozen!$P$2:$P$251,$A140&amp;"|"&amp;$B140),IFERROR(COUNTIFS(INDIRECT("'"&amp;$A140&amp;"'!$B$2:$B$501"),$T140,INDIRECT("'"&amp;$A140&amp;"'!$A$2:$A$501"),"&gt;="&amp;$I140,INDIRECT("'"&amp;$A140&amp;"'!$A$2:$A$501"),"&lt;"&amp;($BA140+1),INDIRECT("'"&amp;$A140&amp;"'!$D$2:$D$501"),"&gt;=1"),0)))</f>
        <v/>
      </c>
      <c r="AU140" s="30" t="str">
        <f aca="true">IF(OR($A140="",$I140=""),"",IF($BC140="Y",SUMIFS(survey_frozen!$I$2:$I$251,survey_frozen!$P$2:$P$251,$A140&amp;"|"&amp;$B140),IFERROR(SUMIFS(INDIRECT("'"&amp;$A140&amp;"'!$D$2:$D$501"),INDIRECT("'"&amp;$A140&amp;"'!$B$2:$B$501"),$T140,INDIRECT("'"&amp;$A140&amp;"'!$A$2:$A$501"),"&gt;="&amp;$I140,INDIRECT("'"&amp;$A140&amp;"'!$A$2:$A$501"),"&lt;"&amp;($BA140+1)),0)))</f>
        <v/>
      </c>
      <c r="AV140" s="30" t="str">
        <f aca="true">IF(OR($A140="",$I140=""),"",IF($BC140="Y",SUMIFS(survey_frozen!$J$2:$J$251,survey_frozen!$P$2:$P$251,$A140&amp;"|"&amp;$B140),IFERROR(COUNTIFS(INDIRECT("'"&amp;$A140&amp;"'!$B$2:$B$501"),$T140,INDIRECT("'"&amp;$A140&amp;"'!$A$2:$A$501"),"&gt;="&amp;$I140,INDIRECT("'"&amp;$A140&amp;"'!$A$2:$A$501"),"&lt;"&amp;($BA140+1),INDIRECT("'"&amp;$A140&amp;"'!$E$2:$E$501"),"Yes"),0)))</f>
        <v/>
      </c>
      <c r="AW140" s="30" t="str">
        <f aca="true">IF(OR($A140="",$I140=""),"",IF($BC140="Y",SUMIFS(survey_frozen!$K$2:$K$251,survey_frozen!$P$2:$P$251,$A140&amp;"|"&amp;$B140),IFERROR(COUNTIFS(INDIRECT("'"&amp;$A140&amp;"'!$B$2:$B$501"),$T140,INDIRECT("'"&amp;$A140&amp;"'!$A$2:$A$501"),"&gt;="&amp;$I140,INDIRECT("'"&amp;$A140&amp;"'!$A$2:$A$501"),"&lt;"&amp;($BA140+1),INDIRECT("'"&amp;$A140&amp;"'!$E$2:$E$501"),"Maybe"),0)))</f>
        <v/>
      </c>
      <c r="AX140" s="30" t="str">
        <f aca="true">IF(OR($A140="",$I140=""),"",IF($BC140="Y",SUMIFS(survey_frozen!$L$2:$L$251,survey_frozen!$P$2:$P$251,$A140&amp;"|"&amp;$B140),IFERROR(COUNTIFS(INDIRECT("'"&amp;$A140&amp;"'!$B$2:$B$501"),$T140,INDIRECT("'"&amp;$A140&amp;"'!$A$2:$A$501"),"&gt;="&amp;$I140,INDIRECT("'"&amp;$A140&amp;"'!$A$2:$A$501"),"&lt;"&amp;($BA140+1),INDIRECT("'"&amp;$A140&amp;"'!$E$2:$E$501"),"No"),0)))</f>
        <v/>
      </c>
      <c r="AY140" s="30" t="str">
        <f aca="true">IF(OR($A140="",$I140=""),"",IF($BC140="Y",SUMIFS(survey_frozen!$M$2:$M$251,survey_frozen!$P$2:$P$251,$A140&amp;"|"&amp;$B140),IFERROR(COUNTIFS(INDIRECT("'"&amp;$A140&amp;"'!$B$2:$B$501"),$T140,INDIRECT("'"&amp;$A140&amp;"'!$A$2:$A$501"),"&gt;="&amp;$I140,INDIRECT("'"&amp;$A140&amp;"'!$A$2:$A$501"),"&lt;"&amp;($BA140+1),INDIRECT("'"&amp;$A140&amp;"'!$G$2:$G$501"),"&lt;&gt;"),0)))</f>
        <v/>
      </c>
      <c r="AZ140" s="30" t="str">
        <f aca="false">IF($A140="","",$A140&amp;"|"&amp;$L140)</f>
        <v/>
      </c>
      <c r="BA140" s="31" t="str">
        <f aca="false">IF($A140="","",IFERROR(IF(INDEX(drops!$R$2:$R$21,MATCH($H140,drops!$A$2:$A$21,0))="","",INDEX(drops!$R$2:$R$21,MATCH($H140,drops!$A$2:$A$21,0))),""))</f>
        <v/>
      </c>
      <c r="BB140" s="30" t="n">
        <f aca="false">IF(OR($A140="",$Q140&lt;&gt;"Y"),1000000,N($AL140))</f>
        <v>1000000</v>
      </c>
      <c r="BC140" s="30" t="str">
        <f aca="false">IF($A140="","",IF(COUNTIF(survey_frozen!$P$2:$P$251,$A140&amp;"|"&amp;$B140)&gt;0,"Y",""))</f>
        <v/>
      </c>
      <c r="BD140" s="30" t="str">
        <f aca="false">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ustomFormat="false" ht="15" hidden="false" customHeight="false" outlineLevel="0" collapsed="false">
      <c r="C141" s="11"/>
      <c r="D141" s="10"/>
      <c r="E141" s="11"/>
      <c r="H141" s="30" t="str">
        <f aca="false">IF($A141="","",IFERROR(IF(INDEX(campaigns!$B$2:$B$51,MATCH($A141,campaigns!$A$2:$A$51,0))="","",INDEX(campaigns!$B$2:$B$51,MATCH($A141,campaigns!$A$2:$A$51,0))),""))</f>
        <v/>
      </c>
      <c r="I141" s="31" t="str">
        <f aca="false">IF($A141="","",IFERROR(IF(INDEX(campaigns!$BG$2:$BG$51,MATCH($A141,campaigns!$A$2:$A$51,0))="","",INDEX(campaigns!$BG$2:$BG$51,MATCH($A141,campaigns!$A$2:$A$51,0))),""))</f>
        <v/>
      </c>
      <c r="J141" s="30" t="str">
        <f aca="false">IF($A141="","",IFERROR(IF(INDEX(campaigns!$BE$2:$BE$51,MATCH($A141,campaigns!$A$2:$A$51,0))="","",INDEX(campaigns!$BE$2:$BE$51,MATCH($A141,campaigns!$A$2:$A$51,0))),""))</f>
        <v/>
      </c>
      <c r="K141" s="30" t="str">
        <f aca="false">IF($B141="","",IFERROR(IF(INDEX(offices!$O$2:$O$61,MATCH($B141,offices!$A$2:$A$61,0))="","",INDEX(offices!$O$2:$O$61,MATCH($B141,offices!$A$2:$A$61,0))),""))</f>
        <v/>
      </c>
      <c r="L141" s="30" t="str">
        <f aca="false">IF($A141="","",IF($Q141="N","",COUNTIFS($A$2:$A141,$A141,$Q$2:$Q141,"&lt;&gt;N")))</f>
        <v/>
      </c>
      <c r="M141" s="30" t="str">
        <f aca="false">IF(OR($A141="",$L141=""),"",IF(AND(config!$B$34="names_if_public",IFERROR(IF(INDEX(offices!$AG$2:$AG$61,MATCH($B141,offices!$A$2:$A$61,0))="","",INDEX(offices!$AG$2:$AG$61,MATCH($B141,offices!$A$2:$A$61,0))),"")="Y"),$K141,CHAR(64+$L141)))</f>
        <v/>
      </c>
      <c r="N141" s="30" t="str">
        <f aca="false">IF(OR($A141="",$I141=""),"",COUNTIFS(stops!$B$2:$B$151,$B141,stops!$P$2:$P$151,"&lt;"&amp;$I141,stops!$L$2:$L$151,"&lt;&gt;not_delivered")+1)</f>
        <v/>
      </c>
      <c r="O141" s="30" t="str">
        <f aca="false">IF($A141="","",IF(N($N141)&lt;=config!$B$29,"explicit","opt-out"))</f>
        <v/>
      </c>
      <c r="P141" s="30" t="str">
        <f aca="false">IF($A141="","",IF($O141="explicit",IF($D141="yes","Y",IF($D141="no","N","pending")),IF($D141="no","N",IF(AND($C141&lt;&gt;"",$I141&lt;&gt;"",$C141&lt;=WORKDAY(N($I141),-5,calendar!$A$2:$A$80)),"Y","pending"))))</f>
        <v/>
      </c>
      <c r="Q141" s="30" t="str">
        <f aca="false">IF($A141="","",IF($P141="N","N",IF($P141&lt;&gt;"Y","pending",IF(AND((COUNTIFS(stops!$A$2:$A$151,$H141,stops!$B$2:$B$151,$B141,stops!$L$2:$L$151,"declined")+COUNTIFS(stops!$A$2:$A$151,$H141,stops!$B$2:$B$151,$B141,stops!$L$2:$L$151,"building_refused")+COUNTIFS(stops!$A$2:$A$151,$H141,stops!$B$2:$B$151,$B141,stops!$L$2:$L$151,"not_delivered"))&gt;0,N($U141)=0),"N","Y"))))</f>
        <v/>
      </c>
      <c r="R141" s="30" t="str">
        <f aca="false">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30" t="str">
        <f aca="false">IF($A141="","",IF($G141&lt;&gt;"",$G141,IFERROR(IF(INDEX(offices!$AM$2:$AM$61,MATCH($B141,offices!$A$2:$A$61,0))="","",INDEX(offices!$AM$2:$AM$61,MATCH($B141,offices!$A$2:$A$61,0))),"")))</f>
        <v/>
      </c>
      <c r="T141" s="30" t="str">
        <f aca="false">IF($A141="","",$A141&amp;"."&amp;$B141)</f>
        <v/>
      </c>
      <c r="U141" s="30" t="str">
        <f aca="false">IF($A141="","",SUMIFS(inventory!$G$2:$G$801,inventory!$C$2:$C$801,$A141,inventory!$D$2:$D$801,$B141,inventory!$E$2:$E$801,"delivered"))</f>
        <v/>
      </c>
      <c r="V141" s="37" t="str">
        <f aca="false">IF($A141="","",IFERROR(1/(1/SUMPRODUCT(MAX((inventory!$C$2:$C$801=$A141)*(inventory!$D$2:$D$801=$B141)*(inventory!$E$2:$E$801="delivered")*(inventory!$A$2:$A$801+inventory!$B$2:$B$801)))),""))</f>
        <v/>
      </c>
      <c r="W141" s="30" t="str">
        <f aca="false">IF($A141="","",IFERROR(IF(INDEX(inventory!$J$2:$J$801,MATCH($A141&amp;"|"&amp;$B141&amp;"|delivered",inventory!$R$2:$R$801,0))="","",INDEX(inventory!$J$2:$J$801,MATCH($A141&amp;"|"&amp;$B141&amp;"|delivered",inventory!$R$2:$R$801,0))),""))</f>
        <v/>
      </c>
      <c r="X141" s="30" t="str">
        <f aca="false">IF($A141="","",IFERROR(IF(INDEX(photos!$H$2:$H$701,MATCH($A141&amp;"|"&amp;$B141&amp;"|placement|Y",photos!$R$2:$R$701,0))="","",INDEX(photos!$H$2:$H$701,MATCH($A141&amp;"|"&amp;$B141&amp;"|placement|Y",photos!$R$2:$R$701,0))),""))</f>
        <v/>
      </c>
      <c r="Y141" s="31" t="str">
        <f aca="false">IF($A141="","",IFERROR(IF(INDEX(photos!$E$2:$E$701,MATCH($A141&amp;"|"&amp;$B141&amp;"|placement|Y",photos!$R$2:$R$701,0))="","",INDEX(photos!$E$2:$E$701,MATCH($A141&amp;"|"&amp;$B141&amp;"|placement|Y",photos!$R$2:$R$701,0))),""))</f>
        <v/>
      </c>
      <c r="Z141" s="30" t="str">
        <f aca="false">IF($A141="","",IF(COUNTIFS(counts!$C$2:$C$701,$A141,counts!$D$2:$D$701,$B141,counts!$E$2:$E$701,"placed")=0,"",SUMIFS(counts!$F$2:$F$701,counts!$C$2:$C$701,$A141,counts!$D$2:$D$701,$B141,counts!$E$2:$E$701,"placed")))</f>
        <v/>
      </c>
      <c r="AA141" s="30" t="str">
        <f aca="false">IF($A141="","",IF($Y141="",0,N($Z141)))</f>
        <v/>
      </c>
      <c r="AB141" s="30" t="str">
        <f aca="false">IF($A141="","",IF(OR($Y141="",$I141=""),"N",IF($Y141&lt;=WORKDAY(N($I141),1,calendar!$A$2:$A$80),"Y","N")))</f>
        <v/>
      </c>
      <c r="AC141" s="33" t="str">
        <f aca="false">IF(OR($A141="",$V141="",$Y141=""),"",ROUND(($Y141+N(IFERROR(IF(INDEX(photos!$F$2:$F$701,MATCH($A141&amp;"|"&amp;$B141&amp;"|placement|Y",photos!$R$2:$R$701,0))="","",INDEX(photos!$F$2:$F$701,MATCH($A141&amp;"|"&amp;$B141&amp;"|placement|Y",photos!$R$2:$R$701,0))),""))-$V141)*24,1))</f>
        <v/>
      </c>
      <c r="AD141" s="30" t="str">
        <f aca="false">IF($A141="","",SUMIFS(inventory!$G$2:$G$801,inventory!$C$2:$C$801,$A141,inventory!$D$2:$D$801,$B141,inventory!$E$2:$E$801,"topped_up"))</f>
        <v/>
      </c>
      <c r="AE141" s="30" t="str">
        <f aca="false">IF($A141="","",IF(COUNTIFS(counts!$C$2:$C$701,$A141,counts!$D$2:$D$701,$B141,counts!$E$2:$E$701,"remaining_day3")=0,"",SUMIFS(counts!$F$2:$F$701,counts!$C$2:$C$701,$A141,counts!$D$2:$D$701,$B141,counts!$E$2:$E$701,"remaining_day3")))</f>
        <v/>
      </c>
      <c r="AF141" s="30" t="str">
        <f aca="false">IF($A141="","",IF(COUNTIFS(counts!$C$2:$C$701,$A141,counts!$D$2:$D$701,$B141,counts!$E$2:$E$701,"remaining_day5")=0,"",SUMIFS(counts!$F$2:$F$701,counts!$C$2:$C$701,$A141,counts!$D$2:$D$701,$B141,counts!$E$2:$E$701,"remaining_day5")))</f>
        <v/>
      </c>
      <c r="AG141" s="30" t="str">
        <f aca="false">IF(OR($A141="",$AF141=""),"",MAX(0,$AA141+$AD141-$AF141))</f>
        <v/>
      </c>
      <c r="AH141" s="30" t="str">
        <f aca="false">IF(OR($A141="",$AI141=""),"",IFERROR(IF(INDEX(photos!$H$2:$H$701,MATCH($A141&amp;"|"&amp;$B141&amp;"|later|Y|"&amp;$AI141,photos!$S$2:$S$701,0))="","",INDEX(photos!$H$2:$H$701,MATCH($A141&amp;"|"&amp;$B141&amp;"|later|Y|"&amp;$AI141,photos!$S$2:$S$701,0))),""))</f>
        <v/>
      </c>
      <c r="AI141" s="31" t="str">
        <f aca="false">IF($A141="","",IFERROR(1/(1/SUMPRODUCT(MAX((photos!$B$2:$B$701=$A141)*(photos!$C$2:$C$701=$B141)*(photos!$D$2:$D$701="later")*(photos!$O$2:$O$701="Y")*photos!$E$2:$E$701))),""))</f>
        <v/>
      </c>
      <c r="AJ141" s="30" t="str">
        <f aca="false">IF(OR($A141="",$AI141="",$I141=""),"",NETWORKDAYS($I141,$AI141,calendar!$A$2:$A$80))</f>
        <v/>
      </c>
      <c r="AK141" s="30" t="str">
        <f aca="false">IF($A141="","",IF(AND($X141&lt;&gt;"",$AH141&lt;&gt;""),"Y","N"))</f>
        <v/>
      </c>
      <c r="AL141" s="30" t="str">
        <f aca="true">IF(OR($A141="",$I141=""),"",IF($BC141="Y",SUMIFS(survey_frozen!$C$2:$C$251,survey_frozen!$P$2:$P$251,$A141&amp;"|"&amp;$B141),IFERROR(COUNTIFS(INDIRECT("'"&amp;$A141&amp;"'!$B$2:$B$501"),$T141,INDIRECT("'"&amp;$A141&amp;"'!$A$2:$A$501"),"&gt;="&amp;$I141,INDIRECT("'"&amp;$A141&amp;"'!$A$2:$A$501"),"&lt;"&amp;($BA141+1)),0)))</f>
        <v/>
      </c>
      <c r="AM141" s="30" t="str">
        <f aca="true">IF(OR($A141="",$I141=""),"",IF($BC141="Y",SUMIFS(survey_frozen!$D$2:$D$251,survey_frozen!$P$2:$P$251,$A141&amp;"|"&amp;$B141),IFERROR(COUNTIFS(INDIRECT("'"&amp;$A141&amp;"'!$B$2:$B$501"),$T141,INDIRECT("'"&amp;$A141&amp;"'!$A$2:$A$501"),"&gt;="&amp;$I141,INDIRECT("'"&amp;$A141&amp;"'!$A$2:$A$501"),"&lt;"&amp;($BA141+1),INDIRECT("'"&amp;$A141&amp;"'!$C$2:$C$501"),"Yes"),0)))</f>
        <v/>
      </c>
      <c r="AN141" s="30" t="str">
        <f aca="false">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30" t="str">
        <f aca="false">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30" t="str">
        <f aca="true">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30" t="str">
        <f aca="true">IF(OR($A141="",$I141=""),"",IF($BC141="Y",SUMIFS(survey_frozen!$E$2:$E$251,survey_frozen!$P$2:$P$251,$A141&amp;"|"&amp;$B141),IFERROR(COUNTIFS(INDIRECT("'"&amp;$A141&amp;"'!$B$2:$B$501"),$T141,INDIRECT("'"&amp;$A141&amp;"'!$A$2:$A$501"),"&gt;="&amp;$I141,INDIRECT("'"&amp;$A141&amp;"'!$A$2:$A$501"),"&lt;"&amp;($BA141+1),INDIRECT("'"&amp;$A141&amp;"'!$F$2:$F$501"),"Didn't see it"),0)))</f>
        <v/>
      </c>
      <c r="AR141" s="30" t="str">
        <f aca="true">IF(OR($A141="",$I141=""),"",IF($BC141="Y",SUMIFS(survey_frozen!$F$2:$F$251,survey_frozen!$P$2:$P$251,$A141&amp;"|"&amp;$B141),IFERROR(COUNTIFS(INDIRECT("'"&amp;$A141&amp;"'!$B$2:$B$501"),$T141,INDIRECT("'"&amp;$A141&amp;"'!$A$2:$A$501"),"&gt;="&amp;$I141,INDIRECT("'"&amp;$A141&amp;"'!$A$2:$A$501"),"&lt;"&amp;($BA141+1),INDIRECT("'"&amp;$A141&amp;"'!$F$2:$F$501"),"Not for me"),0)))</f>
        <v/>
      </c>
      <c r="AS141" s="30" t="str">
        <f aca="true">IF(OR($A141="",$I141=""),"",IF($BC141="Y",SUMIFS(survey_frozen!$G$2:$G$251,survey_frozen!$P$2:$P$251,$A141&amp;"|"&amp;$B141),IFERROR(COUNTIFS(INDIRECT("'"&amp;$A141&amp;"'!$B$2:$B$501"),$T141,INDIRECT("'"&amp;$A141&amp;"'!$A$2:$A$501"),"&gt;="&amp;$I141,INDIRECT("'"&amp;$A141&amp;"'!$A$2:$A$501"),"&lt;"&amp;($BA141+1),INDIRECT("'"&amp;$A141&amp;"'!$F$2:$F$501"),"Gone by the time I looked"),0)))</f>
        <v/>
      </c>
      <c r="AT141" s="30" t="str">
        <f aca="true">IF(OR($A141="",$I141=""),"",IF($BC141="Y",SUMIFS(survey_frozen!$H$2:$H$251,survey_frozen!$P$2:$P$251,$A141&amp;"|"&amp;$B141),IFERROR(COUNTIFS(INDIRECT("'"&amp;$A141&amp;"'!$B$2:$B$501"),$T141,INDIRECT("'"&amp;$A141&amp;"'!$A$2:$A$501"),"&gt;="&amp;$I141,INDIRECT("'"&amp;$A141&amp;"'!$A$2:$A$501"),"&lt;"&amp;($BA141+1),INDIRECT("'"&amp;$A141&amp;"'!$D$2:$D$501"),"&gt;=1"),0)))</f>
        <v/>
      </c>
      <c r="AU141" s="30" t="str">
        <f aca="true">IF(OR($A141="",$I141=""),"",IF($BC141="Y",SUMIFS(survey_frozen!$I$2:$I$251,survey_frozen!$P$2:$P$251,$A141&amp;"|"&amp;$B141),IFERROR(SUMIFS(INDIRECT("'"&amp;$A141&amp;"'!$D$2:$D$501"),INDIRECT("'"&amp;$A141&amp;"'!$B$2:$B$501"),$T141,INDIRECT("'"&amp;$A141&amp;"'!$A$2:$A$501"),"&gt;="&amp;$I141,INDIRECT("'"&amp;$A141&amp;"'!$A$2:$A$501"),"&lt;"&amp;($BA141+1)),0)))</f>
        <v/>
      </c>
      <c r="AV141" s="30" t="str">
        <f aca="true">IF(OR($A141="",$I141=""),"",IF($BC141="Y",SUMIFS(survey_frozen!$J$2:$J$251,survey_frozen!$P$2:$P$251,$A141&amp;"|"&amp;$B141),IFERROR(COUNTIFS(INDIRECT("'"&amp;$A141&amp;"'!$B$2:$B$501"),$T141,INDIRECT("'"&amp;$A141&amp;"'!$A$2:$A$501"),"&gt;="&amp;$I141,INDIRECT("'"&amp;$A141&amp;"'!$A$2:$A$501"),"&lt;"&amp;($BA141+1),INDIRECT("'"&amp;$A141&amp;"'!$E$2:$E$501"),"Yes"),0)))</f>
        <v/>
      </c>
      <c r="AW141" s="30" t="str">
        <f aca="true">IF(OR($A141="",$I141=""),"",IF($BC141="Y",SUMIFS(survey_frozen!$K$2:$K$251,survey_frozen!$P$2:$P$251,$A141&amp;"|"&amp;$B141),IFERROR(COUNTIFS(INDIRECT("'"&amp;$A141&amp;"'!$B$2:$B$501"),$T141,INDIRECT("'"&amp;$A141&amp;"'!$A$2:$A$501"),"&gt;="&amp;$I141,INDIRECT("'"&amp;$A141&amp;"'!$A$2:$A$501"),"&lt;"&amp;($BA141+1),INDIRECT("'"&amp;$A141&amp;"'!$E$2:$E$501"),"Maybe"),0)))</f>
        <v/>
      </c>
      <c r="AX141" s="30" t="str">
        <f aca="true">IF(OR($A141="",$I141=""),"",IF($BC141="Y",SUMIFS(survey_frozen!$L$2:$L$251,survey_frozen!$P$2:$P$251,$A141&amp;"|"&amp;$B141),IFERROR(COUNTIFS(INDIRECT("'"&amp;$A141&amp;"'!$B$2:$B$501"),$T141,INDIRECT("'"&amp;$A141&amp;"'!$A$2:$A$501"),"&gt;="&amp;$I141,INDIRECT("'"&amp;$A141&amp;"'!$A$2:$A$501"),"&lt;"&amp;($BA141+1),INDIRECT("'"&amp;$A141&amp;"'!$E$2:$E$501"),"No"),0)))</f>
        <v/>
      </c>
      <c r="AY141" s="30" t="str">
        <f aca="true">IF(OR($A141="",$I141=""),"",IF($BC141="Y",SUMIFS(survey_frozen!$M$2:$M$251,survey_frozen!$P$2:$P$251,$A141&amp;"|"&amp;$B141),IFERROR(COUNTIFS(INDIRECT("'"&amp;$A141&amp;"'!$B$2:$B$501"),$T141,INDIRECT("'"&amp;$A141&amp;"'!$A$2:$A$501"),"&gt;="&amp;$I141,INDIRECT("'"&amp;$A141&amp;"'!$A$2:$A$501"),"&lt;"&amp;($BA141+1),INDIRECT("'"&amp;$A141&amp;"'!$G$2:$G$501"),"&lt;&gt;"),0)))</f>
        <v/>
      </c>
      <c r="AZ141" s="30" t="str">
        <f aca="false">IF($A141="","",$A141&amp;"|"&amp;$L141)</f>
        <v/>
      </c>
      <c r="BA141" s="31" t="str">
        <f aca="false">IF($A141="","",IFERROR(IF(INDEX(drops!$R$2:$R$21,MATCH($H141,drops!$A$2:$A$21,0))="","",INDEX(drops!$R$2:$R$21,MATCH($H141,drops!$A$2:$A$21,0))),""))</f>
        <v/>
      </c>
      <c r="BB141" s="30" t="n">
        <f aca="false">IF(OR($A141="",$Q141&lt;&gt;"Y"),1000000,N($AL141))</f>
        <v>1000000</v>
      </c>
      <c r="BC141" s="30" t="str">
        <f aca="false">IF($A141="","",IF(COUNTIF(survey_frozen!$P$2:$P$251,$A141&amp;"|"&amp;$B141)&gt;0,"Y",""))</f>
        <v/>
      </c>
      <c r="BD141" s="30" t="str">
        <f aca="false">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ustomFormat="false" ht="15" hidden="false" customHeight="false" outlineLevel="0" collapsed="false">
      <c r="C142" s="11"/>
      <c r="D142" s="10"/>
      <c r="E142" s="11"/>
      <c r="H142" s="30" t="str">
        <f aca="false">IF($A142="","",IFERROR(IF(INDEX(campaigns!$B$2:$B$51,MATCH($A142,campaigns!$A$2:$A$51,0))="","",INDEX(campaigns!$B$2:$B$51,MATCH($A142,campaigns!$A$2:$A$51,0))),""))</f>
        <v/>
      </c>
      <c r="I142" s="31" t="str">
        <f aca="false">IF($A142="","",IFERROR(IF(INDEX(campaigns!$BG$2:$BG$51,MATCH($A142,campaigns!$A$2:$A$51,0))="","",INDEX(campaigns!$BG$2:$BG$51,MATCH($A142,campaigns!$A$2:$A$51,0))),""))</f>
        <v/>
      </c>
      <c r="J142" s="30" t="str">
        <f aca="false">IF($A142="","",IFERROR(IF(INDEX(campaigns!$BE$2:$BE$51,MATCH($A142,campaigns!$A$2:$A$51,0))="","",INDEX(campaigns!$BE$2:$BE$51,MATCH($A142,campaigns!$A$2:$A$51,0))),""))</f>
        <v/>
      </c>
      <c r="K142" s="30" t="str">
        <f aca="false">IF($B142="","",IFERROR(IF(INDEX(offices!$O$2:$O$61,MATCH($B142,offices!$A$2:$A$61,0))="","",INDEX(offices!$O$2:$O$61,MATCH($B142,offices!$A$2:$A$61,0))),""))</f>
        <v/>
      </c>
      <c r="L142" s="30" t="str">
        <f aca="false">IF($A142="","",IF($Q142="N","",COUNTIFS($A$2:$A142,$A142,$Q$2:$Q142,"&lt;&gt;N")))</f>
        <v/>
      </c>
      <c r="M142" s="30" t="str">
        <f aca="false">IF(OR($A142="",$L142=""),"",IF(AND(config!$B$34="names_if_public",IFERROR(IF(INDEX(offices!$AG$2:$AG$61,MATCH($B142,offices!$A$2:$A$61,0))="","",INDEX(offices!$AG$2:$AG$61,MATCH($B142,offices!$A$2:$A$61,0))),"")="Y"),$K142,CHAR(64+$L142)))</f>
        <v/>
      </c>
      <c r="N142" s="30" t="str">
        <f aca="false">IF(OR($A142="",$I142=""),"",COUNTIFS(stops!$B$2:$B$151,$B142,stops!$P$2:$P$151,"&lt;"&amp;$I142,stops!$L$2:$L$151,"&lt;&gt;not_delivered")+1)</f>
        <v/>
      </c>
      <c r="O142" s="30" t="str">
        <f aca="false">IF($A142="","",IF(N($N142)&lt;=config!$B$29,"explicit","opt-out"))</f>
        <v/>
      </c>
      <c r="P142" s="30" t="str">
        <f aca="false">IF($A142="","",IF($O142="explicit",IF($D142="yes","Y",IF($D142="no","N","pending")),IF($D142="no","N",IF(AND($C142&lt;&gt;"",$I142&lt;&gt;"",$C142&lt;=WORKDAY(N($I142),-5,calendar!$A$2:$A$80)),"Y","pending"))))</f>
        <v/>
      </c>
      <c r="Q142" s="30" t="str">
        <f aca="false">IF($A142="","",IF($P142="N","N",IF($P142&lt;&gt;"Y","pending",IF(AND((COUNTIFS(stops!$A$2:$A$151,$H142,stops!$B$2:$B$151,$B142,stops!$L$2:$L$151,"declined")+COUNTIFS(stops!$A$2:$A$151,$H142,stops!$B$2:$B$151,$B142,stops!$L$2:$L$151,"building_refused")+COUNTIFS(stops!$A$2:$A$151,$H142,stops!$B$2:$B$151,$B142,stops!$L$2:$L$151,"not_delivered"))&gt;0,N($U142)=0),"N","Y"))))</f>
        <v/>
      </c>
      <c r="R142" s="30" t="str">
        <f aca="false">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30" t="str">
        <f aca="false">IF($A142="","",IF($G142&lt;&gt;"",$G142,IFERROR(IF(INDEX(offices!$AM$2:$AM$61,MATCH($B142,offices!$A$2:$A$61,0))="","",INDEX(offices!$AM$2:$AM$61,MATCH($B142,offices!$A$2:$A$61,0))),"")))</f>
        <v/>
      </c>
      <c r="T142" s="30" t="str">
        <f aca="false">IF($A142="","",$A142&amp;"."&amp;$B142)</f>
        <v/>
      </c>
      <c r="U142" s="30" t="str">
        <f aca="false">IF($A142="","",SUMIFS(inventory!$G$2:$G$801,inventory!$C$2:$C$801,$A142,inventory!$D$2:$D$801,$B142,inventory!$E$2:$E$801,"delivered"))</f>
        <v/>
      </c>
      <c r="V142" s="37" t="str">
        <f aca="false">IF($A142="","",IFERROR(1/(1/SUMPRODUCT(MAX((inventory!$C$2:$C$801=$A142)*(inventory!$D$2:$D$801=$B142)*(inventory!$E$2:$E$801="delivered")*(inventory!$A$2:$A$801+inventory!$B$2:$B$801)))),""))</f>
        <v/>
      </c>
      <c r="W142" s="30" t="str">
        <f aca="false">IF($A142="","",IFERROR(IF(INDEX(inventory!$J$2:$J$801,MATCH($A142&amp;"|"&amp;$B142&amp;"|delivered",inventory!$R$2:$R$801,0))="","",INDEX(inventory!$J$2:$J$801,MATCH($A142&amp;"|"&amp;$B142&amp;"|delivered",inventory!$R$2:$R$801,0))),""))</f>
        <v/>
      </c>
      <c r="X142" s="30" t="str">
        <f aca="false">IF($A142="","",IFERROR(IF(INDEX(photos!$H$2:$H$701,MATCH($A142&amp;"|"&amp;$B142&amp;"|placement|Y",photos!$R$2:$R$701,0))="","",INDEX(photos!$H$2:$H$701,MATCH($A142&amp;"|"&amp;$B142&amp;"|placement|Y",photos!$R$2:$R$701,0))),""))</f>
        <v/>
      </c>
      <c r="Y142" s="31" t="str">
        <f aca="false">IF($A142="","",IFERROR(IF(INDEX(photos!$E$2:$E$701,MATCH($A142&amp;"|"&amp;$B142&amp;"|placement|Y",photos!$R$2:$R$701,0))="","",INDEX(photos!$E$2:$E$701,MATCH($A142&amp;"|"&amp;$B142&amp;"|placement|Y",photos!$R$2:$R$701,0))),""))</f>
        <v/>
      </c>
      <c r="Z142" s="30" t="str">
        <f aca="false">IF($A142="","",IF(COUNTIFS(counts!$C$2:$C$701,$A142,counts!$D$2:$D$701,$B142,counts!$E$2:$E$701,"placed")=0,"",SUMIFS(counts!$F$2:$F$701,counts!$C$2:$C$701,$A142,counts!$D$2:$D$701,$B142,counts!$E$2:$E$701,"placed")))</f>
        <v/>
      </c>
      <c r="AA142" s="30" t="str">
        <f aca="false">IF($A142="","",IF($Y142="",0,N($Z142)))</f>
        <v/>
      </c>
      <c r="AB142" s="30" t="str">
        <f aca="false">IF($A142="","",IF(OR($Y142="",$I142=""),"N",IF($Y142&lt;=WORKDAY(N($I142),1,calendar!$A$2:$A$80),"Y","N")))</f>
        <v/>
      </c>
      <c r="AC142" s="33" t="str">
        <f aca="false">IF(OR($A142="",$V142="",$Y142=""),"",ROUND(($Y142+N(IFERROR(IF(INDEX(photos!$F$2:$F$701,MATCH($A142&amp;"|"&amp;$B142&amp;"|placement|Y",photos!$R$2:$R$701,0))="","",INDEX(photos!$F$2:$F$701,MATCH($A142&amp;"|"&amp;$B142&amp;"|placement|Y",photos!$R$2:$R$701,0))),""))-$V142)*24,1))</f>
        <v/>
      </c>
      <c r="AD142" s="30" t="str">
        <f aca="false">IF($A142="","",SUMIFS(inventory!$G$2:$G$801,inventory!$C$2:$C$801,$A142,inventory!$D$2:$D$801,$B142,inventory!$E$2:$E$801,"topped_up"))</f>
        <v/>
      </c>
      <c r="AE142" s="30" t="str">
        <f aca="false">IF($A142="","",IF(COUNTIFS(counts!$C$2:$C$701,$A142,counts!$D$2:$D$701,$B142,counts!$E$2:$E$701,"remaining_day3")=0,"",SUMIFS(counts!$F$2:$F$701,counts!$C$2:$C$701,$A142,counts!$D$2:$D$701,$B142,counts!$E$2:$E$701,"remaining_day3")))</f>
        <v/>
      </c>
      <c r="AF142" s="30" t="str">
        <f aca="false">IF($A142="","",IF(COUNTIFS(counts!$C$2:$C$701,$A142,counts!$D$2:$D$701,$B142,counts!$E$2:$E$701,"remaining_day5")=0,"",SUMIFS(counts!$F$2:$F$701,counts!$C$2:$C$701,$A142,counts!$D$2:$D$701,$B142,counts!$E$2:$E$701,"remaining_day5")))</f>
        <v/>
      </c>
      <c r="AG142" s="30" t="str">
        <f aca="false">IF(OR($A142="",$AF142=""),"",MAX(0,$AA142+$AD142-$AF142))</f>
        <v/>
      </c>
      <c r="AH142" s="30" t="str">
        <f aca="false">IF(OR($A142="",$AI142=""),"",IFERROR(IF(INDEX(photos!$H$2:$H$701,MATCH($A142&amp;"|"&amp;$B142&amp;"|later|Y|"&amp;$AI142,photos!$S$2:$S$701,0))="","",INDEX(photos!$H$2:$H$701,MATCH($A142&amp;"|"&amp;$B142&amp;"|later|Y|"&amp;$AI142,photos!$S$2:$S$701,0))),""))</f>
        <v/>
      </c>
      <c r="AI142" s="31" t="str">
        <f aca="false">IF($A142="","",IFERROR(1/(1/SUMPRODUCT(MAX((photos!$B$2:$B$701=$A142)*(photos!$C$2:$C$701=$B142)*(photos!$D$2:$D$701="later")*(photos!$O$2:$O$701="Y")*photos!$E$2:$E$701))),""))</f>
        <v/>
      </c>
      <c r="AJ142" s="30" t="str">
        <f aca="false">IF(OR($A142="",$AI142="",$I142=""),"",NETWORKDAYS($I142,$AI142,calendar!$A$2:$A$80))</f>
        <v/>
      </c>
      <c r="AK142" s="30" t="str">
        <f aca="false">IF($A142="","",IF(AND($X142&lt;&gt;"",$AH142&lt;&gt;""),"Y","N"))</f>
        <v/>
      </c>
      <c r="AL142" s="30" t="str">
        <f aca="true">IF(OR($A142="",$I142=""),"",IF($BC142="Y",SUMIFS(survey_frozen!$C$2:$C$251,survey_frozen!$P$2:$P$251,$A142&amp;"|"&amp;$B142),IFERROR(COUNTIFS(INDIRECT("'"&amp;$A142&amp;"'!$B$2:$B$501"),$T142,INDIRECT("'"&amp;$A142&amp;"'!$A$2:$A$501"),"&gt;="&amp;$I142,INDIRECT("'"&amp;$A142&amp;"'!$A$2:$A$501"),"&lt;"&amp;($BA142+1)),0)))</f>
        <v/>
      </c>
      <c r="AM142" s="30" t="str">
        <f aca="true">IF(OR($A142="",$I142=""),"",IF($BC142="Y",SUMIFS(survey_frozen!$D$2:$D$251,survey_frozen!$P$2:$P$251,$A142&amp;"|"&amp;$B142),IFERROR(COUNTIFS(INDIRECT("'"&amp;$A142&amp;"'!$B$2:$B$501"),$T142,INDIRECT("'"&amp;$A142&amp;"'!$A$2:$A$501"),"&gt;="&amp;$I142,INDIRECT("'"&amp;$A142&amp;"'!$A$2:$A$501"),"&lt;"&amp;($BA142+1),INDIRECT("'"&amp;$A142&amp;"'!$C$2:$C$501"),"Yes"),0)))</f>
        <v/>
      </c>
      <c r="AN142" s="30" t="str">
        <f aca="false">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30" t="str">
        <f aca="false">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30" t="str">
        <f aca="true">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30" t="str">
        <f aca="true">IF(OR($A142="",$I142=""),"",IF($BC142="Y",SUMIFS(survey_frozen!$E$2:$E$251,survey_frozen!$P$2:$P$251,$A142&amp;"|"&amp;$B142),IFERROR(COUNTIFS(INDIRECT("'"&amp;$A142&amp;"'!$B$2:$B$501"),$T142,INDIRECT("'"&amp;$A142&amp;"'!$A$2:$A$501"),"&gt;="&amp;$I142,INDIRECT("'"&amp;$A142&amp;"'!$A$2:$A$501"),"&lt;"&amp;($BA142+1),INDIRECT("'"&amp;$A142&amp;"'!$F$2:$F$501"),"Didn't see it"),0)))</f>
        <v/>
      </c>
      <c r="AR142" s="30" t="str">
        <f aca="true">IF(OR($A142="",$I142=""),"",IF($BC142="Y",SUMIFS(survey_frozen!$F$2:$F$251,survey_frozen!$P$2:$P$251,$A142&amp;"|"&amp;$B142),IFERROR(COUNTIFS(INDIRECT("'"&amp;$A142&amp;"'!$B$2:$B$501"),$T142,INDIRECT("'"&amp;$A142&amp;"'!$A$2:$A$501"),"&gt;="&amp;$I142,INDIRECT("'"&amp;$A142&amp;"'!$A$2:$A$501"),"&lt;"&amp;($BA142+1),INDIRECT("'"&amp;$A142&amp;"'!$F$2:$F$501"),"Not for me"),0)))</f>
        <v/>
      </c>
      <c r="AS142" s="30" t="str">
        <f aca="true">IF(OR($A142="",$I142=""),"",IF($BC142="Y",SUMIFS(survey_frozen!$G$2:$G$251,survey_frozen!$P$2:$P$251,$A142&amp;"|"&amp;$B142),IFERROR(COUNTIFS(INDIRECT("'"&amp;$A142&amp;"'!$B$2:$B$501"),$T142,INDIRECT("'"&amp;$A142&amp;"'!$A$2:$A$501"),"&gt;="&amp;$I142,INDIRECT("'"&amp;$A142&amp;"'!$A$2:$A$501"),"&lt;"&amp;($BA142+1),INDIRECT("'"&amp;$A142&amp;"'!$F$2:$F$501"),"Gone by the time I looked"),0)))</f>
        <v/>
      </c>
      <c r="AT142" s="30" t="str">
        <f aca="true">IF(OR($A142="",$I142=""),"",IF($BC142="Y",SUMIFS(survey_frozen!$H$2:$H$251,survey_frozen!$P$2:$P$251,$A142&amp;"|"&amp;$B142),IFERROR(COUNTIFS(INDIRECT("'"&amp;$A142&amp;"'!$B$2:$B$501"),$T142,INDIRECT("'"&amp;$A142&amp;"'!$A$2:$A$501"),"&gt;="&amp;$I142,INDIRECT("'"&amp;$A142&amp;"'!$A$2:$A$501"),"&lt;"&amp;($BA142+1),INDIRECT("'"&amp;$A142&amp;"'!$D$2:$D$501"),"&gt;=1"),0)))</f>
        <v/>
      </c>
      <c r="AU142" s="30" t="str">
        <f aca="true">IF(OR($A142="",$I142=""),"",IF($BC142="Y",SUMIFS(survey_frozen!$I$2:$I$251,survey_frozen!$P$2:$P$251,$A142&amp;"|"&amp;$B142),IFERROR(SUMIFS(INDIRECT("'"&amp;$A142&amp;"'!$D$2:$D$501"),INDIRECT("'"&amp;$A142&amp;"'!$B$2:$B$501"),$T142,INDIRECT("'"&amp;$A142&amp;"'!$A$2:$A$501"),"&gt;="&amp;$I142,INDIRECT("'"&amp;$A142&amp;"'!$A$2:$A$501"),"&lt;"&amp;($BA142+1)),0)))</f>
        <v/>
      </c>
      <c r="AV142" s="30" t="str">
        <f aca="true">IF(OR($A142="",$I142=""),"",IF($BC142="Y",SUMIFS(survey_frozen!$J$2:$J$251,survey_frozen!$P$2:$P$251,$A142&amp;"|"&amp;$B142),IFERROR(COUNTIFS(INDIRECT("'"&amp;$A142&amp;"'!$B$2:$B$501"),$T142,INDIRECT("'"&amp;$A142&amp;"'!$A$2:$A$501"),"&gt;="&amp;$I142,INDIRECT("'"&amp;$A142&amp;"'!$A$2:$A$501"),"&lt;"&amp;($BA142+1),INDIRECT("'"&amp;$A142&amp;"'!$E$2:$E$501"),"Yes"),0)))</f>
        <v/>
      </c>
      <c r="AW142" s="30" t="str">
        <f aca="true">IF(OR($A142="",$I142=""),"",IF($BC142="Y",SUMIFS(survey_frozen!$K$2:$K$251,survey_frozen!$P$2:$P$251,$A142&amp;"|"&amp;$B142),IFERROR(COUNTIFS(INDIRECT("'"&amp;$A142&amp;"'!$B$2:$B$501"),$T142,INDIRECT("'"&amp;$A142&amp;"'!$A$2:$A$501"),"&gt;="&amp;$I142,INDIRECT("'"&amp;$A142&amp;"'!$A$2:$A$501"),"&lt;"&amp;($BA142+1),INDIRECT("'"&amp;$A142&amp;"'!$E$2:$E$501"),"Maybe"),0)))</f>
        <v/>
      </c>
      <c r="AX142" s="30" t="str">
        <f aca="true">IF(OR($A142="",$I142=""),"",IF($BC142="Y",SUMIFS(survey_frozen!$L$2:$L$251,survey_frozen!$P$2:$P$251,$A142&amp;"|"&amp;$B142),IFERROR(COUNTIFS(INDIRECT("'"&amp;$A142&amp;"'!$B$2:$B$501"),$T142,INDIRECT("'"&amp;$A142&amp;"'!$A$2:$A$501"),"&gt;="&amp;$I142,INDIRECT("'"&amp;$A142&amp;"'!$A$2:$A$501"),"&lt;"&amp;($BA142+1),INDIRECT("'"&amp;$A142&amp;"'!$E$2:$E$501"),"No"),0)))</f>
        <v/>
      </c>
      <c r="AY142" s="30" t="str">
        <f aca="true">IF(OR($A142="",$I142=""),"",IF($BC142="Y",SUMIFS(survey_frozen!$M$2:$M$251,survey_frozen!$P$2:$P$251,$A142&amp;"|"&amp;$B142),IFERROR(COUNTIFS(INDIRECT("'"&amp;$A142&amp;"'!$B$2:$B$501"),$T142,INDIRECT("'"&amp;$A142&amp;"'!$A$2:$A$501"),"&gt;="&amp;$I142,INDIRECT("'"&amp;$A142&amp;"'!$A$2:$A$501"),"&lt;"&amp;($BA142+1),INDIRECT("'"&amp;$A142&amp;"'!$G$2:$G$501"),"&lt;&gt;"),0)))</f>
        <v/>
      </c>
      <c r="AZ142" s="30" t="str">
        <f aca="false">IF($A142="","",$A142&amp;"|"&amp;$L142)</f>
        <v/>
      </c>
      <c r="BA142" s="31" t="str">
        <f aca="false">IF($A142="","",IFERROR(IF(INDEX(drops!$R$2:$R$21,MATCH($H142,drops!$A$2:$A$21,0))="","",INDEX(drops!$R$2:$R$21,MATCH($H142,drops!$A$2:$A$21,0))),""))</f>
        <v/>
      </c>
      <c r="BB142" s="30" t="n">
        <f aca="false">IF(OR($A142="",$Q142&lt;&gt;"Y"),1000000,N($AL142))</f>
        <v>1000000</v>
      </c>
      <c r="BC142" s="30" t="str">
        <f aca="false">IF($A142="","",IF(COUNTIF(survey_frozen!$P$2:$P$251,$A142&amp;"|"&amp;$B142)&gt;0,"Y",""))</f>
        <v/>
      </c>
      <c r="BD142" s="30" t="str">
        <f aca="false">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ustomFormat="false" ht="15" hidden="false" customHeight="false" outlineLevel="0" collapsed="false">
      <c r="C143" s="11"/>
      <c r="D143" s="10"/>
      <c r="E143" s="11"/>
      <c r="H143" s="30" t="str">
        <f aca="false">IF($A143="","",IFERROR(IF(INDEX(campaigns!$B$2:$B$51,MATCH($A143,campaigns!$A$2:$A$51,0))="","",INDEX(campaigns!$B$2:$B$51,MATCH($A143,campaigns!$A$2:$A$51,0))),""))</f>
        <v/>
      </c>
      <c r="I143" s="31" t="str">
        <f aca="false">IF($A143="","",IFERROR(IF(INDEX(campaigns!$BG$2:$BG$51,MATCH($A143,campaigns!$A$2:$A$51,0))="","",INDEX(campaigns!$BG$2:$BG$51,MATCH($A143,campaigns!$A$2:$A$51,0))),""))</f>
        <v/>
      </c>
      <c r="J143" s="30" t="str">
        <f aca="false">IF($A143="","",IFERROR(IF(INDEX(campaigns!$BE$2:$BE$51,MATCH($A143,campaigns!$A$2:$A$51,0))="","",INDEX(campaigns!$BE$2:$BE$51,MATCH($A143,campaigns!$A$2:$A$51,0))),""))</f>
        <v/>
      </c>
      <c r="K143" s="30" t="str">
        <f aca="false">IF($B143="","",IFERROR(IF(INDEX(offices!$O$2:$O$61,MATCH($B143,offices!$A$2:$A$61,0))="","",INDEX(offices!$O$2:$O$61,MATCH($B143,offices!$A$2:$A$61,0))),""))</f>
        <v/>
      </c>
      <c r="L143" s="30" t="str">
        <f aca="false">IF($A143="","",IF($Q143="N","",COUNTIFS($A$2:$A143,$A143,$Q$2:$Q143,"&lt;&gt;N")))</f>
        <v/>
      </c>
      <c r="M143" s="30" t="str">
        <f aca="false">IF(OR($A143="",$L143=""),"",IF(AND(config!$B$34="names_if_public",IFERROR(IF(INDEX(offices!$AG$2:$AG$61,MATCH($B143,offices!$A$2:$A$61,0))="","",INDEX(offices!$AG$2:$AG$61,MATCH($B143,offices!$A$2:$A$61,0))),"")="Y"),$K143,CHAR(64+$L143)))</f>
        <v/>
      </c>
      <c r="N143" s="30" t="str">
        <f aca="false">IF(OR($A143="",$I143=""),"",COUNTIFS(stops!$B$2:$B$151,$B143,stops!$P$2:$P$151,"&lt;"&amp;$I143,stops!$L$2:$L$151,"&lt;&gt;not_delivered")+1)</f>
        <v/>
      </c>
      <c r="O143" s="30" t="str">
        <f aca="false">IF($A143="","",IF(N($N143)&lt;=config!$B$29,"explicit","opt-out"))</f>
        <v/>
      </c>
      <c r="P143" s="30" t="str">
        <f aca="false">IF($A143="","",IF($O143="explicit",IF($D143="yes","Y",IF($D143="no","N","pending")),IF($D143="no","N",IF(AND($C143&lt;&gt;"",$I143&lt;&gt;"",$C143&lt;=WORKDAY(N($I143),-5,calendar!$A$2:$A$80)),"Y","pending"))))</f>
        <v/>
      </c>
      <c r="Q143" s="30" t="str">
        <f aca="false">IF($A143="","",IF($P143="N","N",IF($P143&lt;&gt;"Y","pending",IF(AND((COUNTIFS(stops!$A$2:$A$151,$H143,stops!$B$2:$B$151,$B143,stops!$L$2:$L$151,"declined")+COUNTIFS(stops!$A$2:$A$151,$H143,stops!$B$2:$B$151,$B143,stops!$L$2:$L$151,"building_refused")+COUNTIFS(stops!$A$2:$A$151,$H143,stops!$B$2:$B$151,$B143,stops!$L$2:$L$151,"not_delivered"))&gt;0,N($U143)=0),"N","Y"))))</f>
        <v/>
      </c>
      <c r="R143" s="30" t="str">
        <f aca="false">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30" t="str">
        <f aca="false">IF($A143="","",IF($G143&lt;&gt;"",$G143,IFERROR(IF(INDEX(offices!$AM$2:$AM$61,MATCH($B143,offices!$A$2:$A$61,0))="","",INDEX(offices!$AM$2:$AM$61,MATCH($B143,offices!$A$2:$A$61,0))),"")))</f>
        <v/>
      </c>
      <c r="T143" s="30" t="str">
        <f aca="false">IF($A143="","",$A143&amp;"."&amp;$B143)</f>
        <v/>
      </c>
      <c r="U143" s="30" t="str">
        <f aca="false">IF($A143="","",SUMIFS(inventory!$G$2:$G$801,inventory!$C$2:$C$801,$A143,inventory!$D$2:$D$801,$B143,inventory!$E$2:$E$801,"delivered"))</f>
        <v/>
      </c>
      <c r="V143" s="37" t="str">
        <f aca="false">IF($A143="","",IFERROR(1/(1/SUMPRODUCT(MAX((inventory!$C$2:$C$801=$A143)*(inventory!$D$2:$D$801=$B143)*(inventory!$E$2:$E$801="delivered")*(inventory!$A$2:$A$801+inventory!$B$2:$B$801)))),""))</f>
        <v/>
      </c>
      <c r="W143" s="30" t="str">
        <f aca="false">IF($A143="","",IFERROR(IF(INDEX(inventory!$J$2:$J$801,MATCH($A143&amp;"|"&amp;$B143&amp;"|delivered",inventory!$R$2:$R$801,0))="","",INDEX(inventory!$J$2:$J$801,MATCH($A143&amp;"|"&amp;$B143&amp;"|delivered",inventory!$R$2:$R$801,0))),""))</f>
        <v/>
      </c>
      <c r="X143" s="30" t="str">
        <f aca="false">IF($A143="","",IFERROR(IF(INDEX(photos!$H$2:$H$701,MATCH($A143&amp;"|"&amp;$B143&amp;"|placement|Y",photos!$R$2:$R$701,0))="","",INDEX(photos!$H$2:$H$701,MATCH($A143&amp;"|"&amp;$B143&amp;"|placement|Y",photos!$R$2:$R$701,0))),""))</f>
        <v/>
      </c>
      <c r="Y143" s="31" t="str">
        <f aca="false">IF($A143="","",IFERROR(IF(INDEX(photos!$E$2:$E$701,MATCH($A143&amp;"|"&amp;$B143&amp;"|placement|Y",photos!$R$2:$R$701,0))="","",INDEX(photos!$E$2:$E$701,MATCH($A143&amp;"|"&amp;$B143&amp;"|placement|Y",photos!$R$2:$R$701,0))),""))</f>
        <v/>
      </c>
      <c r="Z143" s="30" t="str">
        <f aca="false">IF($A143="","",IF(COUNTIFS(counts!$C$2:$C$701,$A143,counts!$D$2:$D$701,$B143,counts!$E$2:$E$701,"placed")=0,"",SUMIFS(counts!$F$2:$F$701,counts!$C$2:$C$701,$A143,counts!$D$2:$D$701,$B143,counts!$E$2:$E$701,"placed")))</f>
        <v/>
      </c>
      <c r="AA143" s="30" t="str">
        <f aca="false">IF($A143="","",IF($Y143="",0,N($Z143)))</f>
        <v/>
      </c>
      <c r="AB143" s="30" t="str">
        <f aca="false">IF($A143="","",IF(OR($Y143="",$I143=""),"N",IF($Y143&lt;=WORKDAY(N($I143),1,calendar!$A$2:$A$80),"Y","N")))</f>
        <v/>
      </c>
      <c r="AC143" s="33" t="str">
        <f aca="false">IF(OR($A143="",$V143="",$Y143=""),"",ROUND(($Y143+N(IFERROR(IF(INDEX(photos!$F$2:$F$701,MATCH($A143&amp;"|"&amp;$B143&amp;"|placement|Y",photos!$R$2:$R$701,0))="","",INDEX(photos!$F$2:$F$701,MATCH($A143&amp;"|"&amp;$B143&amp;"|placement|Y",photos!$R$2:$R$701,0))),""))-$V143)*24,1))</f>
        <v/>
      </c>
      <c r="AD143" s="30" t="str">
        <f aca="false">IF($A143="","",SUMIFS(inventory!$G$2:$G$801,inventory!$C$2:$C$801,$A143,inventory!$D$2:$D$801,$B143,inventory!$E$2:$E$801,"topped_up"))</f>
        <v/>
      </c>
      <c r="AE143" s="30" t="str">
        <f aca="false">IF($A143="","",IF(COUNTIFS(counts!$C$2:$C$701,$A143,counts!$D$2:$D$701,$B143,counts!$E$2:$E$701,"remaining_day3")=0,"",SUMIFS(counts!$F$2:$F$701,counts!$C$2:$C$701,$A143,counts!$D$2:$D$701,$B143,counts!$E$2:$E$701,"remaining_day3")))</f>
        <v/>
      </c>
      <c r="AF143" s="30" t="str">
        <f aca="false">IF($A143="","",IF(COUNTIFS(counts!$C$2:$C$701,$A143,counts!$D$2:$D$701,$B143,counts!$E$2:$E$701,"remaining_day5")=0,"",SUMIFS(counts!$F$2:$F$701,counts!$C$2:$C$701,$A143,counts!$D$2:$D$701,$B143,counts!$E$2:$E$701,"remaining_day5")))</f>
        <v/>
      </c>
      <c r="AG143" s="30" t="str">
        <f aca="false">IF(OR($A143="",$AF143=""),"",MAX(0,$AA143+$AD143-$AF143))</f>
        <v/>
      </c>
      <c r="AH143" s="30" t="str">
        <f aca="false">IF(OR($A143="",$AI143=""),"",IFERROR(IF(INDEX(photos!$H$2:$H$701,MATCH($A143&amp;"|"&amp;$B143&amp;"|later|Y|"&amp;$AI143,photos!$S$2:$S$701,0))="","",INDEX(photos!$H$2:$H$701,MATCH($A143&amp;"|"&amp;$B143&amp;"|later|Y|"&amp;$AI143,photos!$S$2:$S$701,0))),""))</f>
        <v/>
      </c>
      <c r="AI143" s="31" t="str">
        <f aca="false">IF($A143="","",IFERROR(1/(1/SUMPRODUCT(MAX((photos!$B$2:$B$701=$A143)*(photos!$C$2:$C$701=$B143)*(photos!$D$2:$D$701="later")*(photos!$O$2:$O$701="Y")*photos!$E$2:$E$701))),""))</f>
        <v/>
      </c>
      <c r="AJ143" s="30" t="str">
        <f aca="false">IF(OR($A143="",$AI143="",$I143=""),"",NETWORKDAYS($I143,$AI143,calendar!$A$2:$A$80))</f>
        <v/>
      </c>
      <c r="AK143" s="30" t="str">
        <f aca="false">IF($A143="","",IF(AND($X143&lt;&gt;"",$AH143&lt;&gt;""),"Y","N"))</f>
        <v/>
      </c>
      <c r="AL143" s="30" t="str">
        <f aca="true">IF(OR($A143="",$I143=""),"",IF($BC143="Y",SUMIFS(survey_frozen!$C$2:$C$251,survey_frozen!$P$2:$P$251,$A143&amp;"|"&amp;$B143),IFERROR(COUNTIFS(INDIRECT("'"&amp;$A143&amp;"'!$B$2:$B$501"),$T143,INDIRECT("'"&amp;$A143&amp;"'!$A$2:$A$501"),"&gt;="&amp;$I143,INDIRECT("'"&amp;$A143&amp;"'!$A$2:$A$501"),"&lt;"&amp;($BA143+1)),0)))</f>
        <v/>
      </c>
      <c r="AM143" s="30" t="str">
        <f aca="true">IF(OR($A143="",$I143=""),"",IF($BC143="Y",SUMIFS(survey_frozen!$D$2:$D$251,survey_frozen!$P$2:$P$251,$A143&amp;"|"&amp;$B143),IFERROR(COUNTIFS(INDIRECT("'"&amp;$A143&amp;"'!$B$2:$B$501"),$T143,INDIRECT("'"&amp;$A143&amp;"'!$A$2:$A$501"),"&gt;="&amp;$I143,INDIRECT("'"&amp;$A143&amp;"'!$A$2:$A$501"),"&lt;"&amp;($BA143+1),INDIRECT("'"&amp;$A143&amp;"'!$C$2:$C$501"),"Yes"),0)))</f>
        <v/>
      </c>
      <c r="AN143" s="30" t="str">
        <f aca="false">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30" t="str">
        <f aca="false">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30" t="str">
        <f aca="true">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30" t="str">
        <f aca="true">IF(OR($A143="",$I143=""),"",IF($BC143="Y",SUMIFS(survey_frozen!$E$2:$E$251,survey_frozen!$P$2:$P$251,$A143&amp;"|"&amp;$B143),IFERROR(COUNTIFS(INDIRECT("'"&amp;$A143&amp;"'!$B$2:$B$501"),$T143,INDIRECT("'"&amp;$A143&amp;"'!$A$2:$A$501"),"&gt;="&amp;$I143,INDIRECT("'"&amp;$A143&amp;"'!$A$2:$A$501"),"&lt;"&amp;($BA143+1),INDIRECT("'"&amp;$A143&amp;"'!$F$2:$F$501"),"Didn't see it"),0)))</f>
        <v/>
      </c>
      <c r="AR143" s="30" t="str">
        <f aca="true">IF(OR($A143="",$I143=""),"",IF($BC143="Y",SUMIFS(survey_frozen!$F$2:$F$251,survey_frozen!$P$2:$P$251,$A143&amp;"|"&amp;$B143),IFERROR(COUNTIFS(INDIRECT("'"&amp;$A143&amp;"'!$B$2:$B$501"),$T143,INDIRECT("'"&amp;$A143&amp;"'!$A$2:$A$501"),"&gt;="&amp;$I143,INDIRECT("'"&amp;$A143&amp;"'!$A$2:$A$501"),"&lt;"&amp;($BA143+1),INDIRECT("'"&amp;$A143&amp;"'!$F$2:$F$501"),"Not for me"),0)))</f>
        <v/>
      </c>
      <c r="AS143" s="30" t="str">
        <f aca="true">IF(OR($A143="",$I143=""),"",IF($BC143="Y",SUMIFS(survey_frozen!$G$2:$G$251,survey_frozen!$P$2:$P$251,$A143&amp;"|"&amp;$B143),IFERROR(COUNTIFS(INDIRECT("'"&amp;$A143&amp;"'!$B$2:$B$501"),$T143,INDIRECT("'"&amp;$A143&amp;"'!$A$2:$A$501"),"&gt;="&amp;$I143,INDIRECT("'"&amp;$A143&amp;"'!$A$2:$A$501"),"&lt;"&amp;($BA143+1),INDIRECT("'"&amp;$A143&amp;"'!$F$2:$F$501"),"Gone by the time I looked"),0)))</f>
        <v/>
      </c>
      <c r="AT143" s="30" t="str">
        <f aca="true">IF(OR($A143="",$I143=""),"",IF($BC143="Y",SUMIFS(survey_frozen!$H$2:$H$251,survey_frozen!$P$2:$P$251,$A143&amp;"|"&amp;$B143),IFERROR(COUNTIFS(INDIRECT("'"&amp;$A143&amp;"'!$B$2:$B$501"),$T143,INDIRECT("'"&amp;$A143&amp;"'!$A$2:$A$501"),"&gt;="&amp;$I143,INDIRECT("'"&amp;$A143&amp;"'!$A$2:$A$501"),"&lt;"&amp;($BA143+1),INDIRECT("'"&amp;$A143&amp;"'!$D$2:$D$501"),"&gt;=1"),0)))</f>
        <v/>
      </c>
      <c r="AU143" s="30" t="str">
        <f aca="true">IF(OR($A143="",$I143=""),"",IF($BC143="Y",SUMIFS(survey_frozen!$I$2:$I$251,survey_frozen!$P$2:$P$251,$A143&amp;"|"&amp;$B143),IFERROR(SUMIFS(INDIRECT("'"&amp;$A143&amp;"'!$D$2:$D$501"),INDIRECT("'"&amp;$A143&amp;"'!$B$2:$B$501"),$T143,INDIRECT("'"&amp;$A143&amp;"'!$A$2:$A$501"),"&gt;="&amp;$I143,INDIRECT("'"&amp;$A143&amp;"'!$A$2:$A$501"),"&lt;"&amp;($BA143+1)),0)))</f>
        <v/>
      </c>
      <c r="AV143" s="30" t="str">
        <f aca="true">IF(OR($A143="",$I143=""),"",IF($BC143="Y",SUMIFS(survey_frozen!$J$2:$J$251,survey_frozen!$P$2:$P$251,$A143&amp;"|"&amp;$B143),IFERROR(COUNTIFS(INDIRECT("'"&amp;$A143&amp;"'!$B$2:$B$501"),$T143,INDIRECT("'"&amp;$A143&amp;"'!$A$2:$A$501"),"&gt;="&amp;$I143,INDIRECT("'"&amp;$A143&amp;"'!$A$2:$A$501"),"&lt;"&amp;($BA143+1),INDIRECT("'"&amp;$A143&amp;"'!$E$2:$E$501"),"Yes"),0)))</f>
        <v/>
      </c>
      <c r="AW143" s="30" t="str">
        <f aca="true">IF(OR($A143="",$I143=""),"",IF($BC143="Y",SUMIFS(survey_frozen!$K$2:$K$251,survey_frozen!$P$2:$P$251,$A143&amp;"|"&amp;$B143),IFERROR(COUNTIFS(INDIRECT("'"&amp;$A143&amp;"'!$B$2:$B$501"),$T143,INDIRECT("'"&amp;$A143&amp;"'!$A$2:$A$501"),"&gt;="&amp;$I143,INDIRECT("'"&amp;$A143&amp;"'!$A$2:$A$501"),"&lt;"&amp;($BA143+1),INDIRECT("'"&amp;$A143&amp;"'!$E$2:$E$501"),"Maybe"),0)))</f>
        <v/>
      </c>
      <c r="AX143" s="30" t="str">
        <f aca="true">IF(OR($A143="",$I143=""),"",IF($BC143="Y",SUMIFS(survey_frozen!$L$2:$L$251,survey_frozen!$P$2:$P$251,$A143&amp;"|"&amp;$B143),IFERROR(COUNTIFS(INDIRECT("'"&amp;$A143&amp;"'!$B$2:$B$501"),$T143,INDIRECT("'"&amp;$A143&amp;"'!$A$2:$A$501"),"&gt;="&amp;$I143,INDIRECT("'"&amp;$A143&amp;"'!$A$2:$A$501"),"&lt;"&amp;($BA143+1),INDIRECT("'"&amp;$A143&amp;"'!$E$2:$E$501"),"No"),0)))</f>
        <v/>
      </c>
      <c r="AY143" s="30" t="str">
        <f aca="true">IF(OR($A143="",$I143=""),"",IF($BC143="Y",SUMIFS(survey_frozen!$M$2:$M$251,survey_frozen!$P$2:$P$251,$A143&amp;"|"&amp;$B143),IFERROR(COUNTIFS(INDIRECT("'"&amp;$A143&amp;"'!$B$2:$B$501"),$T143,INDIRECT("'"&amp;$A143&amp;"'!$A$2:$A$501"),"&gt;="&amp;$I143,INDIRECT("'"&amp;$A143&amp;"'!$A$2:$A$501"),"&lt;"&amp;($BA143+1),INDIRECT("'"&amp;$A143&amp;"'!$G$2:$G$501"),"&lt;&gt;"),0)))</f>
        <v/>
      </c>
      <c r="AZ143" s="30" t="str">
        <f aca="false">IF($A143="","",$A143&amp;"|"&amp;$L143)</f>
        <v/>
      </c>
      <c r="BA143" s="31" t="str">
        <f aca="false">IF($A143="","",IFERROR(IF(INDEX(drops!$R$2:$R$21,MATCH($H143,drops!$A$2:$A$21,0))="","",INDEX(drops!$R$2:$R$21,MATCH($H143,drops!$A$2:$A$21,0))),""))</f>
        <v/>
      </c>
      <c r="BB143" s="30" t="n">
        <f aca="false">IF(OR($A143="",$Q143&lt;&gt;"Y"),1000000,N($AL143))</f>
        <v>1000000</v>
      </c>
      <c r="BC143" s="30" t="str">
        <f aca="false">IF($A143="","",IF(COUNTIF(survey_frozen!$P$2:$P$251,$A143&amp;"|"&amp;$B143)&gt;0,"Y",""))</f>
        <v/>
      </c>
      <c r="BD143" s="30" t="str">
        <f aca="false">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ustomFormat="false" ht="15" hidden="false" customHeight="false" outlineLevel="0" collapsed="false">
      <c r="C144" s="11"/>
      <c r="D144" s="10"/>
      <c r="E144" s="11"/>
      <c r="H144" s="30" t="str">
        <f aca="false">IF($A144="","",IFERROR(IF(INDEX(campaigns!$B$2:$B$51,MATCH($A144,campaigns!$A$2:$A$51,0))="","",INDEX(campaigns!$B$2:$B$51,MATCH($A144,campaigns!$A$2:$A$51,0))),""))</f>
        <v/>
      </c>
      <c r="I144" s="31" t="str">
        <f aca="false">IF($A144="","",IFERROR(IF(INDEX(campaigns!$BG$2:$BG$51,MATCH($A144,campaigns!$A$2:$A$51,0))="","",INDEX(campaigns!$BG$2:$BG$51,MATCH($A144,campaigns!$A$2:$A$51,0))),""))</f>
        <v/>
      </c>
      <c r="J144" s="30" t="str">
        <f aca="false">IF($A144="","",IFERROR(IF(INDEX(campaigns!$BE$2:$BE$51,MATCH($A144,campaigns!$A$2:$A$51,0))="","",INDEX(campaigns!$BE$2:$BE$51,MATCH($A144,campaigns!$A$2:$A$51,0))),""))</f>
        <v/>
      </c>
      <c r="K144" s="30" t="str">
        <f aca="false">IF($B144="","",IFERROR(IF(INDEX(offices!$O$2:$O$61,MATCH($B144,offices!$A$2:$A$61,0))="","",INDEX(offices!$O$2:$O$61,MATCH($B144,offices!$A$2:$A$61,0))),""))</f>
        <v/>
      </c>
      <c r="L144" s="30" t="str">
        <f aca="false">IF($A144="","",IF($Q144="N","",COUNTIFS($A$2:$A144,$A144,$Q$2:$Q144,"&lt;&gt;N")))</f>
        <v/>
      </c>
      <c r="M144" s="30" t="str">
        <f aca="false">IF(OR($A144="",$L144=""),"",IF(AND(config!$B$34="names_if_public",IFERROR(IF(INDEX(offices!$AG$2:$AG$61,MATCH($B144,offices!$A$2:$A$61,0))="","",INDEX(offices!$AG$2:$AG$61,MATCH($B144,offices!$A$2:$A$61,0))),"")="Y"),$K144,CHAR(64+$L144)))</f>
        <v/>
      </c>
      <c r="N144" s="30" t="str">
        <f aca="false">IF(OR($A144="",$I144=""),"",COUNTIFS(stops!$B$2:$B$151,$B144,stops!$P$2:$P$151,"&lt;"&amp;$I144,stops!$L$2:$L$151,"&lt;&gt;not_delivered")+1)</f>
        <v/>
      </c>
      <c r="O144" s="30" t="str">
        <f aca="false">IF($A144="","",IF(N($N144)&lt;=config!$B$29,"explicit","opt-out"))</f>
        <v/>
      </c>
      <c r="P144" s="30" t="str">
        <f aca="false">IF($A144="","",IF($O144="explicit",IF($D144="yes","Y",IF($D144="no","N","pending")),IF($D144="no","N",IF(AND($C144&lt;&gt;"",$I144&lt;&gt;"",$C144&lt;=WORKDAY(N($I144),-5,calendar!$A$2:$A$80)),"Y","pending"))))</f>
        <v/>
      </c>
      <c r="Q144" s="30" t="str">
        <f aca="false">IF($A144="","",IF($P144="N","N",IF($P144&lt;&gt;"Y","pending",IF(AND((COUNTIFS(stops!$A$2:$A$151,$H144,stops!$B$2:$B$151,$B144,stops!$L$2:$L$151,"declined")+COUNTIFS(stops!$A$2:$A$151,$H144,stops!$B$2:$B$151,$B144,stops!$L$2:$L$151,"building_refused")+COUNTIFS(stops!$A$2:$A$151,$H144,stops!$B$2:$B$151,$B144,stops!$L$2:$L$151,"not_delivered"))&gt;0,N($U144)=0),"N","Y"))))</f>
        <v/>
      </c>
      <c r="R144" s="30" t="str">
        <f aca="false">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30" t="str">
        <f aca="false">IF($A144="","",IF($G144&lt;&gt;"",$G144,IFERROR(IF(INDEX(offices!$AM$2:$AM$61,MATCH($B144,offices!$A$2:$A$61,0))="","",INDEX(offices!$AM$2:$AM$61,MATCH($B144,offices!$A$2:$A$61,0))),"")))</f>
        <v/>
      </c>
      <c r="T144" s="30" t="str">
        <f aca="false">IF($A144="","",$A144&amp;"."&amp;$B144)</f>
        <v/>
      </c>
      <c r="U144" s="30" t="str">
        <f aca="false">IF($A144="","",SUMIFS(inventory!$G$2:$G$801,inventory!$C$2:$C$801,$A144,inventory!$D$2:$D$801,$B144,inventory!$E$2:$E$801,"delivered"))</f>
        <v/>
      </c>
      <c r="V144" s="37" t="str">
        <f aca="false">IF($A144="","",IFERROR(1/(1/SUMPRODUCT(MAX((inventory!$C$2:$C$801=$A144)*(inventory!$D$2:$D$801=$B144)*(inventory!$E$2:$E$801="delivered")*(inventory!$A$2:$A$801+inventory!$B$2:$B$801)))),""))</f>
        <v/>
      </c>
      <c r="W144" s="30" t="str">
        <f aca="false">IF($A144="","",IFERROR(IF(INDEX(inventory!$J$2:$J$801,MATCH($A144&amp;"|"&amp;$B144&amp;"|delivered",inventory!$R$2:$R$801,0))="","",INDEX(inventory!$J$2:$J$801,MATCH($A144&amp;"|"&amp;$B144&amp;"|delivered",inventory!$R$2:$R$801,0))),""))</f>
        <v/>
      </c>
      <c r="X144" s="30" t="str">
        <f aca="false">IF($A144="","",IFERROR(IF(INDEX(photos!$H$2:$H$701,MATCH($A144&amp;"|"&amp;$B144&amp;"|placement|Y",photos!$R$2:$R$701,0))="","",INDEX(photos!$H$2:$H$701,MATCH($A144&amp;"|"&amp;$B144&amp;"|placement|Y",photos!$R$2:$R$701,0))),""))</f>
        <v/>
      </c>
      <c r="Y144" s="31" t="str">
        <f aca="false">IF($A144="","",IFERROR(IF(INDEX(photos!$E$2:$E$701,MATCH($A144&amp;"|"&amp;$B144&amp;"|placement|Y",photos!$R$2:$R$701,0))="","",INDEX(photos!$E$2:$E$701,MATCH($A144&amp;"|"&amp;$B144&amp;"|placement|Y",photos!$R$2:$R$701,0))),""))</f>
        <v/>
      </c>
      <c r="Z144" s="30" t="str">
        <f aca="false">IF($A144="","",IF(COUNTIFS(counts!$C$2:$C$701,$A144,counts!$D$2:$D$701,$B144,counts!$E$2:$E$701,"placed")=0,"",SUMIFS(counts!$F$2:$F$701,counts!$C$2:$C$701,$A144,counts!$D$2:$D$701,$B144,counts!$E$2:$E$701,"placed")))</f>
        <v/>
      </c>
      <c r="AA144" s="30" t="str">
        <f aca="false">IF($A144="","",IF($Y144="",0,N($Z144)))</f>
        <v/>
      </c>
      <c r="AB144" s="30" t="str">
        <f aca="false">IF($A144="","",IF(OR($Y144="",$I144=""),"N",IF($Y144&lt;=WORKDAY(N($I144),1,calendar!$A$2:$A$80),"Y","N")))</f>
        <v/>
      </c>
      <c r="AC144" s="33" t="str">
        <f aca="false">IF(OR($A144="",$V144="",$Y144=""),"",ROUND(($Y144+N(IFERROR(IF(INDEX(photos!$F$2:$F$701,MATCH($A144&amp;"|"&amp;$B144&amp;"|placement|Y",photos!$R$2:$R$701,0))="","",INDEX(photos!$F$2:$F$701,MATCH($A144&amp;"|"&amp;$B144&amp;"|placement|Y",photos!$R$2:$R$701,0))),""))-$V144)*24,1))</f>
        <v/>
      </c>
      <c r="AD144" s="30" t="str">
        <f aca="false">IF($A144="","",SUMIFS(inventory!$G$2:$G$801,inventory!$C$2:$C$801,$A144,inventory!$D$2:$D$801,$B144,inventory!$E$2:$E$801,"topped_up"))</f>
        <v/>
      </c>
      <c r="AE144" s="30" t="str">
        <f aca="false">IF($A144="","",IF(COUNTIFS(counts!$C$2:$C$701,$A144,counts!$D$2:$D$701,$B144,counts!$E$2:$E$701,"remaining_day3")=0,"",SUMIFS(counts!$F$2:$F$701,counts!$C$2:$C$701,$A144,counts!$D$2:$D$701,$B144,counts!$E$2:$E$701,"remaining_day3")))</f>
        <v/>
      </c>
      <c r="AF144" s="30" t="str">
        <f aca="false">IF($A144="","",IF(COUNTIFS(counts!$C$2:$C$701,$A144,counts!$D$2:$D$701,$B144,counts!$E$2:$E$701,"remaining_day5")=0,"",SUMIFS(counts!$F$2:$F$701,counts!$C$2:$C$701,$A144,counts!$D$2:$D$701,$B144,counts!$E$2:$E$701,"remaining_day5")))</f>
        <v/>
      </c>
      <c r="AG144" s="30" t="str">
        <f aca="false">IF(OR($A144="",$AF144=""),"",MAX(0,$AA144+$AD144-$AF144))</f>
        <v/>
      </c>
      <c r="AH144" s="30" t="str">
        <f aca="false">IF(OR($A144="",$AI144=""),"",IFERROR(IF(INDEX(photos!$H$2:$H$701,MATCH($A144&amp;"|"&amp;$B144&amp;"|later|Y|"&amp;$AI144,photos!$S$2:$S$701,0))="","",INDEX(photos!$H$2:$H$701,MATCH($A144&amp;"|"&amp;$B144&amp;"|later|Y|"&amp;$AI144,photos!$S$2:$S$701,0))),""))</f>
        <v/>
      </c>
      <c r="AI144" s="31" t="str">
        <f aca="false">IF($A144="","",IFERROR(1/(1/SUMPRODUCT(MAX((photos!$B$2:$B$701=$A144)*(photos!$C$2:$C$701=$B144)*(photos!$D$2:$D$701="later")*(photos!$O$2:$O$701="Y")*photos!$E$2:$E$701))),""))</f>
        <v/>
      </c>
      <c r="AJ144" s="30" t="str">
        <f aca="false">IF(OR($A144="",$AI144="",$I144=""),"",NETWORKDAYS($I144,$AI144,calendar!$A$2:$A$80))</f>
        <v/>
      </c>
      <c r="AK144" s="30" t="str">
        <f aca="false">IF($A144="","",IF(AND($X144&lt;&gt;"",$AH144&lt;&gt;""),"Y","N"))</f>
        <v/>
      </c>
      <c r="AL144" s="30" t="str">
        <f aca="true">IF(OR($A144="",$I144=""),"",IF($BC144="Y",SUMIFS(survey_frozen!$C$2:$C$251,survey_frozen!$P$2:$P$251,$A144&amp;"|"&amp;$B144),IFERROR(COUNTIFS(INDIRECT("'"&amp;$A144&amp;"'!$B$2:$B$501"),$T144,INDIRECT("'"&amp;$A144&amp;"'!$A$2:$A$501"),"&gt;="&amp;$I144,INDIRECT("'"&amp;$A144&amp;"'!$A$2:$A$501"),"&lt;"&amp;($BA144+1)),0)))</f>
        <v/>
      </c>
      <c r="AM144" s="30" t="str">
        <f aca="true">IF(OR($A144="",$I144=""),"",IF($BC144="Y",SUMIFS(survey_frozen!$D$2:$D$251,survey_frozen!$P$2:$P$251,$A144&amp;"|"&amp;$B144),IFERROR(COUNTIFS(INDIRECT("'"&amp;$A144&amp;"'!$B$2:$B$501"),$T144,INDIRECT("'"&amp;$A144&amp;"'!$A$2:$A$501"),"&gt;="&amp;$I144,INDIRECT("'"&amp;$A144&amp;"'!$A$2:$A$501"),"&lt;"&amp;($BA144+1),INDIRECT("'"&amp;$A144&amp;"'!$C$2:$C$501"),"Yes"),0)))</f>
        <v/>
      </c>
      <c r="AN144" s="30" t="str">
        <f aca="false">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30" t="str">
        <f aca="false">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30" t="str">
        <f aca="true">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30" t="str">
        <f aca="true">IF(OR($A144="",$I144=""),"",IF($BC144="Y",SUMIFS(survey_frozen!$E$2:$E$251,survey_frozen!$P$2:$P$251,$A144&amp;"|"&amp;$B144),IFERROR(COUNTIFS(INDIRECT("'"&amp;$A144&amp;"'!$B$2:$B$501"),$T144,INDIRECT("'"&amp;$A144&amp;"'!$A$2:$A$501"),"&gt;="&amp;$I144,INDIRECT("'"&amp;$A144&amp;"'!$A$2:$A$501"),"&lt;"&amp;($BA144+1),INDIRECT("'"&amp;$A144&amp;"'!$F$2:$F$501"),"Didn't see it"),0)))</f>
        <v/>
      </c>
      <c r="AR144" s="30" t="str">
        <f aca="true">IF(OR($A144="",$I144=""),"",IF($BC144="Y",SUMIFS(survey_frozen!$F$2:$F$251,survey_frozen!$P$2:$P$251,$A144&amp;"|"&amp;$B144),IFERROR(COUNTIFS(INDIRECT("'"&amp;$A144&amp;"'!$B$2:$B$501"),$T144,INDIRECT("'"&amp;$A144&amp;"'!$A$2:$A$501"),"&gt;="&amp;$I144,INDIRECT("'"&amp;$A144&amp;"'!$A$2:$A$501"),"&lt;"&amp;($BA144+1),INDIRECT("'"&amp;$A144&amp;"'!$F$2:$F$501"),"Not for me"),0)))</f>
        <v/>
      </c>
      <c r="AS144" s="30" t="str">
        <f aca="true">IF(OR($A144="",$I144=""),"",IF($BC144="Y",SUMIFS(survey_frozen!$G$2:$G$251,survey_frozen!$P$2:$P$251,$A144&amp;"|"&amp;$B144),IFERROR(COUNTIFS(INDIRECT("'"&amp;$A144&amp;"'!$B$2:$B$501"),$T144,INDIRECT("'"&amp;$A144&amp;"'!$A$2:$A$501"),"&gt;="&amp;$I144,INDIRECT("'"&amp;$A144&amp;"'!$A$2:$A$501"),"&lt;"&amp;($BA144+1),INDIRECT("'"&amp;$A144&amp;"'!$F$2:$F$501"),"Gone by the time I looked"),0)))</f>
        <v/>
      </c>
      <c r="AT144" s="30" t="str">
        <f aca="true">IF(OR($A144="",$I144=""),"",IF($BC144="Y",SUMIFS(survey_frozen!$H$2:$H$251,survey_frozen!$P$2:$P$251,$A144&amp;"|"&amp;$B144),IFERROR(COUNTIFS(INDIRECT("'"&amp;$A144&amp;"'!$B$2:$B$501"),$T144,INDIRECT("'"&amp;$A144&amp;"'!$A$2:$A$501"),"&gt;="&amp;$I144,INDIRECT("'"&amp;$A144&amp;"'!$A$2:$A$501"),"&lt;"&amp;($BA144+1),INDIRECT("'"&amp;$A144&amp;"'!$D$2:$D$501"),"&gt;=1"),0)))</f>
        <v/>
      </c>
      <c r="AU144" s="30" t="str">
        <f aca="true">IF(OR($A144="",$I144=""),"",IF($BC144="Y",SUMIFS(survey_frozen!$I$2:$I$251,survey_frozen!$P$2:$P$251,$A144&amp;"|"&amp;$B144),IFERROR(SUMIFS(INDIRECT("'"&amp;$A144&amp;"'!$D$2:$D$501"),INDIRECT("'"&amp;$A144&amp;"'!$B$2:$B$501"),$T144,INDIRECT("'"&amp;$A144&amp;"'!$A$2:$A$501"),"&gt;="&amp;$I144,INDIRECT("'"&amp;$A144&amp;"'!$A$2:$A$501"),"&lt;"&amp;($BA144+1)),0)))</f>
        <v/>
      </c>
      <c r="AV144" s="30" t="str">
        <f aca="true">IF(OR($A144="",$I144=""),"",IF($BC144="Y",SUMIFS(survey_frozen!$J$2:$J$251,survey_frozen!$P$2:$P$251,$A144&amp;"|"&amp;$B144),IFERROR(COUNTIFS(INDIRECT("'"&amp;$A144&amp;"'!$B$2:$B$501"),$T144,INDIRECT("'"&amp;$A144&amp;"'!$A$2:$A$501"),"&gt;="&amp;$I144,INDIRECT("'"&amp;$A144&amp;"'!$A$2:$A$501"),"&lt;"&amp;($BA144+1),INDIRECT("'"&amp;$A144&amp;"'!$E$2:$E$501"),"Yes"),0)))</f>
        <v/>
      </c>
      <c r="AW144" s="30" t="str">
        <f aca="true">IF(OR($A144="",$I144=""),"",IF($BC144="Y",SUMIFS(survey_frozen!$K$2:$K$251,survey_frozen!$P$2:$P$251,$A144&amp;"|"&amp;$B144),IFERROR(COUNTIFS(INDIRECT("'"&amp;$A144&amp;"'!$B$2:$B$501"),$T144,INDIRECT("'"&amp;$A144&amp;"'!$A$2:$A$501"),"&gt;="&amp;$I144,INDIRECT("'"&amp;$A144&amp;"'!$A$2:$A$501"),"&lt;"&amp;($BA144+1),INDIRECT("'"&amp;$A144&amp;"'!$E$2:$E$501"),"Maybe"),0)))</f>
        <v/>
      </c>
      <c r="AX144" s="30" t="str">
        <f aca="true">IF(OR($A144="",$I144=""),"",IF($BC144="Y",SUMIFS(survey_frozen!$L$2:$L$251,survey_frozen!$P$2:$P$251,$A144&amp;"|"&amp;$B144),IFERROR(COUNTIFS(INDIRECT("'"&amp;$A144&amp;"'!$B$2:$B$501"),$T144,INDIRECT("'"&amp;$A144&amp;"'!$A$2:$A$501"),"&gt;="&amp;$I144,INDIRECT("'"&amp;$A144&amp;"'!$A$2:$A$501"),"&lt;"&amp;($BA144+1),INDIRECT("'"&amp;$A144&amp;"'!$E$2:$E$501"),"No"),0)))</f>
        <v/>
      </c>
      <c r="AY144" s="30" t="str">
        <f aca="true">IF(OR($A144="",$I144=""),"",IF($BC144="Y",SUMIFS(survey_frozen!$M$2:$M$251,survey_frozen!$P$2:$P$251,$A144&amp;"|"&amp;$B144),IFERROR(COUNTIFS(INDIRECT("'"&amp;$A144&amp;"'!$B$2:$B$501"),$T144,INDIRECT("'"&amp;$A144&amp;"'!$A$2:$A$501"),"&gt;="&amp;$I144,INDIRECT("'"&amp;$A144&amp;"'!$A$2:$A$501"),"&lt;"&amp;($BA144+1),INDIRECT("'"&amp;$A144&amp;"'!$G$2:$G$501"),"&lt;&gt;"),0)))</f>
        <v/>
      </c>
      <c r="AZ144" s="30" t="str">
        <f aca="false">IF($A144="","",$A144&amp;"|"&amp;$L144)</f>
        <v/>
      </c>
      <c r="BA144" s="31" t="str">
        <f aca="false">IF($A144="","",IFERROR(IF(INDEX(drops!$R$2:$R$21,MATCH($H144,drops!$A$2:$A$21,0))="","",INDEX(drops!$R$2:$R$21,MATCH($H144,drops!$A$2:$A$21,0))),""))</f>
        <v/>
      </c>
      <c r="BB144" s="30" t="n">
        <f aca="false">IF(OR($A144="",$Q144&lt;&gt;"Y"),1000000,N($AL144))</f>
        <v>1000000</v>
      </c>
      <c r="BC144" s="30" t="str">
        <f aca="false">IF($A144="","",IF(COUNTIF(survey_frozen!$P$2:$P$251,$A144&amp;"|"&amp;$B144)&gt;0,"Y",""))</f>
        <v/>
      </c>
      <c r="BD144" s="30" t="str">
        <f aca="false">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ustomFormat="false" ht="15" hidden="false" customHeight="false" outlineLevel="0" collapsed="false">
      <c r="C145" s="11"/>
      <c r="D145" s="10"/>
      <c r="E145" s="11"/>
      <c r="H145" s="30" t="str">
        <f aca="false">IF($A145="","",IFERROR(IF(INDEX(campaigns!$B$2:$B$51,MATCH($A145,campaigns!$A$2:$A$51,0))="","",INDEX(campaigns!$B$2:$B$51,MATCH($A145,campaigns!$A$2:$A$51,0))),""))</f>
        <v/>
      </c>
      <c r="I145" s="31" t="str">
        <f aca="false">IF($A145="","",IFERROR(IF(INDEX(campaigns!$BG$2:$BG$51,MATCH($A145,campaigns!$A$2:$A$51,0))="","",INDEX(campaigns!$BG$2:$BG$51,MATCH($A145,campaigns!$A$2:$A$51,0))),""))</f>
        <v/>
      </c>
      <c r="J145" s="30" t="str">
        <f aca="false">IF($A145="","",IFERROR(IF(INDEX(campaigns!$BE$2:$BE$51,MATCH($A145,campaigns!$A$2:$A$51,0))="","",INDEX(campaigns!$BE$2:$BE$51,MATCH($A145,campaigns!$A$2:$A$51,0))),""))</f>
        <v/>
      </c>
      <c r="K145" s="30" t="str">
        <f aca="false">IF($B145="","",IFERROR(IF(INDEX(offices!$O$2:$O$61,MATCH($B145,offices!$A$2:$A$61,0))="","",INDEX(offices!$O$2:$O$61,MATCH($B145,offices!$A$2:$A$61,0))),""))</f>
        <v/>
      </c>
      <c r="L145" s="30" t="str">
        <f aca="false">IF($A145="","",IF($Q145="N","",COUNTIFS($A$2:$A145,$A145,$Q$2:$Q145,"&lt;&gt;N")))</f>
        <v/>
      </c>
      <c r="M145" s="30" t="str">
        <f aca="false">IF(OR($A145="",$L145=""),"",IF(AND(config!$B$34="names_if_public",IFERROR(IF(INDEX(offices!$AG$2:$AG$61,MATCH($B145,offices!$A$2:$A$61,0))="","",INDEX(offices!$AG$2:$AG$61,MATCH($B145,offices!$A$2:$A$61,0))),"")="Y"),$K145,CHAR(64+$L145)))</f>
        <v/>
      </c>
      <c r="N145" s="30" t="str">
        <f aca="false">IF(OR($A145="",$I145=""),"",COUNTIFS(stops!$B$2:$B$151,$B145,stops!$P$2:$P$151,"&lt;"&amp;$I145,stops!$L$2:$L$151,"&lt;&gt;not_delivered")+1)</f>
        <v/>
      </c>
      <c r="O145" s="30" t="str">
        <f aca="false">IF($A145="","",IF(N($N145)&lt;=config!$B$29,"explicit","opt-out"))</f>
        <v/>
      </c>
      <c r="P145" s="30" t="str">
        <f aca="false">IF($A145="","",IF($O145="explicit",IF($D145="yes","Y",IF($D145="no","N","pending")),IF($D145="no","N",IF(AND($C145&lt;&gt;"",$I145&lt;&gt;"",$C145&lt;=WORKDAY(N($I145),-5,calendar!$A$2:$A$80)),"Y","pending"))))</f>
        <v/>
      </c>
      <c r="Q145" s="30" t="str">
        <f aca="false">IF($A145="","",IF($P145="N","N",IF($P145&lt;&gt;"Y","pending",IF(AND((COUNTIFS(stops!$A$2:$A$151,$H145,stops!$B$2:$B$151,$B145,stops!$L$2:$L$151,"declined")+COUNTIFS(stops!$A$2:$A$151,$H145,stops!$B$2:$B$151,$B145,stops!$L$2:$L$151,"building_refused")+COUNTIFS(stops!$A$2:$A$151,$H145,stops!$B$2:$B$151,$B145,stops!$L$2:$L$151,"not_delivered"))&gt;0,N($U145)=0),"N","Y"))))</f>
        <v/>
      </c>
      <c r="R145" s="30" t="str">
        <f aca="false">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30" t="str">
        <f aca="false">IF($A145="","",IF($G145&lt;&gt;"",$G145,IFERROR(IF(INDEX(offices!$AM$2:$AM$61,MATCH($B145,offices!$A$2:$A$61,0))="","",INDEX(offices!$AM$2:$AM$61,MATCH($B145,offices!$A$2:$A$61,0))),"")))</f>
        <v/>
      </c>
      <c r="T145" s="30" t="str">
        <f aca="false">IF($A145="","",$A145&amp;"."&amp;$B145)</f>
        <v/>
      </c>
      <c r="U145" s="30" t="str">
        <f aca="false">IF($A145="","",SUMIFS(inventory!$G$2:$G$801,inventory!$C$2:$C$801,$A145,inventory!$D$2:$D$801,$B145,inventory!$E$2:$E$801,"delivered"))</f>
        <v/>
      </c>
      <c r="V145" s="37" t="str">
        <f aca="false">IF($A145="","",IFERROR(1/(1/SUMPRODUCT(MAX((inventory!$C$2:$C$801=$A145)*(inventory!$D$2:$D$801=$B145)*(inventory!$E$2:$E$801="delivered")*(inventory!$A$2:$A$801+inventory!$B$2:$B$801)))),""))</f>
        <v/>
      </c>
      <c r="W145" s="30" t="str">
        <f aca="false">IF($A145="","",IFERROR(IF(INDEX(inventory!$J$2:$J$801,MATCH($A145&amp;"|"&amp;$B145&amp;"|delivered",inventory!$R$2:$R$801,0))="","",INDEX(inventory!$J$2:$J$801,MATCH($A145&amp;"|"&amp;$B145&amp;"|delivered",inventory!$R$2:$R$801,0))),""))</f>
        <v/>
      </c>
      <c r="X145" s="30" t="str">
        <f aca="false">IF($A145="","",IFERROR(IF(INDEX(photos!$H$2:$H$701,MATCH($A145&amp;"|"&amp;$B145&amp;"|placement|Y",photos!$R$2:$R$701,0))="","",INDEX(photos!$H$2:$H$701,MATCH($A145&amp;"|"&amp;$B145&amp;"|placement|Y",photos!$R$2:$R$701,0))),""))</f>
        <v/>
      </c>
      <c r="Y145" s="31" t="str">
        <f aca="false">IF($A145="","",IFERROR(IF(INDEX(photos!$E$2:$E$701,MATCH($A145&amp;"|"&amp;$B145&amp;"|placement|Y",photos!$R$2:$R$701,0))="","",INDEX(photos!$E$2:$E$701,MATCH($A145&amp;"|"&amp;$B145&amp;"|placement|Y",photos!$R$2:$R$701,0))),""))</f>
        <v/>
      </c>
      <c r="Z145" s="30" t="str">
        <f aca="false">IF($A145="","",IF(COUNTIFS(counts!$C$2:$C$701,$A145,counts!$D$2:$D$701,$B145,counts!$E$2:$E$701,"placed")=0,"",SUMIFS(counts!$F$2:$F$701,counts!$C$2:$C$701,$A145,counts!$D$2:$D$701,$B145,counts!$E$2:$E$701,"placed")))</f>
        <v/>
      </c>
      <c r="AA145" s="30" t="str">
        <f aca="false">IF($A145="","",IF($Y145="",0,N($Z145)))</f>
        <v/>
      </c>
      <c r="AB145" s="30" t="str">
        <f aca="false">IF($A145="","",IF(OR($Y145="",$I145=""),"N",IF($Y145&lt;=WORKDAY(N($I145),1,calendar!$A$2:$A$80),"Y","N")))</f>
        <v/>
      </c>
      <c r="AC145" s="33" t="str">
        <f aca="false">IF(OR($A145="",$V145="",$Y145=""),"",ROUND(($Y145+N(IFERROR(IF(INDEX(photos!$F$2:$F$701,MATCH($A145&amp;"|"&amp;$B145&amp;"|placement|Y",photos!$R$2:$R$701,0))="","",INDEX(photos!$F$2:$F$701,MATCH($A145&amp;"|"&amp;$B145&amp;"|placement|Y",photos!$R$2:$R$701,0))),""))-$V145)*24,1))</f>
        <v/>
      </c>
      <c r="AD145" s="30" t="str">
        <f aca="false">IF($A145="","",SUMIFS(inventory!$G$2:$G$801,inventory!$C$2:$C$801,$A145,inventory!$D$2:$D$801,$B145,inventory!$E$2:$E$801,"topped_up"))</f>
        <v/>
      </c>
      <c r="AE145" s="30" t="str">
        <f aca="false">IF($A145="","",IF(COUNTIFS(counts!$C$2:$C$701,$A145,counts!$D$2:$D$701,$B145,counts!$E$2:$E$701,"remaining_day3")=0,"",SUMIFS(counts!$F$2:$F$701,counts!$C$2:$C$701,$A145,counts!$D$2:$D$701,$B145,counts!$E$2:$E$701,"remaining_day3")))</f>
        <v/>
      </c>
      <c r="AF145" s="30" t="str">
        <f aca="false">IF($A145="","",IF(COUNTIFS(counts!$C$2:$C$701,$A145,counts!$D$2:$D$701,$B145,counts!$E$2:$E$701,"remaining_day5")=0,"",SUMIFS(counts!$F$2:$F$701,counts!$C$2:$C$701,$A145,counts!$D$2:$D$701,$B145,counts!$E$2:$E$701,"remaining_day5")))</f>
        <v/>
      </c>
      <c r="AG145" s="30" t="str">
        <f aca="false">IF(OR($A145="",$AF145=""),"",MAX(0,$AA145+$AD145-$AF145))</f>
        <v/>
      </c>
      <c r="AH145" s="30" t="str">
        <f aca="false">IF(OR($A145="",$AI145=""),"",IFERROR(IF(INDEX(photos!$H$2:$H$701,MATCH($A145&amp;"|"&amp;$B145&amp;"|later|Y|"&amp;$AI145,photos!$S$2:$S$701,0))="","",INDEX(photos!$H$2:$H$701,MATCH($A145&amp;"|"&amp;$B145&amp;"|later|Y|"&amp;$AI145,photos!$S$2:$S$701,0))),""))</f>
        <v/>
      </c>
      <c r="AI145" s="31" t="str">
        <f aca="false">IF($A145="","",IFERROR(1/(1/SUMPRODUCT(MAX((photos!$B$2:$B$701=$A145)*(photos!$C$2:$C$701=$B145)*(photos!$D$2:$D$701="later")*(photos!$O$2:$O$701="Y")*photos!$E$2:$E$701))),""))</f>
        <v/>
      </c>
      <c r="AJ145" s="30" t="str">
        <f aca="false">IF(OR($A145="",$AI145="",$I145=""),"",NETWORKDAYS($I145,$AI145,calendar!$A$2:$A$80))</f>
        <v/>
      </c>
      <c r="AK145" s="30" t="str">
        <f aca="false">IF($A145="","",IF(AND($X145&lt;&gt;"",$AH145&lt;&gt;""),"Y","N"))</f>
        <v/>
      </c>
      <c r="AL145" s="30" t="str">
        <f aca="true">IF(OR($A145="",$I145=""),"",IF($BC145="Y",SUMIFS(survey_frozen!$C$2:$C$251,survey_frozen!$P$2:$P$251,$A145&amp;"|"&amp;$B145),IFERROR(COUNTIFS(INDIRECT("'"&amp;$A145&amp;"'!$B$2:$B$501"),$T145,INDIRECT("'"&amp;$A145&amp;"'!$A$2:$A$501"),"&gt;="&amp;$I145,INDIRECT("'"&amp;$A145&amp;"'!$A$2:$A$501"),"&lt;"&amp;($BA145+1)),0)))</f>
        <v/>
      </c>
      <c r="AM145" s="30" t="str">
        <f aca="true">IF(OR($A145="",$I145=""),"",IF($BC145="Y",SUMIFS(survey_frozen!$D$2:$D$251,survey_frozen!$P$2:$P$251,$A145&amp;"|"&amp;$B145),IFERROR(COUNTIFS(INDIRECT("'"&amp;$A145&amp;"'!$B$2:$B$501"),$T145,INDIRECT("'"&amp;$A145&amp;"'!$A$2:$A$501"),"&gt;="&amp;$I145,INDIRECT("'"&amp;$A145&amp;"'!$A$2:$A$501"),"&lt;"&amp;($BA145+1),INDIRECT("'"&amp;$A145&amp;"'!$C$2:$C$501"),"Yes"),0)))</f>
        <v/>
      </c>
      <c r="AN145" s="30" t="str">
        <f aca="false">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30" t="str">
        <f aca="false">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30" t="str">
        <f aca="true">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30" t="str">
        <f aca="true">IF(OR($A145="",$I145=""),"",IF($BC145="Y",SUMIFS(survey_frozen!$E$2:$E$251,survey_frozen!$P$2:$P$251,$A145&amp;"|"&amp;$B145),IFERROR(COUNTIFS(INDIRECT("'"&amp;$A145&amp;"'!$B$2:$B$501"),$T145,INDIRECT("'"&amp;$A145&amp;"'!$A$2:$A$501"),"&gt;="&amp;$I145,INDIRECT("'"&amp;$A145&amp;"'!$A$2:$A$501"),"&lt;"&amp;($BA145+1),INDIRECT("'"&amp;$A145&amp;"'!$F$2:$F$501"),"Didn't see it"),0)))</f>
        <v/>
      </c>
      <c r="AR145" s="30" t="str">
        <f aca="true">IF(OR($A145="",$I145=""),"",IF($BC145="Y",SUMIFS(survey_frozen!$F$2:$F$251,survey_frozen!$P$2:$P$251,$A145&amp;"|"&amp;$B145),IFERROR(COUNTIFS(INDIRECT("'"&amp;$A145&amp;"'!$B$2:$B$501"),$T145,INDIRECT("'"&amp;$A145&amp;"'!$A$2:$A$501"),"&gt;="&amp;$I145,INDIRECT("'"&amp;$A145&amp;"'!$A$2:$A$501"),"&lt;"&amp;($BA145+1),INDIRECT("'"&amp;$A145&amp;"'!$F$2:$F$501"),"Not for me"),0)))</f>
        <v/>
      </c>
      <c r="AS145" s="30" t="str">
        <f aca="true">IF(OR($A145="",$I145=""),"",IF($BC145="Y",SUMIFS(survey_frozen!$G$2:$G$251,survey_frozen!$P$2:$P$251,$A145&amp;"|"&amp;$B145),IFERROR(COUNTIFS(INDIRECT("'"&amp;$A145&amp;"'!$B$2:$B$501"),$T145,INDIRECT("'"&amp;$A145&amp;"'!$A$2:$A$501"),"&gt;="&amp;$I145,INDIRECT("'"&amp;$A145&amp;"'!$A$2:$A$501"),"&lt;"&amp;($BA145+1),INDIRECT("'"&amp;$A145&amp;"'!$F$2:$F$501"),"Gone by the time I looked"),0)))</f>
        <v/>
      </c>
      <c r="AT145" s="30" t="str">
        <f aca="true">IF(OR($A145="",$I145=""),"",IF($BC145="Y",SUMIFS(survey_frozen!$H$2:$H$251,survey_frozen!$P$2:$P$251,$A145&amp;"|"&amp;$B145),IFERROR(COUNTIFS(INDIRECT("'"&amp;$A145&amp;"'!$B$2:$B$501"),$T145,INDIRECT("'"&amp;$A145&amp;"'!$A$2:$A$501"),"&gt;="&amp;$I145,INDIRECT("'"&amp;$A145&amp;"'!$A$2:$A$501"),"&lt;"&amp;($BA145+1),INDIRECT("'"&amp;$A145&amp;"'!$D$2:$D$501"),"&gt;=1"),0)))</f>
        <v/>
      </c>
      <c r="AU145" s="30" t="str">
        <f aca="true">IF(OR($A145="",$I145=""),"",IF($BC145="Y",SUMIFS(survey_frozen!$I$2:$I$251,survey_frozen!$P$2:$P$251,$A145&amp;"|"&amp;$B145),IFERROR(SUMIFS(INDIRECT("'"&amp;$A145&amp;"'!$D$2:$D$501"),INDIRECT("'"&amp;$A145&amp;"'!$B$2:$B$501"),$T145,INDIRECT("'"&amp;$A145&amp;"'!$A$2:$A$501"),"&gt;="&amp;$I145,INDIRECT("'"&amp;$A145&amp;"'!$A$2:$A$501"),"&lt;"&amp;($BA145+1)),0)))</f>
        <v/>
      </c>
      <c r="AV145" s="30" t="str">
        <f aca="true">IF(OR($A145="",$I145=""),"",IF($BC145="Y",SUMIFS(survey_frozen!$J$2:$J$251,survey_frozen!$P$2:$P$251,$A145&amp;"|"&amp;$B145),IFERROR(COUNTIFS(INDIRECT("'"&amp;$A145&amp;"'!$B$2:$B$501"),$T145,INDIRECT("'"&amp;$A145&amp;"'!$A$2:$A$501"),"&gt;="&amp;$I145,INDIRECT("'"&amp;$A145&amp;"'!$A$2:$A$501"),"&lt;"&amp;($BA145+1),INDIRECT("'"&amp;$A145&amp;"'!$E$2:$E$501"),"Yes"),0)))</f>
        <v/>
      </c>
      <c r="AW145" s="30" t="str">
        <f aca="true">IF(OR($A145="",$I145=""),"",IF($BC145="Y",SUMIFS(survey_frozen!$K$2:$K$251,survey_frozen!$P$2:$P$251,$A145&amp;"|"&amp;$B145),IFERROR(COUNTIFS(INDIRECT("'"&amp;$A145&amp;"'!$B$2:$B$501"),$T145,INDIRECT("'"&amp;$A145&amp;"'!$A$2:$A$501"),"&gt;="&amp;$I145,INDIRECT("'"&amp;$A145&amp;"'!$A$2:$A$501"),"&lt;"&amp;($BA145+1),INDIRECT("'"&amp;$A145&amp;"'!$E$2:$E$501"),"Maybe"),0)))</f>
        <v/>
      </c>
      <c r="AX145" s="30" t="str">
        <f aca="true">IF(OR($A145="",$I145=""),"",IF($BC145="Y",SUMIFS(survey_frozen!$L$2:$L$251,survey_frozen!$P$2:$P$251,$A145&amp;"|"&amp;$B145),IFERROR(COUNTIFS(INDIRECT("'"&amp;$A145&amp;"'!$B$2:$B$501"),$T145,INDIRECT("'"&amp;$A145&amp;"'!$A$2:$A$501"),"&gt;="&amp;$I145,INDIRECT("'"&amp;$A145&amp;"'!$A$2:$A$501"),"&lt;"&amp;($BA145+1),INDIRECT("'"&amp;$A145&amp;"'!$E$2:$E$501"),"No"),0)))</f>
        <v/>
      </c>
      <c r="AY145" s="30" t="str">
        <f aca="true">IF(OR($A145="",$I145=""),"",IF($BC145="Y",SUMIFS(survey_frozen!$M$2:$M$251,survey_frozen!$P$2:$P$251,$A145&amp;"|"&amp;$B145),IFERROR(COUNTIFS(INDIRECT("'"&amp;$A145&amp;"'!$B$2:$B$501"),$T145,INDIRECT("'"&amp;$A145&amp;"'!$A$2:$A$501"),"&gt;="&amp;$I145,INDIRECT("'"&amp;$A145&amp;"'!$A$2:$A$501"),"&lt;"&amp;($BA145+1),INDIRECT("'"&amp;$A145&amp;"'!$G$2:$G$501"),"&lt;&gt;"),0)))</f>
        <v/>
      </c>
      <c r="AZ145" s="30" t="str">
        <f aca="false">IF($A145="","",$A145&amp;"|"&amp;$L145)</f>
        <v/>
      </c>
      <c r="BA145" s="31" t="str">
        <f aca="false">IF($A145="","",IFERROR(IF(INDEX(drops!$R$2:$R$21,MATCH($H145,drops!$A$2:$A$21,0))="","",INDEX(drops!$R$2:$R$21,MATCH($H145,drops!$A$2:$A$21,0))),""))</f>
        <v/>
      </c>
      <c r="BB145" s="30" t="n">
        <f aca="false">IF(OR($A145="",$Q145&lt;&gt;"Y"),1000000,N($AL145))</f>
        <v>1000000</v>
      </c>
      <c r="BC145" s="30" t="str">
        <f aca="false">IF($A145="","",IF(COUNTIF(survey_frozen!$P$2:$P$251,$A145&amp;"|"&amp;$B145)&gt;0,"Y",""))</f>
        <v/>
      </c>
      <c r="BD145" s="30" t="str">
        <f aca="false">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ustomFormat="false" ht="15" hidden="false" customHeight="false" outlineLevel="0" collapsed="false">
      <c r="C146" s="11"/>
      <c r="D146" s="10"/>
      <c r="E146" s="11"/>
      <c r="H146" s="30" t="str">
        <f aca="false">IF($A146="","",IFERROR(IF(INDEX(campaigns!$B$2:$B$51,MATCH($A146,campaigns!$A$2:$A$51,0))="","",INDEX(campaigns!$B$2:$B$51,MATCH($A146,campaigns!$A$2:$A$51,0))),""))</f>
        <v/>
      </c>
      <c r="I146" s="31" t="str">
        <f aca="false">IF($A146="","",IFERROR(IF(INDEX(campaigns!$BG$2:$BG$51,MATCH($A146,campaigns!$A$2:$A$51,0))="","",INDEX(campaigns!$BG$2:$BG$51,MATCH($A146,campaigns!$A$2:$A$51,0))),""))</f>
        <v/>
      </c>
      <c r="J146" s="30" t="str">
        <f aca="false">IF($A146="","",IFERROR(IF(INDEX(campaigns!$BE$2:$BE$51,MATCH($A146,campaigns!$A$2:$A$51,0))="","",INDEX(campaigns!$BE$2:$BE$51,MATCH($A146,campaigns!$A$2:$A$51,0))),""))</f>
        <v/>
      </c>
      <c r="K146" s="30" t="str">
        <f aca="false">IF($B146="","",IFERROR(IF(INDEX(offices!$O$2:$O$61,MATCH($B146,offices!$A$2:$A$61,0))="","",INDEX(offices!$O$2:$O$61,MATCH($B146,offices!$A$2:$A$61,0))),""))</f>
        <v/>
      </c>
      <c r="L146" s="30" t="str">
        <f aca="false">IF($A146="","",IF($Q146="N","",COUNTIFS($A$2:$A146,$A146,$Q$2:$Q146,"&lt;&gt;N")))</f>
        <v/>
      </c>
      <c r="M146" s="30" t="str">
        <f aca="false">IF(OR($A146="",$L146=""),"",IF(AND(config!$B$34="names_if_public",IFERROR(IF(INDEX(offices!$AG$2:$AG$61,MATCH($B146,offices!$A$2:$A$61,0))="","",INDEX(offices!$AG$2:$AG$61,MATCH($B146,offices!$A$2:$A$61,0))),"")="Y"),$K146,CHAR(64+$L146)))</f>
        <v/>
      </c>
      <c r="N146" s="30" t="str">
        <f aca="false">IF(OR($A146="",$I146=""),"",COUNTIFS(stops!$B$2:$B$151,$B146,stops!$P$2:$P$151,"&lt;"&amp;$I146,stops!$L$2:$L$151,"&lt;&gt;not_delivered")+1)</f>
        <v/>
      </c>
      <c r="O146" s="30" t="str">
        <f aca="false">IF($A146="","",IF(N($N146)&lt;=config!$B$29,"explicit","opt-out"))</f>
        <v/>
      </c>
      <c r="P146" s="30" t="str">
        <f aca="false">IF($A146="","",IF($O146="explicit",IF($D146="yes","Y",IF($D146="no","N","pending")),IF($D146="no","N",IF(AND($C146&lt;&gt;"",$I146&lt;&gt;"",$C146&lt;=WORKDAY(N($I146),-5,calendar!$A$2:$A$80)),"Y","pending"))))</f>
        <v/>
      </c>
      <c r="Q146" s="30" t="str">
        <f aca="false">IF($A146="","",IF($P146="N","N",IF($P146&lt;&gt;"Y","pending",IF(AND((COUNTIFS(stops!$A$2:$A$151,$H146,stops!$B$2:$B$151,$B146,stops!$L$2:$L$151,"declined")+COUNTIFS(stops!$A$2:$A$151,$H146,stops!$B$2:$B$151,$B146,stops!$L$2:$L$151,"building_refused")+COUNTIFS(stops!$A$2:$A$151,$H146,stops!$B$2:$B$151,$B146,stops!$L$2:$L$151,"not_delivered"))&gt;0,N($U146)=0),"N","Y"))))</f>
        <v/>
      </c>
      <c r="R146" s="30" t="str">
        <f aca="false">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30" t="str">
        <f aca="false">IF($A146="","",IF($G146&lt;&gt;"",$G146,IFERROR(IF(INDEX(offices!$AM$2:$AM$61,MATCH($B146,offices!$A$2:$A$61,0))="","",INDEX(offices!$AM$2:$AM$61,MATCH($B146,offices!$A$2:$A$61,0))),"")))</f>
        <v/>
      </c>
      <c r="T146" s="30" t="str">
        <f aca="false">IF($A146="","",$A146&amp;"."&amp;$B146)</f>
        <v/>
      </c>
      <c r="U146" s="30" t="str">
        <f aca="false">IF($A146="","",SUMIFS(inventory!$G$2:$G$801,inventory!$C$2:$C$801,$A146,inventory!$D$2:$D$801,$B146,inventory!$E$2:$E$801,"delivered"))</f>
        <v/>
      </c>
      <c r="V146" s="37" t="str">
        <f aca="false">IF($A146="","",IFERROR(1/(1/SUMPRODUCT(MAX((inventory!$C$2:$C$801=$A146)*(inventory!$D$2:$D$801=$B146)*(inventory!$E$2:$E$801="delivered")*(inventory!$A$2:$A$801+inventory!$B$2:$B$801)))),""))</f>
        <v/>
      </c>
      <c r="W146" s="30" t="str">
        <f aca="false">IF($A146="","",IFERROR(IF(INDEX(inventory!$J$2:$J$801,MATCH($A146&amp;"|"&amp;$B146&amp;"|delivered",inventory!$R$2:$R$801,0))="","",INDEX(inventory!$J$2:$J$801,MATCH($A146&amp;"|"&amp;$B146&amp;"|delivered",inventory!$R$2:$R$801,0))),""))</f>
        <v/>
      </c>
      <c r="X146" s="30" t="str">
        <f aca="false">IF($A146="","",IFERROR(IF(INDEX(photos!$H$2:$H$701,MATCH($A146&amp;"|"&amp;$B146&amp;"|placement|Y",photos!$R$2:$R$701,0))="","",INDEX(photos!$H$2:$H$701,MATCH($A146&amp;"|"&amp;$B146&amp;"|placement|Y",photos!$R$2:$R$701,0))),""))</f>
        <v/>
      </c>
      <c r="Y146" s="31" t="str">
        <f aca="false">IF($A146="","",IFERROR(IF(INDEX(photos!$E$2:$E$701,MATCH($A146&amp;"|"&amp;$B146&amp;"|placement|Y",photos!$R$2:$R$701,0))="","",INDEX(photos!$E$2:$E$701,MATCH($A146&amp;"|"&amp;$B146&amp;"|placement|Y",photos!$R$2:$R$701,0))),""))</f>
        <v/>
      </c>
      <c r="Z146" s="30" t="str">
        <f aca="false">IF($A146="","",IF(COUNTIFS(counts!$C$2:$C$701,$A146,counts!$D$2:$D$701,$B146,counts!$E$2:$E$701,"placed")=0,"",SUMIFS(counts!$F$2:$F$701,counts!$C$2:$C$701,$A146,counts!$D$2:$D$701,$B146,counts!$E$2:$E$701,"placed")))</f>
        <v/>
      </c>
      <c r="AA146" s="30" t="str">
        <f aca="false">IF($A146="","",IF($Y146="",0,N($Z146)))</f>
        <v/>
      </c>
      <c r="AB146" s="30" t="str">
        <f aca="false">IF($A146="","",IF(OR($Y146="",$I146=""),"N",IF($Y146&lt;=WORKDAY(N($I146),1,calendar!$A$2:$A$80),"Y","N")))</f>
        <v/>
      </c>
      <c r="AC146" s="33" t="str">
        <f aca="false">IF(OR($A146="",$V146="",$Y146=""),"",ROUND(($Y146+N(IFERROR(IF(INDEX(photos!$F$2:$F$701,MATCH($A146&amp;"|"&amp;$B146&amp;"|placement|Y",photos!$R$2:$R$701,0))="","",INDEX(photos!$F$2:$F$701,MATCH($A146&amp;"|"&amp;$B146&amp;"|placement|Y",photos!$R$2:$R$701,0))),""))-$V146)*24,1))</f>
        <v/>
      </c>
      <c r="AD146" s="30" t="str">
        <f aca="false">IF($A146="","",SUMIFS(inventory!$G$2:$G$801,inventory!$C$2:$C$801,$A146,inventory!$D$2:$D$801,$B146,inventory!$E$2:$E$801,"topped_up"))</f>
        <v/>
      </c>
      <c r="AE146" s="30" t="str">
        <f aca="false">IF($A146="","",IF(COUNTIFS(counts!$C$2:$C$701,$A146,counts!$D$2:$D$701,$B146,counts!$E$2:$E$701,"remaining_day3")=0,"",SUMIFS(counts!$F$2:$F$701,counts!$C$2:$C$701,$A146,counts!$D$2:$D$701,$B146,counts!$E$2:$E$701,"remaining_day3")))</f>
        <v/>
      </c>
      <c r="AF146" s="30" t="str">
        <f aca="false">IF($A146="","",IF(COUNTIFS(counts!$C$2:$C$701,$A146,counts!$D$2:$D$701,$B146,counts!$E$2:$E$701,"remaining_day5")=0,"",SUMIFS(counts!$F$2:$F$701,counts!$C$2:$C$701,$A146,counts!$D$2:$D$701,$B146,counts!$E$2:$E$701,"remaining_day5")))</f>
        <v/>
      </c>
      <c r="AG146" s="30" t="str">
        <f aca="false">IF(OR($A146="",$AF146=""),"",MAX(0,$AA146+$AD146-$AF146))</f>
        <v/>
      </c>
      <c r="AH146" s="30" t="str">
        <f aca="false">IF(OR($A146="",$AI146=""),"",IFERROR(IF(INDEX(photos!$H$2:$H$701,MATCH($A146&amp;"|"&amp;$B146&amp;"|later|Y|"&amp;$AI146,photos!$S$2:$S$701,0))="","",INDEX(photos!$H$2:$H$701,MATCH($A146&amp;"|"&amp;$B146&amp;"|later|Y|"&amp;$AI146,photos!$S$2:$S$701,0))),""))</f>
        <v/>
      </c>
      <c r="AI146" s="31" t="str">
        <f aca="false">IF($A146="","",IFERROR(1/(1/SUMPRODUCT(MAX((photos!$B$2:$B$701=$A146)*(photos!$C$2:$C$701=$B146)*(photos!$D$2:$D$701="later")*(photos!$O$2:$O$701="Y")*photos!$E$2:$E$701))),""))</f>
        <v/>
      </c>
      <c r="AJ146" s="30" t="str">
        <f aca="false">IF(OR($A146="",$AI146="",$I146=""),"",NETWORKDAYS($I146,$AI146,calendar!$A$2:$A$80))</f>
        <v/>
      </c>
      <c r="AK146" s="30" t="str">
        <f aca="false">IF($A146="","",IF(AND($X146&lt;&gt;"",$AH146&lt;&gt;""),"Y","N"))</f>
        <v/>
      </c>
      <c r="AL146" s="30" t="str">
        <f aca="true">IF(OR($A146="",$I146=""),"",IF($BC146="Y",SUMIFS(survey_frozen!$C$2:$C$251,survey_frozen!$P$2:$P$251,$A146&amp;"|"&amp;$B146),IFERROR(COUNTIFS(INDIRECT("'"&amp;$A146&amp;"'!$B$2:$B$501"),$T146,INDIRECT("'"&amp;$A146&amp;"'!$A$2:$A$501"),"&gt;="&amp;$I146,INDIRECT("'"&amp;$A146&amp;"'!$A$2:$A$501"),"&lt;"&amp;($BA146+1)),0)))</f>
        <v/>
      </c>
      <c r="AM146" s="30" t="str">
        <f aca="true">IF(OR($A146="",$I146=""),"",IF($BC146="Y",SUMIFS(survey_frozen!$D$2:$D$251,survey_frozen!$P$2:$P$251,$A146&amp;"|"&amp;$B146),IFERROR(COUNTIFS(INDIRECT("'"&amp;$A146&amp;"'!$B$2:$B$501"),$T146,INDIRECT("'"&amp;$A146&amp;"'!$A$2:$A$501"),"&gt;="&amp;$I146,INDIRECT("'"&amp;$A146&amp;"'!$A$2:$A$501"),"&lt;"&amp;($BA146+1),INDIRECT("'"&amp;$A146&amp;"'!$C$2:$C$501"),"Yes"),0)))</f>
        <v/>
      </c>
      <c r="AN146" s="30" t="str">
        <f aca="false">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30" t="str">
        <f aca="false">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30" t="str">
        <f aca="true">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30" t="str">
        <f aca="true">IF(OR($A146="",$I146=""),"",IF($BC146="Y",SUMIFS(survey_frozen!$E$2:$E$251,survey_frozen!$P$2:$P$251,$A146&amp;"|"&amp;$B146),IFERROR(COUNTIFS(INDIRECT("'"&amp;$A146&amp;"'!$B$2:$B$501"),$T146,INDIRECT("'"&amp;$A146&amp;"'!$A$2:$A$501"),"&gt;="&amp;$I146,INDIRECT("'"&amp;$A146&amp;"'!$A$2:$A$501"),"&lt;"&amp;($BA146+1),INDIRECT("'"&amp;$A146&amp;"'!$F$2:$F$501"),"Didn't see it"),0)))</f>
        <v/>
      </c>
      <c r="AR146" s="30" t="str">
        <f aca="true">IF(OR($A146="",$I146=""),"",IF($BC146="Y",SUMIFS(survey_frozen!$F$2:$F$251,survey_frozen!$P$2:$P$251,$A146&amp;"|"&amp;$B146),IFERROR(COUNTIFS(INDIRECT("'"&amp;$A146&amp;"'!$B$2:$B$501"),$T146,INDIRECT("'"&amp;$A146&amp;"'!$A$2:$A$501"),"&gt;="&amp;$I146,INDIRECT("'"&amp;$A146&amp;"'!$A$2:$A$501"),"&lt;"&amp;($BA146+1),INDIRECT("'"&amp;$A146&amp;"'!$F$2:$F$501"),"Not for me"),0)))</f>
        <v/>
      </c>
      <c r="AS146" s="30" t="str">
        <f aca="true">IF(OR($A146="",$I146=""),"",IF($BC146="Y",SUMIFS(survey_frozen!$G$2:$G$251,survey_frozen!$P$2:$P$251,$A146&amp;"|"&amp;$B146),IFERROR(COUNTIFS(INDIRECT("'"&amp;$A146&amp;"'!$B$2:$B$501"),$T146,INDIRECT("'"&amp;$A146&amp;"'!$A$2:$A$501"),"&gt;="&amp;$I146,INDIRECT("'"&amp;$A146&amp;"'!$A$2:$A$501"),"&lt;"&amp;($BA146+1),INDIRECT("'"&amp;$A146&amp;"'!$F$2:$F$501"),"Gone by the time I looked"),0)))</f>
        <v/>
      </c>
      <c r="AT146" s="30" t="str">
        <f aca="true">IF(OR($A146="",$I146=""),"",IF($BC146="Y",SUMIFS(survey_frozen!$H$2:$H$251,survey_frozen!$P$2:$P$251,$A146&amp;"|"&amp;$B146),IFERROR(COUNTIFS(INDIRECT("'"&amp;$A146&amp;"'!$B$2:$B$501"),$T146,INDIRECT("'"&amp;$A146&amp;"'!$A$2:$A$501"),"&gt;="&amp;$I146,INDIRECT("'"&amp;$A146&amp;"'!$A$2:$A$501"),"&lt;"&amp;($BA146+1),INDIRECT("'"&amp;$A146&amp;"'!$D$2:$D$501"),"&gt;=1"),0)))</f>
        <v/>
      </c>
      <c r="AU146" s="30" t="str">
        <f aca="true">IF(OR($A146="",$I146=""),"",IF($BC146="Y",SUMIFS(survey_frozen!$I$2:$I$251,survey_frozen!$P$2:$P$251,$A146&amp;"|"&amp;$B146),IFERROR(SUMIFS(INDIRECT("'"&amp;$A146&amp;"'!$D$2:$D$501"),INDIRECT("'"&amp;$A146&amp;"'!$B$2:$B$501"),$T146,INDIRECT("'"&amp;$A146&amp;"'!$A$2:$A$501"),"&gt;="&amp;$I146,INDIRECT("'"&amp;$A146&amp;"'!$A$2:$A$501"),"&lt;"&amp;($BA146+1)),0)))</f>
        <v/>
      </c>
      <c r="AV146" s="30" t="str">
        <f aca="true">IF(OR($A146="",$I146=""),"",IF($BC146="Y",SUMIFS(survey_frozen!$J$2:$J$251,survey_frozen!$P$2:$P$251,$A146&amp;"|"&amp;$B146),IFERROR(COUNTIFS(INDIRECT("'"&amp;$A146&amp;"'!$B$2:$B$501"),$T146,INDIRECT("'"&amp;$A146&amp;"'!$A$2:$A$501"),"&gt;="&amp;$I146,INDIRECT("'"&amp;$A146&amp;"'!$A$2:$A$501"),"&lt;"&amp;($BA146+1),INDIRECT("'"&amp;$A146&amp;"'!$E$2:$E$501"),"Yes"),0)))</f>
        <v/>
      </c>
      <c r="AW146" s="30" t="str">
        <f aca="true">IF(OR($A146="",$I146=""),"",IF($BC146="Y",SUMIFS(survey_frozen!$K$2:$K$251,survey_frozen!$P$2:$P$251,$A146&amp;"|"&amp;$B146),IFERROR(COUNTIFS(INDIRECT("'"&amp;$A146&amp;"'!$B$2:$B$501"),$T146,INDIRECT("'"&amp;$A146&amp;"'!$A$2:$A$501"),"&gt;="&amp;$I146,INDIRECT("'"&amp;$A146&amp;"'!$A$2:$A$501"),"&lt;"&amp;($BA146+1),INDIRECT("'"&amp;$A146&amp;"'!$E$2:$E$501"),"Maybe"),0)))</f>
        <v/>
      </c>
      <c r="AX146" s="30" t="str">
        <f aca="true">IF(OR($A146="",$I146=""),"",IF($BC146="Y",SUMIFS(survey_frozen!$L$2:$L$251,survey_frozen!$P$2:$P$251,$A146&amp;"|"&amp;$B146),IFERROR(COUNTIFS(INDIRECT("'"&amp;$A146&amp;"'!$B$2:$B$501"),$T146,INDIRECT("'"&amp;$A146&amp;"'!$A$2:$A$501"),"&gt;="&amp;$I146,INDIRECT("'"&amp;$A146&amp;"'!$A$2:$A$501"),"&lt;"&amp;($BA146+1),INDIRECT("'"&amp;$A146&amp;"'!$E$2:$E$501"),"No"),0)))</f>
        <v/>
      </c>
      <c r="AY146" s="30" t="str">
        <f aca="true">IF(OR($A146="",$I146=""),"",IF($BC146="Y",SUMIFS(survey_frozen!$M$2:$M$251,survey_frozen!$P$2:$P$251,$A146&amp;"|"&amp;$B146),IFERROR(COUNTIFS(INDIRECT("'"&amp;$A146&amp;"'!$B$2:$B$501"),$T146,INDIRECT("'"&amp;$A146&amp;"'!$A$2:$A$501"),"&gt;="&amp;$I146,INDIRECT("'"&amp;$A146&amp;"'!$A$2:$A$501"),"&lt;"&amp;($BA146+1),INDIRECT("'"&amp;$A146&amp;"'!$G$2:$G$501"),"&lt;&gt;"),0)))</f>
        <v/>
      </c>
      <c r="AZ146" s="30" t="str">
        <f aca="false">IF($A146="","",$A146&amp;"|"&amp;$L146)</f>
        <v/>
      </c>
      <c r="BA146" s="31" t="str">
        <f aca="false">IF($A146="","",IFERROR(IF(INDEX(drops!$R$2:$R$21,MATCH($H146,drops!$A$2:$A$21,0))="","",INDEX(drops!$R$2:$R$21,MATCH($H146,drops!$A$2:$A$21,0))),""))</f>
        <v/>
      </c>
      <c r="BB146" s="30" t="n">
        <f aca="false">IF(OR($A146="",$Q146&lt;&gt;"Y"),1000000,N($AL146))</f>
        <v>1000000</v>
      </c>
      <c r="BC146" s="30" t="str">
        <f aca="false">IF($A146="","",IF(COUNTIF(survey_frozen!$P$2:$P$251,$A146&amp;"|"&amp;$B146)&gt;0,"Y",""))</f>
        <v/>
      </c>
      <c r="BD146" s="30" t="str">
        <f aca="false">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ustomFormat="false" ht="15" hidden="false" customHeight="false" outlineLevel="0" collapsed="false">
      <c r="C147" s="11"/>
      <c r="D147" s="10"/>
      <c r="E147" s="11"/>
      <c r="H147" s="30" t="str">
        <f aca="false">IF($A147="","",IFERROR(IF(INDEX(campaigns!$B$2:$B$51,MATCH($A147,campaigns!$A$2:$A$51,0))="","",INDEX(campaigns!$B$2:$B$51,MATCH($A147,campaigns!$A$2:$A$51,0))),""))</f>
        <v/>
      </c>
      <c r="I147" s="31" t="str">
        <f aca="false">IF($A147="","",IFERROR(IF(INDEX(campaigns!$BG$2:$BG$51,MATCH($A147,campaigns!$A$2:$A$51,0))="","",INDEX(campaigns!$BG$2:$BG$51,MATCH($A147,campaigns!$A$2:$A$51,0))),""))</f>
        <v/>
      </c>
      <c r="J147" s="30" t="str">
        <f aca="false">IF($A147="","",IFERROR(IF(INDEX(campaigns!$BE$2:$BE$51,MATCH($A147,campaigns!$A$2:$A$51,0))="","",INDEX(campaigns!$BE$2:$BE$51,MATCH($A147,campaigns!$A$2:$A$51,0))),""))</f>
        <v/>
      </c>
      <c r="K147" s="30" t="str">
        <f aca="false">IF($B147="","",IFERROR(IF(INDEX(offices!$O$2:$O$61,MATCH($B147,offices!$A$2:$A$61,0))="","",INDEX(offices!$O$2:$O$61,MATCH($B147,offices!$A$2:$A$61,0))),""))</f>
        <v/>
      </c>
      <c r="L147" s="30" t="str">
        <f aca="false">IF($A147="","",IF($Q147="N","",COUNTIFS($A$2:$A147,$A147,$Q$2:$Q147,"&lt;&gt;N")))</f>
        <v/>
      </c>
      <c r="M147" s="30" t="str">
        <f aca="false">IF(OR($A147="",$L147=""),"",IF(AND(config!$B$34="names_if_public",IFERROR(IF(INDEX(offices!$AG$2:$AG$61,MATCH($B147,offices!$A$2:$A$61,0))="","",INDEX(offices!$AG$2:$AG$61,MATCH($B147,offices!$A$2:$A$61,0))),"")="Y"),$K147,CHAR(64+$L147)))</f>
        <v/>
      </c>
      <c r="N147" s="30" t="str">
        <f aca="false">IF(OR($A147="",$I147=""),"",COUNTIFS(stops!$B$2:$B$151,$B147,stops!$P$2:$P$151,"&lt;"&amp;$I147,stops!$L$2:$L$151,"&lt;&gt;not_delivered")+1)</f>
        <v/>
      </c>
      <c r="O147" s="30" t="str">
        <f aca="false">IF($A147="","",IF(N($N147)&lt;=config!$B$29,"explicit","opt-out"))</f>
        <v/>
      </c>
      <c r="P147" s="30" t="str">
        <f aca="false">IF($A147="","",IF($O147="explicit",IF($D147="yes","Y",IF($D147="no","N","pending")),IF($D147="no","N",IF(AND($C147&lt;&gt;"",$I147&lt;&gt;"",$C147&lt;=WORKDAY(N($I147),-5,calendar!$A$2:$A$80)),"Y","pending"))))</f>
        <v/>
      </c>
      <c r="Q147" s="30" t="str">
        <f aca="false">IF($A147="","",IF($P147="N","N",IF($P147&lt;&gt;"Y","pending",IF(AND((COUNTIFS(stops!$A$2:$A$151,$H147,stops!$B$2:$B$151,$B147,stops!$L$2:$L$151,"declined")+COUNTIFS(stops!$A$2:$A$151,$H147,stops!$B$2:$B$151,$B147,stops!$L$2:$L$151,"building_refused")+COUNTIFS(stops!$A$2:$A$151,$H147,stops!$B$2:$B$151,$B147,stops!$L$2:$L$151,"not_delivered"))&gt;0,N($U147)=0),"N","Y"))))</f>
        <v/>
      </c>
      <c r="R147" s="30" t="str">
        <f aca="false">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30" t="str">
        <f aca="false">IF($A147="","",IF($G147&lt;&gt;"",$G147,IFERROR(IF(INDEX(offices!$AM$2:$AM$61,MATCH($B147,offices!$A$2:$A$61,0))="","",INDEX(offices!$AM$2:$AM$61,MATCH($B147,offices!$A$2:$A$61,0))),"")))</f>
        <v/>
      </c>
      <c r="T147" s="30" t="str">
        <f aca="false">IF($A147="","",$A147&amp;"."&amp;$B147)</f>
        <v/>
      </c>
      <c r="U147" s="30" t="str">
        <f aca="false">IF($A147="","",SUMIFS(inventory!$G$2:$G$801,inventory!$C$2:$C$801,$A147,inventory!$D$2:$D$801,$B147,inventory!$E$2:$E$801,"delivered"))</f>
        <v/>
      </c>
      <c r="V147" s="37" t="str">
        <f aca="false">IF($A147="","",IFERROR(1/(1/SUMPRODUCT(MAX((inventory!$C$2:$C$801=$A147)*(inventory!$D$2:$D$801=$B147)*(inventory!$E$2:$E$801="delivered")*(inventory!$A$2:$A$801+inventory!$B$2:$B$801)))),""))</f>
        <v/>
      </c>
      <c r="W147" s="30" t="str">
        <f aca="false">IF($A147="","",IFERROR(IF(INDEX(inventory!$J$2:$J$801,MATCH($A147&amp;"|"&amp;$B147&amp;"|delivered",inventory!$R$2:$R$801,0))="","",INDEX(inventory!$J$2:$J$801,MATCH($A147&amp;"|"&amp;$B147&amp;"|delivered",inventory!$R$2:$R$801,0))),""))</f>
        <v/>
      </c>
      <c r="X147" s="30" t="str">
        <f aca="false">IF($A147="","",IFERROR(IF(INDEX(photos!$H$2:$H$701,MATCH($A147&amp;"|"&amp;$B147&amp;"|placement|Y",photos!$R$2:$R$701,0))="","",INDEX(photos!$H$2:$H$701,MATCH($A147&amp;"|"&amp;$B147&amp;"|placement|Y",photos!$R$2:$R$701,0))),""))</f>
        <v/>
      </c>
      <c r="Y147" s="31" t="str">
        <f aca="false">IF($A147="","",IFERROR(IF(INDEX(photos!$E$2:$E$701,MATCH($A147&amp;"|"&amp;$B147&amp;"|placement|Y",photos!$R$2:$R$701,0))="","",INDEX(photos!$E$2:$E$701,MATCH($A147&amp;"|"&amp;$B147&amp;"|placement|Y",photos!$R$2:$R$701,0))),""))</f>
        <v/>
      </c>
      <c r="Z147" s="30" t="str">
        <f aca="false">IF($A147="","",IF(COUNTIFS(counts!$C$2:$C$701,$A147,counts!$D$2:$D$701,$B147,counts!$E$2:$E$701,"placed")=0,"",SUMIFS(counts!$F$2:$F$701,counts!$C$2:$C$701,$A147,counts!$D$2:$D$701,$B147,counts!$E$2:$E$701,"placed")))</f>
        <v/>
      </c>
      <c r="AA147" s="30" t="str">
        <f aca="false">IF($A147="","",IF($Y147="",0,N($Z147)))</f>
        <v/>
      </c>
      <c r="AB147" s="30" t="str">
        <f aca="false">IF($A147="","",IF(OR($Y147="",$I147=""),"N",IF($Y147&lt;=WORKDAY(N($I147),1,calendar!$A$2:$A$80),"Y","N")))</f>
        <v/>
      </c>
      <c r="AC147" s="33" t="str">
        <f aca="false">IF(OR($A147="",$V147="",$Y147=""),"",ROUND(($Y147+N(IFERROR(IF(INDEX(photos!$F$2:$F$701,MATCH($A147&amp;"|"&amp;$B147&amp;"|placement|Y",photos!$R$2:$R$701,0))="","",INDEX(photos!$F$2:$F$701,MATCH($A147&amp;"|"&amp;$B147&amp;"|placement|Y",photos!$R$2:$R$701,0))),""))-$V147)*24,1))</f>
        <v/>
      </c>
      <c r="AD147" s="30" t="str">
        <f aca="false">IF($A147="","",SUMIFS(inventory!$G$2:$G$801,inventory!$C$2:$C$801,$A147,inventory!$D$2:$D$801,$B147,inventory!$E$2:$E$801,"topped_up"))</f>
        <v/>
      </c>
      <c r="AE147" s="30" t="str">
        <f aca="false">IF($A147="","",IF(COUNTIFS(counts!$C$2:$C$701,$A147,counts!$D$2:$D$701,$B147,counts!$E$2:$E$701,"remaining_day3")=0,"",SUMIFS(counts!$F$2:$F$701,counts!$C$2:$C$701,$A147,counts!$D$2:$D$701,$B147,counts!$E$2:$E$701,"remaining_day3")))</f>
        <v/>
      </c>
      <c r="AF147" s="30" t="str">
        <f aca="false">IF($A147="","",IF(COUNTIFS(counts!$C$2:$C$701,$A147,counts!$D$2:$D$701,$B147,counts!$E$2:$E$701,"remaining_day5")=0,"",SUMIFS(counts!$F$2:$F$701,counts!$C$2:$C$701,$A147,counts!$D$2:$D$701,$B147,counts!$E$2:$E$701,"remaining_day5")))</f>
        <v/>
      </c>
      <c r="AG147" s="30" t="str">
        <f aca="false">IF(OR($A147="",$AF147=""),"",MAX(0,$AA147+$AD147-$AF147))</f>
        <v/>
      </c>
      <c r="AH147" s="30" t="str">
        <f aca="false">IF(OR($A147="",$AI147=""),"",IFERROR(IF(INDEX(photos!$H$2:$H$701,MATCH($A147&amp;"|"&amp;$B147&amp;"|later|Y|"&amp;$AI147,photos!$S$2:$S$701,0))="","",INDEX(photos!$H$2:$H$701,MATCH($A147&amp;"|"&amp;$B147&amp;"|later|Y|"&amp;$AI147,photos!$S$2:$S$701,0))),""))</f>
        <v/>
      </c>
      <c r="AI147" s="31" t="str">
        <f aca="false">IF($A147="","",IFERROR(1/(1/SUMPRODUCT(MAX((photos!$B$2:$B$701=$A147)*(photos!$C$2:$C$701=$B147)*(photos!$D$2:$D$701="later")*(photos!$O$2:$O$701="Y")*photos!$E$2:$E$701))),""))</f>
        <v/>
      </c>
      <c r="AJ147" s="30" t="str">
        <f aca="false">IF(OR($A147="",$AI147="",$I147=""),"",NETWORKDAYS($I147,$AI147,calendar!$A$2:$A$80))</f>
        <v/>
      </c>
      <c r="AK147" s="30" t="str">
        <f aca="false">IF($A147="","",IF(AND($X147&lt;&gt;"",$AH147&lt;&gt;""),"Y","N"))</f>
        <v/>
      </c>
      <c r="AL147" s="30" t="str">
        <f aca="true">IF(OR($A147="",$I147=""),"",IF($BC147="Y",SUMIFS(survey_frozen!$C$2:$C$251,survey_frozen!$P$2:$P$251,$A147&amp;"|"&amp;$B147),IFERROR(COUNTIFS(INDIRECT("'"&amp;$A147&amp;"'!$B$2:$B$501"),$T147,INDIRECT("'"&amp;$A147&amp;"'!$A$2:$A$501"),"&gt;="&amp;$I147,INDIRECT("'"&amp;$A147&amp;"'!$A$2:$A$501"),"&lt;"&amp;($BA147+1)),0)))</f>
        <v/>
      </c>
      <c r="AM147" s="30" t="str">
        <f aca="true">IF(OR($A147="",$I147=""),"",IF($BC147="Y",SUMIFS(survey_frozen!$D$2:$D$251,survey_frozen!$P$2:$P$251,$A147&amp;"|"&amp;$B147),IFERROR(COUNTIFS(INDIRECT("'"&amp;$A147&amp;"'!$B$2:$B$501"),$T147,INDIRECT("'"&amp;$A147&amp;"'!$A$2:$A$501"),"&gt;="&amp;$I147,INDIRECT("'"&amp;$A147&amp;"'!$A$2:$A$501"),"&lt;"&amp;($BA147+1),INDIRECT("'"&amp;$A147&amp;"'!$C$2:$C$501"),"Yes"),0)))</f>
        <v/>
      </c>
      <c r="AN147" s="30" t="str">
        <f aca="false">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30" t="str">
        <f aca="false">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30" t="str">
        <f aca="true">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30" t="str">
        <f aca="true">IF(OR($A147="",$I147=""),"",IF($BC147="Y",SUMIFS(survey_frozen!$E$2:$E$251,survey_frozen!$P$2:$P$251,$A147&amp;"|"&amp;$B147),IFERROR(COUNTIFS(INDIRECT("'"&amp;$A147&amp;"'!$B$2:$B$501"),$T147,INDIRECT("'"&amp;$A147&amp;"'!$A$2:$A$501"),"&gt;="&amp;$I147,INDIRECT("'"&amp;$A147&amp;"'!$A$2:$A$501"),"&lt;"&amp;($BA147+1),INDIRECT("'"&amp;$A147&amp;"'!$F$2:$F$501"),"Didn't see it"),0)))</f>
        <v/>
      </c>
      <c r="AR147" s="30" t="str">
        <f aca="true">IF(OR($A147="",$I147=""),"",IF($BC147="Y",SUMIFS(survey_frozen!$F$2:$F$251,survey_frozen!$P$2:$P$251,$A147&amp;"|"&amp;$B147),IFERROR(COUNTIFS(INDIRECT("'"&amp;$A147&amp;"'!$B$2:$B$501"),$T147,INDIRECT("'"&amp;$A147&amp;"'!$A$2:$A$501"),"&gt;="&amp;$I147,INDIRECT("'"&amp;$A147&amp;"'!$A$2:$A$501"),"&lt;"&amp;($BA147+1),INDIRECT("'"&amp;$A147&amp;"'!$F$2:$F$501"),"Not for me"),0)))</f>
        <v/>
      </c>
      <c r="AS147" s="30" t="str">
        <f aca="true">IF(OR($A147="",$I147=""),"",IF($BC147="Y",SUMIFS(survey_frozen!$G$2:$G$251,survey_frozen!$P$2:$P$251,$A147&amp;"|"&amp;$B147),IFERROR(COUNTIFS(INDIRECT("'"&amp;$A147&amp;"'!$B$2:$B$501"),$T147,INDIRECT("'"&amp;$A147&amp;"'!$A$2:$A$501"),"&gt;="&amp;$I147,INDIRECT("'"&amp;$A147&amp;"'!$A$2:$A$501"),"&lt;"&amp;($BA147+1),INDIRECT("'"&amp;$A147&amp;"'!$F$2:$F$501"),"Gone by the time I looked"),0)))</f>
        <v/>
      </c>
      <c r="AT147" s="30" t="str">
        <f aca="true">IF(OR($A147="",$I147=""),"",IF($BC147="Y",SUMIFS(survey_frozen!$H$2:$H$251,survey_frozen!$P$2:$P$251,$A147&amp;"|"&amp;$B147),IFERROR(COUNTIFS(INDIRECT("'"&amp;$A147&amp;"'!$B$2:$B$501"),$T147,INDIRECT("'"&amp;$A147&amp;"'!$A$2:$A$501"),"&gt;="&amp;$I147,INDIRECT("'"&amp;$A147&amp;"'!$A$2:$A$501"),"&lt;"&amp;($BA147+1),INDIRECT("'"&amp;$A147&amp;"'!$D$2:$D$501"),"&gt;=1"),0)))</f>
        <v/>
      </c>
      <c r="AU147" s="30" t="str">
        <f aca="true">IF(OR($A147="",$I147=""),"",IF($BC147="Y",SUMIFS(survey_frozen!$I$2:$I$251,survey_frozen!$P$2:$P$251,$A147&amp;"|"&amp;$B147),IFERROR(SUMIFS(INDIRECT("'"&amp;$A147&amp;"'!$D$2:$D$501"),INDIRECT("'"&amp;$A147&amp;"'!$B$2:$B$501"),$T147,INDIRECT("'"&amp;$A147&amp;"'!$A$2:$A$501"),"&gt;="&amp;$I147,INDIRECT("'"&amp;$A147&amp;"'!$A$2:$A$501"),"&lt;"&amp;($BA147+1)),0)))</f>
        <v/>
      </c>
      <c r="AV147" s="30" t="str">
        <f aca="true">IF(OR($A147="",$I147=""),"",IF($BC147="Y",SUMIFS(survey_frozen!$J$2:$J$251,survey_frozen!$P$2:$P$251,$A147&amp;"|"&amp;$B147),IFERROR(COUNTIFS(INDIRECT("'"&amp;$A147&amp;"'!$B$2:$B$501"),$T147,INDIRECT("'"&amp;$A147&amp;"'!$A$2:$A$501"),"&gt;="&amp;$I147,INDIRECT("'"&amp;$A147&amp;"'!$A$2:$A$501"),"&lt;"&amp;($BA147+1),INDIRECT("'"&amp;$A147&amp;"'!$E$2:$E$501"),"Yes"),0)))</f>
        <v/>
      </c>
      <c r="AW147" s="30" t="str">
        <f aca="true">IF(OR($A147="",$I147=""),"",IF($BC147="Y",SUMIFS(survey_frozen!$K$2:$K$251,survey_frozen!$P$2:$P$251,$A147&amp;"|"&amp;$B147),IFERROR(COUNTIFS(INDIRECT("'"&amp;$A147&amp;"'!$B$2:$B$501"),$T147,INDIRECT("'"&amp;$A147&amp;"'!$A$2:$A$501"),"&gt;="&amp;$I147,INDIRECT("'"&amp;$A147&amp;"'!$A$2:$A$501"),"&lt;"&amp;($BA147+1),INDIRECT("'"&amp;$A147&amp;"'!$E$2:$E$501"),"Maybe"),0)))</f>
        <v/>
      </c>
      <c r="AX147" s="30" t="str">
        <f aca="true">IF(OR($A147="",$I147=""),"",IF($BC147="Y",SUMIFS(survey_frozen!$L$2:$L$251,survey_frozen!$P$2:$P$251,$A147&amp;"|"&amp;$B147),IFERROR(COUNTIFS(INDIRECT("'"&amp;$A147&amp;"'!$B$2:$B$501"),$T147,INDIRECT("'"&amp;$A147&amp;"'!$A$2:$A$501"),"&gt;="&amp;$I147,INDIRECT("'"&amp;$A147&amp;"'!$A$2:$A$501"),"&lt;"&amp;($BA147+1),INDIRECT("'"&amp;$A147&amp;"'!$E$2:$E$501"),"No"),0)))</f>
        <v/>
      </c>
      <c r="AY147" s="30" t="str">
        <f aca="true">IF(OR($A147="",$I147=""),"",IF($BC147="Y",SUMIFS(survey_frozen!$M$2:$M$251,survey_frozen!$P$2:$P$251,$A147&amp;"|"&amp;$B147),IFERROR(COUNTIFS(INDIRECT("'"&amp;$A147&amp;"'!$B$2:$B$501"),$T147,INDIRECT("'"&amp;$A147&amp;"'!$A$2:$A$501"),"&gt;="&amp;$I147,INDIRECT("'"&amp;$A147&amp;"'!$A$2:$A$501"),"&lt;"&amp;($BA147+1),INDIRECT("'"&amp;$A147&amp;"'!$G$2:$G$501"),"&lt;&gt;"),0)))</f>
        <v/>
      </c>
      <c r="AZ147" s="30" t="str">
        <f aca="false">IF($A147="","",$A147&amp;"|"&amp;$L147)</f>
        <v/>
      </c>
      <c r="BA147" s="31" t="str">
        <f aca="false">IF($A147="","",IFERROR(IF(INDEX(drops!$R$2:$R$21,MATCH($H147,drops!$A$2:$A$21,0))="","",INDEX(drops!$R$2:$R$21,MATCH($H147,drops!$A$2:$A$21,0))),""))</f>
        <v/>
      </c>
      <c r="BB147" s="30" t="n">
        <f aca="false">IF(OR($A147="",$Q147&lt;&gt;"Y"),1000000,N($AL147))</f>
        <v>1000000</v>
      </c>
      <c r="BC147" s="30" t="str">
        <f aca="false">IF($A147="","",IF(COUNTIF(survey_frozen!$P$2:$P$251,$A147&amp;"|"&amp;$B147)&gt;0,"Y",""))</f>
        <v/>
      </c>
      <c r="BD147" s="30" t="str">
        <f aca="false">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ustomFormat="false" ht="15" hidden="false" customHeight="false" outlineLevel="0" collapsed="false">
      <c r="C148" s="11"/>
      <c r="D148" s="10"/>
      <c r="E148" s="11"/>
      <c r="H148" s="30" t="str">
        <f aca="false">IF($A148="","",IFERROR(IF(INDEX(campaigns!$B$2:$B$51,MATCH($A148,campaigns!$A$2:$A$51,0))="","",INDEX(campaigns!$B$2:$B$51,MATCH($A148,campaigns!$A$2:$A$51,0))),""))</f>
        <v/>
      </c>
      <c r="I148" s="31" t="str">
        <f aca="false">IF($A148="","",IFERROR(IF(INDEX(campaigns!$BG$2:$BG$51,MATCH($A148,campaigns!$A$2:$A$51,0))="","",INDEX(campaigns!$BG$2:$BG$51,MATCH($A148,campaigns!$A$2:$A$51,0))),""))</f>
        <v/>
      </c>
      <c r="J148" s="30" t="str">
        <f aca="false">IF($A148="","",IFERROR(IF(INDEX(campaigns!$BE$2:$BE$51,MATCH($A148,campaigns!$A$2:$A$51,0))="","",INDEX(campaigns!$BE$2:$BE$51,MATCH($A148,campaigns!$A$2:$A$51,0))),""))</f>
        <v/>
      </c>
      <c r="K148" s="30" t="str">
        <f aca="false">IF($B148="","",IFERROR(IF(INDEX(offices!$O$2:$O$61,MATCH($B148,offices!$A$2:$A$61,0))="","",INDEX(offices!$O$2:$O$61,MATCH($B148,offices!$A$2:$A$61,0))),""))</f>
        <v/>
      </c>
      <c r="L148" s="30" t="str">
        <f aca="false">IF($A148="","",IF($Q148="N","",COUNTIFS($A$2:$A148,$A148,$Q$2:$Q148,"&lt;&gt;N")))</f>
        <v/>
      </c>
      <c r="M148" s="30" t="str">
        <f aca="false">IF(OR($A148="",$L148=""),"",IF(AND(config!$B$34="names_if_public",IFERROR(IF(INDEX(offices!$AG$2:$AG$61,MATCH($B148,offices!$A$2:$A$61,0))="","",INDEX(offices!$AG$2:$AG$61,MATCH($B148,offices!$A$2:$A$61,0))),"")="Y"),$K148,CHAR(64+$L148)))</f>
        <v/>
      </c>
      <c r="N148" s="30" t="str">
        <f aca="false">IF(OR($A148="",$I148=""),"",COUNTIFS(stops!$B$2:$B$151,$B148,stops!$P$2:$P$151,"&lt;"&amp;$I148,stops!$L$2:$L$151,"&lt;&gt;not_delivered")+1)</f>
        <v/>
      </c>
      <c r="O148" s="30" t="str">
        <f aca="false">IF($A148="","",IF(N($N148)&lt;=config!$B$29,"explicit","opt-out"))</f>
        <v/>
      </c>
      <c r="P148" s="30" t="str">
        <f aca="false">IF($A148="","",IF($O148="explicit",IF($D148="yes","Y",IF($D148="no","N","pending")),IF($D148="no","N",IF(AND($C148&lt;&gt;"",$I148&lt;&gt;"",$C148&lt;=WORKDAY(N($I148),-5,calendar!$A$2:$A$80)),"Y","pending"))))</f>
        <v/>
      </c>
      <c r="Q148" s="30" t="str">
        <f aca="false">IF($A148="","",IF($P148="N","N",IF($P148&lt;&gt;"Y","pending",IF(AND((COUNTIFS(stops!$A$2:$A$151,$H148,stops!$B$2:$B$151,$B148,stops!$L$2:$L$151,"declined")+COUNTIFS(stops!$A$2:$A$151,$H148,stops!$B$2:$B$151,$B148,stops!$L$2:$L$151,"building_refused")+COUNTIFS(stops!$A$2:$A$151,$H148,stops!$B$2:$B$151,$B148,stops!$L$2:$L$151,"not_delivered"))&gt;0,N($U148)=0),"N","Y"))))</f>
        <v/>
      </c>
      <c r="R148" s="30" t="str">
        <f aca="false">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30" t="str">
        <f aca="false">IF($A148="","",IF($G148&lt;&gt;"",$G148,IFERROR(IF(INDEX(offices!$AM$2:$AM$61,MATCH($B148,offices!$A$2:$A$61,0))="","",INDEX(offices!$AM$2:$AM$61,MATCH($B148,offices!$A$2:$A$61,0))),"")))</f>
        <v/>
      </c>
      <c r="T148" s="30" t="str">
        <f aca="false">IF($A148="","",$A148&amp;"."&amp;$B148)</f>
        <v/>
      </c>
      <c r="U148" s="30" t="str">
        <f aca="false">IF($A148="","",SUMIFS(inventory!$G$2:$G$801,inventory!$C$2:$C$801,$A148,inventory!$D$2:$D$801,$B148,inventory!$E$2:$E$801,"delivered"))</f>
        <v/>
      </c>
      <c r="V148" s="37" t="str">
        <f aca="false">IF($A148="","",IFERROR(1/(1/SUMPRODUCT(MAX((inventory!$C$2:$C$801=$A148)*(inventory!$D$2:$D$801=$B148)*(inventory!$E$2:$E$801="delivered")*(inventory!$A$2:$A$801+inventory!$B$2:$B$801)))),""))</f>
        <v/>
      </c>
      <c r="W148" s="30" t="str">
        <f aca="false">IF($A148="","",IFERROR(IF(INDEX(inventory!$J$2:$J$801,MATCH($A148&amp;"|"&amp;$B148&amp;"|delivered",inventory!$R$2:$R$801,0))="","",INDEX(inventory!$J$2:$J$801,MATCH($A148&amp;"|"&amp;$B148&amp;"|delivered",inventory!$R$2:$R$801,0))),""))</f>
        <v/>
      </c>
      <c r="X148" s="30" t="str">
        <f aca="false">IF($A148="","",IFERROR(IF(INDEX(photos!$H$2:$H$701,MATCH($A148&amp;"|"&amp;$B148&amp;"|placement|Y",photos!$R$2:$R$701,0))="","",INDEX(photos!$H$2:$H$701,MATCH($A148&amp;"|"&amp;$B148&amp;"|placement|Y",photos!$R$2:$R$701,0))),""))</f>
        <v/>
      </c>
      <c r="Y148" s="31" t="str">
        <f aca="false">IF($A148="","",IFERROR(IF(INDEX(photos!$E$2:$E$701,MATCH($A148&amp;"|"&amp;$B148&amp;"|placement|Y",photos!$R$2:$R$701,0))="","",INDEX(photos!$E$2:$E$701,MATCH($A148&amp;"|"&amp;$B148&amp;"|placement|Y",photos!$R$2:$R$701,0))),""))</f>
        <v/>
      </c>
      <c r="Z148" s="30" t="str">
        <f aca="false">IF($A148="","",IF(COUNTIFS(counts!$C$2:$C$701,$A148,counts!$D$2:$D$701,$B148,counts!$E$2:$E$701,"placed")=0,"",SUMIFS(counts!$F$2:$F$701,counts!$C$2:$C$701,$A148,counts!$D$2:$D$701,$B148,counts!$E$2:$E$701,"placed")))</f>
        <v/>
      </c>
      <c r="AA148" s="30" t="str">
        <f aca="false">IF($A148="","",IF($Y148="",0,N($Z148)))</f>
        <v/>
      </c>
      <c r="AB148" s="30" t="str">
        <f aca="false">IF($A148="","",IF(OR($Y148="",$I148=""),"N",IF($Y148&lt;=WORKDAY(N($I148),1,calendar!$A$2:$A$80),"Y","N")))</f>
        <v/>
      </c>
      <c r="AC148" s="33" t="str">
        <f aca="false">IF(OR($A148="",$V148="",$Y148=""),"",ROUND(($Y148+N(IFERROR(IF(INDEX(photos!$F$2:$F$701,MATCH($A148&amp;"|"&amp;$B148&amp;"|placement|Y",photos!$R$2:$R$701,0))="","",INDEX(photos!$F$2:$F$701,MATCH($A148&amp;"|"&amp;$B148&amp;"|placement|Y",photos!$R$2:$R$701,0))),""))-$V148)*24,1))</f>
        <v/>
      </c>
      <c r="AD148" s="30" t="str">
        <f aca="false">IF($A148="","",SUMIFS(inventory!$G$2:$G$801,inventory!$C$2:$C$801,$A148,inventory!$D$2:$D$801,$B148,inventory!$E$2:$E$801,"topped_up"))</f>
        <v/>
      </c>
      <c r="AE148" s="30" t="str">
        <f aca="false">IF($A148="","",IF(COUNTIFS(counts!$C$2:$C$701,$A148,counts!$D$2:$D$701,$B148,counts!$E$2:$E$701,"remaining_day3")=0,"",SUMIFS(counts!$F$2:$F$701,counts!$C$2:$C$701,$A148,counts!$D$2:$D$701,$B148,counts!$E$2:$E$701,"remaining_day3")))</f>
        <v/>
      </c>
      <c r="AF148" s="30" t="str">
        <f aca="false">IF($A148="","",IF(COUNTIFS(counts!$C$2:$C$701,$A148,counts!$D$2:$D$701,$B148,counts!$E$2:$E$701,"remaining_day5")=0,"",SUMIFS(counts!$F$2:$F$701,counts!$C$2:$C$701,$A148,counts!$D$2:$D$701,$B148,counts!$E$2:$E$701,"remaining_day5")))</f>
        <v/>
      </c>
      <c r="AG148" s="30" t="str">
        <f aca="false">IF(OR($A148="",$AF148=""),"",MAX(0,$AA148+$AD148-$AF148))</f>
        <v/>
      </c>
      <c r="AH148" s="30" t="str">
        <f aca="false">IF(OR($A148="",$AI148=""),"",IFERROR(IF(INDEX(photos!$H$2:$H$701,MATCH($A148&amp;"|"&amp;$B148&amp;"|later|Y|"&amp;$AI148,photos!$S$2:$S$701,0))="","",INDEX(photos!$H$2:$H$701,MATCH($A148&amp;"|"&amp;$B148&amp;"|later|Y|"&amp;$AI148,photos!$S$2:$S$701,0))),""))</f>
        <v/>
      </c>
      <c r="AI148" s="31" t="str">
        <f aca="false">IF($A148="","",IFERROR(1/(1/SUMPRODUCT(MAX((photos!$B$2:$B$701=$A148)*(photos!$C$2:$C$701=$B148)*(photos!$D$2:$D$701="later")*(photos!$O$2:$O$701="Y")*photos!$E$2:$E$701))),""))</f>
        <v/>
      </c>
      <c r="AJ148" s="30" t="str">
        <f aca="false">IF(OR($A148="",$AI148="",$I148=""),"",NETWORKDAYS($I148,$AI148,calendar!$A$2:$A$80))</f>
        <v/>
      </c>
      <c r="AK148" s="30" t="str">
        <f aca="false">IF($A148="","",IF(AND($X148&lt;&gt;"",$AH148&lt;&gt;""),"Y","N"))</f>
        <v/>
      </c>
      <c r="AL148" s="30" t="str">
        <f aca="true">IF(OR($A148="",$I148=""),"",IF($BC148="Y",SUMIFS(survey_frozen!$C$2:$C$251,survey_frozen!$P$2:$P$251,$A148&amp;"|"&amp;$B148),IFERROR(COUNTIFS(INDIRECT("'"&amp;$A148&amp;"'!$B$2:$B$501"),$T148,INDIRECT("'"&amp;$A148&amp;"'!$A$2:$A$501"),"&gt;="&amp;$I148,INDIRECT("'"&amp;$A148&amp;"'!$A$2:$A$501"),"&lt;"&amp;($BA148+1)),0)))</f>
        <v/>
      </c>
      <c r="AM148" s="30" t="str">
        <f aca="true">IF(OR($A148="",$I148=""),"",IF($BC148="Y",SUMIFS(survey_frozen!$D$2:$D$251,survey_frozen!$P$2:$P$251,$A148&amp;"|"&amp;$B148),IFERROR(COUNTIFS(INDIRECT("'"&amp;$A148&amp;"'!$B$2:$B$501"),$T148,INDIRECT("'"&amp;$A148&amp;"'!$A$2:$A$501"),"&gt;="&amp;$I148,INDIRECT("'"&amp;$A148&amp;"'!$A$2:$A$501"),"&lt;"&amp;($BA148+1),INDIRECT("'"&amp;$A148&amp;"'!$C$2:$C$501"),"Yes"),0)))</f>
        <v/>
      </c>
      <c r="AN148" s="30" t="str">
        <f aca="false">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30" t="str">
        <f aca="false">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30" t="str">
        <f aca="true">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30" t="str">
        <f aca="true">IF(OR($A148="",$I148=""),"",IF($BC148="Y",SUMIFS(survey_frozen!$E$2:$E$251,survey_frozen!$P$2:$P$251,$A148&amp;"|"&amp;$B148),IFERROR(COUNTIFS(INDIRECT("'"&amp;$A148&amp;"'!$B$2:$B$501"),$T148,INDIRECT("'"&amp;$A148&amp;"'!$A$2:$A$501"),"&gt;="&amp;$I148,INDIRECT("'"&amp;$A148&amp;"'!$A$2:$A$501"),"&lt;"&amp;($BA148+1),INDIRECT("'"&amp;$A148&amp;"'!$F$2:$F$501"),"Didn't see it"),0)))</f>
        <v/>
      </c>
      <c r="AR148" s="30" t="str">
        <f aca="true">IF(OR($A148="",$I148=""),"",IF($BC148="Y",SUMIFS(survey_frozen!$F$2:$F$251,survey_frozen!$P$2:$P$251,$A148&amp;"|"&amp;$B148),IFERROR(COUNTIFS(INDIRECT("'"&amp;$A148&amp;"'!$B$2:$B$501"),$T148,INDIRECT("'"&amp;$A148&amp;"'!$A$2:$A$501"),"&gt;="&amp;$I148,INDIRECT("'"&amp;$A148&amp;"'!$A$2:$A$501"),"&lt;"&amp;($BA148+1),INDIRECT("'"&amp;$A148&amp;"'!$F$2:$F$501"),"Not for me"),0)))</f>
        <v/>
      </c>
      <c r="AS148" s="30" t="str">
        <f aca="true">IF(OR($A148="",$I148=""),"",IF($BC148="Y",SUMIFS(survey_frozen!$G$2:$G$251,survey_frozen!$P$2:$P$251,$A148&amp;"|"&amp;$B148),IFERROR(COUNTIFS(INDIRECT("'"&amp;$A148&amp;"'!$B$2:$B$501"),$T148,INDIRECT("'"&amp;$A148&amp;"'!$A$2:$A$501"),"&gt;="&amp;$I148,INDIRECT("'"&amp;$A148&amp;"'!$A$2:$A$501"),"&lt;"&amp;($BA148+1),INDIRECT("'"&amp;$A148&amp;"'!$F$2:$F$501"),"Gone by the time I looked"),0)))</f>
        <v/>
      </c>
      <c r="AT148" s="30" t="str">
        <f aca="true">IF(OR($A148="",$I148=""),"",IF($BC148="Y",SUMIFS(survey_frozen!$H$2:$H$251,survey_frozen!$P$2:$P$251,$A148&amp;"|"&amp;$B148),IFERROR(COUNTIFS(INDIRECT("'"&amp;$A148&amp;"'!$B$2:$B$501"),$T148,INDIRECT("'"&amp;$A148&amp;"'!$A$2:$A$501"),"&gt;="&amp;$I148,INDIRECT("'"&amp;$A148&amp;"'!$A$2:$A$501"),"&lt;"&amp;($BA148+1),INDIRECT("'"&amp;$A148&amp;"'!$D$2:$D$501"),"&gt;=1"),0)))</f>
        <v/>
      </c>
      <c r="AU148" s="30" t="str">
        <f aca="true">IF(OR($A148="",$I148=""),"",IF($BC148="Y",SUMIFS(survey_frozen!$I$2:$I$251,survey_frozen!$P$2:$P$251,$A148&amp;"|"&amp;$B148),IFERROR(SUMIFS(INDIRECT("'"&amp;$A148&amp;"'!$D$2:$D$501"),INDIRECT("'"&amp;$A148&amp;"'!$B$2:$B$501"),$T148,INDIRECT("'"&amp;$A148&amp;"'!$A$2:$A$501"),"&gt;="&amp;$I148,INDIRECT("'"&amp;$A148&amp;"'!$A$2:$A$501"),"&lt;"&amp;($BA148+1)),0)))</f>
        <v/>
      </c>
      <c r="AV148" s="30" t="str">
        <f aca="true">IF(OR($A148="",$I148=""),"",IF($BC148="Y",SUMIFS(survey_frozen!$J$2:$J$251,survey_frozen!$P$2:$P$251,$A148&amp;"|"&amp;$B148),IFERROR(COUNTIFS(INDIRECT("'"&amp;$A148&amp;"'!$B$2:$B$501"),$T148,INDIRECT("'"&amp;$A148&amp;"'!$A$2:$A$501"),"&gt;="&amp;$I148,INDIRECT("'"&amp;$A148&amp;"'!$A$2:$A$501"),"&lt;"&amp;($BA148+1),INDIRECT("'"&amp;$A148&amp;"'!$E$2:$E$501"),"Yes"),0)))</f>
        <v/>
      </c>
      <c r="AW148" s="30" t="str">
        <f aca="true">IF(OR($A148="",$I148=""),"",IF($BC148="Y",SUMIFS(survey_frozen!$K$2:$K$251,survey_frozen!$P$2:$P$251,$A148&amp;"|"&amp;$B148),IFERROR(COUNTIFS(INDIRECT("'"&amp;$A148&amp;"'!$B$2:$B$501"),$T148,INDIRECT("'"&amp;$A148&amp;"'!$A$2:$A$501"),"&gt;="&amp;$I148,INDIRECT("'"&amp;$A148&amp;"'!$A$2:$A$501"),"&lt;"&amp;($BA148+1),INDIRECT("'"&amp;$A148&amp;"'!$E$2:$E$501"),"Maybe"),0)))</f>
        <v/>
      </c>
      <c r="AX148" s="30" t="str">
        <f aca="true">IF(OR($A148="",$I148=""),"",IF($BC148="Y",SUMIFS(survey_frozen!$L$2:$L$251,survey_frozen!$P$2:$P$251,$A148&amp;"|"&amp;$B148),IFERROR(COUNTIFS(INDIRECT("'"&amp;$A148&amp;"'!$B$2:$B$501"),$T148,INDIRECT("'"&amp;$A148&amp;"'!$A$2:$A$501"),"&gt;="&amp;$I148,INDIRECT("'"&amp;$A148&amp;"'!$A$2:$A$501"),"&lt;"&amp;($BA148+1),INDIRECT("'"&amp;$A148&amp;"'!$E$2:$E$501"),"No"),0)))</f>
        <v/>
      </c>
      <c r="AY148" s="30" t="str">
        <f aca="true">IF(OR($A148="",$I148=""),"",IF($BC148="Y",SUMIFS(survey_frozen!$M$2:$M$251,survey_frozen!$P$2:$P$251,$A148&amp;"|"&amp;$B148),IFERROR(COUNTIFS(INDIRECT("'"&amp;$A148&amp;"'!$B$2:$B$501"),$T148,INDIRECT("'"&amp;$A148&amp;"'!$A$2:$A$501"),"&gt;="&amp;$I148,INDIRECT("'"&amp;$A148&amp;"'!$A$2:$A$501"),"&lt;"&amp;($BA148+1),INDIRECT("'"&amp;$A148&amp;"'!$G$2:$G$501"),"&lt;&gt;"),0)))</f>
        <v/>
      </c>
      <c r="AZ148" s="30" t="str">
        <f aca="false">IF($A148="","",$A148&amp;"|"&amp;$L148)</f>
        <v/>
      </c>
      <c r="BA148" s="31" t="str">
        <f aca="false">IF($A148="","",IFERROR(IF(INDEX(drops!$R$2:$R$21,MATCH($H148,drops!$A$2:$A$21,0))="","",INDEX(drops!$R$2:$R$21,MATCH($H148,drops!$A$2:$A$21,0))),""))</f>
        <v/>
      </c>
      <c r="BB148" s="30" t="n">
        <f aca="false">IF(OR($A148="",$Q148&lt;&gt;"Y"),1000000,N($AL148))</f>
        <v>1000000</v>
      </c>
      <c r="BC148" s="30" t="str">
        <f aca="false">IF($A148="","",IF(COUNTIF(survey_frozen!$P$2:$P$251,$A148&amp;"|"&amp;$B148)&gt;0,"Y",""))</f>
        <v/>
      </c>
      <c r="BD148" s="30" t="str">
        <f aca="false">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ustomFormat="false" ht="15" hidden="false" customHeight="false" outlineLevel="0" collapsed="false">
      <c r="C149" s="11"/>
      <c r="D149" s="10"/>
      <c r="E149" s="11"/>
      <c r="H149" s="30" t="str">
        <f aca="false">IF($A149="","",IFERROR(IF(INDEX(campaigns!$B$2:$B$51,MATCH($A149,campaigns!$A$2:$A$51,0))="","",INDEX(campaigns!$B$2:$B$51,MATCH($A149,campaigns!$A$2:$A$51,0))),""))</f>
        <v/>
      </c>
      <c r="I149" s="31" t="str">
        <f aca="false">IF($A149="","",IFERROR(IF(INDEX(campaigns!$BG$2:$BG$51,MATCH($A149,campaigns!$A$2:$A$51,0))="","",INDEX(campaigns!$BG$2:$BG$51,MATCH($A149,campaigns!$A$2:$A$51,0))),""))</f>
        <v/>
      </c>
      <c r="J149" s="30" t="str">
        <f aca="false">IF($A149="","",IFERROR(IF(INDEX(campaigns!$BE$2:$BE$51,MATCH($A149,campaigns!$A$2:$A$51,0))="","",INDEX(campaigns!$BE$2:$BE$51,MATCH($A149,campaigns!$A$2:$A$51,0))),""))</f>
        <v/>
      </c>
      <c r="K149" s="30" t="str">
        <f aca="false">IF($B149="","",IFERROR(IF(INDEX(offices!$O$2:$O$61,MATCH($B149,offices!$A$2:$A$61,0))="","",INDEX(offices!$O$2:$O$61,MATCH($B149,offices!$A$2:$A$61,0))),""))</f>
        <v/>
      </c>
      <c r="L149" s="30" t="str">
        <f aca="false">IF($A149="","",IF($Q149="N","",COUNTIFS($A$2:$A149,$A149,$Q$2:$Q149,"&lt;&gt;N")))</f>
        <v/>
      </c>
      <c r="M149" s="30" t="str">
        <f aca="false">IF(OR($A149="",$L149=""),"",IF(AND(config!$B$34="names_if_public",IFERROR(IF(INDEX(offices!$AG$2:$AG$61,MATCH($B149,offices!$A$2:$A$61,0))="","",INDEX(offices!$AG$2:$AG$61,MATCH($B149,offices!$A$2:$A$61,0))),"")="Y"),$K149,CHAR(64+$L149)))</f>
        <v/>
      </c>
      <c r="N149" s="30" t="str">
        <f aca="false">IF(OR($A149="",$I149=""),"",COUNTIFS(stops!$B$2:$B$151,$B149,stops!$P$2:$P$151,"&lt;"&amp;$I149,stops!$L$2:$L$151,"&lt;&gt;not_delivered")+1)</f>
        <v/>
      </c>
      <c r="O149" s="30" t="str">
        <f aca="false">IF($A149="","",IF(N($N149)&lt;=config!$B$29,"explicit","opt-out"))</f>
        <v/>
      </c>
      <c r="P149" s="30" t="str">
        <f aca="false">IF($A149="","",IF($O149="explicit",IF($D149="yes","Y",IF($D149="no","N","pending")),IF($D149="no","N",IF(AND($C149&lt;&gt;"",$I149&lt;&gt;"",$C149&lt;=WORKDAY(N($I149),-5,calendar!$A$2:$A$80)),"Y","pending"))))</f>
        <v/>
      </c>
      <c r="Q149" s="30" t="str">
        <f aca="false">IF($A149="","",IF($P149="N","N",IF($P149&lt;&gt;"Y","pending",IF(AND((COUNTIFS(stops!$A$2:$A$151,$H149,stops!$B$2:$B$151,$B149,stops!$L$2:$L$151,"declined")+COUNTIFS(stops!$A$2:$A$151,$H149,stops!$B$2:$B$151,$B149,stops!$L$2:$L$151,"building_refused")+COUNTIFS(stops!$A$2:$A$151,$H149,stops!$B$2:$B$151,$B149,stops!$L$2:$L$151,"not_delivered"))&gt;0,N($U149)=0),"N","Y"))))</f>
        <v/>
      </c>
      <c r="R149" s="30" t="str">
        <f aca="false">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30" t="str">
        <f aca="false">IF($A149="","",IF($G149&lt;&gt;"",$G149,IFERROR(IF(INDEX(offices!$AM$2:$AM$61,MATCH($B149,offices!$A$2:$A$61,0))="","",INDEX(offices!$AM$2:$AM$61,MATCH($B149,offices!$A$2:$A$61,0))),"")))</f>
        <v/>
      </c>
      <c r="T149" s="30" t="str">
        <f aca="false">IF($A149="","",$A149&amp;"."&amp;$B149)</f>
        <v/>
      </c>
      <c r="U149" s="30" t="str">
        <f aca="false">IF($A149="","",SUMIFS(inventory!$G$2:$G$801,inventory!$C$2:$C$801,$A149,inventory!$D$2:$D$801,$B149,inventory!$E$2:$E$801,"delivered"))</f>
        <v/>
      </c>
      <c r="V149" s="37" t="str">
        <f aca="false">IF($A149="","",IFERROR(1/(1/SUMPRODUCT(MAX((inventory!$C$2:$C$801=$A149)*(inventory!$D$2:$D$801=$B149)*(inventory!$E$2:$E$801="delivered")*(inventory!$A$2:$A$801+inventory!$B$2:$B$801)))),""))</f>
        <v/>
      </c>
      <c r="W149" s="30" t="str">
        <f aca="false">IF($A149="","",IFERROR(IF(INDEX(inventory!$J$2:$J$801,MATCH($A149&amp;"|"&amp;$B149&amp;"|delivered",inventory!$R$2:$R$801,0))="","",INDEX(inventory!$J$2:$J$801,MATCH($A149&amp;"|"&amp;$B149&amp;"|delivered",inventory!$R$2:$R$801,0))),""))</f>
        <v/>
      </c>
      <c r="X149" s="30" t="str">
        <f aca="false">IF($A149="","",IFERROR(IF(INDEX(photos!$H$2:$H$701,MATCH($A149&amp;"|"&amp;$B149&amp;"|placement|Y",photos!$R$2:$R$701,0))="","",INDEX(photos!$H$2:$H$701,MATCH($A149&amp;"|"&amp;$B149&amp;"|placement|Y",photos!$R$2:$R$701,0))),""))</f>
        <v/>
      </c>
      <c r="Y149" s="31" t="str">
        <f aca="false">IF($A149="","",IFERROR(IF(INDEX(photos!$E$2:$E$701,MATCH($A149&amp;"|"&amp;$B149&amp;"|placement|Y",photos!$R$2:$R$701,0))="","",INDEX(photos!$E$2:$E$701,MATCH($A149&amp;"|"&amp;$B149&amp;"|placement|Y",photos!$R$2:$R$701,0))),""))</f>
        <v/>
      </c>
      <c r="Z149" s="30" t="str">
        <f aca="false">IF($A149="","",IF(COUNTIFS(counts!$C$2:$C$701,$A149,counts!$D$2:$D$701,$B149,counts!$E$2:$E$701,"placed")=0,"",SUMIFS(counts!$F$2:$F$701,counts!$C$2:$C$701,$A149,counts!$D$2:$D$701,$B149,counts!$E$2:$E$701,"placed")))</f>
        <v/>
      </c>
      <c r="AA149" s="30" t="str">
        <f aca="false">IF($A149="","",IF($Y149="",0,N($Z149)))</f>
        <v/>
      </c>
      <c r="AB149" s="30" t="str">
        <f aca="false">IF($A149="","",IF(OR($Y149="",$I149=""),"N",IF($Y149&lt;=WORKDAY(N($I149),1,calendar!$A$2:$A$80),"Y","N")))</f>
        <v/>
      </c>
      <c r="AC149" s="33" t="str">
        <f aca="false">IF(OR($A149="",$V149="",$Y149=""),"",ROUND(($Y149+N(IFERROR(IF(INDEX(photos!$F$2:$F$701,MATCH($A149&amp;"|"&amp;$B149&amp;"|placement|Y",photos!$R$2:$R$701,0))="","",INDEX(photos!$F$2:$F$701,MATCH($A149&amp;"|"&amp;$B149&amp;"|placement|Y",photos!$R$2:$R$701,0))),""))-$V149)*24,1))</f>
        <v/>
      </c>
      <c r="AD149" s="30" t="str">
        <f aca="false">IF($A149="","",SUMIFS(inventory!$G$2:$G$801,inventory!$C$2:$C$801,$A149,inventory!$D$2:$D$801,$B149,inventory!$E$2:$E$801,"topped_up"))</f>
        <v/>
      </c>
      <c r="AE149" s="30" t="str">
        <f aca="false">IF($A149="","",IF(COUNTIFS(counts!$C$2:$C$701,$A149,counts!$D$2:$D$701,$B149,counts!$E$2:$E$701,"remaining_day3")=0,"",SUMIFS(counts!$F$2:$F$701,counts!$C$2:$C$701,$A149,counts!$D$2:$D$701,$B149,counts!$E$2:$E$701,"remaining_day3")))</f>
        <v/>
      </c>
      <c r="AF149" s="30" t="str">
        <f aca="false">IF($A149="","",IF(COUNTIFS(counts!$C$2:$C$701,$A149,counts!$D$2:$D$701,$B149,counts!$E$2:$E$701,"remaining_day5")=0,"",SUMIFS(counts!$F$2:$F$701,counts!$C$2:$C$701,$A149,counts!$D$2:$D$701,$B149,counts!$E$2:$E$701,"remaining_day5")))</f>
        <v/>
      </c>
      <c r="AG149" s="30" t="str">
        <f aca="false">IF(OR($A149="",$AF149=""),"",MAX(0,$AA149+$AD149-$AF149))</f>
        <v/>
      </c>
      <c r="AH149" s="30" t="str">
        <f aca="false">IF(OR($A149="",$AI149=""),"",IFERROR(IF(INDEX(photos!$H$2:$H$701,MATCH($A149&amp;"|"&amp;$B149&amp;"|later|Y|"&amp;$AI149,photos!$S$2:$S$701,0))="","",INDEX(photos!$H$2:$H$701,MATCH($A149&amp;"|"&amp;$B149&amp;"|later|Y|"&amp;$AI149,photos!$S$2:$S$701,0))),""))</f>
        <v/>
      </c>
      <c r="AI149" s="31" t="str">
        <f aca="false">IF($A149="","",IFERROR(1/(1/SUMPRODUCT(MAX((photos!$B$2:$B$701=$A149)*(photos!$C$2:$C$701=$B149)*(photos!$D$2:$D$701="later")*(photos!$O$2:$O$701="Y")*photos!$E$2:$E$701))),""))</f>
        <v/>
      </c>
      <c r="AJ149" s="30" t="str">
        <f aca="false">IF(OR($A149="",$AI149="",$I149=""),"",NETWORKDAYS($I149,$AI149,calendar!$A$2:$A$80))</f>
        <v/>
      </c>
      <c r="AK149" s="30" t="str">
        <f aca="false">IF($A149="","",IF(AND($X149&lt;&gt;"",$AH149&lt;&gt;""),"Y","N"))</f>
        <v/>
      </c>
      <c r="AL149" s="30" t="str">
        <f aca="true">IF(OR($A149="",$I149=""),"",IF($BC149="Y",SUMIFS(survey_frozen!$C$2:$C$251,survey_frozen!$P$2:$P$251,$A149&amp;"|"&amp;$B149),IFERROR(COUNTIFS(INDIRECT("'"&amp;$A149&amp;"'!$B$2:$B$501"),$T149,INDIRECT("'"&amp;$A149&amp;"'!$A$2:$A$501"),"&gt;="&amp;$I149,INDIRECT("'"&amp;$A149&amp;"'!$A$2:$A$501"),"&lt;"&amp;($BA149+1)),0)))</f>
        <v/>
      </c>
      <c r="AM149" s="30" t="str">
        <f aca="true">IF(OR($A149="",$I149=""),"",IF($BC149="Y",SUMIFS(survey_frozen!$D$2:$D$251,survey_frozen!$P$2:$P$251,$A149&amp;"|"&amp;$B149),IFERROR(COUNTIFS(INDIRECT("'"&amp;$A149&amp;"'!$B$2:$B$501"),$T149,INDIRECT("'"&amp;$A149&amp;"'!$A$2:$A$501"),"&gt;="&amp;$I149,INDIRECT("'"&amp;$A149&amp;"'!$A$2:$A$501"),"&lt;"&amp;($BA149+1),INDIRECT("'"&amp;$A149&amp;"'!$C$2:$C$501"),"Yes"),0)))</f>
        <v/>
      </c>
      <c r="AN149" s="30" t="str">
        <f aca="false">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30" t="str">
        <f aca="false">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30" t="str">
        <f aca="true">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30" t="str">
        <f aca="true">IF(OR($A149="",$I149=""),"",IF($BC149="Y",SUMIFS(survey_frozen!$E$2:$E$251,survey_frozen!$P$2:$P$251,$A149&amp;"|"&amp;$B149),IFERROR(COUNTIFS(INDIRECT("'"&amp;$A149&amp;"'!$B$2:$B$501"),$T149,INDIRECT("'"&amp;$A149&amp;"'!$A$2:$A$501"),"&gt;="&amp;$I149,INDIRECT("'"&amp;$A149&amp;"'!$A$2:$A$501"),"&lt;"&amp;($BA149+1),INDIRECT("'"&amp;$A149&amp;"'!$F$2:$F$501"),"Didn't see it"),0)))</f>
        <v/>
      </c>
      <c r="AR149" s="30" t="str">
        <f aca="true">IF(OR($A149="",$I149=""),"",IF($BC149="Y",SUMIFS(survey_frozen!$F$2:$F$251,survey_frozen!$P$2:$P$251,$A149&amp;"|"&amp;$B149),IFERROR(COUNTIFS(INDIRECT("'"&amp;$A149&amp;"'!$B$2:$B$501"),$T149,INDIRECT("'"&amp;$A149&amp;"'!$A$2:$A$501"),"&gt;="&amp;$I149,INDIRECT("'"&amp;$A149&amp;"'!$A$2:$A$501"),"&lt;"&amp;($BA149+1),INDIRECT("'"&amp;$A149&amp;"'!$F$2:$F$501"),"Not for me"),0)))</f>
        <v/>
      </c>
      <c r="AS149" s="30" t="str">
        <f aca="true">IF(OR($A149="",$I149=""),"",IF($BC149="Y",SUMIFS(survey_frozen!$G$2:$G$251,survey_frozen!$P$2:$P$251,$A149&amp;"|"&amp;$B149),IFERROR(COUNTIFS(INDIRECT("'"&amp;$A149&amp;"'!$B$2:$B$501"),$T149,INDIRECT("'"&amp;$A149&amp;"'!$A$2:$A$501"),"&gt;="&amp;$I149,INDIRECT("'"&amp;$A149&amp;"'!$A$2:$A$501"),"&lt;"&amp;($BA149+1),INDIRECT("'"&amp;$A149&amp;"'!$F$2:$F$501"),"Gone by the time I looked"),0)))</f>
        <v/>
      </c>
      <c r="AT149" s="30" t="str">
        <f aca="true">IF(OR($A149="",$I149=""),"",IF($BC149="Y",SUMIFS(survey_frozen!$H$2:$H$251,survey_frozen!$P$2:$P$251,$A149&amp;"|"&amp;$B149),IFERROR(COUNTIFS(INDIRECT("'"&amp;$A149&amp;"'!$B$2:$B$501"),$T149,INDIRECT("'"&amp;$A149&amp;"'!$A$2:$A$501"),"&gt;="&amp;$I149,INDIRECT("'"&amp;$A149&amp;"'!$A$2:$A$501"),"&lt;"&amp;($BA149+1),INDIRECT("'"&amp;$A149&amp;"'!$D$2:$D$501"),"&gt;=1"),0)))</f>
        <v/>
      </c>
      <c r="AU149" s="30" t="str">
        <f aca="true">IF(OR($A149="",$I149=""),"",IF($BC149="Y",SUMIFS(survey_frozen!$I$2:$I$251,survey_frozen!$P$2:$P$251,$A149&amp;"|"&amp;$B149),IFERROR(SUMIFS(INDIRECT("'"&amp;$A149&amp;"'!$D$2:$D$501"),INDIRECT("'"&amp;$A149&amp;"'!$B$2:$B$501"),$T149,INDIRECT("'"&amp;$A149&amp;"'!$A$2:$A$501"),"&gt;="&amp;$I149,INDIRECT("'"&amp;$A149&amp;"'!$A$2:$A$501"),"&lt;"&amp;($BA149+1)),0)))</f>
        <v/>
      </c>
      <c r="AV149" s="30" t="str">
        <f aca="true">IF(OR($A149="",$I149=""),"",IF($BC149="Y",SUMIFS(survey_frozen!$J$2:$J$251,survey_frozen!$P$2:$P$251,$A149&amp;"|"&amp;$B149),IFERROR(COUNTIFS(INDIRECT("'"&amp;$A149&amp;"'!$B$2:$B$501"),$T149,INDIRECT("'"&amp;$A149&amp;"'!$A$2:$A$501"),"&gt;="&amp;$I149,INDIRECT("'"&amp;$A149&amp;"'!$A$2:$A$501"),"&lt;"&amp;($BA149+1),INDIRECT("'"&amp;$A149&amp;"'!$E$2:$E$501"),"Yes"),0)))</f>
        <v/>
      </c>
      <c r="AW149" s="30" t="str">
        <f aca="true">IF(OR($A149="",$I149=""),"",IF($BC149="Y",SUMIFS(survey_frozen!$K$2:$K$251,survey_frozen!$P$2:$P$251,$A149&amp;"|"&amp;$B149),IFERROR(COUNTIFS(INDIRECT("'"&amp;$A149&amp;"'!$B$2:$B$501"),$T149,INDIRECT("'"&amp;$A149&amp;"'!$A$2:$A$501"),"&gt;="&amp;$I149,INDIRECT("'"&amp;$A149&amp;"'!$A$2:$A$501"),"&lt;"&amp;($BA149+1),INDIRECT("'"&amp;$A149&amp;"'!$E$2:$E$501"),"Maybe"),0)))</f>
        <v/>
      </c>
      <c r="AX149" s="30" t="str">
        <f aca="true">IF(OR($A149="",$I149=""),"",IF($BC149="Y",SUMIFS(survey_frozen!$L$2:$L$251,survey_frozen!$P$2:$P$251,$A149&amp;"|"&amp;$B149),IFERROR(COUNTIFS(INDIRECT("'"&amp;$A149&amp;"'!$B$2:$B$501"),$T149,INDIRECT("'"&amp;$A149&amp;"'!$A$2:$A$501"),"&gt;="&amp;$I149,INDIRECT("'"&amp;$A149&amp;"'!$A$2:$A$501"),"&lt;"&amp;($BA149+1),INDIRECT("'"&amp;$A149&amp;"'!$E$2:$E$501"),"No"),0)))</f>
        <v/>
      </c>
      <c r="AY149" s="30" t="str">
        <f aca="true">IF(OR($A149="",$I149=""),"",IF($BC149="Y",SUMIFS(survey_frozen!$M$2:$M$251,survey_frozen!$P$2:$P$251,$A149&amp;"|"&amp;$B149),IFERROR(COUNTIFS(INDIRECT("'"&amp;$A149&amp;"'!$B$2:$B$501"),$T149,INDIRECT("'"&amp;$A149&amp;"'!$A$2:$A$501"),"&gt;="&amp;$I149,INDIRECT("'"&amp;$A149&amp;"'!$A$2:$A$501"),"&lt;"&amp;($BA149+1),INDIRECT("'"&amp;$A149&amp;"'!$G$2:$G$501"),"&lt;&gt;"),0)))</f>
        <v/>
      </c>
      <c r="AZ149" s="30" t="str">
        <f aca="false">IF($A149="","",$A149&amp;"|"&amp;$L149)</f>
        <v/>
      </c>
      <c r="BA149" s="31" t="str">
        <f aca="false">IF($A149="","",IFERROR(IF(INDEX(drops!$R$2:$R$21,MATCH($H149,drops!$A$2:$A$21,0))="","",INDEX(drops!$R$2:$R$21,MATCH($H149,drops!$A$2:$A$21,0))),""))</f>
        <v/>
      </c>
      <c r="BB149" s="30" t="n">
        <f aca="false">IF(OR($A149="",$Q149&lt;&gt;"Y"),1000000,N($AL149))</f>
        <v>1000000</v>
      </c>
      <c r="BC149" s="30" t="str">
        <f aca="false">IF($A149="","",IF(COUNTIF(survey_frozen!$P$2:$P$251,$A149&amp;"|"&amp;$B149)&gt;0,"Y",""))</f>
        <v/>
      </c>
      <c r="BD149" s="30" t="str">
        <f aca="false">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ustomFormat="false" ht="15" hidden="false" customHeight="false" outlineLevel="0" collapsed="false">
      <c r="C150" s="11"/>
      <c r="D150" s="10"/>
      <c r="E150" s="11"/>
      <c r="H150" s="30" t="str">
        <f aca="false">IF($A150="","",IFERROR(IF(INDEX(campaigns!$B$2:$B$51,MATCH($A150,campaigns!$A$2:$A$51,0))="","",INDEX(campaigns!$B$2:$B$51,MATCH($A150,campaigns!$A$2:$A$51,0))),""))</f>
        <v/>
      </c>
      <c r="I150" s="31" t="str">
        <f aca="false">IF($A150="","",IFERROR(IF(INDEX(campaigns!$BG$2:$BG$51,MATCH($A150,campaigns!$A$2:$A$51,0))="","",INDEX(campaigns!$BG$2:$BG$51,MATCH($A150,campaigns!$A$2:$A$51,0))),""))</f>
        <v/>
      </c>
      <c r="J150" s="30" t="str">
        <f aca="false">IF($A150="","",IFERROR(IF(INDEX(campaigns!$BE$2:$BE$51,MATCH($A150,campaigns!$A$2:$A$51,0))="","",INDEX(campaigns!$BE$2:$BE$51,MATCH($A150,campaigns!$A$2:$A$51,0))),""))</f>
        <v/>
      </c>
      <c r="K150" s="30" t="str">
        <f aca="false">IF($B150="","",IFERROR(IF(INDEX(offices!$O$2:$O$61,MATCH($B150,offices!$A$2:$A$61,0))="","",INDEX(offices!$O$2:$O$61,MATCH($B150,offices!$A$2:$A$61,0))),""))</f>
        <v/>
      </c>
      <c r="L150" s="30" t="str">
        <f aca="false">IF($A150="","",IF($Q150="N","",COUNTIFS($A$2:$A150,$A150,$Q$2:$Q150,"&lt;&gt;N")))</f>
        <v/>
      </c>
      <c r="M150" s="30" t="str">
        <f aca="false">IF(OR($A150="",$L150=""),"",IF(AND(config!$B$34="names_if_public",IFERROR(IF(INDEX(offices!$AG$2:$AG$61,MATCH($B150,offices!$A$2:$A$61,0))="","",INDEX(offices!$AG$2:$AG$61,MATCH($B150,offices!$A$2:$A$61,0))),"")="Y"),$K150,CHAR(64+$L150)))</f>
        <v/>
      </c>
      <c r="N150" s="30" t="str">
        <f aca="false">IF(OR($A150="",$I150=""),"",COUNTIFS(stops!$B$2:$B$151,$B150,stops!$P$2:$P$151,"&lt;"&amp;$I150,stops!$L$2:$L$151,"&lt;&gt;not_delivered")+1)</f>
        <v/>
      </c>
      <c r="O150" s="30" t="str">
        <f aca="false">IF($A150="","",IF(N($N150)&lt;=config!$B$29,"explicit","opt-out"))</f>
        <v/>
      </c>
      <c r="P150" s="30" t="str">
        <f aca="false">IF($A150="","",IF($O150="explicit",IF($D150="yes","Y",IF($D150="no","N","pending")),IF($D150="no","N",IF(AND($C150&lt;&gt;"",$I150&lt;&gt;"",$C150&lt;=WORKDAY(N($I150),-5,calendar!$A$2:$A$80)),"Y","pending"))))</f>
        <v/>
      </c>
      <c r="Q150" s="30" t="str">
        <f aca="false">IF($A150="","",IF($P150="N","N",IF($P150&lt;&gt;"Y","pending",IF(AND((COUNTIFS(stops!$A$2:$A$151,$H150,stops!$B$2:$B$151,$B150,stops!$L$2:$L$151,"declined")+COUNTIFS(stops!$A$2:$A$151,$H150,stops!$B$2:$B$151,$B150,stops!$L$2:$L$151,"building_refused")+COUNTIFS(stops!$A$2:$A$151,$H150,stops!$B$2:$B$151,$B150,stops!$L$2:$L$151,"not_delivered"))&gt;0,N($U150)=0),"N","Y"))))</f>
        <v/>
      </c>
      <c r="R150" s="30" t="str">
        <f aca="false">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30" t="str">
        <f aca="false">IF($A150="","",IF($G150&lt;&gt;"",$G150,IFERROR(IF(INDEX(offices!$AM$2:$AM$61,MATCH($B150,offices!$A$2:$A$61,0))="","",INDEX(offices!$AM$2:$AM$61,MATCH($B150,offices!$A$2:$A$61,0))),"")))</f>
        <v/>
      </c>
      <c r="T150" s="30" t="str">
        <f aca="false">IF($A150="","",$A150&amp;"."&amp;$B150)</f>
        <v/>
      </c>
      <c r="U150" s="30" t="str">
        <f aca="false">IF($A150="","",SUMIFS(inventory!$G$2:$G$801,inventory!$C$2:$C$801,$A150,inventory!$D$2:$D$801,$B150,inventory!$E$2:$E$801,"delivered"))</f>
        <v/>
      </c>
      <c r="V150" s="37" t="str">
        <f aca="false">IF($A150="","",IFERROR(1/(1/SUMPRODUCT(MAX((inventory!$C$2:$C$801=$A150)*(inventory!$D$2:$D$801=$B150)*(inventory!$E$2:$E$801="delivered")*(inventory!$A$2:$A$801+inventory!$B$2:$B$801)))),""))</f>
        <v/>
      </c>
      <c r="W150" s="30" t="str">
        <f aca="false">IF($A150="","",IFERROR(IF(INDEX(inventory!$J$2:$J$801,MATCH($A150&amp;"|"&amp;$B150&amp;"|delivered",inventory!$R$2:$R$801,0))="","",INDEX(inventory!$J$2:$J$801,MATCH($A150&amp;"|"&amp;$B150&amp;"|delivered",inventory!$R$2:$R$801,0))),""))</f>
        <v/>
      </c>
      <c r="X150" s="30" t="str">
        <f aca="false">IF($A150="","",IFERROR(IF(INDEX(photos!$H$2:$H$701,MATCH($A150&amp;"|"&amp;$B150&amp;"|placement|Y",photos!$R$2:$R$701,0))="","",INDEX(photos!$H$2:$H$701,MATCH($A150&amp;"|"&amp;$B150&amp;"|placement|Y",photos!$R$2:$R$701,0))),""))</f>
        <v/>
      </c>
      <c r="Y150" s="31" t="str">
        <f aca="false">IF($A150="","",IFERROR(IF(INDEX(photos!$E$2:$E$701,MATCH($A150&amp;"|"&amp;$B150&amp;"|placement|Y",photos!$R$2:$R$701,0))="","",INDEX(photos!$E$2:$E$701,MATCH($A150&amp;"|"&amp;$B150&amp;"|placement|Y",photos!$R$2:$R$701,0))),""))</f>
        <v/>
      </c>
      <c r="Z150" s="30" t="str">
        <f aca="false">IF($A150="","",IF(COUNTIFS(counts!$C$2:$C$701,$A150,counts!$D$2:$D$701,$B150,counts!$E$2:$E$701,"placed")=0,"",SUMIFS(counts!$F$2:$F$701,counts!$C$2:$C$701,$A150,counts!$D$2:$D$701,$B150,counts!$E$2:$E$701,"placed")))</f>
        <v/>
      </c>
      <c r="AA150" s="30" t="str">
        <f aca="false">IF($A150="","",IF($Y150="",0,N($Z150)))</f>
        <v/>
      </c>
      <c r="AB150" s="30" t="str">
        <f aca="false">IF($A150="","",IF(OR($Y150="",$I150=""),"N",IF($Y150&lt;=WORKDAY(N($I150),1,calendar!$A$2:$A$80),"Y","N")))</f>
        <v/>
      </c>
      <c r="AC150" s="33" t="str">
        <f aca="false">IF(OR($A150="",$V150="",$Y150=""),"",ROUND(($Y150+N(IFERROR(IF(INDEX(photos!$F$2:$F$701,MATCH($A150&amp;"|"&amp;$B150&amp;"|placement|Y",photos!$R$2:$R$701,0))="","",INDEX(photos!$F$2:$F$701,MATCH($A150&amp;"|"&amp;$B150&amp;"|placement|Y",photos!$R$2:$R$701,0))),""))-$V150)*24,1))</f>
        <v/>
      </c>
      <c r="AD150" s="30" t="str">
        <f aca="false">IF($A150="","",SUMIFS(inventory!$G$2:$G$801,inventory!$C$2:$C$801,$A150,inventory!$D$2:$D$801,$B150,inventory!$E$2:$E$801,"topped_up"))</f>
        <v/>
      </c>
      <c r="AE150" s="30" t="str">
        <f aca="false">IF($A150="","",IF(COUNTIFS(counts!$C$2:$C$701,$A150,counts!$D$2:$D$701,$B150,counts!$E$2:$E$701,"remaining_day3")=0,"",SUMIFS(counts!$F$2:$F$701,counts!$C$2:$C$701,$A150,counts!$D$2:$D$701,$B150,counts!$E$2:$E$701,"remaining_day3")))</f>
        <v/>
      </c>
      <c r="AF150" s="30" t="str">
        <f aca="false">IF($A150="","",IF(COUNTIFS(counts!$C$2:$C$701,$A150,counts!$D$2:$D$701,$B150,counts!$E$2:$E$701,"remaining_day5")=0,"",SUMIFS(counts!$F$2:$F$701,counts!$C$2:$C$701,$A150,counts!$D$2:$D$701,$B150,counts!$E$2:$E$701,"remaining_day5")))</f>
        <v/>
      </c>
      <c r="AG150" s="30" t="str">
        <f aca="false">IF(OR($A150="",$AF150=""),"",MAX(0,$AA150+$AD150-$AF150))</f>
        <v/>
      </c>
      <c r="AH150" s="30" t="str">
        <f aca="false">IF(OR($A150="",$AI150=""),"",IFERROR(IF(INDEX(photos!$H$2:$H$701,MATCH($A150&amp;"|"&amp;$B150&amp;"|later|Y|"&amp;$AI150,photos!$S$2:$S$701,0))="","",INDEX(photos!$H$2:$H$701,MATCH($A150&amp;"|"&amp;$B150&amp;"|later|Y|"&amp;$AI150,photos!$S$2:$S$701,0))),""))</f>
        <v/>
      </c>
      <c r="AI150" s="31" t="str">
        <f aca="false">IF($A150="","",IFERROR(1/(1/SUMPRODUCT(MAX((photos!$B$2:$B$701=$A150)*(photos!$C$2:$C$701=$B150)*(photos!$D$2:$D$701="later")*(photos!$O$2:$O$701="Y")*photos!$E$2:$E$701))),""))</f>
        <v/>
      </c>
      <c r="AJ150" s="30" t="str">
        <f aca="false">IF(OR($A150="",$AI150="",$I150=""),"",NETWORKDAYS($I150,$AI150,calendar!$A$2:$A$80))</f>
        <v/>
      </c>
      <c r="AK150" s="30" t="str">
        <f aca="false">IF($A150="","",IF(AND($X150&lt;&gt;"",$AH150&lt;&gt;""),"Y","N"))</f>
        <v/>
      </c>
      <c r="AL150" s="30" t="str">
        <f aca="true">IF(OR($A150="",$I150=""),"",IF($BC150="Y",SUMIFS(survey_frozen!$C$2:$C$251,survey_frozen!$P$2:$P$251,$A150&amp;"|"&amp;$B150),IFERROR(COUNTIFS(INDIRECT("'"&amp;$A150&amp;"'!$B$2:$B$501"),$T150,INDIRECT("'"&amp;$A150&amp;"'!$A$2:$A$501"),"&gt;="&amp;$I150,INDIRECT("'"&amp;$A150&amp;"'!$A$2:$A$501"),"&lt;"&amp;($BA150+1)),0)))</f>
        <v/>
      </c>
      <c r="AM150" s="30" t="str">
        <f aca="true">IF(OR($A150="",$I150=""),"",IF($BC150="Y",SUMIFS(survey_frozen!$D$2:$D$251,survey_frozen!$P$2:$P$251,$A150&amp;"|"&amp;$B150),IFERROR(COUNTIFS(INDIRECT("'"&amp;$A150&amp;"'!$B$2:$B$501"),$T150,INDIRECT("'"&amp;$A150&amp;"'!$A$2:$A$501"),"&gt;="&amp;$I150,INDIRECT("'"&amp;$A150&amp;"'!$A$2:$A$501"),"&lt;"&amp;($BA150+1),INDIRECT("'"&amp;$A150&amp;"'!$C$2:$C$501"),"Yes"),0)))</f>
        <v/>
      </c>
      <c r="AN150" s="30" t="str">
        <f aca="false">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30" t="str">
        <f aca="false">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30" t="str">
        <f aca="true">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30" t="str">
        <f aca="true">IF(OR($A150="",$I150=""),"",IF($BC150="Y",SUMIFS(survey_frozen!$E$2:$E$251,survey_frozen!$P$2:$P$251,$A150&amp;"|"&amp;$B150),IFERROR(COUNTIFS(INDIRECT("'"&amp;$A150&amp;"'!$B$2:$B$501"),$T150,INDIRECT("'"&amp;$A150&amp;"'!$A$2:$A$501"),"&gt;="&amp;$I150,INDIRECT("'"&amp;$A150&amp;"'!$A$2:$A$501"),"&lt;"&amp;($BA150+1),INDIRECT("'"&amp;$A150&amp;"'!$F$2:$F$501"),"Didn't see it"),0)))</f>
        <v/>
      </c>
      <c r="AR150" s="30" t="str">
        <f aca="true">IF(OR($A150="",$I150=""),"",IF($BC150="Y",SUMIFS(survey_frozen!$F$2:$F$251,survey_frozen!$P$2:$P$251,$A150&amp;"|"&amp;$B150),IFERROR(COUNTIFS(INDIRECT("'"&amp;$A150&amp;"'!$B$2:$B$501"),$T150,INDIRECT("'"&amp;$A150&amp;"'!$A$2:$A$501"),"&gt;="&amp;$I150,INDIRECT("'"&amp;$A150&amp;"'!$A$2:$A$501"),"&lt;"&amp;($BA150+1),INDIRECT("'"&amp;$A150&amp;"'!$F$2:$F$501"),"Not for me"),0)))</f>
        <v/>
      </c>
      <c r="AS150" s="30" t="str">
        <f aca="true">IF(OR($A150="",$I150=""),"",IF($BC150="Y",SUMIFS(survey_frozen!$G$2:$G$251,survey_frozen!$P$2:$P$251,$A150&amp;"|"&amp;$B150),IFERROR(COUNTIFS(INDIRECT("'"&amp;$A150&amp;"'!$B$2:$B$501"),$T150,INDIRECT("'"&amp;$A150&amp;"'!$A$2:$A$501"),"&gt;="&amp;$I150,INDIRECT("'"&amp;$A150&amp;"'!$A$2:$A$501"),"&lt;"&amp;($BA150+1),INDIRECT("'"&amp;$A150&amp;"'!$F$2:$F$501"),"Gone by the time I looked"),0)))</f>
        <v/>
      </c>
      <c r="AT150" s="30" t="str">
        <f aca="true">IF(OR($A150="",$I150=""),"",IF($BC150="Y",SUMIFS(survey_frozen!$H$2:$H$251,survey_frozen!$P$2:$P$251,$A150&amp;"|"&amp;$B150),IFERROR(COUNTIFS(INDIRECT("'"&amp;$A150&amp;"'!$B$2:$B$501"),$T150,INDIRECT("'"&amp;$A150&amp;"'!$A$2:$A$501"),"&gt;="&amp;$I150,INDIRECT("'"&amp;$A150&amp;"'!$A$2:$A$501"),"&lt;"&amp;($BA150+1),INDIRECT("'"&amp;$A150&amp;"'!$D$2:$D$501"),"&gt;=1"),0)))</f>
        <v/>
      </c>
      <c r="AU150" s="30" t="str">
        <f aca="true">IF(OR($A150="",$I150=""),"",IF($BC150="Y",SUMIFS(survey_frozen!$I$2:$I$251,survey_frozen!$P$2:$P$251,$A150&amp;"|"&amp;$B150),IFERROR(SUMIFS(INDIRECT("'"&amp;$A150&amp;"'!$D$2:$D$501"),INDIRECT("'"&amp;$A150&amp;"'!$B$2:$B$501"),$T150,INDIRECT("'"&amp;$A150&amp;"'!$A$2:$A$501"),"&gt;="&amp;$I150,INDIRECT("'"&amp;$A150&amp;"'!$A$2:$A$501"),"&lt;"&amp;($BA150+1)),0)))</f>
        <v/>
      </c>
      <c r="AV150" s="30" t="str">
        <f aca="true">IF(OR($A150="",$I150=""),"",IF($BC150="Y",SUMIFS(survey_frozen!$J$2:$J$251,survey_frozen!$P$2:$P$251,$A150&amp;"|"&amp;$B150),IFERROR(COUNTIFS(INDIRECT("'"&amp;$A150&amp;"'!$B$2:$B$501"),$T150,INDIRECT("'"&amp;$A150&amp;"'!$A$2:$A$501"),"&gt;="&amp;$I150,INDIRECT("'"&amp;$A150&amp;"'!$A$2:$A$501"),"&lt;"&amp;($BA150+1),INDIRECT("'"&amp;$A150&amp;"'!$E$2:$E$501"),"Yes"),0)))</f>
        <v/>
      </c>
      <c r="AW150" s="30" t="str">
        <f aca="true">IF(OR($A150="",$I150=""),"",IF($BC150="Y",SUMIFS(survey_frozen!$K$2:$K$251,survey_frozen!$P$2:$P$251,$A150&amp;"|"&amp;$B150),IFERROR(COUNTIFS(INDIRECT("'"&amp;$A150&amp;"'!$B$2:$B$501"),$T150,INDIRECT("'"&amp;$A150&amp;"'!$A$2:$A$501"),"&gt;="&amp;$I150,INDIRECT("'"&amp;$A150&amp;"'!$A$2:$A$501"),"&lt;"&amp;($BA150+1),INDIRECT("'"&amp;$A150&amp;"'!$E$2:$E$501"),"Maybe"),0)))</f>
        <v/>
      </c>
      <c r="AX150" s="30" t="str">
        <f aca="true">IF(OR($A150="",$I150=""),"",IF($BC150="Y",SUMIFS(survey_frozen!$L$2:$L$251,survey_frozen!$P$2:$P$251,$A150&amp;"|"&amp;$B150),IFERROR(COUNTIFS(INDIRECT("'"&amp;$A150&amp;"'!$B$2:$B$501"),$T150,INDIRECT("'"&amp;$A150&amp;"'!$A$2:$A$501"),"&gt;="&amp;$I150,INDIRECT("'"&amp;$A150&amp;"'!$A$2:$A$501"),"&lt;"&amp;($BA150+1),INDIRECT("'"&amp;$A150&amp;"'!$E$2:$E$501"),"No"),0)))</f>
        <v/>
      </c>
      <c r="AY150" s="30" t="str">
        <f aca="true">IF(OR($A150="",$I150=""),"",IF($BC150="Y",SUMIFS(survey_frozen!$M$2:$M$251,survey_frozen!$P$2:$P$251,$A150&amp;"|"&amp;$B150),IFERROR(COUNTIFS(INDIRECT("'"&amp;$A150&amp;"'!$B$2:$B$501"),$T150,INDIRECT("'"&amp;$A150&amp;"'!$A$2:$A$501"),"&gt;="&amp;$I150,INDIRECT("'"&amp;$A150&amp;"'!$A$2:$A$501"),"&lt;"&amp;($BA150+1),INDIRECT("'"&amp;$A150&amp;"'!$G$2:$G$501"),"&lt;&gt;"),0)))</f>
        <v/>
      </c>
      <c r="AZ150" s="30" t="str">
        <f aca="false">IF($A150="","",$A150&amp;"|"&amp;$L150)</f>
        <v/>
      </c>
      <c r="BA150" s="31" t="str">
        <f aca="false">IF($A150="","",IFERROR(IF(INDEX(drops!$R$2:$R$21,MATCH($H150,drops!$A$2:$A$21,0))="","",INDEX(drops!$R$2:$R$21,MATCH($H150,drops!$A$2:$A$21,0))),""))</f>
        <v/>
      </c>
      <c r="BB150" s="30" t="n">
        <f aca="false">IF(OR($A150="",$Q150&lt;&gt;"Y"),1000000,N($AL150))</f>
        <v>1000000</v>
      </c>
      <c r="BC150" s="30" t="str">
        <f aca="false">IF($A150="","",IF(COUNTIF(survey_frozen!$P$2:$P$251,$A150&amp;"|"&amp;$B150)&gt;0,"Y",""))</f>
        <v/>
      </c>
      <c r="BD150" s="30" t="str">
        <f aca="false">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ustomFormat="false" ht="15" hidden="false" customHeight="false" outlineLevel="0" collapsed="false">
      <c r="C151" s="11"/>
      <c r="D151" s="10"/>
      <c r="E151" s="11"/>
      <c r="H151" s="30" t="str">
        <f aca="false">IF($A151="","",IFERROR(IF(INDEX(campaigns!$B$2:$B$51,MATCH($A151,campaigns!$A$2:$A$51,0))="","",INDEX(campaigns!$B$2:$B$51,MATCH($A151,campaigns!$A$2:$A$51,0))),""))</f>
        <v/>
      </c>
      <c r="I151" s="31" t="str">
        <f aca="false">IF($A151="","",IFERROR(IF(INDEX(campaigns!$BG$2:$BG$51,MATCH($A151,campaigns!$A$2:$A$51,0))="","",INDEX(campaigns!$BG$2:$BG$51,MATCH($A151,campaigns!$A$2:$A$51,0))),""))</f>
        <v/>
      </c>
      <c r="J151" s="30" t="str">
        <f aca="false">IF($A151="","",IFERROR(IF(INDEX(campaigns!$BE$2:$BE$51,MATCH($A151,campaigns!$A$2:$A$51,0))="","",INDEX(campaigns!$BE$2:$BE$51,MATCH($A151,campaigns!$A$2:$A$51,0))),""))</f>
        <v/>
      </c>
      <c r="K151" s="30" t="str">
        <f aca="false">IF($B151="","",IFERROR(IF(INDEX(offices!$O$2:$O$61,MATCH($B151,offices!$A$2:$A$61,0))="","",INDEX(offices!$O$2:$O$61,MATCH($B151,offices!$A$2:$A$61,0))),""))</f>
        <v/>
      </c>
      <c r="L151" s="30" t="str">
        <f aca="false">IF($A151="","",IF($Q151="N","",COUNTIFS($A$2:$A151,$A151,$Q$2:$Q151,"&lt;&gt;N")))</f>
        <v/>
      </c>
      <c r="M151" s="30" t="str">
        <f aca="false">IF(OR($A151="",$L151=""),"",IF(AND(config!$B$34="names_if_public",IFERROR(IF(INDEX(offices!$AG$2:$AG$61,MATCH($B151,offices!$A$2:$A$61,0))="","",INDEX(offices!$AG$2:$AG$61,MATCH($B151,offices!$A$2:$A$61,0))),"")="Y"),$K151,CHAR(64+$L151)))</f>
        <v/>
      </c>
      <c r="N151" s="30" t="str">
        <f aca="false">IF(OR($A151="",$I151=""),"",COUNTIFS(stops!$B$2:$B$151,$B151,stops!$P$2:$P$151,"&lt;"&amp;$I151,stops!$L$2:$L$151,"&lt;&gt;not_delivered")+1)</f>
        <v/>
      </c>
      <c r="O151" s="30" t="str">
        <f aca="false">IF($A151="","",IF(N($N151)&lt;=config!$B$29,"explicit","opt-out"))</f>
        <v/>
      </c>
      <c r="P151" s="30" t="str">
        <f aca="false">IF($A151="","",IF($O151="explicit",IF($D151="yes","Y",IF($D151="no","N","pending")),IF($D151="no","N",IF(AND($C151&lt;&gt;"",$I151&lt;&gt;"",$C151&lt;=WORKDAY(N($I151),-5,calendar!$A$2:$A$80)),"Y","pending"))))</f>
        <v/>
      </c>
      <c r="Q151" s="30" t="str">
        <f aca="false">IF($A151="","",IF($P151="N","N",IF($P151&lt;&gt;"Y","pending",IF(AND((COUNTIFS(stops!$A$2:$A$151,$H151,stops!$B$2:$B$151,$B151,stops!$L$2:$L$151,"declined")+COUNTIFS(stops!$A$2:$A$151,$H151,stops!$B$2:$B$151,$B151,stops!$L$2:$L$151,"building_refused")+COUNTIFS(stops!$A$2:$A$151,$H151,stops!$B$2:$B$151,$B151,stops!$L$2:$L$151,"not_delivered"))&gt;0,N($U151)=0),"N","Y"))))</f>
        <v/>
      </c>
      <c r="R151" s="30" t="str">
        <f aca="false">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30" t="str">
        <f aca="false">IF($A151="","",IF($G151&lt;&gt;"",$G151,IFERROR(IF(INDEX(offices!$AM$2:$AM$61,MATCH($B151,offices!$A$2:$A$61,0))="","",INDEX(offices!$AM$2:$AM$61,MATCH($B151,offices!$A$2:$A$61,0))),"")))</f>
        <v/>
      </c>
      <c r="T151" s="30" t="str">
        <f aca="false">IF($A151="","",$A151&amp;"."&amp;$B151)</f>
        <v/>
      </c>
      <c r="U151" s="30" t="str">
        <f aca="false">IF($A151="","",SUMIFS(inventory!$G$2:$G$801,inventory!$C$2:$C$801,$A151,inventory!$D$2:$D$801,$B151,inventory!$E$2:$E$801,"delivered"))</f>
        <v/>
      </c>
      <c r="V151" s="37" t="str">
        <f aca="false">IF($A151="","",IFERROR(1/(1/SUMPRODUCT(MAX((inventory!$C$2:$C$801=$A151)*(inventory!$D$2:$D$801=$B151)*(inventory!$E$2:$E$801="delivered")*(inventory!$A$2:$A$801+inventory!$B$2:$B$801)))),""))</f>
        <v/>
      </c>
      <c r="W151" s="30" t="str">
        <f aca="false">IF($A151="","",IFERROR(IF(INDEX(inventory!$J$2:$J$801,MATCH($A151&amp;"|"&amp;$B151&amp;"|delivered",inventory!$R$2:$R$801,0))="","",INDEX(inventory!$J$2:$J$801,MATCH($A151&amp;"|"&amp;$B151&amp;"|delivered",inventory!$R$2:$R$801,0))),""))</f>
        <v/>
      </c>
      <c r="X151" s="30" t="str">
        <f aca="false">IF($A151="","",IFERROR(IF(INDEX(photos!$H$2:$H$701,MATCH($A151&amp;"|"&amp;$B151&amp;"|placement|Y",photos!$R$2:$R$701,0))="","",INDEX(photos!$H$2:$H$701,MATCH($A151&amp;"|"&amp;$B151&amp;"|placement|Y",photos!$R$2:$R$701,0))),""))</f>
        <v/>
      </c>
      <c r="Y151" s="31" t="str">
        <f aca="false">IF($A151="","",IFERROR(IF(INDEX(photos!$E$2:$E$701,MATCH($A151&amp;"|"&amp;$B151&amp;"|placement|Y",photos!$R$2:$R$701,0))="","",INDEX(photos!$E$2:$E$701,MATCH($A151&amp;"|"&amp;$B151&amp;"|placement|Y",photos!$R$2:$R$701,0))),""))</f>
        <v/>
      </c>
      <c r="Z151" s="30" t="str">
        <f aca="false">IF($A151="","",IF(COUNTIFS(counts!$C$2:$C$701,$A151,counts!$D$2:$D$701,$B151,counts!$E$2:$E$701,"placed")=0,"",SUMIFS(counts!$F$2:$F$701,counts!$C$2:$C$701,$A151,counts!$D$2:$D$701,$B151,counts!$E$2:$E$701,"placed")))</f>
        <v/>
      </c>
      <c r="AA151" s="30" t="str">
        <f aca="false">IF($A151="","",IF($Y151="",0,N($Z151)))</f>
        <v/>
      </c>
      <c r="AB151" s="30" t="str">
        <f aca="false">IF($A151="","",IF(OR($Y151="",$I151=""),"N",IF($Y151&lt;=WORKDAY(N($I151),1,calendar!$A$2:$A$80),"Y","N")))</f>
        <v/>
      </c>
      <c r="AC151" s="33" t="str">
        <f aca="false">IF(OR($A151="",$V151="",$Y151=""),"",ROUND(($Y151+N(IFERROR(IF(INDEX(photos!$F$2:$F$701,MATCH($A151&amp;"|"&amp;$B151&amp;"|placement|Y",photos!$R$2:$R$701,0))="","",INDEX(photos!$F$2:$F$701,MATCH($A151&amp;"|"&amp;$B151&amp;"|placement|Y",photos!$R$2:$R$701,0))),""))-$V151)*24,1))</f>
        <v/>
      </c>
      <c r="AD151" s="30" t="str">
        <f aca="false">IF($A151="","",SUMIFS(inventory!$G$2:$G$801,inventory!$C$2:$C$801,$A151,inventory!$D$2:$D$801,$B151,inventory!$E$2:$E$801,"topped_up"))</f>
        <v/>
      </c>
      <c r="AE151" s="30" t="str">
        <f aca="false">IF($A151="","",IF(COUNTIFS(counts!$C$2:$C$701,$A151,counts!$D$2:$D$701,$B151,counts!$E$2:$E$701,"remaining_day3")=0,"",SUMIFS(counts!$F$2:$F$701,counts!$C$2:$C$701,$A151,counts!$D$2:$D$701,$B151,counts!$E$2:$E$701,"remaining_day3")))</f>
        <v/>
      </c>
      <c r="AF151" s="30" t="str">
        <f aca="false">IF($A151="","",IF(COUNTIFS(counts!$C$2:$C$701,$A151,counts!$D$2:$D$701,$B151,counts!$E$2:$E$701,"remaining_day5")=0,"",SUMIFS(counts!$F$2:$F$701,counts!$C$2:$C$701,$A151,counts!$D$2:$D$701,$B151,counts!$E$2:$E$701,"remaining_day5")))</f>
        <v/>
      </c>
      <c r="AG151" s="30" t="str">
        <f aca="false">IF(OR($A151="",$AF151=""),"",MAX(0,$AA151+$AD151-$AF151))</f>
        <v/>
      </c>
      <c r="AH151" s="30" t="str">
        <f aca="false">IF(OR($A151="",$AI151=""),"",IFERROR(IF(INDEX(photos!$H$2:$H$701,MATCH($A151&amp;"|"&amp;$B151&amp;"|later|Y|"&amp;$AI151,photos!$S$2:$S$701,0))="","",INDEX(photos!$H$2:$H$701,MATCH($A151&amp;"|"&amp;$B151&amp;"|later|Y|"&amp;$AI151,photos!$S$2:$S$701,0))),""))</f>
        <v/>
      </c>
      <c r="AI151" s="31" t="str">
        <f aca="false">IF($A151="","",IFERROR(1/(1/SUMPRODUCT(MAX((photos!$B$2:$B$701=$A151)*(photos!$C$2:$C$701=$B151)*(photos!$D$2:$D$701="later")*(photos!$O$2:$O$701="Y")*photos!$E$2:$E$701))),""))</f>
        <v/>
      </c>
      <c r="AJ151" s="30" t="str">
        <f aca="false">IF(OR($A151="",$AI151="",$I151=""),"",NETWORKDAYS($I151,$AI151,calendar!$A$2:$A$80))</f>
        <v/>
      </c>
      <c r="AK151" s="30" t="str">
        <f aca="false">IF($A151="","",IF(AND($X151&lt;&gt;"",$AH151&lt;&gt;""),"Y","N"))</f>
        <v/>
      </c>
      <c r="AL151" s="30" t="str">
        <f aca="true">IF(OR($A151="",$I151=""),"",IF($BC151="Y",SUMIFS(survey_frozen!$C$2:$C$251,survey_frozen!$P$2:$P$251,$A151&amp;"|"&amp;$B151),IFERROR(COUNTIFS(INDIRECT("'"&amp;$A151&amp;"'!$B$2:$B$501"),$T151,INDIRECT("'"&amp;$A151&amp;"'!$A$2:$A$501"),"&gt;="&amp;$I151,INDIRECT("'"&amp;$A151&amp;"'!$A$2:$A$501"),"&lt;"&amp;($BA151+1)),0)))</f>
        <v/>
      </c>
      <c r="AM151" s="30" t="str">
        <f aca="true">IF(OR($A151="",$I151=""),"",IF($BC151="Y",SUMIFS(survey_frozen!$D$2:$D$251,survey_frozen!$P$2:$P$251,$A151&amp;"|"&amp;$B151),IFERROR(COUNTIFS(INDIRECT("'"&amp;$A151&amp;"'!$B$2:$B$501"),$T151,INDIRECT("'"&amp;$A151&amp;"'!$A$2:$A$501"),"&gt;="&amp;$I151,INDIRECT("'"&amp;$A151&amp;"'!$A$2:$A$501"),"&lt;"&amp;($BA151+1),INDIRECT("'"&amp;$A151&amp;"'!$C$2:$C$501"),"Yes"),0)))</f>
        <v/>
      </c>
      <c r="AN151" s="30" t="str">
        <f aca="false">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30" t="str">
        <f aca="false">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30" t="str">
        <f aca="true">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30" t="str">
        <f aca="true">IF(OR($A151="",$I151=""),"",IF($BC151="Y",SUMIFS(survey_frozen!$E$2:$E$251,survey_frozen!$P$2:$P$251,$A151&amp;"|"&amp;$B151),IFERROR(COUNTIFS(INDIRECT("'"&amp;$A151&amp;"'!$B$2:$B$501"),$T151,INDIRECT("'"&amp;$A151&amp;"'!$A$2:$A$501"),"&gt;="&amp;$I151,INDIRECT("'"&amp;$A151&amp;"'!$A$2:$A$501"),"&lt;"&amp;($BA151+1),INDIRECT("'"&amp;$A151&amp;"'!$F$2:$F$501"),"Didn't see it"),0)))</f>
        <v/>
      </c>
      <c r="AR151" s="30" t="str">
        <f aca="true">IF(OR($A151="",$I151=""),"",IF($BC151="Y",SUMIFS(survey_frozen!$F$2:$F$251,survey_frozen!$P$2:$P$251,$A151&amp;"|"&amp;$B151),IFERROR(COUNTIFS(INDIRECT("'"&amp;$A151&amp;"'!$B$2:$B$501"),$T151,INDIRECT("'"&amp;$A151&amp;"'!$A$2:$A$501"),"&gt;="&amp;$I151,INDIRECT("'"&amp;$A151&amp;"'!$A$2:$A$501"),"&lt;"&amp;($BA151+1),INDIRECT("'"&amp;$A151&amp;"'!$F$2:$F$501"),"Not for me"),0)))</f>
        <v/>
      </c>
      <c r="AS151" s="30" t="str">
        <f aca="true">IF(OR($A151="",$I151=""),"",IF($BC151="Y",SUMIFS(survey_frozen!$G$2:$G$251,survey_frozen!$P$2:$P$251,$A151&amp;"|"&amp;$B151),IFERROR(COUNTIFS(INDIRECT("'"&amp;$A151&amp;"'!$B$2:$B$501"),$T151,INDIRECT("'"&amp;$A151&amp;"'!$A$2:$A$501"),"&gt;="&amp;$I151,INDIRECT("'"&amp;$A151&amp;"'!$A$2:$A$501"),"&lt;"&amp;($BA151+1),INDIRECT("'"&amp;$A151&amp;"'!$F$2:$F$501"),"Gone by the time I looked"),0)))</f>
        <v/>
      </c>
      <c r="AT151" s="30" t="str">
        <f aca="true">IF(OR($A151="",$I151=""),"",IF($BC151="Y",SUMIFS(survey_frozen!$H$2:$H$251,survey_frozen!$P$2:$P$251,$A151&amp;"|"&amp;$B151),IFERROR(COUNTIFS(INDIRECT("'"&amp;$A151&amp;"'!$B$2:$B$501"),$T151,INDIRECT("'"&amp;$A151&amp;"'!$A$2:$A$501"),"&gt;="&amp;$I151,INDIRECT("'"&amp;$A151&amp;"'!$A$2:$A$501"),"&lt;"&amp;($BA151+1),INDIRECT("'"&amp;$A151&amp;"'!$D$2:$D$501"),"&gt;=1"),0)))</f>
        <v/>
      </c>
      <c r="AU151" s="30" t="str">
        <f aca="true">IF(OR($A151="",$I151=""),"",IF($BC151="Y",SUMIFS(survey_frozen!$I$2:$I$251,survey_frozen!$P$2:$P$251,$A151&amp;"|"&amp;$B151),IFERROR(SUMIFS(INDIRECT("'"&amp;$A151&amp;"'!$D$2:$D$501"),INDIRECT("'"&amp;$A151&amp;"'!$B$2:$B$501"),$T151,INDIRECT("'"&amp;$A151&amp;"'!$A$2:$A$501"),"&gt;="&amp;$I151,INDIRECT("'"&amp;$A151&amp;"'!$A$2:$A$501"),"&lt;"&amp;($BA151+1)),0)))</f>
        <v/>
      </c>
      <c r="AV151" s="30" t="str">
        <f aca="true">IF(OR($A151="",$I151=""),"",IF($BC151="Y",SUMIFS(survey_frozen!$J$2:$J$251,survey_frozen!$P$2:$P$251,$A151&amp;"|"&amp;$B151),IFERROR(COUNTIFS(INDIRECT("'"&amp;$A151&amp;"'!$B$2:$B$501"),$T151,INDIRECT("'"&amp;$A151&amp;"'!$A$2:$A$501"),"&gt;="&amp;$I151,INDIRECT("'"&amp;$A151&amp;"'!$A$2:$A$501"),"&lt;"&amp;($BA151+1),INDIRECT("'"&amp;$A151&amp;"'!$E$2:$E$501"),"Yes"),0)))</f>
        <v/>
      </c>
      <c r="AW151" s="30" t="str">
        <f aca="true">IF(OR($A151="",$I151=""),"",IF($BC151="Y",SUMIFS(survey_frozen!$K$2:$K$251,survey_frozen!$P$2:$P$251,$A151&amp;"|"&amp;$B151),IFERROR(COUNTIFS(INDIRECT("'"&amp;$A151&amp;"'!$B$2:$B$501"),$T151,INDIRECT("'"&amp;$A151&amp;"'!$A$2:$A$501"),"&gt;="&amp;$I151,INDIRECT("'"&amp;$A151&amp;"'!$A$2:$A$501"),"&lt;"&amp;($BA151+1),INDIRECT("'"&amp;$A151&amp;"'!$E$2:$E$501"),"Maybe"),0)))</f>
        <v/>
      </c>
      <c r="AX151" s="30" t="str">
        <f aca="true">IF(OR($A151="",$I151=""),"",IF($BC151="Y",SUMIFS(survey_frozen!$L$2:$L$251,survey_frozen!$P$2:$P$251,$A151&amp;"|"&amp;$B151),IFERROR(COUNTIFS(INDIRECT("'"&amp;$A151&amp;"'!$B$2:$B$501"),$T151,INDIRECT("'"&amp;$A151&amp;"'!$A$2:$A$501"),"&gt;="&amp;$I151,INDIRECT("'"&amp;$A151&amp;"'!$A$2:$A$501"),"&lt;"&amp;($BA151+1),INDIRECT("'"&amp;$A151&amp;"'!$E$2:$E$501"),"No"),0)))</f>
        <v/>
      </c>
      <c r="AY151" s="30" t="str">
        <f aca="true">IF(OR($A151="",$I151=""),"",IF($BC151="Y",SUMIFS(survey_frozen!$M$2:$M$251,survey_frozen!$P$2:$P$251,$A151&amp;"|"&amp;$B151),IFERROR(COUNTIFS(INDIRECT("'"&amp;$A151&amp;"'!$B$2:$B$501"),$T151,INDIRECT("'"&amp;$A151&amp;"'!$A$2:$A$501"),"&gt;="&amp;$I151,INDIRECT("'"&amp;$A151&amp;"'!$A$2:$A$501"),"&lt;"&amp;($BA151+1),INDIRECT("'"&amp;$A151&amp;"'!$G$2:$G$501"),"&lt;&gt;"),0)))</f>
        <v/>
      </c>
      <c r="AZ151" s="30" t="str">
        <f aca="false">IF($A151="","",$A151&amp;"|"&amp;$L151)</f>
        <v/>
      </c>
      <c r="BA151" s="31" t="str">
        <f aca="false">IF($A151="","",IFERROR(IF(INDEX(drops!$R$2:$R$21,MATCH($H151,drops!$A$2:$A$21,0))="","",INDEX(drops!$R$2:$R$21,MATCH($H151,drops!$A$2:$A$21,0))),""))</f>
        <v/>
      </c>
      <c r="BB151" s="30" t="n">
        <f aca="false">IF(OR($A151="",$Q151&lt;&gt;"Y"),1000000,N($AL151))</f>
        <v>1000000</v>
      </c>
      <c r="BC151" s="30" t="str">
        <f aca="false">IF($A151="","",IF(COUNTIF(survey_frozen!$P$2:$P$251,$A151&amp;"|"&amp;$B151)&gt;0,"Y",""))</f>
        <v/>
      </c>
      <c r="BD151" s="30" t="str">
        <f aca="false">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ustomFormat="false" ht="15" hidden="false" customHeight="false" outlineLevel="0" collapsed="false">
      <c r="C152" s="11"/>
      <c r="D152" s="10"/>
      <c r="E152" s="11"/>
      <c r="H152" s="30" t="str">
        <f aca="false">IF($A152="","",IFERROR(IF(INDEX(campaigns!$B$2:$B$51,MATCH($A152,campaigns!$A$2:$A$51,0))="","",INDEX(campaigns!$B$2:$B$51,MATCH($A152,campaigns!$A$2:$A$51,0))),""))</f>
        <v/>
      </c>
      <c r="I152" s="31" t="str">
        <f aca="false">IF($A152="","",IFERROR(IF(INDEX(campaigns!$BG$2:$BG$51,MATCH($A152,campaigns!$A$2:$A$51,0))="","",INDEX(campaigns!$BG$2:$BG$51,MATCH($A152,campaigns!$A$2:$A$51,0))),""))</f>
        <v/>
      </c>
      <c r="J152" s="30" t="str">
        <f aca="false">IF($A152="","",IFERROR(IF(INDEX(campaigns!$BE$2:$BE$51,MATCH($A152,campaigns!$A$2:$A$51,0))="","",INDEX(campaigns!$BE$2:$BE$51,MATCH($A152,campaigns!$A$2:$A$51,0))),""))</f>
        <v/>
      </c>
      <c r="K152" s="30" t="str">
        <f aca="false">IF($B152="","",IFERROR(IF(INDEX(offices!$O$2:$O$61,MATCH($B152,offices!$A$2:$A$61,0))="","",INDEX(offices!$O$2:$O$61,MATCH($B152,offices!$A$2:$A$61,0))),""))</f>
        <v/>
      </c>
      <c r="L152" s="30" t="str">
        <f aca="false">IF($A152="","",IF($Q152="N","",COUNTIFS($A$2:$A152,$A152,$Q$2:$Q152,"&lt;&gt;N")))</f>
        <v/>
      </c>
      <c r="M152" s="30" t="str">
        <f aca="false">IF(OR($A152="",$L152=""),"",IF(AND(config!$B$34="names_if_public",IFERROR(IF(INDEX(offices!$AG$2:$AG$61,MATCH($B152,offices!$A$2:$A$61,0))="","",INDEX(offices!$AG$2:$AG$61,MATCH($B152,offices!$A$2:$A$61,0))),"")="Y"),$K152,CHAR(64+$L152)))</f>
        <v/>
      </c>
      <c r="N152" s="30" t="str">
        <f aca="false">IF(OR($A152="",$I152=""),"",COUNTIFS(stops!$B$2:$B$151,$B152,stops!$P$2:$P$151,"&lt;"&amp;$I152,stops!$L$2:$L$151,"&lt;&gt;not_delivered")+1)</f>
        <v/>
      </c>
      <c r="O152" s="30" t="str">
        <f aca="false">IF($A152="","",IF(N($N152)&lt;=config!$B$29,"explicit","opt-out"))</f>
        <v/>
      </c>
      <c r="P152" s="30" t="str">
        <f aca="false">IF($A152="","",IF($O152="explicit",IF($D152="yes","Y",IF($D152="no","N","pending")),IF($D152="no","N",IF(AND($C152&lt;&gt;"",$I152&lt;&gt;"",$C152&lt;=WORKDAY(N($I152),-5,calendar!$A$2:$A$80)),"Y","pending"))))</f>
        <v/>
      </c>
      <c r="Q152" s="30" t="str">
        <f aca="false">IF($A152="","",IF($P152="N","N",IF($P152&lt;&gt;"Y","pending",IF(AND((COUNTIFS(stops!$A$2:$A$151,$H152,stops!$B$2:$B$151,$B152,stops!$L$2:$L$151,"declined")+COUNTIFS(stops!$A$2:$A$151,$H152,stops!$B$2:$B$151,$B152,stops!$L$2:$L$151,"building_refused")+COUNTIFS(stops!$A$2:$A$151,$H152,stops!$B$2:$B$151,$B152,stops!$L$2:$L$151,"not_delivered"))&gt;0,N($U152)=0),"N","Y"))))</f>
        <v/>
      </c>
      <c r="R152" s="30" t="str">
        <f aca="false">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30" t="str">
        <f aca="false">IF($A152="","",IF($G152&lt;&gt;"",$G152,IFERROR(IF(INDEX(offices!$AM$2:$AM$61,MATCH($B152,offices!$A$2:$A$61,0))="","",INDEX(offices!$AM$2:$AM$61,MATCH($B152,offices!$A$2:$A$61,0))),"")))</f>
        <v/>
      </c>
      <c r="T152" s="30" t="str">
        <f aca="false">IF($A152="","",$A152&amp;"."&amp;$B152)</f>
        <v/>
      </c>
      <c r="U152" s="30" t="str">
        <f aca="false">IF($A152="","",SUMIFS(inventory!$G$2:$G$801,inventory!$C$2:$C$801,$A152,inventory!$D$2:$D$801,$B152,inventory!$E$2:$E$801,"delivered"))</f>
        <v/>
      </c>
      <c r="V152" s="37" t="str">
        <f aca="false">IF($A152="","",IFERROR(1/(1/SUMPRODUCT(MAX((inventory!$C$2:$C$801=$A152)*(inventory!$D$2:$D$801=$B152)*(inventory!$E$2:$E$801="delivered")*(inventory!$A$2:$A$801+inventory!$B$2:$B$801)))),""))</f>
        <v/>
      </c>
      <c r="W152" s="30" t="str">
        <f aca="false">IF($A152="","",IFERROR(IF(INDEX(inventory!$J$2:$J$801,MATCH($A152&amp;"|"&amp;$B152&amp;"|delivered",inventory!$R$2:$R$801,0))="","",INDEX(inventory!$J$2:$J$801,MATCH($A152&amp;"|"&amp;$B152&amp;"|delivered",inventory!$R$2:$R$801,0))),""))</f>
        <v/>
      </c>
      <c r="X152" s="30" t="str">
        <f aca="false">IF($A152="","",IFERROR(IF(INDEX(photos!$H$2:$H$701,MATCH($A152&amp;"|"&amp;$B152&amp;"|placement|Y",photos!$R$2:$R$701,0))="","",INDEX(photos!$H$2:$H$701,MATCH($A152&amp;"|"&amp;$B152&amp;"|placement|Y",photos!$R$2:$R$701,0))),""))</f>
        <v/>
      </c>
      <c r="Y152" s="31" t="str">
        <f aca="false">IF($A152="","",IFERROR(IF(INDEX(photos!$E$2:$E$701,MATCH($A152&amp;"|"&amp;$B152&amp;"|placement|Y",photos!$R$2:$R$701,0))="","",INDEX(photos!$E$2:$E$701,MATCH($A152&amp;"|"&amp;$B152&amp;"|placement|Y",photos!$R$2:$R$701,0))),""))</f>
        <v/>
      </c>
      <c r="Z152" s="30" t="str">
        <f aca="false">IF($A152="","",IF(COUNTIFS(counts!$C$2:$C$701,$A152,counts!$D$2:$D$701,$B152,counts!$E$2:$E$701,"placed")=0,"",SUMIFS(counts!$F$2:$F$701,counts!$C$2:$C$701,$A152,counts!$D$2:$D$701,$B152,counts!$E$2:$E$701,"placed")))</f>
        <v/>
      </c>
      <c r="AA152" s="30" t="str">
        <f aca="false">IF($A152="","",IF($Y152="",0,N($Z152)))</f>
        <v/>
      </c>
      <c r="AB152" s="30" t="str">
        <f aca="false">IF($A152="","",IF(OR($Y152="",$I152=""),"N",IF($Y152&lt;=WORKDAY(N($I152),1,calendar!$A$2:$A$80),"Y","N")))</f>
        <v/>
      </c>
      <c r="AC152" s="33" t="str">
        <f aca="false">IF(OR($A152="",$V152="",$Y152=""),"",ROUND(($Y152+N(IFERROR(IF(INDEX(photos!$F$2:$F$701,MATCH($A152&amp;"|"&amp;$B152&amp;"|placement|Y",photos!$R$2:$R$701,0))="","",INDEX(photos!$F$2:$F$701,MATCH($A152&amp;"|"&amp;$B152&amp;"|placement|Y",photos!$R$2:$R$701,0))),""))-$V152)*24,1))</f>
        <v/>
      </c>
      <c r="AD152" s="30" t="str">
        <f aca="false">IF($A152="","",SUMIFS(inventory!$G$2:$G$801,inventory!$C$2:$C$801,$A152,inventory!$D$2:$D$801,$B152,inventory!$E$2:$E$801,"topped_up"))</f>
        <v/>
      </c>
      <c r="AE152" s="30" t="str">
        <f aca="false">IF($A152="","",IF(COUNTIFS(counts!$C$2:$C$701,$A152,counts!$D$2:$D$701,$B152,counts!$E$2:$E$701,"remaining_day3")=0,"",SUMIFS(counts!$F$2:$F$701,counts!$C$2:$C$701,$A152,counts!$D$2:$D$701,$B152,counts!$E$2:$E$701,"remaining_day3")))</f>
        <v/>
      </c>
      <c r="AF152" s="30" t="str">
        <f aca="false">IF($A152="","",IF(COUNTIFS(counts!$C$2:$C$701,$A152,counts!$D$2:$D$701,$B152,counts!$E$2:$E$701,"remaining_day5")=0,"",SUMIFS(counts!$F$2:$F$701,counts!$C$2:$C$701,$A152,counts!$D$2:$D$701,$B152,counts!$E$2:$E$701,"remaining_day5")))</f>
        <v/>
      </c>
      <c r="AG152" s="30" t="str">
        <f aca="false">IF(OR($A152="",$AF152=""),"",MAX(0,$AA152+$AD152-$AF152))</f>
        <v/>
      </c>
      <c r="AH152" s="30" t="str">
        <f aca="false">IF(OR($A152="",$AI152=""),"",IFERROR(IF(INDEX(photos!$H$2:$H$701,MATCH($A152&amp;"|"&amp;$B152&amp;"|later|Y|"&amp;$AI152,photos!$S$2:$S$701,0))="","",INDEX(photos!$H$2:$H$701,MATCH($A152&amp;"|"&amp;$B152&amp;"|later|Y|"&amp;$AI152,photos!$S$2:$S$701,0))),""))</f>
        <v/>
      </c>
      <c r="AI152" s="31" t="str">
        <f aca="false">IF($A152="","",IFERROR(1/(1/SUMPRODUCT(MAX((photos!$B$2:$B$701=$A152)*(photos!$C$2:$C$701=$B152)*(photos!$D$2:$D$701="later")*(photos!$O$2:$O$701="Y")*photos!$E$2:$E$701))),""))</f>
        <v/>
      </c>
      <c r="AJ152" s="30" t="str">
        <f aca="false">IF(OR($A152="",$AI152="",$I152=""),"",NETWORKDAYS($I152,$AI152,calendar!$A$2:$A$80))</f>
        <v/>
      </c>
      <c r="AK152" s="30" t="str">
        <f aca="false">IF($A152="","",IF(AND($X152&lt;&gt;"",$AH152&lt;&gt;""),"Y","N"))</f>
        <v/>
      </c>
      <c r="AL152" s="30" t="str">
        <f aca="true">IF(OR($A152="",$I152=""),"",IF($BC152="Y",SUMIFS(survey_frozen!$C$2:$C$251,survey_frozen!$P$2:$P$251,$A152&amp;"|"&amp;$B152),IFERROR(COUNTIFS(INDIRECT("'"&amp;$A152&amp;"'!$B$2:$B$501"),$T152,INDIRECT("'"&amp;$A152&amp;"'!$A$2:$A$501"),"&gt;="&amp;$I152,INDIRECT("'"&amp;$A152&amp;"'!$A$2:$A$501"),"&lt;"&amp;($BA152+1)),0)))</f>
        <v/>
      </c>
      <c r="AM152" s="30" t="str">
        <f aca="true">IF(OR($A152="",$I152=""),"",IF($BC152="Y",SUMIFS(survey_frozen!$D$2:$D$251,survey_frozen!$P$2:$P$251,$A152&amp;"|"&amp;$B152),IFERROR(COUNTIFS(INDIRECT("'"&amp;$A152&amp;"'!$B$2:$B$501"),$T152,INDIRECT("'"&amp;$A152&amp;"'!$A$2:$A$501"),"&gt;="&amp;$I152,INDIRECT("'"&amp;$A152&amp;"'!$A$2:$A$501"),"&lt;"&amp;($BA152+1),INDIRECT("'"&amp;$A152&amp;"'!$C$2:$C$501"),"Yes"),0)))</f>
        <v/>
      </c>
      <c r="AN152" s="30" t="str">
        <f aca="false">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30" t="str">
        <f aca="false">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30" t="str">
        <f aca="true">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30" t="str">
        <f aca="true">IF(OR($A152="",$I152=""),"",IF($BC152="Y",SUMIFS(survey_frozen!$E$2:$E$251,survey_frozen!$P$2:$P$251,$A152&amp;"|"&amp;$B152),IFERROR(COUNTIFS(INDIRECT("'"&amp;$A152&amp;"'!$B$2:$B$501"),$T152,INDIRECT("'"&amp;$A152&amp;"'!$A$2:$A$501"),"&gt;="&amp;$I152,INDIRECT("'"&amp;$A152&amp;"'!$A$2:$A$501"),"&lt;"&amp;($BA152+1),INDIRECT("'"&amp;$A152&amp;"'!$F$2:$F$501"),"Didn't see it"),0)))</f>
        <v/>
      </c>
      <c r="AR152" s="30" t="str">
        <f aca="true">IF(OR($A152="",$I152=""),"",IF($BC152="Y",SUMIFS(survey_frozen!$F$2:$F$251,survey_frozen!$P$2:$P$251,$A152&amp;"|"&amp;$B152),IFERROR(COUNTIFS(INDIRECT("'"&amp;$A152&amp;"'!$B$2:$B$501"),$T152,INDIRECT("'"&amp;$A152&amp;"'!$A$2:$A$501"),"&gt;="&amp;$I152,INDIRECT("'"&amp;$A152&amp;"'!$A$2:$A$501"),"&lt;"&amp;($BA152+1),INDIRECT("'"&amp;$A152&amp;"'!$F$2:$F$501"),"Not for me"),0)))</f>
        <v/>
      </c>
      <c r="AS152" s="30" t="str">
        <f aca="true">IF(OR($A152="",$I152=""),"",IF($BC152="Y",SUMIFS(survey_frozen!$G$2:$G$251,survey_frozen!$P$2:$P$251,$A152&amp;"|"&amp;$B152),IFERROR(COUNTIFS(INDIRECT("'"&amp;$A152&amp;"'!$B$2:$B$501"),$T152,INDIRECT("'"&amp;$A152&amp;"'!$A$2:$A$501"),"&gt;="&amp;$I152,INDIRECT("'"&amp;$A152&amp;"'!$A$2:$A$501"),"&lt;"&amp;($BA152+1),INDIRECT("'"&amp;$A152&amp;"'!$F$2:$F$501"),"Gone by the time I looked"),0)))</f>
        <v/>
      </c>
      <c r="AT152" s="30" t="str">
        <f aca="true">IF(OR($A152="",$I152=""),"",IF($BC152="Y",SUMIFS(survey_frozen!$H$2:$H$251,survey_frozen!$P$2:$P$251,$A152&amp;"|"&amp;$B152),IFERROR(COUNTIFS(INDIRECT("'"&amp;$A152&amp;"'!$B$2:$B$501"),$T152,INDIRECT("'"&amp;$A152&amp;"'!$A$2:$A$501"),"&gt;="&amp;$I152,INDIRECT("'"&amp;$A152&amp;"'!$A$2:$A$501"),"&lt;"&amp;($BA152+1),INDIRECT("'"&amp;$A152&amp;"'!$D$2:$D$501"),"&gt;=1"),0)))</f>
        <v/>
      </c>
      <c r="AU152" s="30" t="str">
        <f aca="true">IF(OR($A152="",$I152=""),"",IF($BC152="Y",SUMIFS(survey_frozen!$I$2:$I$251,survey_frozen!$P$2:$P$251,$A152&amp;"|"&amp;$B152),IFERROR(SUMIFS(INDIRECT("'"&amp;$A152&amp;"'!$D$2:$D$501"),INDIRECT("'"&amp;$A152&amp;"'!$B$2:$B$501"),$T152,INDIRECT("'"&amp;$A152&amp;"'!$A$2:$A$501"),"&gt;="&amp;$I152,INDIRECT("'"&amp;$A152&amp;"'!$A$2:$A$501"),"&lt;"&amp;($BA152+1)),0)))</f>
        <v/>
      </c>
      <c r="AV152" s="30" t="str">
        <f aca="true">IF(OR($A152="",$I152=""),"",IF($BC152="Y",SUMIFS(survey_frozen!$J$2:$J$251,survey_frozen!$P$2:$P$251,$A152&amp;"|"&amp;$B152),IFERROR(COUNTIFS(INDIRECT("'"&amp;$A152&amp;"'!$B$2:$B$501"),$T152,INDIRECT("'"&amp;$A152&amp;"'!$A$2:$A$501"),"&gt;="&amp;$I152,INDIRECT("'"&amp;$A152&amp;"'!$A$2:$A$501"),"&lt;"&amp;($BA152+1),INDIRECT("'"&amp;$A152&amp;"'!$E$2:$E$501"),"Yes"),0)))</f>
        <v/>
      </c>
      <c r="AW152" s="30" t="str">
        <f aca="true">IF(OR($A152="",$I152=""),"",IF($BC152="Y",SUMIFS(survey_frozen!$K$2:$K$251,survey_frozen!$P$2:$P$251,$A152&amp;"|"&amp;$B152),IFERROR(COUNTIFS(INDIRECT("'"&amp;$A152&amp;"'!$B$2:$B$501"),$T152,INDIRECT("'"&amp;$A152&amp;"'!$A$2:$A$501"),"&gt;="&amp;$I152,INDIRECT("'"&amp;$A152&amp;"'!$A$2:$A$501"),"&lt;"&amp;($BA152+1),INDIRECT("'"&amp;$A152&amp;"'!$E$2:$E$501"),"Maybe"),0)))</f>
        <v/>
      </c>
      <c r="AX152" s="30" t="str">
        <f aca="true">IF(OR($A152="",$I152=""),"",IF($BC152="Y",SUMIFS(survey_frozen!$L$2:$L$251,survey_frozen!$P$2:$P$251,$A152&amp;"|"&amp;$B152),IFERROR(COUNTIFS(INDIRECT("'"&amp;$A152&amp;"'!$B$2:$B$501"),$T152,INDIRECT("'"&amp;$A152&amp;"'!$A$2:$A$501"),"&gt;="&amp;$I152,INDIRECT("'"&amp;$A152&amp;"'!$A$2:$A$501"),"&lt;"&amp;($BA152+1),INDIRECT("'"&amp;$A152&amp;"'!$E$2:$E$501"),"No"),0)))</f>
        <v/>
      </c>
      <c r="AY152" s="30" t="str">
        <f aca="true">IF(OR($A152="",$I152=""),"",IF($BC152="Y",SUMIFS(survey_frozen!$M$2:$M$251,survey_frozen!$P$2:$P$251,$A152&amp;"|"&amp;$B152),IFERROR(COUNTIFS(INDIRECT("'"&amp;$A152&amp;"'!$B$2:$B$501"),$T152,INDIRECT("'"&amp;$A152&amp;"'!$A$2:$A$501"),"&gt;="&amp;$I152,INDIRECT("'"&amp;$A152&amp;"'!$A$2:$A$501"),"&lt;"&amp;($BA152+1),INDIRECT("'"&amp;$A152&amp;"'!$G$2:$G$501"),"&lt;&gt;"),0)))</f>
        <v/>
      </c>
      <c r="AZ152" s="30" t="str">
        <f aca="false">IF($A152="","",$A152&amp;"|"&amp;$L152)</f>
        <v/>
      </c>
      <c r="BA152" s="31" t="str">
        <f aca="false">IF($A152="","",IFERROR(IF(INDEX(drops!$R$2:$R$21,MATCH($H152,drops!$A$2:$A$21,0))="","",INDEX(drops!$R$2:$R$21,MATCH($H152,drops!$A$2:$A$21,0))),""))</f>
        <v/>
      </c>
      <c r="BB152" s="30" t="n">
        <f aca="false">IF(OR($A152="",$Q152&lt;&gt;"Y"),1000000,N($AL152))</f>
        <v>1000000</v>
      </c>
      <c r="BC152" s="30" t="str">
        <f aca="false">IF($A152="","",IF(COUNTIF(survey_frozen!$P$2:$P$251,$A152&amp;"|"&amp;$B152)&gt;0,"Y",""))</f>
        <v/>
      </c>
      <c r="BD152" s="30" t="str">
        <f aca="false">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ustomFormat="false" ht="15" hidden="false" customHeight="false" outlineLevel="0" collapsed="false">
      <c r="C153" s="11"/>
      <c r="D153" s="10"/>
      <c r="E153" s="11"/>
      <c r="H153" s="30" t="str">
        <f aca="false">IF($A153="","",IFERROR(IF(INDEX(campaigns!$B$2:$B$51,MATCH($A153,campaigns!$A$2:$A$51,0))="","",INDEX(campaigns!$B$2:$B$51,MATCH($A153,campaigns!$A$2:$A$51,0))),""))</f>
        <v/>
      </c>
      <c r="I153" s="31" t="str">
        <f aca="false">IF($A153="","",IFERROR(IF(INDEX(campaigns!$BG$2:$BG$51,MATCH($A153,campaigns!$A$2:$A$51,0))="","",INDEX(campaigns!$BG$2:$BG$51,MATCH($A153,campaigns!$A$2:$A$51,0))),""))</f>
        <v/>
      </c>
      <c r="J153" s="30" t="str">
        <f aca="false">IF($A153="","",IFERROR(IF(INDEX(campaigns!$BE$2:$BE$51,MATCH($A153,campaigns!$A$2:$A$51,0))="","",INDEX(campaigns!$BE$2:$BE$51,MATCH($A153,campaigns!$A$2:$A$51,0))),""))</f>
        <v/>
      </c>
      <c r="K153" s="30" t="str">
        <f aca="false">IF($B153="","",IFERROR(IF(INDEX(offices!$O$2:$O$61,MATCH($B153,offices!$A$2:$A$61,0))="","",INDEX(offices!$O$2:$O$61,MATCH($B153,offices!$A$2:$A$61,0))),""))</f>
        <v/>
      </c>
      <c r="L153" s="30" t="str">
        <f aca="false">IF($A153="","",IF($Q153="N","",COUNTIFS($A$2:$A153,$A153,$Q$2:$Q153,"&lt;&gt;N")))</f>
        <v/>
      </c>
      <c r="M153" s="30" t="str">
        <f aca="false">IF(OR($A153="",$L153=""),"",IF(AND(config!$B$34="names_if_public",IFERROR(IF(INDEX(offices!$AG$2:$AG$61,MATCH($B153,offices!$A$2:$A$61,0))="","",INDEX(offices!$AG$2:$AG$61,MATCH($B153,offices!$A$2:$A$61,0))),"")="Y"),$K153,CHAR(64+$L153)))</f>
        <v/>
      </c>
      <c r="N153" s="30" t="str">
        <f aca="false">IF(OR($A153="",$I153=""),"",COUNTIFS(stops!$B$2:$B$151,$B153,stops!$P$2:$P$151,"&lt;"&amp;$I153,stops!$L$2:$L$151,"&lt;&gt;not_delivered")+1)</f>
        <v/>
      </c>
      <c r="O153" s="30" t="str">
        <f aca="false">IF($A153="","",IF(N($N153)&lt;=config!$B$29,"explicit","opt-out"))</f>
        <v/>
      </c>
      <c r="P153" s="30" t="str">
        <f aca="false">IF($A153="","",IF($O153="explicit",IF($D153="yes","Y",IF($D153="no","N","pending")),IF($D153="no","N",IF(AND($C153&lt;&gt;"",$I153&lt;&gt;"",$C153&lt;=WORKDAY(N($I153),-5,calendar!$A$2:$A$80)),"Y","pending"))))</f>
        <v/>
      </c>
      <c r="Q153" s="30" t="str">
        <f aca="false">IF($A153="","",IF($P153="N","N",IF($P153&lt;&gt;"Y","pending",IF(AND((COUNTIFS(stops!$A$2:$A$151,$H153,stops!$B$2:$B$151,$B153,stops!$L$2:$L$151,"declined")+COUNTIFS(stops!$A$2:$A$151,$H153,stops!$B$2:$B$151,$B153,stops!$L$2:$L$151,"building_refused")+COUNTIFS(stops!$A$2:$A$151,$H153,stops!$B$2:$B$151,$B153,stops!$L$2:$L$151,"not_delivered"))&gt;0,N($U153)=0),"N","Y"))))</f>
        <v/>
      </c>
      <c r="R153" s="30" t="str">
        <f aca="false">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30" t="str">
        <f aca="false">IF($A153="","",IF($G153&lt;&gt;"",$G153,IFERROR(IF(INDEX(offices!$AM$2:$AM$61,MATCH($B153,offices!$A$2:$A$61,0))="","",INDEX(offices!$AM$2:$AM$61,MATCH($B153,offices!$A$2:$A$61,0))),"")))</f>
        <v/>
      </c>
      <c r="T153" s="30" t="str">
        <f aca="false">IF($A153="","",$A153&amp;"."&amp;$B153)</f>
        <v/>
      </c>
      <c r="U153" s="30" t="str">
        <f aca="false">IF($A153="","",SUMIFS(inventory!$G$2:$G$801,inventory!$C$2:$C$801,$A153,inventory!$D$2:$D$801,$B153,inventory!$E$2:$E$801,"delivered"))</f>
        <v/>
      </c>
      <c r="V153" s="37" t="str">
        <f aca="false">IF($A153="","",IFERROR(1/(1/SUMPRODUCT(MAX((inventory!$C$2:$C$801=$A153)*(inventory!$D$2:$D$801=$B153)*(inventory!$E$2:$E$801="delivered")*(inventory!$A$2:$A$801+inventory!$B$2:$B$801)))),""))</f>
        <v/>
      </c>
      <c r="W153" s="30" t="str">
        <f aca="false">IF($A153="","",IFERROR(IF(INDEX(inventory!$J$2:$J$801,MATCH($A153&amp;"|"&amp;$B153&amp;"|delivered",inventory!$R$2:$R$801,0))="","",INDEX(inventory!$J$2:$J$801,MATCH($A153&amp;"|"&amp;$B153&amp;"|delivered",inventory!$R$2:$R$801,0))),""))</f>
        <v/>
      </c>
      <c r="X153" s="30" t="str">
        <f aca="false">IF($A153="","",IFERROR(IF(INDEX(photos!$H$2:$H$701,MATCH($A153&amp;"|"&amp;$B153&amp;"|placement|Y",photos!$R$2:$R$701,0))="","",INDEX(photos!$H$2:$H$701,MATCH($A153&amp;"|"&amp;$B153&amp;"|placement|Y",photos!$R$2:$R$701,0))),""))</f>
        <v/>
      </c>
      <c r="Y153" s="31" t="str">
        <f aca="false">IF($A153="","",IFERROR(IF(INDEX(photos!$E$2:$E$701,MATCH($A153&amp;"|"&amp;$B153&amp;"|placement|Y",photos!$R$2:$R$701,0))="","",INDEX(photos!$E$2:$E$701,MATCH($A153&amp;"|"&amp;$B153&amp;"|placement|Y",photos!$R$2:$R$701,0))),""))</f>
        <v/>
      </c>
      <c r="Z153" s="30" t="str">
        <f aca="false">IF($A153="","",IF(COUNTIFS(counts!$C$2:$C$701,$A153,counts!$D$2:$D$701,$B153,counts!$E$2:$E$701,"placed")=0,"",SUMIFS(counts!$F$2:$F$701,counts!$C$2:$C$701,$A153,counts!$D$2:$D$701,$B153,counts!$E$2:$E$701,"placed")))</f>
        <v/>
      </c>
      <c r="AA153" s="30" t="str">
        <f aca="false">IF($A153="","",IF($Y153="",0,N($Z153)))</f>
        <v/>
      </c>
      <c r="AB153" s="30" t="str">
        <f aca="false">IF($A153="","",IF(OR($Y153="",$I153=""),"N",IF($Y153&lt;=WORKDAY(N($I153),1,calendar!$A$2:$A$80),"Y","N")))</f>
        <v/>
      </c>
      <c r="AC153" s="33" t="str">
        <f aca="false">IF(OR($A153="",$V153="",$Y153=""),"",ROUND(($Y153+N(IFERROR(IF(INDEX(photos!$F$2:$F$701,MATCH($A153&amp;"|"&amp;$B153&amp;"|placement|Y",photos!$R$2:$R$701,0))="","",INDEX(photos!$F$2:$F$701,MATCH($A153&amp;"|"&amp;$B153&amp;"|placement|Y",photos!$R$2:$R$701,0))),""))-$V153)*24,1))</f>
        <v/>
      </c>
      <c r="AD153" s="30" t="str">
        <f aca="false">IF($A153="","",SUMIFS(inventory!$G$2:$G$801,inventory!$C$2:$C$801,$A153,inventory!$D$2:$D$801,$B153,inventory!$E$2:$E$801,"topped_up"))</f>
        <v/>
      </c>
      <c r="AE153" s="30" t="str">
        <f aca="false">IF($A153="","",IF(COUNTIFS(counts!$C$2:$C$701,$A153,counts!$D$2:$D$701,$B153,counts!$E$2:$E$701,"remaining_day3")=0,"",SUMIFS(counts!$F$2:$F$701,counts!$C$2:$C$701,$A153,counts!$D$2:$D$701,$B153,counts!$E$2:$E$701,"remaining_day3")))</f>
        <v/>
      </c>
      <c r="AF153" s="30" t="str">
        <f aca="false">IF($A153="","",IF(COUNTIFS(counts!$C$2:$C$701,$A153,counts!$D$2:$D$701,$B153,counts!$E$2:$E$701,"remaining_day5")=0,"",SUMIFS(counts!$F$2:$F$701,counts!$C$2:$C$701,$A153,counts!$D$2:$D$701,$B153,counts!$E$2:$E$701,"remaining_day5")))</f>
        <v/>
      </c>
      <c r="AG153" s="30" t="str">
        <f aca="false">IF(OR($A153="",$AF153=""),"",MAX(0,$AA153+$AD153-$AF153))</f>
        <v/>
      </c>
      <c r="AH153" s="30" t="str">
        <f aca="false">IF(OR($A153="",$AI153=""),"",IFERROR(IF(INDEX(photos!$H$2:$H$701,MATCH($A153&amp;"|"&amp;$B153&amp;"|later|Y|"&amp;$AI153,photos!$S$2:$S$701,0))="","",INDEX(photos!$H$2:$H$701,MATCH($A153&amp;"|"&amp;$B153&amp;"|later|Y|"&amp;$AI153,photos!$S$2:$S$701,0))),""))</f>
        <v/>
      </c>
      <c r="AI153" s="31" t="str">
        <f aca="false">IF($A153="","",IFERROR(1/(1/SUMPRODUCT(MAX((photos!$B$2:$B$701=$A153)*(photos!$C$2:$C$701=$B153)*(photos!$D$2:$D$701="later")*(photos!$O$2:$O$701="Y")*photos!$E$2:$E$701))),""))</f>
        <v/>
      </c>
      <c r="AJ153" s="30" t="str">
        <f aca="false">IF(OR($A153="",$AI153="",$I153=""),"",NETWORKDAYS($I153,$AI153,calendar!$A$2:$A$80))</f>
        <v/>
      </c>
      <c r="AK153" s="30" t="str">
        <f aca="false">IF($A153="","",IF(AND($X153&lt;&gt;"",$AH153&lt;&gt;""),"Y","N"))</f>
        <v/>
      </c>
      <c r="AL153" s="30" t="str">
        <f aca="true">IF(OR($A153="",$I153=""),"",IF($BC153="Y",SUMIFS(survey_frozen!$C$2:$C$251,survey_frozen!$P$2:$P$251,$A153&amp;"|"&amp;$B153),IFERROR(COUNTIFS(INDIRECT("'"&amp;$A153&amp;"'!$B$2:$B$501"),$T153,INDIRECT("'"&amp;$A153&amp;"'!$A$2:$A$501"),"&gt;="&amp;$I153,INDIRECT("'"&amp;$A153&amp;"'!$A$2:$A$501"),"&lt;"&amp;($BA153+1)),0)))</f>
        <v/>
      </c>
      <c r="AM153" s="30" t="str">
        <f aca="true">IF(OR($A153="",$I153=""),"",IF($BC153="Y",SUMIFS(survey_frozen!$D$2:$D$251,survey_frozen!$P$2:$P$251,$A153&amp;"|"&amp;$B153),IFERROR(COUNTIFS(INDIRECT("'"&amp;$A153&amp;"'!$B$2:$B$501"),$T153,INDIRECT("'"&amp;$A153&amp;"'!$A$2:$A$501"),"&gt;="&amp;$I153,INDIRECT("'"&amp;$A153&amp;"'!$A$2:$A$501"),"&lt;"&amp;($BA153+1),INDIRECT("'"&amp;$A153&amp;"'!$C$2:$C$501"),"Yes"),0)))</f>
        <v/>
      </c>
      <c r="AN153" s="30" t="str">
        <f aca="false">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30" t="str">
        <f aca="false">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30" t="str">
        <f aca="true">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30" t="str">
        <f aca="true">IF(OR($A153="",$I153=""),"",IF($BC153="Y",SUMIFS(survey_frozen!$E$2:$E$251,survey_frozen!$P$2:$P$251,$A153&amp;"|"&amp;$B153),IFERROR(COUNTIFS(INDIRECT("'"&amp;$A153&amp;"'!$B$2:$B$501"),$T153,INDIRECT("'"&amp;$A153&amp;"'!$A$2:$A$501"),"&gt;="&amp;$I153,INDIRECT("'"&amp;$A153&amp;"'!$A$2:$A$501"),"&lt;"&amp;($BA153+1),INDIRECT("'"&amp;$A153&amp;"'!$F$2:$F$501"),"Didn't see it"),0)))</f>
        <v/>
      </c>
      <c r="AR153" s="30" t="str">
        <f aca="true">IF(OR($A153="",$I153=""),"",IF($BC153="Y",SUMIFS(survey_frozen!$F$2:$F$251,survey_frozen!$P$2:$P$251,$A153&amp;"|"&amp;$B153),IFERROR(COUNTIFS(INDIRECT("'"&amp;$A153&amp;"'!$B$2:$B$501"),$T153,INDIRECT("'"&amp;$A153&amp;"'!$A$2:$A$501"),"&gt;="&amp;$I153,INDIRECT("'"&amp;$A153&amp;"'!$A$2:$A$501"),"&lt;"&amp;($BA153+1),INDIRECT("'"&amp;$A153&amp;"'!$F$2:$F$501"),"Not for me"),0)))</f>
        <v/>
      </c>
      <c r="AS153" s="30" t="str">
        <f aca="true">IF(OR($A153="",$I153=""),"",IF($BC153="Y",SUMIFS(survey_frozen!$G$2:$G$251,survey_frozen!$P$2:$P$251,$A153&amp;"|"&amp;$B153),IFERROR(COUNTIFS(INDIRECT("'"&amp;$A153&amp;"'!$B$2:$B$501"),$T153,INDIRECT("'"&amp;$A153&amp;"'!$A$2:$A$501"),"&gt;="&amp;$I153,INDIRECT("'"&amp;$A153&amp;"'!$A$2:$A$501"),"&lt;"&amp;($BA153+1),INDIRECT("'"&amp;$A153&amp;"'!$F$2:$F$501"),"Gone by the time I looked"),0)))</f>
        <v/>
      </c>
      <c r="AT153" s="30" t="str">
        <f aca="true">IF(OR($A153="",$I153=""),"",IF($BC153="Y",SUMIFS(survey_frozen!$H$2:$H$251,survey_frozen!$P$2:$P$251,$A153&amp;"|"&amp;$B153),IFERROR(COUNTIFS(INDIRECT("'"&amp;$A153&amp;"'!$B$2:$B$501"),$T153,INDIRECT("'"&amp;$A153&amp;"'!$A$2:$A$501"),"&gt;="&amp;$I153,INDIRECT("'"&amp;$A153&amp;"'!$A$2:$A$501"),"&lt;"&amp;($BA153+1),INDIRECT("'"&amp;$A153&amp;"'!$D$2:$D$501"),"&gt;=1"),0)))</f>
        <v/>
      </c>
      <c r="AU153" s="30" t="str">
        <f aca="true">IF(OR($A153="",$I153=""),"",IF($BC153="Y",SUMIFS(survey_frozen!$I$2:$I$251,survey_frozen!$P$2:$P$251,$A153&amp;"|"&amp;$B153),IFERROR(SUMIFS(INDIRECT("'"&amp;$A153&amp;"'!$D$2:$D$501"),INDIRECT("'"&amp;$A153&amp;"'!$B$2:$B$501"),$T153,INDIRECT("'"&amp;$A153&amp;"'!$A$2:$A$501"),"&gt;="&amp;$I153,INDIRECT("'"&amp;$A153&amp;"'!$A$2:$A$501"),"&lt;"&amp;($BA153+1)),0)))</f>
        <v/>
      </c>
      <c r="AV153" s="30" t="str">
        <f aca="true">IF(OR($A153="",$I153=""),"",IF($BC153="Y",SUMIFS(survey_frozen!$J$2:$J$251,survey_frozen!$P$2:$P$251,$A153&amp;"|"&amp;$B153),IFERROR(COUNTIFS(INDIRECT("'"&amp;$A153&amp;"'!$B$2:$B$501"),$T153,INDIRECT("'"&amp;$A153&amp;"'!$A$2:$A$501"),"&gt;="&amp;$I153,INDIRECT("'"&amp;$A153&amp;"'!$A$2:$A$501"),"&lt;"&amp;($BA153+1),INDIRECT("'"&amp;$A153&amp;"'!$E$2:$E$501"),"Yes"),0)))</f>
        <v/>
      </c>
      <c r="AW153" s="30" t="str">
        <f aca="true">IF(OR($A153="",$I153=""),"",IF($BC153="Y",SUMIFS(survey_frozen!$K$2:$K$251,survey_frozen!$P$2:$P$251,$A153&amp;"|"&amp;$B153),IFERROR(COUNTIFS(INDIRECT("'"&amp;$A153&amp;"'!$B$2:$B$501"),$T153,INDIRECT("'"&amp;$A153&amp;"'!$A$2:$A$501"),"&gt;="&amp;$I153,INDIRECT("'"&amp;$A153&amp;"'!$A$2:$A$501"),"&lt;"&amp;($BA153+1),INDIRECT("'"&amp;$A153&amp;"'!$E$2:$E$501"),"Maybe"),0)))</f>
        <v/>
      </c>
      <c r="AX153" s="30" t="str">
        <f aca="true">IF(OR($A153="",$I153=""),"",IF($BC153="Y",SUMIFS(survey_frozen!$L$2:$L$251,survey_frozen!$P$2:$P$251,$A153&amp;"|"&amp;$B153),IFERROR(COUNTIFS(INDIRECT("'"&amp;$A153&amp;"'!$B$2:$B$501"),$T153,INDIRECT("'"&amp;$A153&amp;"'!$A$2:$A$501"),"&gt;="&amp;$I153,INDIRECT("'"&amp;$A153&amp;"'!$A$2:$A$501"),"&lt;"&amp;($BA153+1),INDIRECT("'"&amp;$A153&amp;"'!$E$2:$E$501"),"No"),0)))</f>
        <v/>
      </c>
      <c r="AY153" s="30" t="str">
        <f aca="true">IF(OR($A153="",$I153=""),"",IF($BC153="Y",SUMIFS(survey_frozen!$M$2:$M$251,survey_frozen!$P$2:$P$251,$A153&amp;"|"&amp;$B153),IFERROR(COUNTIFS(INDIRECT("'"&amp;$A153&amp;"'!$B$2:$B$501"),$T153,INDIRECT("'"&amp;$A153&amp;"'!$A$2:$A$501"),"&gt;="&amp;$I153,INDIRECT("'"&amp;$A153&amp;"'!$A$2:$A$501"),"&lt;"&amp;($BA153+1),INDIRECT("'"&amp;$A153&amp;"'!$G$2:$G$501"),"&lt;&gt;"),0)))</f>
        <v/>
      </c>
      <c r="AZ153" s="30" t="str">
        <f aca="false">IF($A153="","",$A153&amp;"|"&amp;$L153)</f>
        <v/>
      </c>
      <c r="BA153" s="31" t="str">
        <f aca="false">IF($A153="","",IFERROR(IF(INDEX(drops!$R$2:$R$21,MATCH($H153,drops!$A$2:$A$21,0))="","",INDEX(drops!$R$2:$R$21,MATCH($H153,drops!$A$2:$A$21,0))),""))</f>
        <v/>
      </c>
      <c r="BB153" s="30" t="n">
        <f aca="false">IF(OR($A153="",$Q153&lt;&gt;"Y"),1000000,N($AL153))</f>
        <v>1000000</v>
      </c>
      <c r="BC153" s="30" t="str">
        <f aca="false">IF($A153="","",IF(COUNTIF(survey_frozen!$P$2:$P$251,$A153&amp;"|"&amp;$B153)&gt;0,"Y",""))</f>
        <v/>
      </c>
      <c r="BD153" s="30" t="str">
        <f aca="false">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ustomFormat="false" ht="15" hidden="false" customHeight="false" outlineLevel="0" collapsed="false">
      <c r="C154" s="11"/>
      <c r="D154" s="10"/>
      <c r="E154" s="11"/>
      <c r="H154" s="30" t="str">
        <f aca="false">IF($A154="","",IFERROR(IF(INDEX(campaigns!$B$2:$B$51,MATCH($A154,campaigns!$A$2:$A$51,0))="","",INDEX(campaigns!$B$2:$B$51,MATCH($A154,campaigns!$A$2:$A$51,0))),""))</f>
        <v/>
      </c>
      <c r="I154" s="31" t="str">
        <f aca="false">IF($A154="","",IFERROR(IF(INDEX(campaigns!$BG$2:$BG$51,MATCH($A154,campaigns!$A$2:$A$51,0))="","",INDEX(campaigns!$BG$2:$BG$51,MATCH($A154,campaigns!$A$2:$A$51,0))),""))</f>
        <v/>
      </c>
      <c r="J154" s="30" t="str">
        <f aca="false">IF($A154="","",IFERROR(IF(INDEX(campaigns!$BE$2:$BE$51,MATCH($A154,campaigns!$A$2:$A$51,0))="","",INDEX(campaigns!$BE$2:$BE$51,MATCH($A154,campaigns!$A$2:$A$51,0))),""))</f>
        <v/>
      </c>
      <c r="K154" s="30" t="str">
        <f aca="false">IF($B154="","",IFERROR(IF(INDEX(offices!$O$2:$O$61,MATCH($B154,offices!$A$2:$A$61,0))="","",INDEX(offices!$O$2:$O$61,MATCH($B154,offices!$A$2:$A$61,0))),""))</f>
        <v/>
      </c>
      <c r="L154" s="30" t="str">
        <f aca="false">IF($A154="","",IF($Q154="N","",COUNTIFS($A$2:$A154,$A154,$Q$2:$Q154,"&lt;&gt;N")))</f>
        <v/>
      </c>
      <c r="M154" s="30" t="str">
        <f aca="false">IF(OR($A154="",$L154=""),"",IF(AND(config!$B$34="names_if_public",IFERROR(IF(INDEX(offices!$AG$2:$AG$61,MATCH($B154,offices!$A$2:$A$61,0))="","",INDEX(offices!$AG$2:$AG$61,MATCH($B154,offices!$A$2:$A$61,0))),"")="Y"),$K154,CHAR(64+$L154)))</f>
        <v/>
      </c>
      <c r="N154" s="30" t="str">
        <f aca="false">IF(OR($A154="",$I154=""),"",COUNTIFS(stops!$B$2:$B$151,$B154,stops!$P$2:$P$151,"&lt;"&amp;$I154,stops!$L$2:$L$151,"&lt;&gt;not_delivered")+1)</f>
        <v/>
      </c>
      <c r="O154" s="30" t="str">
        <f aca="false">IF($A154="","",IF(N($N154)&lt;=config!$B$29,"explicit","opt-out"))</f>
        <v/>
      </c>
      <c r="P154" s="30" t="str">
        <f aca="false">IF($A154="","",IF($O154="explicit",IF($D154="yes","Y",IF($D154="no","N","pending")),IF($D154="no","N",IF(AND($C154&lt;&gt;"",$I154&lt;&gt;"",$C154&lt;=WORKDAY(N($I154),-5,calendar!$A$2:$A$80)),"Y","pending"))))</f>
        <v/>
      </c>
      <c r="Q154" s="30" t="str">
        <f aca="false">IF($A154="","",IF($P154="N","N",IF($P154&lt;&gt;"Y","pending",IF(AND((COUNTIFS(stops!$A$2:$A$151,$H154,stops!$B$2:$B$151,$B154,stops!$L$2:$L$151,"declined")+COUNTIFS(stops!$A$2:$A$151,$H154,stops!$B$2:$B$151,$B154,stops!$L$2:$L$151,"building_refused")+COUNTIFS(stops!$A$2:$A$151,$H154,stops!$B$2:$B$151,$B154,stops!$L$2:$L$151,"not_delivered"))&gt;0,N($U154)=0),"N","Y"))))</f>
        <v/>
      </c>
      <c r="R154" s="30" t="str">
        <f aca="false">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30" t="str">
        <f aca="false">IF($A154="","",IF($G154&lt;&gt;"",$G154,IFERROR(IF(INDEX(offices!$AM$2:$AM$61,MATCH($B154,offices!$A$2:$A$61,0))="","",INDEX(offices!$AM$2:$AM$61,MATCH($B154,offices!$A$2:$A$61,0))),"")))</f>
        <v/>
      </c>
      <c r="T154" s="30" t="str">
        <f aca="false">IF($A154="","",$A154&amp;"."&amp;$B154)</f>
        <v/>
      </c>
      <c r="U154" s="30" t="str">
        <f aca="false">IF($A154="","",SUMIFS(inventory!$G$2:$G$801,inventory!$C$2:$C$801,$A154,inventory!$D$2:$D$801,$B154,inventory!$E$2:$E$801,"delivered"))</f>
        <v/>
      </c>
      <c r="V154" s="37" t="str">
        <f aca="false">IF($A154="","",IFERROR(1/(1/SUMPRODUCT(MAX((inventory!$C$2:$C$801=$A154)*(inventory!$D$2:$D$801=$B154)*(inventory!$E$2:$E$801="delivered")*(inventory!$A$2:$A$801+inventory!$B$2:$B$801)))),""))</f>
        <v/>
      </c>
      <c r="W154" s="30" t="str">
        <f aca="false">IF($A154="","",IFERROR(IF(INDEX(inventory!$J$2:$J$801,MATCH($A154&amp;"|"&amp;$B154&amp;"|delivered",inventory!$R$2:$R$801,0))="","",INDEX(inventory!$J$2:$J$801,MATCH($A154&amp;"|"&amp;$B154&amp;"|delivered",inventory!$R$2:$R$801,0))),""))</f>
        <v/>
      </c>
      <c r="X154" s="30" t="str">
        <f aca="false">IF($A154="","",IFERROR(IF(INDEX(photos!$H$2:$H$701,MATCH($A154&amp;"|"&amp;$B154&amp;"|placement|Y",photos!$R$2:$R$701,0))="","",INDEX(photos!$H$2:$H$701,MATCH($A154&amp;"|"&amp;$B154&amp;"|placement|Y",photos!$R$2:$R$701,0))),""))</f>
        <v/>
      </c>
      <c r="Y154" s="31" t="str">
        <f aca="false">IF($A154="","",IFERROR(IF(INDEX(photos!$E$2:$E$701,MATCH($A154&amp;"|"&amp;$B154&amp;"|placement|Y",photos!$R$2:$R$701,0))="","",INDEX(photos!$E$2:$E$701,MATCH($A154&amp;"|"&amp;$B154&amp;"|placement|Y",photos!$R$2:$R$701,0))),""))</f>
        <v/>
      </c>
      <c r="Z154" s="30" t="str">
        <f aca="false">IF($A154="","",IF(COUNTIFS(counts!$C$2:$C$701,$A154,counts!$D$2:$D$701,$B154,counts!$E$2:$E$701,"placed")=0,"",SUMIFS(counts!$F$2:$F$701,counts!$C$2:$C$701,$A154,counts!$D$2:$D$701,$B154,counts!$E$2:$E$701,"placed")))</f>
        <v/>
      </c>
      <c r="AA154" s="30" t="str">
        <f aca="false">IF($A154="","",IF($Y154="",0,N($Z154)))</f>
        <v/>
      </c>
      <c r="AB154" s="30" t="str">
        <f aca="false">IF($A154="","",IF(OR($Y154="",$I154=""),"N",IF($Y154&lt;=WORKDAY(N($I154),1,calendar!$A$2:$A$80),"Y","N")))</f>
        <v/>
      </c>
      <c r="AC154" s="33" t="str">
        <f aca="false">IF(OR($A154="",$V154="",$Y154=""),"",ROUND(($Y154+N(IFERROR(IF(INDEX(photos!$F$2:$F$701,MATCH($A154&amp;"|"&amp;$B154&amp;"|placement|Y",photos!$R$2:$R$701,0))="","",INDEX(photos!$F$2:$F$701,MATCH($A154&amp;"|"&amp;$B154&amp;"|placement|Y",photos!$R$2:$R$701,0))),""))-$V154)*24,1))</f>
        <v/>
      </c>
      <c r="AD154" s="30" t="str">
        <f aca="false">IF($A154="","",SUMIFS(inventory!$G$2:$G$801,inventory!$C$2:$C$801,$A154,inventory!$D$2:$D$801,$B154,inventory!$E$2:$E$801,"topped_up"))</f>
        <v/>
      </c>
      <c r="AE154" s="30" t="str">
        <f aca="false">IF($A154="","",IF(COUNTIFS(counts!$C$2:$C$701,$A154,counts!$D$2:$D$701,$B154,counts!$E$2:$E$701,"remaining_day3")=0,"",SUMIFS(counts!$F$2:$F$701,counts!$C$2:$C$701,$A154,counts!$D$2:$D$701,$B154,counts!$E$2:$E$701,"remaining_day3")))</f>
        <v/>
      </c>
      <c r="AF154" s="30" t="str">
        <f aca="false">IF($A154="","",IF(COUNTIFS(counts!$C$2:$C$701,$A154,counts!$D$2:$D$701,$B154,counts!$E$2:$E$701,"remaining_day5")=0,"",SUMIFS(counts!$F$2:$F$701,counts!$C$2:$C$701,$A154,counts!$D$2:$D$701,$B154,counts!$E$2:$E$701,"remaining_day5")))</f>
        <v/>
      </c>
      <c r="AG154" s="30" t="str">
        <f aca="false">IF(OR($A154="",$AF154=""),"",MAX(0,$AA154+$AD154-$AF154))</f>
        <v/>
      </c>
      <c r="AH154" s="30" t="str">
        <f aca="false">IF(OR($A154="",$AI154=""),"",IFERROR(IF(INDEX(photos!$H$2:$H$701,MATCH($A154&amp;"|"&amp;$B154&amp;"|later|Y|"&amp;$AI154,photos!$S$2:$S$701,0))="","",INDEX(photos!$H$2:$H$701,MATCH($A154&amp;"|"&amp;$B154&amp;"|later|Y|"&amp;$AI154,photos!$S$2:$S$701,0))),""))</f>
        <v/>
      </c>
      <c r="AI154" s="31" t="str">
        <f aca="false">IF($A154="","",IFERROR(1/(1/SUMPRODUCT(MAX((photos!$B$2:$B$701=$A154)*(photos!$C$2:$C$701=$B154)*(photos!$D$2:$D$701="later")*(photos!$O$2:$O$701="Y")*photos!$E$2:$E$701))),""))</f>
        <v/>
      </c>
      <c r="AJ154" s="30" t="str">
        <f aca="false">IF(OR($A154="",$AI154="",$I154=""),"",NETWORKDAYS($I154,$AI154,calendar!$A$2:$A$80))</f>
        <v/>
      </c>
      <c r="AK154" s="30" t="str">
        <f aca="false">IF($A154="","",IF(AND($X154&lt;&gt;"",$AH154&lt;&gt;""),"Y","N"))</f>
        <v/>
      </c>
      <c r="AL154" s="30" t="str">
        <f aca="true">IF(OR($A154="",$I154=""),"",IF($BC154="Y",SUMIFS(survey_frozen!$C$2:$C$251,survey_frozen!$P$2:$P$251,$A154&amp;"|"&amp;$B154),IFERROR(COUNTIFS(INDIRECT("'"&amp;$A154&amp;"'!$B$2:$B$501"),$T154,INDIRECT("'"&amp;$A154&amp;"'!$A$2:$A$501"),"&gt;="&amp;$I154,INDIRECT("'"&amp;$A154&amp;"'!$A$2:$A$501"),"&lt;"&amp;($BA154+1)),0)))</f>
        <v/>
      </c>
      <c r="AM154" s="30" t="str">
        <f aca="true">IF(OR($A154="",$I154=""),"",IF($BC154="Y",SUMIFS(survey_frozen!$D$2:$D$251,survey_frozen!$P$2:$P$251,$A154&amp;"|"&amp;$B154),IFERROR(COUNTIFS(INDIRECT("'"&amp;$A154&amp;"'!$B$2:$B$501"),$T154,INDIRECT("'"&amp;$A154&amp;"'!$A$2:$A$501"),"&gt;="&amp;$I154,INDIRECT("'"&amp;$A154&amp;"'!$A$2:$A$501"),"&lt;"&amp;($BA154+1),INDIRECT("'"&amp;$A154&amp;"'!$C$2:$C$501"),"Yes"),0)))</f>
        <v/>
      </c>
      <c r="AN154" s="30" t="str">
        <f aca="false">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30" t="str">
        <f aca="false">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30" t="str">
        <f aca="true">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30" t="str">
        <f aca="true">IF(OR($A154="",$I154=""),"",IF($BC154="Y",SUMIFS(survey_frozen!$E$2:$E$251,survey_frozen!$P$2:$P$251,$A154&amp;"|"&amp;$B154),IFERROR(COUNTIFS(INDIRECT("'"&amp;$A154&amp;"'!$B$2:$B$501"),$T154,INDIRECT("'"&amp;$A154&amp;"'!$A$2:$A$501"),"&gt;="&amp;$I154,INDIRECT("'"&amp;$A154&amp;"'!$A$2:$A$501"),"&lt;"&amp;($BA154+1),INDIRECT("'"&amp;$A154&amp;"'!$F$2:$F$501"),"Didn't see it"),0)))</f>
        <v/>
      </c>
      <c r="AR154" s="30" t="str">
        <f aca="true">IF(OR($A154="",$I154=""),"",IF($BC154="Y",SUMIFS(survey_frozen!$F$2:$F$251,survey_frozen!$P$2:$P$251,$A154&amp;"|"&amp;$B154),IFERROR(COUNTIFS(INDIRECT("'"&amp;$A154&amp;"'!$B$2:$B$501"),$T154,INDIRECT("'"&amp;$A154&amp;"'!$A$2:$A$501"),"&gt;="&amp;$I154,INDIRECT("'"&amp;$A154&amp;"'!$A$2:$A$501"),"&lt;"&amp;($BA154+1),INDIRECT("'"&amp;$A154&amp;"'!$F$2:$F$501"),"Not for me"),0)))</f>
        <v/>
      </c>
      <c r="AS154" s="30" t="str">
        <f aca="true">IF(OR($A154="",$I154=""),"",IF($BC154="Y",SUMIFS(survey_frozen!$G$2:$G$251,survey_frozen!$P$2:$P$251,$A154&amp;"|"&amp;$B154),IFERROR(COUNTIFS(INDIRECT("'"&amp;$A154&amp;"'!$B$2:$B$501"),$T154,INDIRECT("'"&amp;$A154&amp;"'!$A$2:$A$501"),"&gt;="&amp;$I154,INDIRECT("'"&amp;$A154&amp;"'!$A$2:$A$501"),"&lt;"&amp;($BA154+1),INDIRECT("'"&amp;$A154&amp;"'!$F$2:$F$501"),"Gone by the time I looked"),0)))</f>
        <v/>
      </c>
      <c r="AT154" s="30" t="str">
        <f aca="true">IF(OR($A154="",$I154=""),"",IF($BC154="Y",SUMIFS(survey_frozen!$H$2:$H$251,survey_frozen!$P$2:$P$251,$A154&amp;"|"&amp;$B154),IFERROR(COUNTIFS(INDIRECT("'"&amp;$A154&amp;"'!$B$2:$B$501"),$T154,INDIRECT("'"&amp;$A154&amp;"'!$A$2:$A$501"),"&gt;="&amp;$I154,INDIRECT("'"&amp;$A154&amp;"'!$A$2:$A$501"),"&lt;"&amp;($BA154+1),INDIRECT("'"&amp;$A154&amp;"'!$D$2:$D$501"),"&gt;=1"),0)))</f>
        <v/>
      </c>
      <c r="AU154" s="30" t="str">
        <f aca="true">IF(OR($A154="",$I154=""),"",IF($BC154="Y",SUMIFS(survey_frozen!$I$2:$I$251,survey_frozen!$P$2:$P$251,$A154&amp;"|"&amp;$B154),IFERROR(SUMIFS(INDIRECT("'"&amp;$A154&amp;"'!$D$2:$D$501"),INDIRECT("'"&amp;$A154&amp;"'!$B$2:$B$501"),$T154,INDIRECT("'"&amp;$A154&amp;"'!$A$2:$A$501"),"&gt;="&amp;$I154,INDIRECT("'"&amp;$A154&amp;"'!$A$2:$A$501"),"&lt;"&amp;($BA154+1)),0)))</f>
        <v/>
      </c>
      <c r="AV154" s="30" t="str">
        <f aca="true">IF(OR($A154="",$I154=""),"",IF($BC154="Y",SUMIFS(survey_frozen!$J$2:$J$251,survey_frozen!$P$2:$P$251,$A154&amp;"|"&amp;$B154),IFERROR(COUNTIFS(INDIRECT("'"&amp;$A154&amp;"'!$B$2:$B$501"),$T154,INDIRECT("'"&amp;$A154&amp;"'!$A$2:$A$501"),"&gt;="&amp;$I154,INDIRECT("'"&amp;$A154&amp;"'!$A$2:$A$501"),"&lt;"&amp;($BA154+1),INDIRECT("'"&amp;$A154&amp;"'!$E$2:$E$501"),"Yes"),0)))</f>
        <v/>
      </c>
      <c r="AW154" s="30" t="str">
        <f aca="true">IF(OR($A154="",$I154=""),"",IF($BC154="Y",SUMIFS(survey_frozen!$K$2:$K$251,survey_frozen!$P$2:$P$251,$A154&amp;"|"&amp;$B154),IFERROR(COUNTIFS(INDIRECT("'"&amp;$A154&amp;"'!$B$2:$B$501"),$T154,INDIRECT("'"&amp;$A154&amp;"'!$A$2:$A$501"),"&gt;="&amp;$I154,INDIRECT("'"&amp;$A154&amp;"'!$A$2:$A$501"),"&lt;"&amp;($BA154+1),INDIRECT("'"&amp;$A154&amp;"'!$E$2:$E$501"),"Maybe"),0)))</f>
        <v/>
      </c>
      <c r="AX154" s="30" t="str">
        <f aca="true">IF(OR($A154="",$I154=""),"",IF($BC154="Y",SUMIFS(survey_frozen!$L$2:$L$251,survey_frozen!$P$2:$P$251,$A154&amp;"|"&amp;$B154),IFERROR(COUNTIFS(INDIRECT("'"&amp;$A154&amp;"'!$B$2:$B$501"),$T154,INDIRECT("'"&amp;$A154&amp;"'!$A$2:$A$501"),"&gt;="&amp;$I154,INDIRECT("'"&amp;$A154&amp;"'!$A$2:$A$501"),"&lt;"&amp;($BA154+1),INDIRECT("'"&amp;$A154&amp;"'!$E$2:$E$501"),"No"),0)))</f>
        <v/>
      </c>
      <c r="AY154" s="30" t="str">
        <f aca="true">IF(OR($A154="",$I154=""),"",IF($BC154="Y",SUMIFS(survey_frozen!$M$2:$M$251,survey_frozen!$P$2:$P$251,$A154&amp;"|"&amp;$B154),IFERROR(COUNTIFS(INDIRECT("'"&amp;$A154&amp;"'!$B$2:$B$501"),$T154,INDIRECT("'"&amp;$A154&amp;"'!$A$2:$A$501"),"&gt;="&amp;$I154,INDIRECT("'"&amp;$A154&amp;"'!$A$2:$A$501"),"&lt;"&amp;($BA154+1),INDIRECT("'"&amp;$A154&amp;"'!$G$2:$G$501"),"&lt;&gt;"),0)))</f>
        <v/>
      </c>
      <c r="AZ154" s="30" t="str">
        <f aca="false">IF($A154="","",$A154&amp;"|"&amp;$L154)</f>
        <v/>
      </c>
      <c r="BA154" s="31" t="str">
        <f aca="false">IF($A154="","",IFERROR(IF(INDEX(drops!$R$2:$R$21,MATCH($H154,drops!$A$2:$A$21,0))="","",INDEX(drops!$R$2:$R$21,MATCH($H154,drops!$A$2:$A$21,0))),""))</f>
        <v/>
      </c>
      <c r="BB154" s="30" t="n">
        <f aca="false">IF(OR($A154="",$Q154&lt;&gt;"Y"),1000000,N($AL154))</f>
        <v>1000000</v>
      </c>
      <c r="BC154" s="30" t="str">
        <f aca="false">IF($A154="","",IF(COUNTIF(survey_frozen!$P$2:$P$251,$A154&amp;"|"&amp;$B154)&gt;0,"Y",""))</f>
        <v/>
      </c>
      <c r="BD154" s="30" t="str">
        <f aca="false">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ustomFormat="false" ht="15" hidden="false" customHeight="false" outlineLevel="0" collapsed="false">
      <c r="C155" s="11"/>
      <c r="D155" s="10"/>
      <c r="E155" s="11"/>
      <c r="H155" s="30" t="str">
        <f aca="false">IF($A155="","",IFERROR(IF(INDEX(campaigns!$B$2:$B$51,MATCH($A155,campaigns!$A$2:$A$51,0))="","",INDEX(campaigns!$B$2:$B$51,MATCH($A155,campaigns!$A$2:$A$51,0))),""))</f>
        <v/>
      </c>
      <c r="I155" s="31" t="str">
        <f aca="false">IF($A155="","",IFERROR(IF(INDEX(campaigns!$BG$2:$BG$51,MATCH($A155,campaigns!$A$2:$A$51,0))="","",INDEX(campaigns!$BG$2:$BG$51,MATCH($A155,campaigns!$A$2:$A$51,0))),""))</f>
        <v/>
      </c>
      <c r="J155" s="30" t="str">
        <f aca="false">IF($A155="","",IFERROR(IF(INDEX(campaigns!$BE$2:$BE$51,MATCH($A155,campaigns!$A$2:$A$51,0))="","",INDEX(campaigns!$BE$2:$BE$51,MATCH($A155,campaigns!$A$2:$A$51,0))),""))</f>
        <v/>
      </c>
      <c r="K155" s="30" t="str">
        <f aca="false">IF($B155="","",IFERROR(IF(INDEX(offices!$O$2:$O$61,MATCH($B155,offices!$A$2:$A$61,0))="","",INDEX(offices!$O$2:$O$61,MATCH($B155,offices!$A$2:$A$61,0))),""))</f>
        <v/>
      </c>
      <c r="L155" s="30" t="str">
        <f aca="false">IF($A155="","",IF($Q155="N","",COUNTIFS($A$2:$A155,$A155,$Q$2:$Q155,"&lt;&gt;N")))</f>
        <v/>
      </c>
      <c r="M155" s="30" t="str">
        <f aca="false">IF(OR($A155="",$L155=""),"",IF(AND(config!$B$34="names_if_public",IFERROR(IF(INDEX(offices!$AG$2:$AG$61,MATCH($B155,offices!$A$2:$A$61,0))="","",INDEX(offices!$AG$2:$AG$61,MATCH($B155,offices!$A$2:$A$61,0))),"")="Y"),$K155,CHAR(64+$L155)))</f>
        <v/>
      </c>
      <c r="N155" s="30" t="str">
        <f aca="false">IF(OR($A155="",$I155=""),"",COUNTIFS(stops!$B$2:$B$151,$B155,stops!$P$2:$P$151,"&lt;"&amp;$I155,stops!$L$2:$L$151,"&lt;&gt;not_delivered")+1)</f>
        <v/>
      </c>
      <c r="O155" s="30" t="str">
        <f aca="false">IF($A155="","",IF(N($N155)&lt;=config!$B$29,"explicit","opt-out"))</f>
        <v/>
      </c>
      <c r="P155" s="30" t="str">
        <f aca="false">IF($A155="","",IF($O155="explicit",IF($D155="yes","Y",IF($D155="no","N","pending")),IF($D155="no","N",IF(AND($C155&lt;&gt;"",$I155&lt;&gt;"",$C155&lt;=WORKDAY(N($I155),-5,calendar!$A$2:$A$80)),"Y","pending"))))</f>
        <v/>
      </c>
      <c r="Q155" s="30" t="str">
        <f aca="false">IF($A155="","",IF($P155="N","N",IF($P155&lt;&gt;"Y","pending",IF(AND((COUNTIFS(stops!$A$2:$A$151,$H155,stops!$B$2:$B$151,$B155,stops!$L$2:$L$151,"declined")+COUNTIFS(stops!$A$2:$A$151,$H155,stops!$B$2:$B$151,$B155,stops!$L$2:$L$151,"building_refused")+COUNTIFS(stops!$A$2:$A$151,$H155,stops!$B$2:$B$151,$B155,stops!$L$2:$L$151,"not_delivered"))&gt;0,N($U155)=0),"N","Y"))))</f>
        <v/>
      </c>
      <c r="R155" s="30" t="str">
        <f aca="false">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30" t="str">
        <f aca="false">IF($A155="","",IF($G155&lt;&gt;"",$G155,IFERROR(IF(INDEX(offices!$AM$2:$AM$61,MATCH($B155,offices!$A$2:$A$61,0))="","",INDEX(offices!$AM$2:$AM$61,MATCH($B155,offices!$A$2:$A$61,0))),"")))</f>
        <v/>
      </c>
      <c r="T155" s="30" t="str">
        <f aca="false">IF($A155="","",$A155&amp;"."&amp;$B155)</f>
        <v/>
      </c>
      <c r="U155" s="30" t="str">
        <f aca="false">IF($A155="","",SUMIFS(inventory!$G$2:$G$801,inventory!$C$2:$C$801,$A155,inventory!$D$2:$D$801,$B155,inventory!$E$2:$E$801,"delivered"))</f>
        <v/>
      </c>
      <c r="V155" s="37" t="str">
        <f aca="false">IF($A155="","",IFERROR(1/(1/SUMPRODUCT(MAX((inventory!$C$2:$C$801=$A155)*(inventory!$D$2:$D$801=$B155)*(inventory!$E$2:$E$801="delivered")*(inventory!$A$2:$A$801+inventory!$B$2:$B$801)))),""))</f>
        <v/>
      </c>
      <c r="W155" s="30" t="str">
        <f aca="false">IF($A155="","",IFERROR(IF(INDEX(inventory!$J$2:$J$801,MATCH($A155&amp;"|"&amp;$B155&amp;"|delivered",inventory!$R$2:$R$801,0))="","",INDEX(inventory!$J$2:$J$801,MATCH($A155&amp;"|"&amp;$B155&amp;"|delivered",inventory!$R$2:$R$801,0))),""))</f>
        <v/>
      </c>
      <c r="X155" s="30" t="str">
        <f aca="false">IF($A155="","",IFERROR(IF(INDEX(photos!$H$2:$H$701,MATCH($A155&amp;"|"&amp;$B155&amp;"|placement|Y",photos!$R$2:$R$701,0))="","",INDEX(photos!$H$2:$H$701,MATCH($A155&amp;"|"&amp;$B155&amp;"|placement|Y",photos!$R$2:$R$701,0))),""))</f>
        <v/>
      </c>
      <c r="Y155" s="31" t="str">
        <f aca="false">IF($A155="","",IFERROR(IF(INDEX(photos!$E$2:$E$701,MATCH($A155&amp;"|"&amp;$B155&amp;"|placement|Y",photos!$R$2:$R$701,0))="","",INDEX(photos!$E$2:$E$701,MATCH($A155&amp;"|"&amp;$B155&amp;"|placement|Y",photos!$R$2:$R$701,0))),""))</f>
        <v/>
      </c>
      <c r="Z155" s="30" t="str">
        <f aca="false">IF($A155="","",IF(COUNTIFS(counts!$C$2:$C$701,$A155,counts!$D$2:$D$701,$B155,counts!$E$2:$E$701,"placed")=0,"",SUMIFS(counts!$F$2:$F$701,counts!$C$2:$C$701,$A155,counts!$D$2:$D$701,$B155,counts!$E$2:$E$701,"placed")))</f>
        <v/>
      </c>
      <c r="AA155" s="30" t="str">
        <f aca="false">IF($A155="","",IF($Y155="",0,N($Z155)))</f>
        <v/>
      </c>
      <c r="AB155" s="30" t="str">
        <f aca="false">IF($A155="","",IF(OR($Y155="",$I155=""),"N",IF($Y155&lt;=WORKDAY(N($I155),1,calendar!$A$2:$A$80),"Y","N")))</f>
        <v/>
      </c>
      <c r="AC155" s="33" t="str">
        <f aca="false">IF(OR($A155="",$V155="",$Y155=""),"",ROUND(($Y155+N(IFERROR(IF(INDEX(photos!$F$2:$F$701,MATCH($A155&amp;"|"&amp;$B155&amp;"|placement|Y",photos!$R$2:$R$701,0))="","",INDEX(photos!$F$2:$F$701,MATCH($A155&amp;"|"&amp;$B155&amp;"|placement|Y",photos!$R$2:$R$701,0))),""))-$V155)*24,1))</f>
        <v/>
      </c>
      <c r="AD155" s="30" t="str">
        <f aca="false">IF($A155="","",SUMIFS(inventory!$G$2:$G$801,inventory!$C$2:$C$801,$A155,inventory!$D$2:$D$801,$B155,inventory!$E$2:$E$801,"topped_up"))</f>
        <v/>
      </c>
      <c r="AE155" s="30" t="str">
        <f aca="false">IF($A155="","",IF(COUNTIFS(counts!$C$2:$C$701,$A155,counts!$D$2:$D$701,$B155,counts!$E$2:$E$701,"remaining_day3")=0,"",SUMIFS(counts!$F$2:$F$701,counts!$C$2:$C$701,$A155,counts!$D$2:$D$701,$B155,counts!$E$2:$E$701,"remaining_day3")))</f>
        <v/>
      </c>
      <c r="AF155" s="30" t="str">
        <f aca="false">IF($A155="","",IF(COUNTIFS(counts!$C$2:$C$701,$A155,counts!$D$2:$D$701,$B155,counts!$E$2:$E$701,"remaining_day5")=0,"",SUMIFS(counts!$F$2:$F$701,counts!$C$2:$C$701,$A155,counts!$D$2:$D$701,$B155,counts!$E$2:$E$701,"remaining_day5")))</f>
        <v/>
      </c>
      <c r="AG155" s="30" t="str">
        <f aca="false">IF(OR($A155="",$AF155=""),"",MAX(0,$AA155+$AD155-$AF155))</f>
        <v/>
      </c>
      <c r="AH155" s="30" t="str">
        <f aca="false">IF(OR($A155="",$AI155=""),"",IFERROR(IF(INDEX(photos!$H$2:$H$701,MATCH($A155&amp;"|"&amp;$B155&amp;"|later|Y|"&amp;$AI155,photos!$S$2:$S$701,0))="","",INDEX(photos!$H$2:$H$701,MATCH($A155&amp;"|"&amp;$B155&amp;"|later|Y|"&amp;$AI155,photos!$S$2:$S$701,0))),""))</f>
        <v/>
      </c>
      <c r="AI155" s="31" t="str">
        <f aca="false">IF($A155="","",IFERROR(1/(1/SUMPRODUCT(MAX((photos!$B$2:$B$701=$A155)*(photos!$C$2:$C$701=$B155)*(photos!$D$2:$D$701="later")*(photos!$O$2:$O$701="Y")*photos!$E$2:$E$701))),""))</f>
        <v/>
      </c>
      <c r="AJ155" s="30" t="str">
        <f aca="false">IF(OR($A155="",$AI155="",$I155=""),"",NETWORKDAYS($I155,$AI155,calendar!$A$2:$A$80))</f>
        <v/>
      </c>
      <c r="AK155" s="30" t="str">
        <f aca="false">IF($A155="","",IF(AND($X155&lt;&gt;"",$AH155&lt;&gt;""),"Y","N"))</f>
        <v/>
      </c>
      <c r="AL155" s="30" t="str">
        <f aca="true">IF(OR($A155="",$I155=""),"",IF($BC155="Y",SUMIFS(survey_frozen!$C$2:$C$251,survey_frozen!$P$2:$P$251,$A155&amp;"|"&amp;$B155),IFERROR(COUNTIFS(INDIRECT("'"&amp;$A155&amp;"'!$B$2:$B$501"),$T155,INDIRECT("'"&amp;$A155&amp;"'!$A$2:$A$501"),"&gt;="&amp;$I155,INDIRECT("'"&amp;$A155&amp;"'!$A$2:$A$501"),"&lt;"&amp;($BA155+1)),0)))</f>
        <v/>
      </c>
      <c r="AM155" s="30" t="str">
        <f aca="true">IF(OR($A155="",$I155=""),"",IF($BC155="Y",SUMIFS(survey_frozen!$D$2:$D$251,survey_frozen!$P$2:$P$251,$A155&amp;"|"&amp;$B155),IFERROR(COUNTIFS(INDIRECT("'"&amp;$A155&amp;"'!$B$2:$B$501"),$T155,INDIRECT("'"&amp;$A155&amp;"'!$A$2:$A$501"),"&gt;="&amp;$I155,INDIRECT("'"&amp;$A155&amp;"'!$A$2:$A$501"),"&lt;"&amp;($BA155+1),INDIRECT("'"&amp;$A155&amp;"'!$C$2:$C$501"),"Yes"),0)))</f>
        <v/>
      </c>
      <c r="AN155" s="30" t="str">
        <f aca="false">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30" t="str">
        <f aca="false">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30" t="str">
        <f aca="true">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30" t="str">
        <f aca="true">IF(OR($A155="",$I155=""),"",IF($BC155="Y",SUMIFS(survey_frozen!$E$2:$E$251,survey_frozen!$P$2:$P$251,$A155&amp;"|"&amp;$B155),IFERROR(COUNTIFS(INDIRECT("'"&amp;$A155&amp;"'!$B$2:$B$501"),$T155,INDIRECT("'"&amp;$A155&amp;"'!$A$2:$A$501"),"&gt;="&amp;$I155,INDIRECT("'"&amp;$A155&amp;"'!$A$2:$A$501"),"&lt;"&amp;($BA155+1),INDIRECT("'"&amp;$A155&amp;"'!$F$2:$F$501"),"Didn't see it"),0)))</f>
        <v/>
      </c>
      <c r="AR155" s="30" t="str">
        <f aca="true">IF(OR($A155="",$I155=""),"",IF($BC155="Y",SUMIFS(survey_frozen!$F$2:$F$251,survey_frozen!$P$2:$P$251,$A155&amp;"|"&amp;$B155),IFERROR(COUNTIFS(INDIRECT("'"&amp;$A155&amp;"'!$B$2:$B$501"),$T155,INDIRECT("'"&amp;$A155&amp;"'!$A$2:$A$501"),"&gt;="&amp;$I155,INDIRECT("'"&amp;$A155&amp;"'!$A$2:$A$501"),"&lt;"&amp;($BA155+1),INDIRECT("'"&amp;$A155&amp;"'!$F$2:$F$501"),"Not for me"),0)))</f>
        <v/>
      </c>
      <c r="AS155" s="30" t="str">
        <f aca="true">IF(OR($A155="",$I155=""),"",IF($BC155="Y",SUMIFS(survey_frozen!$G$2:$G$251,survey_frozen!$P$2:$P$251,$A155&amp;"|"&amp;$B155),IFERROR(COUNTIFS(INDIRECT("'"&amp;$A155&amp;"'!$B$2:$B$501"),$T155,INDIRECT("'"&amp;$A155&amp;"'!$A$2:$A$501"),"&gt;="&amp;$I155,INDIRECT("'"&amp;$A155&amp;"'!$A$2:$A$501"),"&lt;"&amp;($BA155+1),INDIRECT("'"&amp;$A155&amp;"'!$F$2:$F$501"),"Gone by the time I looked"),0)))</f>
        <v/>
      </c>
      <c r="AT155" s="30" t="str">
        <f aca="true">IF(OR($A155="",$I155=""),"",IF($BC155="Y",SUMIFS(survey_frozen!$H$2:$H$251,survey_frozen!$P$2:$P$251,$A155&amp;"|"&amp;$B155),IFERROR(COUNTIFS(INDIRECT("'"&amp;$A155&amp;"'!$B$2:$B$501"),$T155,INDIRECT("'"&amp;$A155&amp;"'!$A$2:$A$501"),"&gt;="&amp;$I155,INDIRECT("'"&amp;$A155&amp;"'!$A$2:$A$501"),"&lt;"&amp;($BA155+1),INDIRECT("'"&amp;$A155&amp;"'!$D$2:$D$501"),"&gt;=1"),0)))</f>
        <v/>
      </c>
      <c r="AU155" s="30" t="str">
        <f aca="true">IF(OR($A155="",$I155=""),"",IF($BC155="Y",SUMIFS(survey_frozen!$I$2:$I$251,survey_frozen!$P$2:$P$251,$A155&amp;"|"&amp;$B155),IFERROR(SUMIFS(INDIRECT("'"&amp;$A155&amp;"'!$D$2:$D$501"),INDIRECT("'"&amp;$A155&amp;"'!$B$2:$B$501"),$T155,INDIRECT("'"&amp;$A155&amp;"'!$A$2:$A$501"),"&gt;="&amp;$I155,INDIRECT("'"&amp;$A155&amp;"'!$A$2:$A$501"),"&lt;"&amp;($BA155+1)),0)))</f>
        <v/>
      </c>
      <c r="AV155" s="30" t="str">
        <f aca="true">IF(OR($A155="",$I155=""),"",IF($BC155="Y",SUMIFS(survey_frozen!$J$2:$J$251,survey_frozen!$P$2:$P$251,$A155&amp;"|"&amp;$B155),IFERROR(COUNTIFS(INDIRECT("'"&amp;$A155&amp;"'!$B$2:$B$501"),$T155,INDIRECT("'"&amp;$A155&amp;"'!$A$2:$A$501"),"&gt;="&amp;$I155,INDIRECT("'"&amp;$A155&amp;"'!$A$2:$A$501"),"&lt;"&amp;($BA155+1),INDIRECT("'"&amp;$A155&amp;"'!$E$2:$E$501"),"Yes"),0)))</f>
        <v/>
      </c>
      <c r="AW155" s="30" t="str">
        <f aca="true">IF(OR($A155="",$I155=""),"",IF($BC155="Y",SUMIFS(survey_frozen!$K$2:$K$251,survey_frozen!$P$2:$P$251,$A155&amp;"|"&amp;$B155),IFERROR(COUNTIFS(INDIRECT("'"&amp;$A155&amp;"'!$B$2:$B$501"),$T155,INDIRECT("'"&amp;$A155&amp;"'!$A$2:$A$501"),"&gt;="&amp;$I155,INDIRECT("'"&amp;$A155&amp;"'!$A$2:$A$501"),"&lt;"&amp;($BA155+1),INDIRECT("'"&amp;$A155&amp;"'!$E$2:$E$501"),"Maybe"),0)))</f>
        <v/>
      </c>
      <c r="AX155" s="30" t="str">
        <f aca="true">IF(OR($A155="",$I155=""),"",IF($BC155="Y",SUMIFS(survey_frozen!$L$2:$L$251,survey_frozen!$P$2:$P$251,$A155&amp;"|"&amp;$B155),IFERROR(COUNTIFS(INDIRECT("'"&amp;$A155&amp;"'!$B$2:$B$501"),$T155,INDIRECT("'"&amp;$A155&amp;"'!$A$2:$A$501"),"&gt;="&amp;$I155,INDIRECT("'"&amp;$A155&amp;"'!$A$2:$A$501"),"&lt;"&amp;($BA155+1),INDIRECT("'"&amp;$A155&amp;"'!$E$2:$E$501"),"No"),0)))</f>
        <v/>
      </c>
      <c r="AY155" s="30" t="str">
        <f aca="true">IF(OR($A155="",$I155=""),"",IF($BC155="Y",SUMIFS(survey_frozen!$M$2:$M$251,survey_frozen!$P$2:$P$251,$A155&amp;"|"&amp;$B155),IFERROR(COUNTIFS(INDIRECT("'"&amp;$A155&amp;"'!$B$2:$B$501"),$T155,INDIRECT("'"&amp;$A155&amp;"'!$A$2:$A$501"),"&gt;="&amp;$I155,INDIRECT("'"&amp;$A155&amp;"'!$A$2:$A$501"),"&lt;"&amp;($BA155+1),INDIRECT("'"&amp;$A155&amp;"'!$G$2:$G$501"),"&lt;&gt;"),0)))</f>
        <v/>
      </c>
      <c r="AZ155" s="30" t="str">
        <f aca="false">IF($A155="","",$A155&amp;"|"&amp;$L155)</f>
        <v/>
      </c>
      <c r="BA155" s="31" t="str">
        <f aca="false">IF($A155="","",IFERROR(IF(INDEX(drops!$R$2:$R$21,MATCH($H155,drops!$A$2:$A$21,0))="","",INDEX(drops!$R$2:$R$21,MATCH($H155,drops!$A$2:$A$21,0))),""))</f>
        <v/>
      </c>
      <c r="BB155" s="30" t="n">
        <f aca="false">IF(OR($A155="",$Q155&lt;&gt;"Y"),1000000,N($AL155))</f>
        <v>1000000</v>
      </c>
      <c r="BC155" s="30" t="str">
        <f aca="false">IF($A155="","",IF(COUNTIF(survey_frozen!$P$2:$P$251,$A155&amp;"|"&amp;$B155)&gt;0,"Y",""))</f>
        <v/>
      </c>
      <c r="BD155" s="30" t="str">
        <f aca="false">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ustomFormat="false" ht="15" hidden="false" customHeight="false" outlineLevel="0" collapsed="false">
      <c r="C156" s="11"/>
      <c r="D156" s="10"/>
      <c r="E156" s="11"/>
      <c r="H156" s="30" t="str">
        <f aca="false">IF($A156="","",IFERROR(IF(INDEX(campaigns!$B$2:$B$51,MATCH($A156,campaigns!$A$2:$A$51,0))="","",INDEX(campaigns!$B$2:$B$51,MATCH($A156,campaigns!$A$2:$A$51,0))),""))</f>
        <v/>
      </c>
      <c r="I156" s="31" t="str">
        <f aca="false">IF($A156="","",IFERROR(IF(INDEX(campaigns!$BG$2:$BG$51,MATCH($A156,campaigns!$A$2:$A$51,0))="","",INDEX(campaigns!$BG$2:$BG$51,MATCH($A156,campaigns!$A$2:$A$51,0))),""))</f>
        <v/>
      </c>
      <c r="J156" s="30" t="str">
        <f aca="false">IF($A156="","",IFERROR(IF(INDEX(campaigns!$BE$2:$BE$51,MATCH($A156,campaigns!$A$2:$A$51,0))="","",INDEX(campaigns!$BE$2:$BE$51,MATCH($A156,campaigns!$A$2:$A$51,0))),""))</f>
        <v/>
      </c>
      <c r="K156" s="30" t="str">
        <f aca="false">IF($B156="","",IFERROR(IF(INDEX(offices!$O$2:$O$61,MATCH($B156,offices!$A$2:$A$61,0))="","",INDEX(offices!$O$2:$O$61,MATCH($B156,offices!$A$2:$A$61,0))),""))</f>
        <v/>
      </c>
      <c r="L156" s="30" t="str">
        <f aca="false">IF($A156="","",IF($Q156="N","",COUNTIFS($A$2:$A156,$A156,$Q$2:$Q156,"&lt;&gt;N")))</f>
        <v/>
      </c>
      <c r="M156" s="30" t="str">
        <f aca="false">IF(OR($A156="",$L156=""),"",IF(AND(config!$B$34="names_if_public",IFERROR(IF(INDEX(offices!$AG$2:$AG$61,MATCH($B156,offices!$A$2:$A$61,0))="","",INDEX(offices!$AG$2:$AG$61,MATCH($B156,offices!$A$2:$A$61,0))),"")="Y"),$K156,CHAR(64+$L156)))</f>
        <v/>
      </c>
      <c r="N156" s="30" t="str">
        <f aca="false">IF(OR($A156="",$I156=""),"",COUNTIFS(stops!$B$2:$B$151,$B156,stops!$P$2:$P$151,"&lt;"&amp;$I156,stops!$L$2:$L$151,"&lt;&gt;not_delivered")+1)</f>
        <v/>
      </c>
      <c r="O156" s="30" t="str">
        <f aca="false">IF($A156="","",IF(N($N156)&lt;=config!$B$29,"explicit","opt-out"))</f>
        <v/>
      </c>
      <c r="P156" s="30" t="str">
        <f aca="false">IF($A156="","",IF($O156="explicit",IF($D156="yes","Y",IF($D156="no","N","pending")),IF($D156="no","N",IF(AND($C156&lt;&gt;"",$I156&lt;&gt;"",$C156&lt;=WORKDAY(N($I156),-5,calendar!$A$2:$A$80)),"Y","pending"))))</f>
        <v/>
      </c>
      <c r="Q156" s="30" t="str">
        <f aca="false">IF($A156="","",IF($P156="N","N",IF($P156&lt;&gt;"Y","pending",IF(AND((COUNTIFS(stops!$A$2:$A$151,$H156,stops!$B$2:$B$151,$B156,stops!$L$2:$L$151,"declined")+COUNTIFS(stops!$A$2:$A$151,$H156,stops!$B$2:$B$151,$B156,stops!$L$2:$L$151,"building_refused")+COUNTIFS(stops!$A$2:$A$151,$H156,stops!$B$2:$B$151,$B156,stops!$L$2:$L$151,"not_delivered"))&gt;0,N($U156)=0),"N","Y"))))</f>
        <v/>
      </c>
      <c r="R156" s="30" t="str">
        <f aca="false">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30" t="str">
        <f aca="false">IF($A156="","",IF($G156&lt;&gt;"",$G156,IFERROR(IF(INDEX(offices!$AM$2:$AM$61,MATCH($B156,offices!$A$2:$A$61,0))="","",INDEX(offices!$AM$2:$AM$61,MATCH($B156,offices!$A$2:$A$61,0))),"")))</f>
        <v/>
      </c>
      <c r="T156" s="30" t="str">
        <f aca="false">IF($A156="","",$A156&amp;"."&amp;$B156)</f>
        <v/>
      </c>
      <c r="U156" s="30" t="str">
        <f aca="false">IF($A156="","",SUMIFS(inventory!$G$2:$G$801,inventory!$C$2:$C$801,$A156,inventory!$D$2:$D$801,$B156,inventory!$E$2:$E$801,"delivered"))</f>
        <v/>
      </c>
      <c r="V156" s="37" t="str">
        <f aca="false">IF($A156="","",IFERROR(1/(1/SUMPRODUCT(MAX((inventory!$C$2:$C$801=$A156)*(inventory!$D$2:$D$801=$B156)*(inventory!$E$2:$E$801="delivered")*(inventory!$A$2:$A$801+inventory!$B$2:$B$801)))),""))</f>
        <v/>
      </c>
      <c r="W156" s="30" t="str">
        <f aca="false">IF($A156="","",IFERROR(IF(INDEX(inventory!$J$2:$J$801,MATCH($A156&amp;"|"&amp;$B156&amp;"|delivered",inventory!$R$2:$R$801,0))="","",INDEX(inventory!$J$2:$J$801,MATCH($A156&amp;"|"&amp;$B156&amp;"|delivered",inventory!$R$2:$R$801,0))),""))</f>
        <v/>
      </c>
      <c r="X156" s="30" t="str">
        <f aca="false">IF($A156="","",IFERROR(IF(INDEX(photos!$H$2:$H$701,MATCH($A156&amp;"|"&amp;$B156&amp;"|placement|Y",photos!$R$2:$R$701,0))="","",INDEX(photos!$H$2:$H$701,MATCH($A156&amp;"|"&amp;$B156&amp;"|placement|Y",photos!$R$2:$R$701,0))),""))</f>
        <v/>
      </c>
      <c r="Y156" s="31" t="str">
        <f aca="false">IF($A156="","",IFERROR(IF(INDEX(photos!$E$2:$E$701,MATCH($A156&amp;"|"&amp;$B156&amp;"|placement|Y",photos!$R$2:$R$701,0))="","",INDEX(photos!$E$2:$E$701,MATCH($A156&amp;"|"&amp;$B156&amp;"|placement|Y",photos!$R$2:$R$701,0))),""))</f>
        <v/>
      </c>
      <c r="Z156" s="30" t="str">
        <f aca="false">IF($A156="","",IF(COUNTIFS(counts!$C$2:$C$701,$A156,counts!$D$2:$D$701,$B156,counts!$E$2:$E$701,"placed")=0,"",SUMIFS(counts!$F$2:$F$701,counts!$C$2:$C$701,$A156,counts!$D$2:$D$701,$B156,counts!$E$2:$E$701,"placed")))</f>
        <v/>
      </c>
      <c r="AA156" s="30" t="str">
        <f aca="false">IF($A156="","",IF($Y156="",0,N($Z156)))</f>
        <v/>
      </c>
      <c r="AB156" s="30" t="str">
        <f aca="false">IF($A156="","",IF(OR($Y156="",$I156=""),"N",IF($Y156&lt;=WORKDAY(N($I156),1,calendar!$A$2:$A$80),"Y","N")))</f>
        <v/>
      </c>
      <c r="AC156" s="33" t="str">
        <f aca="false">IF(OR($A156="",$V156="",$Y156=""),"",ROUND(($Y156+N(IFERROR(IF(INDEX(photos!$F$2:$F$701,MATCH($A156&amp;"|"&amp;$B156&amp;"|placement|Y",photos!$R$2:$R$701,0))="","",INDEX(photos!$F$2:$F$701,MATCH($A156&amp;"|"&amp;$B156&amp;"|placement|Y",photos!$R$2:$R$701,0))),""))-$V156)*24,1))</f>
        <v/>
      </c>
      <c r="AD156" s="30" t="str">
        <f aca="false">IF($A156="","",SUMIFS(inventory!$G$2:$G$801,inventory!$C$2:$C$801,$A156,inventory!$D$2:$D$801,$B156,inventory!$E$2:$E$801,"topped_up"))</f>
        <v/>
      </c>
      <c r="AE156" s="30" t="str">
        <f aca="false">IF($A156="","",IF(COUNTIFS(counts!$C$2:$C$701,$A156,counts!$D$2:$D$701,$B156,counts!$E$2:$E$701,"remaining_day3")=0,"",SUMIFS(counts!$F$2:$F$701,counts!$C$2:$C$701,$A156,counts!$D$2:$D$701,$B156,counts!$E$2:$E$701,"remaining_day3")))</f>
        <v/>
      </c>
      <c r="AF156" s="30" t="str">
        <f aca="false">IF($A156="","",IF(COUNTIFS(counts!$C$2:$C$701,$A156,counts!$D$2:$D$701,$B156,counts!$E$2:$E$701,"remaining_day5")=0,"",SUMIFS(counts!$F$2:$F$701,counts!$C$2:$C$701,$A156,counts!$D$2:$D$701,$B156,counts!$E$2:$E$701,"remaining_day5")))</f>
        <v/>
      </c>
      <c r="AG156" s="30" t="str">
        <f aca="false">IF(OR($A156="",$AF156=""),"",MAX(0,$AA156+$AD156-$AF156))</f>
        <v/>
      </c>
      <c r="AH156" s="30" t="str">
        <f aca="false">IF(OR($A156="",$AI156=""),"",IFERROR(IF(INDEX(photos!$H$2:$H$701,MATCH($A156&amp;"|"&amp;$B156&amp;"|later|Y|"&amp;$AI156,photos!$S$2:$S$701,0))="","",INDEX(photos!$H$2:$H$701,MATCH($A156&amp;"|"&amp;$B156&amp;"|later|Y|"&amp;$AI156,photos!$S$2:$S$701,0))),""))</f>
        <v/>
      </c>
      <c r="AI156" s="31" t="str">
        <f aca="false">IF($A156="","",IFERROR(1/(1/SUMPRODUCT(MAX((photos!$B$2:$B$701=$A156)*(photos!$C$2:$C$701=$B156)*(photos!$D$2:$D$701="later")*(photos!$O$2:$O$701="Y")*photos!$E$2:$E$701))),""))</f>
        <v/>
      </c>
      <c r="AJ156" s="30" t="str">
        <f aca="false">IF(OR($A156="",$AI156="",$I156=""),"",NETWORKDAYS($I156,$AI156,calendar!$A$2:$A$80))</f>
        <v/>
      </c>
      <c r="AK156" s="30" t="str">
        <f aca="false">IF($A156="","",IF(AND($X156&lt;&gt;"",$AH156&lt;&gt;""),"Y","N"))</f>
        <v/>
      </c>
      <c r="AL156" s="30" t="str">
        <f aca="true">IF(OR($A156="",$I156=""),"",IF($BC156="Y",SUMIFS(survey_frozen!$C$2:$C$251,survey_frozen!$P$2:$P$251,$A156&amp;"|"&amp;$B156),IFERROR(COUNTIFS(INDIRECT("'"&amp;$A156&amp;"'!$B$2:$B$501"),$T156,INDIRECT("'"&amp;$A156&amp;"'!$A$2:$A$501"),"&gt;="&amp;$I156,INDIRECT("'"&amp;$A156&amp;"'!$A$2:$A$501"),"&lt;"&amp;($BA156+1)),0)))</f>
        <v/>
      </c>
      <c r="AM156" s="30" t="str">
        <f aca="true">IF(OR($A156="",$I156=""),"",IF($BC156="Y",SUMIFS(survey_frozen!$D$2:$D$251,survey_frozen!$P$2:$P$251,$A156&amp;"|"&amp;$B156),IFERROR(COUNTIFS(INDIRECT("'"&amp;$A156&amp;"'!$B$2:$B$501"),$T156,INDIRECT("'"&amp;$A156&amp;"'!$A$2:$A$501"),"&gt;="&amp;$I156,INDIRECT("'"&amp;$A156&amp;"'!$A$2:$A$501"),"&lt;"&amp;($BA156+1),INDIRECT("'"&amp;$A156&amp;"'!$C$2:$C$501"),"Yes"),0)))</f>
        <v/>
      </c>
      <c r="AN156" s="30" t="str">
        <f aca="false">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30" t="str">
        <f aca="false">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30" t="str">
        <f aca="true">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30" t="str">
        <f aca="true">IF(OR($A156="",$I156=""),"",IF($BC156="Y",SUMIFS(survey_frozen!$E$2:$E$251,survey_frozen!$P$2:$P$251,$A156&amp;"|"&amp;$B156),IFERROR(COUNTIFS(INDIRECT("'"&amp;$A156&amp;"'!$B$2:$B$501"),$T156,INDIRECT("'"&amp;$A156&amp;"'!$A$2:$A$501"),"&gt;="&amp;$I156,INDIRECT("'"&amp;$A156&amp;"'!$A$2:$A$501"),"&lt;"&amp;($BA156+1),INDIRECT("'"&amp;$A156&amp;"'!$F$2:$F$501"),"Didn't see it"),0)))</f>
        <v/>
      </c>
      <c r="AR156" s="30" t="str">
        <f aca="true">IF(OR($A156="",$I156=""),"",IF($BC156="Y",SUMIFS(survey_frozen!$F$2:$F$251,survey_frozen!$P$2:$P$251,$A156&amp;"|"&amp;$B156),IFERROR(COUNTIFS(INDIRECT("'"&amp;$A156&amp;"'!$B$2:$B$501"),$T156,INDIRECT("'"&amp;$A156&amp;"'!$A$2:$A$501"),"&gt;="&amp;$I156,INDIRECT("'"&amp;$A156&amp;"'!$A$2:$A$501"),"&lt;"&amp;($BA156+1),INDIRECT("'"&amp;$A156&amp;"'!$F$2:$F$501"),"Not for me"),0)))</f>
        <v/>
      </c>
      <c r="AS156" s="30" t="str">
        <f aca="true">IF(OR($A156="",$I156=""),"",IF($BC156="Y",SUMIFS(survey_frozen!$G$2:$G$251,survey_frozen!$P$2:$P$251,$A156&amp;"|"&amp;$B156),IFERROR(COUNTIFS(INDIRECT("'"&amp;$A156&amp;"'!$B$2:$B$501"),$T156,INDIRECT("'"&amp;$A156&amp;"'!$A$2:$A$501"),"&gt;="&amp;$I156,INDIRECT("'"&amp;$A156&amp;"'!$A$2:$A$501"),"&lt;"&amp;($BA156+1),INDIRECT("'"&amp;$A156&amp;"'!$F$2:$F$501"),"Gone by the time I looked"),0)))</f>
        <v/>
      </c>
      <c r="AT156" s="30" t="str">
        <f aca="true">IF(OR($A156="",$I156=""),"",IF($BC156="Y",SUMIFS(survey_frozen!$H$2:$H$251,survey_frozen!$P$2:$P$251,$A156&amp;"|"&amp;$B156),IFERROR(COUNTIFS(INDIRECT("'"&amp;$A156&amp;"'!$B$2:$B$501"),$T156,INDIRECT("'"&amp;$A156&amp;"'!$A$2:$A$501"),"&gt;="&amp;$I156,INDIRECT("'"&amp;$A156&amp;"'!$A$2:$A$501"),"&lt;"&amp;($BA156+1),INDIRECT("'"&amp;$A156&amp;"'!$D$2:$D$501"),"&gt;=1"),0)))</f>
        <v/>
      </c>
      <c r="AU156" s="30" t="str">
        <f aca="true">IF(OR($A156="",$I156=""),"",IF($BC156="Y",SUMIFS(survey_frozen!$I$2:$I$251,survey_frozen!$P$2:$P$251,$A156&amp;"|"&amp;$B156),IFERROR(SUMIFS(INDIRECT("'"&amp;$A156&amp;"'!$D$2:$D$501"),INDIRECT("'"&amp;$A156&amp;"'!$B$2:$B$501"),$T156,INDIRECT("'"&amp;$A156&amp;"'!$A$2:$A$501"),"&gt;="&amp;$I156,INDIRECT("'"&amp;$A156&amp;"'!$A$2:$A$501"),"&lt;"&amp;($BA156+1)),0)))</f>
        <v/>
      </c>
      <c r="AV156" s="30" t="str">
        <f aca="true">IF(OR($A156="",$I156=""),"",IF($BC156="Y",SUMIFS(survey_frozen!$J$2:$J$251,survey_frozen!$P$2:$P$251,$A156&amp;"|"&amp;$B156),IFERROR(COUNTIFS(INDIRECT("'"&amp;$A156&amp;"'!$B$2:$B$501"),$T156,INDIRECT("'"&amp;$A156&amp;"'!$A$2:$A$501"),"&gt;="&amp;$I156,INDIRECT("'"&amp;$A156&amp;"'!$A$2:$A$501"),"&lt;"&amp;($BA156+1),INDIRECT("'"&amp;$A156&amp;"'!$E$2:$E$501"),"Yes"),0)))</f>
        <v/>
      </c>
      <c r="AW156" s="30" t="str">
        <f aca="true">IF(OR($A156="",$I156=""),"",IF($BC156="Y",SUMIFS(survey_frozen!$K$2:$K$251,survey_frozen!$P$2:$P$251,$A156&amp;"|"&amp;$B156),IFERROR(COUNTIFS(INDIRECT("'"&amp;$A156&amp;"'!$B$2:$B$501"),$T156,INDIRECT("'"&amp;$A156&amp;"'!$A$2:$A$501"),"&gt;="&amp;$I156,INDIRECT("'"&amp;$A156&amp;"'!$A$2:$A$501"),"&lt;"&amp;($BA156+1),INDIRECT("'"&amp;$A156&amp;"'!$E$2:$E$501"),"Maybe"),0)))</f>
        <v/>
      </c>
      <c r="AX156" s="30" t="str">
        <f aca="true">IF(OR($A156="",$I156=""),"",IF($BC156="Y",SUMIFS(survey_frozen!$L$2:$L$251,survey_frozen!$P$2:$P$251,$A156&amp;"|"&amp;$B156),IFERROR(COUNTIFS(INDIRECT("'"&amp;$A156&amp;"'!$B$2:$B$501"),$T156,INDIRECT("'"&amp;$A156&amp;"'!$A$2:$A$501"),"&gt;="&amp;$I156,INDIRECT("'"&amp;$A156&amp;"'!$A$2:$A$501"),"&lt;"&amp;($BA156+1),INDIRECT("'"&amp;$A156&amp;"'!$E$2:$E$501"),"No"),0)))</f>
        <v/>
      </c>
      <c r="AY156" s="30" t="str">
        <f aca="true">IF(OR($A156="",$I156=""),"",IF($BC156="Y",SUMIFS(survey_frozen!$M$2:$M$251,survey_frozen!$P$2:$P$251,$A156&amp;"|"&amp;$B156),IFERROR(COUNTIFS(INDIRECT("'"&amp;$A156&amp;"'!$B$2:$B$501"),$T156,INDIRECT("'"&amp;$A156&amp;"'!$A$2:$A$501"),"&gt;="&amp;$I156,INDIRECT("'"&amp;$A156&amp;"'!$A$2:$A$501"),"&lt;"&amp;($BA156+1),INDIRECT("'"&amp;$A156&amp;"'!$G$2:$G$501"),"&lt;&gt;"),0)))</f>
        <v/>
      </c>
      <c r="AZ156" s="30" t="str">
        <f aca="false">IF($A156="","",$A156&amp;"|"&amp;$L156)</f>
        <v/>
      </c>
      <c r="BA156" s="31" t="str">
        <f aca="false">IF($A156="","",IFERROR(IF(INDEX(drops!$R$2:$R$21,MATCH($H156,drops!$A$2:$A$21,0))="","",INDEX(drops!$R$2:$R$21,MATCH($H156,drops!$A$2:$A$21,0))),""))</f>
        <v/>
      </c>
      <c r="BB156" s="30" t="n">
        <f aca="false">IF(OR($A156="",$Q156&lt;&gt;"Y"),1000000,N($AL156))</f>
        <v>1000000</v>
      </c>
      <c r="BC156" s="30" t="str">
        <f aca="false">IF($A156="","",IF(COUNTIF(survey_frozen!$P$2:$P$251,$A156&amp;"|"&amp;$B156)&gt;0,"Y",""))</f>
        <v/>
      </c>
      <c r="BD156" s="30" t="str">
        <f aca="false">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ustomFormat="false" ht="15" hidden="false" customHeight="false" outlineLevel="0" collapsed="false">
      <c r="C157" s="11"/>
      <c r="D157" s="10"/>
      <c r="E157" s="11"/>
      <c r="H157" s="30" t="str">
        <f aca="false">IF($A157="","",IFERROR(IF(INDEX(campaigns!$B$2:$B$51,MATCH($A157,campaigns!$A$2:$A$51,0))="","",INDEX(campaigns!$B$2:$B$51,MATCH($A157,campaigns!$A$2:$A$51,0))),""))</f>
        <v/>
      </c>
      <c r="I157" s="31" t="str">
        <f aca="false">IF($A157="","",IFERROR(IF(INDEX(campaigns!$BG$2:$BG$51,MATCH($A157,campaigns!$A$2:$A$51,0))="","",INDEX(campaigns!$BG$2:$BG$51,MATCH($A157,campaigns!$A$2:$A$51,0))),""))</f>
        <v/>
      </c>
      <c r="J157" s="30" t="str">
        <f aca="false">IF($A157="","",IFERROR(IF(INDEX(campaigns!$BE$2:$BE$51,MATCH($A157,campaigns!$A$2:$A$51,0))="","",INDEX(campaigns!$BE$2:$BE$51,MATCH($A157,campaigns!$A$2:$A$51,0))),""))</f>
        <v/>
      </c>
      <c r="K157" s="30" t="str">
        <f aca="false">IF($B157="","",IFERROR(IF(INDEX(offices!$O$2:$O$61,MATCH($B157,offices!$A$2:$A$61,0))="","",INDEX(offices!$O$2:$O$61,MATCH($B157,offices!$A$2:$A$61,0))),""))</f>
        <v/>
      </c>
      <c r="L157" s="30" t="str">
        <f aca="false">IF($A157="","",IF($Q157="N","",COUNTIFS($A$2:$A157,$A157,$Q$2:$Q157,"&lt;&gt;N")))</f>
        <v/>
      </c>
      <c r="M157" s="30" t="str">
        <f aca="false">IF(OR($A157="",$L157=""),"",IF(AND(config!$B$34="names_if_public",IFERROR(IF(INDEX(offices!$AG$2:$AG$61,MATCH($B157,offices!$A$2:$A$61,0))="","",INDEX(offices!$AG$2:$AG$61,MATCH($B157,offices!$A$2:$A$61,0))),"")="Y"),$K157,CHAR(64+$L157)))</f>
        <v/>
      </c>
      <c r="N157" s="30" t="str">
        <f aca="false">IF(OR($A157="",$I157=""),"",COUNTIFS(stops!$B$2:$B$151,$B157,stops!$P$2:$P$151,"&lt;"&amp;$I157,stops!$L$2:$L$151,"&lt;&gt;not_delivered")+1)</f>
        <v/>
      </c>
      <c r="O157" s="30" t="str">
        <f aca="false">IF($A157="","",IF(N($N157)&lt;=config!$B$29,"explicit","opt-out"))</f>
        <v/>
      </c>
      <c r="P157" s="30" t="str">
        <f aca="false">IF($A157="","",IF($O157="explicit",IF($D157="yes","Y",IF($D157="no","N","pending")),IF($D157="no","N",IF(AND($C157&lt;&gt;"",$I157&lt;&gt;"",$C157&lt;=WORKDAY(N($I157),-5,calendar!$A$2:$A$80)),"Y","pending"))))</f>
        <v/>
      </c>
      <c r="Q157" s="30" t="str">
        <f aca="false">IF($A157="","",IF($P157="N","N",IF($P157&lt;&gt;"Y","pending",IF(AND((COUNTIFS(stops!$A$2:$A$151,$H157,stops!$B$2:$B$151,$B157,stops!$L$2:$L$151,"declined")+COUNTIFS(stops!$A$2:$A$151,$H157,stops!$B$2:$B$151,$B157,stops!$L$2:$L$151,"building_refused")+COUNTIFS(stops!$A$2:$A$151,$H157,stops!$B$2:$B$151,$B157,stops!$L$2:$L$151,"not_delivered"))&gt;0,N($U157)=0),"N","Y"))))</f>
        <v/>
      </c>
      <c r="R157" s="30" t="str">
        <f aca="false">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30" t="str">
        <f aca="false">IF($A157="","",IF($G157&lt;&gt;"",$G157,IFERROR(IF(INDEX(offices!$AM$2:$AM$61,MATCH($B157,offices!$A$2:$A$61,0))="","",INDEX(offices!$AM$2:$AM$61,MATCH($B157,offices!$A$2:$A$61,0))),"")))</f>
        <v/>
      </c>
      <c r="T157" s="30" t="str">
        <f aca="false">IF($A157="","",$A157&amp;"."&amp;$B157)</f>
        <v/>
      </c>
      <c r="U157" s="30" t="str">
        <f aca="false">IF($A157="","",SUMIFS(inventory!$G$2:$G$801,inventory!$C$2:$C$801,$A157,inventory!$D$2:$D$801,$B157,inventory!$E$2:$E$801,"delivered"))</f>
        <v/>
      </c>
      <c r="V157" s="37" t="str">
        <f aca="false">IF($A157="","",IFERROR(1/(1/SUMPRODUCT(MAX((inventory!$C$2:$C$801=$A157)*(inventory!$D$2:$D$801=$B157)*(inventory!$E$2:$E$801="delivered")*(inventory!$A$2:$A$801+inventory!$B$2:$B$801)))),""))</f>
        <v/>
      </c>
      <c r="W157" s="30" t="str">
        <f aca="false">IF($A157="","",IFERROR(IF(INDEX(inventory!$J$2:$J$801,MATCH($A157&amp;"|"&amp;$B157&amp;"|delivered",inventory!$R$2:$R$801,0))="","",INDEX(inventory!$J$2:$J$801,MATCH($A157&amp;"|"&amp;$B157&amp;"|delivered",inventory!$R$2:$R$801,0))),""))</f>
        <v/>
      </c>
      <c r="X157" s="30" t="str">
        <f aca="false">IF($A157="","",IFERROR(IF(INDEX(photos!$H$2:$H$701,MATCH($A157&amp;"|"&amp;$B157&amp;"|placement|Y",photos!$R$2:$R$701,0))="","",INDEX(photos!$H$2:$H$701,MATCH($A157&amp;"|"&amp;$B157&amp;"|placement|Y",photos!$R$2:$R$701,0))),""))</f>
        <v/>
      </c>
      <c r="Y157" s="31" t="str">
        <f aca="false">IF($A157="","",IFERROR(IF(INDEX(photos!$E$2:$E$701,MATCH($A157&amp;"|"&amp;$B157&amp;"|placement|Y",photos!$R$2:$R$701,0))="","",INDEX(photos!$E$2:$E$701,MATCH($A157&amp;"|"&amp;$B157&amp;"|placement|Y",photos!$R$2:$R$701,0))),""))</f>
        <v/>
      </c>
      <c r="Z157" s="30" t="str">
        <f aca="false">IF($A157="","",IF(COUNTIFS(counts!$C$2:$C$701,$A157,counts!$D$2:$D$701,$B157,counts!$E$2:$E$701,"placed")=0,"",SUMIFS(counts!$F$2:$F$701,counts!$C$2:$C$701,$A157,counts!$D$2:$D$701,$B157,counts!$E$2:$E$701,"placed")))</f>
        <v/>
      </c>
      <c r="AA157" s="30" t="str">
        <f aca="false">IF($A157="","",IF($Y157="",0,N($Z157)))</f>
        <v/>
      </c>
      <c r="AB157" s="30" t="str">
        <f aca="false">IF($A157="","",IF(OR($Y157="",$I157=""),"N",IF($Y157&lt;=WORKDAY(N($I157),1,calendar!$A$2:$A$80),"Y","N")))</f>
        <v/>
      </c>
      <c r="AC157" s="33" t="str">
        <f aca="false">IF(OR($A157="",$V157="",$Y157=""),"",ROUND(($Y157+N(IFERROR(IF(INDEX(photos!$F$2:$F$701,MATCH($A157&amp;"|"&amp;$B157&amp;"|placement|Y",photos!$R$2:$R$701,0))="","",INDEX(photos!$F$2:$F$701,MATCH($A157&amp;"|"&amp;$B157&amp;"|placement|Y",photos!$R$2:$R$701,0))),""))-$V157)*24,1))</f>
        <v/>
      </c>
      <c r="AD157" s="30" t="str">
        <f aca="false">IF($A157="","",SUMIFS(inventory!$G$2:$G$801,inventory!$C$2:$C$801,$A157,inventory!$D$2:$D$801,$B157,inventory!$E$2:$E$801,"topped_up"))</f>
        <v/>
      </c>
      <c r="AE157" s="30" t="str">
        <f aca="false">IF($A157="","",IF(COUNTIFS(counts!$C$2:$C$701,$A157,counts!$D$2:$D$701,$B157,counts!$E$2:$E$701,"remaining_day3")=0,"",SUMIFS(counts!$F$2:$F$701,counts!$C$2:$C$701,$A157,counts!$D$2:$D$701,$B157,counts!$E$2:$E$701,"remaining_day3")))</f>
        <v/>
      </c>
      <c r="AF157" s="30" t="str">
        <f aca="false">IF($A157="","",IF(COUNTIFS(counts!$C$2:$C$701,$A157,counts!$D$2:$D$701,$B157,counts!$E$2:$E$701,"remaining_day5")=0,"",SUMIFS(counts!$F$2:$F$701,counts!$C$2:$C$701,$A157,counts!$D$2:$D$701,$B157,counts!$E$2:$E$701,"remaining_day5")))</f>
        <v/>
      </c>
      <c r="AG157" s="30" t="str">
        <f aca="false">IF(OR($A157="",$AF157=""),"",MAX(0,$AA157+$AD157-$AF157))</f>
        <v/>
      </c>
      <c r="AH157" s="30" t="str">
        <f aca="false">IF(OR($A157="",$AI157=""),"",IFERROR(IF(INDEX(photos!$H$2:$H$701,MATCH($A157&amp;"|"&amp;$B157&amp;"|later|Y|"&amp;$AI157,photos!$S$2:$S$701,0))="","",INDEX(photos!$H$2:$H$701,MATCH($A157&amp;"|"&amp;$B157&amp;"|later|Y|"&amp;$AI157,photos!$S$2:$S$701,0))),""))</f>
        <v/>
      </c>
      <c r="AI157" s="31" t="str">
        <f aca="false">IF($A157="","",IFERROR(1/(1/SUMPRODUCT(MAX((photos!$B$2:$B$701=$A157)*(photos!$C$2:$C$701=$B157)*(photos!$D$2:$D$701="later")*(photos!$O$2:$O$701="Y")*photos!$E$2:$E$701))),""))</f>
        <v/>
      </c>
      <c r="AJ157" s="30" t="str">
        <f aca="false">IF(OR($A157="",$AI157="",$I157=""),"",NETWORKDAYS($I157,$AI157,calendar!$A$2:$A$80))</f>
        <v/>
      </c>
      <c r="AK157" s="30" t="str">
        <f aca="false">IF($A157="","",IF(AND($X157&lt;&gt;"",$AH157&lt;&gt;""),"Y","N"))</f>
        <v/>
      </c>
      <c r="AL157" s="30" t="str">
        <f aca="true">IF(OR($A157="",$I157=""),"",IF($BC157="Y",SUMIFS(survey_frozen!$C$2:$C$251,survey_frozen!$P$2:$P$251,$A157&amp;"|"&amp;$B157),IFERROR(COUNTIFS(INDIRECT("'"&amp;$A157&amp;"'!$B$2:$B$501"),$T157,INDIRECT("'"&amp;$A157&amp;"'!$A$2:$A$501"),"&gt;="&amp;$I157,INDIRECT("'"&amp;$A157&amp;"'!$A$2:$A$501"),"&lt;"&amp;($BA157+1)),0)))</f>
        <v/>
      </c>
      <c r="AM157" s="30" t="str">
        <f aca="true">IF(OR($A157="",$I157=""),"",IF($BC157="Y",SUMIFS(survey_frozen!$D$2:$D$251,survey_frozen!$P$2:$P$251,$A157&amp;"|"&amp;$B157),IFERROR(COUNTIFS(INDIRECT("'"&amp;$A157&amp;"'!$B$2:$B$501"),$T157,INDIRECT("'"&amp;$A157&amp;"'!$A$2:$A$501"),"&gt;="&amp;$I157,INDIRECT("'"&amp;$A157&amp;"'!$A$2:$A$501"),"&lt;"&amp;($BA157+1),INDIRECT("'"&amp;$A157&amp;"'!$C$2:$C$501"),"Yes"),0)))</f>
        <v/>
      </c>
      <c r="AN157" s="30" t="str">
        <f aca="false">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30" t="str">
        <f aca="false">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30" t="str">
        <f aca="true">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30" t="str">
        <f aca="true">IF(OR($A157="",$I157=""),"",IF($BC157="Y",SUMIFS(survey_frozen!$E$2:$E$251,survey_frozen!$P$2:$P$251,$A157&amp;"|"&amp;$B157),IFERROR(COUNTIFS(INDIRECT("'"&amp;$A157&amp;"'!$B$2:$B$501"),$T157,INDIRECT("'"&amp;$A157&amp;"'!$A$2:$A$501"),"&gt;="&amp;$I157,INDIRECT("'"&amp;$A157&amp;"'!$A$2:$A$501"),"&lt;"&amp;($BA157+1),INDIRECT("'"&amp;$A157&amp;"'!$F$2:$F$501"),"Didn't see it"),0)))</f>
        <v/>
      </c>
      <c r="AR157" s="30" t="str">
        <f aca="true">IF(OR($A157="",$I157=""),"",IF($BC157="Y",SUMIFS(survey_frozen!$F$2:$F$251,survey_frozen!$P$2:$P$251,$A157&amp;"|"&amp;$B157),IFERROR(COUNTIFS(INDIRECT("'"&amp;$A157&amp;"'!$B$2:$B$501"),$T157,INDIRECT("'"&amp;$A157&amp;"'!$A$2:$A$501"),"&gt;="&amp;$I157,INDIRECT("'"&amp;$A157&amp;"'!$A$2:$A$501"),"&lt;"&amp;($BA157+1),INDIRECT("'"&amp;$A157&amp;"'!$F$2:$F$501"),"Not for me"),0)))</f>
        <v/>
      </c>
      <c r="AS157" s="30" t="str">
        <f aca="true">IF(OR($A157="",$I157=""),"",IF($BC157="Y",SUMIFS(survey_frozen!$G$2:$G$251,survey_frozen!$P$2:$P$251,$A157&amp;"|"&amp;$B157),IFERROR(COUNTIFS(INDIRECT("'"&amp;$A157&amp;"'!$B$2:$B$501"),$T157,INDIRECT("'"&amp;$A157&amp;"'!$A$2:$A$501"),"&gt;="&amp;$I157,INDIRECT("'"&amp;$A157&amp;"'!$A$2:$A$501"),"&lt;"&amp;($BA157+1),INDIRECT("'"&amp;$A157&amp;"'!$F$2:$F$501"),"Gone by the time I looked"),0)))</f>
        <v/>
      </c>
      <c r="AT157" s="30" t="str">
        <f aca="true">IF(OR($A157="",$I157=""),"",IF($BC157="Y",SUMIFS(survey_frozen!$H$2:$H$251,survey_frozen!$P$2:$P$251,$A157&amp;"|"&amp;$B157),IFERROR(COUNTIFS(INDIRECT("'"&amp;$A157&amp;"'!$B$2:$B$501"),$T157,INDIRECT("'"&amp;$A157&amp;"'!$A$2:$A$501"),"&gt;="&amp;$I157,INDIRECT("'"&amp;$A157&amp;"'!$A$2:$A$501"),"&lt;"&amp;($BA157+1),INDIRECT("'"&amp;$A157&amp;"'!$D$2:$D$501"),"&gt;=1"),0)))</f>
        <v/>
      </c>
      <c r="AU157" s="30" t="str">
        <f aca="true">IF(OR($A157="",$I157=""),"",IF($BC157="Y",SUMIFS(survey_frozen!$I$2:$I$251,survey_frozen!$P$2:$P$251,$A157&amp;"|"&amp;$B157),IFERROR(SUMIFS(INDIRECT("'"&amp;$A157&amp;"'!$D$2:$D$501"),INDIRECT("'"&amp;$A157&amp;"'!$B$2:$B$501"),$T157,INDIRECT("'"&amp;$A157&amp;"'!$A$2:$A$501"),"&gt;="&amp;$I157,INDIRECT("'"&amp;$A157&amp;"'!$A$2:$A$501"),"&lt;"&amp;($BA157+1)),0)))</f>
        <v/>
      </c>
      <c r="AV157" s="30" t="str">
        <f aca="true">IF(OR($A157="",$I157=""),"",IF($BC157="Y",SUMIFS(survey_frozen!$J$2:$J$251,survey_frozen!$P$2:$P$251,$A157&amp;"|"&amp;$B157),IFERROR(COUNTIFS(INDIRECT("'"&amp;$A157&amp;"'!$B$2:$B$501"),$T157,INDIRECT("'"&amp;$A157&amp;"'!$A$2:$A$501"),"&gt;="&amp;$I157,INDIRECT("'"&amp;$A157&amp;"'!$A$2:$A$501"),"&lt;"&amp;($BA157+1),INDIRECT("'"&amp;$A157&amp;"'!$E$2:$E$501"),"Yes"),0)))</f>
        <v/>
      </c>
      <c r="AW157" s="30" t="str">
        <f aca="true">IF(OR($A157="",$I157=""),"",IF($BC157="Y",SUMIFS(survey_frozen!$K$2:$K$251,survey_frozen!$P$2:$P$251,$A157&amp;"|"&amp;$B157),IFERROR(COUNTIFS(INDIRECT("'"&amp;$A157&amp;"'!$B$2:$B$501"),$T157,INDIRECT("'"&amp;$A157&amp;"'!$A$2:$A$501"),"&gt;="&amp;$I157,INDIRECT("'"&amp;$A157&amp;"'!$A$2:$A$501"),"&lt;"&amp;($BA157+1),INDIRECT("'"&amp;$A157&amp;"'!$E$2:$E$501"),"Maybe"),0)))</f>
        <v/>
      </c>
      <c r="AX157" s="30" t="str">
        <f aca="true">IF(OR($A157="",$I157=""),"",IF($BC157="Y",SUMIFS(survey_frozen!$L$2:$L$251,survey_frozen!$P$2:$P$251,$A157&amp;"|"&amp;$B157),IFERROR(COUNTIFS(INDIRECT("'"&amp;$A157&amp;"'!$B$2:$B$501"),$T157,INDIRECT("'"&amp;$A157&amp;"'!$A$2:$A$501"),"&gt;="&amp;$I157,INDIRECT("'"&amp;$A157&amp;"'!$A$2:$A$501"),"&lt;"&amp;($BA157+1),INDIRECT("'"&amp;$A157&amp;"'!$E$2:$E$501"),"No"),0)))</f>
        <v/>
      </c>
      <c r="AY157" s="30" t="str">
        <f aca="true">IF(OR($A157="",$I157=""),"",IF($BC157="Y",SUMIFS(survey_frozen!$M$2:$M$251,survey_frozen!$P$2:$P$251,$A157&amp;"|"&amp;$B157),IFERROR(COUNTIFS(INDIRECT("'"&amp;$A157&amp;"'!$B$2:$B$501"),$T157,INDIRECT("'"&amp;$A157&amp;"'!$A$2:$A$501"),"&gt;="&amp;$I157,INDIRECT("'"&amp;$A157&amp;"'!$A$2:$A$501"),"&lt;"&amp;($BA157+1),INDIRECT("'"&amp;$A157&amp;"'!$G$2:$G$501"),"&lt;&gt;"),0)))</f>
        <v/>
      </c>
      <c r="AZ157" s="30" t="str">
        <f aca="false">IF($A157="","",$A157&amp;"|"&amp;$L157)</f>
        <v/>
      </c>
      <c r="BA157" s="31" t="str">
        <f aca="false">IF($A157="","",IFERROR(IF(INDEX(drops!$R$2:$R$21,MATCH($H157,drops!$A$2:$A$21,0))="","",INDEX(drops!$R$2:$R$21,MATCH($H157,drops!$A$2:$A$21,0))),""))</f>
        <v/>
      </c>
      <c r="BB157" s="30" t="n">
        <f aca="false">IF(OR($A157="",$Q157&lt;&gt;"Y"),1000000,N($AL157))</f>
        <v>1000000</v>
      </c>
      <c r="BC157" s="30" t="str">
        <f aca="false">IF($A157="","",IF(COUNTIF(survey_frozen!$P$2:$P$251,$A157&amp;"|"&amp;$B157)&gt;0,"Y",""))</f>
        <v/>
      </c>
      <c r="BD157" s="30" t="str">
        <f aca="false">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ustomFormat="false" ht="15" hidden="false" customHeight="false" outlineLevel="0" collapsed="false">
      <c r="C158" s="11"/>
      <c r="D158" s="10"/>
      <c r="E158" s="11"/>
      <c r="H158" s="30" t="str">
        <f aca="false">IF($A158="","",IFERROR(IF(INDEX(campaigns!$B$2:$B$51,MATCH($A158,campaigns!$A$2:$A$51,0))="","",INDEX(campaigns!$B$2:$B$51,MATCH($A158,campaigns!$A$2:$A$51,0))),""))</f>
        <v/>
      </c>
      <c r="I158" s="31" t="str">
        <f aca="false">IF($A158="","",IFERROR(IF(INDEX(campaigns!$BG$2:$BG$51,MATCH($A158,campaigns!$A$2:$A$51,0))="","",INDEX(campaigns!$BG$2:$BG$51,MATCH($A158,campaigns!$A$2:$A$51,0))),""))</f>
        <v/>
      </c>
      <c r="J158" s="30" t="str">
        <f aca="false">IF($A158="","",IFERROR(IF(INDEX(campaigns!$BE$2:$BE$51,MATCH($A158,campaigns!$A$2:$A$51,0))="","",INDEX(campaigns!$BE$2:$BE$51,MATCH($A158,campaigns!$A$2:$A$51,0))),""))</f>
        <v/>
      </c>
      <c r="K158" s="30" t="str">
        <f aca="false">IF($B158="","",IFERROR(IF(INDEX(offices!$O$2:$O$61,MATCH($B158,offices!$A$2:$A$61,0))="","",INDEX(offices!$O$2:$O$61,MATCH($B158,offices!$A$2:$A$61,0))),""))</f>
        <v/>
      </c>
      <c r="L158" s="30" t="str">
        <f aca="false">IF($A158="","",IF($Q158="N","",COUNTIFS($A$2:$A158,$A158,$Q$2:$Q158,"&lt;&gt;N")))</f>
        <v/>
      </c>
      <c r="M158" s="30" t="str">
        <f aca="false">IF(OR($A158="",$L158=""),"",IF(AND(config!$B$34="names_if_public",IFERROR(IF(INDEX(offices!$AG$2:$AG$61,MATCH($B158,offices!$A$2:$A$61,0))="","",INDEX(offices!$AG$2:$AG$61,MATCH($B158,offices!$A$2:$A$61,0))),"")="Y"),$K158,CHAR(64+$L158)))</f>
        <v/>
      </c>
      <c r="N158" s="30" t="str">
        <f aca="false">IF(OR($A158="",$I158=""),"",COUNTIFS(stops!$B$2:$B$151,$B158,stops!$P$2:$P$151,"&lt;"&amp;$I158,stops!$L$2:$L$151,"&lt;&gt;not_delivered")+1)</f>
        <v/>
      </c>
      <c r="O158" s="30" t="str">
        <f aca="false">IF($A158="","",IF(N($N158)&lt;=config!$B$29,"explicit","opt-out"))</f>
        <v/>
      </c>
      <c r="P158" s="30" t="str">
        <f aca="false">IF($A158="","",IF($O158="explicit",IF($D158="yes","Y",IF($D158="no","N","pending")),IF($D158="no","N",IF(AND($C158&lt;&gt;"",$I158&lt;&gt;"",$C158&lt;=WORKDAY(N($I158),-5,calendar!$A$2:$A$80)),"Y","pending"))))</f>
        <v/>
      </c>
      <c r="Q158" s="30" t="str">
        <f aca="false">IF($A158="","",IF($P158="N","N",IF($P158&lt;&gt;"Y","pending",IF(AND((COUNTIFS(stops!$A$2:$A$151,$H158,stops!$B$2:$B$151,$B158,stops!$L$2:$L$151,"declined")+COUNTIFS(stops!$A$2:$A$151,$H158,stops!$B$2:$B$151,$B158,stops!$L$2:$L$151,"building_refused")+COUNTIFS(stops!$A$2:$A$151,$H158,stops!$B$2:$B$151,$B158,stops!$L$2:$L$151,"not_delivered"))&gt;0,N($U158)=0),"N","Y"))))</f>
        <v/>
      </c>
      <c r="R158" s="30" t="str">
        <f aca="false">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30" t="str">
        <f aca="false">IF($A158="","",IF($G158&lt;&gt;"",$G158,IFERROR(IF(INDEX(offices!$AM$2:$AM$61,MATCH($B158,offices!$A$2:$A$61,0))="","",INDEX(offices!$AM$2:$AM$61,MATCH($B158,offices!$A$2:$A$61,0))),"")))</f>
        <v/>
      </c>
      <c r="T158" s="30" t="str">
        <f aca="false">IF($A158="","",$A158&amp;"."&amp;$B158)</f>
        <v/>
      </c>
      <c r="U158" s="30" t="str">
        <f aca="false">IF($A158="","",SUMIFS(inventory!$G$2:$G$801,inventory!$C$2:$C$801,$A158,inventory!$D$2:$D$801,$B158,inventory!$E$2:$E$801,"delivered"))</f>
        <v/>
      </c>
      <c r="V158" s="37" t="str">
        <f aca="false">IF($A158="","",IFERROR(1/(1/SUMPRODUCT(MAX((inventory!$C$2:$C$801=$A158)*(inventory!$D$2:$D$801=$B158)*(inventory!$E$2:$E$801="delivered")*(inventory!$A$2:$A$801+inventory!$B$2:$B$801)))),""))</f>
        <v/>
      </c>
      <c r="W158" s="30" t="str">
        <f aca="false">IF($A158="","",IFERROR(IF(INDEX(inventory!$J$2:$J$801,MATCH($A158&amp;"|"&amp;$B158&amp;"|delivered",inventory!$R$2:$R$801,0))="","",INDEX(inventory!$J$2:$J$801,MATCH($A158&amp;"|"&amp;$B158&amp;"|delivered",inventory!$R$2:$R$801,0))),""))</f>
        <v/>
      </c>
      <c r="X158" s="30" t="str">
        <f aca="false">IF($A158="","",IFERROR(IF(INDEX(photos!$H$2:$H$701,MATCH($A158&amp;"|"&amp;$B158&amp;"|placement|Y",photos!$R$2:$R$701,0))="","",INDEX(photos!$H$2:$H$701,MATCH($A158&amp;"|"&amp;$B158&amp;"|placement|Y",photos!$R$2:$R$701,0))),""))</f>
        <v/>
      </c>
      <c r="Y158" s="31" t="str">
        <f aca="false">IF($A158="","",IFERROR(IF(INDEX(photos!$E$2:$E$701,MATCH($A158&amp;"|"&amp;$B158&amp;"|placement|Y",photos!$R$2:$R$701,0))="","",INDEX(photos!$E$2:$E$701,MATCH($A158&amp;"|"&amp;$B158&amp;"|placement|Y",photos!$R$2:$R$701,0))),""))</f>
        <v/>
      </c>
      <c r="Z158" s="30" t="str">
        <f aca="false">IF($A158="","",IF(COUNTIFS(counts!$C$2:$C$701,$A158,counts!$D$2:$D$701,$B158,counts!$E$2:$E$701,"placed")=0,"",SUMIFS(counts!$F$2:$F$701,counts!$C$2:$C$701,$A158,counts!$D$2:$D$701,$B158,counts!$E$2:$E$701,"placed")))</f>
        <v/>
      </c>
      <c r="AA158" s="30" t="str">
        <f aca="false">IF($A158="","",IF($Y158="",0,N($Z158)))</f>
        <v/>
      </c>
      <c r="AB158" s="30" t="str">
        <f aca="false">IF($A158="","",IF(OR($Y158="",$I158=""),"N",IF($Y158&lt;=WORKDAY(N($I158),1,calendar!$A$2:$A$80),"Y","N")))</f>
        <v/>
      </c>
      <c r="AC158" s="33" t="str">
        <f aca="false">IF(OR($A158="",$V158="",$Y158=""),"",ROUND(($Y158+N(IFERROR(IF(INDEX(photos!$F$2:$F$701,MATCH($A158&amp;"|"&amp;$B158&amp;"|placement|Y",photos!$R$2:$R$701,0))="","",INDEX(photos!$F$2:$F$701,MATCH($A158&amp;"|"&amp;$B158&amp;"|placement|Y",photos!$R$2:$R$701,0))),""))-$V158)*24,1))</f>
        <v/>
      </c>
      <c r="AD158" s="30" t="str">
        <f aca="false">IF($A158="","",SUMIFS(inventory!$G$2:$G$801,inventory!$C$2:$C$801,$A158,inventory!$D$2:$D$801,$B158,inventory!$E$2:$E$801,"topped_up"))</f>
        <v/>
      </c>
      <c r="AE158" s="30" t="str">
        <f aca="false">IF($A158="","",IF(COUNTIFS(counts!$C$2:$C$701,$A158,counts!$D$2:$D$701,$B158,counts!$E$2:$E$701,"remaining_day3")=0,"",SUMIFS(counts!$F$2:$F$701,counts!$C$2:$C$701,$A158,counts!$D$2:$D$701,$B158,counts!$E$2:$E$701,"remaining_day3")))</f>
        <v/>
      </c>
      <c r="AF158" s="30" t="str">
        <f aca="false">IF($A158="","",IF(COUNTIFS(counts!$C$2:$C$701,$A158,counts!$D$2:$D$701,$B158,counts!$E$2:$E$701,"remaining_day5")=0,"",SUMIFS(counts!$F$2:$F$701,counts!$C$2:$C$701,$A158,counts!$D$2:$D$701,$B158,counts!$E$2:$E$701,"remaining_day5")))</f>
        <v/>
      </c>
      <c r="AG158" s="30" t="str">
        <f aca="false">IF(OR($A158="",$AF158=""),"",MAX(0,$AA158+$AD158-$AF158))</f>
        <v/>
      </c>
      <c r="AH158" s="30" t="str">
        <f aca="false">IF(OR($A158="",$AI158=""),"",IFERROR(IF(INDEX(photos!$H$2:$H$701,MATCH($A158&amp;"|"&amp;$B158&amp;"|later|Y|"&amp;$AI158,photos!$S$2:$S$701,0))="","",INDEX(photos!$H$2:$H$701,MATCH($A158&amp;"|"&amp;$B158&amp;"|later|Y|"&amp;$AI158,photos!$S$2:$S$701,0))),""))</f>
        <v/>
      </c>
      <c r="AI158" s="31" t="str">
        <f aca="false">IF($A158="","",IFERROR(1/(1/SUMPRODUCT(MAX((photos!$B$2:$B$701=$A158)*(photos!$C$2:$C$701=$B158)*(photos!$D$2:$D$701="later")*(photos!$O$2:$O$701="Y")*photos!$E$2:$E$701))),""))</f>
        <v/>
      </c>
      <c r="AJ158" s="30" t="str">
        <f aca="false">IF(OR($A158="",$AI158="",$I158=""),"",NETWORKDAYS($I158,$AI158,calendar!$A$2:$A$80))</f>
        <v/>
      </c>
      <c r="AK158" s="30" t="str">
        <f aca="false">IF($A158="","",IF(AND($X158&lt;&gt;"",$AH158&lt;&gt;""),"Y","N"))</f>
        <v/>
      </c>
      <c r="AL158" s="30" t="str">
        <f aca="true">IF(OR($A158="",$I158=""),"",IF($BC158="Y",SUMIFS(survey_frozen!$C$2:$C$251,survey_frozen!$P$2:$P$251,$A158&amp;"|"&amp;$B158),IFERROR(COUNTIFS(INDIRECT("'"&amp;$A158&amp;"'!$B$2:$B$501"),$T158,INDIRECT("'"&amp;$A158&amp;"'!$A$2:$A$501"),"&gt;="&amp;$I158,INDIRECT("'"&amp;$A158&amp;"'!$A$2:$A$501"),"&lt;"&amp;($BA158+1)),0)))</f>
        <v/>
      </c>
      <c r="AM158" s="30" t="str">
        <f aca="true">IF(OR($A158="",$I158=""),"",IF($BC158="Y",SUMIFS(survey_frozen!$D$2:$D$251,survey_frozen!$P$2:$P$251,$A158&amp;"|"&amp;$B158),IFERROR(COUNTIFS(INDIRECT("'"&amp;$A158&amp;"'!$B$2:$B$501"),$T158,INDIRECT("'"&amp;$A158&amp;"'!$A$2:$A$501"),"&gt;="&amp;$I158,INDIRECT("'"&amp;$A158&amp;"'!$A$2:$A$501"),"&lt;"&amp;($BA158+1),INDIRECT("'"&amp;$A158&amp;"'!$C$2:$C$501"),"Yes"),0)))</f>
        <v/>
      </c>
      <c r="AN158" s="30" t="str">
        <f aca="false">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30" t="str">
        <f aca="false">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30" t="str">
        <f aca="true">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30" t="str">
        <f aca="true">IF(OR($A158="",$I158=""),"",IF($BC158="Y",SUMIFS(survey_frozen!$E$2:$E$251,survey_frozen!$P$2:$P$251,$A158&amp;"|"&amp;$B158),IFERROR(COUNTIFS(INDIRECT("'"&amp;$A158&amp;"'!$B$2:$B$501"),$T158,INDIRECT("'"&amp;$A158&amp;"'!$A$2:$A$501"),"&gt;="&amp;$I158,INDIRECT("'"&amp;$A158&amp;"'!$A$2:$A$501"),"&lt;"&amp;($BA158+1),INDIRECT("'"&amp;$A158&amp;"'!$F$2:$F$501"),"Didn't see it"),0)))</f>
        <v/>
      </c>
      <c r="AR158" s="30" t="str">
        <f aca="true">IF(OR($A158="",$I158=""),"",IF($BC158="Y",SUMIFS(survey_frozen!$F$2:$F$251,survey_frozen!$P$2:$P$251,$A158&amp;"|"&amp;$B158),IFERROR(COUNTIFS(INDIRECT("'"&amp;$A158&amp;"'!$B$2:$B$501"),$T158,INDIRECT("'"&amp;$A158&amp;"'!$A$2:$A$501"),"&gt;="&amp;$I158,INDIRECT("'"&amp;$A158&amp;"'!$A$2:$A$501"),"&lt;"&amp;($BA158+1),INDIRECT("'"&amp;$A158&amp;"'!$F$2:$F$501"),"Not for me"),0)))</f>
        <v/>
      </c>
      <c r="AS158" s="30" t="str">
        <f aca="true">IF(OR($A158="",$I158=""),"",IF($BC158="Y",SUMIFS(survey_frozen!$G$2:$G$251,survey_frozen!$P$2:$P$251,$A158&amp;"|"&amp;$B158),IFERROR(COUNTIFS(INDIRECT("'"&amp;$A158&amp;"'!$B$2:$B$501"),$T158,INDIRECT("'"&amp;$A158&amp;"'!$A$2:$A$501"),"&gt;="&amp;$I158,INDIRECT("'"&amp;$A158&amp;"'!$A$2:$A$501"),"&lt;"&amp;($BA158+1),INDIRECT("'"&amp;$A158&amp;"'!$F$2:$F$501"),"Gone by the time I looked"),0)))</f>
        <v/>
      </c>
      <c r="AT158" s="30" t="str">
        <f aca="true">IF(OR($A158="",$I158=""),"",IF($BC158="Y",SUMIFS(survey_frozen!$H$2:$H$251,survey_frozen!$P$2:$P$251,$A158&amp;"|"&amp;$B158),IFERROR(COUNTIFS(INDIRECT("'"&amp;$A158&amp;"'!$B$2:$B$501"),$T158,INDIRECT("'"&amp;$A158&amp;"'!$A$2:$A$501"),"&gt;="&amp;$I158,INDIRECT("'"&amp;$A158&amp;"'!$A$2:$A$501"),"&lt;"&amp;($BA158+1),INDIRECT("'"&amp;$A158&amp;"'!$D$2:$D$501"),"&gt;=1"),0)))</f>
        <v/>
      </c>
      <c r="AU158" s="30" t="str">
        <f aca="true">IF(OR($A158="",$I158=""),"",IF($BC158="Y",SUMIFS(survey_frozen!$I$2:$I$251,survey_frozen!$P$2:$P$251,$A158&amp;"|"&amp;$B158),IFERROR(SUMIFS(INDIRECT("'"&amp;$A158&amp;"'!$D$2:$D$501"),INDIRECT("'"&amp;$A158&amp;"'!$B$2:$B$501"),$T158,INDIRECT("'"&amp;$A158&amp;"'!$A$2:$A$501"),"&gt;="&amp;$I158,INDIRECT("'"&amp;$A158&amp;"'!$A$2:$A$501"),"&lt;"&amp;($BA158+1)),0)))</f>
        <v/>
      </c>
      <c r="AV158" s="30" t="str">
        <f aca="true">IF(OR($A158="",$I158=""),"",IF($BC158="Y",SUMIFS(survey_frozen!$J$2:$J$251,survey_frozen!$P$2:$P$251,$A158&amp;"|"&amp;$B158),IFERROR(COUNTIFS(INDIRECT("'"&amp;$A158&amp;"'!$B$2:$B$501"),$T158,INDIRECT("'"&amp;$A158&amp;"'!$A$2:$A$501"),"&gt;="&amp;$I158,INDIRECT("'"&amp;$A158&amp;"'!$A$2:$A$501"),"&lt;"&amp;($BA158+1),INDIRECT("'"&amp;$A158&amp;"'!$E$2:$E$501"),"Yes"),0)))</f>
        <v/>
      </c>
      <c r="AW158" s="30" t="str">
        <f aca="true">IF(OR($A158="",$I158=""),"",IF($BC158="Y",SUMIFS(survey_frozen!$K$2:$K$251,survey_frozen!$P$2:$P$251,$A158&amp;"|"&amp;$B158),IFERROR(COUNTIFS(INDIRECT("'"&amp;$A158&amp;"'!$B$2:$B$501"),$T158,INDIRECT("'"&amp;$A158&amp;"'!$A$2:$A$501"),"&gt;="&amp;$I158,INDIRECT("'"&amp;$A158&amp;"'!$A$2:$A$501"),"&lt;"&amp;($BA158+1),INDIRECT("'"&amp;$A158&amp;"'!$E$2:$E$501"),"Maybe"),0)))</f>
        <v/>
      </c>
      <c r="AX158" s="30" t="str">
        <f aca="true">IF(OR($A158="",$I158=""),"",IF($BC158="Y",SUMIFS(survey_frozen!$L$2:$L$251,survey_frozen!$P$2:$P$251,$A158&amp;"|"&amp;$B158),IFERROR(COUNTIFS(INDIRECT("'"&amp;$A158&amp;"'!$B$2:$B$501"),$T158,INDIRECT("'"&amp;$A158&amp;"'!$A$2:$A$501"),"&gt;="&amp;$I158,INDIRECT("'"&amp;$A158&amp;"'!$A$2:$A$501"),"&lt;"&amp;($BA158+1),INDIRECT("'"&amp;$A158&amp;"'!$E$2:$E$501"),"No"),0)))</f>
        <v/>
      </c>
      <c r="AY158" s="30" t="str">
        <f aca="true">IF(OR($A158="",$I158=""),"",IF($BC158="Y",SUMIFS(survey_frozen!$M$2:$M$251,survey_frozen!$P$2:$P$251,$A158&amp;"|"&amp;$B158),IFERROR(COUNTIFS(INDIRECT("'"&amp;$A158&amp;"'!$B$2:$B$501"),$T158,INDIRECT("'"&amp;$A158&amp;"'!$A$2:$A$501"),"&gt;="&amp;$I158,INDIRECT("'"&amp;$A158&amp;"'!$A$2:$A$501"),"&lt;"&amp;($BA158+1),INDIRECT("'"&amp;$A158&amp;"'!$G$2:$G$501"),"&lt;&gt;"),0)))</f>
        <v/>
      </c>
      <c r="AZ158" s="30" t="str">
        <f aca="false">IF($A158="","",$A158&amp;"|"&amp;$L158)</f>
        <v/>
      </c>
      <c r="BA158" s="31" t="str">
        <f aca="false">IF($A158="","",IFERROR(IF(INDEX(drops!$R$2:$R$21,MATCH($H158,drops!$A$2:$A$21,0))="","",INDEX(drops!$R$2:$R$21,MATCH($H158,drops!$A$2:$A$21,0))),""))</f>
        <v/>
      </c>
      <c r="BB158" s="30" t="n">
        <f aca="false">IF(OR($A158="",$Q158&lt;&gt;"Y"),1000000,N($AL158))</f>
        <v>1000000</v>
      </c>
      <c r="BC158" s="30" t="str">
        <f aca="false">IF($A158="","",IF(COUNTIF(survey_frozen!$P$2:$P$251,$A158&amp;"|"&amp;$B158)&gt;0,"Y",""))</f>
        <v/>
      </c>
      <c r="BD158" s="30" t="str">
        <f aca="false">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ustomFormat="false" ht="15" hidden="false" customHeight="false" outlineLevel="0" collapsed="false">
      <c r="C159" s="11"/>
      <c r="D159" s="10"/>
      <c r="E159" s="11"/>
      <c r="H159" s="30" t="str">
        <f aca="false">IF($A159="","",IFERROR(IF(INDEX(campaigns!$B$2:$B$51,MATCH($A159,campaigns!$A$2:$A$51,0))="","",INDEX(campaigns!$B$2:$B$51,MATCH($A159,campaigns!$A$2:$A$51,0))),""))</f>
        <v/>
      </c>
      <c r="I159" s="31" t="str">
        <f aca="false">IF($A159="","",IFERROR(IF(INDEX(campaigns!$BG$2:$BG$51,MATCH($A159,campaigns!$A$2:$A$51,0))="","",INDEX(campaigns!$BG$2:$BG$51,MATCH($A159,campaigns!$A$2:$A$51,0))),""))</f>
        <v/>
      </c>
      <c r="J159" s="30" t="str">
        <f aca="false">IF($A159="","",IFERROR(IF(INDEX(campaigns!$BE$2:$BE$51,MATCH($A159,campaigns!$A$2:$A$51,0))="","",INDEX(campaigns!$BE$2:$BE$51,MATCH($A159,campaigns!$A$2:$A$51,0))),""))</f>
        <v/>
      </c>
      <c r="K159" s="30" t="str">
        <f aca="false">IF($B159="","",IFERROR(IF(INDEX(offices!$O$2:$O$61,MATCH($B159,offices!$A$2:$A$61,0))="","",INDEX(offices!$O$2:$O$61,MATCH($B159,offices!$A$2:$A$61,0))),""))</f>
        <v/>
      </c>
      <c r="L159" s="30" t="str">
        <f aca="false">IF($A159="","",IF($Q159="N","",COUNTIFS($A$2:$A159,$A159,$Q$2:$Q159,"&lt;&gt;N")))</f>
        <v/>
      </c>
      <c r="M159" s="30" t="str">
        <f aca="false">IF(OR($A159="",$L159=""),"",IF(AND(config!$B$34="names_if_public",IFERROR(IF(INDEX(offices!$AG$2:$AG$61,MATCH($B159,offices!$A$2:$A$61,0))="","",INDEX(offices!$AG$2:$AG$61,MATCH($B159,offices!$A$2:$A$61,0))),"")="Y"),$K159,CHAR(64+$L159)))</f>
        <v/>
      </c>
      <c r="N159" s="30" t="str">
        <f aca="false">IF(OR($A159="",$I159=""),"",COUNTIFS(stops!$B$2:$B$151,$B159,stops!$P$2:$P$151,"&lt;"&amp;$I159,stops!$L$2:$L$151,"&lt;&gt;not_delivered")+1)</f>
        <v/>
      </c>
      <c r="O159" s="30" t="str">
        <f aca="false">IF($A159="","",IF(N($N159)&lt;=config!$B$29,"explicit","opt-out"))</f>
        <v/>
      </c>
      <c r="P159" s="30" t="str">
        <f aca="false">IF($A159="","",IF($O159="explicit",IF($D159="yes","Y",IF($D159="no","N","pending")),IF($D159="no","N",IF(AND($C159&lt;&gt;"",$I159&lt;&gt;"",$C159&lt;=WORKDAY(N($I159),-5,calendar!$A$2:$A$80)),"Y","pending"))))</f>
        <v/>
      </c>
      <c r="Q159" s="30" t="str">
        <f aca="false">IF($A159="","",IF($P159="N","N",IF($P159&lt;&gt;"Y","pending",IF(AND((COUNTIFS(stops!$A$2:$A$151,$H159,stops!$B$2:$B$151,$B159,stops!$L$2:$L$151,"declined")+COUNTIFS(stops!$A$2:$A$151,$H159,stops!$B$2:$B$151,$B159,stops!$L$2:$L$151,"building_refused")+COUNTIFS(stops!$A$2:$A$151,$H159,stops!$B$2:$B$151,$B159,stops!$L$2:$L$151,"not_delivered"))&gt;0,N($U159)=0),"N","Y"))))</f>
        <v/>
      </c>
      <c r="R159" s="30" t="str">
        <f aca="false">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30" t="str">
        <f aca="false">IF($A159="","",IF($G159&lt;&gt;"",$G159,IFERROR(IF(INDEX(offices!$AM$2:$AM$61,MATCH($B159,offices!$A$2:$A$61,0))="","",INDEX(offices!$AM$2:$AM$61,MATCH($B159,offices!$A$2:$A$61,0))),"")))</f>
        <v/>
      </c>
      <c r="T159" s="30" t="str">
        <f aca="false">IF($A159="","",$A159&amp;"."&amp;$B159)</f>
        <v/>
      </c>
      <c r="U159" s="30" t="str">
        <f aca="false">IF($A159="","",SUMIFS(inventory!$G$2:$G$801,inventory!$C$2:$C$801,$A159,inventory!$D$2:$D$801,$B159,inventory!$E$2:$E$801,"delivered"))</f>
        <v/>
      </c>
      <c r="V159" s="37" t="str">
        <f aca="false">IF($A159="","",IFERROR(1/(1/SUMPRODUCT(MAX((inventory!$C$2:$C$801=$A159)*(inventory!$D$2:$D$801=$B159)*(inventory!$E$2:$E$801="delivered")*(inventory!$A$2:$A$801+inventory!$B$2:$B$801)))),""))</f>
        <v/>
      </c>
      <c r="W159" s="30" t="str">
        <f aca="false">IF($A159="","",IFERROR(IF(INDEX(inventory!$J$2:$J$801,MATCH($A159&amp;"|"&amp;$B159&amp;"|delivered",inventory!$R$2:$R$801,0))="","",INDEX(inventory!$J$2:$J$801,MATCH($A159&amp;"|"&amp;$B159&amp;"|delivered",inventory!$R$2:$R$801,0))),""))</f>
        <v/>
      </c>
      <c r="X159" s="30" t="str">
        <f aca="false">IF($A159="","",IFERROR(IF(INDEX(photos!$H$2:$H$701,MATCH($A159&amp;"|"&amp;$B159&amp;"|placement|Y",photos!$R$2:$R$701,0))="","",INDEX(photos!$H$2:$H$701,MATCH($A159&amp;"|"&amp;$B159&amp;"|placement|Y",photos!$R$2:$R$701,0))),""))</f>
        <v/>
      </c>
      <c r="Y159" s="31" t="str">
        <f aca="false">IF($A159="","",IFERROR(IF(INDEX(photos!$E$2:$E$701,MATCH($A159&amp;"|"&amp;$B159&amp;"|placement|Y",photos!$R$2:$R$701,0))="","",INDEX(photos!$E$2:$E$701,MATCH($A159&amp;"|"&amp;$B159&amp;"|placement|Y",photos!$R$2:$R$701,0))),""))</f>
        <v/>
      </c>
      <c r="Z159" s="30" t="str">
        <f aca="false">IF($A159="","",IF(COUNTIFS(counts!$C$2:$C$701,$A159,counts!$D$2:$D$701,$B159,counts!$E$2:$E$701,"placed")=0,"",SUMIFS(counts!$F$2:$F$701,counts!$C$2:$C$701,$A159,counts!$D$2:$D$701,$B159,counts!$E$2:$E$701,"placed")))</f>
        <v/>
      </c>
      <c r="AA159" s="30" t="str">
        <f aca="false">IF($A159="","",IF($Y159="",0,N($Z159)))</f>
        <v/>
      </c>
      <c r="AB159" s="30" t="str">
        <f aca="false">IF($A159="","",IF(OR($Y159="",$I159=""),"N",IF($Y159&lt;=WORKDAY(N($I159),1,calendar!$A$2:$A$80),"Y","N")))</f>
        <v/>
      </c>
      <c r="AC159" s="33" t="str">
        <f aca="false">IF(OR($A159="",$V159="",$Y159=""),"",ROUND(($Y159+N(IFERROR(IF(INDEX(photos!$F$2:$F$701,MATCH($A159&amp;"|"&amp;$B159&amp;"|placement|Y",photos!$R$2:$R$701,0))="","",INDEX(photos!$F$2:$F$701,MATCH($A159&amp;"|"&amp;$B159&amp;"|placement|Y",photos!$R$2:$R$701,0))),""))-$V159)*24,1))</f>
        <v/>
      </c>
      <c r="AD159" s="30" t="str">
        <f aca="false">IF($A159="","",SUMIFS(inventory!$G$2:$G$801,inventory!$C$2:$C$801,$A159,inventory!$D$2:$D$801,$B159,inventory!$E$2:$E$801,"topped_up"))</f>
        <v/>
      </c>
      <c r="AE159" s="30" t="str">
        <f aca="false">IF($A159="","",IF(COUNTIFS(counts!$C$2:$C$701,$A159,counts!$D$2:$D$701,$B159,counts!$E$2:$E$701,"remaining_day3")=0,"",SUMIFS(counts!$F$2:$F$701,counts!$C$2:$C$701,$A159,counts!$D$2:$D$701,$B159,counts!$E$2:$E$701,"remaining_day3")))</f>
        <v/>
      </c>
      <c r="AF159" s="30" t="str">
        <f aca="false">IF($A159="","",IF(COUNTIFS(counts!$C$2:$C$701,$A159,counts!$D$2:$D$701,$B159,counts!$E$2:$E$701,"remaining_day5")=0,"",SUMIFS(counts!$F$2:$F$701,counts!$C$2:$C$701,$A159,counts!$D$2:$D$701,$B159,counts!$E$2:$E$701,"remaining_day5")))</f>
        <v/>
      </c>
      <c r="AG159" s="30" t="str">
        <f aca="false">IF(OR($A159="",$AF159=""),"",MAX(0,$AA159+$AD159-$AF159))</f>
        <v/>
      </c>
      <c r="AH159" s="30" t="str">
        <f aca="false">IF(OR($A159="",$AI159=""),"",IFERROR(IF(INDEX(photos!$H$2:$H$701,MATCH($A159&amp;"|"&amp;$B159&amp;"|later|Y|"&amp;$AI159,photos!$S$2:$S$701,0))="","",INDEX(photos!$H$2:$H$701,MATCH($A159&amp;"|"&amp;$B159&amp;"|later|Y|"&amp;$AI159,photos!$S$2:$S$701,0))),""))</f>
        <v/>
      </c>
      <c r="AI159" s="31" t="str">
        <f aca="false">IF($A159="","",IFERROR(1/(1/SUMPRODUCT(MAX((photos!$B$2:$B$701=$A159)*(photos!$C$2:$C$701=$B159)*(photos!$D$2:$D$701="later")*(photos!$O$2:$O$701="Y")*photos!$E$2:$E$701))),""))</f>
        <v/>
      </c>
      <c r="AJ159" s="30" t="str">
        <f aca="false">IF(OR($A159="",$AI159="",$I159=""),"",NETWORKDAYS($I159,$AI159,calendar!$A$2:$A$80))</f>
        <v/>
      </c>
      <c r="AK159" s="30" t="str">
        <f aca="false">IF($A159="","",IF(AND($X159&lt;&gt;"",$AH159&lt;&gt;""),"Y","N"))</f>
        <v/>
      </c>
      <c r="AL159" s="30" t="str">
        <f aca="true">IF(OR($A159="",$I159=""),"",IF($BC159="Y",SUMIFS(survey_frozen!$C$2:$C$251,survey_frozen!$P$2:$P$251,$A159&amp;"|"&amp;$B159),IFERROR(COUNTIFS(INDIRECT("'"&amp;$A159&amp;"'!$B$2:$B$501"),$T159,INDIRECT("'"&amp;$A159&amp;"'!$A$2:$A$501"),"&gt;="&amp;$I159,INDIRECT("'"&amp;$A159&amp;"'!$A$2:$A$501"),"&lt;"&amp;($BA159+1)),0)))</f>
        <v/>
      </c>
      <c r="AM159" s="30" t="str">
        <f aca="true">IF(OR($A159="",$I159=""),"",IF($BC159="Y",SUMIFS(survey_frozen!$D$2:$D$251,survey_frozen!$P$2:$P$251,$A159&amp;"|"&amp;$B159),IFERROR(COUNTIFS(INDIRECT("'"&amp;$A159&amp;"'!$B$2:$B$501"),$T159,INDIRECT("'"&amp;$A159&amp;"'!$A$2:$A$501"),"&gt;="&amp;$I159,INDIRECT("'"&amp;$A159&amp;"'!$A$2:$A$501"),"&lt;"&amp;($BA159+1),INDIRECT("'"&amp;$A159&amp;"'!$C$2:$C$501"),"Yes"),0)))</f>
        <v/>
      </c>
      <c r="AN159" s="30" t="str">
        <f aca="false">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30" t="str">
        <f aca="false">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30" t="str">
        <f aca="true">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30" t="str">
        <f aca="true">IF(OR($A159="",$I159=""),"",IF($BC159="Y",SUMIFS(survey_frozen!$E$2:$E$251,survey_frozen!$P$2:$P$251,$A159&amp;"|"&amp;$B159),IFERROR(COUNTIFS(INDIRECT("'"&amp;$A159&amp;"'!$B$2:$B$501"),$T159,INDIRECT("'"&amp;$A159&amp;"'!$A$2:$A$501"),"&gt;="&amp;$I159,INDIRECT("'"&amp;$A159&amp;"'!$A$2:$A$501"),"&lt;"&amp;($BA159+1),INDIRECT("'"&amp;$A159&amp;"'!$F$2:$F$501"),"Didn't see it"),0)))</f>
        <v/>
      </c>
      <c r="AR159" s="30" t="str">
        <f aca="true">IF(OR($A159="",$I159=""),"",IF($BC159="Y",SUMIFS(survey_frozen!$F$2:$F$251,survey_frozen!$P$2:$P$251,$A159&amp;"|"&amp;$B159),IFERROR(COUNTIFS(INDIRECT("'"&amp;$A159&amp;"'!$B$2:$B$501"),$T159,INDIRECT("'"&amp;$A159&amp;"'!$A$2:$A$501"),"&gt;="&amp;$I159,INDIRECT("'"&amp;$A159&amp;"'!$A$2:$A$501"),"&lt;"&amp;($BA159+1),INDIRECT("'"&amp;$A159&amp;"'!$F$2:$F$501"),"Not for me"),0)))</f>
        <v/>
      </c>
      <c r="AS159" s="30" t="str">
        <f aca="true">IF(OR($A159="",$I159=""),"",IF($BC159="Y",SUMIFS(survey_frozen!$G$2:$G$251,survey_frozen!$P$2:$P$251,$A159&amp;"|"&amp;$B159),IFERROR(COUNTIFS(INDIRECT("'"&amp;$A159&amp;"'!$B$2:$B$501"),$T159,INDIRECT("'"&amp;$A159&amp;"'!$A$2:$A$501"),"&gt;="&amp;$I159,INDIRECT("'"&amp;$A159&amp;"'!$A$2:$A$501"),"&lt;"&amp;($BA159+1),INDIRECT("'"&amp;$A159&amp;"'!$F$2:$F$501"),"Gone by the time I looked"),0)))</f>
        <v/>
      </c>
      <c r="AT159" s="30" t="str">
        <f aca="true">IF(OR($A159="",$I159=""),"",IF($BC159="Y",SUMIFS(survey_frozen!$H$2:$H$251,survey_frozen!$P$2:$P$251,$A159&amp;"|"&amp;$B159),IFERROR(COUNTIFS(INDIRECT("'"&amp;$A159&amp;"'!$B$2:$B$501"),$T159,INDIRECT("'"&amp;$A159&amp;"'!$A$2:$A$501"),"&gt;="&amp;$I159,INDIRECT("'"&amp;$A159&amp;"'!$A$2:$A$501"),"&lt;"&amp;($BA159+1),INDIRECT("'"&amp;$A159&amp;"'!$D$2:$D$501"),"&gt;=1"),0)))</f>
        <v/>
      </c>
      <c r="AU159" s="30" t="str">
        <f aca="true">IF(OR($A159="",$I159=""),"",IF($BC159="Y",SUMIFS(survey_frozen!$I$2:$I$251,survey_frozen!$P$2:$P$251,$A159&amp;"|"&amp;$B159),IFERROR(SUMIFS(INDIRECT("'"&amp;$A159&amp;"'!$D$2:$D$501"),INDIRECT("'"&amp;$A159&amp;"'!$B$2:$B$501"),$T159,INDIRECT("'"&amp;$A159&amp;"'!$A$2:$A$501"),"&gt;="&amp;$I159,INDIRECT("'"&amp;$A159&amp;"'!$A$2:$A$501"),"&lt;"&amp;($BA159+1)),0)))</f>
        <v/>
      </c>
      <c r="AV159" s="30" t="str">
        <f aca="true">IF(OR($A159="",$I159=""),"",IF($BC159="Y",SUMIFS(survey_frozen!$J$2:$J$251,survey_frozen!$P$2:$P$251,$A159&amp;"|"&amp;$B159),IFERROR(COUNTIFS(INDIRECT("'"&amp;$A159&amp;"'!$B$2:$B$501"),$T159,INDIRECT("'"&amp;$A159&amp;"'!$A$2:$A$501"),"&gt;="&amp;$I159,INDIRECT("'"&amp;$A159&amp;"'!$A$2:$A$501"),"&lt;"&amp;($BA159+1),INDIRECT("'"&amp;$A159&amp;"'!$E$2:$E$501"),"Yes"),0)))</f>
        <v/>
      </c>
      <c r="AW159" s="30" t="str">
        <f aca="true">IF(OR($A159="",$I159=""),"",IF($BC159="Y",SUMIFS(survey_frozen!$K$2:$K$251,survey_frozen!$P$2:$P$251,$A159&amp;"|"&amp;$B159),IFERROR(COUNTIFS(INDIRECT("'"&amp;$A159&amp;"'!$B$2:$B$501"),$T159,INDIRECT("'"&amp;$A159&amp;"'!$A$2:$A$501"),"&gt;="&amp;$I159,INDIRECT("'"&amp;$A159&amp;"'!$A$2:$A$501"),"&lt;"&amp;($BA159+1),INDIRECT("'"&amp;$A159&amp;"'!$E$2:$E$501"),"Maybe"),0)))</f>
        <v/>
      </c>
      <c r="AX159" s="30" t="str">
        <f aca="true">IF(OR($A159="",$I159=""),"",IF($BC159="Y",SUMIFS(survey_frozen!$L$2:$L$251,survey_frozen!$P$2:$P$251,$A159&amp;"|"&amp;$B159),IFERROR(COUNTIFS(INDIRECT("'"&amp;$A159&amp;"'!$B$2:$B$501"),$T159,INDIRECT("'"&amp;$A159&amp;"'!$A$2:$A$501"),"&gt;="&amp;$I159,INDIRECT("'"&amp;$A159&amp;"'!$A$2:$A$501"),"&lt;"&amp;($BA159+1),INDIRECT("'"&amp;$A159&amp;"'!$E$2:$E$501"),"No"),0)))</f>
        <v/>
      </c>
      <c r="AY159" s="30" t="str">
        <f aca="true">IF(OR($A159="",$I159=""),"",IF($BC159="Y",SUMIFS(survey_frozen!$M$2:$M$251,survey_frozen!$P$2:$P$251,$A159&amp;"|"&amp;$B159),IFERROR(COUNTIFS(INDIRECT("'"&amp;$A159&amp;"'!$B$2:$B$501"),$T159,INDIRECT("'"&amp;$A159&amp;"'!$A$2:$A$501"),"&gt;="&amp;$I159,INDIRECT("'"&amp;$A159&amp;"'!$A$2:$A$501"),"&lt;"&amp;($BA159+1),INDIRECT("'"&amp;$A159&amp;"'!$G$2:$G$501"),"&lt;&gt;"),0)))</f>
        <v/>
      </c>
      <c r="AZ159" s="30" t="str">
        <f aca="false">IF($A159="","",$A159&amp;"|"&amp;$L159)</f>
        <v/>
      </c>
      <c r="BA159" s="31" t="str">
        <f aca="false">IF($A159="","",IFERROR(IF(INDEX(drops!$R$2:$R$21,MATCH($H159,drops!$A$2:$A$21,0))="","",INDEX(drops!$R$2:$R$21,MATCH($H159,drops!$A$2:$A$21,0))),""))</f>
        <v/>
      </c>
      <c r="BB159" s="30" t="n">
        <f aca="false">IF(OR($A159="",$Q159&lt;&gt;"Y"),1000000,N($AL159))</f>
        <v>1000000</v>
      </c>
      <c r="BC159" s="30" t="str">
        <f aca="false">IF($A159="","",IF(COUNTIF(survey_frozen!$P$2:$P$251,$A159&amp;"|"&amp;$B159)&gt;0,"Y",""))</f>
        <v/>
      </c>
      <c r="BD159" s="30" t="str">
        <f aca="false">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ustomFormat="false" ht="15" hidden="false" customHeight="false" outlineLevel="0" collapsed="false">
      <c r="C160" s="11"/>
      <c r="D160" s="10"/>
      <c r="E160" s="11"/>
      <c r="H160" s="30" t="str">
        <f aca="false">IF($A160="","",IFERROR(IF(INDEX(campaigns!$B$2:$B$51,MATCH($A160,campaigns!$A$2:$A$51,0))="","",INDEX(campaigns!$B$2:$B$51,MATCH($A160,campaigns!$A$2:$A$51,0))),""))</f>
        <v/>
      </c>
      <c r="I160" s="31" t="str">
        <f aca="false">IF($A160="","",IFERROR(IF(INDEX(campaigns!$BG$2:$BG$51,MATCH($A160,campaigns!$A$2:$A$51,0))="","",INDEX(campaigns!$BG$2:$BG$51,MATCH($A160,campaigns!$A$2:$A$51,0))),""))</f>
        <v/>
      </c>
      <c r="J160" s="30" t="str">
        <f aca="false">IF($A160="","",IFERROR(IF(INDEX(campaigns!$BE$2:$BE$51,MATCH($A160,campaigns!$A$2:$A$51,0))="","",INDEX(campaigns!$BE$2:$BE$51,MATCH($A160,campaigns!$A$2:$A$51,0))),""))</f>
        <v/>
      </c>
      <c r="K160" s="30" t="str">
        <f aca="false">IF($B160="","",IFERROR(IF(INDEX(offices!$O$2:$O$61,MATCH($B160,offices!$A$2:$A$61,0))="","",INDEX(offices!$O$2:$O$61,MATCH($B160,offices!$A$2:$A$61,0))),""))</f>
        <v/>
      </c>
      <c r="L160" s="30" t="str">
        <f aca="false">IF($A160="","",IF($Q160="N","",COUNTIFS($A$2:$A160,$A160,$Q$2:$Q160,"&lt;&gt;N")))</f>
        <v/>
      </c>
      <c r="M160" s="30" t="str">
        <f aca="false">IF(OR($A160="",$L160=""),"",IF(AND(config!$B$34="names_if_public",IFERROR(IF(INDEX(offices!$AG$2:$AG$61,MATCH($B160,offices!$A$2:$A$61,0))="","",INDEX(offices!$AG$2:$AG$61,MATCH($B160,offices!$A$2:$A$61,0))),"")="Y"),$K160,CHAR(64+$L160)))</f>
        <v/>
      </c>
      <c r="N160" s="30" t="str">
        <f aca="false">IF(OR($A160="",$I160=""),"",COUNTIFS(stops!$B$2:$B$151,$B160,stops!$P$2:$P$151,"&lt;"&amp;$I160,stops!$L$2:$L$151,"&lt;&gt;not_delivered")+1)</f>
        <v/>
      </c>
      <c r="O160" s="30" t="str">
        <f aca="false">IF($A160="","",IF(N($N160)&lt;=config!$B$29,"explicit","opt-out"))</f>
        <v/>
      </c>
      <c r="P160" s="30" t="str">
        <f aca="false">IF($A160="","",IF($O160="explicit",IF($D160="yes","Y",IF($D160="no","N","pending")),IF($D160="no","N",IF(AND($C160&lt;&gt;"",$I160&lt;&gt;"",$C160&lt;=WORKDAY(N($I160),-5,calendar!$A$2:$A$80)),"Y","pending"))))</f>
        <v/>
      </c>
      <c r="Q160" s="30" t="str">
        <f aca="false">IF($A160="","",IF($P160="N","N",IF($P160&lt;&gt;"Y","pending",IF(AND((COUNTIFS(stops!$A$2:$A$151,$H160,stops!$B$2:$B$151,$B160,stops!$L$2:$L$151,"declined")+COUNTIFS(stops!$A$2:$A$151,$H160,stops!$B$2:$B$151,$B160,stops!$L$2:$L$151,"building_refused")+COUNTIFS(stops!$A$2:$A$151,$H160,stops!$B$2:$B$151,$B160,stops!$L$2:$L$151,"not_delivered"))&gt;0,N($U160)=0),"N","Y"))))</f>
        <v/>
      </c>
      <c r="R160" s="30" t="str">
        <f aca="false">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30" t="str">
        <f aca="false">IF($A160="","",IF($G160&lt;&gt;"",$G160,IFERROR(IF(INDEX(offices!$AM$2:$AM$61,MATCH($B160,offices!$A$2:$A$61,0))="","",INDEX(offices!$AM$2:$AM$61,MATCH($B160,offices!$A$2:$A$61,0))),"")))</f>
        <v/>
      </c>
      <c r="T160" s="30" t="str">
        <f aca="false">IF($A160="","",$A160&amp;"."&amp;$B160)</f>
        <v/>
      </c>
      <c r="U160" s="30" t="str">
        <f aca="false">IF($A160="","",SUMIFS(inventory!$G$2:$G$801,inventory!$C$2:$C$801,$A160,inventory!$D$2:$D$801,$B160,inventory!$E$2:$E$801,"delivered"))</f>
        <v/>
      </c>
      <c r="V160" s="37" t="str">
        <f aca="false">IF($A160="","",IFERROR(1/(1/SUMPRODUCT(MAX((inventory!$C$2:$C$801=$A160)*(inventory!$D$2:$D$801=$B160)*(inventory!$E$2:$E$801="delivered")*(inventory!$A$2:$A$801+inventory!$B$2:$B$801)))),""))</f>
        <v/>
      </c>
      <c r="W160" s="30" t="str">
        <f aca="false">IF($A160="","",IFERROR(IF(INDEX(inventory!$J$2:$J$801,MATCH($A160&amp;"|"&amp;$B160&amp;"|delivered",inventory!$R$2:$R$801,0))="","",INDEX(inventory!$J$2:$J$801,MATCH($A160&amp;"|"&amp;$B160&amp;"|delivered",inventory!$R$2:$R$801,0))),""))</f>
        <v/>
      </c>
      <c r="X160" s="30" t="str">
        <f aca="false">IF($A160="","",IFERROR(IF(INDEX(photos!$H$2:$H$701,MATCH($A160&amp;"|"&amp;$B160&amp;"|placement|Y",photos!$R$2:$R$701,0))="","",INDEX(photos!$H$2:$H$701,MATCH($A160&amp;"|"&amp;$B160&amp;"|placement|Y",photos!$R$2:$R$701,0))),""))</f>
        <v/>
      </c>
      <c r="Y160" s="31" t="str">
        <f aca="false">IF($A160="","",IFERROR(IF(INDEX(photos!$E$2:$E$701,MATCH($A160&amp;"|"&amp;$B160&amp;"|placement|Y",photos!$R$2:$R$701,0))="","",INDEX(photos!$E$2:$E$701,MATCH($A160&amp;"|"&amp;$B160&amp;"|placement|Y",photos!$R$2:$R$701,0))),""))</f>
        <v/>
      </c>
      <c r="Z160" s="30" t="str">
        <f aca="false">IF($A160="","",IF(COUNTIFS(counts!$C$2:$C$701,$A160,counts!$D$2:$D$701,$B160,counts!$E$2:$E$701,"placed")=0,"",SUMIFS(counts!$F$2:$F$701,counts!$C$2:$C$701,$A160,counts!$D$2:$D$701,$B160,counts!$E$2:$E$701,"placed")))</f>
        <v/>
      </c>
      <c r="AA160" s="30" t="str">
        <f aca="false">IF($A160="","",IF($Y160="",0,N($Z160)))</f>
        <v/>
      </c>
      <c r="AB160" s="30" t="str">
        <f aca="false">IF($A160="","",IF(OR($Y160="",$I160=""),"N",IF($Y160&lt;=WORKDAY(N($I160),1,calendar!$A$2:$A$80),"Y","N")))</f>
        <v/>
      </c>
      <c r="AC160" s="33" t="str">
        <f aca="false">IF(OR($A160="",$V160="",$Y160=""),"",ROUND(($Y160+N(IFERROR(IF(INDEX(photos!$F$2:$F$701,MATCH($A160&amp;"|"&amp;$B160&amp;"|placement|Y",photos!$R$2:$R$701,0))="","",INDEX(photos!$F$2:$F$701,MATCH($A160&amp;"|"&amp;$B160&amp;"|placement|Y",photos!$R$2:$R$701,0))),""))-$V160)*24,1))</f>
        <v/>
      </c>
      <c r="AD160" s="30" t="str">
        <f aca="false">IF($A160="","",SUMIFS(inventory!$G$2:$G$801,inventory!$C$2:$C$801,$A160,inventory!$D$2:$D$801,$B160,inventory!$E$2:$E$801,"topped_up"))</f>
        <v/>
      </c>
      <c r="AE160" s="30" t="str">
        <f aca="false">IF($A160="","",IF(COUNTIFS(counts!$C$2:$C$701,$A160,counts!$D$2:$D$701,$B160,counts!$E$2:$E$701,"remaining_day3")=0,"",SUMIFS(counts!$F$2:$F$701,counts!$C$2:$C$701,$A160,counts!$D$2:$D$701,$B160,counts!$E$2:$E$701,"remaining_day3")))</f>
        <v/>
      </c>
      <c r="AF160" s="30" t="str">
        <f aca="false">IF($A160="","",IF(COUNTIFS(counts!$C$2:$C$701,$A160,counts!$D$2:$D$701,$B160,counts!$E$2:$E$701,"remaining_day5")=0,"",SUMIFS(counts!$F$2:$F$701,counts!$C$2:$C$701,$A160,counts!$D$2:$D$701,$B160,counts!$E$2:$E$701,"remaining_day5")))</f>
        <v/>
      </c>
      <c r="AG160" s="30" t="str">
        <f aca="false">IF(OR($A160="",$AF160=""),"",MAX(0,$AA160+$AD160-$AF160))</f>
        <v/>
      </c>
      <c r="AH160" s="30" t="str">
        <f aca="false">IF(OR($A160="",$AI160=""),"",IFERROR(IF(INDEX(photos!$H$2:$H$701,MATCH($A160&amp;"|"&amp;$B160&amp;"|later|Y|"&amp;$AI160,photos!$S$2:$S$701,0))="","",INDEX(photos!$H$2:$H$701,MATCH($A160&amp;"|"&amp;$B160&amp;"|later|Y|"&amp;$AI160,photos!$S$2:$S$701,0))),""))</f>
        <v/>
      </c>
      <c r="AI160" s="31" t="str">
        <f aca="false">IF($A160="","",IFERROR(1/(1/SUMPRODUCT(MAX((photos!$B$2:$B$701=$A160)*(photos!$C$2:$C$701=$B160)*(photos!$D$2:$D$701="later")*(photos!$O$2:$O$701="Y")*photos!$E$2:$E$701))),""))</f>
        <v/>
      </c>
      <c r="AJ160" s="30" t="str">
        <f aca="false">IF(OR($A160="",$AI160="",$I160=""),"",NETWORKDAYS($I160,$AI160,calendar!$A$2:$A$80))</f>
        <v/>
      </c>
      <c r="AK160" s="30" t="str">
        <f aca="false">IF($A160="","",IF(AND($X160&lt;&gt;"",$AH160&lt;&gt;""),"Y","N"))</f>
        <v/>
      </c>
      <c r="AL160" s="30" t="str">
        <f aca="true">IF(OR($A160="",$I160=""),"",IF($BC160="Y",SUMIFS(survey_frozen!$C$2:$C$251,survey_frozen!$P$2:$P$251,$A160&amp;"|"&amp;$B160),IFERROR(COUNTIFS(INDIRECT("'"&amp;$A160&amp;"'!$B$2:$B$501"),$T160,INDIRECT("'"&amp;$A160&amp;"'!$A$2:$A$501"),"&gt;="&amp;$I160,INDIRECT("'"&amp;$A160&amp;"'!$A$2:$A$501"),"&lt;"&amp;($BA160+1)),0)))</f>
        <v/>
      </c>
      <c r="AM160" s="30" t="str">
        <f aca="true">IF(OR($A160="",$I160=""),"",IF($BC160="Y",SUMIFS(survey_frozen!$D$2:$D$251,survey_frozen!$P$2:$P$251,$A160&amp;"|"&amp;$B160),IFERROR(COUNTIFS(INDIRECT("'"&amp;$A160&amp;"'!$B$2:$B$501"),$T160,INDIRECT("'"&amp;$A160&amp;"'!$A$2:$A$501"),"&gt;="&amp;$I160,INDIRECT("'"&amp;$A160&amp;"'!$A$2:$A$501"),"&lt;"&amp;($BA160+1),INDIRECT("'"&amp;$A160&amp;"'!$C$2:$C$501"),"Yes"),0)))</f>
        <v/>
      </c>
      <c r="AN160" s="30" t="str">
        <f aca="false">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30" t="str">
        <f aca="false">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30" t="str">
        <f aca="true">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30" t="str">
        <f aca="true">IF(OR($A160="",$I160=""),"",IF($BC160="Y",SUMIFS(survey_frozen!$E$2:$E$251,survey_frozen!$P$2:$P$251,$A160&amp;"|"&amp;$B160),IFERROR(COUNTIFS(INDIRECT("'"&amp;$A160&amp;"'!$B$2:$B$501"),$T160,INDIRECT("'"&amp;$A160&amp;"'!$A$2:$A$501"),"&gt;="&amp;$I160,INDIRECT("'"&amp;$A160&amp;"'!$A$2:$A$501"),"&lt;"&amp;($BA160+1),INDIRECT("'"&amp;$A160&amp;"'!$F$2:$F$501"),"Didn't see it"),0)))</f>
        <v/>
      </c>
      <c r="AR160" s="30" t="str">
        <f aca="true">IF(OR($A160="",$I160=""),"",IF($BC160="Y",SUMIFS(survey_frozen!$F$2:$F$251,survey_frozen!$P$2:$P$251,$A160&amp;"|"&amp;$B160),IFERROR(COUNTIFS(INDIRECT("'"&amp;$A160&amp;"'!$B$2:$B$501"),$T160,INDIRECT("'"&amp;$A160&amp;"'!$A$2:$A$501"),"&gt;="&amp;$I160,INDIRECT("'"&amp;$A160&amp;"'!$A$2:$A$501"),"&lt;"&amp;($BA160+1),INDIRECT("'"&amp;$A160&amp;"'!$F$2:$F$501"),"Not for me"),0)))</f>
        <v/>
      </c>
      <c r="AS160" s="30" t="str">
        <f aca="true">IF(OR($A160="",$I160=""),"",IF($BC160="Y",SUMIFS(survey_frozen!$G$2:$G$251,survey_frozen!$P$2:$P$251,$A160&amp;"|"&amp;$B160),IFERROR(COUNTIFS(INDIRECT("'"&amp;$A160&amp;"'!$B$2:$B$501"),$T160,INDIRECT("'"&amp;$A160&amp;"'!$A$2:$A$501"),"&gt;="&amp;$I160,INDIRECT("'"&amp;$A160&amp;"'!$A$2:$A$501"),"&lt;"&amp;($BA160+1),INDIRECT("'"&amp;$A160&amp;"'!$F$2:$F$501"),"Gone by the time I looked"),0)))</f>
        <v/>
      </c>
      <c r="AT160" s="30" t="str">
        <f aca="true">IF(OR($A160="",$I160=""),"",IF($BC160="Y",SUMIFS(survey_frozen!$H$2:$H$251,survey_frozen!$P$2:$P$251,$A160&amp;"|"&amp;$B160),IFERROR(COUNTIFS(INDIRECT("'"&amp;$A160&amp;"'!$B$2:$B$501"),$T160,INDIRECT("'"&amp;$A160&amp;"'!$A$2:$A$501"),"&gt;="&amp;$I160,INDIRECT("'"&amp;$A160&amp;"'!$A$2:$A$501"),"&lt;"&amp;($BA160+1),INDIRECT("'"&amp;$A160&amp;"'!$D$2:$D$501"),"&gt;=1"),0)))</f>
        <v/>
      </c>
      <c r="AU160" s="30" t="str">
        <f aca="true">IF(OR($A160="",$I160=""),"",IF($BC160="Y",SUMIFS(survey_frozen!$I$2:$I$251,survey_frozen!$P$2:$P$251,$A160&amp;"|"&amp;$B160),IFERROR(SUMIFS(INDIRECT("'"&amp;$A160&amp;"'!$D$2:$D$501"),INDIRECT("'"&amp;$A160&amp;"'!$B$2:$B$501"),$T160,INDIRECT("'"&amp;$A160&amp;"'!$A$2:$A$501"),"&gt;="&amp;$I160,INDIRECT("'"&amp;$A160&amp;"'!$A$2:$A$501"),"&lt;"&amp;($BA160+1)),0)))</f>
        <v/>
      </c>
      <c r="AV160" s="30" t="str">
        <f aca="true">IF(OR($A160="",$I160=""),"",IF($BC160="Y",SUMIFS(survey_frozen!$J$2:$J$251,survey_frozen!$P$2:$P$251,$A160&amp;"|"&amp;$B160),IFERROR(COUNTIFS(INDIRECT("'"&amp;$A160&amp;"'!$B$2:$B$501"),$T160,INDIRECT("'"&amp;$A160&amp;"'!$A$2:$A$501"),"&gt;="&amp;$I160,INDIRECT("'"&amp;$A160&amp;"'!$A$2:$A$501"),"&lt;"&amp;($BA160+1),INDIRECT("'"&amp;$A160&amp;"'!$E$2:$E$501"),"Yes"),0)))</f>
        <v/>
      </c>
      <c r="AW160" s="30" t="str">
        <f aca="true">IF(OR($A160="",$I160=""),"",IF($BC160="Y",SUMIFS(survey_frozen!$K$2:$K$251,survey_frozen!$P$2:$P$251,$A160&amp;"|"&amp;$B160),IFERROR(COUNTIFS(INDIRECT("'"&amp;$A160&amp;"'!$B$2:$B$501"),$T160,INDIRECT("'"&amp;$A160&amp;"'!$A$2:$A$501"),"&gt;="&amp;$I160,INDIRECT("'"&amp;$A160&amp;"'!$A$2:$A$501"),"&lt;"&amp;($BA160+1),INDIRECT("'"&amp;$A160&amp;"'!$E$2:$E$501"),"Maybe"),0)))</f>
        <v/>
      </c>
      <c r="AX160" s="30" t="str">
        <f aca="true">IF(OR($A160="",$I160=""),"",IF($BC160="Y",SUMIFS(survey_frozen!$L$2:$L$251,survey_frozen!$P$2:$P$251,$A160&amp;"|"&amp;$B160),IFERROR(COUNTIFS(INDIRECT("'"&amp;$A160&amp;"'!$B$2:$B$501"),$T160,INDIRECT("'"&amp;$A160&amp;"'!$A$2:$A$501"),"&gt;="&amp;$I160,INDIRECT("'"&amp;$A160&amp;"'!$A$2:$A$501"),"&lt;"&amp;($BA160+1),INDIRECT("'"&amp;$A160&amp;"'!$E$2:$E$501"),"No"),0)))</f>
        <v/>
      </c>
      <c r="AY160" s="30" t="str">
        <f aca="true">IF(OR($A160="",$I160=""),"",IF($BC160="Y",SUMIFS(survey_frozen!$M$2:$M$251,survey_frozen!$P$2:$P$251,$A160&amp;"|"&amp;$B160),IFERROR(COUNTIFS(INDIRECT("'"&amp;$A160&amp;"'!$B$2:$B$501"),$T160,INDIRECT("'"&amp;$A160&amp;"'!$A$2:$A$501"),"&gt;="&amp;$I160,INDIRECT("'"&amp;$A160&amp;"'!$A$2:$A$501"),"&lt;"&amp;($BA160+1),INDIRECT("'"&amp;$A160&amp;"'!$G$2:$G$501"),"&lt;&gt;"),0)))</f>
        <v/>
      </c>
      <c r="AZ160" s="30" t="str">
        <f aca="false">IF($A160="","",$A160&amp;"|"&amp;$L160)</f>
        <v/>
      </c>
      <c r="BA160" s="31" t="str">
        <f aca="false">IF($A160="","",IFERROR(IF(INDEX(drops!$R$2:$R$21,MATCH($H160,drops!$A$2:$A$21,0))="","",INDEX(drops!$R$2:$R$21,MATCH($H160,drops!$A$2:$A$21,0))),""))</f>
        <v/>
      </c>
      <c r="BB160" s="30" t="n">
        <f aca="false">IF(OR($A160="",$Q160&lt;&gt;"Y"),1000000,N($AL160))</f>
        <v>1000000</v>
      </c>
      <c r="BC160" s="30" t="str">
        <f aca="false">IF($A160="","",IF(COUNTIF(survey_frozen!$P$2:$P$251,$A160&amp;"|"&amp;$B160)&gt;0,"Y",""))</f>
        <v/>
      </c>
      <c r="BD160" s="30" t="str">
        <f aca="false">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ustomFormat="false" ht="15" hidden="false" customHeight="false" outlineLevel="0" collapsed="false">
      <c r="C161" s="11"/>
      <c r="D161" s="10"/>
      <c r="E161" s="11"/>
      <c r="H161" s="30" t="str">
        <f aca="false">IF($A161="","",IFERROR(IF(INDEX(campaigns!$B$2:$B$51,MATCH($A161,campaigns!$A$2:$A$51,0))="","",INDEX(campaigns!$B$2:$B$51,MATCH($A161,campaigns!$A$2:$A$51,0))),""))</f>
        <v/>
      </c>
      <c r="I161" s="31" t="str">
        <f aca="false">IF($A161="","",IFERROR(IF(INDEX(campaigns!$BG$2:$BG$51,MATCH($A161,campaigns!$A$2:$A$51,0))="","",INDEX(campaigns!$BG$2:$BG$51,MATCH($A161,campaigns!$A$2:$A$51,0))),""))</f>
        <v/>
      </c>
      <c r="J161" s="30" t="str">
        <f aca="false">IF($A161="","",IFERROR(IF(INDEX(campaigns!$BE$2:$BE$51,MATCH($A161,campaigns!$A$2:$A$51,0))="","",INDEX(campaigns!$BE$2:$BE$51,MATCH($A161,campaigns!$A$2:$A$51,0))),""))</f>
        <v/>
      </c>
      <c r="K161" s="30" t="str">
        <f aca="false">IF($B161="","",IFERROR(IF(INDEX(offices!$O$2:$O$61,MATCH($B161,offices!$A$2:$A$61,0))="","",INDEX(offices!$O$2:$O$61,MATCH($B161,offices!$A$2:$A$61,0))),""))</f>
        <v/>
      </c>
      <c r="L161" s="30" t="str">
        <f aca="false">IF($A161="","",IF($Q161="N","",COUNTIFS($A$2:$A161,$A161,$Q$2:$Q161,"&lt;&gt;N")))</f>
        <v/>
      </c>
      <c r="M161" s="30" t="str">
        <f aca="false">IF(OR($A161="",$L161=""),"",IF(AND(config!$B$34="names_if_public",IFERROR(IF(INDEX(offices!$AG$2:$AG$61,MATCH($B161,offices!$A$2:$A$61,0))="","",INDEX(offices!$AG$2:$AG$61,MATCH($B161,offices!$A$2:$A$61,0))),"")="Y"),$K161,CHAR(64+$L161)))</f>
        <v/>
      </c>
      <c r="N161" s="30" t="str">
        <f aca="false">IF(OR($A161="",$I161=""),"",COUNTIFS(stops!$B$2:$B$151,$B161,stops!$P$2:$P$151,"&lt;"&amp;$I161,stops!$L$2:$L$151,"&lt;&gt;not_delivered")+1)</f>
        <v/>
      </c>
      <c r="O161" s="30" t="str">
        <f aca="false">IF($A161="","",IF(N($N161)&lt;=config!$B$29,"explicit","opt-out"))</f>
        <v/>
      </c>
      <c r="P161" s="30" t="str">
        <f aca="false">IF($A161="","",IF($O161="explicit",IF($D161="yes","Y",IF($D161="no","N","pending")),IF($D161="no","N",IF(AND($C161&lt;&gt;"",$I161&lt;&gt;"",$C161&lt;=WORKDAY(N($I161),-5,calendar!$A$2:$A$80)),"Y","pending"))))</f>
        <v/>
      </c>
      <c r="Q161" s="30" t="str">
        <f aca="false">IF($A161="","",IF($P161="N","N",IF($P161&lt;&gt;"Y","pending",IF(AND((COUNTIFS(stops!$A$2:$A$151,$H161,stops!$B$2:$B$151,$B161,stops!$L$2:$L$151,"declined")+COUNTIFS(stops!$A$2:$A$151,$H161,stops!$B$2:$B$151,$B161,stops!$L$2:$L$151,"building_refused")+COUNTIFS(stops!$A$2:$A$151,$H161,stops!$B$2:$B$151,$B161,stops!$L$2:$L$151,"not_delivered"))&gt;0,N($U161)=0),"N","Y"))))</f>
        <v/>
      </c>
      <c r="R161" s="30" t="str">
        <f aca="false">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30" t="str">
        <f aca="false">IF($A161="","",IF($G161&lt;&gt;"",$G161,IFERROR(IF(INDEX(offices!$AM$2:$AM$61,MATCH($B161,offices!$A$2:$A$61,0))="","",INDEX(offices!$AM$2:$AM$61,MATCH($B161,offices!$A$2:$A$61,0))),"")))</f>
        <v/>
      </c>
      <c r="T161" s="30" t="str">
        <f aca="false">IF($A161="","",$A161&amp;"."&amp;$B161)</f>
        <v/>
      </c>
      <c r="U161" s="30" t="str">
        <f aca="false">IF($A161="","",SUMIFS(inventory!$G$2:$G$801,inventory!$C$2:$C$801,$A161,inventory!$D$2:$D$801,$B161,inventory!$E$2:$E$801,"delivered"))</f>
        <v/>
      </c>
      <c r="V161" s="37" t="str">
        <f aca="false">IF($A161="","",IFERROR(1/(1/SUMPRODUCT(MAX((inventory!$C$2:$C$801=$A161)*(inventory!$D$2:$D$801=$B161)*(inventory!$E$2:$E$801="delivered")*(inventory!$A$2:$A$801+inventory!$B$2:$B$801)))),""))</f>
        <v/>
      </c>
      <c r="W161" s="30" t="str">
        <f aca="false">IF($A161="","",IFERROR(IF(INDEX(inventory!$J$2:$J$801,MATCH($A161&amp;"|"&amp;$B161&amp;"|delivered",inventory!$R$2:$R$801,0))="","",INDEX(inventory!$J$2:$J$801,MATCH($A161&amp;"|"&amp;$B161&amp;"|delivered",inventory!$R$2:$R$801,0))),""))</f>
        <v/>
      </c>
      <c r="X161" s="30" t="str">
        <f aca="false">IF($A161="","",IFERROR(IF(INDEX(photos!$H$2:$H$701,MATCH($A161&amp;"|"&amp;$B161&amp;"|placement|Y",photos!$R$2:$R$701,0))="","",INDEX(photos!$H$2:$H$701,MATCH($A161&amp;"|"&amp;$B161&amp;"|placement|Y",photos!$R$2:$R$701,0))),""))</f>
        <v/>
      </c>
      <c r="Y161" s="31" t="str">
        <f aca="false">IF($A161="","",IFERROR(IF(INDEX(photos!$E$2:$E$701,MATCH($A161&amp;"|"&amp;$B161&amp;"|placement|Y",photos!$R$2:$R$701,0))="","",INDEX(photos!$E$2:$E$701,MATCH($A161&amp;"|"&amp;$B161&amp;"|placement|Y",photos!$R$2:$R$701,0))),""))</f>
        <v/>
      </c>
      <c r="Z161" s="30" t="str">
        <f aca="false">IF($A161="","",IF(COUNTIFS(counts!$C$2:$C$701,$A161,counts!$D$2:$D$701,$B161,counts!$E$2:$E$701,"placed")=0,"",SUMIFS(counts!$F$2:$F$701,counts!$C$2:$C$701,$A161,counts!$D$2:$D$701,$B161,counts!$E$2:$E$701,"placed")))</f>
        <v/>
      </c>
      <c r="AA161" s="30" t="str">
        <f aca="false">IF($A161="","",IF($Y161="",0,N($Z161)))</f>
        <v/>
      </c>
      <c r="AB161" s="30" t="str">
        <f aca="false">IF($A161="","",IF(OR($Y161="",$I161=""),"N",IF($Y161&lt;=WORKDAY(N($I161),1,calendar!$A$2:$A$80),"Y","N")))</f>
        <v/>
      </c>
      <c r="AC161" s="33" t="str">
        <f aca="false">IF(OR($A161="",$V161="",$Y161=""),"",ROUND(($Y161+N(IFERROR(IF(INDEX(photos!$F$2:$F$701,MATCH($A161&amp;"|"&amp;$B161&amp;"|placement|Y",photos!$R$2:$R$701,0))="","",INDEX(photos!$F$2:$F$701,MATCH($A161&amp;"|"&amp;$B161&amp;"|placement|Y",photos!$R$2:$R$701,0))),""))-$V161)*24,1))</f>
        <v/>
      </c>
      <c r="AD161" s="30" t="str">
        <f aca="false">IF($A161="","",SUMIFS(inventory!$G$2:$G$801,inventory!$C$2:$C$801,$A161,inventory!$D$2:$D$801,$B161,inventory!$E$2:$E$801,"topped_up"))</f>
        <v/>
      </c>
      <c r="AE161" s="30" t="str">
        <f aca="false">IF($A161="","",IF(COUNTIFS(counts!$C$2:$C$701,$A161,counts!$D$2:$D$701,$B161,counts!$E$2:$E$701,"remaining_day3")=0,"",SUMIFS(counts!$F$2:$F$701,counts!$C$2:$C$701,$A161,counts!$D$2:$D$701,$B161,counts!$E$2:$E$701,"remaining_day3")))</f>
        <v/>
      </c>
      <c r="AF161" s="30" t="str">
        <f aca="false">IF($A161="","",IF(COUNTIFS(counts!$C$2:$C$701,$A161,counts!$D$2:$D$701,$B161,counts!$E$2:$E$701,"remaining_day5")=0,"",SUMIFS(counts!$F$2:$F$701,counts!$C$2:$C$701,$A161,counts!$D$2:$D$701,$B161,counts!$E$2:$E$701,"remaining_day5")))</f>
        <v/>
      </c>
      <c r="AG161" s="30" t="str">
        <f aca="false">IF(OR($A161="",$AF161=""),"",MAX(0,$AA161+$AD161-$AF161))</f>
        <v/>
      </c>
      <c r="AH161" s="30" t="str">
        <f aca="false">IF(OR($A161="",$AI161=""),"",IFERROR(IF(INDEX(photos!$H$2:$H$701,MATCH($A161&amp;"|"&amp;$B161&amp;"|later|Y|"&amp;$AI161,photos!$S$2:$S$701,0))="","",INDEX(photos!$H$2:$H$701,MATCH($A161&amp;"|"&amp;$B161&amp;"|later|Y|"&amp;$AI161,photos!$S$2:$S$701,0))),""))</f>
        <v/>
      </c>
      <c r="AI161" s="31" t="str">
        <f aca="false">IF($A161="","",IFERROR(1/(1/SUMPRODUCT(MAX((photos!$B$2:$B$701=$A161)*(photos!$C$2:$C$701=$B161)*(photos!$D$2:$D$701="later")*(photos!$O$2:$O$701="Y")*photos!$E$2:$E$701))),""))</f>
        <v/>
      </c>
      <c r="AJ161" s="30" t="str">
        <f aca="false">IF(OR($A161="",$AI161="",$I161=""),"",NETWORKDAYS($I161,$AI161,calendar!$A$2:$A$80))</f>
        <v/>
      </c>
      <c r="AK161" s="30" t="str">
        <f aca="false">IF($A161="","",IF(AND($X161&lt;&gt;"",$AH161&lt;&gt;""),"Y","N"))</f>
        <v/>
      </c>
      <c r="AL161" s="30" t="str">
        <f aca="true">IF(OR($A161="",$I161=""),"",IF($BC161="Y",SUMIFS(survey_frozen!$C$2:$C$251,survey_frozen!$P$2:$P$251,$A161&amp;"|"&amp;$B161),IFERROR(COUNTIFS(INDIRECT("'"&amp;$A161&amp;"'!$B$2:$B$501"),$T161,INDIRECT("'"&amp;$A161&amp;"'!$A$2:$A$501"),"&gt;="&amp;$I161,INDIRECT("'"&amp;$A161&amp;"'!$A$2:$A$501"),"&lt;"&amp;($BA161+1)),0)))</f>
        <v/>
      </c>
      <c r="AM161" s="30" t="str">
        <f aca="true">IF(OR($A161="",$I161=""),"",IF($BC161="Y",SUMIFS(survey_frozen!$D$2:$D$251,survey_frozen!$P$2:$P$251,$A161&amp;"|"&amp;$B161),IFERROR(COUNTIFS(INDIRECT("'"&amp;$A161&amp;"'!$B$2:$B$501"),$T161,INDIRECT("'"&amp;$A161&amp;"'!$A$2:$A$501"),"&gt;="&amp;$I161,INDIRECT("'"&amp;$A161&amp;"'!$A$2:$A$501"),"&lt;"&amp;($BA161+1),INDIRECT("'"&amp;$A161&amp;"'!$C$2:$C$501"),"Yes"),0)))</f>
        <v/>
      </c>
      <c r="AN161" s="30" t="str">
        <f aca="false">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30" t="str">
        <f aca="false">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30" t="str">
        <f aca="true">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30" t="str">
        <f aca="true">IF(OR($A161="",$I161=""),"",IF($BC161="Y",SUMIFS(survey_frozen!$E$2:$E$251,survey_frozen!$P$2:$P$251,$A161&amp;"|"&amp;$B161),IFERROR(COUNTIFS(INDIRECT("'"&amp;$A161&amp;"'!$B$2:$B$501"),$T161,INDIRECT("'"&amp;$A161&amp;"'!$A$2:$A$501"),"&gt;="&amp;$I161,INDIRECT("'"&amp;$A161&amp;"'!$A$2:$A$501"),"&lt;"&amp;($BA161+1),INDIRECT("'"&amp;$A161&amp;"'!$F$2:$F$501"),"Didn't see it"),0)))</f>
        <v/>
      </c>
      <c r="AR161" s="30" t="str">
        <f aca="true">IF(OR($A161="",$I161=""),"",IF($BC161="Y",SUMIFS(survey_frozen!$F$2:$F$251,survey_frozen!$P$2:$P$251,$A161&amp;"|"&amp;$B161),IFERROR(COUNTIFS(INDIRECT("'"&amp;$A161&amp;"'!$B$2:$B$501"),$T161,INDIRECT("'"&amp;$A161&amp;"'!$A$2:$A$501"),"&gt;="&amp;$I161,INDIRECT("'"&amp;$A161&amp;"'!$A$2:$A$501"),"&lt;"&amp;($BA161+1),INDIRECT("'"&amp;$A161&amp;"'!$F$2:$F$501"),"Not for me"),0)))</f>
        <v/>
      </c>
      <c r="AS161" s="30" t="str">
        <f aca="true">IF(OR($A161="",$I161=""),"",IF($BC161="Y",SUMIFS(survey_frozen!$G$2:$G$251,survey_frozen!$P$2:$P$251,$A161&amp;"|"&amp;$B161),IFERROR(COUNTIFS(INDIRECT("'"&amp;$A161&amp;"'!$B$2:$B$501"),$T161,INDIRECT("'"&amp;$A161&amp;"'!$A$2:$A$501"),"&gt;="&amp;$I161,INDIRECT("'"&amp;$A161&amp;"'!$A$2:$A$501"),"&lt;"&amp;($BA161+1),INDIRECT("'"&amp;$A161&amp;"'!$F$2:$F$501"),"Gone by the time I looked"),0)))</f>
        <v/>
      </c>
      <c r="AT161" s="30" t="str">
        <f aca="true">IF(OR($A161="",$I161=""),"",IF($BC161="Y",SUMIFS(survey_frozen!$H$2:$H$251,survey_frozen!$P$2:$P$251,$A161&amp;"|"&amp;$B161),IFERROR(COUNTIFS(INDIRECT("'"&amp;$A161&amp;"'!$B$2:$B$501"),$T161,INDIRECT("'"&amp;$A161&amp;"'!$A$2:$A$501"),"&gt;="&amp;$I161,INDIRECT("'"&amp;$A161&amp;"'!$A$2:$A$501"),"&lt;"&amp;($BA161+1),INDIRECT("'"&amp;$A161&amp;"'!$D$2:$D$501"),"&gt;=1"),0)))</f>
        <v/>
      </c>
      <c r="AU161" s="30" t="str">
        <f aca="true">IF(OR($A161="",$I161=""),"",IF($BC161="Y",SUMIFS(survey_frozen!$I$2:$I$251,survey_frozen!$P$2:$P$251,$A161&amp;"|"&amp;$B161),IFERROR(SUMIFS(INDIRECT("'"&amp;$A161&amp;"'!$D$2:$D$501"),INDIRECT("'"&amp;$A161&amp;"'!$B$2:$B$501"),$T161,INDIRECT("'"&amp;$A161&amp;"'!$A$2:$A$501"),"&gt;="&amp;$I161,INDIRECT("'"&amp;$A161&amp;"'!$A$2:$A$501"),"&lt;"&amp;($BA161+1)),0)))</f>
        <v/>
      </c>
      <c r="AV161" s="30" t="str">
        <f aca="true">IF(OR($A161="",$I161=""),"",IF($BC161="Y",SUMIFS(survey_frozen!$J$2:$J$251,survey_frozen!$P$2:$P$251,$A161&amp;"|"&amp;$B161),IFERROR(COUNTIFS(INDIRECT("'"&amp;$A161&amp;"'!$B$2:$B$501"),$T161,INDIRECT("'"&amp;$A161&amp;"'!$A$2:$A$501"),"&gt;="&amp;$I161,INDIRECT("'"&amp;$A161&amp;"'!$A$2:$A$501"),"&lt;"&amp;($BA161+1),INDIRECT("'"&amp;$A161&amp;"'!$E$2:$E$501"),"Yes"),0)))</f>
        <v/>
      </c>
      <c r="AW161" s="30" t="str">
        <f aca="true">IF(OR($A161="",$I161=""),"",IF($BC161="Y",SUMIFS(survey_frozen!$K$2:$K$251,survey_frozen!$P$2:$P$251,$A161&amp;"|"&amp;$B161),IFERROR(COUNTIFS(INDIRECT("'"&amp;$A161&amp;"'!$B$2:$B$501"),$T161,INDIRECT("'"&amp;$A161&amp;"'!$A$2:$A$501"),"&gt;="&amp;$I161,INDIRECT("'"&amp;$A161&amp;"'!$A$2:$A$501"),"&lt;"&amp;($BA161+1),INDIRECT("'"&amp;$A161&amp;"'!$E$2:$E$501"),"Maybe"),0)))</f>
        <v/>
      </c>
      <c r="AX161" s="30" t="str">
        <f aca="true">IF(OR($A161="",$I161=""),"",IF($BC161="Y",SUMIFS(survey_frozen!$L$2:$L$251,survey_frozen!$P$2:$P$251,$A161&amp;"|"&amp;$B161),IFERROR(COUNTIFS(INDIRECT("'"&amp;$A161&amp;"'!$B$2:$B$501"),$T161,INDIRECT("'"&amp;$A161&amp;"'!$A$2:$A$501"),"&gt;="&amp;$I161,INDIRECT("'"&amp;$A161&amp;"'!$A$2:$A$501"),"&lt;"&amp;($BA161+1),INDIRECT("'"&amp;$A161&amp;"'!$E$2:$E$501"),"No"),0)))</f>
        <v/>
      </c>
      <c r="AY161" s="30" t="str">
        <f aca="true">IF(OR($A161="",$I161=""),"",IF($BC161="Y",SUMIFS(survey_frozen!$M$2:$M$251,survey_frozen!$P$2:$P$251,$A161&amp;"|"&amp;$B161),IFERROR(COUNTIFS(INDIRECT("'"&amp;$A161&amp;"'!$B$2:$B$501"),$T161,INDIRECT("'"&amp;$A161&amp;"'!$A$2:$A$501"),"&gt;="&amp;$I161,INDIRECT("'"&amp;$A161&amp;"'!$A$2:$A$501"),"&lt;"&amp;($BA161+1),INDIRECT("'"&amp;$A161&amp;"'!$G$2:$G$501"),"&lt;&gt;"),0)))</f>
        <v/>
      </c>
      <c r="AZ161" s="30" t="str">
        <f aca="false">IF($A161="","",$A161&amp;"|"&amp;$L161)</f>
        <v/>
      </c>
      <c r="BA161" s="31" t="str">
        <f aca="false">IF($A161="","",IFERROR(IF(INDEX(drops!$R$2:$R$21,MATCH($H161,drops!$A$2:$A$21,0))="","",INDEX(drops!$R$2:$R$21,MATCH($H161,drops!$A$2:$A$21,0))),""))</f>
        <v/>
      </c>
      <c r="BB161" s="30" t="n">
        <f aca="false">IF(OR($A161="",$Q161&lt;&gt;"Y"),1000000,N($AL161))</f>
        <v>1000000</v>
      </c>
      <c r="BC161" s="30" t="str">
        <f aca="false">IF($A161="","",IF(COUNTIF(survey_frozen!$P$2:$P$251,$A161&amp;"|"&amp;$B161)&gt;0,"Y",""))</f>
        <v/>
      </c>
      <c r="BD161" s="30" t="str">
        <f aca="false">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ustomFormat="false" ht="15" hidden="false" customHeight="false" outlineLevel="0" collapsed="false">
      <c r="C162" s="11"/>
      <c r="D162" s="10"/>
      <c r="E162" s="11"/>
      <c r="H162" s="30" t="str">
        <f aca="false">IF($A162="","",IFERROR(IF(INDEX(campaigns!$B$2:$B$51,MATCH($A162,campaigns!$A$2:$A$51,0))="","",INDEX(campaigns!$B$2:$B$51,MATCH($A162,campaigns!$A$2:$A$51,0))),""))</f>
        <v/>
      </c>
      <c r="I162" s="31" t="str">
        <f aca="false">IF($A162="","",IFERROR(IF(INDEX(campaigns!$BG$2:$BG$51,MATCH($A162,campaigns!$A$2:$A$51,0))="","",INDEX(campaigns!$BG$2:$BG$51,MATCH($A162,campaigns!$A$2:$A$51,0))),""))</f>
        <v/>
      </c>
      <c r="J162" s="30" t="str">
        <f aca="false">IF($A162="","",IFERROR(IF(INDEX(campaigns!$BE$2:$BE$51,MATCH($A162,campaigns!$A$2:$A$51,0))="","",INDEX(campaigns!$BE$2:$BE$51,MATCH($A162,campaigns!$A$2:$A$51,0))),""))</f>
        <v/>
      </c>
      <c r="K162" s="30" t="str">
        <f aca="false">IF($B162="","",IFERROR(IF(INDEX(offices!$O$2:$O$61,MATCH($B162,offices!$A$2:$A$61,0))="","",INDEX(offices!$O$2:$O$61,MATCH($B162,offices!$A$2:$A$61,0))),""))</f>
        <v/>
      </c>
      <c r="L162" s="30" t="str">
        <f aca="false">IF($A162="","",IF($Q162="N","",COUNTIFS($A$2:$A162,$A162,$Q$2:$Q162,"&lt;&gt;N")))</f>
        <v/>
      </c>
      <c r="M162" s="30" t="str">
        <f aca="false">IF(OR($A162="",$L162=""),"",IF(AND(config!$B$34="names_if_public",IFERROR(IF(INDEX(offices!$AG$2:$AG$61,MATCH($B162,offices!$A$2:$A$61,0))="","",INDEX(offices!$AG$2:$AG$61,MATCH($B162,offices!$A$2:$A$61,0))),"")="Y"),$K162,CHAR(64+$L162)))</f>
        <v/>
      </c>
      <c r="N162" s="30" t="str">
        <f aca="false">IF(OR($A162="",$I162=""),"",COUNTIFS(stops!$B$2:$B$151,$B162,stops!$P$2:$P$151,"&lt;"&amp;$I162,stops!$L$2:$L$151,"&lt;&gt;not_delivered")+1)</f>
        <v/>
      </c>
      <c r="O162" s="30" t="str">
        <f aca="false">IF($A162="","",IF(N($N162)&lt;=config!$B$29,"explicit","opt-out"))</f>
        <v/>
      </c>
      <c r="P162" s="30" t="str">
        <f aca="false">IF($A162="","",IF($O162="explicit",IF($D162="yes","Y",IF($D162="no","N","pending")),IF($D162="no","N",IF(AND($C162&lt;&gt;"",$I162&lt;&gt;"",$C162&lt;=WORKDAY(N($I162),-5,calendar!$A$2:$A$80)),"Y","pending"))))</f>
        <v/>
      </c>
      <c r="Q162" s="30" t="str">
        <f aca="false">IF($A162="","",IF($P162="N","N",IF($P162&lt;&gt;"Y","pending",IF(AND((COUNTIFS(stops!$A$2:$A$151,$H162,stops!$B$2:$B$151,$B162,stops!$L$2:$L$151,"declined")+COUNTIFS(stops!$A$2:$A$151,$H162,stops!$B$2:$B$151,$B162,stops!$L$2:$L$151,"building_refused")+COUNTIFS(stops!$A$2:$A$151,$H162,stops!$B$2:$B$151,$B162,stops!$L$2:$L$151,"not_delivered"))&gt;0,N($U162)=0),"N","Y"))))</f>
        <v/>
      </c>
      <c r="R162" s="30" t="str">
        <f aca="false">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30" t="str">
        <f aca="false">IF($A162="","",IF($G162&lt;&gt;"",$G162,IFERROR(IF(INDEX(offices!$AM$2:$AM$61,MATCH($B162,offices!$A$2:$A$61,0))="","",INDEX(offices!$AM$2:$AM$61,MATCH($B162,offices!$A$2:$A$61,0))),"")))</f>
        <v/>
      </c>
      <c r="T162" s="30" t="str">
        <f aca="false">IF($A162="","",$A162&amp;"."&amp;$B162)</f>
        <v/>
      </c>
      <c r="U162" s="30" t="str">
        <f aca="false">IF($A162="","",SUMIFS(inventory!$G$2:$G$801,inventory!$C$2:$C$801,$A162,inventory!$D$2:$D$801,$B162,inventory!$E$2:$E$801,"delivered"))</f>
        <v/>
      </c>
      <c r="V162" s="37" t="str">
        <f aca="false">IF($A162="","",IFERROR(1/(1/SUMPRODUCT(MAX((inventory!$C$2:$C$801=$A162)*(inventory!$D$2:$D$801=$B162)*(inventory!$E$2:$E$801="delivered")*(inventory!$A$2:$A$801+inventory!$B$2:$B$801)))),""))</f>
        <v/>
      </c>
      <c r="W162" s="30" t="str">
        <f aca="false">IF($A162="","",IFERROR(IF(INDEX(inventory!$J$2:$J$801,MATCH($A162&amp;"|"&amp;$B162&amp;"|delivered",inventory!$R$2:$R$801,0))="","",INDEX(inventory!$J$2:$J$801,MATCH($A162&amp;"|"&amp;$B162&amp;"|delivered",inventory!$R$2:$R$801,0))),""))</f>
        <v/>
      </c>
      <c r="X162" s="30" t="str">
        <f aca="false">IF($A162="","",IFERROR(IF(INDEX(photos!$H$2:$H$701,MATCH($A162&amp;"|"&amp;$B162&amp;"|placement|Y",photos!$R$2:$R$701,0))="","",INDEX(photos!$H$2:$H$701,MATCH($A162&amp;"|"&amp;$B162&amp;"|placement|Y",photos!$R$2:$R$701,0))),""))</f>
        <v/>
      </c>
      <c r="Y162" s="31" t="str">
        <f aca="false">IF($A162="","",IFERROR(IF(INDEX(photos!$E$2:$E$701,MATCH($A162&amp;"|"&amp;$B162&amp;"|placement|Y",photos!$R$2:$R$701,0))="","",INDEX(photos!$E$2:$E$701,MATCH($A162&amp;"|"&amp;$B162&amp;"|placement|Y",photos!$R$2:$R$701,0))),""))</f>
        <v/>
      </c>
      <c r="Z162" s="30" t="str">
        <f aca="false">IF($A162="","",IF(COUNTIFS(counts!$C$2:$C$701,$A162,counts!$D$2:$D$701,$B162,counts!$E$2:$E$701,"placed")=0,"",SUMIFS(counts!$F$2:$F$701,counts!$C$2:$C$701,$A162,counts!$D$2:$D$701,$B162,counts!$E$2:$E$701,"placed")))</f>
        <v/>
      </c>
      <c r="AA162" s="30" t="str">
        <f aca="false">IF($A162="","",IF($Y162="",0,N($Z162)))</f>
        <v/>
      </c>
      <c r="AB162" s="30" t="str">
        <f aca="false">IF($A162="","",IF(OR($Y162="",$I162=""),"N",IF($Y162&lt;=WORKDAY(N($I162),1,calendar!$A$2:$A$80),"Y","N")))</f>
        <v/>
      </c>
      <c r="AC162" s="33" t="str">
        <f aca="false">IF(OR($A162="",$V162="",$Y162=""),"",ROUND(($Y162+N(IFERROR(IF(INDEX(photos!$F$2:$F$701,MATCH($A162&amp;"|"&amp;$B162&amp;"|placement|Y",photos!$R$2:$R$701,0))="","",INDEX(photos!$F$2:$F$701,MATCH($A162&amp;"|"&amp;$B162&amp;"|placement|Y",photos!$R$2:$R$701,0))),""))-$V162)*24,1))</f>
        <v/>
      </c>
      <c r="AD162" s="30" t="str">
        <f aca="false">IF($A162="","",SUMIFS(inventory!$G$2:$G$801,inventory!$C$2:$C$801,$A162,inventory!$D$2:$D$801,$B162,inventory!$E$2:$E$801,"topped_up"))</f>
        <v/>
      </c>
      <c r="AE162" s="30" t="str">
        <f aca="false">IF($A162="","",IF(COUNTIFS(counts!$C$2:$C$701,$A162,counts!$D$2:$D$701,$B162,counts!$E$2:$E$701,"remaining_day3")=0,"",SUMIFS(counts!$F$2:$F$701,counts!$C$2:$C$701,$A162,counts!$D$2:$D$701,$B162,counts!$E$2:$E$701,"remaining_day3")))</f>
        <v/>
      </c>
      <c r="AF162" s="30" t="str">
        <f aca="false">IF($A162="","",IF(COUNTIFS(counts!$C$2:$C$701,$A162,counts!$D$2:$D$701,$B162,counts!$E$2:$E$701,"remaining_day5")=0,"",SUMIFS(counts!$F$2:$F$701,counts!$C$2:$C$701,$A162,counts!$D$2:$D$701,$B162,counts!$E$2:$E$701,"remaining_day5")))</f>
        <v/>
      </c>
      <c r="AG162" s="30" t="str">
        <f aca="false">IF(OR($A162="",$AF162=""),"",MAX(0,$AA162+$AD162-$AF162))</f>
        <v/>
      </c>
      <c r="AH162" s="30" t="str">
        <f aca="false">IF(OR($A162="",$AI162=""),"",IFERROR(IF(INDEX(photos!$H$2:$H$701,MATCH($A162&amp;"|"&amp;$B162&amp;"|later|Y|"&amp;$AI162,photos!$S$2:$S$701,0))="","",INDEX(photos!$H$2:$H$701,MATCH($A162&amp;"|"&amp;$B162&amp;"|later|Y|"&amp;$AI162,photos!$S$2:$S$701,0))),""))</f>
        <v/>
      </c>
      <c r="AI162" s="31" t="str">
        <f aca="false">IF($A162="","",IFERROR(1/(1/SUMPRODUCT(MAX((photos!$B$2:$B$701=$A162)*(photos!$C$2:$C$701=$B162)*(photos!$D$2:$D$701="later")*(photos!$O$2:$O$701="Y")*photos!$E$2:$E$701))),""))</f>
        <v/>
      </c>
      <c r="AJ162" s="30" t="str">
        <f aca="false">IF(OR($A162="",$AI162="",$I162=""),"",NETWORKDAYS($I162,$AI162,calendar!$A$2:$A$80))</f>
        <v/>
      </c>
      <c r="AK162" s="30" t="str">
        <f aca="false">IF($A162="","",IF(AND($X162&lt;&gt;"",$AH162&lt;&gt;""),"Y","N"))</f>
        <v/>
      </c>
      <c r="AL162" s="30" t="str">
        <f aca="true">IF(OR($A162="",$I162=""),"",IF($BC162="Y",SUMIFS(survey_frozen!$C$2:$C$251,survey_frozen!$P$2:$P$251,$A162&amp;"|"&amp;$B162),IFERROR(COUNTIFS(INDIRECT("'"&amp;$A162&amp;"'!$B$2:$B$501"),$T162,INDIRECT("'"&amp;$A162&amp;"'!$A$2:$A$501"),"&gt;="&amp;$I162,INDIRECT("'"&amp;$A162&amp;"'!$A$2:$A$501"),"&lt;"&amp;($BA162+1)),0)))</f>
        <v/>
      </c>
      <c r="AM162" s="30" t="str">
        <f aca="true">IF(OR($A162="",$I162=""),"",IF($BC162="Y",SUMIFS(survey_frozen!$D$2:$D$251,survey_frozen!$P$2:$P$251,$A162&amp;"|"&amp;$B162),IFERROR(COUNTIFS(INDIRECT("'"&amp;$A162&amp;"'!$B$2:$B$501"),$T162,INDIRECT("'"&amp;$A162&amp;"'!$A$2:$A$501"),"&gt;="&amp;$I162,INDIRECT("'"&amp;$A162&amp;"'!$A$2:$A$501"),"&lt;"&amp;($BA162+1),INDIRECT("'"&amp;$A162&amp;"'!$C$2:$C$501"),"Yes"),0)))</f>
        <v/>
      </c>
      <c r="AN162" s="30" t="str">
        <f aca="false">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30" t="str">
        <f aca="false">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30" t="str">
        <f aca="true">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30" t="str">
        <f aca="true">IF(OR($A162="",$I162=""),"",IF($BC162="Y",SUMIFS(survey_frozen!$E$2:$E$251,survey_frozen!$P$2:$P$251,$A162&amp;"|"&amp;$B162),IFERROR(COUNTIFS(INDIRECT("'"&amp;$A162&amp;"'!$B$2:$B$501"),$T162,INDIRECT("'"&amp;$A162&amp;"'!$A$2:$A$501"),"&gt;="&amp;$I162,INDIRECT("'"&amp;$A162&amp;"'!$A$2:$A$501"),"&lt;"&amp;($BA162+1),INDIRECT("'"&amp;$A162&amp;"'!$F$2:$F$501"),"Didn't see it"),0)))</f>
        <v/>
      </c>
      <c r="AR162" s="30" t="str">
        <f aca="true">IF(OR($A162="",$I162=""),"",IF($BC162="Y",SUMIFS(survey_frozen!$F$2:$F$251,survey_frozen!$P$2:$P$251,$A162&amp;"|"&amp;$B162),IFERROR(COUNTIFS(INDIRECT("'"&amp;$A162&amp;"'!$B$2:$B$501"),$T162,INDIRECT("'"&amp;$A162&amp;"'!$A$2:$A$501"),"&gt;="&amp;$I162,INDIRECT("'"&amp;$A162&amp;"'!$A$2:$A$501"),"&lt;"&amp;($BA162+1),INDIRECT("'"&amp;$A162&amp;"'!$F$2:$F$501"),"Not for me"),0)))</f>
        <v/>
      </c>
      <c r="AS162" s="30" t="str">
        <f aca="true">IF(OR($A162="",$I162=""),"",IF($BC162="Y",SUMIFS(survey_frozen!$G$2:$G$251,survey_frozen!$P$2:$P$251,$A162&amp;"|"&amp;$B162),IFERROR(COUNTIFS(INDIRECT("'"&amp;$A162&amp;"'!$B$2:$B$501"),$T162,INDIRECT("'"&amp;$A162&amp;"'!$A$2:$A$501"),"&gt;="&amp;$I162,INDIRECT("'"&amp;$A162&amp;"'!$A$2:$A$501"),"&lt;"&amp;($BA162+1),INDIRECT("'"&amp;$A162&amp;"'!$F$2:$F$501"),"Gone by the time I looked"),0)))</f>
        <v/>
      </c>
      <c r="AT162" s="30" t="str">
        <f aca="true">IF(OR($A162="",$I162=""),"",IF($BC162="Y",SUMIFS(survey_frozen!$H$2:$H$251,survey_frozen!$P$2:$P$251,$A162&amp;"|"&amp;$B162),IFERROR(COUNTIFS(INDIRECT("'"&amp;$A162&amp;"'!$B$2:$B$501"),$T162,INDIRECT("'"&amp;$A162&amp;"'!$A$2:$A$501"),"&gt;="&amp;$I162,INDIRECT("'"&amp;$A162&amp;"'!$A$2:$A$501"),"&lt;"&amp;($BA162+1),INDIRECT("'"&amp;$A162&amp;"'!$D$2:$D$501"),"&gt;=1"),0)))</f>
        <v/>
      </c>
      <c r="AU162" s="30" t="str">
        <f aca="true">IF(OR($A162="",$I162=""),"",IF($BC162="Y",SUMIFS(survey_frozen!$I$2:$I$251,survey_frozen!$P$2:$P$251,$A162&amp;"|"&amp;$B162),IFERROR(SUMIFS(INDIRECT("'"&amp;$A162&amp;"'!$D$2:$D$501"),INDIRECT("'"&amp;$A162&amp;"'!$B$2:$B$501"),$T162,INDIRECT("'"&amp;$A162&amp;"'!$A$2:$A$501"),"&gt;="&amp;$I162,INDIRECT("'"&amp;$A162&amp;"'!$A$2:$A$501"),"&lt;"&amp;($BA162+1)),0)))</f>
        <v/>
      </c>
      <c r="AV162" s="30" t="str">
        <f aca="true">IF(OR($A162="",$I162=""),"",IF($BC162="Y",SUMIFS(survey_frozen!$J$2:$J$251,survey_frozen!$P$2:$P$251,$A162&amp;"|"&amp;$B162),IFERROR(COUNTIFS(INDIRECT("'"&amp;$A162&amp;"'!$B$2:$B$501"),$T162,INDIRECT("'"&amp;$A162&amp;"'!$A$2:$A$501"),"&gt;="&amp;$I162,INDIRECT("'"&amp;$A162&amp;"'!$A$2:$A$501"),"&lt;"&amp;($BA162+1),INDIRECT("'"&amp;$A162&amp;"'!$E$2:$E$501"),"Yes"),0)))</f>
        <v/>
      </c>
      <c r="AW162" s="30" t="str">
        <f aca="true">IF(OR($A162="",$I162=""),"",IF($BC162="Y",SUMIFS(survey_frozen!$K$2:$K$251,survey_frozen!$P$2:$P$251,$A162&amp;"|"&amp;$B162),IFERROR(COUNTIFS(INDIRECT("'"&amp;$A162&amp;"'!$B$2:$B$501"),$T162,INDIRECT("'"&amp;$A162&amp;"'!$A$2:$A$501"),"&gt;="&amp;$I162,INDIRECT("'"&amp;$A162&amp;"'!$A$2:$A$501"),"&lt;"&amp;($BA162+1),INDIRECT("'"&amp;$A162&amp;"'!$E$2:$E$501"),"Maybe"),0)))</f>
        <v/>
      </c>
      <c r="AX162" s="30" t="str">
        <f aca="true">IF(OR($A162="",$I162=""),"",IF($BC162="Y",SUMIFS(survey_frozen!$L$2:$L$251,survey_frozen!$P$2:$P$251,$A162&amp;"|"&amp;$B162),IFERROR(COUNTIFS(INDIRECT("'"&amp;$A162&amp;"'!$B$2:$B$501"),$T162,INDIRECT("'"&amp;$A162&amp;"'!$A$2:$A$501"),"&gt;="&amp;$I162,INDIRECT("'"&amp;$A162&amp;"'!$A$2:$A$501"),"&lt;"&amp;($BA162+1),INDIRECT("'"&amp;$A162&amp;"'!$E$2:$E$501"),"No"),0)))</f>
        <v/>
      </c>
      <c r="AY162" s="30" t="str">
        <f aca="true">IF(OR($A162="",$I162=""),"",IF($BC162="Y",SUMIFS(survey_frozen!$M$2:$M$251,survey_frozen!$P$2:$P$251,$A162&amp;"|"&amp;$B162),IFERROR(COUNTIFS(INDIRECT("'"&amp;$A162&amp;"'!$B$2:$B$501"),$T162,INDIRECT("'"&amp;$A162&amp;"'!$A$2:$A$501"),"&gt;="&amp;$I162,INDIRECT("'"&amp;$A162&amp;"'!$A$2:$A$501"),"&lt;"&amp;($BA162+1),INDIRECT("'"&amp;$A162&amp;"'!$G$2:$G$501"),"&lt;&gt;"),0)))</f>
        <v/>
      </c>
      <c r="AZ162" s="30" t="str">
        <f aca="false">IF($A162="","",$A162&amp;"|"&amp;$L162)</f>
        <v/>
      </c>
      <c r="BA162" s="31" t="str">
        <f aca="false">IF($A162="","",IFERROR(IF(INDEX(drops!$R$2:$R$21,MATCH($H162,drops!$A$2:$A$21,0))="","",INDEX(drops!$R$2:$R$21,MATCH($H162,drops!$A$2:$A$21,0))),""))</f>
        <v/>
      </c>
      <c r="BB162" s="30" t="n">
        <f aca="false">IF(OR($A162="",$Q162&lt;&gt;"Y"),1000000,N($AL162))</f>
        <v>1000000</v>
      </c>
      <c r="BC162" s="30" t="str">
        <f aca="false">IF($A162="","",IF(COUNTIF(survey_frozen!$P$2:$P$251,$A162&amp;"|"&amp;$B162)&gt;0,"Y",""))</f>
        <v/>
      </c>
      <c r="BD162" s="30" t="str">
        <f aca="false">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ustomFormat="false" ht="15" hidden="false" customHeight="false" outlineLevel="0" collapsed="false">
      <c r="C163" s="11"/>
      <c r="D163" s="10"/>
      <c r="E163" s="11"/>
      <c r="H163" s="30" t="str">
        <f aca="false">IF($A163="","",IFERROR(IF(INDEX(campaigns!$B$2:$B$51,MATCH($A163,campaigns!$A$2:$A$51,0))="","",INDEX(campaigns!$B$2:$B$51,MATCH($A163,campaigns!$A$2:$A$51,0))),""))</f>
        <v/>
      </c>
      <c r="I163" s="31" t="str">
        <f aca="false">IF($A163="","",IFERROR(IF(INDEX(campaigns!$BG$2:$BG$51,MATCH($A163,campaigns!$A$2:$A$51,0))="","",INDEX(campaigns!$BG$2:$BG$51,MATCH($A163,campaigns!$A$2:$A$51,0))),""))</f>
        <v/>
      </c>
      <c r="J163" s="30" t="str">
        <f aca="false">IF($A163="","",IFERROR(IF(INDEX(campaigns!$BE$2:$BE$51,MATCH($A163,campaigns!$A$2:$A$51,0))="","",INDEX(campaigns!$BE$2:$BE$51,MATCH($A163,campaigns!$A$2:$A$51,0))),""))</f>
        <v/>
      </c>
      <c r="K163" s="30" t="str">
        <f aca="false">IF($B163="","",IFERROR(IF(INDEX(offices!$O$2:$O$61,MATCH($B163,offices!$A$2:$A$61,0))="","",INDEX(offices!$O$2:$O$61,MATCH($B163,offices!$A$2:$A$61,0))),""))</f>
        <v/>
      </c>
      <c r="L163" s="30" t="str">
        <f aca="false">IF($A163="","",IF($Q163="N","",COUNTIFS($A$2:$A163,$A163,$Q$2:$Q163,"&lt;&gt;N")))</f>
        <v/>
      </c>
      <c r="M163" s="30" t="str">
        <f aca="false">IF(OR($A163="",$L163=""),"",IF(AND(config!$B$34="names_if_public",IFERROR(IF(INDEX(offices!$AG$2:$AG$61,MATCH($B163,offices!$A$2:$A$61,0))="","",INDEX(offices!$AG$2:$AG$61,MATCH($B163,offices!$A$2:$A$61,0))),"")="Y"),$K163,CHAR(64+$L163)))</f>
        <v/>
      </c>
      <c r="N163" s="30" t="str">
        <f aca="false">IF(OR($A163="",$I163=""),"",COUNTIFS(stops!$B$2:$B$151,$B163,stops!$P$2:$P$151,"&lt;"&amp;$I163,stops!$L$2:$L$151,"&lt;&gt;not_delivered")+1)</f>
        <v/>
      </c>
      <c r="O163" s="30" t="str">
        <f aca="false">IF($A163="","",IF(N($N163)&lt;=config!$B$29,"explicit","opt-out"))</f>
        <v/>
      </c>
      <c r="P163" s="30" t="str">
        <f aca="false">IF($A163="","",IF($O163="explicit",IF($D163="yes","Y",IF($D163="no","N","pending")),IF($D163="no","N",IF(AND($C163&lt;&gt;"",$I163&lt;&gt;"",$C163&lt;=WORKDAY(N($I163),-5,calendar!$A$2:$A$80)),"Y","pending"))))</f>
        <v/>
      </c>
      <c r="Q163" s="30" t="str">
        <f aca="false">IF($A163="","",IF($P163="N","N",IF($P163&lt;&gt;"Y","pending",IF(AND((COUNTIFS(stops!$A$2:$A$151,$H163,stops!$B$2:$B$151,$B163,stops!$L$2:$L$151,"declined")+COUNTIFS(stops!$A$2:$A$151,$H163,stops!$B$2:$B$151,$B163,stops!$L$2:$L$151,"building_refused")+COUNTIFS(stops!$A$2:$A$151,$H163,stops!$B$2:$B$151,$B163,stops!$L$2:$L$151,"not_delivered"))&gt;0,N($U163)=0),"N","Y"))))</f>
        <v/>
      </c>
      <c r="R163" s="30" t="str">
        <f aca="false">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30" t="str">
        <f aca="false">IF($A163="","",IF($G163&lt;&gt;"",$G163,IFERROR(IF(INDEX(offices!$AM$2:$AM$61,MATCH($B163,offices!$A$2:$A$61,0))="","",INDEX(offices!$AM$2:$AM$61,MATCH($B163,offices!$A$2:$A$61,0))),"")))</f>
        <v/>
      </c>
      <c r="T163" s="30" t="str">
        <f aca="false">IF($A163="","",$A163&amp;"."&amp;$B163)</f>
        <v/>
      </c>
      <c r="U163" s="30" t="str">
        <f aca="false">IF($A163="","",SUMIFS(inventory!$G$2:$G$801,inventory!$C$2:$C$801,$A163,inventory!$D$2:$D$801,$B163,inventory!$E$2:$E$801,"delivered"))</f>
        <v/>
      </c>
      <c r="V163" s="37" t="str">
        <f aca="false">IF($A163="","",IFERROR(1/(1/SUMPRODUCT(MAX((inventory!$C$2:$C$801=$A163)*(inventory!$D$2:$D$801=$B163)*(inventory!$E$2:$E$801="delivered")*(inventory!$A$2:$A$801+inventory!$B$2:$B$801)))),""))</f>
        <v/>
      </c>
      <c r="W163" s="30" t="str">
        <f aca="false">IF($A163="","",IFERROR(IF(INDEX(inventory!$J$2:$J$801,MATCH($A163&amp;"|"&amp;$B163&amp;"|delivered",inventory!$R$2:$R$801,0))="","",INDEX(inventory!$J$2:$J$801,MATCH($A163&amp;"|"&amp;$B163&amp;"|delivered",inventory!$R$2:$R$801,0))),""))</f>
        <v/>
      </c>
      <c r="X163" s="30" t="str">
        <f aca="false">IF($A163="","",IFERROR(IF(INDEX(photos!$H$2:$H$701,MATCH($A163&amp;"|"&amp;$B163&amp;"|placement|Y",photos!$R$2:$R$701,0))="","",INDEX(photos!$H$2:$H$701,MATCH($A163&amp;"|"&amp;$B163&amp;"|placement|Y",photos!$R$2:$R$701,0))),""))</f>
        <v/>
      </c>
      <c r="Y163" s="31" t="str">
        <f aca="false">IF($A163="","",IFERROR(IF(INDEX(photos!$E$2:$E$701,MATCH($A163&amp;"|"&amp;$B163&amp;"|placement|Y",photos!$R$2:$R$701,0))="","",INDEX(photos!$E$2:$E$701,MATCH($A163&amp;"|"&amp;$B163&amp;"|placement|Y",photos!$R$2:$R$701,0))),""))</f>
        <v/>
      </c>
      <c r="Z163" s="30" t="str">
        <f aca="false">IF($A163="","",IF(COUNTIFS(counts!$C$2:$C$701,$A163,counts!$D$2:$D$701,$B163,counts!$E$2:$E$701,"placed")=0,"",SUMIFS(counts!$F$2:$F$701,counts!$C$2:$C$701,$A163,counts!$D$2:$D$701,$B163,counts!$E$2:$E$701,"placed")))</f>
        <v/>
      </c>
      <c r="AA163" s="30" t="str">
        <f aca="false">IF($A163="","",IF($Y163="",0,N($Z163)))</f>
        <v/>
      </c>
      <c r="AB163" s="30" t="str">
        <f aca="false">IF($A163="","",IF(OR($Y163="",$I163=""),"N",IF($Y163&lt;=WORKDAY(N($I163),1,calendar!$A$2:$A$80),"Y","N")))</f>
        <v/>
      </c>
      <c r="AC163" s="33" t="str">
        <f aca="false">IF(OR($A163="",$V163="",$Y163=""),"",ROUND(($Y163+N(IFERROR(IF(INDEX(photos!$F$2:$F$701,MATCH($A163&amp;"|"&amp;$B163&amp;"|placement|Y",photos!$R$2:$R$701,0))="","",INDEX(photos!$F$2:$F$701,MATCH($A163&amp;"|"&amp;$B163&amp;"|placement|Y",photos!$R$2:$R$701,0))),""))-$V163)*24,1))</f>
        <v/>
      </c>
      <c r="AD163" s="30" t="str">
        <f aca="false">IF($A163="","",SUMIFS(inventory!$G$2:$G$801,inventory!$C$2:$C$801,$A163,inventory!$D$2:$D$801,$B163,inventory!$E$2:$E$801,"topped_up"))</f>
        <v/>
      </c>
      <c r="AE163" s="30" t="str">
        <f aca="false">IF($A163="","",IF(COUNTIFS(counts!$C$2:$C$701,$A163,counts!$D$2:$D$701,$B163,counts!$E$2:$E$701,"remaining_day3")=0,"",SUMIFS(counts!$F$2:$F$701,counts!$C$2:$C$701,$A163,counts!$D$2:$D$701,$B163,counts!$E$2:$E$701,"remaining_day3")))</f>
        <v/>
      </c>
      <c r="AF163" s="30" t="str">
        <f aca="false">IF($A163="","",IF(COUNTIFS(counts!$C$2:$C$701,$A163,counts!$D$2:$D$701,$B163,counts!$E$2:$E$701,"remaining_day5")=0,"",SUMIFS(counts!$F$2:$F$701,counts!$C$2:$C$701,$A163,counts!$D$2:$D$701,$B163,counts!$E$2:$E$701,"remaining_day5")))</f>
        <v/>
      </c>
      <c r="AG163" s="30" t="str">
        <f aca="false">IF(OR($A163="",$AF163=""),"",MAX(0,$AA163+$AD163-$AF163))</f>
        <v/>
      </c>
      <c r="AH163" s="30" t="str">
        <f aca="false">IF(OR($A163="",$AI163=""),"",IFERROR(IF(INDEX(photos!$H$2:$H$701,MATCH($A163&amp;"|"&amp;$B163&amp;"|later|Y|"&amp;$AI163,photos!$S$2:$S$701,0))="","",INDEX(photos!$H$2:$H$701,MATCH($A163&amp;"|"&amp;$B163&amp;"|later|Y|"&amp;$AI163,photos!$S$2:$S$701,0))),""))</f>
        <v/>
      </c>
      <c r="AI163" s="31" t="str">
        <f aca="false">IF($A163="","",IFERROR(1/(1/SUMPRODUCT(MAX((photos!$B$2:$B$701=$A163)*(photos!$C$2:$C$701=$B163)*(photos!$D$2:$D$701="later")*(photos!$O$2:$O$701="Y")*photos!$E$2:$E$701))),""))</f>
        <v/>
      </c>
      <c r="AJ163" s="30" t="str">
        <f aca="false">IF(OR($A163="",$AI163="",$I163=""),"",NETWORKDAYS($I163,$AI163,calendar!$A$2:$A$80))</f>
        <v/>
      </c>
      <c r="AK163" s="30" t="str">
        <f aca="false">IF($A163="","",IF(AND($X163&lt;&gt;"",$AH163&lt;&gt;""),"Y","N"))</f>
        <v/>
      </c>
      <c r="AL163" s="30" t="str">
        <f aca="true">IF(OR($A163="",$I163=""),"",IF($BC163="Y",SUMIFS(survey_frozen!$C$2:$C$251,survey_frozen!$P$2:$P$251,$A163&amp;"|"&amp;$B163),IFERROR(COUNTIFS(INDIRECT("'"&amp;$A163&amp;"'!$B$2:$B$501"),$T163,INDIRECT("'"&amp;$A163&amp;"'!$A$2:$A$501"),"&gt;="&amp;$I163,INDIRECT("'"&amp;$A163&amp;"'!$A$2:$A$501"),"&lt;"&amp;($BA163+1)),0)))</f>
        <v/>
      </c>
      <c r="AM163" s="30" t="str">
        <f aca="true">IF(OR($A163="",$I163=""),"",IF($BC163="Y",SUMIFS(survey_frozen!$D$2:$D$251,survey_frozen!$P$2:$P$251,$A163&amp;"|"&amp;$B163),IFERROR(COUNTIFS(INDIRECT("'"&amp;$A163&amp;"'!$B$2:$B$501"),$T163,INDIRECT("'"&amp;$A163&amp;"'!$A$2:$A$501"),"&gt;="&amp;$I163,INDIRECT("'"&amp;$A163&amp;"'!$A$2:$A$501"),"&lt;"&amp;($BA163+1),INDIRECT("'"&amp;$A163&amp;"'!$C$2:$C$501"),"Yes"),0)))</f>
        <v/>
      </c>
      <c r="AN163" s="30" t="str">
        <f aca="false">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30" t="str">
        <f aca="false">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30" t="str">
        <f aca="true">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30" t="str">
        <f aca="true">IF(OR($A163="",$I163=""),"",IF($BC163="Y",SUMIFS(survey_frozen!$E$2:$E$251,survey_frozen!$P$2:$P$251,$A163&amp;"|"&amp;$B163),IFERROR(COUNTIFS(INDIRECT("'"&amp;$A163&amp;"'!$B$2:$B$501"),$T163,INDIRECT("'"&amp;$A163&amp;"'!$A$2:$A$501"),"&gt;="&amp;$I163,INDIRECT("'"&amp;$A163&amp;"'!$A$2:$A$501"),"&lt;"&amp;($BA163+1),INDIRECT("'"&amp;$A163&amp;"'!$F$2:$F$501"),"Didn't see it"),0)))</f>
        <v/>
      </c>
      <c r="AR163" s="30" t="str">
        <f aca="true">IF(OR($A163="",$I163=""),"",IF($BC163="Y",SUMIFS(survey_frozen!$F$2:$F$251,survey_frozen!$P$2:$P$251,$A163&amp;"|"&amp;$B163),IFERROR(COUNTIFS(INDIRECT("'"&amp;$A163&amp;"'!$B$2:$B$501"),$T163,INDIRECT("'"&amp;$A163&amp;"'!$A$2:$A$501"),"&gt;="&amp;$I163,INDIRECT("'"&amp;$A163&amp;"'!$A$2:$A$501"),"&lt;"&amp;($BA163+1),INDIRECT("'"&amp;$A163&amp;"'!$F$2:$F$501"),"Not for me"),0)))</f>
        <v/>
      </c>
      <c r="AS163" s="30" t="str">
        <f aca="true">IF(OR($A163="",$I163=""),"",IF($BC163="Y",SUMIFS(survey_frozen!$G$2:$G$251,survey_frozen!$P$2:$P$251,$A163&amp;"|"&amp;$B163),IFERROR(COUNTIFS(INDIRECT("'"&amp;$A163&amp;"'!$B$2:$B$501"),$T163,INDIRECT("'"&amp;$A163&amp;"'!$A$2:$A$501"),"&gt;="&amp;$I163,INDIRECT("'"&amp;$A163&amp;"'!$A$2:$A$501"),"&lt;"&amp;($BA163+1),INDIRECT("'"&amp;$A163&amp;"'!$F$2:$F$501"),"Gone by the time I looked"),0)))</f>
        <v/>
      </c>
      <c r="AT163" s="30" t="str">
        <f aca="true">IF(OR($A163="",$I163=""),"",IF($BC163="Y",SUMIFS(survey_frozen!$H$2:$H$251,survey_frozen!$P$2:$P$251,$A163&amp;"|"&amp;$B163),IFERROR(COUNTIFS(INDIRECT("'"&amp;$A163&amp;"'!$B$2:$B$501"),$T163,INDIRECT("'"&amp;$A163&amp;"'!$A$2:$A$501"),"&gt;="&amp;$I163,INDIRECT("'"&amp;$A163&amp;"'!$A$2:$A$501"),"&lt;"&amp;($BA163+1),INDIRECT("'"&amp;$A163&amp;"'!$D$2:$D$501"),"&gt;=1"),0)))</f>
        <v/>
      </c>
      <c r="AU163" s="30" t="str">
        <f aca="true">IF(OR($A163="",$I163=""),"",IF($BC163="Y",SUMIFS(survey_frozen!$I$2:$I$251,survey_frozen!$P$2:$P$251,$A163&amp;"|"&amp;$B163),IFERROR(SUMIFS(INDIRECT("'"&amp;$A163&amp;"'!$D$2:$D$501"),INDIRECT("'"&amp;$A163&amp;"'!$B$2:$B$501"),$T163,INDIRECT("'"&amp;$A163&amp;"'!$A$2:$A$501"),"&gt;="&amp;$I163,INDIRECT("'"&amp;$A163&amp;"'!$A$2:$A$501"),"&lt;"&amp;($BA163+1)),0)))</f>
        <v/>
      </c>
      <c r="AV163" s="30" t="str">
        <f aca="true">IF(OR($A163="",$I163=""),"",IF($BC163="Y",SUMIFS(survey_frozen!$J$2:$J$251,survey_frozen!$P$2:$P$251,$A163&amp;"|"&amp;$B163),IFERROR(COUNTIFS(INDIRECT("'"&amp;$A163&amp;"'!$B$2:$B$501"),$T163,INDIRECT("'"&amp;$A163&amp;"'!$A$2:$A$501"),"&gt;="&amp;$I163,INDIRECT("'"&amp;$A163&amp;"'!$A$2:$A$501"),"&lt;"&amp;($BA163+1),INDIRECT("'"&amp;$A163&amp;"'!$E$2:$E$501"),"Yes"),0)))</f>
        <v/>
      </c>
      <c r="AW163" s="30" t="str">
        <f aca="true">IF(OR($A163="",$I163=""),"",IF($BC163="Y",SUMIFS(survey_frozen!$K$2:$K$251,survey_frozen!$P$2:$P$251,$A163&amp;"|"&amp;$B163),IFERROR(COUNTIFS(INDIRECT("'"&amp;$A163&amp;"'!$B$2:$B$501"),$T163,INDIRECT("'"&amp;$A163&amp;"'!$A$2:$A$501"),"&gt;="&amp;$I163,INDIRECT("'"&amp;$A163&amp;"'!$A$2:$A$501"),"&lt;"&amp;($BA163+1),INDIRECT("'"&amp;$A163&amp;"'!$E$2:$E$501"),"Maybe"),0)))</f>
        <v/>
      </c>
      <c r="AX163" s="30" t="str">
        <f aca="true">IF(OR($A163="",$I163=""),"",IF($BC163="Y",SUMIFS(survey_frozen!$L$2:$L$251,survey_frozen!$P$2:$P$251,$A163&amp;"|"&amp;$B163),IFERROR(COUNTIFS(INDIRECT("'"&amp;$A163&amp;"'!$B$2:$B$501"),$T163,INDIRECT("'"&amp;$A163&amp;"'!$A$2:$A$501"),"&gt;="&amp;$I163,INDIRECT("'"&amp;$A163&amp;"'!$A$2:$A$501"),"&lt;"&amp;($BA163+1),INDIRECT("'"&amp;$A163&amp;"'!$E$2:$E$501"),"No"),0)))</f>
        <v/>
      </c>
      <c r="AY163" s="30" t="str">
        <f aca="true">IF(OR($A163="",$I163=""),"",IF($BC163="Y",SUMIFS(survey_frozen!$M$2:$M$251,survey_frozen!$P$2:$P$251,$A163&amp;"|"&amp;$B163),IFERROR(COUNTIFS(INDIRECT("'"&amp;$A163&amp;"'!$B$2:$B$501"),$T163,INDIRECT("'"&amp;$A163&amp;"'!$A$2:$A$501"),"&gt;="&amp;$I163,INDIRECT("'"&amp;$A163&amp;"'!$A$2:$A$501"),"&lt;"&amp;($BA163+1),INDIRECT("'"&amp;$A163&amp;"'!$G$2:$G$501"),"&lt;&gt;"),0)))</f>
        <v/>
      </c>
      <c r="AZ163" s="30" t="str">
        <f aca="false">IF($A163="","",$A163&amp;"|"&amp;$L163)</f>
        <v/>
      </c>
      <c r="BA163" s="31" t="str">
        <f aca="false">IF($A163="","",IFERROR(IF(INDEX(drops!$R$2:$R$21,MATCH($H163,drops!$A$2:$A$21,0))="","",INDEX(drops!$R$2:$R$21,MATCH($H163,drops!$A$2:$A$21,0))),""))</f>
        <v/>
      </c>
      <c r="BB163" s="30" t="n">
        <f aca="false">IF(OR($A163="",$Q163&lt;&gt;"Y"),1000000,N($AL163))</f>
        <v>1000000</v>
      </c>
      <c r="BC163" s="30" t="str">
        <f aca="false">IF($A163="","",IF(COUNTIF(survey_frozen!$P$2:$P$251,$A163&amp;"|"&amp;$B163)&gt;0,"Y",""))</f>
        <v/>
      </c>
      <c r="BD163" s="30" t="str">
        <f aca="false">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ustomFormat="false" ht="15" hidden="false" customHeight="false" outlineLevel="0" collapsed="false">
      <c r="C164" s="11"/>
      <c r="D164" s="10"/>
      <c r="E164" s="11"/>
      <c r="H164" s="30" t="str">
        <f aca="false">IF($A164="","",IFERROR(IF(INDEX(campaigns!$B$2:$B$51,MATCH($A164,campaigns!$A$2:$A$51,0))="","",INDEX(campaigns!$B$2:$B$51,MATCH($A164,campaigns!$A$2:$A$51,0))),""))</f>
        <v/>
      </c>
      <c r="I164" s="31" t="str">
        <f aca="false">IF($A164="","",IFERROR(IF(INDEX(campaigns!$BG$2:$BG$51,MATCH($A164,campaigns!$A$2:$A$51,0))="","",INDEX(campaigns!$BG$2:$BG$51,MATCH($A164,campaigns!$A$2:$A$51,0))),""))</f>
        <v/>
      </c>
      <c r="J164" s="30" t="str">
        <f aca="false">IF($A164="","",IFERROR(IF(INDEX(campaigns!$BE$2:$BE$51,MATCH($A164,campaigns!$A$2:$A$51,0))="","",INDEX(campaigns!$BE$2:$BE$51,MATCH($A164,campaigns!$A$2:$A$51,0))),""))</f>
        <v/>
      </c>
      <c r="K164" s="30" t="str">
        <f aca="false">IF($B164="","",IFERROR(IF(INDEX(offices!$O$2:$O$61,MATCH($B164,offices!$A$2:$A$61,0))="","",INDEX(offices!$O$2:$O$61,MATCH($B164,offices!$A$2:$A$61,0))),""))</f>
        <v/>
      </c>
      <c r="L164" s="30" t="str">
        <f aca="false">IF($A164="","",IF($Q164="N","",COUNTIFS($A$2:$A164,$A164,$Q$2:$Q164,"&lt;&gt;N")))</f>
        <v/>
      </c>
      <c r="M164" s="30" t="str">
        <f aca="false">IF(OR($A164="",$L164=""),"",IF(AND(config!$B$34="names_if_public",IFERROR(IF(INDEX(offices!$AG$2:$AG$61,MATCH($B164,offices!$A$2:$A$61,0))="","",INDEX(offices!$AG$2:$AG$61,MATCH($B164,offices!$A$2:$A$61,0))),"")="Y"),$K164,CHAR(64+$L164)))</f>
        <v/>
      </c>
      <c r="N164" s="30" t="str">
        <f aca="false">IF(OR($A164="",$I164=""),"",COUNTIFS(stops!$B$2:$B$151,$B164,stops!$P$2:$P$151,"&lt;"&amp;$I164,stops!$L$2:$L$151,"&lt;&gt;not_delivered")+1)</f>
        <v/>
      </c>
      <c r="O164" s="30" t="str">
        <f aca="false">IF($A164="","",IF(N($N164)&lt;=config!$B$29,"explicit","opt-out"))</f>
        <v/>
      </c>
      <c r="P164" s="30" t="str">
        <f aca="false">IF($A164="","",IF($O164="explicit",IF($D164="yes","Y",IF($D164="no","N","pending")),IF($D164="no","N",IF(AND($C164&lt;&gt;"",$I164&lt;&gt;"",$C164&lt;=WORKDAY(N($I164),-5,calendar!$A$2:$A$80)),"Y","pending"))))</f>
        <v/>
      </c>
      <c r="Q164" s="30" t="str">
        <f aca="false">IF($A164="","",IF($P164="N","N",IF($P164&lt;&gt;"Y","pending",IF(AND((COUNTIFS(stops!$A$2:$A$151,$H164,stops!$B$2:$B$151,$B164,stops!$L$2:$L$151,"declined")+COUNTIFS(stops!$A$2:$A$151,$H164,stops!$B$2:$B$151,$B164,stops!$L$2:$L$151,"building_refused")+COUNTIFS(stops!$A$2:$A$151,$H164,stops!$B$2:$B$151,$B164,stops!$L$2:$L$151,"not_delivered"))&gt;0,N($U164)=0),"N","Y"))))</f>
        <v/>
      </c>
      <c r="R164" s="30" t="str">
        <f aca="false">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30" t="str">
        <f aca="false">IF($A164="","",IF($G164&lt;&gt;"",$G164,IFERROR(IF(INDEX(offices!$AM$2:$AM$61,MATCH($B164,offices!$A$2:$A$61,0))="","",INDEX(offices!$AM$2:$AM$61,MATCH($B164,offices!$A$2:$A$61,0))),"")))</f>
        <v/>
      </c>
      <c r="T164" s="30" t="str">
        <f aca="false">IF($A164="","",$A164&amp;"."&amp;$B164)</f>
        <v/>
      </c>
      <c r="U164" s="30" t="str">
        <f aca="false">IF($A164="","",SUMIFS(inventory!$G$2:$G$801,inventory!$C$2:$C$801,$A164,inventory!$D$2:$D$801,$B164,inventory!$E$2:$E$801,"delivered"))</f>
        <v/>
      </c>
      <c r="V164" s="37" t="str">
        <f aca="false">IF($A164="","",IFERROR(1/(1/SUMPRODUCT(MAX((inventory!$C$2:$C$801=$A164)*(inventory!$D$2:$D$801=$B164)*(inventory!$E$2:$E$801="delivered")*(inventory!$A$2:$A$801+inventory!$B$2:$B$801)))),""))</f>
        <v/>
      </c>
      <c r="W164" s="30" t="str">
        <f aca="false">IF($A164="","",IFERROR(IF(INDEX(inventory!$J$2:$J$801,MATCH($A164&amp;"|"&amp;$B164&amp;"|delivered",inventory!$R$2:$R$801,0))="","",INDEX(inventory!$J$2:$J$801,MATCH($A164&amp;"|"&amp;$B164&amp;"|delivered",inventory!$R$2:$R$801,0))),""))</f>
        <v/>
      </c>
      <c r="X164" s="30" t="str">
        <f aca="false">IF($A164="","",IFERROR(IF(INDEX(photos!$H$2:$H$701,MATCH($A164&amp;"|"&amp;$B164&amp;"|placement|Y",photos!$R$2:$R$701,0))="","",INDEX(photos!$H$2:$H$701,MATCH($A164&amp;"|"&amp;$B164&amp;"|placement|Y",photos!$R$2:$R$701,0))),""))</f>
        <v/>
      </c>
      <c r="Y164" s="31" t="str">
        <f aca="false">IF($A164="","",IFERROR(IF(INDEX(photos!$E$2:$E$701,MATCH($A164&amp;"|"&amp;$B164&amp;"|placement|Y",photos!$R$2:$R$701,0))="","",INDEX(photos!$E$2:$E$701,MATCH($A164&amp;"|"&amp;$B164&amp;"|placement|Y",photos!$R$2:$R$701,0))),""))</f>
        <v/>
      </c>
      <c r="Z164" s="30" t="str">
        <f aca="false">IF($A164="","",IF(COUNTIFS(counts!$C$2:$C$701,$A164,counts!$D$2:$D$701,$B164,counts!$E$2:$E$701,"placed")=0,"",SUMIFS(counts!$F$2:$F$701,counts!$C$2:$C$701,$A164,counts!$D$2:$D$701,$B164,counts!$E$2:$E$701,"placed")))</f>
        <v/>
      </c>
      <c r="AA164" s="30" t="str">
        <f aca="false">IF($A164="","",IF($Y164="",0,N($Z164)))</f>
        <v/>
      </c>
      <c r="AB164" s="30" t="str">
        <f aca="false">IF($A164="","",IF(OR($Y164="",$I164=""),"N",IF($Y164&lt;=WORKDAY(N($I164),1,calendar!$A$2:$A$80),"Y","N")))</f>
        <v/>
      </c>
      <c r="AC164" s="33" t="str">
        <f aca="false">IF(OR($A164="",$V164="",$Y164=""),"",ROUND(($Y164+N(IFERROR(IF(INDEX(photos!$F$2:$F$701,MATCH($A164&amp;"|"&amp;$B164&amp;"|placement|Y",photos!$R$2:$R$701,0))="","",INDEX(photos!$F$2:$F$701,MATCH($A164&amp;"|"&amp;$B164&amp;"|placement|Y",photos!$R$2:$R$701,0))),""))-$V164)*24,1))</f>
        <v/>
      </c>
      <c r="AD164" s="30" t="str">
        <f aca="false">IF($A164="","",SUMIFS(inventory!$G$2:$G$801,inventory!$C$2:$C$801,$A164,inventory!$D$2:$D$801,$B164,inventory!$E$2:$E$801,"topped_up"))</f>
        <v/>
      </c>
      <c r="AE164" s="30" t="str">
        <f aca="false">IF($A164="","",IF(COUNTIFS(counts!$C$2:$C$701,$A164,counts!$D$2:$D$701,$B164,counts!$E$2:$E$701,"remaining_day3")=0,"",SUMIFS(counts!$F$2:$F$701,counts!$C$2:$C$701,$A164,counts!$D$2:$D$701,$B164,counts!$E$2:$E$701,"remaining_day3")))</f>
        <v/>
      </c>
      <c r="AF164" s="30" t="str">
        <f aca="false">IF($A164="","",IF(COUNTIFS(counts!$C$2:$C$701,$A164,counts!$D$2:$D$701,$B164,counts!$E$2:$E$701,"remaining_day5")=0,"",SUMIFS(counts!$F$2:$F$701,counts!$C$2:$C$701,$A164,counts!$D$2:$D$701,$B164,counts!$E$2:$E$701,"remaining_day5")))</f>
        <v/>
      </c>
      <c r="AG164" s="30" t="str">
        <f aca="false">IF(OR($A164="",$AF164=""),"",MAX(0,$AA164+$AD164-$AF164))</f>
        <v/>
      </c>
      <c r="AH164" s="30" t="str">
        <f aca="false">IF(OR($A164="",$AI164=""),"",IFERROR(IF(INDEX(photos!$H$2:$H$701,MATCH($A164&amp;"|"&amp;$B164&amp;"|later|Y|"&amp;$AI164,photos!$S$2:$S$701,0))="","",INDEX(photos!$H$2:$H$701,MATCH($A164&amp;"|"&amp;$B164&amp;"|later|Y|"&amp;$AI164,photos!$S$2:$S$701,0))),""))</f>
        <v/>
      </c>
      <c r="AI164" s="31" t="str">
        <f aca="false">IF($A164="","",IFERROR(1/(1/SUMPRODUCT(MAX((photos!$B$2:$B$701=$A164)*(photos!$C$2:$C$701=$B164)*(photos!$D$2:$D$701="later")*(photos!$O$2:$O$701="Y")*photos!$E$2:$E$701))),""))</f>
        <v/>
      </c>
      <c r="AJ164" s="30" t="str">
        <f aca="false">IF(OR($A164="",$AI164="",$I164=""),"",NETWORKDAYS($I164,$AI164,calendar!$A$2:$A$80))</f>
        <v/>
      </c>
      <c r="AK164" s="30" t="str">
        <f aca="false">IF($A164="","",IF(AND($X164&lt;&gt;"",$AH164&lt;&gt;""),"Y","N"))</f>
        <v/>
      </c>
      <c r="AL164" s="30" t="str">
        <f aca="true">IF(OR($A164="",$I164=""),"",IF($BC164="Y",SUMIFS(survey_frozen!$C$2:$C$251,survey_frozen!$P$2:$P$251,$A164&amp;"|"&amp;$B164),IFERROR(COUNTIFS(INDIRECT("'"&amp;$A164&amp;"'!$B$2:$B$501"),$T164,INDIRECT("'"&amp;$A164&amp;"'!$A$2:$A$501"),"&gt;="&amp;$I164,INDIRECT("'"&amp;$A164&amp;"'!$A$2:$A$501"),"&lt;"&amp;($BA164+1)),0)))</f>
        <v/>
      </c>
      <c r="AM164" s="30" t="str">
        <f aca="true">IF(OR($A164="",$I164=""),"",IF($BC164="Y",SUMIFS(survey_frozen!$D$2:$D$251,survey_frozen!$P$2:$P$251,$A164&amp;"|"&amp;$B164),IFERROR(COUNTIFS(INDIRECT("'"&amp;$A164&amp;"'!$B$2:$B$501"),$T164,INDIRECT("'"&amp;$A164&amp;"'!$A$2:$A$501"),"&gt;="&amp;$I164,INDIRECT("'"&amp;$A164&amp;"'!$A$2:$A$501"),"&lt;"&amp;($BA164+1),INDIRECT("'"&amp;$A164&amp;"'!$C$2:$C$501"),"Yes"),0)))</f>
        <v/>
      </c>
      <c r="AN164" s="30" t="str">
        <f aca="false">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30" t="str">
        <f aca="false">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30" t="str">
        <f aca="true">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30" t="str">
        <f aca="true">IF(OR($A164="",$I164=""),"",IF($BC164="Y",SUMIFS(survey_frozen!$E$2:$E$251,survey_frozen!$P$2:$P$251,$A164&amp;"|"&amp;$B164),IFERROR(COUNTIFS(INDIRECT("'"&amp;$A164&amp;"'!$B$2:$B$501"),$T164,INDIRECT("'"&amp;$A164&amp;"'!$A$2:$A$501"),"&gt;="&amp;$I164,INDIRECT("'"&amp;$A164&amp;"'!$A$2:$A$501"),"&lt;"&amp;($BA164+1),INDIRECT("'"&amp;$A164&amp;"'!$F$2:$F$501"),"Didn't see it"),0)))</f>
        <v/>
      </c>
      <c r="AR164" s="30" t="str">
        <f aca="true">IF(OR($A164="",$I164=""),"",IF($BC164="Y",SUMIFS(survey_frozen!$F$2:$F$251,survey_frozen!$P$2:$P$251,$A164&amp;"|"&amp;$B164),IFERROR(COUNTIFS(INDIRECT("'"&amp;$A164&amp;"'!$B$2:$B$501"),$T164,INDIRECT("'"&amp;$A164&amp;"'!$A$2:$A$501"),"&gt;="&amp;$I164,INDIRECT("'"&amp;$A164&amp;"'!$A$2:$A$501"),"&lt;"&amp;($BA164+1),INDIRECT("'"&amp;$A164&amp;"'!$F$2:$F$501"),"Not for me"),0)))</f>
        <v/>
      </c>
      <c r="AS164" s="30" t="str">
        <f aca="true">IF(OR($A164="",$I164=""),"",IF($BC164="Y",SUMIFS(survey_frozen!$G$2:$G$251,survey_frozen!$P$2:$P$251,$A164&amp;"|"&amp;$B164),IFERROR(COUNTIFS(INDIRECT("'"&amp;$A164&amp;"'!$B$2:$B$501"),$T164,INDIRECT("'"&amp;$A164&amp;"'!$A$2:$A$501"),"&gt;="&amp;$I164,INDIRECT("'"&amp;$A164&amp;"'!$A$2:$A$501"),"&lt;"&amp;($BA164+1),INDIRECT("'"&amp;$A164&amp;"'!$F$2:$F$501"),"Gone by the time I looked"),0)))</f>
        <v/>
      </c>
      <c r="AT164" s="30" t="str">
        <f aca="true">IF(OR($A164="",$I164=""),"",IF($BC164="Y",SUMIFS(survey_frozen!$H$2:$H$251,survey_frozen!$P$2:$P$251,$A164&amp;"|"&amp;$B164),IFERROR(COUNTIFS(INDIRECT("'"&amp;$A164&amp;"'!$B$2:$B$501"),$T164,INDIRECT("'"&amp;$A164&amp;"'!$A$2:$A$501"),"&gt;="&amp;$I164,INDIRECT("'"&amp;$A164&amp;"'!$A$2:$A$501"),"&lt;"&amp;($BA164+1),INDIRECT("'"&amp;$A164&amp;"'!$D$2:$D$501"),"&gt;=1"),0)))</f>
        <v/>
      </c>
      <c r="AU164" s="30" t="str">
        <f aca="true">IF(OR($A164="",$I164=""),"",IF($BC164="Y",SUMIFS(survey_frozen!$I$2:$I$251,survey_frozen!$P$2:$P$251,$A164&amp;"|"&amp;$B164),IFERROR(SUMIFS(INDIRECT("'"&amp;$A164&amp;"'!$D$2:$D$501"),INDIRECT("'"&amp;$A164&amp;"'!$B$2:$B$501"),$T164,INDIRECT("'"&amp;$A164&amp;"'!$A$2:$A$501"),"&gt;="&amp;$I164,INDIRECT("'"&amp;$A164&amp;"'!$A$2:$A$501"),"&lt;"&amp;($BA164+1)),0)))</f>
        <v/>
      </c>
      <c r="AV164" s="30" t="str">
        <f aca="true">IF(OR($A164="",$I164=""),"",IF($BC164="Y",SUMIFS(survey_frozen!$J$2:$J$251,survey_frozen!$P$2:$P$251,$A164&amp;"|"&amp;$B164),IFERROR(COUNTIFS(INDIRECT("'"&amp;$A164&amp;"'!$B$2:$B$501"),$T164,INDIRECT("'"&amp;$A164&amp;"'!$A$2:$A$501"),"&gt;="&amp;$I164,INDIRECT("'"&amp;$A164&amp;"'!$A$2:$A$501"),"&lt;"&amp;($BA164+1),INDIRECT("'"&amp;$A164&amp;"'!$E$2:$E$501"),"Yes"),0)))</f>
        <v/>
      </c>
      <c r="AW164" s="30" t="str">
        <f aca="true">IF(OR($A164="",$I164=""),"",IF($BC164="Y",SUMIFS(survey_frozen!$K$2:$K$251,survey_frozen!$P$2:$P$251,$A164&amp;"|"&amp;$B164),IFERROR(COUNTIFS(INDIRECT("'"&amp;$A164&amp;"'!$B$2:$B$501"),$T164,INDIRECT("'"&amp;$A164&amp;"'!$A$2:$A$501"),"&gt;="&amp;$I164,INDIRECT("'"&amp;$A164&amp;"'!$A$2:$A$501"),"&lt;"&amp;($BA164+1),INDIRECT("'"&amp;$A164&amp;"'!$E$2:$E$501"),"Maybe"),0)))</f>
        <v/>
      </c>
      <c r="AX164" s="30" t="str">
        <f aca="true">IF(OR($A164="",$I164=""),"",IF($BC164="Y",SUMIFS(survey_frozen!$L$2:$L$251,survey_frozen!$P$2:$P$251,$A164&amp;"|"&amp;$B164),IFERROR(COUNTIFS(INDIRECT("'"&amp;$A164&amp;"'!$B$2:$B$501"),$T164,INDIRECT("'"&amp;$A164&amp;"'!$A$2:$A$501"),"&gt;="&amp;$I164,INDIRECT("'"&amp;$A164&amp;"'!$A$2:$A$501"),"&lt;"&amp;($BA164+1),INDIRECT("'"&amp;$A164&amp;"'!$E$2:$E$501"),"No"),0)))</f>
        <v/>
      </c>
      <c r="AY164" s="30" t="str">
        <f aca="true">IF(OR($A164="",$I164=""),"",IF($BC164="Y",SUMIFS(survey_frozen!$M$2:$M$251,survey_frozen!$P$2:$P$251,$A164&amp;"|"&amp;$B164),IFERROR(COUNTIFS(INDIRECT("'"&amp;$A164&amp;"'!$B$2:$B$501"),$T164,INDIRECT("'"&amp;$A164&amp;"'!$A$2:$A$501"),"&gt;="&amp;$I164,INDIRECT("'"&amp;$A164&amp;"'!$A$2:$A$501"),"&lt;"&amp;($BA164+1),INDIRECT("'"&amp;$A164&amp;"'!$G$2:$G$501"),"&lt;&gt;"),0)))</f>
        <v/>
      </c>
      <c r="AZ164" s="30" t="str">
        <f aca="false">IF($A164="","",$A164&amp;"|"&amp;$L164)</f>
        <v/>
      </c>
      <c r="BA164" s="31" t="str">
        <f aca="false">IF($A164="","",IFERROR(IF(INDEX(drops!$R$2:$R$21,MATCH($H164,drops!$A$2:$A$21,0))="","",INDEX(drops!$R$2:$R$21,MATCH($H164,drops!$A$2:$A$21,0))),""))</f>
        <v/>
      </c>
      <c r="BB164" s="30" t="n">
        <f aca="false">IF(OR($A164="",$Q164&lt;&gt;"Y"),1000000,N($AL164))</f>
        <v>1000000</v>
      </c>
      <c r="BC164" s="30" t="str">
        <f aca="false">IF($A164="","",IF(COUNTIF(survey_frozen!$P$2:$P$251,$A164&amp;"|"&amp;$B164)&gt;0,"Y",""))</f>
        <v/>
      </c>
      <c r="BD164" s="30" t="str">
        <f aca="false">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ustomFormat="false" ht="15" hidden="false" customHeight="false" outlineLevel="0" collapsed="false">
      <c r="C165" s="11"/>
      <c r="D165" s="10"/>
      <c r="E165" s="11"/>
      <c r="H165" s="30" t="str">
        <f aca="false">IF($A165="","",IFERROR(IF(INDEX(campaigns!$B$2:$B$51,MATCH($A165,campaigns!$A$2:$A$51,0))="","",INDEX(campaigns!$B$2:$B$51,MATCH($A165,campaigns!$A$2:$A$51,0))),""))</f>
        <v/>
      </c>
      <c r="I165" s="31" t="str">
        <f aca="false">IF($A165="","",IFERROR(IF(INDEX(campaigns!$BG$2:$BG$51,MATCH($A165,campaigns!$A$2:$A$51,0))="","",INDEX(campaigns!$BG$2:$BG$51,MATCH($A165,campaigns!$A$2:$A$51,0))),""))</f>
        <v/>
      </c>
      <c r="J165" s="30" t="str">
        <f aca="false">IF($A165="","",IFERROR(IF(INDEX(campaigns!$BE$2:$BE$51,MATCH($A165,campaigns!$A$2:$A$51,0))="","",INDEX(campaigns!$BE$2:$BE$51,MATCH($A165,campaigns!$A$2:$A$51,0))),""))</f>
        <v/>
      </c>
      <c r="K165" s="30" t="str">
        <f aca="false">IF($B165="","",IFERROR(IF(INDEX(offices!$O$2:$O$61,MATCH($B165,offices!$A$2:$A$61,0))="","",INDEX(offices!$O$2:$O$61,MATCH($B165,offices!$A$2:$A$61,0))),""))</f>
        <v/>
      </c>
      <c r="L165" s="30" t="str">
        <f aca="false">IF($A165="","",IF($Q165="N","",COUNTIFS($A$2:$A165,$A165,$Q$2:$Q165,"&lt;&gt;N")))</f>
        <v/>
      </c>
      <c r="M165" s="30" t="str">
        <f aca="false">IF(OR($A165="",$L165=""),"",IF(AND(config!$B$34="names_if_public",IFERROR(IF(INDEX(offices!$AG$2:$AG$61,MATCH($B165,offices!$A$2:$A$61,0))="","",INDEX(offices!$AG$2:$AG$61,MATCH($B165,offices!$A$2:$A$61,0))),"")="Y"),$K165,CHAR(64+$L165)))</f>
        <v/>
      </c>
      <c r="N165" s="30" t="str">
        <f aca="false">IF(OR($A165="",$I165=""),"",COUNTIFS(stops!$B$2:$B$151,$B165,stops!$P$2:$P$151,"&lt;"&amp;$I165,stops!$L$2:$L$151,"&lt;&gt;not_delivered")+1)</f>
        <v/>
      </c>
      <c r="O165" s="30" t="str">
        <f aca="false">IF($A165="","",IF(N($N165)&lt;=config!$B$29,"explicit","opt-out"))</f>
        <v/>
      </c>
      <c r="P165" s="30" t="str">
        <f aca="false">IF($A165="","",IF($O165="explicit",IF($D165="yes","Y",IF($D165="no","N","pending")),IF($D165="no","N",IF(AND($C165&lt;&gt;"",$I165&lt;&gt;"",$C165&lt;=WORKDAY(N($I165),-5,calendar!$A$2:$A$80)),"Y","pending"))))</f>
        <v/>
      </c>
      <c r="Q165" s="30" t="str">
        <f aca="false">IF($A165="","",IF($P165="N","N",IF($P165&lt;&gt;"Y","pending",IF(AND((COUNTIFS(stops!$A$2:$A$151,$H165,stops!$B$2:$B$151,$B165,stops!$L$2:$L$151,"declined")+COUNTIFS(stops!$A$2:$A$151,$H165,stops!$B$2:$B$151,$B165,stops!$L$2:$L$151,"building_refused")+COUNTIFS(stops!$A$2:$A$151,$H165,stops!$B$2:$B$151,$B165,stops!$L$2:$L$151,"not_delivered"))&gt;0,N($U165)=0),"N","Y"))))</f>
        <v/>
      </c>
      <c r="R165" s="30" t="str">
        <f aca="false">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30" t="str">
        <f aca="false">IF($A165="","",IF($G165&lt;&gt;"",$G165,IFERROR(IF(INDEX(offices!$AM$2:$AM$61,MATCH($B165,offices!$A$2:$A$61,0))="","",INDEX(offices!$AM$2:$AM$61,MATCH($B165,offices!$A$2:$A$61,0))),"")))</f>
        <v/>
      </c>
      <c r="T165" s="30" t="str">
        <f aca="false">IF($A165="","",$A165&amp;"."&amp;$B165)</f>
        <v/>
      </c>
      <c r="U165" s="30" t="str">
        <f aca="false">IF($A165="","",SUMIFS(inventory!$G$2:$G$801,inventory!$C$2:$C$801,$A165,inventory!$D$2:$D$801,$B165,inventory!$E$2:$E$801,"delivered"))</f>
        <v/>
      </c>
      <c r="V165" s="37" t="str">
        <f aca="false">IF($A165="","",IFERROR(1/(1/SUMPRODUCT(MAX((inventory!$C$2:$C$801=$A165)*(inventory!$D$2:$D$801=$B165)*(inventory!$E$2:$E$801="delivered")*(inventory!$A$2:$A$801+inventory!$B$2:$B$801)))),""))</f>
        <v/>
      </c>
      <c r="W165" s="30" t="str">
        <f aca="false">IF($A165="","",IFERROR(IF(INDEX(inventory!$J$2:$J$801,MATCH($A165&amp;"|"&amp;$B165&amp;"|delivered",inventory!$R$2:$R$801,0))="","",INDEX(inventory!$J$2:$J$801,MATCH($A165&amp;"|"&amp;$B165&amp;"|delivered",inventory!$R$2:$R$801,0))),""))</f>
        <v/>
      </c>
      <c r="X165" s="30" t="str">
        <f aca="false">IF($A165="","",IFERROR(IF(INDEX(photos!$H$2:$H$701,MATCH($A165&amp;"|"&amp;$B165&amp;"|placement|Y",photos!$R$2:$R$701,0))="","",INDEX(photos!$H$2:$H$701,MATCH($A165&amp;"|"&amp;$B165&amp;"|placement|Y",photos!$R$2:$R$701,0))),""))</f>
        <v/>
      </c>
      <c r="Y165" s="31" t="str">
        <f aca="false">IF($A165="","",IFERROR(IF(INDEX(photos!$E$2:$E$701,MATCH($A165&amp;"|"&amp;$B165&amp;"|placement|Y",photos!$R$2:$R$701,0))="","",INDEX(photos!$E$2:$E$701,MATCH($A165&amp;"|"&amp;$B165&amp;"|placement|Y",photos!$R$2:$R$701,0))),""))</f>
        <v/>
      </c>
      <c r="Z165" s="30" t="str">
        <f aca="false">IF($A165="","",IF(COUNTIFS(counts!$C$2:$C$701,$A165,counts!$D$2:$D$701,$B165,counts!$E$2:$E$701,"placed")=0,"",SUMIFS(counts!$F$2:$F$701,counts!$C$2:$C$701,$A165,counts!$D$2:$D$701,$B165,counts!$E$2:$E$701,"placed")))</f>
        <v/>
      </c>
      <c r="AA165" s="30" t="str">
        <f aca="false">IF($A165="","",IF($Y165="",0,N($Z165)))</f>
        <v/>
      </c>
      <c r="AB165" s="30" t="str">
        <f aca="false">IF($A165="","",IF(OR($Y165="",$I165=""),"N",IF($Y165&lt;=WORKDAY(N($I165),1,calendar!$A$2:$A$80),"Y","N")))</f>
        <v/>
      </c>
      <c r="AC165" s="33" t="str">
        <f aca="false">IF(OR($A165="",$V165="",$Y165=""),"",ROUND(($Y165+N(IFERROR(IF(INDEX(photos!$F$2:$F$701,MATCH($A165&amp;"|"&amp;$B165&amp;"|placement|Y",photos!$R$2:$R$701,0))="","",INDEX(photos!$F$2:$F$701,MATCH($A165&amp;"|"&amp;$B165&amp;"|placement|Y",photos!$R$2:$R$701,0))),""))-$V165)*24,1))</f>
        <v/>
      </c>
      <c r="AD165" s="30" t="str">
        <f aca="false">IF($A165="","",SUMIFS(inventory!$G$2:$G$801,inventory!$C$2:$C$801,$A165,inventory!$D$2:$D$801,$B165,inventory!$E$2:$E$801,"topped_up"))</f>
        <v/>
      </c>
      <c r="AE165" s="30" t="str">
        <f aca="false">IF($A165="","",IF(COUNTIFS(counts!$C$2:$C$701,$A165,counts!$D$2:$D$701,$B165,counts!$E$2:$E$701,"remaining_day3")=0,"",SUMIFS(counts!$F$2:$F$701,counts!$C$2:$C$701,$A165,counts!$D$2:$D$701,$B165,counts!$E$2:$E$701,"remaining_day3")))</f>
        <v/>
      </c>
      <c r="AF165" s="30" t="str">
        <f aca="false">IF($A165="","",IF(COUNTIFS(counts!$C$2:$C$701,$A165,counts!$D$2:$D$701,$B165,counts!$E$2:$E$701,"remaining_day5")=0,"",SUMIFS(counts!$F$2:$F$701,counts!$C$2:$C$701,$A165,counts!$D$2:$D$701,$B165,counts!$E$2:$E$701,"remaining_day5")))</f>
        <v/>
      </c>
      <c r="AG165" s="30" t="str">
        <f aca="false">IF(OR($A165="",$AF165=""),"",MAX(0,$AA165+$AD165-$AF165))</f>
        <v/>
      </c>
      <c r="AH165" s="30" t="str">
        <f aca="false">IF(OR($A165="",$AI165=""),"",IFERROR(IF(INDEX(photos!$H$2:$H$701,MATCH($A165&amp;"|"&amp;$B165&amp;"|later|Y|"&amp;$AI165,photos!$S$2:$S$701,0))="","",INDEX(photos!$H$2:$H$701,MATCH($A165&amp;"|"&amp;$B165&amp;"|later|Y|"&amp;$AI165,photos!$S$2:$S$701,0))),""))</f>
        <v/>
      </c>
      <c r="AI165" s="31" t="str">
        <f aca="false">IF($A165="","",IFERROR(1/(1/SUMPRODUCT(MAX((photos!$B$2:$B$701=$A165)*(photos!$C$2:$C$701=$B165)*(photos!$D$2:$D$701="later")*(photos!$O$2:$O$701="Y")*photos!$E$2:$E$701))),""))</f>
        <v/>
      </c>
      <c r="AJ165" s="30" t="str">
        <f aca="false">IF(OR($A165="",$AI165="",$I165=""),"",NETWORKDAYS($I165,$AI165,calendar!$A$2:$A$80))</f>
        <v/>
      </c>
      <c r="AK165" s="30" t="str">
        <f aca="false">IF($A165="","",IF(AND($X165&lt;&gt;"",$AH165&lt;&gt;""),"Y","N"))</f>
        <v/>
      </c>
      <c r="AL165" s="30" t="str">
        <f aca="true">IF(OR($A165="",$I165=""),"",IF($BC165="Y",SUMIFS(survey_frozen!$C$2:$C$251,survey_frozen!$P$2:$P$251,$A165&amp;"|"&amp;$B165),IFERROR(COUNTIFS(INDIRECT("'"&amp;$A165&amp;"'!$B$2:$B$501"),$T165,INDIRECT("'"&amp;$A165&amp;"'!$A$2:$A$501"),"&gt;="&amp;$I165,INDIRECT("'"&amp;$A165&amp;"'!$A$2:$A$501"),"&lt;"&amp;($BA165+1)),0)))</f>
        <v/>
      </c>
      <c r="AM165" s="30" t="str">
        <f aca="true">IF(OR($A165="",$I165=""),"",IF($BC165="Y",SUMIFS(survey_frozen!$D$2:$D$251,survey_frozen!$P$2:$P$251,$A165&amp;"|"&amp;$B165),IFERROR(COUNTIFS(INDIRECT("'"&amp;$A165&amp;"'!$B$2:$B$501"),$T165,INDIRECT("'"&amp;$A165&amp;"'!$A$2:$A$501"),"&gt;="&amp;$I165,INDIRECT("'"&amp;$A165&amp;"'!$A$2:$A$501"),"&lt;"&amp;($BA165+1),INDIRECT("'"&amp;$A165&amp;"'!$C$2:$C$501"),"Yes"),0)))</f>
        <v/>
      </c>
      <c r="AN165" s="30" t="str">
        <f aca="false">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30" t="str">
        <f aca="false">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30" t="str">
        <f aca="true">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30" t="str">
        <f aca="true">IF(OR($A165="",$I165=""),"",IF($BC165="Y",SUMIFS(survey_frozen!$E$2:$E$251,survey_frozen!$P$2:$P$251,$A165&amp;"|"&amp;$B165),IFERROR(COUNTIFS(INDIRECT("'"&amp;$A165&amp;"'!$B$2:$B$501"),$T165,INDIRECT("'"&amp;$A165&amp;"'!$A$2:$A$501"),"&gt;="&amp;$I165,INDIRECT("'"&amp;$A165&amp;"'!$A$2:$A$501"),"&lt;"&amp;($BA165+1),INDIRECT("'"&amp;$A165&amp;"'!$F$2:$F$501"),"Didn't see it"),0)))</f>
        <v/>
      </c>
      <c r="AR165" s="30" t="str">
        <f aca="true">IF(OR($A165="",$I165=""),"",IF($BC165="Y",SUMIFS(survey_frozen!$F$2:$F$251,survey_frozen!$P$2:$P$251,$A165&amp;"|"&amp;$B165),IFERROR(COUNTIFS(INDIRECT("'"&amp;$A165&amp;"'!$B$2:$B$501"),$T165,INDIRECT("'"&amp;$A165&amp;"'!$A$2:$A$501"),"&gt;="&amp;$I165,INDIRECT("'"&amp;$A165&amp;"'!$A$2:$A$501"),"&lt;"&amp;($BA165+1),INDIRECT("'"&amp;$A165&amp;"'!$F$2:$F$501"),"Not for me"),0)))</f>
        <v/>
      </c>
      <c r="AS165" s="30" t="str">
        <f aca="true">IF(OR($A165="",$I165=""),"",IF($BC165="Y",SUMIFS(survey_frozen!$G$2:$G$251,survey_frozen!$P$2:$P$251,$A165&amp;"|"&amp;$B165),IFERROR(COUNTIFS(INDIRECT("'"&amp;$A165&amp;"'!$B$2:$B$501"),$T165,INDIRECT("'"&amp;$A165&amp;"'!$A$2:$A$501"),"&gt;="&amp;$I165,INDIRECT("'"&amp;$A165&amp;"'!$A$2:$A$501"),"&lt;"&amp;($BA165+1),INDIRECT("'"&amp;$A165&amp;"'!$F$2:$F$501"),"Gone by the time I looked"),0)))</f>
        <v/>
      </c>
      <c r="AT165" s="30" t="str">
        <f aca="true">IF(OR($A165="",$I165=""),"",IF($BC165="Y",SUMIFS(survey_frozen!$H$2:$H$251,survey_frozen!$P$2:$P$251,$A165&amp;"|"&amp;$B165),IFERROR(COUNTIFS(INDIRECT("'"&amp;$A165&amp;"'!$B$2:$B$501"),$T165,INDIRECT("'"&amp;$A165&amp;"'!$A$2:$A$501"),"&gt;="&amp;$I165,INDIRECT("'"&amp;$A165&amp;"'!$A$2:$A$501"),"&lt;"&amp;($BA165+1),INDIRECT("'"&amp;$A165&amp;"'!$D$2:$D$501"),"&gt;=1"),0)))</f>
        <v/>
      </c>
      <c r="AU165" s="30" t="str">
        <f aca="true">IF(OR($A165="",$I165=""),"",IF($BC165="Y",SUMIFS(survey_frozen!$I$2:$I$251,survey_frozen!$P$2:$P$251,$A165&amp;"|"&amp;$B165),IFERROR(SUMIFS(INDIRECT("'"&amp;$A165&amp;"'!$D$2:$D$501"),INDIRECT("'"&amp;$A165&amp;"'!$B$2:$B$501"),$T165,INDIRECT("'"&amp;$A165&amp;"'!$A$2:$A$501"),"&gt;="&amp;$I165,INDIRECT("'"&amp;$A165&amp;"'!$A$2:$A$501"),"&lt;"&amp;($BA165+1)),0)))</f>
        <v/>
      </c>
      <c r="AV165" s="30" t="str">
        <f aca="true">IF(OR($A165="",$I165=""),"",IF($BC165="Y",SUMIFS(survey_frozen!$J$2:$J$251,survey_frozen!$P$2:$P$251,$A165&amp;"|"&amp;$B165),IFERROR(COUNTIFS(INDIRECT("'"&amp;$A165&amp;"'!$B$2:$B$501"),$T165,INDIRECT("'"&amp;$A165&amp;"'!$A$2:$A$501"),"&gt;="&amp;$I165,INDIRECT("'"&amp;$A165&amp;"'!$A$2:$A$501"),"&lt;"&amp;($BA165+1),INDIRECT("'"&amp;$A165&amp;"'!$E$2:$E$501"),"Yes"),0)))</f>
        <v/>
      </c>
      <c r="AW165" s="30" t="str">
        <f aca="true">IF(OR($A165="",$I165=""),"",IF($BC165="Y",SUMIFS(survey_frozen!$K$2:$K$251,survey_frozen!$P$2:$P$251,$A165&amp;"|"&amp;$B165),IFERROR(COUNTIFS(INDIRECT("'"&amp;$A165&amp;"'!$B$2:$B$501"),$T165,INDIRECT("'"&amp;$A165&amp;"'!$A$2:$A$501"),"&gt;="&amp;$I165,INDIRECT("'"&amp;$A165&amp;"'!$A$2:$A$501"),"&lt;"&amp;($BA165+1),INDIRECT("'"&amp;$A165&amp;"'!$E$2:$E$501"),"Maybe"),0)))</f>
        <v/>
      </c>
      <c r="AX165" s="30" t="str">
        <f aca="true">IF(OR($A165="",$I165=""),"",IF($BC165="Y",SUMIFS(survey_frozen!$L$2:$L$251,survey_frozen!$P$2:$P$251,$A165&amp;"|"&amp;$B165),IFERROR(COUNTIFS(INDIRECT("'"&amp;$A165&amp;"'!$B$2:$B$501"),$T165,INDIRECT("'"&amp;$A165&amp;"'!$A$2:$A$501"),"&gt;="&amp;$I165,INDIRECT("'"&amp;$A165&amp;"'!$A$2:$A$501"),"&lt;"&amp;($BA165+1),INDIRECT("'"&amp;$A165&amp;"'!$E$2:$E$501"),"No"),0)))</f>
        <v/>
      </c>
      <c r="AY165" s="30" t="str">
        <f aca="true">IF(OR($A165="",$I165=""),"",IF($BC165="Y",SUMIFS(survey_frozen!$M$2:$M$251,survey_frozen!$P$2:$P$251,$A165&amp;"|"&amp;$B165),IFERROR(COUNTIFS(INDIRECT("'"&amp;$A165&amp;"'!$B$2:$B$501"),$T165,INDIRECT("'"&amp;$A165&amp;"'!$A$2:$A$501"),"&gt;="&amp;$I165,INDIRECT("'"&amp;$A165&amp;"'!$A$2:$A$501"),"&lt;"&amp;($BA165+1),INDIRECT("'"&amp;$A165&amp;"'!$G$2:$G$501"),"&lt;&gt;"),0)))</f>
        <v/>
      </c>
      <c r="AZ165" s="30" t="str">
        <f aca="false">IF($A165="","",$A165&amp;"|"&amp;$L165)</f>
        <v/>
      </c>
      <c r="BA165" s="31" t="str">
        <f aca="false">IF($A165="","",IFERROR(IF(INDEX(drops!$R$2:$R$21,MATCH($H165,drops!$A$2:$A$21,0))="","",INDEX(drops!$R$2:$R$21,MATCH($H165,drops!$A$2:$A$21,0))),""))</f>
        <v/>
      </c>
      <c r="BB165" s="30" t="n">
        <f aca="false">IF(OR($A165="",$Q165&lt;&gt;"Y"),1000000,N($AL165))</f>
        <v>1000000</v>
      </c>
      <c r="BC165" s="30" t="str">
        <f aca="false">IF($A165="","",IF(COUNTIF(survey_frozen!$P$2:$P$251,$A165&amp;"|"&amp;$B165)&gt;0,"Y",""))</f>
        <v/>
      </c>
      <c r="BD165" s="30" t="str">
        <f aca="false">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ustomFormat="false" ht="15" hidden="false" customHeight="false" outlineLevel="0" collapsed="false">
      <c r="C166" s="11"/>
      <c r="D166" s="10"/>
      <c r="E166" s="11"/>
      <c r="H166" s="30" t="str">
        <f aca="false">IF($A166="","",IFERROR(IF(INDEX(campaigns!$B$2:$B$51,MATCH($A166,campaigns!$A$2:$A$51,0))="","",INDEX(campaigns!$B$2:$B$51,MATCH($A166,campaigns!$A$2:$A$51,0))),""))</f>
        <v/>
      </c>
      <c r="I166" s="31" t="str">
        <f aca="false">IF($A166="","",IFERROR(IF(INDEX(campaigns!$BG$2:$BG$51,MATCH($A166,campaigns!$A$2:$A$51,0))="","",INDEX(campaigns!$BG$2:$BG$51,MATCH($A166,campaigns!$A$2:$A$51,0))),""))</f>
        <v/>
      </c>
      <c r="J166" s="30" t="str">
        <f aca="false">IF($A166="","",IFERROR(IF(INDEX(campaigns!$BE$2:$BE$51,MATCH($A166,campaigns!$A$2:$A$51,0))="","",INDEX(campaigns!$BE$2:$BE$51,MATCH($A166,campaigns!$A$2:$A$51,0))),""))</f>
        <v/>
      </c>
      <c r="K166" s="30" t="str">
        <f aca="false">IF($B166="","",IFERROR(IF(INDEX(offices!$O$2:$O$61,MATCH($B166,offices!$A$2:$A$61,0))="","",INDEX(offices!$O$2:$O$61,MATCH($B166,offices!$A$2:$A$61,0))),""))</f>
        <v/>
      </c>
      <c r="L166" s="30" t="str">
        <f aca="false">IF($A166="","",IF($Q166="N","",COUNTIFS($A$2:$A166,$A166,$Q$2:$Q166,"&lt;&gt;N")))</f>
        <v/>
      </c>
      <c r="M166" s="30" t="str">
        <f aca="false">IF(OR($A166="",$L166=""),"",IF(AND(config!$B$34="names_if_public",IFERROR(IF(INDEX(offices!$AG$2:$AG$61,MATCH($B166,offices!$A$2:$A$61,0))="","",INDEX(offices!$AG$2:$AG$61,MATCH($B166,offices!$A$2:$A$61,0))),"")="Y"),$K166,CHAR(64+$L166)))</f>
        <v/>
      </c>
      <c r="N166" s="30" t="str">
        <f aca="false">IF(OR($A166="",$I166=""),"",COUNTIFS(stops!$B$2:$B$151,$B166,stops!$P$2:$P$151,"&lt;"&amp;$I166,stops!$L$2:$L$151,"&lt;&gt;not_delivered")+1)</f>
        <v/>
      </c>
      <c r="O166" s="30" t="str">
        <f aca="false">IF($A166="","",IF(N($N166)&lt;=config!$B$29,"explicit","opt-out"))</f>
        <v/>
      </c>
      <c r="P166" s="30" t="str">
        <f aca="false">IF($A166="","",IF($O166="explicit",IF($D166="yes","Y",IF($D166="no","N","pending")),IF($D166="no","N",IF(AND($C166&lt;&gt;"",$I166&lt;&gt;"",$C166&lt;=WORKDAY(N($I166),-5,calendar!$A$2:$A$80)),"Y","pending"))))</f>
        <v/>
      </c>
      <c r="Q166" s="30" t="str">
        <f aca="false">IF($A166="","",IF($P166="N","N",IF($P166&lt;&gt;"Y","pending",IF(AND((COUNTIFS(stops!$A$2:$A$151,$H166,stops!$B$2:$B$151,$B166,stops!$L$2:$L$151,"declined")+COUNTIFS(stops!$A$2:$A$151,$H166,stops!$B$2:$B$151,$B166,stops!$L$2:$L$151,"building_refused")+COUNTIFS(stops!$A$2:$A$151,$H166,stops!$B$2:$B$151,$B166,stops!$L$2:$L$151,"not_delivered"))&gt;0,N($U166)=0),"N","Y"))))</f>
        <v/>
      </c>
      <c r="R166" s="30" t="str">
        <f aca="false">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30" t="str">
        <f aca="false">IF($A166="","",IF($G166&lt;&gt;"",$G166,IFERROR(IF(INDEX(offices!$AM$2:$AM$61,MATCH($B166,offices!$A$2:$A$61,0))="","",INDEX(offices!$AM$2:$AM$61,MATCH($B166,offices!$A$2:$A$61,0))),"")))</f>
        <v/>
      </c>
      <c r="T166" s="30" t="str">
        <f aca="false">IF($A166="","",$A166&amp;"."&amp;$B166)</f>
        <v/>
      </c>
      <c r="U166" s="30" t="str">
        <f aca="false">IF($A166="","",SUMIFS(inventory!$G$2:$G$801,inventory!$C$2:$C$801,$A166,inventory!$D$2:$D$801,$B166,inventory!$E$2:$E$801,"delivered"))</f>
        <v/>
      </c>
      <c r="V166" s="37" t="str">
        <f aca="false">IF($A166="","",IFERROR(1/(1/SUMPRODUCT(MAX((inventory!$C$2:$C$801=$A166)*(inventory!$D$2:$D$801=$B166)*(inventory!$E$2:$E$801="delivered")*(inventory!$A$2:$A$801+inventory!$B$2:$B$801)))),""))</f>
        <v/>
      </c>
      <c r="W166" s="30" t="str">
        <f aca="false">IF($A166="","",IFERROR(IF(INDEX(inventory!$J$2:$J$801,MATCH($A166&amp;"|"&amp;$B166&amp;"|delivered",inventory!$R$2:$R$801,0))="","",INDEX(inventory!$J$2:$J$801,MATCH($A166&amp;"|"&amp;$B166&amp;"|delivered",inventory!$R$2:$R$801,0))),""))</f>
        <v/>
      </c>
      <c r="X166" s="30" t="str">
        <f aca="false">IF($A166="","",IFERROR(IF(INDEX(photos!$H$2:$H$701,MATCH($A166&amp;"|"&amp;$B166&amp;"|placement|Y",photos!$R$2:$R$701,0))="","",INDEX(photos!$H$2:$H$701,MATCH($A166&amp;"|"&amp;$B166&amp;"|placement|Y",photos!$R$2:$R$701,0))),""))</f>
        <v/>
      </c>
      <c r="Y166" s="31" t="str">
        <f aca="false">IF($A166="","",IFERROR(IF(INDEX(photos!$E$2:$E$701,MATCH($A166&amp;"|"&amp;$B166&amp;"|placement|Y",photos!$R$2:$R$701,0))="","",INDEX(photos!$E$2:$E$701,MATCH($A166&amp;"|"&amp;$B166&amp;"|placement|Y",photos!$R$2:$R$701,0))),""))</f>
        <v/>
      </c>
      <c r="Z166" s="30" t="str">
        <f aca="false">IF($A166="","",IF(COUNTIFS(counts!$C$2:$C$701,$A166,counts!$D$2:$D$701,$B166,counts!$E$2:$E$701,"placed")=0,"",SUMIFS(counts!$F$2:$F$701,counts!$C$2:$C$701,$A166,counts!$D$2:$D$701,$B166,counts!$E$2:$E$701,"placed")))</f>
        <v/>
      </c>
      <c r="AA166" s="30" t="str">
        <f aca="false">IF($A166="","",IF($Y166="",0,N($Z166)))</f>
        <v/>
      </c>
      <c r="AB166" s="30" t="str">
        <f aca="false">IF($A166="","",IF(OR($Y166="",$I166=""),"N",IF($Y166&lt;=WORKDAY(N($I166),1,calendar!$A$2:$A$80),"Y","N")))</f>
        <v/>
      </c>
      <c r="AC166" s="33" t="str">
        <f aca="false">IF(OR($A166="",$V166="",$Y166=""),"",ROUND(($Y166+N(IFERROR(IF(INDEX(photos!$F$2:$F$701,MATCH($A166&amp;"|"&amp;$B166&amp;"|placement|Y",photos!$R$2:$R$701,0))="","",INDEX(photos!$F$2:$F$701,MATCH($A166&amp;"|"&amp;$B166&amp;"|placement|Y",photos!$R$2:$R$701,0))),""))-$V166)*24,1))</f>
        <v/>
      </c>
      <c r="AD166" s="30" t="str">
        <f aca="false">IF($A166="","",SUMIFS(inventory!$G$2:$G$801,inventory!$C$2:$C$801,$A166,inventory!$D$2:$D$801,$B166,inventory!$E$2:$E$801,"topped_up"))</f>
        <v/>
      </c>
      <c r="AE166" s="30" t="str">
        <f aca="false">IF($A166="","",IF(COUNTIFS(counts!$C$2:$C$701,$A166,counts!$D$2:$D$701,$B166,counts!$E$2:$E$701,"remaining_day3")=0,"",SUMIFS(counts!$F$2:$F$701,counts!$C$2:$C$701,$A166,counts!$D$2:$D$701,$B166,counts!$E$2:$E$701,"remaining_day3")))</f>
        <v/>
      </c>
      <c r="AF166" s="30" t="str">
        <f aca="false">IF($A166="","",IF(COUNTIFS(counts!$C$2:$C$701,$A166,counts!$D$2:$D$701,$B166,counts!$E$2:$E$701,"remaining_day5")=0,"",SUMIFS(counts!$F$2:$F$701,counts!$C$2:$C$701,$A166,counts!$D$2:$D$701,$B166,counts!$E$2:$E$701,"remaining_day5")))</f>
        <v/>
      </c>
      <c r="AG166" s="30" t="str">
        <f aca="false">IF(OR($A166="",$AF166=""),"",MAX(0,$AA166+$AD166-$AF166))</f>
        <v/>
      </c>
      <c r="AH166" s="30" t="str">
        <f aca="false">IF(OR($A166="",$AI166=""),"",IFERROR(IF(INDEX(photos!$H$2:$H$701,MATCH($A166&amp;"|"&amp;$B166&amp;"|later|Y|"&amp;$AI166,photos!$S$2:$S$701,0))="","",INDEX(photos!$H$2:$H$701,MATCH($A166&amp;"|"&amp;$B166&amp;"|later|Y|"&amp;$AI166,photos!$S$2:$S$701,0))),""))</f>
        <v/>
      </c>
      <c r="AI166" s="31" t="str">
        <f aca="false">IF($A166="","",IFERROR(1/(1/SUMPRODUCT(MAX((photos!$B$2:$B$701=$A166)*(photos!$C$2:$C$701=$B166)*(photos!$D$2:$D$701="later")*(photos!$O$2:$O$701="Y")*photos!$E$2:$E$701))),""))</f>
        <v/>
      </c>
      <c r="AJ166" s="30" t="str">
        <f aca="false">IF(OR($A166="",$AI166="",$I166=""),"",NETWORKDAYS($I166,$AI166,calendar!$A$2:$A$80))</f>
        <v/>
      </c>
      <c r="AK166" s="30" t="str">
        <f aca="false">IF($A166="","",IF(AND($X166&lt;&gt;"",$AH166&lt;&gt;""),"Y","N"))</f>
        <v/>
      </c>
      <c r="AL166" s="30" t="str">
        <f aca="true">IF(OR($A166="",$I166=""),"",IF($BC166="Y",SUMIFS(survey_frozen!$C$2:$C$251,survey_frozen!$P$2:$P$251,$A166&amp;"|"&amp;$B166),IFERROR(COUNTIFS(INDIRECT("'"&amp;$A166&amp;"'!$B$2:$B$501"),$T166,INDIRECT("'"&amp;$A166&amp;"'!$A$2:$A$501"),"&gt;="&amp;$I166,INDIRECT("'"&amp;$A166&amp;"'!$A$2:$A$501"),"&lt;"&amp;($BA166+1)),0)))</f>
        <v/>
      </c>
      <c r="AM166" s="30" t="str">
        <f aca="true">IF(OR($A166="",$I166=""),"",IF($BC166="Y",SUMIFS(survey_frozen!$D$2:$D$251,survey_frozen!$P$2:$P$251,$A166&amp;"|"&amp;$B166),IFERROR(COUNTIFS(INDIRECT("'"&amp;$A166&amp;"'!$B$2:$B$501"),$T166,INDIRECT("'"&amp;$A166&amp;"'!$A$2:$A$501"),"&gt;="&amp;$I166,INDIRECT("'"&amp;$A166&amp;"'!$A$2:$A$501"),"&lt;"&amp;($BA166+1),INDIRECT("'"&amp;$A166&amp;"'!$C$2:$C$501"),"Yes"),0)))</f>
        <v/>
      </c>
      <c r="AN166" s="30" t="str">
        <f aca="false">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30" t="str">
        <f aca="false">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30" t="str">
        <f aca="true">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30" t="str">
        <f aca="true">IF(OR($A166="",$I166=""),"",IF($BC166="Y",SUMIFS(survey_frozen!$E$2:$E$251,survey_frozen!$P$2:$P$251,$A166&amp;"|"&amp;$B166),IFERROR(COUNTIFS(INDIRECT("'"&amp;$A166&amp;"'!$B$2:$B$501"),$T166,INDIRECT("'"&amp;$A166&amp;"'!$A$2:$A$501"),"&gt;="&amp;$I166,INDIRECT("'"&amp;$A166&amp;"'!$A$2:$A$501"),"&lt;"&amp;($BA166+1),INDIRECT("'"&amp;$A166&amp;"'!$F$2:$F$501"),"Didn't see it"),0)))</f>
        <v/>
      </c>
      <c r="AR166" s="30" t="str">
        <f aca="true">IF(OR($A166="",$I166=""),"",IF($BC166="Y",SUMIFS(survey_frozen!$F$2:$F$251,survey_frozen!$P$2:$P$251,$A166&amp;"|"&amp;$B166),IFERROR(COUNTIFS(INDIRECT("'"&amp;$A166&amp;"'!$B$2:$B$501"),$T166,INDIRECT("'"&amp;$A166&amp;"'!$A$2:$A$501"),"&gt;="&amp;$I166,INDIRECT("'"&amp;$A166&amp;"'!$A$2:$A$501"),"&lt;"&amp;($BA166+1),INDIRECT("'"&amp;$A166&amp;"'!$F$2:$F$501"),"Not for me"),0)))</f>
        <v/>
      </c>
      <c r="AS166" s="30" t="str">
        <f aca="true">IF(OR($A166="",$I166=""),"",IF($BC166="Y",SUMIFS(survey_frozen!$G$2:$G$251,survey_frozen!$P$2:$P$251,$A166&amp;"|"&amp;$B166),IFERROR(COUNTIFS(INDIRECT("'"&amp;$A166&amp;"'!$B$2:$B$501"),$T166,INDIRECT("'"&amp;$A166&amp;"'!$A$2:$A$501"),"&gt;="&amp;$I166,INDIRECT("'"&amp;$A166&amp;"'!$A$2:$A$501"),"&lt;"&amp;($BA166+1),INDIRECT("'"&amp;$A166&amp;"'!$F$2:$F$501"),"Gone by the time I looked"),0)))</f>
        <v/>
      </c>
      <c r="AT166" s="30" t="str">
        <f aca="true">IF(OR($A166="",$I166=""),"",IF($BC166="Y",SUMIFS(survey_frozen!$H$2:$H$251,survey_frozen!$P$2:$P$251,$A166&amp;"|"&amp;$B166),IFERROR(COUNTIFS(INDIRECT("'"&amp;$A166&amp;"'!$B$2:$B$501"),$T166,INDIRECT("'"&amp;$A166&amp;"'!$A$2:$A$501"),"&gt;="&amp;$I166,INDIRECT("'"&amp;$A166&amp;"'!$A$2:$A$501"),"&lt;"&amp;($BA166+1),INDIRECT("'"&amp;$A166&amp;"'!$D$2:$D$501"),"&gt;=1"),0)))</f>
        <v/>
      </c>
      <c r="AU166" s="30" t="str">
        <f aca="true">IF(OR($A166="",$I166=""),"",IF($BC166="Y",SUMIFS(survey_frozen!$I$2:$I$251,survey_frozen!$P$2:$P$251,$A166&amp;"|"&amp;$B166),IFERROR(SUMIFS(INDIRECT("'"&amp;$A166&amp;"'!$D$2:$D$501"),INDIRECT("'"&amp;$A166&amp;"'!$B$2:$B$501"),$T166,INDIRECT("'"&amp;$A166&amp;"'!$A$2:$A$501"),"&gt;="&amp;$I166,INDIRECT("'"&amp;$A166&amp;"'!$A$2:$A$501"),"&lt;"&amp;($BA166+1)),0)))</f>
        <v/>
      </c>
      <c r="AV166" s="30" t="str">
        <f aca="true">IF(OR($A166="",$I166=""),"",IF($BC166="Y",SUMIFS(survey_frozen!$J$2:$J$251,survey_frozen!$P$2:$P$251,$A166&amp;"|"&amp;$B166),IFERROR(COUNTIFS(INDIRECT("'"&amp;$A166&amp;"'!$B$2:$B$501"),$T166,INDIRECT("'"&amp;$A166&amp;"'!$A$2:$A$501"),"&gt;="&amp;$I166,INDIRECT("'"&amp;$A166&amp;"'!$A$2:$A$501"),"&lt;"&amp;($BA166+1),INDIRECT("'"&amp;$A166&amp;"'!$E$2:$E$501"),"Yes"),0)))</f>
        <v/>
      </c>
      <c r="AW166" s="30" t="str">
        <f aca="true">IF(OR($A166="",$I166=""),"",IF($BC166="Y",SUMIFS(survey_frozen!$K$2:$K$251,survey_frozen!$P$2:$P$251,$A166&amp;"|"&amp;$B166),IFERROR(COUNTIFS(INDIRECT("'"&amp;$A166&amp;"'!$B$2:$B$501"),$T166,INDIRECT("'"&amp;$A166&amp;"'!$A$2:$A$501"),"&gt;="&amp;$I166,INDIRECT("'"&amp;$A166&amp;"'!$A$2:$A$501"),"&lt;"&amp;($BA166+1),INDIRECT("'"&amp;$A166&amp;"'!$E$2:$E$501"),"Maybe"),0)))</f>
        <v/>
      </c>
      <c r="AX166" s="30" t="str">
        <f aca="true">IF(OR($A166="",$I166=""),"",IF($BC166="Y",SUMIFS(survey_frozen!$L$2:$L$251,survey_frozen!$P$2:$P$251,$A166&amp;"|"&amp;$B166),IFERROR(COUNTIFS(INDIRECT("'"&amp;$A166&amp;"'!$B$2:$B$501"),$T166,INDIRECT("'"&amp;$A166&amp;"'!$A$2:$A$501"),"&gt;="&amp;$I166,INDIRECT("'"&amp;$A166&amp;"'!$A$2:$A$501"),"&lt;"&amp;($BA166+1),INDIRECT("'"&amp;$A166&amp;"'!$E$2:$E$501"),"No"),0)))</f>
        <v/>
      </c>
      <c r="AY166" s="30" t="str">
        <f aca="true">IF(OR($A166="",$I166=""),"",IF($BC166="Y",SUMIFS(survey_frozen!$M$2:$M$251,survey_frozen!$P$2:$P$251,$A166&amp;"|"&amp;$B166),IFERROR(COUNTIFS(INDIRECT("'"&amp;$A166&amp;"'!$B$2:$B$501"),$T166,INDIRECT("'"&amp;$A166&amp;"'!$A$2:$A$501"),"&gt;="&amp;$I166,INDIRECT("'"&amp;$A166&amp;"'!$A$2:$A$501"),"&lt;"&amp;($BA166+1),INDIRECT("'"&amp;$A166&amp;"'!$G$2:$G$501"),"&lt;&gt;"),0)))</f>
        <v/>
      </c>
      <c r="AZ166" s="30" t="str">
        <f aca="false">IF($A166="","",$A166&amp;"|"&amp;$L166)</f>
        <v/>
      </c>
      <c r="BA166" s="31" t="str">
        <f aca="false">IF($A166="","",IFERROR(IF(INDEX(drops!$R$2:$R$21,MATCH($H166,drops!$A$2:$A$21,0))="","",INDEX(drops!$R$2:$R$21,MATCH($H166,drops!$A$2:$A$21,0))),""))</f>
        <v/>
      </c>
      <c r="BB166" s="30" t="n">
        <f aca="false">IF(OR($A166="",$Q166&lt;&gt;"Y"),1000000,N($AL166))</f>
        <v>1000000</v>
      </c>
      <c r="BC166" s="30" t="str">
        <f aca="false">IF($A166="","",IF(COUNTIF(survey_frozen!$P$2:$P$251,$A166&amp;"|"&amp;$B166)&gt;0,"Y",""))</f>
        <v/>
      </c>
      <c r="BD166" s="30" t="str">
        <f aca="false">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ustomFormat="false" ht="15" hidden="false" customHeight="false" outlineLevel="0" collapsed="false">
      <c r="C167" s="11"/>
      <c r="D167" s="10"/>
      <c r="E167" s="11"/>
      <c r="H167" s="30" t="str">
        <f aca="false">IF($A167="","",IFERROR(IF(INDEX(campaigns!$B$2:$B$51,MATCH($A167,campaigns!$A$2:$A$51,0))="","",INDEX(campaigns!$B$2:$B$51,MATCH($A167,campaigns!$A$2:$A$51,0))),""))</f>
        <v/>
      </c>
      <c r="I167" s="31" t="str">
        <f aca="false">IF($A167="","",IFERROR(IF(INDEX(campaigns!$BG$2:$BG$51,MATCH($A167,campaigns!$A$2:$A$51,0))="","",INDEX(campaigns!$BG$2:$BG$51,MATCH($A167,campaigns!$A$2:$A$51,0))),""))</f>
        <v/>
      </c>
      <c r="J167" s="30" t="str">
        <f aca="false">IF($A167="","",IFERROR(IF(INDEX(campaigns!$BE$2:$BE$51,MATCH($A167,campaigns!$A$2:$A$51,0))="","",INDEX(campaigns!$BE$2:$BE$51,MATCH($A167,campaigns!$A$2:$A$51,0))),""))</f>
        <v/>
      </c>
      <c r="K167" s="30" t="str">
        <f aca="false">IF($B167="","",IFERROR(IF(INDEX(offices!$O$2:$O$61,MATCH($B167,offices!$A$2:$A$61,0))="","",INDEX(offices!$O$2:$O$61,MATCH($B167,offices!$A$2:$A$61,0))),""))</f>
        <v/>
      </c>
      <c r="L167" s="30" t="str">
        <f aca="false">IF($A167="","",IF($Q167="N","",COUNTIFS($A$2:$A167,$A167,$Q$2:$Q167,"&lt;&gt;N")))</f>
        <v/>
      </c>
      <c r="M167" s="30" t="str">
        <f aca="false">IF(OR($A167="",$L167=""),"",IF(AND(config!$B$34="names_if_public",IFERROR(IF(INDEX(offices!$AG$2:$AG$61,MATCH($B167,offices!$A$2:$A$61,0))="","",INDEX(offices!$AG$2:$AG$61,MATCH($B167,offices!$A$2:$A$61,0))),"")="Y"),$K167,CHAR(64+$L167)))</f>
        <v/>
      </c>
      <c r="N167" s="30" t="str">
        <f aca="false">IF(OR($A167="",$I167=""),"",COUNTIFS(stops!$B$2:$B$151,$B167,stops!$P$2:$P$151,"&lt;"&amp;$I167,stops!$L$2:$L$151,"&lt;&gt;not_delivered")+1)</f>
        <v/>
      </c>
      <c r="O167" s="30" t="str">
        <f aca="false">IF($A167="","",IF(N($N167)&lt;=config!$B$29,"explicit","opt-out"))</f>
        <v/>
      </c>
      <c r="P167" s="30" t="str">
        <f aca="false">IF($A167="","",IF($O167="explicit",IF($D167="yes","Y",IF($D167="no","N","pending")),IF($D167="no","N",IF(AND($C167&lt;&gt;"",$I167&lt;&gt;"",$C167&lt;=WORKDAY(N($I167),-5,calendar!$A$2:$A$80)),"Y","pending"))))</f>
        <v/>
      </c>
      <c r="Q167" s="30" t="str">
        <f aca="false">IF($A167="","",IF($P167="N","N",IF($P167&lt;&gt;"Y","pending",IF(AND((COUNTIFS(stops!$A$2:$A$151,$H167,stops!$B$2:$B$151,$B167,stops!$L$2:$L$151,"declined")+COUNTIFS(stops!$A$2:$A$151,$H167,stops!$B$2:$B$151,$B167,stops!$L$2:$L$151,"building_refused")+COUNTIFS(stops!$A$2:$A$151,$H167,stops!$B$2:$B$151,$B167,stops!$L$2:$L$151,"not_delivered"))&gt;0,N($U167)=0),"N","Y"))))</f>
        <v/>
      </c>
      <c r="R167" s="30" t="str">
        <f aca="false">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30" t="str">
        <f aca="false">IF($A167="","",IF($G167&lt;&gt;"",$G167,IFERROR(IF(INDEX(offices!$AM$2:$AM$61,MATCH($B167,offices!$A$2:$A$61,0))="","",INDEX(offices!$AM$2:$AM$61,MATCH($B167,offices!$A$2:$A$61,0))),"")))</f>
        <v/>
      </c>
      <c r="T167" s="30" t="str">
        <f aca="false">IF($A167="","",$A167&amp;"."&amp;$B167)</f>
        <v/>
      </c>
      <c r="U167" s="30" t="str">
        <f aca="false">IF($A167="","",SUMIFS(inventory!$G$2:$G$801,inventory!$C$2:$C$801,$A167,inventory!$D$2:$D$801,$B167,inventory!$E$2:$E$801,"delivered"))</f>
        <v/>
      </c>
      <c r="V167" s="37" t="str">
        <f aca="false">IF($A167="","",IFERROR(1/(1/SUMPRODUCT(MAX((inventory!$C$2:$C$801=$A167)*(inventory!$D$2:$D$801=$B167)*(inventory!$E$2:$E$801="delivered")*(inventory!$A$2:$A$801+inventory!$B$2:$B$801)))),""))</f>
        <v/>
      </c>
      <c r="W167" s="30" t="str">
        <f aca="false">IF($A167="","",IFERROR(IF(INDEX(inventory!$J$2:$J$801,MATCH($A167&amp;"|"&amp;$B167&amp;"|delivered",inventory!$R$2:$R$801,0))="","",INDEX(inventory!$J$2:$J$801,MATCH($A167&amp;"|"&amp;$B167&amp;"|delivered",inventory!$R$2:$R$801,0))),""))</f>
        <v/>
      </c>
      <c r="X167" s="30" t="str">
        <f aca="false">IF($A167="","",IFERROR(IF(INDEX(photos!$H$2:$H$701,MATCH($A167&amp;"|"&amp;$B167&amp;"|placement|Y",photos!$R$2:$R$701,0))="","",INDEX(photos!$H$2:$H$701,MATCH($A167&amp;"|"&amp;$B167&amp;"|placement|Y",photos!$R$2:$R$701,0))),""))</f>
        <v/>
      </c>
      <c r="Y167" s="31" t="str">
        <f aca="false">IF($A167="","",IFERROR(IF(INDEX(photos!$E$2:$E$701,MATCH($A167&amp;"|"&amp;$B167&amp;"|placement|Y",photos!$R$2:$R$701,0))="","",INDEX(photos!$E$2:$E$701,MATCH($A167&amp;"|"&amp;$B167&amp;"|placement|Y",photos!$R$2:$R$701,0))),""))</f>
        <v/>
      </c>
      <c r="Z167" s="30" t="str">
        <f aca="false">IF($A167="","",IF(COUNTIFS(counts!$C$2:$C$701,$A167,counts!$D$2:$D$701,$B167,counts!$E$2:$E$701,"placed")=0,"",SUMIFS(counts!$F$2:$F$701,counts!$C$2:$C$701,$A167,counts!$D$2:$D$701,$B167,counts!$E$2:$E$701,"placed")))</f>
        <v/>
      </c>
      <c r="AA167" s="30" t="str">
        <f aca="false">IF($A167="","",IF($Y167="",0,N($Z167)))</f>
        <v/>
      </c>
      <c r="AB167" s="30" t="str">
        <f aca="false">IF($A167="","",IF(OR($Y167="",$I167=""),"N",IF($Y167&lt;=WORKDAY(N($I167),1,calendar!$A$2:$A$80),"Y","N")))</f>
        <v/>
      </c>
      <c r="AC167" s="33" t="str">
        <f aca="false">IF(OR($A167="",$V167="",$Y167=""),"",ROUND(($Y167+N(IFERROR(IF(INDEX(photos!$F$2:$F$701,MATCH($A167&amp;"|"&amp;$B167&amp;"|placement|Y",photos!$R$2:$R$701,0))="","",INDEX(photos!$F$2:$F$701,MATCH($A167&amp;"|"&amp;$B167&amp;"|placement|Y",photos!$R$2:$R$701,0))),""))-$V167)*24,1))</f>
        <v/>
      </c>
      <c r="AD167" s="30" t="str">
        <f aca="false">IF($A167="","",SUMIFS(inventory!$G$2:$G$801,inventory!$C$2:$C$801,$A167,inventory!$D$2:$D$801,$B167,inventory!$E$2:$E$801,"topped_up"))</f>
        <v/>
      </c>
      <c r="AE167" s="30" t="str">
        <f aca="false">IF($A167="","",IF(COUNTIFS(counts!$C$2:$C$701,$A167,counts!$D$2:$D$701,$B167,counts!$E$2:$E$701,"remaining_day3")=0,"",SUMIFS(counts!$F$2:$F$701,counts!$C$2:$C$701,$A167,counts!$D$2:$D$701,$B167,counts!$E$2:$E$701,"remaining_day3")))</f>
        <v/>
      </c>
      <c r="AF167" s="30" t="str">
        <f aca="false">IF($A167="","",IF(COUNTIFS(counts!$C$2:$C$701,$A167,counts!$D$2:$D$701,$B167,counts!$E$2:$E$701,"remaining_day5")=0,"",SUMIFS(counts!$F$2:$F$701,counts!$C$2:$C$701,$A167,counts!$D$2:$D$701,$B167,counts!$E$2:$E$701,"remaining_day5")))</f>
        <v/>
      </c>
      <c r="AG167" s="30" t="str">
        <f aca="false">IF(OR($A167="",$AF167=""),"",MAX(0,$AA167+$AD167-$AF167))</f>
        <v/>
      </c>
      <c r="AH167" s="30" t="str">
        <f aca="false">IF(OR($A167="",$AI167=""),"",IFERROR(IF(INDEX(photos!$H$2:$H$701,MATCH($A167&amp;"|"&amp;$B167&amp;"|later|Y|"&amp;$AI167,photos!$S$2:$S$701,0))="","",INDEX(photos!$H$2:$H$701,MATCH($A167&amp;"|"&amp;$B167&amp;"|later|Y|"&amp;$AI167,photos!$S$2:$S$701,0))),""))</f>
        <v/>
      </c>
      <c r="AI167" s="31" t="str">
        <f aca="false">IF($A167="","",IFERROR(1/(1/SUMPRODUCT(MAX((photos!$B$2:$B$701=$A167)*(photos!$C$2:$C$701=$B167)*(photos!$D$2:$D$701="later")*(photos!$O$2:$O$701="Y")*photos!$E$2:$E$701))),""))</f>
        <v/>
      </c>
      <c r="AJ167" s="30" t="str">
        <f aca="false">IF(OR($A167="",$AI167="",$I167=""),"",NETWORKDAYS($I167,$AI167,calendar!$A$2:$A$80))</f>
        <v/>
      </c>
      <c r="AK167" s="30" t="str">
        <f aca="false">IF($A167="","",IF(AND($X167&lt;&gt;"",$AH167&lt;&gt;""),"Y","N"))</f>
        <v/>
      </c>
      <c r="AL167" s="30" t="str">
        <f aca="true">IF(OR($A167="",$I167=""),"",IF($BC167="Y",SUMIFS(survey_frozen!$C$2:$C$251,survey_frozen!$P$2:$P$251,$A167&amp;"|"&amp;$B167),IFERROR(COUNTIFS(INDIRECT("'"&amp;$A167&amp;"'!$B$2:$B$501"),$T167,INDIRECT("'"&amp;$A167&amp;"'!$A$2:$A$501"),"&gt;="&amp;$I167,INDIRECT("'"&amp;$A167&amp;"'!$A$2:$A$501"),"&lt;"&amp;($BA167+1)),0)))</f>
        <v/>
      </c>
      <c r="AM167" s="30" t="str">
        <f aca="true">IF(OR($A167="",$I167=""),"",IF($BC167="Y",SUMIFS(survey_frozen!$D$2:$D$251,survey_frozen!$P$2:$P$251,$A167&amp;"|"&amp;$B167),IFERROR(COUNTIFS(INDIRECT("'"&amp;$A167&amp;"'!$B$2:$B$501"),$T167,INDIRECT("'"&amp;$A167&amp;"'!$A$2:$A$501"),"&gt;="&amp;$I167,INDIRECT("'"&amp;$A167&amp;"'!$A$2:$A$501"),"&lt;"&amp;($BA167+1),INDIRECT("'"&amp;$A167&amp;"'!$C$2:$C$501"),"Yes"),0)))</f>
        <v/>
      </c>
      <c r="AN167" s="30" t="str">
        <f aca="false">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30" t="str">
        <f aca="false">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30" t="str">
        <f aca="true">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30" t="str">
        <f aca="true">IF(OR($A167="",$I167=""),"",IF($BC167="Y",SUMIFS(survey_frozen!$E$2:$E$251,survey_frozen!$P$2:$P$251,$A167&amp;"|"&amp;$B167),IFERROR(COUNTIFS(INDIRECT("'"&amp;$A167&amp;"'!$B$2:$B$501"),$T167,INDIRECT("'"&amp;$A167&amp;"'!$A$2:$A$501"),"&gt;="&amp;$I167,INDIRECT("'"&amp;$A167&amp;"'!$A$2:$A$501"),"&lt;"&amp;($BA167+1),INDIRECT("'"&amp;$A167&amp;"'!$F$2:$F$501"),"Didn't see it"),0)))</f>
        <v/>
      </c>
      <c r="AR167" s="30" t="str">
        <f aca="true">IF(OR($A167="",$I167=""),"",IF($BC167="Y",SUMIFS(survey_frozen!$F$2:$F$251,survey_frozen!$P$2:$P$251,$A167&amp;"|"&amp;$B167),IFERROR(COUNTIFS(INDIRECT("'"&amp;$A167&amp;"'!$B$2:$B$501"),$T167,INDIRECT("'"&amp;$A167&amp;"'!$A$2:$A$501"),"&gt;="&amp;$I167,INDIRECT("'"&amp;$A167&amp;"'!$A$2:$A$501"),"&lt;"&amp;($BA167+1),INDIRECT("'"&amp;$A167&amp;"'!$F$2:$F$501"),"Not for me"),0)))</f>
        <v/>
      </c>
      <c r="AS167" s="30" t="str">
        <f aca="true">IF(OR($A167="",$I167=""),"",IF($BC167="Y",SUMIFS(survey_frozen!$G$2:$G$251,survey_frozen!$P$2:$P$251,$A167&amp;"|"&amp;$B167),IFERROR(COUNTIFS(INDIRECT("'"&amp;$A167&amp;"'!$B$2:$B$501"),$T167,INDIRECT("'"&amp;$A167&amp;"'!$A$2:$A$501"),"&gt;="&amp;$I167,INDIRECT("'"&amp;$A167&amp;"'!$A$2:$A$501"),"&lt;"&amp;($BA167+1),INDIRECT("'"&amp;$A167&amp;"'!$F$2:$F$501"),"Gone by the time I looked"),0)))</f>
        <v/>
      </c>
      <c r="AT167" s="30" t="str">
        <f aca="true">IF(OR($A167="",$I167=""),"",IF($BC167="Y",SUMIFS(survey_frozen!$H$2:$H$251,survey_frozen!$P$2:$P$251,$A167&amp;"|"&amp;$B167),IFERROR(COUNTIFS(INDIRECT("'"&amp;$A167&amp;"'!$B$2:$B$501"),$T167,INDIRECT("'"&amp;$A167&amp;"'!$A$2:$A$501"),"&gt;="&amp;$I167,INDIRECT("'"&amp;$A167&amp;"'!$A$2:$A$501"),"&lt;"&amp;($BA167+1),INDIRECT("'"&amp;$A167&amp;"'!$D$2:$D$501"),"&gt;=1"),0)))</f>
        <v/>
      </c>
      <c r="AU167" s="30" t="str">
        <f aca="true">IF(OR($A167="",$I167=""),"",IF($BC167="Y",SUMIFS(survey_frozen!$I$2:$I$251,survey_frozen!$P$2:$P$251,$A167&amp;"|"&amp;$B167),IFERROR(SUMIFS(INDIRECT("'"&amp;$A167&amp;"'!$D$2:$D$501"),INDIRECT("'"&amp;$A167&amp;"'!$B$2:$B$501"),$T167,INDIRECT("'"&amp;$A167&amp;"'!$A$2:$A$501"),"&gt;="&amp;$I167,INDIRECT("'"&amp;$A167&amp;"'!$A$2:$A$501"),"&lt;"&amp;($BA167+1)),0)))</f>
        <v/>
      </c>
      <c r="AV167" s="30" t="str">
        <f aca="true">IF(OR($A167="",$I167=""),"",IF($BC167="Y",SUMIFS(survey_frozen!$J$2:$J$251,survey_frozen!$P$2:$P$251,$A167&amp;"|"&amp;$B167),IFERROR(COUNTIFS(INDIRECT("'"&amp;$A167&amp;"'!$B$2:$B$501"),$T167,INDIRECT("'"&amp;$A167&amp;"'!$A$2:$A$501"),"&gt;="&amp;$I167,INDIRECT("'"&amp;$A167&amp;"'!$A$2:$A$501"),"&lt;"&amp;($BA167+1),INDIRECT("'"&amp;$A167&amp;"'!$E$2:$E$501"),"Yes"),0)))</f>
        <v/>
      </c>
      <c r="AW167" s="30" t="str">
        <f aca="true">IF(OR($A167="",$I167=""),"",IF($BC167="Y",SUMIFS(survey_frozen!$K$2:$K$251,survey_frozen!$P$2:$P$251,$A167&amp;"|"&amp;$B167),IFERROR(COUNTIFS(INDIRECT("'"&amp;$A167&amp;"'!$B$2:$B$501"),$T167,INDIRECT("'"&amp;$A167&amp;"'!$A$2:$A$501"),"&gt;="&amp;$I167,INDIRECT("'"&amp;$A167&amp;"'!$A$2:$A$501"),"&lt;"&amp;($BA167+1),INDIRECT("'"&amp;$A167&amp;"'!$E$2:$E$501"),"Maybe"),0)))</f>
        <v/>
      </c>
      <c r="AX167" s="30" t="str">
        <f aca="true">IF(OR($A167="",$I167=""),"",IF($BC167="Y",SUMIFS(survey_frozen!$L$2:$L$251,survey_frozen!$P$2:$P$251,$A167&amp;"|"&amp;$B167),IFERROR(COUNTIFS(INDIRECT("'"&amp;$A167&amp;"'!$B$2:$B$501"),$T167,INDIRECT("'"&amp;$A167&amp;"'!$A$2:$A$501"),"&gt;="&amp;$I167,INDIRECT("'"&amp;$A167&amp;"'!$A$2:$A$501"),"&lt;"&amp;($BA167+1),INDIRECT("'"&amp;$A167&amp;"'!$E$2:$E$501"),"No"),0)))</f>
        <v/>
      </c>
      <c r="AY167" s="30" t="str">
        <f aca="true">IF(OR($A167="",$I167=""),"",IF($BC167="Y",SUMIFS(survey_frozen!$M$2:$M$251,survey_frozen!$P$2:$P$251,$A167&amp;"|"&amp;$B167),IFERROR(COUNTIFS(INDIRECT("'"&amp;$A167&amp;"'!$B$2:$B$501"),$T167,INDIRECT("'"&amp;$A167&amp;"'!$A$2:$A$501"),"&gt;="&amp;$I167,INDIRECT("'"&amp;$A167&amp;"'!$A$2:$A$501"),"&lt;"&amp;($BA167+1),INDIRECT("'"&amp;$A167&amp;"'!$G$2:$G$501"),"&lt;&gt;"),0)))</f>
        <v/>
      </c>
      <c r="AZ167" s="30" t="str">
        <f aca="false">IF($A167="","",$A167&amp;"|"&amp;$L167)</f>
        <v/>
      </c>
      <c r="BA167" s="31" t="str">
        <f aca="false">IF($A167="","",IFERROR(IF(INDEX(drops!$R$2:$R$21,MATCH($H167,drops!$A$2:$A$21,0))="","",INDEX(drops!$R$2:$R$21,MATCH($H167,drops!$A$2:$A$21,0))),""))</f>
        <v/>
      </c>
      <c r="BB167" s="30" t="n">
        <f aca="false">IF(OR($A167="",$Q167&lt;&gt;"Y"),1000000,N($AL167))</f>
        <v>1000000</v>
      </c>
      <c r="BC167" s="30" t="str">
        <f aca="false">IF($A167="","",IF(COUNTIF(survey_frozen!$P$2:$P$251,$A167&amp;"|"&amp;$B167)&gt;0,"Y",""))</f>
        <v/>
      </c>
      <c r="BD167" s="30" t="str">
        <f aca="false">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ustomFormat="false" ht="15" hidden="false" customHeight="false" outlineLevel="0" collapsed="false">
      <c r="C168" s="11"/>
      <c r="D168" s="10"/>
      <c r="E168" s="11"/>
      <c r="H168" s="30" t="str">
        <f aca="false">IF($A168="","",IFERROR(IF(INDEX(campaigns!$B$2:$B$51,MATCH($A168,campaigns!$A$2:$A$51,0))="","",INDEX(campaigns!$B$2:$B$51,MATCH($A168,campaigns!$A$2:$A$51,0))),""))</f>
        <v/>
      </c>
      <c r="I168" s="31" t="str">
        <f aca="false">IF($A168="","",IFERROR(IF(INDEX(campaigns!$BG$2:$BG$51,MATCH($A168,campaigns!$A$2:$A$51,0))="","",INDEX(campaigns!$BG$2:$BG$51,MATCH($A168,campaigns!$A$2:$A$51,0))),""))</f>
        <v/>
      </c>
      <c r="J168" s="30" t="str">
        <f aca="false">IF($A168="","",IFERROR(IF(INDEX(campaigns!$BE$2:$BE$51,MATCH($A168,campaigns!$A$2:$A$51,0))="","",INDEX(campaigns!$BE$2:$BE$51,MATCH($A168,campaigns!$A$2:$A$51,0))),""))</f>
        <v/>
      </c>
      <c r="K168" s="30" t="str">
        <f aca="false">IF($B168="","",IFERROR(IF(INDEX(offices!$O$2:$O$61,MATCH($B168,offices!$A$2:$A$61,0))="","",INDEX(offices!$O$2:$O$61,MATCH($B168,offices!$A$2:$A$61,0))),""))</f>
        <v/>
      </c>
      <c r="L168" s="30" t="str">
        <f aca="false">IF($A168="","",IF($Q168="N","",COUNTIFS($A$2:$A168,$A168,$Q$2:$Q168,"&lt;&gt;N")))</f>
        <v/>
      </c>
      <c r="M168" s="30" t="str">
        <f aca="false">IF(OR($A168="",$L168=""),"",IF(AND(config!$B$34="names_if_public",IFERROR(IF(INDEX(offices!$AG$2:$AG$61,MATCH($B168,offices!$A$2:$A$61,0))="","",INDEX(offices!$AG$2:$AG$61,MATCH($B168,offices!$A$2:$A$61,0))),"")="Y"),$K168,CHAR(64+$L168)))</f>
        <v/>
      </c>
      <c r="N168" s="30" t="str">
        <f aca="false">IF(OR($A168="",$I168=""),"",COUNTIFS(stops!$B$2:$B$151,$B168,stops!$P$2:$P$151,"&lt;"&amp;$I168,stops!$L$2:$L$151,"&lt;&gt;not_delivered")+1)</f>
        <v/>
      </c>
      <c r="O168" s="30" t="str">
        <f aca="false">IF($A168="","",IF(N($N168)&lt;=config!$B$29,"explicit","opt-out"))</f>
        <v/>
      </c>
      <c r="P168" s="30" t="str">
        <f aca="false">IF($A168="","",IF($O168="explicit",IF($D168="yes","Y",IF($D168="no","N","pending")),IF($D168="no","N",IF(AND($C168&lt;&gt;"",$I168&lt;&gt;"",$C168&lt;=WORKDAY(N($I168),-5,calendar!$A$2:$A$80)),"Y","pending"))))</f>
        <v/>
      </c>
      <c r="Q168" s="30" t="str">
        <f aca="false">IF($A168="","",IF($P168="N","N",IF($P168&lt;&gt;"Y","pending",IF(AND((COUNTIFS(stops!$A$2:$A$151,$H168,stops!$B$2:$B$151,$B168,stops!$L$2:$L$151,"declined")+COUNTIFS(stops!$A$2:$A$151,$H168,stops!$B$2:$B$151,$B168,stops!$L$2:$L$151,"building_refused")+COUNTIFS(stops!$A$2:$A$151,$H168,stops!$B$2:$B$151,$B168,stops!$L$2:$L$151,"not_delivered"))&gt;0,N($U168)=0),"N","Y"))))</f>
        <v/>
      </c>
      <c r="R168" s="30" t="str">
        <f aca="false">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30" t="str">
        <f aca="false">IF($A168="","",IF($G168&lt;&gt;"",$G168,IFERROR(IF(INDEX(offices!$AM$2:$AM$61,MATCH($B168,offices!$A$2:$A$61,0))="","",INDEX(offices!$AM$2:$AM$61,MATCH($B168,offices!$A$2:$A$61,0))),"")))</f>
        <v/>
      </c>
      <c r="T168" s="30" t="str">
        <f aca="false">IF($A168="","",$A168&amp;"."&amp;$B168)</f>
        <v/>
      </c>
      <c r="U168" s="30" t="str">
        <f aca="false">IF($A168="","",SUMIFS(inventory!$G$2:$G$801,inventory!$C$2:$C$801,$A168,inventory!$D$2:$D$801,$B168,inventory!$E$2:$E$801,"delivered"))</f>
        <v/>
      </c>
      <c r="V168" s="37" t="str">
        <f aca="false">IF($A168="","",IFERROR(1/(1/SUMPRODUCT(MAX((inventory!$C$2:$C$801=$A168)*(inventory!$D$2:$D$801=$B168)*(inventory!$E$2:$E$801="delivered")*(inventory!$A$2:$A$801+inventory!$B$2:$B$801)))),""))</f>
        <v/>
      </c>
      <c r="W168" s="30" t="str">
        <f aca="false">IF($A168="","",IFERROR(IF(INDEX(inventory!$J$2:$J$801,MATCH($A168&amp;"|"&amp;$B168&amp;"|delivered",inventory!$R$2:$R$801,0))="","",INDEX(inventory!$J$2:$J$801,MATCH($A168&amp;"|"&amp;$B168&amp;"|delivered",inventory!$R$2:$R$801,0))),""))</f>
        <v/>
      </c>
      <c r="X168" s="30" t="str">
        <f aca="false">IF($A168="","",IFERROR(IF(INDEX(photos!$H$2:$H$701,MATCH($A168&amp;"|"&amp;$B168&amp;"|placement|Y",photos!$R$2:$R$701,0))="","",INDEX(photos!$H$2:$H$701,MATCH($A168&amp;"|"&amp;$B168&amp;"|placement|Y",photos!$R$2:$R$701,0))),""))</f>
        <v/>
      </c>
      <c r="Y168" s="31" t="str">
        <f aca="false">IF($A168="","",IFERROR(IF(INDEX(photos!$E$2:$E$701,MATCH($A168&amp;"|"&amp;$B168&amp;"|placement|Y",photos!$R$2:$R$701,0))="","",INDEX(photos!$E$2:$E$701,MATCH($A168&amp;"|"&amp;$B168&amp;"|placement|Y",photos!$R$2:$R$701,0))),""))</f>
        <v/>
      </c>
      <c r="Z168" s="30" t="str">
        <f aca="false">IF($A168="","",IF(COUNTIFS(counts!$C$2:$C$701,$A168,counts!$D$2:$D$701,$B168,counts!$E$2:$E$701,"placed")=0,"",SUMIFS(counts!$F$2:$F$701,counts!$C$2:$C$701,$A168,counts!$D$2:$D$701,$B168,counts!$E$2:$E$701,"placed")))</f>
        <v/>
      </c>
      <c r="AA168" s="30" t="str">
        <f aca="false">IF($A168="","",IF($Y168="",0,N($Z168)))</f>
        <v/>
      </c>
      <c r="AB168" s="30" t="str">
        <f aca="false">IF($A168="","",IF(OR($Y168="",$I168=""),"N",IF($Y168&lt;=WORKDAY(N($I168),1,calendar!$A$2:$A$80),"Y","N")))</f>
        <v/>
      </c>
      <c r="AC168" s="33" t="str">
        <f aca="false">IF(OR($A168="",$V168="",$Y168=""),"",ROUND(($Y168+N(IFERROR(IF(INDEX(photos!$F$2:$F$701,MATCH($A168&amp;"|"&amp;$B168&amp;"|placement|Y",photos!$R$2:$R$701,0))="","",INDEX(photos!$F$2:$F$701,MATCH($A168&amp;"|"&amp;$B168&amp;"|placement|Y",photos!$R$2:$R$701,0))),""))-$V168)*24,1))</f>
        <v/>
      </c>
      <c r="AD168" s="30" t="str">
        <f aca="false">IF($A168="","",SUMIFS(inventory!$G$2:$G$801,inventory!$C$2:$C$801,$A168,inventory!$D$2:$D$801,$B168,inventory!$E$2:$E$801,"topped_up"))</f>
        <v/>
      </c>
      <c r="AE168" s="30" t="str">
        <f aca="false">IF($A168="","",IF(COUNTIFS(counts!$C$2:$C$701,$A168,counts!$D$2:$D$701,$B168,counts!$E$2:$E$701,"remaining_day3")=0,"",SUMIFS(counts!$F$2:$F$701,counts!$C$2:$C$701,$A168,counts!$D$2:$D$701,$B168,counts!$E$2:$E$701,"remaining_day3")))</f>
        <v/>
      </c>
      <c r="AF168" s="30" t="str">
        <f aca="false">IF($A168="","",IF(COUNTIFS(counts!$C$2:$C$701,$A168,counts!$D$2:$D$701,$B168,counts!$E$2:$E$701,"remaining_day5")=0,"",SUMIFS(counts!$F$2:$F$701,counts!$C$2:$C$701,$A168,counts!$D$2:$D$701,$B168,counts!$E$2:$E$701,"remaining_day5")))</f>
        <v/>
      </c>
      <c r="AG168" s="30" t="str">
        <f aca="false">IF(OR($A168="",$AF168=""),"",MAX(0,$AA168+$AD168-$AF168))</f>
        <v/>
      </c>
      <c r="AH168" s="30" t="str">
        <f aca="false">IF(OR($A168="",$AI168=""),"",IFERROR(IF(INDEX(photos!$H$2:$H$701,MATCH($A168&amp;"|"&amp;$B168&amp;"|later|Y|"&amp;$AI168,photos!$S$2:$S$701,0))="","",INDEX(photos!$H$2:$H$701,MATCH($A168&amp;"|"&amp;$B168&amp;"|later|Y|"&amp;$AI168,photos!$S$2:$S$701,0))),""))</f>
        <v/>
      </c>
      <c r="AI168" s="31" t="str">
        <f aca="false">IF($A168="","",IFERROR(1/(1/SUMPRODUCT(MAX((photos!$B$2:$B$701=$A168)*(photos!$C$2:$C$701=$B168)*(photos!$D$2:$D$701="later")*(photos!$O$2:$O$701="Y")*photos!$E$2:$E$701))),""))</f>
        <v/>
      </c>
      <c r="AJ168" s="30" t="str">
        <f aca="false">IF(OR($A168="",$AI168="",$I168=""),"",NETWORKDAYS($I168,$AI168,calendar!$A$2:$A$80))</f>
        <v/>
      </c>
      <c r="AK168" s="30" t="str">
        <f aca="false">IF($A168="","",IF(AND($X168&lt;&gt;"",$AH168&lt;&gt;""),"Y","N"))</f>
        <v/>
      </c>
      <c r="AL168" s="30" t="str">
        <f aca="true">IF(OR($A168="",$I168=""),"",IF($BC168="Y",SUMIFS(survey_frozen!$C$2:$C$251,survey_frozen!$P$2:$P$251,$A168&amp;"|"&amp;$B168),IFERROR(COUNTIFS(INDIRECT("'"&amp;$A168&amp;"'!$B$2:$B$501"),$T168,INDIRECT("'"&amp;$A168&amp;"'!$A$2:$A$501"),"&gt;="&amp;$I168,INDIRECT("'"&amp;$A168&amp;"'!$A$2:$A$501"),"&lt;"&amp;($BA168+1)),0)))</f>
        <v/>
      </c>
      <c r="AM168" s="30" t="str">
        <f aca="true">IF(OR($A168="",$I168=""),"",IF($BC168="Y",SUMIFS(survey_frozen!$D$2:$D$251,survey_frozen!$P$2:$P$251,$A168&amp;"|"&amp;$B168),IFERROR(COUNTIFS(INDIRECT("'"&amp;$A168&amp;"'!$B$2:$B$501"),$T168,INDIRECT("'"&amp;$A168&amp;"'!$A$2:$A$501"),"&gt;="&amp;$I168,INDIRECT("'"&amp;$A168&amp;"'!$A$2:$A$501"),"&lt;"&amp;($BA168+1),INDIRECT("'"&amp;$A168&amp;"'!$C$2:$C$501"),"Yes"),0)))</f>
        <v/>
      </c>
      <c r="AN168" s="30" t="str">
        <f aca="false">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30" t="str">
        <f aca="false">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30" t="str">
        <f aca="true">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30" t="str">
        <f aca="true">IF(OR($A168="",$I168=""),"",IF($BC168="Y",SUMIFS(survey_frozen!$E$2:$E$251,survey_frozen!$P$2:$P$251,$A168&amp;"|"&amp;$B168),IFERROR(COUNTIFS(INDIRECT("'"&amp;$A168&amp;"'!$B$2:$B$501"),$T168,INDIRECT("'"&amp;$A168&amp;"'!$A$2:$A$501"),"&gt;="&amp;$I168,INDIRECT("'"&amp;$A168&amp;"'!$A$2:$A$501"),"&lt;"&amp;($BA168+1),INDIRECT("'"&amp;$A168&amp;"'!$F$2:$F$501"),"Didn't see it"),0)))</f>
        <v/>
      </c>
      <c r="AR168" s="30" t="str">
        <f aca="true">IF(OR($A168="",$I168=""),"",IF($BC168="Y",SUMIFS(survey_frozen!$F$2:$F$251,survey_frozen!$P$2:$P$251,$A168&amp;"|"&amp;$B168),IFERROR(COUNTIFS(INDIRECT("'"&amp;$A168&amp;"'!$B$2:$B$501"),$T168,INDIRECT("'"&amp;$A168&amp;"'!$A$2:$A$501"),"&gt;="&amp;$I168,INDIRECT("'"&amp;$A168&amp;"'!$A$2:$A$501"),"&lt;"&amp;($BA168+1),INDIRECT("'"&amp;$A168&amp;"'!$F$2:$F$501"),"Not for me"),0)))</f>
        <v/>
      </c>
      <c r="AS168" s="30" t="str">
        <f aca="true">IF(OR($A168="",$I168=""),"",IF($BC168="Y",SUMIFS(survey_frozen!$G$2:$G$251,survey_frozen!$P$2:$P$251,$A168&amp;"|"&amp;$B168),IFERROR(COUNTIFS(INDIRECT("'"&amp;$A168&amp;"'!$B$2:$B$501"),$T168,INDIRECT("'"&amp;$A168&amp;"'!$A$2:$A$501"),"&gt;="&amp;$I168,INDIRECT("'"&amp;$A168&amp;"'!$A$2:$A$501"),"&lt;"&amp;($BA168+1),INDIRECT("'"&amp;$A168&amp;"'!$F$2:$F$501"),"Gone by the time I looked"),0)))</f>
        <v/>
      </c>
      <c r="AT168" s="30" t="str">
        <f aca="true">IF(OR($A168="",$I168=""),"",IF($BC168="Y",SUMIFS(survey_frozen!$H$2:$H$251,survey_frozen!$P$2:$P$251,$A168&amp;"|"&amp;$B168),IFERROR(COUNTIFS(INDIRECT("'"&amp;$A168&amp;"'!$B$2:$B$501"),$T168,INDIRECT("'"&amp;$A168&amp;"'!$A$2:$A$501"),"&gt;="&amp;$I168,INDIRECT("'"&amp;$A168&amp;"'!$A$2:$A$501"),"&lt;"&amp;($BA168+1),INDIRECT("'"&amp;$A168&amp;"'!$D$2:$D$501"),"&gt;=1"),0)))</f>
        <v/>
      </c>
      <c r="AU168" s="30" t="str">
        <f aca="true">IF(OR($A168="",$I168=""),"",IF($BC168="Y",SUMIFS(survey_frozen!$I$2:$I$251,survey_frozen!$P$2:$P$251,$A168&amp;"|"&amp;$B168),IFERROR(SUMIFS(INDIRECT("'"&amp;$A168&amp;"'!$D$2:$D$501"),INDIRECT("'"&amp;$A168&amp;"'!$B$2:$B$501"),$T168,INDIRECT("'"&amp;$A168&amp;"'!$A$2:$A$501"),"&gt;="&amp;$I168,INDIRECT("'"&amp;$A168&amp;"'!$A$2:$A$501"),"&lt;"&amp;($BA168+1)),0)))</f>
        <v/>
      </c>
      <c r="AV168" s="30" t="str">
        <f aca="true">IF(OR($A168="",$I168=""),"",IF($BC168="Y",SUMIFS(survey_frozen!$J$2:$J$251,survey_frozen!$P$2:$P$251,$A168&amp;"|"&amp;$B168),IFERROR(COUNTIFS(INDIRECT("'"&amp;$A168&amp;"'!$B$2:$B$501"),$T168,INDIRECT("'"&amp;$A168&amp;"'!$A$2:$A$501"),"&gt;="&amp;$I168,INDIRECT("'"&amp;$A168&amp;"'!$A$2:$A$501"),"&lt;"&amp;($BA168+1),INDIRECT("'"&amp;$A168&amp;"'!$E$2:$E$501"),"Yes"),0)))</f>
        <v/>
      </c>
      <c r="AW168" s="30" t="str">
        <f aca="true">IF(OR($A168="",$I168=""),"",IF($BC168="Y",SUMIFS(survey_frozen!$K$2:$K$251,survey_frozen!$P$2:$P$251,$A168&amp;"|"&amp;$B168),IFERROR(COUNTIFS(INDIRECT("'"&amp;$A168&amp;"'!$B$2:$B$501"),$T168,INDIRECT("'"&amp;$A168&amp;"'!$A$2:$A$501"),"&gt;="&amp;$I168,INDIRECT("'"&amp;$A168&amp;"'!$A$2:$A$501"),"&lt;"&amp;($BA168+1),INDIRECT("'"&amp;$A168&amp;"'!$E$2:$E$501"),"Maybe"),0)))</f>
        <v/>
      </c>
      <c r="AX168" s="30" t="str">
        <f aca="true">IF(OR($A168="",$I168=""),"",IF($BC168="Y",SUMIFS(survey_frozen!$L$2:$L$251,survey_frozen!$P$2:$P$251,$A168&amp;"|"&amp;$B168),IFERROR(COUNTIFS(INDIRECT("'"&amp;$A168&amp;"'!$B$2:$B$501"),$T168,INDIRECT("'"&amp;$A168&amp;"'!$A$2:$A$501"),"&gt;="&amp;$I168,INDIRECT("'"&amp;$A168&amp;"'!$A$2:$A$501"),"&lt;"&amp;($BA168+1),INDIRECT("'"&amp;$A168&amp;"'!$E$2:$E$501"),"No"),0)))</f>
        <v/>
      </c>
      <c r="AY168" s="30" t="str">
        <f aca="true">IF(OR($A168="",$I168=""),"",IF($BC168="Y",SUMIFS(survey_frozen!$M$2:$M$251,survey_frozen!$P$2:$P$251,$A168&amp;"|"&amp;$B168),IFERROR(COUNTIFS(INDIRECT("'"&amp;$A168&amp;"'!$B$2:$B$501"),$T168,INDIRECT("'"&amp;$A168&amp;"'!$A$2:$A$501"),"&gt;="&amp;$I168,INDIRECT("'"&amp;$A168&amp;"'!$A$2:$A$501"),"&lt;"&amp;($BA168+1),INDIRECT("'"&amp;$A168&amp;"'!$G$2:$G$501"),"&lt;&gt;"),0)))</f>
        <v/>
      </c>
      <c r="AZ168" s="30" t="str">
        <f aca="false">IF($A168="","",$A168&amp;"|"&amp;$L168)</f>
        <v/>
      </c>
      <c r="BA168" s="31" t="str">
        <f aca="false">IF($A168="","",IFERROR(IF(INDEX(drops!$R$2:$R$21,MATCH($H168,drops!$A$2:$A$21,0))="","",INDEX(drops!$R$2:$R$21,MATCH($H168,drops!$A$2:$A$21,0))),""))</f>
        <v/>
      </c>
      <c r="BB168" s="30" t="n">
        <f aca="false">IF(OR($A168="",$Q168&lt;&gt;"Y"),1000000,N($AL168))</f>
        <v>1000000</v>
      </c>
      <c r="BC168" s="30" t="str">
        <f aca="false">IF($A168="","",IF(COUNTIF(survey_frozen!$P$2:$P$251,$A168&amp;"|"&amp;$B168)&gt;0,"Y",""))</f>
        <v/>
      </c>
      <c r="BD168" s="30" t="str">
        <f aca="false">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ustomFormat="false" ht="15" hidden="false" customHeight="false" outlineLevel="0" collapsed="false">
      <c r="C169" s="11"/>
      <c r="D169" s="10"/>
      <c r="E169" s="11"/>
      <c r="H169" s="30" t="str">
        <f aca="false">IF($A169="","",IFERROR(IF(INDEX(campaigns!$B$2:$B$51,MATCH($A169,campaigns!$A$2:$A$51,0))="","",INDEX(campaigns!$B$2:$B$51,MATCH($A169,campaigns!$A$2:$A$51,0))),""))</f>
        <v/>
      </c>
      <c r="I169" s="31" t="str">
        <f aca="false">IF($A169="","",IFERROR(IF(INDEX(campaigns!$BG$2:$BG$51,MATCH($A169,campaigns!$A$2:$A$51,0))="","",INDEX(campaigns!$BG$2:$BG$51,MATCH($A169,campaigns!$A$2:$A$51,0))),""))</f>
        <v/>
      </c>
      <c r="J169" s="30" t="str">
        <f aca="false">IF($A169="","",IFERROR(IF(INDEX(campaigns!$BE$2:$BE$51,MATCH($A169,campaigns!$A$2:$A$51,0))="","",INDEX(campaigns!$BE$2:$BE$51,MATCH($A169,campaigns!$A$2:$A$51,0))),""))</f>
        <v/>
      </c>
      <c r="K169" s="30" t="str">
        <f aca="false">IF($B169="","",IFERROR(IF(INDEX(offices!$O$2:$O$61,MATCH($B169,offices!$A$2:$A$61,0))="","",INDEX(offices!$O$2:$O$61,MATCH($B169,offices!$A$2:$A$61,0))),""))</f>
        <v/>
      </c>
      <c r="L169" s="30" t="str">
        <f aca="false">IF($A169="","",IF($Q169="N","",COUNTIFS($A$2:$A169,$A169,$Q$2:$Q169,"&lt;&gt;N")))</f>
        <v/>
      </c>
      <c r="M169" s="30" t="str">
        <f aca="false">IF(OR($A169="",$L169=""),"",IF(AND(config!$B$34="names_if_public",IFERROR(IF(INDEX(offices!$AG$2:$AG$61,MATCH($B169,offices!$A$2:$A$61,0))="","",INDEX(offices!$AG$2:$AG$61,MATCH($B169,offices!$A$2:$A$61,0))),"")="Y"),$K169,CHAR(64+$L169)))</f>
        <v/>
      </c>
      <c r="N169" s="30" t="str">
        <f aca="false">IF(OR($A169="",$I169=""),"",COUNTIFS(stops!$B$2:$B$151,$B169,stops!$P$2:$P$151,"&lt;"&amp;$I169,stops!$L$2:$L$151,"&lt;&gt;not_delivered")+1)</f>
        <v/>
      </c>
      <c r="O169" s="30" t="str">
        <f aca="false">IF($A169="","",IF(N($N169)&lt;=config!$B$29,"explicit","opt-out"))</f>
        <v/>
      </c>
      <c r="P169" s="30" t="str">
        <f aca="false">IF($A169="","",IF($O169="explicit",IF($D169="yes","Y",IF($D169="no","N","pending")),IF($D169="no","N",IF(AND($C169&lt;&gt;"",$I169&lt;&gt;"",$C169&lt;=WORKDAY(N($I169),-5,calendar!$A$2:$A$80)),"Y","pending"))))</f>
        <v/>
      </c>
      <c r="Q169" s="30" t="str">
        <f aca="false">IF($A169="","",IF($P169="N","N",IF($P169&lt;&gt;"Y","pending",IF(AND((COUNTIFS(stops!$A$2:$A$151,$H169,stops!$B$2:$B$151,$B169,stops!$L$2:$L$151,"declined")+COUNTIFS(stops!$A$2:$A$151,$H169,stops!$B$2:$B$151,$B169,stops!$L$2:$L$151,"building_refused")+COUNTIFS(stops!$A$2:$A$151,$H169,stops!$B$2:$B$151,$B169,stops!$L$2:$L$151,"not_delivered"))&gt;0,N($U169)=0),"N","Y"))))</f>
        <v/>
      </c>
      <c r="R169" s="30" t="str">
        <f aca="false">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30" t="str">
        <f aca="false">IF($A169="","",IF($G169&lt;&gt;"",$G169,IFERROR(IF(INDEX(offices!$AM$2:$AM$61,MATCH($B169,offices!$A$2:$A$61,0))="","",INDEX(offices!$AM$2:$AM$61,MATCH($B169,offices!$A$2:$A$61,0))),"")))</f>
        <v/>
      </c>
      <c r="T169" s="30" t="str">
        <f aca="false">IF($A169="","",$A169&amp;"."&amp;$B169)</f>
        <v/>
      </c>
      <c r="U169" s="30" t="str">
        <f aca="false">IF($A169="","",SUMIFS(inventory!$G$2:$G$801,inventory!$C$2:$C$801,$A169,inventory!$D$2:$D$801,$B169,inventory!$E$2:$E$801,"delivered"))</f>
        <v/>
      </c>
      <c r="V169" s="37" t="str">
        <f aca="false">IF($A169="","",IFERROR(1/(1/SUMPRODUCT(MAX((inventory!$C$2:$C$801=$A169)*(inventory!$D$2:$D$801=$B169)*(inventory!$E$2:$E$801="delivered")*(inventory!$A$2:$A$801+inventory!$B$2:$B$801)))),""))</f>
        <v/>
      </c>
      <c r="W169" s="30" t="str">
        <f aca="false">IF($A169="","",IFERROR(IF(INDEX(inventory!$J$2:$J$801,MATCH($A169&amp;"|"&amp;$B169&amp;"|delivered",inventory!$R$2:$R$801,0))="","",INDEX(inventory!$J$2:$J$801,MATCH($A169&amp;"|"&amp;$B169&amp;"|delivered",inventory!$R$2:$R$801,0))),""))</f>
        <v/>
      </c>
      <c r="X169" s="30" t="str">
        <f aca="false">IF($A169="","",IFERROR(IF(INDEX(photos!$H$2:$H$701,MATCH($A169&amp;"|"&amp;$B169&amp;"|placement|Y",photos!$R$2:$R$701,0))="","",INDEX(photos!$H$2:$H$701,MATCH($A169&amp;"|"&amp;$B169&amp;"|placement|Y",photos!$R$2:$R$701,0))),""))</f>
        <v/>
      </c>
      <c r="Y169" s="31" t="str">
        <f aca="false">IF($A169="","",IFERROR(IF(INDEX(photos!$E$2:$E$701,MATCH($A169&amp;"|"&amp;$B169&amp;"|placement|Y",photos!$R$2:$R$701,0))="","",INDEX(photos!$E$2:$E$701,MATCH($A169&amp;"|"&amp;$B169&amp;"|placement|Y",photos!$R$2:$R$701,0))),""))</f>
        <v/>
      </c>
      <c r="Z169" s="30" t="str">
        <f aca="false">IF($A169="","",IF(COUNTIFS(counts!$C$2:$C$701,$A169,counts!$D$2:$D$701,$B169,counts!$E$2:$E$701,"placed")=0,"",SUMIFS(counts!$F$2:$F$701,counts!$C$2:$C$701,$A169,counts!$D$2:$D$701,$B169,counts!$E$2:$E$701,"placed")))</f>
        <v/>
      </c>
      <c r="AA169" s="30" t="str">
        <f aca="false">IF($A169="","",IF($Y169="",0,N($Z169)))</f>
        <v/>
      </c>
      <c r="AB169" s="30" t="str">
        <f aca="false">IF($A169="","",IF(OR($Y169="",$I169=""),"N",IF($Y169&lt;=WORKDAY(N($I169),1,calendar!$A$2:$A$80),"Y","N")))</f>
        <v/>
      </c>
      <c r="AC169" s="33" t="str">
        <f aca="false">IF(OR($A169="",$V169="",$Y169=""),"",ROUND(($Y169+N(IFERROR(IF(INDEX(photos!$F$2:$F$701,MATCH($A169&amp;"|"&amp;$B169&amp;"|placement|Y",photos!$R$2:$R$701,0))="","",INDEX(photos!$F$2:$F$701,MATCH($A169&amp;"|"&amp;$B169&amp;"|placement|Y",photos!$R$2:$R$701,0))),""))-$V169)*24,1))</f>
        <v/>
      </c>
      <c r="AD169" s="30" t="str">
        <f aca="false">IF($A169="","",SUMIFS(inventory!$G$2:$G$801,inventory!$C$2:$C$801,$A169,inventory!$D$2:$D$801,$B169,inventory!$E$2:$E$801,"topped_up"))</f>
        <v/>
      </c>
      <c r="AE169" s="30" t="str">
        <f aca="false">IF($A169="","",IF(COUNTIFS(counts!$C$2:$C$701,$A169,counts!$D$2:$D$701,$B169,counts!$E$2:$E$701,"remaining_day3")=0,"",SUMIFS(counts!$F$2:$F$701,counts!$C$2:$C$701,$A169,counts!$D$2:$D$701,$B169,counts!$E$2:$E$701,"remaining_day3")))</f>
        <v/>
      </c>
      <c r="AF169" s="30" t="str">
        <f aca="false">IF($A169="","",IF(COUNTIFS(counts!$C$2:$C$701,$A169,counts!$D$2:$D$701,$B169,counts!$E$2:$E$701,"remaining_day5")=0,"",SUMIFS(counts!$F$2:$F$701,counts!$C$2:$C$701,$A169,counts!$D$2:$D$701,$B169,counts!$E$2:$E$701,"remaining_day5")))</f>
        <v/>
      </c>
      <c r="AG169" s="30" t="str">
        <f aca="false">IF(OR($A169="",$AF169=""),"",MAX(0,$AA169+$AD169-$AF169))</f>
        <v/>
      </c>
      <c r="AH169" s="30" t="str">
        <f aca="false">IF(OR($A169="",$AI169=""),"",IFERROR(IF(INDEX(photos!$H$2:$H$701,MATCH($A169&amp;"|"&amp;$B169&amp;"|later|Y|"&amp;$AI169,photos!$S$2:$S$701,0))="","",INDEX(photos!$H$2:$H$701,MATCH($A169&amp;"|"&amp;$B169&amp;"|later|Y|"&amp;$AI169,photos!$S$2:$S$701,0))),""))</f>
        <v/>
      </c>
      <c r="AI169" s="31" t="str">
        <f aca="false">IF($A169="","",IFERROR(1/(1/SUMPRODUCT(MAX((photos!$B$2:$B$701=$A169)*(photos!$C$2:$C$701=$B169)*(photos!$D$2:$D$701="later")*(photos!$O$2:$O$701="Y")*photos!$E$2:$E$701))),""))</f>
        <v/>
      </c>
      <c r="AJ169" s="30" t="str">
        <f aca="false">IF(OR($A169="",$AI169="",$I169=""),"",NETWORKDAYS($I169,$AI169,calendar!$A$2:$A$80))</f>
        <v/>
      </c>
      <c r="AK169" s="30" t="str">
        <f aca="false">IF($A169="","",IF(AND($X169&lt;&gt;"",$AH169&lt;&gt;""),"Y","N"))</f>
        <v/>
      </c>
      <c r="AL169" s="30" t="str">
        <f aca="true">IF(OR($A169="",$I169=""),"",IF($BC169="Y",SUMIFS(survey_frozen!$C$2:$C$251,survey_frozen!$P$2:$P$251,$A169&amp;"|"&amp;$B169),IFERROR(COUNTIFS(INDIRECT("'"&amp;$A169&amp;"'!$B$2:$B$501"),$T169,INDIRECT("'"&amp;$A169&amp;"'!$A$2:$A$501"),"&gt;="&amp;$I169,INDIRECT("'"&amp;$A169&amp;"'!$A$2:$A$501"),"&lt;"&amp;($BA169+1)),0)))</f>
        <v/>
      </c>
      <c r="AM169" s="30" t="str">
        <f aca="true">IF(OR($A169="",$I169=""),"",IF($BC169="Y",SUMIFS(survey_frozen!$D$2:$D$251,survey_frozen!$P$2:$P$251,$A169&amp;"|"&amp;$B169),IFERROR(COUNTIFS(INDIRECT("'"&amp;$A169&amp;"'!$B$2:$B$501"),$T169,INDIRECT("'"&amp;$A169&amp;"'!$A$2:$A$501"),"&gt;="&amp;$I169,INDIRECT("'"&amp;$A169&amp;"'!$A$2:$A$501"),"&lt;"&amp;($BA169+1),INDIRECT("'"&amp;$A169&amp;"'!$C$2:$C$501"),"Yes"),0)))</f>
        <v/>
      </c>
      <c r="AN169" s="30" t="str">
        <f aca="false">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30" t="str">
        <f aca="false">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30" t="str">
        <f aca="true">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30" t="str">
        <f aca="true">IF(OR($A169="",$I169=""),"",IF($BC169="Y",SUMIFS(survey_frozen!$E$2:$E$251,survey_frozen!$P$2:$P$251,$A169&amp;"|"&amp;$B169),IFERROR(COUNTIFS(INDIRECT("'"&amp;$A169&amp;"'!$B$2:$B$501"),$T169,INDIRECT("'"&amp;$A169&amp;"'!$A$2:$A$501"),"&gt;="&amp;$I169,INDIRECT("'"&amp;$A169&amp;"'!$A$2:$A$501"),"&lt;"&amp;($BA169+1),INDIRECT("'"&amp;$A169&amp;"'!$F$2:$F$501"),"Didn't see it"),0)))</f>
        <v/>
      </c>
      <c r="AR169" s="30" t="str">
        <f aca="true">IF(OR($A169="",$I169=""),"",IF($BC169="Y",SUMIFS(survey_frozen!$F$2:$F$251,survey_frozen!$P$2:$P$251,$A169&amp;"|"&amp;$B169),IFERROR(COUNTIFS(INDIRECT("'"&amp;$A169&amp;"'!$B$2:$B$501"),$T169,INDIRECT("'"&amp;$A169&amp;"'!$A$2:$A$501"),"&gt;="&amp;$I169,INDIRECT("'"&amp;$A169&amp;"'!$A$2:$A$501"),"&lt;"&amp;($BA169+1),INDIRECT("'"&amp;$A169&amp;"'!$F$2:$F$501"),"Not for me"),0)))</f>
        <v/>
      </c>
      <c r="AS169" s="30" t="str">
        <f aca="true">IF(OR($A169="",$I169=""),"",IF($BC169="Y",SUMIFS(survey_frozen!$G$2:$G$251,survey_frozen!$P$2:$P$251,$A169&amp;"|"&amp;$B169),IFERROR(COUNTIFS(INDIRECT("'"&amp;$A169&amp;"'!$B$2:$B$501"),$T169,INDIRECT("'"&amp;$A169&amp;"'!$A$2:$A$501"),"&gt;="&amp;$I169,INDIRECT("'"&amp;$A169&amp;"'!$A$2:$A$501"),"&lt;"&amp;($BA169+1),INDIRECT("'"&amp;$A169&amp;"'!$F$2:$F$501"),"Gone by the time I looked"),0)))</f>
        <v/>
      </c>
      <c r="AT169" s="30" t="str">
        <f aca="true">IF(OR($A169="",$I169=""),"",IF($BC169="Y",SUMIFS(survey_frozen!$H$2:$H$251,survey_frozen!$P$2:$P$251,$A169&amp;"|"&amp;$B169),IFERROR(COUNTIFS(INDIRECT("'"&amp;$A169&amp;"'!$B$2:$B$501"),$T169,INDIRECT("'"&amp;$A169&amp;"'!$A$2:$A$501"),"&gt;="&amp;$I169,INDIRECT("'"&amp;$A169&amp;"'!$A$2:$A$501"),"&lt;"&amp;($BA169+1),INDIRECT("'"&amp;$A169&amp;"'!$D$2:$D$501"),"&gt;=1"),0)))</f>
        <v/>
      </c>
      <c r="AU169" s="30" t="str">
        <f aca="true">IF(OR($A169="",$I169=""),"",IF($BC169="Y",SUMIFS(survey_frozen!$I$2:$I$251,survey_frozen!$P$2:$P$251,$A169&amp;"|"&amp;$B169),IFERROR(SUMIFS(INDIRECT("'"&amp;$A169&amp;"'!$D$2:$D$501"),INDIRECT("'"&amp;$A169&amp;"'!$B$2:$B$501"),$T169,INDIRECT("'"&amp;$A169&amp;"'!$A$2:$A$501"),"&gt;="&amp;$I169,INDIRECT("'"&amp;$A169&amp;"'!$A$2:$A$501"),"&lt;"&amp;($BA169+1)),0)))</f>
        <v/>
      </c>
      <c r="AV169" s="30" t="str">
        <f aca="true">IF(OR($A169="",$I169=""),"",IF($BC169="Y",SUMIFS(survey_frozen!$J$2:$J$251,survey_frozen!$P$2:$P$251,$A169&amp;"|"&amp;$B169),IFERROR(COUNTIFS(INDIRECT("'"&amp;$A169&amp;"'!$B$2:$B$501"),$T169,INDIRECT("'"&amp;$A169&amp;"'!$A$2:$A$501"),"&gt;="&amp;$I169,INDIRECT("'"&amp;$A169&amp;"'!$A$2:$A$501"),"&lt;"&amp;($BA169+1),INDIRECT("'"&amp;$A169&amp;"'!$E$2:$E$501"),"Yes"),0)))</f>
        <v/>
      </c>
      <c r="AW169" s="30" t="str">
        <f aca="true">IF(OR($A169="",$I169=""),"",IF($BC169="Y",SUMIFS(survey_frozen!$K$2:$K$251,survey_frozen!$P$2:$P$251,$A169&amp;"|"&amp;$B169),IFERROR(COUNTIFS(INDIRECT("'"&amp;$A169&amp;"'!$B$2:$B$501"),$T169,INDIRECT("'"&amp;$A169&amp;"'!$A$2:$A$501"),"&gt;="&amp;$I169,INDIRECT("'"&amp;$A169&amp;"'!$A$2:$A$501"),"&lt;"&amp;($BA169+1),INDIRECT("'"&amp;$A169&amp;"'!$E$2:$E$501"),"Maybe"),0)))</f>
        <v/>
      </c>
      <c r="AX169" s="30" t="str">
        <f aca="true">IF(OR($A169="",$I169=""),"",IF($BC169="Y",SUMIFS(survey_frozen!$L$2:$L$251,survey_frozen!$P$2:$P$251,$A169&amp;"|"&amp;$B169),IFERROR(COUNTIFS(INDIRECT("'"&amp;$A169&amp;"'!$B$2:$B$501"),$T169,INDIRECT("'"&amp;$A169&amp;"'!$A$2:$A$501"),"&gt;="&amp;$I169,INDIRECT("'"&amp;$A169&amp;"'!$A$2:$A$501"),"&lt;"&amp;($BA169+1),INDIRECT("'"&amp;$A169&amp;"'!$E$2:$E$501"),"No"),0)))</f>
        <v/>
      </c>
      <c r="AY169" s="30" t="str">
        <f aca="true">IF(OR($A169="",$I169=""),"",IF($BC169="Y",SUMIFS(survey_frozen!$M$2:$M$251,survey_frozen!$P$2:$P$251,$A169&amp;"|"&amp;$B169),IFERROR(COUNTIFS(INDIRECT("'"&amp;$A169&amp;"'!$B$2:$B$501"),$T169,INDIRECT("'"&amp;$A169&amp;"'!$A$2:$A$501"),"&gt;="&amp;$I169,INDIRECT("'"&amp;$A169&amp;"'!$A$2:$A$501"),"&lt;"&amp;($BA169+1),INDIRECT("'"&amp;$A169&amp;"'!$G$2:$G$501"),"&lt;&gt;"),0)))</f>
        <v/>
      </c>
      <c r="AZ169" s="30" t="str">
        <f aca="false">IF($A169="","",$A169&amp;"|"&amp;$L169)</f>
        <v/>
      </c>
      <c r="BA169" s="31" t="str">
        <f aca="false">IF($A169="","",IFERROR(IF(INDEX(drops!$R$2:$R$21,MATCH($H169,drops!$A$2:$A$21,0))="","",INDEX(drops!$R$2:$R$21,MATCH($H169,drops!$A$2:$A$21,0))),""))</f>
        <v/>
      </c>
      <c r="BB169" s="30" t="n">
        <f aca="false">IF(OR($A169="",$Q169&lt;&gt;"Y"),1000000,N($AL169))</f>
        <v>1000000</v>
      </c>
      <c r="BC169" s="30" t="str">
        <f aca="false">IF($A169="","",IF(COUNTIF(survey_frozen!$P$2:$P$251,$A169&amp;"|"&amp;$B169)&gt;0,"Y",""))</f>
        <v/>
      </c>
      <c r="BD169" s="30" t="str">
        <f aca="false">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ustomFormat="false" ht="15" hidden="false" customHeight="false" outlineLevel="0" collapsed="false">
      <c r="C170" s="11"/>
      <c r="D170" s="10"/>
      <c r="E170" s="11"/>
      <c r="H170" s="30" t="str">
        <f aca="false">IF($A170="","",IFERROR(IF(INDEX(campaigns!$B$2:$B$51,MATCH($A170,campaigns!$A$2:$A$51,0))="","",INDEX(campaigns!$B$2:$B$51,MATCH($A170,campaigns!$A$2:$A$51,0))),""))</f>
        <v/>
      </c>
      <c r="I170" s="31" t="str">
        <f aca="false">IF($A170="","",IFERROR(IF(INDEX(campaigns!$BG$2:$BG$51,MATCH($A170,campaigns!$A$2:$A$51,0))="","",INDEX(campaigns!$BG$2:$BG$51,MATCH($A170,campaigns!$A$2:$A$51,0))),""))</f>
        <v/>
      </c>
      <c r="J170" s="30" t="str">
        <f aca="false">IF($A170="","",IFERROR(IF(INDEX(campaigns!$BE$2:$BE$51,MATCH($A170,campaigns!$A$2:$A$51,0))="","",INDEX(campaigns!$BE$2:$BE$51,MATCH($A170,campaigns!$A$2:$A$51,0))),""))</f>
        <v/>
      </c>
      <c r="K170" s="30" t="str">
        <f aca="false">IF($B170="","",IFERROR(IF(INDEX(offices!$O$2:$O$61,MATCH($B170,offices!$A$2:$A$61,0))="","",INDEX(offices!$O$2:$O$61,MATCH($B170,offices!$A$2:$A$61,0))),""))</f>
        <v/>
      </c>
      <c r="L170" s="30" t="str">
        <f aca="false">IF($A170="","",IF($Q170="N","",COUNTIFS($A$2:$A170,$A170,$Q$2:$Q170,"&lt;&gt;N")))</f>
        <v/>
      </c>
      <c r="M170" s="30" t="str">
        <f aca="false">IF(OR($A170="",$L170=""),"",IF(AND(config!$B$34="names_if_public",IFERROR(IF(INDEX(offices!$AG$2:$AG$61,MATCH($B170,offices!$A$2:$A$61,0))="","",INDEX(offices!$AG$2:$AG$61,MATCH($B170,offices!$A$2:$A$61,0))),"")="Y"),$K170,CHAR(64+$L170)))</f>
        <v/>
      </c>
      <c r="N170" s="30" t="str">
        <f aca="false">IF(OR($A170="",$I170=""),"",COUNTIFS(stops!$B$2:$B$151,$B170,stops!$P$2:$P$151,"&lt;"&amp;$I170,stops!$L$2:$L$151,"&lt;&gt;not_delivered")+1)</f>
        <v/>
      </c>
      <c r="O170" s="30" t="str">
        <f aca="false">IF($A170="","",IF(N($N170)&lt;=config!$B$29,"explicit","opt-out"))</f>
        <v/>
      </c>
      <c r="P170" s="30" t="str">
        <f aca="false">IF($A170="","",IF($O170="explicit",IF($D170="yes","Y",IF($D170="no","N","pending")),IF($D170="no","N",IF(AND($C170&lt;&gt;"",$I170&lt;&gt;"",$C170&lt;=WORKDAY(N($I170),-5,calendar!$A$2:$A$80)),"Y","pending"))))</f>
        <v/>
      </c>
      <c r="Q170" s="30" t="str">
        <f aca="false">IF($A170="","",IF($P170="N","N",IF($P170&lt;&gt;"Y","pending",IF(AND((COUNTIFS(stops!$A$2:$A$151,$H170,stops!$B$2:$B$151,$B170,stops!$L$2:$L$151,"declined")+COUNTIFS(stops!$A$2:$A$151,$H170,stops!$B$2:$B$151,$B170,stops!$L$2:$L$151,"building_refused")+COUNTIFS(stops!$A$2:$A$151,$H170,stops!$B$2:$B$151,$B170,stops!$L$2:$L$151,"not_delivered"))&gt;0,N($U170)=0),"N","Y"))))</f>
        <v/>
      </c>
      <c r="R170" s="30" t="str">
        <f aca="false">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30" t="str">
        <f aca="false">IF($A170="","",IF($G170&lt;&gt;"",$G170,IFERROR(IF(INDEX(offices!$AM$2:$AM$61,MATCH($B170,offices!$A$2:$A$61,0))="","",INDEX(offices!$AM$2:$AM$61,MATCH($B170,offices!$A$2:$A$61,0))),"")))</f>
        <v/>
      </c>
      <c r="T170" s="30" t="str">
        <f aca="false">IF($A170="","",$A170&amp;"."&amp;$B170)</f>
        <v/>
      </c>
      <c r="U170" s="30" t="str">
        <f aca="false">IF($A170="","",SUMIFS(inventory!$G$2:$G$801,inventory!$C$2:$C$801,$A170,inventory!$D$2:$D$801,$B170,inventory!$E$2:$E$801,"delivered"))</f>
        <v/>
      </c>
      <c r="V170" s="37" t="str">
        <f aca="false">IF($A170="","",IFERROR(1/(1/SUMPRODUCT(MAX((inventory!$C$2:$C$801=$A170)*(inventory!$D$2:$D$801=$B170)*(inventory!$E$2:$E$801="delivered")*(inventory!$A$2:$A$801+inventory!$B$2:$B$801)))),""))</f>
        <v/>
      </c>
      <c r="W170" s="30" t="str">
        <f aca="false">IF($A170="","",IFERROR(IF(INDEX(inventory!$J$2:$J$801,MATCH($A170&amp;"|"&amp;$B170&amp;"|delivered",inventory!$R$2:$R$801,0))="","",INDEX(inventory!$J$2:$J$801,MATCH($A170&amp;"|"&amp;$B170&amp;"|delivered",inventory!$R$2:$R$801,0))),""))</f>
        <v/>
      </c>
      <c r="X170" s="30" t="str">
        <f aca="false">IF($A170="","",IFERROR(IF(INDEX(photos!$H$2:$H$701,MATCH($A170&amp;"|"&amp;$B170&amp;"|placement|Y",photos!$R$2:$R$701,0))="","",INDEX(photos!$H$2:$H$701,MATCH($A170&amp;"|"&amp;$B170&amp;"|placement|Y",photos!$R$2:$R$701,0))),""))</f>
        <v/>
      </c>
      <c r="Y170" s="31" t="str">
        <f aca="false">IF($A170="","",IFERROR(IF(INDEX(photos!$E$2:$E$701,MATCH($A170&amp;"|"&amp;$B170&amp;"|placement|Y",photos!$R$2:$R$701,0))="","",INDEX(photos!$E$2:$E$701,MATCH($A170&amp;"|"&amp;$B170&amp;"|placement|Y",photos!$R$2:$R$701,0))),""))</f>
        <v/>
      </c>
      <c r="Z170" s="30" t="str">
        <f aca="false">IF($A170="","",IF(COUNTIFS(counts!$C$2:$C$701,$A170,counts!$D$2:$D$701,$B170,counts!$E$2:$E$701,"placed")=0,"",SUMIFS(counts!$F$2:$F$701,counts!$C$2:$C$701,$A170,counts!$D$2:$D$701,$B170,counts!$E$2:$E$701,"placed")))</f>
        <v/>
      </c>
      <c r="AA170" s="30" t="str">
        <f aca="false">IF($A170="","",IF($Y170="",0,N($Z170)))</f>
        <v/>
      </c>
      <c r="AB170" s="30" t="str">
        <f aca="false">IF($A170="","",IF(OR($Y170="",$I170=""),"N",IF($Y170&lt;=WORKDAY(N($I170),1,calendar!$A$2:$A$80),"Y","N")))</f>
        <v/>
      </c>
      <c r="AC170" s="33" t="str">
        <f aca="false">IF(OR($A170="",$V170="",$Y170=""),"",ROUND(($Y170+N(IFERROR(IF(INDEX(photos!$F$2:$F$701,MATCH($A170&amp;"|"&amp;$B170&amp;"|placement|Y",photos!$R$2:$R$701,0))="","",INDEX(photos!$F$2:$F$701,MATCH($A170&amp;"|"&amp;$B170&amp;"|placement|Y",photos!$R$2:$R$701,0))),""))-$V170)*24,1))</f>
        <v/>
      </c>
      <c r="AD170" s="30" t="str">
        <f aca="false">IF($A170="","",SUMIFS(inventory!$G$2:$G$801,inventory!$C$2:$C$801,$A170,inventory!$D$2:$D$801,$B170,inventory!$E$2:$E$801,"topped_up"))</f>
        <v/>
      </c>
      <c r="AE170" s="30" t="str">
        <f aca="false">IF($A170="","",IF(COUNTIFS(counts!$C$2:$C$701,$A170,counts!$D$2:$D$701,$B170,counts!$E$2:$E$701,"remaining_day3")=0,"",SUMIFS(counts!$F$2:$F$701,counts!$C$2:$C$701,$A170,counts!$D$2:$D$701,$B170,counts!$E$2:$E$701,"remaining_day3")))</f>
        <v/>
      </c>
      <c r="AF170" s="30" t="str">
        <f aca="false">IF($A170="","",IF(COUNTIFS(counts!$C$2:$C$701,$A170,counts!$D$2:$D$701,$B170,counts!$E$2:$E$701,"remaining_day5")=0,"",SUMIFS(counts!$F$2:$F$701,counts!$C$2:$C$701,$A170,counts!$D$2:$D$701,$B170,counts!$E$2:$E$701,"remaining_day5")))</f>
        <v/>
      </c>
      <c r="AG170" s="30" t="str">
        <f aca="false">IF(OR($A170="",$AF170=""),"",MAX(0,$AA170+$AD170-$AF170))</f>
        <v/>
      </c>
      <c r="AH170" s="30" t="str">
        <f aca="false">IF(OR($A170="",$AI170=""),"",IFERROR(IF(INDEX(photos!$H$2:$H$701,MATCH($A170&amp;"|"&amp;$B170&amp;"|later|Y|"&amp;$AI170,photos!$S$2:$S$701,0))="","",INDEX(photos!$H$2:$H$701,MATCH($A170&amp;"|"&amp;$B170&amp;"|later|Y|"&amp;$AI170,photos!$S$2:$S$701,0))),""))</f>
        <v/>
      </c>
      <c r="AI170" s="31" t="str">
        <f aca="false">IF($A170="","",IFERROR(1/(1/SUMPRODUCT(MAX((photos!$B$2:$B$701=$A170)*(photos!$C$2:$C$701=$B170)*(photos!$D$2:$D$701="later")*(photos!$O$2:$O$701="Y")*photos!$E$2:$E$701))),""))</f>
        <v/>
      </c>
      <c r="AJ170" s="30" t="str">
        <f aca="false">IF(OR($A170="",$AI170="",$I170=""),"",NETWORKDAYS($I170,$AI170,calendar!$A$2:$A$80))</f>
        <v/>
      </c>
      <c r="AK170" s="30" t="str">
        <f aca="false">IF($A170="","",IF(AND($X170&lt;&gt;"",$AH170&lt;&gt;""),"Y","N"))</f>
        <v/>
      </c>
      <c r="AL170" s="30" t="str">
        <f aca="true">IF(OR($A170="",$I170=""),"",IF($BC170="Y",SUMIFS(survey_frozen!$C$2:$C$251,survey_frozen!$P$2:$P$251,$A170&amp;"|"&amp;$B170),IFERROR(COUNTIFS(INDIRECT("'"&amp;$A170&amp;"'!$B$2:$B$501"),$T170,INDIRECT("'"&amp;$A170&amp;"'!$A$2:$A$501"),"&gt;="&amp;$I170,INDIRECT("'"&amp;$A170&amp;"'!$A$2:$A$501"),"&lt;"&amp;($BA170+1)),0)))</f>
        <v/>
      </c>
      <c r="AM170" s="30" t="str">
        <f aca="true">IF(OR($A170="",$I170=""),"",IF($BC170="Y",SUMIFS(survey_frozen!$D$2:$D$251,survey_frozen!$P$2:$P$251,$A170&amp;"|"&amp;$B170),IFERROR(COUNTIFS(INDIRECT("'"&amp;$A170&amp;"'!$B$2:$B$501"),$T170,INDIRECT("'"&amp;$A170&amp;"'!$A$2:$A$501"),"&gt;="&amp;$I170,INDIRECT("'"&amp;$A170&amp;"'!$A$2:$A$501"),"&lt;"&amp;($BA170+1),INDIRECT("'"&amp;$A170&amp;"'!$C$2:$C$501"),"Yes"),0)))</f>
        <v/>
      </c>
      <c r="AN170" s="30" t="str">
        <f aca="false">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30" t="str">
        <f aca="false">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30" t="str">
        <f aca="true">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30" t="str">
        <f aca="true">IF(OR($A170="",$I170=""),"",IF($BC170="Y",SUMIFS(survey_frozen!$E$2:$E$251,survey_frozen!$P$2:$P$251,$A170&amp;"|"&amp;$B170),IFERROR(COUNTIFS(INDIRECT("'"&amp;$A170&amp;"'!$B$2:$B$501"),$T170,INDIRECT("'"&amp;$A170&amp;"'!$A$2:$A$501"),"&gt;="&amp;$I170,INDIRECT("'"&amp;$A170&amp;"'!$A$2:$A$501"),"&lt;"&amp;($BA170+1),INDIRECT("'"&amp;$A170&amp;"'!$F$2:$F$501"),"Didn't see it"),0)))</f>
        <v/>
      </c>
      <c r="AR170" s="30" t="str">
        <f aca="true">IF(OR($A170="",$I170=""),"",IF($BC170="Y",SUMIFS(survey_frozen!$F$2:$F$251,survey_frozen!$P$2:$P$251,$A170&amp;"|"&amp;$B170),IFERROR(COUNTIFS(INDIRECT("'"&amp;$A170&amp;"'!$B$2:$B$501"),$T170,INDIRECT("'"&amp;$A170&amp;"'!$A$2:$A$501"),"&gt;="&amp;$I170,INDIRECT("'"&amp;$A170&amp;"'!$A$2:$A$501"),"&lt;"&amp;($BA170+1),INDIRECT("'"&amp;$A170&amp;"'!$F$2:$F$501"),"Not for me"),0)))</f>
        <v/>
      </c>
      <c r="AS170" s="30" t="str">
        <f aca="true">IF(OR($A170="",$I170=""),"",IF($BC170="Y",SUMIFS(survey_frozen!$G$2:$G$251,survey_frozen!$P$2:$P$251,$A170&amp;"|"&amp;$B170),IFERROR(COUNTIFS(INDIRECT("'"&amp;$A170&amp;"'!$B$2:$B$501"),$T170,INDIRECT("'"&amp;$A170&amp;"'!$A$2:$A$501"),"&gt;="&amp;$I170,INDIRECT("'"&amp;$A170&amp;"'!$A$2:$A$501"),"&lt;"&amp;($BA170+1),INDIRECT("'"&amp;$A170&amp;"'!$F$2:$F$501"),"Gone by the time I looked"),0)))</f>
        <v/>
      </c>
      <c r="AT170" s="30" t="str">
        <f aca="true">IF(OR($A170="",$I170=""),"",IF($BC170="Y",SUMIFS(survey_frozen!$H$2:$H$251,survey_frozen!$P$2:$P$251,$A170&amp;"|"&amp;$B170),IFERROR(COUNTIFS(INDIRECT("'"&amp;$A170&amp;"'!$B$2:$B$501"),$T170,INDIRECT("'"&amp;$A170&amp;"'!$A$2:$A$501"),"&gt;="&amp;$I170,INDIRECT("'"&amp;$A170&amp;"'!$A$2:$A$501"),"&lt;"&amp;($BA170+1),INDIRECT("'"&amp;$A170&amp;"'!$D$2:$D$501"),"&gt;=1"),0)))</f>
        <v/>
      </c>
      <c r="AU170" s="30" t="str">
        <f aca="true">IF(OR($A170="",$I170=""),"",IF($BC170="Y",SUMIFS(survey_frozen!$I$2:$I$251,survey_frozen!$P$2:$P$251,$A170&amp;"|"&amp;$B170),IFERROR(SUMIFS(INDIRECT("'"&amp;$A170&amp;"'!$D$2:$D$501"),INDIRECT("'"&amp;$A170&amp;"'!$B$2:$B$501"),$T170,INDIRECT("'"&amp;$A170&amp;"'!$A$2:$A$501"),"&gt;="&amp;$I170,INDIRECT("'"&amp;$A170&amp;"'!$A$2:$A$501"),"&lt;"&amp;($BA170+1)),0)))</f>
        <v/>
      </c>
      <c r="AV170" s="30" t="str">
        <f aca="true">IF(OR($A170="",$I170=""),"",IF($BC170="Y",SUMIFS(survey_frozen!$J$2:$J$251,survey_frozen!$P$2:$P$251,$A170&amp;"|"&amp;$B170),IFERROR(COUNTIFS(INDIRECT("'"&amp;$A170&amp;"'!$B$2:$B$501"),$T170,INDIRECT("'"&amp;$A170&amp;"'!$A$2:$A$501"),"&gt;="&amp;$I170,INDIRECT("'"&amp;$A170&amp;"'!$A$2:$A$501"),"&lt;"&amp;($BA170+1),INDIRECT("'"&amp;$A170&amp;"'!$E$2:$E$501"),"Yes"),0)))</f>
        <v/>
      </c>
      <c r="AW170" s="30" t="str">
        <f aca="true">IF(OR($A170="",$I170=""),"",IF($BC170="Y",SUMIFS(survey_frozen!$K$2:$K$251,survey_frozen!$P$2:$P$251,$A170&amp;"|"&amp;$B170),IFERROR(COUNTIFS(INDIRECT("'"&amp;$A170&amp;"'!$B$2:$B$501"),$T170,INDIRECT("'"&amp;$A170&amp;"'!$A$2:$A$501"),"&gt;="&amp;$I170,INDIRECT("'"&amp;$A170&amp;"'!$A$2:$A$501"),"&lt;"&amp;($BA170+1),INDIRECT("'"&amp;$A170&amp;"'!$E$2:$E$501"),"Maybe"),0)))</f>
        <v/>
      </c>
      <c r="AX170" s="30" t="str">
        <f aca="true">IF(OR($A170="",$I170=""),"",IF($BC170="Y",SUMIFS(survey_frozen!$L$2:$L$251,survey_frozen!$P$2:$P$251,$A170&amp;"|"&amp;$B170),IFERROR(COUNTIFS(INDIRECT("'"&amp;$A170&amp;"'!$B$2:$B$501"),$T170,INDIRECT("'"&amp;$A170&amp;"'!$A$2:$A$501"),"&gt;="&amp;$I170,INDIRECT("'"&amp;$A170&amp;"'!$A$2:$A$501"),"&lt;"&amp;($BA170+1),INDIRECT("'"&amp;$A170&amp;"'!$E$2:$E$501"),"No"),0)))</f>
        <v/>
      </c>
      <c r="AY170" s="30" t="str">
        <f aca="true">IF(OR($A170="",$I170=""),"",IF($BC170="Y",SUMIFS(survey_frozen!$M$2:$M$251,survey_frozen!$P$2:$P$251,$A170&amp;"|"&amp;$B170),IFERROR(COUNTIFS(INDIRECT("'"&amp;$A170&amp;"'!$B$2:$B$501"),$T170,INDIRECT("'"&amp;$A170&amp;"'!$A$2:$A$501"),"&gt;="&amp;$I170,INDIRECT("'"&amp;$A170&amp;"'!$A$2:$A$501"),"&lt;"&amp;($BA170+1),INDIRECT("'"&amp;$A170&amp;"'!$G$2:$G$501"),"&lt;&gt;"),0)))</f>
        <v/>
      </c>
      <c r="AZ170" s="30" t="str">
        <f aca="false">IF($A170="","",$A170&amp;"|"&amp;$L170)</f>
        <v/>
      </c>
      <c r="BA170" s="31" t="str">
        <f aca="false">IF($A170="","",IFERROR(IF(INDEX(drops!$R$2:$R$21,MATCH($H170,drops!$A$2:$A$21,0))="","",INDEX(drops!$R$2:$R$21,MATCH($H170,drops!$A$2:$A$21,0))),""))</f>
        <v/>
      </c>
      <c r="BB170" s="30" t="n">
        <f aca="false">IF(OR($A170="",$Q170&lt;&gt;"Y"),1000000,N($AL170))</f>
        <v>1000000</v>
      </c>
      <c r="BC170" s="30" t="str">
        <f aca="false">IF($A170="","",IF(COUNTIF(survey_frozen!$P$2:$P$251,$A170&amp;"|"&amp;$B170)&gt;0,"Y",""))</f>
        <v/>
      </c>
      <c r="BD170" s="30" t="str">
        <f aca="false">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ustomFormat="false" ht="15" hidden="false" customHeight="false" outlineLevel="0" collapsed="false">
      <c r="C171" s="11"/>
      <c r="D171" s="10"/>
      <c r="E171" s="11"/>
      <c r="H171" s="30" t="str">
        <f aca="false">IF($A171="","",IFERROR(IF(INDEX(campaigns!$B$2:$B$51,MATCH($A171,campaigns!$A$2:$A$51,0))="","",INDEX(campaigns!$B$2:$B$51,MATCH($A171,campaigns!$A$2:$A$51,0))),""))</f>
        <v/>
      </c>
      <c r="I171" s="31" t="str">
        <f aca="false">IF($A171="","",IFERROR(IF(INDEX(campaigns!$BG$2:$BG$51,MATCH($A171,campaigns!$A$2:$A$51,0))="","",INDEX(campaigns!$BG$2:$BG$51,MATCH($A171,campaigns!$A$2:$A$51,0))),""))</f>
        <v/>
      </c>
      <c r="J171" s="30" t="str">
        <f aca="false">IF($A171="","",IFERROR(IF(INDEX(campaigns!$BE$2:$BE$51,MATCH($A171,campaigns!$A$2:$A$51,0))="","",INDEX(campaigns!$BE$2:$BE$51,MATCH($A171,campaigns!$A$2:$A$51,0))),""))</f>
        <v/>
      </c>
      <c r="K171" s="30" t="str">
        <f aca="false">IF($B171="","",IFERROR(IF(INDEX(offices!$O$2:$O$61,MATCH($B171,offices!$A$2:$A$61,0))="","",INDEX(offices!$O$2:$O$61,MATCH($B171,offices!$A$2:$A$61,0))),""))</f>
        <v/>
      </c>
      <c r="L171" s="30" t="str">
        <f aca="false">IF($A171="","",IF($Q171="N","",COUNTIFS($A$2:$A171,$A171,$Q$2:$Q171,"&lt;&gt;N")))</f>
        <v/>
      </c>
      <c r="M171" s="30" t="str">
        <f aca="false">IF(OR($A171="",$L171=""),"",IF(AND(config!$B$34="names_if_public",IFERROR(IF(INDEX(offices!$AG$2:$AG$61,MATCH($B171,offices!$A$2:$A$61,0))="","",INDEX(offices!$AG$2:$AG$61,MATCH($B171,offices!$A$2:$A$61,0))),"")="Y"),$K171,CHAR(64+$L171)))</f>
        <v/>
      </c>
      <c r="N171" s="30" t="str">
        <f aca="false">IF(OR($A171="",$I171=""),"",COUNTIFS(stops!$B$2:$B$151,$B171,stops!$P$2:$P$151,"&lt;"&amp;$I171,stops!$L$2:$L$151,"&lt;&gt;not_delivered")+1)</f>
        <v/>
      </c>
      <c r="O171" s="30" t="str">
        <f aca="false">IF($A171="","",IF(N($N171)&lt;=config!$B$29,"explicit","opt-out"))</f>
        <v/>
      </c>
      <c r="P171" s="30" t="str">
        <f aca="false">IF($A171="","",IF($O171="explicit",IF($D171="yes","Y",IF($D171="no","N","pending")),IF($D171="no","N",IF(AND($C171&lt;&gt;"",$I171&lt;&gt;"",$C171&lt;=WORKDAY(N($I171),-5,calendar!$A$2:$A$80)),"Y","pending"))))</f>
        <v/>
      </c>
      <c r="Q171" s="30" t="str">
        <f aca="false">IF($A171="","",IF($P171="N","N",IF($P171&lt;&gt;"Y","pending",IF(AND((COUNTIFS(stops!$A$2:$A$151,$H171,stops!$B$2:$B$151,$B171,stops!$L$2:$L$151,"declined")+COUNTIFS(stops!$A$2:$A$151,$H171,stops!$B$2:$B$151,$B171,stops!$L$2:$L$151,"building_refused")+COUNTIFS(stops!$A$2:$A$151,$H171,stops!$B$2:$B$151,$B171,stops!$L$2:$L$151,"not_delivered"))&gt;0,N($U171)=0),"N","Y"))))</f>
        <v/>
      </c>
      <c r="R171" s="30" t="str">
        <f aca="false">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30" t="str">
        <f aca="false">IF($A171="","",IF($G171&lt;&gt;"",$G171,IFERROR(IF(INDEX(offices!$AM$2:$AM$61,MATCH($B171,offices!$A$2:$A$61,0))="","",INDEX(offices!$AM$2:$AM$61,MATCH($B171,offices!$A$2:$A$61,0))),"")))</f>
        <v/>
      </c>
      <c r="T171" s="30" t="str">
        <f aca="false">IF($A171="","",$A171&amp;"."&amp;$B171)</f>
        <v/>
      </c>
      <c r="U171" s="30" t="str">
        <f aca="false">IF($A171="","",SUMIFS(inventory!$G$2:$G$801,inventory!$C$2:$C$801,$A171,inventory!$D$2:$D$801,$B171,inventory!$E$2:$E$801,"delivered"))</f>
        <v/>
      </c>
      <c r="V171" s="37" t="str">
        <f aca="false">IF($A171="","",IFERROR(1/(1/SUMPRODUCT(MAX((inventory!$C$2:$C$801=$A171)*(inventory!$D$2:$D$801=$B171)*(inventory!$E$2:$E$801="delivered")*(inventory!$A$2:$A$801+inventory!$B$2:$B$801)))),""))</f>
        <v/>
      </c>
      <c r="W171" s="30" t="str">
        <f aca="false">IF($A171="","",IFERROR(IF(INDEX(inventory!$J$2:$J$801,MATCH($A171&amp;"|"&amp;$B171&amp;"|delivered",inventory!$R$2:$R$801,0))="","",INDEX(inventory!$J$2:$J$801,MATCH($A171&amp;"|"&amp;$B171&amp;"|delivered",inventory!$R$2:$R$801,0))),""))</f>
        <v/>
      </c>
      <c r="X171" s="30" t="str">
        <f aca="false">IF($A171="","",IFERROR(IF(INDEX(photos!$H$2:$H$701,MATCH($A171&amp;"|"&amp;$B171&amp;"|placement|Y",photos!$R$2:$R$701,0))="","",INDEX(photos!$H$2:$H$701,MATCH($A171&amp;"|"&amp;$B171&amp;"|placement|Y",photos!$R$2:$R$701,0))),""))</f>
        <v/>
      </c>
      <c r="Y171" s="31" t="str">
        <f aca="false">IF($A171="","",IFERROR(IF(INDEX(photos!$E$2:$E$701,MATCH($A171&amp;"|"&amp;$B171&amp;"|placement|Y",photos!$R$2:$R$701,0))="","",INDEX(photos!$E$2:$E$701,MATCH($A171&amp;"|"&amp;$B171&amp;"|placement|Y",photos!$R$2:$R$701,0))),""))</f>
        <v/>
      </c>
      <c r="Z171" s="30" t="str">
        <f aca="false">IF($A171="","",IF(COUNTIFS(counts!$C$2:$C$701,$A171,counts!$D$2:$D$701,$B171,counts!$E$2:$E$701,"placed")=0,"",SUMIFS(counts!$F$2:$F$701,counts!$C$2:$C$701,$A171,counts!$D$2:$D$701,$B171,counts!$E$2:$E$701,"placed")))</f>
        <v/>
      </c>
      <c r="AA171" s="30" t="str">
        <f aca="false">IF($A171="","",IF($Y171="",0,N($Z171)))</f>
        <v/>
      </c>
      <c r="AB171" s="30" t="str">
        <f aca="false">IF($A171="","",IF(OR($Y171="",$I171=""),"N",IF($Y171&lt;=WORKDAY(N($I171),1,calendar!$A$2:$A$80),"Y","N")))</f>
        <v/>
      </c>
      <c r="AC171" s="33" t="str">
        <f aca="false">IF(OR($A171="",$V171="",$Y171=""),"",ROUND(($Y171+N(IFERROR(IF(INDEX(photos!$F$2:$F$701,MATCH($A171&amp;"|"&amp;$B171&amp;"|placement|Y",photos!$R$2:$R$701,0))="","",INDEX(photos!$F$2:$F$701,MATCH($A171&amp;"|"&amp;$B171&amp;"|placement|Y",photos!$R$2:$R$701,0))),""))-$V171)*24,1))</f>
        <v/>
      </c>
      <c r="AD171" s="30" t="str">
        <f aca="false">IF($A171="","",SUMIFS(inventory!$G$2:$G$801,inventory!$C$2:$C$801,$A171,inventory!$D$2:$D$801,$B171,inventory!$E$2:$E$801,"topped_up"))</f>
        <v/>
      </c>
      <c r="AE171" s="30" t="str">
        <f aca="false">IF($A171="","",IF(COUNTIFS(counts!$C$2:$C$701,$A171,counts!$D$2:$D$701,$B171,counts!$E$2:$E$701,"remaining_day3")=0,"",SUMIFS(counts!$F$2:$F$701,counts!$C$2:$C$701,$A171,counts!$D$2:$D$701,$B171,counts!$E$2:$E$701,"remaining_day3")))</f>
        <v/>
      </c>
      <c r="AF171" s="30" t="str">
        <f aca="false">IF($A171="","",IF(COUNTIFS(counts!$C$2:$C$701,$A171,counts!$D$2:$D$701,$B171,counts!$E$2:$E$701,"remaining_day5")=0,"",SUMIFS(counts!$F$2:$F$701,counts!$C$2:$C$701,$A171,counts!$D$2:$D$701,$B171,counts!$E$2:$E$701,"remaining_day5")))</f>
        <v/>
      </c>
      <c r="AG171" s="30" t="str">
        <f aca="false">IF(OR($A171="",$AF171=""),"",MAX(0,$AA171+$AD171-$AF171))</f>
        <v/>
      </c>
      <c r="AH171" s="30" t="str">
        <f aca="false">IF(OR($A171="",$AI171=""),"",IFERROR(IF(INDEX(photos!$H$2:$H$701,MATCH($A171&amp;"|"&amp;$B171&amp;"|later|Y|"&amp;$AI171,photos!$S$2:$S$701,0))="","",INDEX(photos!$H$2:$H$701,MATCH($A171&amp;"|"&amp;$B171&amp;"|later|Y|"&amp;$AI171,photos!$S$2:$S$701,0))),""))</f>
        <v/>
      </c>
      <c r="AI171" s="31" t="str">
        <f aca="false">IF($A171="","",IFERROR(1/(1/SUMPRODUCT(MAX((photos!$B$2:$B$701=$A171)*(photos!$C$2:$C$701=$B171)*(photos!$D$2:$D$701="later")*(photos!$O$2:$O$701="Y")*photos!$E$2:$E$701))),""))</f>
        <v/>
      </c>
      <c r="AJ171" s="30" t="str">
        <f aca="false">IF(OR($A171="",$AI171="",$I171=""),"",NETWORKDAYS($I171,$AI171,calendar!$A$2:$A$80))</f>
        <v/>
      </c>
      <c r="AK171" s="30" t="str">
        <f aca="false">IF($A171="","",IF(AND($X171&lt;&gt;"",$AH171&lt;&gt;""),"Y","N"))</f>
        <v/>
      </c>
      <c r="AL171" s="30" t="str">
        <f aca="true">IF(OR($A171="",$I171=""),"",IF($BC171="Y",SUMIFS(survey_frozen!$C$2:$C$251,survey_frozen!$P$2:$P$251,$A171&amp;"|"&amp;$B171),IFERROR(COUNTIFS(INDIRECT("'"&amp;$A171&amp;"'!$B$2:$B$501"),$T171,INDIRECT("'"&amp;$A171&amp;"'!$A$2:$A$501"),"&gt;="&amp;$I171,INDIRECT("'"&amp;$A171&amp;"'!$A$2:$A$501"),"&lt;"&amp;($BA171+1)),0)))</f>
        <v/>
      </c>
      <c r="AM171" s="30" t="str">
        <f aca="true">IF(OR($A171="",$I171=""),"",IF($BC171="Y",SUMIFS(survey_frozen!$D$2:$D$251,survey_frozen!$P$2:$P$251,$A171&amp;"|"&amp;$B171),IFERROR(COUNTIFS(INDIRECT("'"&amp;$A171&amp;"'!$B$2:$B$501"),$T171,INDIRECT("'"&amp;$A171&amp;"'!$A$2:$A$501"),"&gt;="&amp;$I171,INDIRECT("'"&amp;$A171&amp;"'!$A$2:$A$501"),"&lt;"&amp;($BA171+1),INDIRECT("'"&amp;$A171&amp;"'!$C$2:$C$501"),"Yes"),0)))</f>
        <v/>
      </c>
      <c r="AN171" s="30" t="str">
        <f aca="false">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30" t="str">
        <f aca="false">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30" t="str">
        <f aca="true">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30" t="str">
        <f aca="true">IF(OR($A171="",$I171=""),"",IF($BC171="Y",SUMIFS(survey_frozen!$E$2:$E$251,survey_frozen!$P$2:$P$251,$A171&amp;"|"&amp;$B171),IFERROR(COUNTIFS(INDIRECT("'"&amp;$A171&amp;"'!$B$2:$B$501"),$T171,INDIRECT("'"&amp;$A171&amp;"'!$A$2:$A$501"),"&gt;="&amp;$I171,INDIRECT("'"&amp;$A171&amp;"'!$A$2:$A$501"),"&lt;"&amp;($BA171+1),INDIRECT("'"&amp;$A171&amp;"'!$F$2:$F$501"),"Didn't see it"),0)))</f>
        <v/>
      </c>
      <c r="AR171" s="30" t="str">
        <f aca="true">IF(OR($A171="",$I171=""),"",IF($BC171="Y",SUMIFS(survey_frozen!$F$2:$F$251,survey_frozen!$P$2:$P$251,$A171&amp;"|"&amp;$B171),IFERROR(COUNTIFS(INDIRECT("'"&amp;$A171&amp;"'!$B$2:$B$501"),$T171,INDIRECT("'"&amp;$A171&amp;"'!$A$2:$A$501"),"&gt;="&amp;$I171,INDIRECT("'"&amp;$A171&amp;"'!$A$2:$A$501"),"&lt;"&amp;($BA171+1),INDIRECT("'"&amp;$A171&amp;"'!$F$2:$F$501"),"Not for me"),0)))</f>
        <v/>
      </c>
      <c r="AS171" s="30" t="str">
        <f aca="true">IF(OR($A171="",$I171=""),"",IF($BC171="Y",SUMIFS(survey_frozen!$G$2:$G$251,survey_frozen!$P$2:$P$251,$A171&amp;"|"&amp;$B171),IFERROR(COUNTIFS(INDIRECT("'"&amp;$A171&amp;"'!$B$2:$B$501"),$T171,INDIRECT("'"&amp;$A171&amp;"'!$A$2:$A$501"),"&gt;="&amp;$I171,INDIRECT("'"&amp;$A171&amp;"'!$A$2:$A$501"),"&lt;"&amp;($BA171+1),INDIRECT("'"&amp;$A171&amp;"'!$F$2:$F$501"),"Gone by the time I looked"),0)))</f>
        <v/>
      </c>
      <c r="AT171" s="30" t="str">
        <f aca="true">IF(OR($A171="",$I171=""),"",IF($BC171="Y",SUMIFS(survey_frozen!$H$2:$H$251,survey_frozen!$P$2:$P$251,$A171&amp;"|"&amp;$B171),IFERROR(COUNTIFS(INDIRECT("'"&amp;$A171&amp;"'!$B$2:$B$501"),$T171,INDIRECT("'"&amp;$A171&amp;"'!$A$2:$A$501"),"&gt;="&amp;$I171,INDIRECT("'"&amp;$A171&amp;"'!$A$2:$A$501"),"&lt;"&amp;($BA171+1),INDIRECT("'"&amp;$A171&amp;"'!$D$2:$D$501"),"&gt;=1"),0)))</f>
        <v/>
      </c>
      <c r="AU171" s="30" t="str">
        <f aca="true">IF(OR($A171="",$I171=""),"",IF($BC171="Y",SUMIFS(survey_frozen!$I$2:$I$251,survey_frozen!$P$2:$P$251,$A171&amp;"|"&amp;$B171),IFERROR(SUMIFS(INDIRECT("'"&amp;$A171&amp;"'!$D$2:$D$501"),INDIRECT("'"&amp;$A171&amp;"'!$B$2:$B$501"),$T171,INDIRECT("'"&amp;$A171&amp;"'!$A$2:$A$501"),"&gt;="&amp;$I171,INDIRECT("'"&amp;$A171&amp;"'!$A$2:$A$501"),"&lt;"&amp;($BA171+1)),0)))</f>
        <v/>
      </c>
      <c r="AV171" s="30" t="str">
        <f aca="true">IF(OR($A171="",$I171=""),"",IF($BC171="Y",SUMIFS(survey_frozen!$J$2:$J$251,survey_frozen!$P$2:$P$251,$A171&amp;"|"&amp;$B171),IFERROR(COUNTIFS(INDIRECT("'"&amp;$A171&amp;"'!$B$2:$B$501"),$T171,INDIRECT("'"&amp;$A171&amp;"'!$A$2:$A$501"),"&gt;="&amp;$I171,INDIRECT("'"&amp;$A171&amp;"'!$A$2:$A$501"),"&lt;"&amp;($BA171+1),INDIRECT("'"&amp;$A171&amp;"'!$E$2:$E$501"),"Yes"),0)))</f>
        <v/>
      </c>
      <c r="AW171" s="30" t="str">
        <f aca="true">IF(OR($A171="",$I171=""),"",IF($BC171="Y",SUMIFS(survey_frozen!$K$2:$K$251,survey_frozen!$P$2:$P$251,$A171&amp;"|"&amp;$B171),IFERROR(COUNTIFS(INDIRECT("'"&amp;$A171&amp;"'!$B$2:$B$501"),$T171,INDIRECT("'"&amp;$A171&amp;"'!$A$2:$A$501"),"&gt;="&amp;$I171,INDIRECT("'"&amp;$A171&amp;"'!$A$2:$A$501"),"&lt;"&amp;($BA171+1),INDIRECT("'"&amp;$A171&amp;"'!$E$2:$E$501"),"Maybe"),0)))</f>
        <v/>
      </c>
      <c r="AX171" s="30" t="str">
        <f aca="true">IF(OR($A171="",$I171=""),"",IF($BC171="Y",SUMIFS(survey_frozen!$L$2:$L$251,survey_frozen!$P$2:$P$251,$A171&amp;"|"&amp;$B171),IFERROR(COUNTIFS(INDIRECT("'"&amp;$A171&amp;"'!$B$2:$B$501"),$T171,INDIRECT("'"&amp;$A171&amp;"'!$A$2:$A$501"),"&gt;="&amp;$I171,INDIRECT("'"&amp;$A171&amp;"'!$A$2:$A$501"),"&lt;"&amp;($BA171+1),INDIRECT("'"&amp;$A171&amp;"'!$E$2:$E$501"),"No"),0)))</f>
        <v/>
      </c>
      <c r="AY171" s="30" t="str">
        <f aca="true">IF(OR($A171="",$I171=""),"",IF($BC171="Y",SUMIFS(survey_frozen!$M$2:$M$251,survey_frozen!$P$2:$P$251,$A171&amp;"|"&amp;$B171),IFERROR(COUNTIFS(INDIRECT("'"&amp;$A171&amp;"'!$B$2:$B$501"),$T171,INDIRECT("'"&amp;$A171&amp;"'!$A$2:$A$501"),"&gt;="&amp;$I171,INDIRECT("'"&amp;$A171&amp;"'!$A$2:$A$501"),"&lt;"&amp;($BA171+1),INDIRECT("'"&amp;$A171&amp;"'!$G$2:$G$501"),"&lt;&gt;"),0)))</f>
        <v/>
      </c>
      <c r="AZ171" s="30" t="str">
        <f aca="false">IF($A171="","",$A171&amp;"|"&amp;$L171)</f>
        <v/>
      </c>
      <c r="BA171" s="31" t="str">
        <f aca="false">IF($A171="","",IFERROR(IF(INDEX(drops!$R$2:$R$21,MATCH($H171,drops!$A$2:$A$21,0))="","",INDEX(drops!$R$2:$R$21,MATCH($H171,drops!$A$2:$A$21,0))),""))</f>
        <v/>
      </c>
      <c r="BB171" s="30" t="n">
        <f aca="false">IF(OR($A171="",$Q171&lt;&gt;"Y"),1000000,N($AL171))</f>
        <v>1000000</v>
      </c>
      <c r="BC171" s="30" t="str">
        <f aca="false">IF($A171="","",IF(COUNTIF(survey_frozen!$P$2:$P$251,$A171&amp;"|"&amp;$B171)&gt;0,"Y",""))</f>
        <v/>
      </c>
      <c r="BD171" s="30" t="str">
        <f aca="false">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ustomFormat="false" ht="15" hidden="false" customHeight="false" outlineLevel="0" collapsed="false">
      <c r="C172" s="11"/>
      <c r="D172" s="10"/>
      <c r="E172" s="11"/>
      <c r="H172" s="30" t="str">
        <f aca="false">IF($A172="","",IFERROR(IF(INDEX(campaigns!$B$2:$B$51,MATCH($A172,campaigns!$A$2:$A$51,0))="","",INDEX(campaigns!$B$2:$B$51,MATCH($A172,campaigns!$A$2:$A$51,0))),""))</f>
        <v/>
      </c>
      <c r="I172" s="31" t="str">
        <f aca="false">IF($A172="","",IFERROR(IF(INDEX(campaigns!$BG$2:$BG$51,MATCH($A172,campaigns!$A$2:$A$51,0))="","",INDEX(campaigns!$BG$2:$BG$51,MATCH($A172,campaigns!$A$2:$A$51,0))),""))</f>
        <v/>
      </c>
      <c r="J172" s="30" t="str">
        <f aca="false">IF($A172="","",IFERROR(IF(INDEX(campaigns!$BE$2:$BE$51,MATCH($A172,campaigns!$A$2:$A$51,0))="","",INDEX(campaigns!$BE$2:$BE$51,MATCH($A172,campaigns!$A$2:$A$51,0))),""))</f>
        <v/>
      </c>
      <c r="K172" s="30" t="str">
        <f aca="false">IF($B172="","",IFERROR(IF(INDEX(offices!$O$2:$O$61,MATCH($B172,offices!$A$2:$A$61,0))="","",INDEX(offices!$O$2:$O$61,MATCH($B172,offices!$A$2:$A$61,0))),""))</f>
        <v/>
      </c>
      <c r="L172" s="30" t="str">
        <f aca="false">IF($A172="","",IF($Q172="N","",COUNTIFS($A$2:$A172,$A172,$Q$2:$Q172,"&lt;&gt;N")))</f>
        <v/>
      </c>
      <c r="M172" s="30" t="str">
        <f aca="false">IF(OR($A172="",$L172=""),"",IF(AND(config!$B$34="names_if_public",IFERROR(IF(INDEX(offices!$AG$2:$AG$61,MATCH($B172,offices!$A$2:$A$61,0))="","",INDEX(offices!$AG$2:$AG$61,MATCH($B172,offices!$A$2:$A$61,0))),"")="Y"),$K172,CHAR(64+$L172)))</f>
        <v/>
      </c>
      <c r="N172" s="30" t="str">
        <f aca="false">IF(OR($A172="",$I172=""),"",COUNTIFS(stops!$B$2:$B$151,$B172,stops!$P$2:$P$151,"&lt;"&amp;$I172,stops!$L$2:$L$151,"&lt;&gt;not_delivered")+1)</f>
        <v/>
      </c>
      <c r="O172" s="30" t="str">
        <f aca="false">IF($A172="","",IF(N($N172)&lt;=config!$B$29,"explicit","opt-out"))</f>
        <v/>
      </c>
      <c r="P172" s="30" t="str">
        <f aca="false">IF($A172="","",IF($O172="explicit",IF($D172="yes","Y",IF($D172="no","N","pending")),IF($D172="no","N",IF(AND($C172&lt;&gt;"",$I172&lt;&gt;"",$C172&lt;=WORKDAY(N($I172),-5,calendar!$A$2:$A$80)),"Y","pending"))))</f>
        <v/>
      </c>
      <c r="Q172" s="30" t="str">
        <f aca="false">IF($A172="","",IF($P172="N","N",IF($P172&lt;&gt;"Y","pending",IF(AND((COUNTIFS(stops!$A$2:$A$151,$H172,stops!$B$2:$B$151,$B172,stops!$L$2:$L$151,"declined")+COUNTIFS(stops!$A$2:$A$151,$H172,stops!$B$2:$B$151,$B172,stops!$L$2:$L$151,"building_refused")+COUNTIFS(stops!$A$2:$A$151,$H172,stops!$B$2:$B$151,$B172,stops!$L$2:$L$151,"not_delivered"))&gt;0,N($U172)=0),"N","Y"))))</f>
        <v/>
      </c>
      <c r="R172" s="30" t="str">
        <f aca="false">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30" t="str">
        <f aca="false">IF($A172="","",IF($G172&lt;&gt;"",$G172,IFERROR(IF(INDEX(offices!$AM$2:$AM$61,MATCH($B172,offices!$A$2:$A$61,0))="","",INDEX(offices!$AM$2:$AM$61,MATCH($B172,offices!$A$2:$A$61,0))),"")))</f>
        <v/>
      </c>
      <c r="T172" s="30" t="str">
        <f aca="false">IF($A172="","",$A172&amp;"."&amp;$B172)</f>
        <v/>
      </c>
      <c r="U172" s="30" t="str">
        <f aca="false">IF($A172="","",SUMIFS(inventory!$G$2:$G$801,inventory!$C$2:$C$801,$A172,inventory!$D$2:$D$801,$B172,inventory!$E$2:$E$801,"delivered"))</f>
        <v/>
      </c>
      <c r="V172" s="37" t="str">
        <f aca="false">IF($A172="","",IFERROR(1/(1/SUMPRODUCT(MAX((inventory!$C$2:$C$801=$A172)*(inventory!$D$2:$D$801=$B172)*(inventory!$E$2:$E$801="delivered")*(inventory!$A$2:$A$801+inventory!$B$2:$B$801)))),""))</f>
        <v/>
      </c>
      <c r="W172" s="30" t="str">
        <f aca="false">IF($A172="","",IFERROR(IF(INDEX(inventory!$J$2:$J$801,MATCH($A172&amp;"|"&amp;$B172&amp;"|delivered",inventory!$R$2:$R$801,0))="","",INDEX(inventory!$J$2:$J$801,MATCH($A172&amp;"|"&amp;$B172&amp;"|delivered",inventory!$R$2:$R$801,0))),""))</f>
        <v/>
      </c>
      <c r="X172" s="30" t="str">
        <f aca="false">IF($A172="","",IFERROR(IF(INDEX(photos!$H$2:$H$701,MATCH($A172&amp;"|"&amp;$B172&amp;"|placement|Y",photos!$R$2:$R$701,0))="","",INDEX(photos!$H$2:$H$701,MATCH($A172&amp;"|"&amp;$B172&amp;"|placement|Y",photos!$R$2:$R$701,0))),""))</f>
        <v/>
      </c>
      <c r="Y172" s="31" t="str">
        <f aca="false">IF($A172="","",IFERROR(IF(INDEX(photos!$E$2:$E$701,MATCH($A172&amp;"|"&amp;$B172&amp;"|placement|Y",photos!$R$2:$R$701,0))="","",INDEX(photos!$E$2:$E$701,MATCH($A172&amp;"|"&amp;$B172&amp;"|placement|Y",photos!$R$2:$R$701,0))),""))</f>
        <v/>
      </c>
      <c r="Z172" s="30" t="str">
        <f aca="false">IF($A172="","",IF(COUNTIFS(counts!$C$2:$C$701,$A172,counts!$D$2:$D$701,$B172,counts!$E$2:$E$701,"placed")=0,"",SUMIFS(counts!$F$2:$F$701,counts!$C$2:$C$701,$A172,counts!$D$2:$D$701,$B172,counts!$E$2:$E$701,"placed")))</f>
        <v/>
      </c>
      <c r="AA172" s="30" t="str">
        <f aca="false">IF($A172="","",IF($Y172="",0,N($Z172)))</f>
        <v/>
      </c>
      <c r="AB172" s="30" t="str">
        <f aca="false">IF($A172="","",IF(OR($Y172="",$I172=""),"N",IF($Y172&lt;=WORKDAY(N($I172),1,calendar!$A$2:$A$80),"Y","N")))</f>
        <v/>
      </c>
      <c r="AC172" s="33" t="str">
        <f aca="false">IF(OR($A172="",$V172="",$Y172=""),"",ROUND(($Y172+N(IFERROR(IF(INDEX(photos!$F$2:$F$701,MATCH($A172&amp;"|"&amp;$B172&amp;"|placement|Y",photos!$R$2:$R$701,0))="","",INDEX(photos!$F$2:$F$701,MATCH($A172&amp;"|"&amp;$B172&amp;"|placement|Y",photos!$R$2:$R$701,0))),""))-$V172)*24,1))</f>
        <v/>
      </c>
      <c r="AD172" s="30" t="str">
        <f aca="false">IF($A172="","",SUMIFS(inventory!$G$2:$G$801,inventory!$C$2:$C$801,$A172,inventory!$D$2:$D$801,$B172,inventory!$E$2:$E$801,"topped_up"))</f>
        <v/>
      </c>
      <c r="AE172" s="30" t="str">
        <f aca="false">IF($A172="","",IF(COUNTIFS(counts!$C$2:$C$701,$A172,counts!$D$2:$D$701,$B172,counts!$E$2:$E$701,"remaining_day3")=0,"",SUMIFS(counts!$F$2:$F$701,counts!$C$2:$C$701,$A172,counts!$D$2:$D$701,$B172,counts!$E$2:$E$701,"remaining_day3")))</f>
        <v/>
      </c>
      <c r="AF172" s="30" t="str">
        <f aca="false">IF($A172="","",IF(COUNTIFS(counts!$C$2:$C$701,$A172,counts!$D$2:$D$701,$B172,counts!$E$2:$E$701,"remaining_day5")=0,"",SUMIFS(counts!$F$2:$F$701,counts!$C$2:$C$701,$A172,counts!$D$2:$D$701,$B172,counts!$E$2:$E$701,"remaining_day5")))</f>
        <v/>
      </c>
      <c r="AG172" s="30" t="str">
        <f aca="false">IF(OR($A172="",$AF172=""),"",MAX(0,$AA172+$AD172-$AF172))</f>
        <v/>
      </c>
      <c r="AH172" s="30" t="str">
        <f aca="false">IF(OR($A172="",$AI172=""),"",IFERROR(IF(INDEX(photos!$H$2:$H$701,MATCH($A172&amp;"|"&amp;$B172&amp;"|later|Y|"&amp;$AI172,photos!$S$2:$S$701,0))="","",INDEX(photos!$H$2:$H$701,MATCH($A172&amp;"|"&amp;$B172&amp;"|later|Y|"&amp;$AI172,photos!$S$2:$S$701,0))),""))</f>
        <v/>
      </c>
      <c r="AI172" s="31" t="str">
        <f aca="false">IF($A172="","",IFERROR(1/(1/SUMPRODUCT(MAX((photos!$B$2:$B$701=$A172)*(photos!$C$2:$C$701=$B172)*(photos!$D$2:$D$701="later")*(photos!$O$2:$O$701="Y")*photos!$E$2:$E$701))),""))</f>
        <v/>
      </c>
      <c r="AJ172" s="30" t="str">
        <f aca="false">IF(OR($A172="",$AI172="",$I172=""),"",NETWORKDAYS($I172,$AI172,calendar!$A$2:$A$80))</f>
        <v/>
      </c>
      <c r="AK172" s="30" t="str">
        <f aca="false">IF($A172="","",IF(AND($X172&lt;&gt;"",$AH172&lt;&gt;""),"Y","N"))</f>
        <v/>
      </c>
      <c r="AL172" s="30" t="str">
        <f aca="true">IF(OR($A172="",$I172=""),"",IF($BC172="Y",SUMIFS(survey_frozen!$C$2:$C$251,survey_frozen!$P$2:$P$251,$A172&amp;"|"&amp;$B172),IFERROR(COUNTIFS(INDIRECT("'"&amp;$A172&amp;"'!$B$2:$B$501"),$T172,INDIRECT("'"&amp;$A172&amp;"'!$A$2:$A$501"),"&gt;="&amp;$I172,INDIRECT("'"&amp;$A172&amp;"'!$A$2:$A$501"),"&lt;"&amp;($BA172+1)),0)))</f>
        <v/>
      </c>
      <c r="AM172" s="30" t="str">
        <f aca="true">IF(OR($A172="",$I172=""),"",IF($BC172="Y",SUMIFS(survey_frozen!$D$2:$D$251,survey_frozen!$P$2:$P$251,$A172&amp;"|"&amp;$B172),IFERROR(COUNTIFS(INDIRECT("'"&amp;$A172&amp;"'!$B$2:$B$501"),$T172,INDIRECT("'"&amp;$A172&amp;"'!$A$2:$A$501"),"&gt;="&amp;$I172,INDIRECT("'"&amp;$A172&amp;"'!$A$2:$A$501"),"&lt;"&amp;($BA172+1),INDIRECT("'"&amp;$A172&amp;"'!$C$2:$C$501"),"Yes"),0)))</f>
        <v/>
      </c>
      <c r="AN172" s="30" t="str">
        <f aca="false">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30" t="str">
        <f aca="false">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30" t="str">
        <f aca="true">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30" t="str">
        <f aca="true">IF(OR($A172="",$I172=""),"",IF($BC172="Y",SUMIFS(survey_frozen!$E$2:$E$251,survey_frozen!$P$2:$P$251,$A172&amp;"|"&amp;$B172),IFERROR(COUNTIFS(INDIRECT("'"&amp;$A172&amp;"'!$B$2:$B$501"),$T172,INDIRECT("'"&amp;$A172&amp;"'!$A$2:$A$501"),"&gt;="&amp;$I172,INDIRECT("'"&amp;$A172&amp;"'!$A$2:$A$501"),"&lt;"&amp;($BA172+1),INDIRECT("'"&amp;$A172&amp;"'!$F$2:$F$501"),"Didn't see it"),0)))</f>
        <v/>
      </c>
      <c r="AR172" s="30" t="str">
        <f aca="true">IF(OR($A172="",$I172=""),"",IF($BC172="Y",SUMIFS(survey_frozen!$F$2:$F$251,survey_frozen!$P$2:$P$251,$A172&amp;"|"&amp;$B172),IFERROR(COUNTIFS(INDIRECT("'"&amp;$A172&amp;"'!$B$2:$B$501"),$T172,INDIRECT("'"&amp;$A172&amp;"'!$A$2:$A$501"),"&gt;="&amp;$I172,INDIRECT("'"&amp;$A172&amp;"'!$A$2:$A$501"),"&lt;"&amp;($BA172+1),INDIRECT("'"&amp;$A172&amp;"'!$F$2:$F$501"),"Not for me"),0)))</f>
        <v/>
      </c>
      <c r="AS172" s="30" t="str">
        <f aca="true">IF(OR($A172="",$I172=""),"",IF($BC172="Y",SUMIFS(survey_frozen!$G$2:$G$251,survey_frozen!$P$2:$P$251,$A172&amp;"|"&amp;$B172),IFERROR(COUNTIFS(INDIRECT("'"&amp;$A172&amp;"'!$B$2:$B$501"),$T172,INDIRECT("'"&amp;$A172&amp;"'!$A$2:$A$501"),"&gt;="&amp;$I172,INDIRECT("'"&amp;$A172&amp;"'!$A$2:$A$501"),"&lt;"&amp;($BA172+1),INDIRECT("'"&amp;$A172&amp;"'!$F$2:$F$501"),"Gone by the time I looked"),0)))</f>
        <v/>
      </c>
      <c r="AT172" s="30" t="str">
        <f aca="true">IF(OR($A172="",$I172=""),"",IF($BC172="Y",SUMIFS(survey_frozen!$H$2:$H$251,survey_frozen!$P$2:$P$251,$A172&amp;"|"&amp;$B172),IFERROR(COUNTIFS(INDIRECT("'"&amp;$A172&amp;"'!$B$2:$B$501"),$T172,INDIRECT("'"&amp;$A172&amp;"'!$A$2:$A$501"),"&gt;="&amp;$I172,INDIRECT("'"&amp;$A172&amp;"'!$A$2:$A$501"),"&lt;"&amp;($BA172+1),INDIRECT("'"&amp;$A172&amp;"'!$D$2:$D$501"),"&gt;=1"),0)))</f>
        <v/>
      </c>
      <c r="AU172" s="30" t="str">
        <f aca="true">IF(OR($A172="",$I172=""),"",IF($BC172="Y",SUMIFS(survey_frozen!$I$2:$I$251,survey_frozen!$P$2:$P$251,$A172&amp;"|"&amp;$B172),IFERROR(SUMIFS(INDIRECT("'"&amp;$A172&amp;"'!$D$2:$D$501"),INDIRECT("'"&amp;$A172&amp;"'!$B$2:$B$501"),$T172,INDIRECT("'"&amp;$A172&amp;"'!$A$2:$A$501"),"&gt;="&amp;$I172,INDIRECT("'"&amp;$A172&amp;"'!$A$2:$A$501"),"&lt;"&amp;($BA172+1)),0)))</f>
        <v/>
      </c>
      <c r="AV172" s="30" t="str">
        <f aca="true">IF(OR($A172="",$I172=""),"",IF($BC172="Y",SUMIFS(survey_frozen!$J$2:$J$251,survey_frozen!$P$2:$P$251,$A172&amp;"|"&amp;$B172),IFERROR(COUNTIFS(INDIRECT("'"&amp;$A172&amp;"'!$B$2:$B$501"),$T172,INDIRECT("'"&amp;$A172&amp;"'!$A$2:$A$501"),"&gt;="&amp;$I172,INDIRECT("'"&amp;$A172&amp;"'!$A$2:$A$501"),"&lt;"&amp;($BA172+1),INDIRECT("'"&amp;$A172&amp;"'!$E$2:$E$501"),"Yes"),0)))</f>
        <v/>
      </c>
      <c r="AW172" s="30" t="str">
        <f aca="true">IF(OR($A172="",$I172=""),"",IF($BC172="Y",SUMIFS(survey_frozen!$K$2:$K$251,survey_frozen!$P$2:$P$251,$A172&amp;"|"&amp;$B172),IFERROR(COUNTIFS(INDIRECT("'"&amp;$A172&amp;"'!$B$2:$B$501"),$T172,INDIRECT("'"&amp;$A172&amp;"'!$A$2:$A$501"),"&gt;="&amp;$I172,INDIRECT("'"&amp;$A172&amp;"'!$A$2:$A$501"),"&lt;"&amp;($BA172+1),INDIRECT("'"&amp;$A172&amp;"'!$E$2:$E$501"),"Maybe"),0)))</f>
        <v/>
      </c>
      <c r="AX172" s="30" t="str">
        <f aca="true">IF(OR($A172="",$I172=""),"",IF($BC172="Y",SUMIFS(survey_frozen!$L$2:$L$251,survey_frozen!$P$2:$P$251,$A172&amp;"|"&amp;$B172),IFERROR(COUNTIFS(INDIRECT("'"&amp;$A172&amp;"'!$B$2:$B$501"),$T172,INDIRECT("'"&amp;$A172&amp;"'!$A$2:$A$501"),"&gt;="&amp;$I172,INDIRECT("'"&amp;$A172&amp;"'!$A$2:$A$501"),"&lt;"&amp;($BA172+1),INDIRECT("'"&amp;$A172&amp;"'!$E$2:$E$501"),"No"),0)))</f>
        <v/>
      </c>
      <c r="AY172" s="30" t="str">
        <f aca="true">IF(OR($A172="",$I172=""),"",IF($BC172="Y",SUMIFS(survey_frozen!$M$2:$M$251,survey_frozen!$P$2:$P$251,$A172&amp;"|"&amp;$B172),IFERROR(COUNTIFS(INDIRECT("'"&amp;$A172&amp;"'!$B$2:$B$501"),$T172,INDIRECT("'"&amp;$A172&amp;"'!$A$2:$A$501"),"&gt;="&amp;$I172,INDIRECT("'"&amp;$A172&amp;"'!$A$2:$A$501"),"&lt;"&amp;($BA172+1),INDIRECT("'"&amp;$A172&amp;"'!$G$2:$G$501"),"&lt;&gt;"),0)))</f>
        <v/>
      </c>
      <c r="AZ172" s="30" t="str">
        <f aca="false">IF($A172="","",$A172&amp;"|"&amp;$L172)</f>
        <v/>
      </c>
      <c r="BA172" s="31" t="str">
        <f aca="false">IF($A172="","",IFERROR(IF(INDEX(drops!$R$2:$R$21,MATCH($H172,drops!$A$2:$A$21,0))="","",INDEX(drops!$R$2:$R$21,MATCH($H172,drops!$A$2:$A$21,0))),""))</f>
        <v/>
      </c>
      <c r="BB172" s="30" t="n">
        <f aca="false">IF(OR($A172="",$Q172&lt;&gt;"Y"),1000000,N($AL172))</f>
        <v>1000000</v>
      </c>
      <c r="BC172" s="30" t="str">
        <f aca="false">IF($A172="","",IF(COUNTIF(survey_frozen!$P$2:$P$251,$A172&amp;"|"&amp;$B172)&gt;0,"Y",""))</f>
        <v/>
      </c>
      <c r="BD172" s="30" t="str">
        <f aca="false">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ustomFormat="false" ht="15" hidden="false" customHeight="false" outlineLevel="0" collapsed="false">
      <c r="C173" s="11"/>
      <c r="D173" s="10"/>
      <c r="E173" s="11"/>
      <c r="H173" s="30" t="str">
        <f aca="false">IF($A173="","",IFERROR(IF(INDEX(campaigns!$B$2:$B$51,MATCH($A173,campaigns!$A$2:$A$51,0))="","",INDEX(campaigns!$B$2:$B$51,MATCH($A173,campaigns!$A$2:$A$51,0))),""))</f>
        <v/>
      </c>
      <c r="I173" s="31" t="str">
        <f aca="false">IF($A173="","",IFERROR(IF(INDEX(campaigns!$BG$2:$BG$51,MATCH($A173,campaigns!$A$2:$A$51,0))="","",INDEX(campaigns!$BG$2:$BG$51,MATCH($A173,campaigns!$A$2:$A$51,0))),""))</f>
        <v/>
      </c>
      <c r="J173" s="30" t="str">
        <f aca="false">IF($A173="","",IFERROR(IF(INDEX(campaigns!$BE$2:$BE$51,MATCH($A173,campaigns!$A$2:$A$51,0))="","",INDEX(campaigns!$BE$2:$BE$51,MATCH($A173,campaigns!$A$2:$A$51,0))),""))</f>
        <v/>
      </c>
      <c r="K173" s="30" t="str">
        <f aca="false">IF($B173="","",IFERROR(IF(INDEX(offices!$O$2:$O$61,MATCH($B173,offices!$A$2:$A$61,0))="","",INDEX(offices!$O$2:$O$61,MATCH($B173,offices!$A$2:$A$61,0))),""))</f>
        <v/>
      </c>
      <c r="L173" s="30" t="str">
        <f aca="false">IF($A173="","",IF($Q173="N","",COUNTIFS($A$2:$A173,$A173,$Q$2:$Q173,"&lt;&gt;N")))</f>
        <v/>
      </c>
      <c r="M173" s="30" t="str">
        <f aca="false">IF(OR($A173="",$L173=""),"",IF(AND(config!$B$34="names_if_public",IFERROR(IF(INDEX(offices!$AG$2:$AG$61,MATCH($B173,offices!$A$2:$A$61,0))="","",INDEX(offices!$AG$2:$AG$61,MATCH($B173,offices!$A$2:$A$61,0))),"")="Y"),$K173,CHAR(64+$L173)))</f>
        <v/>
      </c>
      <c r="N173" s="30" t="str">
        <f aca="false">IF(OR($A173="",$I173=""),"",COUNTIFS(stops!$B$2:$B$151,$B173,stops!$P$2:$P$151,"&lt;"&amp;$I173,stops!$L$2:$L$151,"&lt;&gt;not_delivered")+1)</f>
        <v/>
      </c>
      <c r="O173" s="30" t="str">
        <f aca="false">IF($A173="","",IF(N($N173)&lt;=config!$B$29,"explicit","opt-out"))</f>
        <v/>
      </c>
      <c r="P173" s="30" t="str">
        <f aca="false">IF($A173="","",IF($O173="explicit",IF($D173="yes","Y",IF($D173="no","N","pending")),IF($D173="no","N",IF(AND($C173&lt;&gt;"",$I173&lt;&gt;"",$C173&lt;=WORKDAY(N($I173),-5,calendar!$A$2:$A$80)),"Y","pending"))))</f>
        <v/>
      </c>
      <c r="Q173" s="30" t="str">
        <f aca="false">IF($A173="","",IF($P173="N","N",IF($P173&lt;&gt;"Y","pending",IF(AND((COUNTIFS(stops!$A$2:$A$151,$H173,stops!$B$2:$B$151,$B173,stops!$L$2:$L$151,"declined")+COUNTIFS(stops!$A$2:$A$151,$H173,stops!$B$2:$B$151,$B173,stops!$L$2:$L$151,"building_refused")+COUNTIFS(stops!$A$2:$A$151,$H173,stops!$B$2:$B$151,$B173,stops!$L$2:$L$151,"not_delivered"))&gt;0,N($U173)=0),"N","Y"))))</f>
        <v/>
      </c>
      <c r="R173" s="30" t="str">
        <f aca="false">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30" t="str">
        <f aca="false">IF($A173="","",IF($G173&lt;&gt;"",$G173,IFERROR(IF(INDEX(offices!$AM$2:$AM$61,MATCH($B173,offices!$A$2:$A$61,0))="","",INDEX(offices!$AM$2:$AM$61,MATCH($B173,offices!$A$2:$A$61,0))),"")))</f>
        <v/>
      </c>
      <c r="T173" s="30" t="str">
        <f aca="false">IF($A173="","",$A173&amp;"."&amp;$B173)</f>
        <v/>
      </c>
      <c r="U173" s="30" t="str">
        <f aca="false">IF($A173="","",SUMIFS(inventory!$G$2:$G$801,inventory!$C$2:$C$801,$A173,inventory!$D$2:$D$801,$B173,inventory!$E$2:$E$801,"delivered"))</f>
        <v/>
      </c>
      <c r="V173" s="37" t="str">
        <f aca="false">IF($A173="","",IFERROR(1/(1/SUMPRODUCT(MAX((inventory!$C$2:$C$801=$A173)*(inventory!$D$2:$D$801=$B173)*(inventory!$E$2:$E$801="delivered")*(inventory!$A$2:$A$801+inventory!$B$2:$B$801)))),""))</f>
        <v/>
      </c>
      <c r="W173" s="30" t="str">
        <f aca="false">IF($A173="","",IFERROR(IF(INDEX(inventory!$J$2:$J$801,MATCH($A173&amp;"|"&amp;$B173&amp;"|delivered",inventory!$R$2:$R$801,0))="","",INDEX(inventory!$J$2:$J$801,MATCH($A173&amp;"|"&amp;$B173&amp;"|delivered",inventory!$R$2:$R$801,0))),""))</f>
        <v/>
      </c>
      <c r="X173" s="30" t="str">
        <f aca="false">IF($A173="","",IFERROR(IF(INDEX(photos!$H$2:$H$701,MATCH($A173&amp;"|"&amp;$B173&amp;"|placement|Y",photos!$R$2:$R$701,0))="","",INDEX(photos!$H$2:$H$701,MATCH($A173&amp;"|"&amp;$B173&amp;"|placement|Y",photos!$R$2:$R$701,0))),""))</f>
        <v/>
      </c>
      <c r="Y173" s="31" t="str">
        <f aca="false">IF($A173="","",IFERROR(IF(INDEX(photos!$E$2:$E$701,MATCH($A173&amp;"|"&amp;$B173&amp;"|placement|Y",photos!$R$2:$R$701,0))="","",INDEX(photos!$E$2:$E$701,MATCH($A173&amp;"|"&amp;$B173&amp;"|placement|Y",photos!$R$2:$R$701,0))),""))</f>
        <v/>
      </c>
      <c r="Z173" s="30" t="str">
        <f aca="false">IF($A173="","",IF(COUNTIFS(counts!$C$2:$C$701,$A173,counts!$D$2:$D$701,$B173,counts!$E$2:$E$701,"placed")=0,"",SUMIFS(counts!$F$2:$F$701,counts!$C$2:$C$701,$A173,counts!$D$2:$D$701,$B173,counts!$E$2:$E$701,"placed")))</f>
        <v/>
      </c>
      <c r="AA173" s="30" t="str">
        <f aca="false">IF($A173="","",IF($Y173="",0,N($Z173)))</f>
        <v/>
      </c>
      <c r="AB173" s="30" t="str">
        <f aca="false">IF($A173="","",IF(OR($Y173="",$I173=""),"N",IF($Y173&lt;=WORKDAY(N($I173),1,calendar!$A$2:$A$80),"Y","N")))</f>
        <v/>
      </c>
      <c r="AC173" s="33" t="str">
        <f aca="false">IF(OR($A173="",$V173="",$Y173=""),"",ROUND(($Y173+N(IFERROR(IF(INDEX(photos!$F$2:$F$701,MATCH($A173&amp;"|"&amp;$B173&amp;"|placement|Y",photos!$R$2:$R$701,0))="","",INDEX(photos!$F$2:$F$701,MATCH($A173&amp;"|"&amp;$B173&amp;"|placement|Y",photos!$R$2:$R$701,0))),""))-$V173)*24,1))</f>
        <v/>
      </c>
      <c r="AD173" s="30" t="str">
        <f aca="false">IF($A173="","",SUMIFS(inventory!$G$2:$G$801,inventory!$C$2:$C$801,$A173,inventory!$D$2:$D$801,$B173,inventory!$E$2:$E$801,"topped_up"))</f>
        <v/>
      </c>
      <c r="AE173" s="30" t="str">
        <f aca="false">IF($A173="","",IF(COUNTIFS(counts!$C$2:$C$701,$A173,counts!$D$2:$D$701,$B173,counts!$E$2:$E$701,"remaining_day3")=0,"",SUMIFS(counts!$F$2:$F$701,counts!$C$2:$C$701,$A173,counts!$D$2:$D$701,$B173,counts!$E$2:$E$701,"remaining_day3")))</f>
        <v/>
      </c>
      <c r="AF173" s="30" t="str">
        <f aca="false">IF($A173="","",IF(COUNTIFS(counts!$C$2:$C$701,$A173,counts!$D$2:$D$701,$B173,counts!$E$2:$E$701,"remaining_day5")=0,"",SUMIFS(counts!$F$2:$F$701,counts!$C$2:$C$701,$A173,counts!$D$2:$D$701,$B173,counts!$E$2:$E$701,"remaining_day5")))</f>
        <v/>
      </c>
      <c r="AG173" s="30" t="str">
        <f aca="false">IF(OR($A173="",$AF173=""),"",MAX(0,$AA173+$AD173-$AF173))</f>
        <v/>
      </c>
      <c r="AH173" s="30" t="str">
        <f aca="false">IF(OR($A173="",$AI173=""),"",IFERROR(IF(INDEX(photos!$H$2:$H$701,MATCH($A173&amp;"|"&amp;$B173&amp;"|later|Y|"&amp;$AI173,photos!$S$2:$S$701,0))="","",INDEX(photos!$H$2:$H$701,MATCH($A173&amp;"|"&amp;$B173&amp;"|later|Y|"&amp;$AI173,photos!$S$2:$S$701,0))),""))</f>
        <v/>
      </c>
      <c r="AI173" s="31" t="str">
        <f aca="false">IF($A173="","",IFERROR(1/(1/SUMPRODUCT(MAX((photos!$B$2:$B$701=$A173)*(photos!$C$2:$C$701=$B173)*(photos!$D$2:$D$701="later")*(photos!$O$2:$O$701="Y")*photos!$E$2:$E$701))),""))</f>
        <v/>
      </c>
      <c r="AJ173" s="30" t="str">
        <f aca="false">IF(OR($A173="",$AI173="",$I173=""),"",NETWORKDAYS($I173,$AI173,calendar!$A$2:$A$80))</f>
        <v/>
      </c>
      <c r="AK173" s="30" t="str">
        <f aca="false">IF($A173="","",IF(AND($X173&lt;&gt;"",$AH173&lt;&gt;""),"Y","N"))</f>
        <v/>
      </c>
      <c r="AL173" s="30" t="str">
        <f aca="true">IF(OR($A173="",$I173=""),"",IF($BC173="Y",SUMIFS(survey_frozen!$C$2:$C$251,survey_frozen!$P$2:$P$251,$A173&amp;"|"&amp;$B173),IFERROR(COUNTIFS(INDIRECT("'"&amp;$A173&amp;"'!$B$2:$B$501"),$T173,INDIRECT("'"&amp;$A173&amp;"'!$A$2:$A$501"),"&gt;="&amp;$I173,INDIRECT("'"&amp;$A173&amp;"'!$A$2:$A$501"),"&lt;"&amp;($BA173+1)),0)))</f>
        <v/>
      </c>
      <c r="AM173" s="30" t="str">
        <f aca="true">IF(OR($A173="",$I173=""),"",IF($BC173="Y",SUMIFS(survey_frozen!$D$2:$D$251,survey_frozen!$P$2:$P$251,$A173&amp;"|"&amp;$B173),IFERROR(COUNTIFS(INDIRECT("'"&amp;$A173&amp;"'!$B$2:$B$501"),$T173,INDIRECT("'"&amp;$A173&amp;"'!$A$2:$A$501"),"&gt;="&amp;$I173,INDIRECT("'"&amp;$A173&amp;"'!$A$2:$A$501"),"&lt;"&amp;($BA173+1),INDIRECT("'"&amp;$A173&amp;"'!$C$2:$C$501"),"Yes"),0)))</f>
        <v/>
      </c>
      <c r="AN173" s="30" t="str">
        <f aca="false">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30" t="str">
        <f aca="false">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30" t="str">
        <f aca="true">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30" t="str">
        <f aca="true">IF(OR($A173="",$I173=""),"",IF($BC173="Y",SUMIFS(survey_frozen!$E$2:$E$251,survey_frozen!$P$2:$P$251,$A173&amp;"|"&amp;$B173),IFERROR(COUNTIFS(INDIRECT("'"&amp;$A173&amp;"'!$B$2:$B$501"),$T173,INDIRECT("'"&amp;$A173&amp;"'!$A$2:$A$501"),"&gt;="&amp;$I173,INDIRECT("'"&amp;$A173&amp;"'!$A$2:$A$501"),"&lt;"&amp;($BA173+1),INDIRECT("'"&amp;$A173&amp;"'!$F$2:$F$501"),"Didn't see it"),0)))</f>
        <v/>
      </c>
      <c r="AR173" s="30" t="str">
        <f aca="true">IF(OR($A173="",$I173=""),"",IF($BC173="Y",SUMIFS(survey_frozen!$F$2:$F$251,survey_frozen!$P$2:$P$251,$A173&amp;"|"&amp;$B173),IFERROR(COUNTIFS(INDIRECT("'"&amp;$A173&amp;"'!$B$2:$B$501"),$T173,INDIRECT("'"&amp;$A173&amp;"'!$A$2:$A$501"),"&gt;="&amp;$I173,INDIRECT("'"&amp;$A173&amp;"'!$A$2:$A$501"),"&lt;"&amp;($BA173+1),INDIRECT("'"&amp;$A173&amp;"'!$F$2:$F$501"),"Not for me"),0)))</f>
        <v/>
      </c>
      <c r="AS173" s="30" t="str">
        <f aca="true">IF(OR($A173="",$I173=""),"",IF($BC173="Y",SUMIFS(survey_frozen!$G$2:$G$251,survey_frozen!$P$2:$P$251,$A173&amp;"|"&amp;$B173),IFERROR(COUNTIFS(INDIRECT("'"&amp;$A173&amp;"'!$B$2:$B$501"),$T173,INDIRECT("'"&amp;$A173&amp;"'!$A$2:$A$501"),"&gt;="&amp;$I173,INDIRECT("'"&amp;$A173&amp;"'!$A$2:$A$501"),"&lt;"&amp;($BA173+1),INDIRECT("'"&amp;$A173&amp;"'!$F$2:$F$501"),"Gone by the time I looked"),0)))</f>
        <v/>
      </c>
      <c r="AT173" s="30" t="str">
        <f aca="true">IF(OR($A173="",$I173=""),"",IF($BC173="Y",SUMIFS(survey_frozen!$H$2:$H$251,survey_frozen!$P$2:$P$251,$A173&amp;"|"&amp;$B173),IFERROR(COUNTIFS(INDIRECT("'"&amp;$A173&amp;"'!$B$2:$B$501"),$T173,INDIRECT("'"&amp;$A173&amp;"'!$A$2:$A$501"),"&gt;="&amp;$I173,INDIRECT("'"&amp;$A173&amp;"'!$A$2:$A$501"),"&lt;"&amp;($BA173+1),INDIRECT("'"&amp;$A173&amp;"'!$D$2:$D$501"),"&gt;=1"),0)))</f>
        <v/>
      </c>
      <c r="AU173" s="30" t="str">
        <f aca="true">IF(OR($A173="",$I173=""),"",IF($BC173="Y",SUMIFS(survey_frozen!$I$2:$I$251,survey_frozen!$P$2:$P$251,$A173&amp;"|"&amp;$B173),IFERROR(SUMIFS(INDIRECT("'"&amp;$A173&amp;"'!$D$2:$D$501"),INDIRECT("'"&amp;$A173&amp;"'!$B$2:$B$501"),$T173,INDIRECT("'"&amp;$A173&amp;"'!$A$2:$A$501"),"&gt;="&amp;$I173,INDIRECT("'"&amp;$A173&amp;"'!$A$2:$A$501"),"&lt;"&amp;($BA173+1)),0)))</f>
        <v/>
      </c>
      <c r="AV173" s="30" t="str">
        <f aca="true">IF(OR($A173="",$I173=""),"",IF($BC173="Y",SUMIFS(survey_frozen!$J$2:$J$251,survey_frozen!$P$2:$P$251,$A173&amp;"|"&amp;$B173),IFERROR(COUNTIFS(INDIRECT("'"&amp;$A173&amp;"'!$B$2:$B$501"),$T173,INDIRECT("'"&amp;$A173&amp;"'!$A$2:$A$501"),"&gt;="&amp;$I173,INDIRECT("'"&amp;$A173&amp;"'!$A$2:$A$501"),"&lt;"&amp;($BA173+1),INDIRECT("'"&amp;$A173&amp;"'!$E$2:$E$501"),"Yes"),0)))</f>
        <v/>
      </c>
      <c r="AW173" s="30" t="str">
        <f aca="true">IF(OR($A173="",$I173=""),"",IF($BC173="Y",SUMIFS(survey_frozen!$K$2:$K$251,survey_frozen!$P$2:$P$251,$A173&amp;"|"&amp;$B173),IFERROR(COUNTIFS(INDIRECT("'"&amp;$A173&amp;"'!$B$2:$B$501"),$T173,INDIRECT("'"&amp;$A173&amp;"'!$A$2:$A$501"),"&gt;="&amp;$I173,INDIRECT("'"&amp;$A173&amp;"'!$A$2:$A$501"),"&lt;"&amp;($BA173+1),INDIRECT("'"&amp;$A173&amp;"'!$E$2:$E$501"),"Maybe"),0)))</f>
        <v/>
      </c>
      <c r="AX173" s="30" t="str">
        <f aca="true">IF(OR($A173="",$I173=""),"",IF($BC173="Y",SUMIFS(survey_frozen!$L$2:$L$251,survey_frozen!$P$2:$P$251,$A173&amp;"|"&amp;$B173),IFERROR(COUNTIFS(INDIRECT("'"&amp;$A173&amp;"'!$B$2:$B$501"),$T173,INDIRECT("'"&amp;$A173&amp;"'!$A$2:$A$501"),"&gt;="&amp;$I173,INDIRECT("'"&amp;$A173&amp;"'!$A$2:$A$501"),"&lt;"&amp;($BA173+1),INDIRECT("'"&amp;$A173&amp;"'!$E$2:$E$501"),"No"),0)))</f>
        <v/>
      </c>
      <c r="AY173" s="30" t="str">
        <f aca="true">IF(OR($A173="",$I173=""),"",IF($BC173="Y",SUMIFS(survey_frozen!$M$2:$M$251,survey_frozen!$P$2:$P$251,$A173&amp;"|"&amp;$B173),IFERROR(COUNTIFS(INDIRECT("'"&amp;$A173&amp;"'!$B$2:$B$501"),$T173,INDIRECT("'"&amp;$A173&amp;"'!$A$2:$A$501"),"&gt;="&amp;$I173,INDIRECT("'"&amp;$A173&amp;"'!$A$2:$A$501"),"&lt;"&amp;($BA173+1),INDIRECT("'"&amp;$A173&amp;"'!$G$2:$G$501"),"&lt;&gt;"),0)))</f>
        <v/>
      </c>
      <c r="AZ173" s="30" t="str">
        <f aca="false">IF($A173="","",$A173&amp;"|"&amp;$L173)</f>
        <v/>
      </c>
      <c r="BA173" s="31" t="str">
        <f aca="false">IF($A173="","",IFERROR(IF(INDEX(drops!$R$2:$R$21,MATCH($H173,drops!$A$2:$A$21,0))="","",INDEX(drops!$R$2:$R$21,MATCH($H173,drops!$A$2:$A$21,0))),""))</f>
        <v/>
      </c>
      <c r="BB173" s="30" t="n">
        <f aca="false">IF(OR($A173="",$Q173&lt;&gt;"Y"),1000000,N($AL173))</f>
        <v>1000000</v>
      </c>
      <c r="BC173" s="30" t="str">
        <f aca="false">IF($A173="","",IF(COUNTIF(survey_frozen!$P$2:$P$251,$A173&amp;"|"&amp;$B173)&gt;0,"Y",""))</f>
        <v/>
      </c>
      <c r="BD173" s="30" t="str">
        <f aca="false">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ustomFormat="false" ht="15" hidden="false" customHeight="false" outlineLevel="0" collapsed="false">
      <c r="C174" s="11"/>
      <c r="D174" s="10"/>
      <c r="E174" s="11"/>
      <c r="H174" s="30" t="str">
        <f aca="false">IF($A174="","",IFERROR(IF(INDEX(campaigns!$B$2:$B$51,MATCH($A174,campaigns!$A$2:$A$51,0))="","",INDEX(campaigns!$B$2:$B$51,MATCH($A174,campaigns!$A$2:$A$51,0))),""))</f>
        <v/>
      </c>
      <c r="I174" s="31" t="str">
        <f aca="false">IF($A174="","",IFERROR(IF(INDEX(campaigns!$BG$2:$BG$51,MATCH($A174,campaigns!$A$2:$A$51,0))="","",INDEX(campaigns!$BG$2:$BG$51,MATCH($A174,campaigns!$A$2:$A$51,0))),""))</f>
        <v/>
      </c>
      <c r="J174" s="30" t="str">
        <f aca="false">IF($A174="","",IFERROR(IF(INDEX(campaigns!$BE$2:$BE$51,MATCH($A174,campaigns!$A$2:$A$51,0))="","",INDEX(campaigns!$BE$2:$BE$51,MATCH($A174,campaigns!$A$2:$A$51,0))),""))</f>
        <v/>
      </c>
      <c r="K174" s="30" t="str">
        <f aca="false">IF($B174="","",IFERROR(IF(INDEX(offices!$O$2:$O$61,MATCH($B174,offices!$A$2:$A$61,0))="","",INDEX(offices!$O$2:$O$61,MATCH($B174,offices!$A$2:$A$61,0))),""))</f>
        <v/>
      </c>
      <c r="L174" s="30" t="str">
        <f aca="false">IF($A174="","",IF($Q174="N","",COUNTIFS($A$2:$A174,$A174,$Q$2:$Q174,"&lt;&gt;N")))</f>
        <v/>
      </c>
      <c r="M174" s="30" t="str">
        <f aca="false">IF(OR($A174="",$L174=""),"",IF(AND(config!$B$34="names_if_public",IFERROR(IF(INDEX(offices!$AG$2:$AG$61,MATCH($B174,offices!$A$2:$A$61,0))="","",INDEX(offices!$AG$2:$AG$61,MATCH($B174,offices!$A$2:$A$61,0))),"")="Y"),$K174,CHAR(64+$L174)))</f>
        <v/>
      </c>
      <c r="N174" s="30" t="str">
        <f aca="false">IF(OR($A174="",$I174=""),"",COUNTIFS(stops!$B$2:$B$151,$B174,stops!$P$2:$P$151,"&lt;"&amp;$I174,stops!$L$2:$L$151,"&lt;&gt;not_delivered")+1)</f>
        <v/>
      </c>
      <c r="O174" s="30" t="str">
        <f aca="false">IF($A174="","",IF(N($N174)&lt;=config!$B$29,"explicit","opt-out"))</f>
        <v/>
      </c>
      <c r="P174" s="30" t="str">
        <f aca="false">IF($A174="","",IF($O174="explicit",IF($D174="yes","Y",IF($D174="no","N","pending")),IF($D174="no","N",IF(AND($C174&lt;&gt;"",$I174&lt;&gt;"",$C174&lt;=WORKDAY(N($I174),-5,calendar!$A$2:$A$80)),"Y","pending"))))</f>
        <v/>
      </c>
      <c r="Q174" s="30" t="str">
        <f aca="false">IF($A174="","",IF($P174="N","N",IF($P174&lt;&gt;"Y","pending",IF(AND((COUNTIFS(stops!$A$2:$A$151,$H174,stops!$B$2:$B$151,$B174,stops!$L$2:$L$151,"declined")+COUNTIFS(stops!$A$2:$A$151,$H174,stops!$B$2:$B$151,$B174,stops!$L$2:$L$151,"building_refused")+COUNTIFS(stops!$A$2:$A$151,$H174,stops!$B$2:$B$151,$B174,stops!$L$2:$L$151,"not_delivered"))&gt;0,N($U174)=0),"N","Y"))))</f>
        <v/>
      </c>
      <c r="R174" s="30" t="str">
        <f aca="false">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30" t="str">
        <f aca="false">IF($A174="","",IF($G174&lt;&gt;"",$G174,IFERROR(IF(INDEX(offices!$AM$2:$AM$61,MATCH($B174,offices!$A$2:$A$61,0))="","",INDEX(offices!$AM$2:$AM$61,MATCH($B174,offices!$A$2:$A$61,0))),"")))</f>
        <v/>
      </c>
      <c r="T174" s="30" t="str">
        <f aca="false">IF($A174="","",$A174&amp;"."&amp;$B174)</f>
        <v/>
      </c>
      <c r="U174" s="30" t="str">
        <f aca="false">IF($A174="","",SUMIFS(inventory!$G$2:$G$801,inventory!$C$2:$C$801,$A174,inventory!$D$2:$D$801,$B174,inventory!$E$2:$E$801,"delivered"))</f>
        <v/>
      </c>
      <c r="V174" s="37" t="str">
        <f aca="false">IF($A174="","",IFERROR(1/(1/SUMPRODUCT(MAX((inventory!$C$2:$C$801=$A174)*(inventory!$D$2:$D$801=$B174)*(inventory!$E$2:$E$801="delivered")*(inventory!$A$2:$A$801+inventory!$B$2:$B$801)))),""))</f>
        <v/>
      </c>
      <c r="W174" s="30" t="str">
        <f aca="false">IF($A174="","",IFERROR(IF(INDEX(inventory!$J$2:$J$801,MATCH($A174&amp;"|"&amp;$B174&amp;"|delivered",inventory!$R$2:$R$801,0))="","",INDEX(inventory!$J$2:$J$801,MATCH($A174&amp;"|"&amp;$B174&amp;"|delivered",inventory!$R$2:$R$801,0))),""))</f>
        <v/>
      </c>
      <c r="X174" s="30" t="str">
        <f aca="false">IF($A174="","",IFERROR(IF(INDEX(photos!$H$2:$H$701,MATCH($A174&amp;"|"&amp;$B174&amp;"|placement|Y",photos!$R$2:$R$701,0))="","",INDEX(photos!$H$2:$H$701,MATCH($A174&amp;"|"&amp;$B174&amp;"|placement|Y",photos!$R$2:$R$701,0))),""))</f>
        <v/>
      </c>
      <c r="Y174" s="31" t="str">
        <f aca="false">IF($A174="","",IFERROR(IF(INDEX(photos!$E$2:$E$701,MATCH($A174&amp;"|"&amp;$B174&amp;"|placement|Y",photos!$R$2:$R$701,0))="","",INDEX(photos!$E$2:$E$701,MATCH($A174&amp;"|"&amp;$B174&amp;"|placement|Y",photos!$R$2:$R$701,0))),""))</f>
        <v/>
      </c>
      <c r="Z174" s="30" t="str">
        <f aca="false">IF($A174="","",IF(COUNTIFS(counts!$C$2:$C$701,$A174,counts!$D$2:$D$701,$B174,counts!$E$2:$E$701,"placed")=0,"",SUMIFS(counts!$F$2:$F$701,counts!$C$2:$C$701,$A174,counts!$D$2:$D$701,$B174,counts!$E$2:$E$701,"placed")))</f>
        <v/>
      </c>
      <c r="AA174" s="30" t="str">
        <f aca="false">IF($A174="","",IF($Y174="",0,N($Z174)))</f>
        <v/>
      </c>
      <c r="AB174" s="30" t="str">
        <f aca="false">IF($A174="","",IF(OR($Y174="",$I174=""),"N",IF($Y174&lt;=WORKDAY(N($I174),1,calendar!$A$2:$A$80),"Y","N")))</f>
        <v/>
      </c>
      <c r="AC174" s="33" t="str">
        <f aca="false">IF(OR($A174="",$V174="",$Y174=""),"",ROUND(($Y174+N(IFERROR(IF(INDEX(photos!$F$2:$F$701,MATCH($A174&amp;"|"&amp;$B174&amp;"|placement|Y",photos!$R$2:$R$701,0))="","",INDEX(photos!$F$2:$F$701,MATCH($A174&amp;"|"&amp;$B174&amp;"|placement|Y",photos!$R$2:$R$701,0))),""))-$V174)*24,1))</f>
        <v/>
      </c>
      <c r="AD174" s="30" t="str">
        <f aca="false">IF($A174="","",SUMIFS(inventory!$G$2:$G$801,inventory!$C$2:$C$801,$A174,inventory!$D$2:$D$801,$B174,inventory!$E$2:$E$801,"topped_up"))</f>
        <v/>
      </c>
      <c r="AE174" s="30" t="str">
        <f aca="false">IF($A174="","",IF(COUNTIFS(counts!$C$2:$C$701,$A174,counts!$D$2:$D$701,$B174,counts!$E$2:$E$701,"remaining_day3")=0,"",SUMIFS(counts!$F$2:$F$701,counts!$C$2:$C$701,$A174,counts!$D$2:$D$701,$B174,counts!$E$2:$E$701,"remaining_day3")))</f>
        <v/>
      </c>
      <c r="AF174" s="30" t="str">
        <f aca="false">IF($A174="","",IF(COUNTIFS(counts!$C$2:$C$701,$A174,counts!$D$2:$D$701,$B174,counts!$E$2:$E$701,"remaining_day5")=0,"",SUMIFS(counts!$F$2:$F$701,counts!$C$2:$C$701,$A174,counts!$D$2:$D$701,$B174,counts!$E$2:$E$701,"remaining_day5")))</f>
        <v/>
      </c>
      <c r="AG174" s="30" t="str">
        <f aca="false">IF(OR($A174="",$AF174=""),"",MAX(0,$AA174+$AD174-$AF174))</f>
        <v/>
      </c>
      <c r="AH174" s="30" t="str">
        <f aca="false">IF(OR($A174="",$AI174=""),"",IFERROR(IF(INDEX(photos!$H$2:$H$701,MATCH($A174&amp;"|"&amp;$B174&amp;"|later|Y|"&amp;$AI174,photos!$S$2:$S$701,0))="","",INDEX(photos!$H$2:$H$701,MATCH($A174&amp;"|"&amp;$B174&amp;"|later|Y|"&amp;$AI174,photos!$S$2:$S$701,0))),""))</f>
        <v/>
      </c>
      <c r="AI174" s="31" t="str">
        <f aca="false">IF($A174="","",IFERROR(1/(1/SUMPRODUCT(MAX((photos!$B$2:$B$701=$A174)*(photos!$C$2:$C$701=$B174)*(photos!$D$2:$D$701="later")*(photos!$O$2:$O$701="Y")*photos!$E$2:$E$701))),""))</f>
        <v/>
      </c>
      <c r="AJ174" s="30" t="str">
        <f aca="false">IF(OR($A174="",$AI174="",$I174=""),"",NETWORKDAYS($I174,$AI174,calendar!$A$2:$A$80))</f>
        <v/>
      </c>
      <c r="AK174" s="30" t="str">
        <f aca="false">IF($A174="","",IF(AND($X174&lt;&gt;"",$AH174&lt;&gt;""),"Y","N"))</f>
        <v/>
      </c>
      <c r="AL174" s="30" t="str">
        <f aca="true">IF(OR($A174="",$I174=""),"",IF($BC174="Y",SUMIFS(survey_frozen!$C$2:$C$251,survey_frozen!$P$2:$P$251,$A174&amp;"|"&amp;$B174),IFERROR(COUNTIFS(INDIRECT("'"&amp;$A174&amp;"'!$B$2:$B$501"),$T174,INDIRECT("'"&amp;$A174&amp;"'!$A$2:$A$501"),"&gt;="&amp;$I174,INDIRECT("'"&amp;$A174&amp;"'!$A$2:$A$501"),"&lt;"&amp;($BA174+1)),0)))</f>
        <v/>
      </c>
      <c r="AM174" s="30" t="str">
        <f aca="true">IF(OR($A174="",$I174=""),"",IF($BC174="Y",SUMIFS(survey_frozen!$D$2:$D$251,survey_frozen!$P$2:$P$251,$A174&amp;"|"&amp;$B174),IFERROR(COUNTIFS(INDIRECT("'"&amp;$A174&amp;"'!$B$2:$B$501"),$T174,INDIRECT("'"&amp;$A174&amp;"'!$A$2:$A$501"),"&gt;="&amp;$I174,INDIRECT("'"&amp;$A174&amp;"'!$A$2:$A$501"),"&lt;"&amp;($BA174+1),INDIRECT("'"&amp;$A174&amp;"'!$C$2:$C$501"),"Yes"),0)))</f>
        <v/>
      </c>
      <c r="AN174" s="30" t="str">
        <f aca="false">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30" t="str">
        <f aca="false">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30" t="str">
        <f aca="true">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30" t="str">
        <f aca="true">IF(OR($A174="",$I174=""),"",IF($BC174="Y",SUMIFS(survey_frozen!$E$2:$E$251,survey_frozen!$P$2:$P$251,$A174&amp;"|"&amp;$B174),IFERROR(COUNTIFS(INDIRECT("'"&amp;$A174&amp;"'!$B$2:$B$501"),$T174,INDIRECT("'"&amp;$A174&amp;"'!$A$2:$A$501"),"&gt;="&amp;$I174,INDIRECT("'"&amp;$A174&amp;"'!$A$2:$A$501"),"&lt;"&amp;($BA174+1),INDIRECT("'"&amp;$A174&amp;"'!$F$2:$F$501"),"Didn't see it"),0)))</f>
        <v/>
      </c>
      <c r="AR174" s="30" t="str">
        <f aca="true">IF(OR($A174="",$I174=""),"",IF($BC174="Y",SUMIFS(survey_frozen!$F$2:$F$251,survey_frozen!$P$2:$P$251,$A174&amp;"|"&amp;$B174),IFERROR(COUNTIFS(INDIRECT("'"&amp;$A174&amp;"'!$B$2:$B$501"),$T174,INDIRECT("'"&amp;$A174&amp;"'!$A$2:$A$501"),"&gt;="&amp;$I174,INDIRECT("'"&amp;$A174&amp;"'!$A$2:$A$501"),"&lt;"&amp;($BA174+1),INDIRECT("'"&amp;$A174&amp;"'!$F$2:$F$501"),"Not for me"),0)))</f>
        <v/>
      </c>
      <c r="AS174" s="30" t="str">
        <f aca="true">IF(OR($A174="",$I174=""),"",IF($BC174="Y",SUMIFS(survey_frozen!$G$2:$G$251,survey_frozen!$P$2:$P$251,$A174&amp;"|"&amp;$B174),IFERROR(COUNTIFS(INDIRECT("'"&amp;$A174&amp;"'!$B$2:$B$501"),$T174,INDIRECT("'"&amp;$A174&amp;"'!$A$2:$A$501"),"&gt;="&amp;$I174,INDIRECT("'"&amp;$A174&amp;"'!$A$2:$A$501"),"&lt;"&amp;($BA174+1),INDIRECT("'"&amp;$A174&amp;"'!$F$2:$F$501"),"Gone by the time I looked"),0)))</f>
        <v/>
      </c>
      <c r="AT174" s="30" t="str">
        <f aca="true">IF(OR($A174="",$I174=""),"",IF($BC174="Y",SUMIFS(survey_frozen!$H$2:$H$251,survey_frozen!$P$2:$P$251,$A174&amp;"|"&amp;$B174),IFERROR(COUNTIFS(INDIRECT("'"&amp;$A174&amp;"'!$B$2:$B$501"),$T174,INDIRECT("'"&amp;$A174&amp;"'!$A$2:$A$501"),"&gt;="&amp;$I174,INDIRECT("'"&amp;$A174&amp;"'!$A$2:$A$501"),"&lt;"&amp;($BA174+1),INDIRECT("'"&amp;$A174&amp;"'!$D$2:$D$501"),"&gt;=1"),0)))</f>
        <v/>
      </c>
      <c r="AU174" s="30" t="str">
        <f aca="true">IF(OR($A174="",$I174=""),"",IF($BC174="Y",SUMIFS(survey_frozen!$I$2:$I$251,survey_frozen!$P$2:$P$251,$A174&amp;"|"&amp;$B174),IFERROR(SUMIFS(INDIRECT("'"&amp;$A174&amp;"'!$D$2:$D$501"),INDIRECT("'"&amp;$A174&amp;"'!$B$2:$B$501"),$T174,INDIRECT("'"&amp;$A174&amp;"'!$A$2:$A$501"),"&gt;="&amp;$I174,INDIRECT("'"&amp;$A174&amp;"'!$A$2:$A$501"),"&lt;"&amp;($BA174+1)),0)))</f>
        <v/>
      </c>
      <c r="AV174" s="30" t="str">
        <f aca="true">IF(OR($A174="",$I174=""),"",IF($BC174="Y",SUMIFS(survey_frozen!$J$2:$J$251,survey_frozen!$P$2:$P$251,$A174&amp;"|"&amp;$B174),IFERROR(COUNTIFS(INDIRECT("'"&amp;$A174&amp;"'!$B$2:$B$501"),$T174,INDIRECT("'"&amp;$A174&amp;"'!$A$2:$A$501"),"&gt;="&amp;$I174,INDIRECT("'"&amp;$A174&amp;"'!$A$2:$A$501"),"&lt;"&amp;($BA174+1),INDIRECT("'"&amp;$A174&amp;"'!$E$2:$E$501"),"Yes"),0)))</f>
        <v/>
      </c>
      <c r="AW174" s="30" t="str">
        <f aca="true">IF(OR($A174="",$I174=""),"",IF($BC174="Y",SUMIFS(survey_frozen!$K$2:$K$251,survey_frozen!$P$2:$P$251,$A174&amp;"|"&amp;$B174),IFERROR(COUNTIFS(INDIRECT("'"&amp;$A174&amp;"'!$B$2:$B$501"),$T174,INDIRECT("'"&amp;$A174&amp;"'!$A$2:$A$501"),"&gt;="&amp;$I174,INDIRECT("'"&amp;$A174&amp;"'!$A$2:$A$501"),"&lt;"&amp;($BA174+1),INDIRECT("'"&amp;$A174&amp;"'!$E$2:$E$501"),"Maybe"),0)))</f>
        <v/>
      </c>
      <c r="AX174" s="30" t="str">
        <f aca="true">IF(OR($A174="",$I174=""),"",IF($BC174="Y",SUMIFS(survey_frozen!$L$2:$L$251,survey_frozen!$P$2:$P$251,$A174&amp;"|"&amp;$B174),IFERROR(COUNTIFS(INDIRECT("'"&amp;$A174&amp;"'!$B$2:$B$501"),$T174,INDIRECT("'"&amp;$A174&amp;"'!$A$2:$A$501"),"&gt;="&amp;$I174,INDIRECT("'"&amp;$A174&amp;"'!$A$2:$A$501"),"&lt;"&amp;($BA174+1),INDIRECT("'"&amp;$A174&amp;"'!$E$2:$E$501"),"No"),0)))</f>
        <v/>
      </c>
      <c r="AY174" s="30" t="str">
        <f aca="true">IF(OR($A174="",$I174=""),"",IF($BC174="Y",SUMIFS(survey_frozen!$M$2:$M$251,survey_frozen!$P$2:$P$251,$A174&amp;"|"&amp;$B174),IFERROR(COUNTIFS(INDIRECT("'"&amp;$A174&amp;"'!$B$2:$B$501"),$T174,INDIRECT("'"&amp;$A174&amp;"'!$A$2:$A$501"),"&gt;="&amp;$I174,INDIRECT("'"&amp;$A174&amp;"'!$A$2:$A$501"),"&lt;"&amp;($BA174+1),INDIRECT("'"&amp;$A174&amp;"'!$G$2:$G$501"),"&lt;&gt;"),0)))</f>
        <v/>
      </c>
      <c r="AZ174" s="30" t="str">
        <f aca="false">IF($A174="","",$A174&amp;"|"&amp;$L174)</f>
        <v/>
      </c>
      <c r="BA174" s="31" t="str">
        <f aca="false">IF($A174="","",IFERROR(IF(INDEX(drops!$R$2:$R$21,MATCH($H174,drops!$A$2:$A$21,0))="","",INDEX(drops!$R$2:$R$21,MATCH($H174,drops!$A$2:$A$21,0))),""))</f>
        <v/>
      </c>
      <c r="BB174" s="30" t="n">
        <f aca="false">IF(OR($A174="",$Q174&lt;&gt;"Y"),1000000,N($AL174))</f>
        <v>1000000</v>
      </c>
      <c r="BC174" s="30" t="str">
        <f aca="false">IF($A174="","",IF(COUNTIF(survey_frozen!$P$2:$P$251,$A174&amp;"|"&amp;$B174)&gt;0,"Y",""))</f>
        <v/>
      </c>
      <c r="BD174" s="30" t="str">
        <f aca="false">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ustomFormat="false" ht="15" hidden="false" customHeight="false" outlineLevel="0" collapsed="false">
      <c r="C175" s="11"/>
      <c r="D175" s="10"/>
      <c r="E175" s="11"/>
      <c r="H175" s="30" t="str">
        <f aca="false">IF($A175="","",IFERROR(IF(INDEX(campaigns!$B$2:$B$51,MATCH($A175,campaigns!$A$2:$A$51,0))="","",INDEX(campaigns!$B$2:$B$51,MATCH($A175,campaigns!$A$2:$A$51,0))),""))</f>
        <v/>
      </c>
      <c r="I175" s="31" t="str">
        <f aca="false">IF($A175="","",IFERROR(IF(INDEX(campaigns!$BG$2:$BG$51,MATCH($A175,campaigns!$A$2:$A$51,0))="","",INDEX(campaigns!$BG$2:$BG$51,MATCH($A175,campaigns!$A$2:$A$51,0))),""))</f>
        <v/>
      </c>
      <c r="J175" s="30" t="str">
        <f aca="false">IF($A175="","",IFERROR(IF(INDEX(campaigns!$BE$2:$BE$51,MATCH($A175,campaigns!$A$2:$A$51,0))="","",INDEX(campaigns!$BE$2:$BE$51,MATCH($A175,campaigns!$A$2:$A$51,0))),""))</f>
        <v/>
      </c>
      <c r="K175" s="30" t="str">
        <f aca="false">IF($B175="","",IFERROR(IF(INDEX(offices!$O$2:$O$61,MATCH($B175,offices!$A$2:$A$61,0))="","",INDEX(offices!$O$2:$O$61,MATCH($B175,offices!$A$2:$A$61,0))),""))</f>
        <v/>
      </c>
      <c r="L175" s="30" t="str">
        <f aca="false">IF($A175="","",IF($Q175="N","",COUNTIFS($A$2:$A175,$A175,$Q$2:$Q175,"&lt;&gt;N")))</f>
        <v/>
      </c>
      <c r="M175" s="30" t="str">
        <f aca="false">IF(OR($A175="",$L175=""),"",IF(AND(config!$B$34="names_if_public",IFERROR(IF(INDEX(offices!$AG$2:$AG$61,MATCH($B175,offices!$A$2:$A$61,0))="","",INDEX(offices!$AG$2:$AG$61,MATCH($B175,offices!$A$2:$A$61,0))),"")="Y"),$K175,CHAR(64+$L175)))</f>
        <v/>
      </c>
      <c r="N175" s="30" t="str">
        <f aca="false">IF(OR($A175="",$I175=""),"",COUNTIFS(stops!$B$2:$B$151,$B175,stops!$P$2:$P$151,"&lt;"&amp;$I175,stops!$L$2:$L$151,"&lt;&gt;not_delivered")+1)</f>
        <v/>
      </c>
      <c r="O175" s="30" t="str">
        <f aca="false">IF($A175="","",IF(N($N175)&lt;=config!$B$29,"explicit","opt-out"))</f>
        <v/>
      </c>
      <c r="P175" s="30" t="str">
        <f aca="false">IF($A175="","",IF($O175="explicit",IF($D175="yes","Y",IF($D175="no","N","pending")),IF($D175="no","N",IF(AND($C175&lt;&gt;"",$I175&lt;&gt;"",$C175&lt;=WORKDAY(N($I175),-5,calendar!$A$2:$A$80)),"Y","pending"))))</f>
        <v/>
      </c>
      <c r="Q175" s="30" t="str">
        <f aca="false">IF($A175="","",IF($P175="N","N",IF($P175&lt;&gt;"Y","pending",IF(AND((COUNTIFS(stops!$A$2:$A$151,$H175,stops!$B$2:$B$151,$B175,stops!$L$2:$L$151,"declined")+COUNTIFS(stops!$A$2:$A$151,$H175,stops!$B$2:$B$151,$B175,stops!$L$2:$L$151,"building_refused")+COUNTIFS(stops!$A$2:$A$151,$H175,stops!$B$2:$B$151,$B175,stops!$L$2:$L$151,"not_delivered"))&gt;0,N($U175)=0),"N","Y"))))</f>
        <v/>
      </c>
      <c r="R175" s="30" t="str">
        <f aca="false">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30" t="str">
        <f aca="false">IF($A175="","",IF($G175&lt;&gt;"",$G175,IFERROR(IF(INDEX(offices!$AM$2:$AM$61,MATCH($B175,offices!$A$2:$A$61,0))="","",INDEX(offices!$AM$2:$AM$61,MATCH($B175,offices!$A$2:$A$61,0))),"")))</f>
        <v/>
      </c>
      <c r="T175" s="30" t="str">
        <f aca="false">IF($A175="","",$A175&amp;"."&amp;$B175)</f>
        <v/>
      </c>
      <c r="U175" s="30" t="str">
        <f aca="false">IF($A175="","",SUMIFS(inventory!$G$2:$G$801,inventory!$C$2:$C$801,$A175,inventory!$D$2:$D$801,$B175,inventory!$E$2:$E$801,"delivered"))</f>
        <v/>
      </c>
      <c r="V175" s="37" t="str">
        <f aca="false">IF($A175="","",IFERROR(1/(1/SUMPRODUCT(MAX((inventory!$C$2:$C$801=$A175)*(inventory!$D$2:$D$801=$B175)*(inventory!$E$2:$E$801="delivered")*(inventory!$A$2:$A$801+inventory!$B$2:$B$801)))),""))</f>
        <v/>
      </c>
      <c r="W175" s="30" t="str">
        <f aca="false">IF($A175="","",IFERROR(IF(INDEX(inventory!$J$2:$J$801,MATCH($A175&amp;"|"&amp;$B175&amp;"|delivered",inventory!$R$2:$R$801,0))="","",INDEX(inventory!$J$2:$J$801,MATCH($A175&amp;"|"&amp;$B175&amp;"|delivered",inventory!$R$2:$R$801,0))),""))</f>
        <v/>
      </c>
      <c r="X175" s="30" t="str">
        <f aca="false">IF($A175="","",IFERROR(IF(INDEX(photos!$H$2:$H$701,MATCH($A175&amp;"|"&amp;$B175&amp;"|placement|Y",photos!$R$2:$R$701,0))="","",INDEX(photos!$H$2:$H$701,MATCH($A175&amp;"|"&amp;$B175&amp;"|placement|Y",photos!$R$2:$R$701,0))),""))</f>
        <v/>
      </c>
      <c r="Y175" s="31" t="str">
        <f aca="false">IF($A175="","",IFERROR(IF(INDEX(photos!$E$2:$E$701,MATCH($A175&amp;"|"&amp;$B175&amp;"|placement|Y",photos!$R$2:$R$701,0))="","",INDEX(photos!$E$2:$E$701,MATCH($A175&amp;"|"&amp;$B175&amp;"|placement|Y",photos!$R$2:$R$701,0))),""))</f>
        <v/>
      </c>
      <c r="Z175" s="30" t="str">
        <f aca="false">IF($A175="","",IF(COUNTIFS(counts!$C$2:$C$701,$A175,counts!$D$2:$D$701,$B175,counts!$E$2:$E$701,"placed")=0,"",SUMIFS(counts!$F$2:$F$701,counts!$C$2:$C$701,$A175,counts!$D$2:$D$701,$B175,counts!$E$2:$E$701,"placed")))</f>
        <v/>
      </c>
      <c r="AA175" s="30" t="str">
        <f aca="false">IF($A175="","",IF($Y175="",0,N($Z175)))</f>
        <v/>
      </c>
      <c r="AB175" s="30" t="str">
        <f aca="false">IF($A175="","",IF(OR($Y175="",$I175=""),"N",IF($Y175&lt;=WORKDAY(N($I175),1,calendar!$A$2:$A$80),"Y","N")))</f>
        <v/>
      </c>
      <c r="AC175" s="33" t="str">
        <f aca="false">IF(OR($A175="",$V175="",$Y175=""),"",ROUND(($Y175+N(IFERROR(IF(INDEX(photos!$F$2:$F$701,MATCH($A175&amp;"|"&amp;$B175&amp;"|placement|Y",photos!$R$2:$R$701,0))="","",INDEX(photos!$F$2:$F$701,MATCH($A175&amp;"|"&amp;$B175&amp;"|placement|Y",photos!$R$2:$R$701,0))),""))-$V175)*24,1))</f>
        <v/>
      </c>
      <c r="AD175" s="30" t="str">
        <f aca="false">IF($A175="","",SUMIFS(inventory!$G$2:$G$801,inventory!$C$2:$C$801,$A175,inventory!$D$2:$D$801,$B175,inventory!$E$2:$E$801,"topped_up"))</f>
        <v/>
      </c>
      <c r="AE175" s="30" t="str">
        <f aca="false">IF($A175="","",IF(COUNTIFS(counts!$C$2:$C$701,$A175,counts!$D$2:$D$701,$B175,counts!$E$2:$E$701,"remaining_day3")=0,"",SUMIFS(counts!$F$2:$F$701,counts!$C$2:$C$701,$A175,counts!$D$2:$D$701,$B175,counts!$E$2:$E$701,"remaining_day3")))</f>
        <v/>
      </c>
      <c r="AF175" s="30" t="str">
        <f aca="false">IF($A175="","",IF(COUNTIFS(counts!$C$2:$C$701,$A175,counts!$D$2:$D$701,$B175,counts!$E$2:$E$701,"remaining_day5")=0,"",SUMIFS(counts!$F$2:$F$701,counts!$C$2:$C$701,$A175,counts!$D$2:$D$701,$B175,counts!$E$2:$E$701,"remaining_day5")))</f>
        <v/>
      </c>
      <c r="AG175" s="30" t="str">
        <f aca="false">IF(OR($A175="",$AF175=""),"",MAX(0,$AA175+$AD175-$AF175))</f>
        <v/>
      </c>
      <c r="AH175" s="30" t="str">
        <f aca="false">IF(OR($A175="",$AI175=""),"",IFERROR(IF(INDEX(photos!$H$2:$H$701,MATCH($A175&amp;"|"&amp;$B175&amp;"|later|Y|"&amp;$AI175,photos!$S$2:$S$701,0))="","",INDEX(photos!$H$2:$H$701,MATCH($A175&amp;"|"&amp;$B175&amp;"|later|Y|"&amp;$AI175,photos!$S$2:$S$701,0))),""))</f>
        <v/>
      </c>
      <c r="AI175" s="31" t="str">
        <f aca="false">IF($A175="","",IFERROR(1/(1/SUMPRODUCT(MAX((photos!$B$2:$B$701=$A175)*(photos!$C$2:$C$701=$B175)*(photos!$D$2:$D$701="later")*(photos!$O$2:$O$701="Y")*photos!$E$2:$E$701))),""))</f>
        <v/>
      </c>
      <c r="AJ175" s="30" t="str">
        <f aca="false">IF(OR($A175="",$AI175="",$I175=""),"",NETWORKDAYS($I175,$AI175,calendar!$A$2:$A$80))</f>
        <v/>
      </c>
      <c r="AK175" s="30" t="str">
        <f aca="false">IF($A175="","",IF(AND($X175&lt;&gt;"",$AH175&lt;&gt;""),"Y","N"))</f>
        <v/>
      </c>
      <c r="AL175" s="30" t="str">
        <f aca="true">IF(OR($A175="",$I175=""),"",IF($BC175="Y",SUMIFS(survey_frozen!$C$2:$C$251,survey_frozen!$P$2:$P$251,$A175&amp;"|"&amp;$B175),IFERROR(COUNTIFS(INDIRECT("'"&amp;$A175&amp;"'!$B$2:$B$501"),$T175,INDIRECT("'"&amp;$A175&amp;"'!$A$2:$A$501"),"&gt;="&amp;$I175,INDIRECT("'"&amp;$A175&amp;"'!$A$2:$A$501"),"&lt;"&amp;($BA175+1)),0)))</f>
        <v/>
      </c>
      <c r="AM175" s="30" t="str">
        <f aca="true">IF(OR($A175="",$I175=""),"",IF($BC175="Y",SUMIFS(survey_frozen!$D$2:$D$251,survey_frozen!$P$2:$P$251,$A175&amp;"|"&amp;$B175),IFERROR(COUNTIFS(INDIRECT("'"&amp;$A175&amp;"'!$B$2:$B$501"),$T175,INDIRECT("'"&amp;$A175&amp;"'!$A$2:$A$501"),"&gt;="&amp;$I175,INDIRECT("'"&amp;$A175&amp;"'!$A$2:$A$501"),"&lt;"&amp;($BA175+1),INDIRECT("'"&amp;$A175&amp;"'!$C$2:$C$501"),"Yes"),0)))</f>
        <v/>
      </c>
      <c r="AN175" s="30" t="str">
        <f aca="false">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30" t="str">
        <f aca="false">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30" t="str">
        <f aca="true">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30" t="str">
        <f aca="true">IF(OR($A175="",$I175=""),"",IF($BC175="Y",SUMIFS(survey_frozen!$E$2:$E$251,survey_frozen!$P$2:$P$251,$A175&amp;"|"&amp;$B175),IFERROR(COUNTIFS(INDIRECT("'"&amp;$A175&amp;"'!$B$2:$B$501"),$T175,INDIRECT("'"&amp;$A175&amp;"'!$A$2:$A$501"),"&gt;="&amp;$I175,INDIRECT("'"&amp;$A175&amp;"'!$A$2:$A$501"),"&lt;"&amp;($BA175+1),INDIRECT("'"&amp;$A175&amp;"'!$F$2:$F$501"),"Didn't see it"),0)))</f>
        <v/>
      </c>
      <c r="AR175" s="30" t="str">
        <f aca="true">IF(OR($A175="",$I175=""),"",IF($BC175="Y",SUMIFS(survey_frozen!$F$2:$F$251,survey_frozen!$P$2:$P$251,$A175&amp;"|"&amp;$B175),IFERROR(COUNTIFS(INDIRECT("'"&amp;$A175&amp;"'!$B$2:$B$501"),$T175,INDIRECT("'"&amp;$A175&amp;"'!$A$2:$A$501"),"&gt;="&amp;$I175,INDIRECT("'"&amp;$A175&amp;"'!$A$2:$A$501"),"&lt;"&amp;($BA175+1),INDIRECT("'"&amp;$A175&amp;"'!$F$2:$F$501"),"Not for me"),0)))</f>
        <v/>
      </c>
      <c r="AS175" s="30" t="str">
        <f aca="true">IF(OR($A175="",$I175=""),"",IF($BC175="Y",SUMIFS(survey_frozen!$G$2:$G$251,survey_frozen!$P$2:$P$251,$A175&amp;"|"&amp;$B175),IFERROR(COUNTIFS(INDIRECT("'"&amp;$A175&amp;"'!$B$2:$B$501"),$T175,INDIRECT("'"&amp;$A175&amp;"'!$A$2:$A$501"),"&gt;="&amp;$I175,INDIRECT("'"&amp;$A175&amp;"'!$A$2:$A$501"),"&lt;"&amp;($BA175+1),INDIRECT("'"&amp;$A175&amp;"'!$F$2:$F$501"),"Gone by the time I looked"),0)))</f>
        <v/>
      </c>
      <c r="AT175" s="30" t="str">
        <f aca="true">IF(OR($A175="",$I175=""),"",IF($BC175="Y",SUMIFS(survey_frozen!$H$2:$H$251,survey_frozen!$P$2:$P$251,$A175&amp;"|"&amp;$B175),IFERROR(COUNTIFS(INDIRECT("'"&amp;$A175&amp;"'!$B$2:$B$501"),$T175,INDIRECT("'"&amp;$A175&amp;"'!$A$2:$A$501"),"&gt;="&amp;$I175,INDIRECT("'"&amp;$A175&amp;"'!$A$2:$A$501"),"&lt;"&amp;($BA175+1),INDIRECT("'"&amp;$A175&amp;"'!$D$2:$D$501"),"&gt;=1"),0)))</f>
        <v/>
      </c>
      <c r="AU175" s="30" t="str">
        <f aca="true">IF(OR($A175="",$I175=""),"",IF($BC175="Y",SUMIFS(survey_frozen!$I$2:$I$251,survey_frozen!$P$2:$P$251,$A175&amp;"|"&amp;$B175),IFERROR(SUMIFS(INDIRECT("'"&amp;$A175&amp;"'!$D$2:$D$501"),INDIRECT("'"&amp;$A175&amp;"'!$B$2:$B$501"),$T175,INDIRECT("'"&amp;$A175&amp;"'!$A$2:$A$501"),"&gt;="&amp;$I175,INDIRECT("'"&amp;$A175&amp;"'!$A$2:$A$501"),"&lt;"&amp;($BA175+1)),0)))</f>
        <v/>
      </c>
      <c r="AV175" s="30" t="str">
        <f aca="true">IF(OR($A175="",$I175=""),"",IF($BC175="Y",SUMIFS(survey_frozen!$J$2:$J$251,survey_frozen!$P$2:$P$251,$A175&amp;"|"&amp;$B175),IFERROR(COUNTIFS(INDIRECT("'"&amp;$A175&amp;"'!$B$2:$B$501"),$T175,INDIRECT("'"&amp;$A175&amp;"'!$A$2:$A$501"),"&gt;="&amp;$I175,INDIRECT("'"&amp;$A175&amp;"'!$A$2:$A$501"),"&lt;"&amp;($BA175+1),INDIRECT("'"&amp;$A175&amp;"'!$E$2:$E$501"),"Yes"),0)))</f>
        <v/>
      </c>
      <c r="AW175" s="30" t="str">
        <f aca="true">IF(OR($A175="",$I175=""),"",IF($BC175="Y",SUMIFS(survey_frozen!$K$2:$K$251,survey_frozen!$P$2:$P$251,$A175&amp;"|"&amp;$B175),IFERROR(COUNTIFS(INDIRECT("'"&amp;$A175&amp;"'!$B$2:$B$501"),$T175,INDIRECT("'"&amp;$A175&amp;"'!$A$2:$A$501"),"&gt;="&amp;$I175,INDIRECT("'"&amp;$A175&amp;"'!$A$2:$A$501"),"&lt;"&amp;($BA175+1),INDIRECT("'"&amp;$A175&amp;"'!$E$2:$E$501"),"Maybe"),0)))</f>
        <v/>
      </c>
      <c r="AX175" s="30" t="str">
        <f aca="true">IF(OR($A175="",$I175=""),"",IF($BC175="Y",SUMIFS(survey_frozen!$L$2:$L$251,survey_frozen!$P$2:$P$251,$A175&amp;"|"&amp;$B175),IFERROR(COUNTIFS(INDIRECT("'"&amp;$A175&amp;"'!$B$2:$B$501"),$T175,INDIRECT("'"&amp;$A175&amp;"'!$A$2:$A$501"),"&gt;="&amp;$I175,INDIRECT("'"&amp;$A175&amp;"'!$A$2:$A$501"),"&lt;"&amp;($BA175+1),INDIRECT("'"&amp;$A175&amp;"'!$E$2:$E$501"),"No"),0)))</f>
        <v/>
      </c>
      <c r="AY175" s="30" t="str">
        <f aca="true">IF(OR($A175="",$I175=""),"",IF($BC175="Y",SUMIFS(survey_frozen!$M$2:$M$251,survey_frozen!$P$2:$P$251,$A175&amp;"|"&amp;$B175),IFERROR(COUNTIFS(INDIRECT("'"&amp;$A175&amp;"'!$B$2:$B$501"),$T175,INDIRECT("'"&amp;$A175&amp;"'!$A$2:$A$501"),"&gt;="&amp;$I175,INDIRECT("'"&amp;$A175&amp;"'!$A$2:$A$501"),"&lt;"&amp;($BA175+1),INDIRECT("'"&amp;$A175&amp;"'!$G$2:$G$501"),"&lt;&gt;"),0)))</f>
        <v/>
      </c>
      <c r="AZ175" s="30" t="str">
        <f aca="false">IF($A175="","",$A175&amp;"|"&amp;$L175)</f>
        <v/>
      </c>
      <c r="BA175" s="31" t="str">
        <f aca="false">IF($A175="","",IFERROR(IF(INDEX(drops!$R$2:$R$21,MATCH($H175,drops!$A$2:$A$21,0))="","",INDEX(drops!$R$2:$R$21,MATCH($H175,drops!$A$2:$A$21,0))),""))</f>
        <v/>
      </c>
      <c r="BB175" s="30" t="n">
        <f aca="false">IF(OR($A175="",$Q175&lt;&gt;"Y"),1000000,N($AL175))</f>
        <v>1000000</v>
      </c>
      <c r="BC175" s="30" t="str">
        <f aca="false">IF($A175="","",IF(COUNTIF(survey_frozen!$P$2:$P$251,$A175&amp;"|"&amp;$B175)&gt;0,"Y",""))</f>
        <v/>
      </c>
      <c r="BD175" s="30" t="str">
        <f aca="false">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ustomFormat="false" ht="15" hidden="false" customHeight="false" outlineLevel="0" collapsed="false">
      <c r="C176" s="11"/>
      <c r="D176" s="10"/>
      <c r="E176" s="11"/>
      <c r="H176" s="30" t="str">
        <f aca="false">IF($A176="","",IFERROR(IF(INDEX(campaigns!$B$2:$B$51,MATCH($A176,campaigns!$A$2:$A$51,0))="","",INDEX(campaigns!$B$2:$B$51,MATCH($A176,campaigns!$A$2:$A$51,0))),""))</f>
        <v/>
      </c>
      <c r="I176" s="31" t="str">
        <f aca="false">IF($A176="","",IFERROR(IF(INDEX(campaigns!$BG$2:$BG$51,MATCH($A176,campaigns!$A$2:$A$51,0))="","",INDEX(campaigns!$BG$2:$BG$51,MATCH($A176,campaigns!$A$2:$A$51,0))),""))</f>
        <v/>
      </c>
      <c r="J176" s="30" t="str">
        <f aca="false">IF($A176="","",IFERROR(IF(INDEX(campaigns!$BE$2:$BE$51,MATCH($A176,campaigns!$A$2:$A$51,0))="","",INDEX(campaigns!$BE$2:$BE$51,MATCH($A176,campaigns!$A$2:$A$51,0))),""))</f>
        <v/>
      </c>
      <c r="K176" s="30" t="str">
        <f aca="false">IF($B176="","",IFERROR(IF(INDEX(offices!$O$2:$O$61,MATCH($B176,offices!$A$2:$A$61,0))="","",INDEX(offices!$O$2:$O$61,MATCH($B176,offices!$A$2:$A$61,0))),""))</f>
        <v/>
      </c>
      <c r="L176" s="30" t="str">
        <f aca="false">IF($A176="","",IF($Q176="N","",COUNTIFS($A$2:$A176,$A176,$Q$2:$Q176,"&lt;&gt;N")))</f>
        <v/>
      </c>
      <c r="M176" s="30" t="str">
        <f aca="false">IF(OR($A176="",$L176=""),"",IF(AND(config!$B$34="names_if_public",IFERROR(IF(INDEX(offices!$AG$2:$AG$61,MATCH($B176,offices!$A$2:$A$61,0))="","",INDEX(offices!$AG$2:$AG$61,MATCH($B176,offices!$A$2:$A$61,0))),"")="Y"),$K176,CHAR(64+$L176)))</f>
        <v/>
      </c>
      <c r="N176" s="30" t="str">
        <f aca="false">IF(OR($A176="",$I176=""),"",COUNTIFS(stops!$B$2:$B$151,$B176,stops!$P$2:$P$151,"&lt;"&amp;$I176,stops!$L$2:$L$151,"&lt;&gt;not_delivered")+1)</f>
        <v/>
      </c>
      <c r="O176" s="30" t="str">
        <f aca="false">IF($A176="","",IF(N($N176)&lt;=config!$B$29,"explicit","opt-out"))</f>
        <v/>
      </c>
      <c r="P176" s="30" t="str">
        <f aca="false">IF($A176="","",IF($O176="explicit",IF($D176="yes","Y",IF($D176="no","N","pending")),IF($D176="no","N",IF(AND($C176&lt;&gt;"",$I176&lt;&gt;"",$C176&lt;=WORKDAY(N($I176),-5,calendar!$A$2:$A$80)),"Y","pending"))))</f>
        <v/>
      </c>
      <c r="Q176" s="30" t="str">
        <f aca="false">IF($A176="","",IF($P176="N","N",IF($P176&lt;&gt;"Y","pending",IF(AND((COUNTIFS(stops!$A$2:$A$151,$H176,stops!$B$2:$B$151,$B176,stops!$L$2:$L$151,"declined")+COUNTIFS(stops!$A$2:$A$151,$H176,stops!$B$2:$B$151,$B176,stops!$L$2:$L$151,"building_refused")+COUNTIFS(stops!$A$2:$A$151,$H176,stops!$B$2:$B$151,$B176,stops!$L$2:$L$151,"not_delivered"))&gt;0,N($U176)=0),"N","Y"))))</f>
        <v/>
      </c>
      <c r="R176" s="30" t="str">
        <f aca="false">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30" t="str">
        <f aca="false">IF($A176="","",IF($G176&lt;&gt;"",$G176,IFERROR(IF(INDEX(offices!$AM$2:$AM$61,MATCH($B176,offices!$A$2:$A$61,0))="","",INDEX(offices!$AM$2:$AM$61,MATCH($B176,offices!$A$2:$A$61,0))),"")))</f>
        <v/>
      </c>
      <c r="T176" s="30" t="str">
        <f aca="false">IF($A176="","",$A176&amp;"."&amp;$B176)</f>
        <v/>
      </c>
      <c r="U176" s="30" t="str">
        <f aca="false">IF($A176="","",SUMIFS(inventory!$G$2:$G$801,inventory!$C$2:$C$801,$A176,inventory!$D$2:$D$801,$B176,inventory!$E$2:$E$801,"delivered"))</f>
        <v/>
      </c>
      <c r="V176" s="37" t="str">
        <f aca="false">IF($A176="","",IFERROR(1/(1/SUMPRODUCT(MAX((inventory!$C$2:$C$801=$A176)*(inventory!$D$2:$D$801=$B176)*(inventory!$E$2:$E$801="delivered")*(inventory!$A$2:$A$801+inventory!$B$2:$B$801)))),""))</f>
        <v/>
      </c>
      <c r="W176" s="30" t="str">
        <f aca="false">IF($A176="","",IFERROR(IF(INDEX(inventory!$J$2:$J$801,MATCH($A176&amp;"|"&amp;$B176&amp;"|delivered",inventory!$R$2:$R$801,0))="","",INDEX(inventory!$J$2:$J$801,MATCH($A176&amp;"|"&amp;$B176&amp;"|delivered",inventory!$R$2:$R$801,0))),""))</f>
        <v/>
      </c>
      <c r="X176" s="30" t="str">
        <f aca="false">IF($A176="","",IFERROR(IF(INDEX(photos!$H$2:$H$701,MATCH($A176&amp;"|"&amp;$B176&amp;"|placement|Y",photos!$R$2:$R$701,0))="","",INDEX(photos!$H$2:$H$701,MATCH($A176&amp;"|"&amp;$B176&amp;"|placement|Y",photos!$R$2:$R$701,0))),""))</f>
        <v/>
      </c>
      <c r="Y176" s="31" t="str">
        <f aca="false">IF($A176="","",IFERROR(IF(INDEX(photos!$E$2:$E$701,MATCH($A176&amp;"|"&amp;$B176&amp;"|placement|Y",photos!$R$2:$R$701,0))="","",INDEX(photos!$E$2:$E$701,MATCH($A176&amp;"|"&amp;$B176&amp;"|placement|Y",photos!$R$2:$R$701,0))),""))</f>
        <v/>
      </c>
      <c r="Z176" s="30" t="str">
        <f aca="false">IF($A176="","",IF(COUNTIFS(counts!$C$2:$C$701,$A176,counts!$D$2:$D$701,$B176,counts!$E$2:$E$701,"placed")=0,"",SUMIFS(counts!$F$2:$F$701,counts!$C$2:$C$701,$A176,counts!$D$2:$D$701,$B176,counts!$E$2:$E$701,"placed")))</f>
        <v/>
      </c>
      <c r="AA176" s="30" t="str">
        <f aca="false">IF($A176="","",IF($Y176="",0,N($Z176)))</f>
        <v/>
      </c>
      <c r="AB176" s="30" t="str">
        <f aca="false">IF($A176="","",IF(OR($Y176="",$I176=""),"N",IF($Y176&lt;=WORKDAY(N($I176),1,calendar!$A$2:$A$80),"Y","N")))</f>
        <v/>
      </c>
      <c r="AC176" s="33" t="str">
        <f aca="false">IF(OR($A176="",$V176="",$Y176=""),"",ROUND(($Y176+N(IFERROR(IF(INDEX(photos!$F$2:$F$701,MATCH($A176&amp;"|"&amp;$B176&amp;"|placement|Y",photos!$R$2:$R$701,0))="","",INDEX(photos!$F$2:$F$701,MATCH($A176&amp;"|"&amp;$B176&amp;"|placement|Y",photos!$R$2:$R$701,0))),""))-$V176)*24,1))</f>
        <v/>
      </c>
      <c r="AD176" s="30" t="str">
        <f aca="false">IF($A176="","",SUMIFS(inventory!$G$2:$G$801,inventory!$C$2:$C$801,$A176,inventory!$D$2:$D$801,$B176,inventory!$E$2:$E$801,"topped_up"))</f>
        <v/>
      </c>
      <c r="AE176" s="30" t="str">
        <f aca="false">IF($A176="","",IF(COUNTIFS(counts!$C$2:$C$701,$A176,counts!$D$2:$D$701,$B176,counts!$E$2:$E$701,"remaining_day3")=0,"",SUMIFS(counts!$F$2:$F$701,counts!$C$2:$C$701,$A176,counts!$D$2:$D$701,$B176,counts!$E$2:$E$701,"remaining_day3")))</f>
        <v/>
      </c>
      <c r="AF176" s="30" t="str">
        <f aca="false">IF($A176="","",IF(COUNTIFS(counts!$C$2:$C$701,$A176,counts!$D$2:$D$701,$B176,counts!$E$2:$E$701,"remaining_day5")=0,"",SUMIFS(counts!$F$2:$F$701,counts!$C$2:$C$701,$A176,counts!$D$2:$D$701,$B176,counts!$E$2:$E$701,"remaining_day5")))</f>
        <v/>
      </c>
      <c r="AG176" s="30" t="str">
        <f aca="false">IF(OR($A176="",$AF176=""),"",MAX(0,$AA176+$AD176-$AF176))</f>
        <v/>
      </c>
      <c r="AH176" s="30" t="str">
        <f aca="false">IF(OR($A176="",$AI176=""),"",IFERROR(IF(INDEX(photos!$H$2:$H$701,MATCH($A176&amp;"|"&amp;$B176&amp;"|later|Y|"&amp;$AI176,photos!$S$2:$S$701,0))="","",INDEX(photos!$H$2:$H$701,MATCH($A176&amp;"|"&amp;$B176&amp;"|later|Y|"&amp;$AI176,photos!$S$2:$S$701,0))),""))</f>
        <v/>
      </c>
      <c r="AI176" s="31" t="str">
        <f aca="false">IF($A176="","",IFERROR(1/(1/SUMPRODUCT(MAX((photos!$B$2:$B$701=$A176)*(photos!$C$2:$C$701=$B176)*(photos!$D$2:$D$701="later")*(photos!$O$2:$O$701="Y")*photos!$E$2:$E$701))),""))</f>
        <v/>
      </c>
      <c r="AJ176" s="30" t="str">
        <f aca="false">IF(OR($A176="",$AI176="",$I176=""),"",NETWORKDAYS($I176,$AI176,calendar!$A$2:$A$80))</f>
        <v/>
      </c>
      <c r="AK176" s="30" t="str">
        <f aca="false">IF($A176="","",IF(AND($X176&lt;&gt;"",$AH176&lt;&gt;""),"Y","N"))</f>
        <v/>
      </c>
      <c r="AL176" s="30" t="str">
        <f aca="true">IF(OR($A176="",$I176=""),"",IF($BC176="Y",SUMIFS(survey_frozen!$C$2:$C$251,survey_frozen!$P$2:$P$251,$A176&amp;"|"&amp;$B176),IFERROR(COUNTIFS(INDIRECT("'"&amp;$A176&amp;"'!$B$2:$B$501"),$T176,INDIRECT("'"&amp;$A176&amp;"'!$A$2:$A$501"),"&gt;="&amp;$I176,INDIRECT("'"&amp;$A176&amp;"'!$A$2:$A$501"),"&lt;"&amp;($BA176+1)),0)))</f>
        <v/>
      </c>
      <c r="AM176" s="30" t="str">
        <f aca="true">IF(OR($A176="",$I176=""),"",IF($BC176="Y",SUMIFS(survey_frozen!$D$2:$D$251,survey_frozen!$P$2:$P$251,$A176&amp;"|"&amp;$B176),IFERROR(COUNTIFS(INDIRECT("'"&amp;$A176&amp;"'!$B$2:$B$501"),$T176,INDIRECT("'"&amp;$A176&amp;"'!$A$2:$A$501"),"&gt;="&amp;$I176,INDIRECT("'"&amp;$A176&amp;"'!$A$2:$A$501"),"&lt;"&amp;($BA176+1),INDIRECT("'"&amp;$A176&amp;"'!$C$2:$C$501"),"Yes"),0)))</f>
        <v/>
      </c>
      <c r="AN176" s="30" t="str">
        <f aca="false">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30" t="str">
        <f aca="false">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30" t="str">
        <f aca="true">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30" t="str">
        <f aca="true">IF(OR($A176="",$I176=""),"",IF($BC176="Y",SUMIFS(survey_frozen!$E$2:$E$251,survey_frozen!$P$2:$P$251,$A176&amp;"|"&amp;$B176),IFERROR(COUNTIFS(INDIRECT("'"&amp;$A176&amp;"'!$B$2:$B$501"),$T176,INDIRECT("'"&amp;$A176&amp;"'!$A$2:$A$501"),"&gt;="&amp;$I176,INDIRECT("'"&amp;$A176&amp;"'!$A$2:$A$501"),"&lt;"&amp;($BA176+1),INDIRECT("'"&amp;$A176&amp;"'!$F$2:$F$501"),"Didn't see it"),0)))</f>
        <v/>
      </c>
      <c r="AR176" s="30" t="str">
        <f aca="true">IF(OR($A176="",$I176=""),"",IF($BC176="Y",SUMIFS(survey_frozen!$F$2:$F$251,survey_frozen!$P$2:$P$251,$A176&amp;"|"&amp;$B176),IFERROR(COUNTIFS(INDIRECT("'"&amp;$A176&amp;"'!$B$2:$B$501"),$T176,INDIRECT("'"&amp;$A176&amp;"'!$A$2:$A$501"),"&gt;="&amp;$I176,INDIRECT("'"&amp;$A176&amp;"'!$A$2:$A$501"),"&lt;"&amp;($BA176+1),INDIRECT("'"&amp;$A176&amp;"'!$F$2:$F$501"),"Not for me"),0)))</f>
        <v/>
      </c>
      <c r="AS176" s="30" t="str">
        <f aca="true">IF(OR($A176="",$I176=""),"",IF($BC176="Y",SUMIFS(survey_frozen!$G$2:$G$251,survey_frozen!$P$2:$P$251,$A176&amp;"|"&amp;$B176),IFERROR(COUNTIFS(INDIRECT("'"&amp;$A176&amp;"'!$B$2:$B$501"),$T176,INDIRECT("'"&amp;$A176&amp;"'!$A$2:$A$501"),"&gt;="&amp;$I176,INDIRECT("'"&amp;$A176&amp;"'!$A$2:$A$501"),"&lt;"&amp;($BA176+1),INDIRECT("'"&amp;$A176&amp;"'!$F$2:$F$501"),"Gone by the time I looked"),0)))</f>
        <v/>
      </c>
      <c r="AT176" s="30" t="str">
        <f aca="true">IF(OR($A176="",$I176=""),"",IF($BC176="Y",SUMIFS(survey_frozen!$H$2:$H$251,survey_frozen!$P$2:$P$251,$A176&amp;"|"&amp;$B176),IFERROR(COUNTIFS(INDIRECT("'"&amp;$A176&amp;"'!$B$2:$B$501"),$T176,INDIRECT("'"&amp;$A176&amp;"'!$A$2:$A$501"),"&gt;="&amp;$I176,INDIRECT("'"&amp;$A176&amp;"'!$A$2:$A$501"),"&lt;"&amp;($BA176+1),INDIRECT("'"&amp;$A176&amp;"'!$D$2:$D$501"),"&gt;=1"),0)))</f>
        <v/>
      </c>
      <c r="AU176" s="30" t="str">
        <f aca="true">IF(OR($A176="",$I176=""),"",IF($BC176="Y",SUMIFS(survey_frozen!$I$2:$I$251,survey_frozen!$P$2:$P$251,$A176&amp;"|"&amp;$B176),IFERROR(SUMIFS(INDIRECT("'"&amp;$A176&amp;"'!$D$2:$D$501"),INDIRECT("'"&amp;$A176&amp;"'!$B$2:$B$501"),$T176,INDIRECT("'"&amp;$A176&amp;"'!$A$2:$A$501"),"&gt;="&amp;$I176,INDIRECT("'"&amp;$A176&amp;"'!$A$2:$A$501"),"&lt;"&amp;($BA176+1)),0)))</f>
        <v/>
      </c>
      <c r="AV176" s="30" t="str">
        <f aca="true">IF(OR($A176="",$I176=""),"",IF($BC176="Y",SUMIFS(survey_frozen!$J$2:$J$251,survey_frozen!$P$2:$P$251,$A176&amp;"|"&amp;$B176),IFERROR(COUNTIFS(INDIRECT("'"&amp;$A176&amp;"'!$B$2:$B$501"),$T176,INDIRECT("'"&amp;$A176&amp;"'!$A$2:$A$501"),"&gt;="&amp;$I176,INDIRECT("'"&amp;$A176&amp;"'!$A$2:$A$501"),"&lt;"&amp;($BA176+1),INDIRECT("'"&amp;$A176&amp;"'!$E$2:$E$501"),"Yes"),0)))</f>
        <v/>
      </c>
      <c r="AW176" s="30" t="str">
        <f aca="true">IF(OR($A176="",$I176=""),"",IF($BC176="Y",SUMIFS(survey_frozen!$K$2:$K$251,survey_frozen!$P$2:$P$251,$A176&amp;"|"&amp;$B176),IFERROR(COUNTIFS(INDIRECT("'"&amp;$A176&amp;"'!$B$2:$B$501"),$T176,INDIRECT("'"&amp;$A176&amp;"'!$A$2:$A$501"),"&gt;="&amp;$I176,INDIRECT("'"&amp;$A176&amp;"'!$A$2:$A$501"),"&lt;"&amp;($BA176+1),INDIRECT("'"&amp;$A176&amp;"'!$E$2:$E$501"),"Maybe"),0)))</f>
        <v/>
      </c>
      <c r="AX176" s="30" t="str">
        <f aca="true">IF(OR($A176="",$I176=""),"",IF($BC176="Y",SUMIFS(survey_frozen!$L$2:$L$251,survey_frozen!$P$2:$P$251,$A176&amp;"|"&amp;$B176),IFERROR(COUNTIFS(INDIRECT("'"&amp;$A176&amp;"'!$B$2:$B$501"),$T176,INDIRECT("'"&amp;$A176&amp;"'!$A$2:$A$501"),"&gt;="&amp;$I176,INDIRECT("'"&amp;$A176&amp;"'!$A$2:$A$501"),"&lt;"&amp;($BA176+1),INDIRECT("'"&amp;$A176&amp;"'!$E$2:$E$501"),"No"),0)))</f>
        <v/>
      </c>
      <c r="AY176" s="30" t="str">
        <f aca="true">IF(OR($A176="",$I176=""),"",IF($BC176="Y",SUMIFS(survey_frozen!$M$2:$M$251,survey_frozen!$P$2:$P$251,$A176&amp;"|"&amp;$B176),IFERROR(COUNTIFS(INDIRECT("'"&amp;$A176&amp;"'!$B$2:$B$501"),$T176,INDIRECT("'"&amp;$A176&amp;"'!$A$2:$A$501"),"&gt;="&amp;$I176,INDIRECT("'"&amp;$A176&amp;"'!$A$2:$A$501"),"&lt;"&amp;($BA176+1),INDIRECT("'"&amp;$A176&amp;"'!$G$2:$G$501"),"&lt;&gt;"),0)))</f>
        <v/>
      </c>
      <c r="AZ176" s="30" t="str">
        <f aca="false">IF($A176="","",$A176&amp;"|"&amp;$L176)</f>
        <v/>
      </c>
      <c r="BA176" s="31" t="str">
        <f aca="false">IF($A176="","",IFERROR(IF(INDEX(drops!$R$2:$R$21,MATCH($H176,drops!$A$2:$A$21,0))="","",INDEX(drops!$R$2:$R$21,MATCH($H176,drops!$A$2:$A$21,0))),""))</f>
        <v/>
      </c>
      <c r="BB176" s="30" t="n">
        <f aca="false">IF(OR($A176="",$Q176&lt;&gt;"Y"),1000000,N($AL176))</f>
        <v>1000000</v>
      </c>
      <c r="BC176" s="30" t="str">
        <f aca="false">IF($A176="","",IF(COUNTIF(survey_frozen!$P$2:$P$251,$A176&amp;"|"&amp;$B176)&gt;0,"Y",""))</f>
        <v/>
      </c>
      <c r="BD176" s="30" t="str">
        <f aca="false">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ustomFormat="false" ht="15" hidden="false" customHeight="false" outlineLevel="0" collapsed="false">
      <c r="C177" s="11"/>
      <c r="D177" s="10"/>
      <c r="E177" s="11"/>
      <c r="H177" s="30" t="str">
        <f aca="false">IF($A177="","",IFERROR(IF(INDEX(campaigns!$B$2:$B$51,MATCH($A177,campaigns!$A$2:$A$51,0))="","",INDEX(campaigns!$B$2:$B$51,MATCH($A177,campaigns!$A$2:$A$51,0))),""))</f>
        <v/>
      </c>
      <c r="I177" s="31" t="str">
        <f aca="false">IF($A177="","",IFERROR(IF(INDEX(campaigns!$BG$2:$BG$51,MATCH($A177,campaigns!$A$2:$A$51,0))="","",INDEX(campaigns!$BG$2:$BG$51,MATCH($A177,campaigns!$A$2:$A$51,0))),""))</f>
        <v/>
      </c>
      <c r="J177" s="30" t="str">
        <f aca="false">IF($A177="","",IFERROR(IF(INDEX(campaigns!$BE$2:$BE$51,MATCH($A177,campaigns!$A$2:$A$51,0))="","",INDEX(campaigns!$BE$2:$BE$51,MATCH($A177,campaigns!$A$2:$A$51,0))),""))</f>
        <v/>
      </c>
      <c r="K177" s="30" t="str">
        <f aca="false">IF($B177="","",IFERROR(IF(INDEX(offices!$O$2:$O$61,MATCH($B177,offices!$A$2:$A$61,0))="","",INDEX(offices!$O$2:$O$61,MATCH($B177,offices!$A$2:$A$61,0))),""))</f>
        <v/>
      </c>
      <c r="L177" s="30" t="str">
        <f aca="false">IF($A177="","",IF($Q177="N","",COUNTIFS($A$2:$A177,$A177,$Q$2:$Q177,"&lt;&gt;N")))</f>
        <v/>
      </c>
      <c r="M177" s="30" t="str">
        <f aca="false">IF(OR($A177="",$L177=""),"",IF(AND(config!$B$34="names_if_public",IFERROR(IF(INDEX(offices!$AG$2:$AG$61,MATCH($B177,offices!$A$2:$A$61,0))="","",INDEX(offices!$AG$2:$AG$61,MATCH($B177,offices!$A$2:$A$61,0))),"")="Y"),$K177,CHAR(64+$L177)))</f>
        <v/>
      </c>
      <c r="N177" s="30" t="str">
        <f aca="false">IF(OR($A177="",$I177=""),"",COUNTIFS(stops!$B$2:$B$151,$B177,stops!$P$2:$P$151,"&lt;"&amp;$I177,stops!$L$2:$L$151,"&lt;&gt;not_delivered")+1)</f>
        <v/>
      </c>
      <c r="O177" s="30" t="str">
        <f aca="false">IF($A177="","",IF(N($N177)&lt;=config!$B$29,"explicit","opt-out"))</f>
        <v/>
      </c>
      <c r="P177" s="30" t="str">
        <f aca="false">IF($A177="","",IF($O177="explicit",IF($D177="yes","Y",IF($D177="no","N","pending")),IF($D177="no","N",IF(AND($C177&lt;&gt;"",$I177&lt;&gt;"",$C177&lt;=WORKDAY(N($I177),-5,calendar!$A$2:$A$80)),"Y","pending"))))</f>
        <v/>
      </c>
      <c r="Q177" s="30" t="str">
        <f aca="false">IF($A177="","",IF($P177="N","N",IF($P177&lt;&gt;"Y","pending",IF(AND((COUNTIFS(stops!$A$2:$A$151,$H177,stops!$B$2:$B$151,$B177,stops!$L$2:$L$151,"declined")+COUNTIFS(stops!$A$2:$A$151,$H177,stops!$B$2:$B$151,$B177,stops!$L$2:$L$151,"building_refused")+COUNTIFS(stops!$A$2:$A$151,$H177,stops!$B$2:$B$151,$B177,stops!$L$2:$L$151,"not_delivered"))&gt;0,N($U177)=0),"N","Y"))))</f>
        <v/>
      </c>
      <c r="R177" s="30" t="str">
        <f aca="false">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30" t="str">
        <f aca="false">IF($A177="","",IF($G177&lt;&gt;"",$G177,IFERROR(IF(INDEX(offices!$AM$2:$AM$61,MATCH($B177,offices!$A$2:$A$61,0))="","",INDEX(offices!$AM$2:$AM$61,MATCH($B177,offices!$A$2:$A$61,0))),"")))</f>
        <v/>
      </c>
      <c r="T177" s="30" t="str">
        <f aca="false">IF($A177="","",$A177&amp;"."&amp;$B177)</f>
        <v/>
      </c>
      <c r="U177" s="30" t="str">
        <f aca="false">IF($A177="","",SUMIFS(inventory!$G$2:$G$801,inventory!$C$2:$C$801,$A177,inventory!$D$2:$D$801,$B177,inventory!$E$2:$E$801,"delivered"))</f>
        <v/>
      </c>
      <c r="V177" s="37" t="str">
        <f aca="false">IF($A177="","",IFERROR(1/(1/SUMPRODUCT(MAX((inventory!$C$2:$C$801=$A177)*(inventory!$D$2:$D$801=$B177)*(inventory!$E$2:$E$801="delivered")*(inventory!$A$2:$A$801+inventory!$B$2:$B$801)))),""))</f>
        <v/>
      </c>
      <c r="W177" s="30" t="str">
        <f aca="false">IF($A177="","",IFERROR(IF(INDEX(inventory!$J$2:$J$801,MATCH($A177&amp;"|"&amp;$B177&amp;"|delivered",inventory!$R$2:$R$801,0))="","",INDEX(inventory!$J$2:$J$801,MATCH($A177&amp;"|"&amp;$B177&amp;"|delivered",inventory!$R$2:$R$801,0))),""))</f>
        <v/>
      </c>
      <c r="X177" s="30" t="str">
        <f aca="false">IF($A177="","",IFERROR(IF(INDEX(photos!$H$2:$H$701,MATCH($A177&amp;"|"&amp;$B177&amp;"|placement|Y",photos!$R$2:$R$701,0))="","",INDEX(photos!$H$2:$H$701,MATCH($A177&amp;"|"&amp;$B177&amp;"|placement|Y",photos!$R$2:$R$701,0))),""))</f>
        <v/>
      </c>
      <c r="Y177" s="31" t="str">
        <f aca="false">IF($A177="","",IFERROR(IF(INDEX(photos!$E$2:$E$701,MATCH($A177&amp;"|"&amp;$B177&amp;"|placement|Y",photos!$R$2:$R$701,0))="","",INDEX(photos!$E$2:$E$701,MATCH($A177&amp;"|"&amp;$B177&amp;"|placement|Y",photos!$R$2:$R$701,0))),""))</f>
        <v/>
      </c>
      <c r="Z177" s="30" t="str">
        <f aca="false">IF($A177="","",IF(COUNTIFS(counts!$C$2:$C$701,$A177,counts!$D$2:$D$701,$B177,counts!$E$2:$E$701,"placed")=0,"",SUMIFS(counts!$F$2:$F$701,counts!$C$2:$C$701,$A177,counts!$D$2:$D$701,$B177,counts!$E$2:$E$701,"placed")))</f>
        <v/>
      </c>
      <c r="AA177" s="30" t="str">
        <f aca="false">IF($A177="","",IF($Y177="",0,N($Z177)))</f>
        <v/>
      </c>
      <c r="AB177" s="30" t="str">
        <f aca="false">IF($A177="","",IF(OR($Y177="",$I177=""),"N",IF($Y177&lt;=WORKDAY(N($I177),1,calendar!$A$2:$A$80),"Y","N")))</f>
        <v/>
      </c>
      <c r="AC177" s="33" t="str">
        <f aca="false">IF(OR($A177="",$V177="",$Y177=""),"",ROUND(($Y177+N(IFERROR(IF(INDEX(photos!$F$2:$F$701,MATCH($A177&amp;"|"&amp;$B177&amp;"|placement|Y",photos!$R$2:$R$701,0))="","",INDEX(photos!$F$2:$F$701,MATCH($A177&amp;"|"&amp;$B177&amp;"|placement|Y",photos!$R$2:$R$701,0))),""))-$V177)*24,1))</f>
        <v/>
      </c>
      <c r="AD177" s="30" t="str">
        <f aca="false">IF($A177="","",SUMIFS(inventory!$G$2:$G$801,inventory!$C$2:$C$801,$A177,inventory!$D$2:$D$801,$B177,inventory!$E$2:$E$801,"topped_up"))</f>
        <v/>
      </c>
      <c r="AE177" s="30" t="str">
        <f aca="false">IF($A177="","",IF(COUNTIFS(counts!$C$2:$C$701,$A177,counts!$D$2:$D$701,$B177,counts!$E$2:$E$701,"remaining_day3")=0,"",SUMIFS(counts!$F$2:$F$701,counts!$C$2:$C$701,$A177,counts!$D$2:$D$701,$B177,counts!$E$2:$E$701,"remaining_day3")))</f>
        <v/>
      </c>
      <c r="AF177" s="30" t="str">
        <f aca="false">IF($A177="","",IF(COUNTIFS(counts!$C$2:$C$701,$A177,counts!$D$2:$D$701,$B177,counts!$E$2:$E$701,"remaining_day5")=0,"",SUMIFS(counts!$F$2:$F$701,counts!$C$2:$C$701,$A177,counts!$D$2:$D$701,$B177,counts!$E$2:$E$701,"remaining_day5")))</f>
        <v/>
      </c>
      <c r="AG177" s="30" t="str">
        <f aca="false">IF(OR($A177="",$AF177=""),"",MAX(0,$AA177+$AD177-$AF177))</f>
        <v/>
      </c>
      <c r="AH177" s="30" t="str">
        <f aca="false">IF(OR($A177="",$AI177=""),"",IFERROR(IF(INDEX(photos!$H$2:$H$701,MATCH($A177&amp;"|"&amp;$B177&amp;"|later|Y|"&amp;$AI177,photos!$S$2:$S$701,0))="","",INDEX(photos!$H$2:$H$701,MATCH($A177&amp;"|"&amp;$B177&amp;"|later|Y|"&amp;$AI177,photos!$S$2:$S$701,0))),""))</f>
        <v/>
      </c>
      <c r="AI177" s="31" t="str">
        <f aca="false">IF($A177="","",IFERROR(1/(1/SUMPRODUCT(MAX((photos!$B$2:$B$701=$A177)*(photos!$C$2:$C$701=$B177)*(photos!$D$2:$D$701="later")*(photos!$O$2:$O$701="Y")*photos!$E$2:$E$701))),""))</f>
        <v/>
      </c>
      <c r="AJ177" s="30" t="str">
        <f aca="false">IF(OR($A177="",$AI177="",$I177=""),"",NETWORKDAYS($I177,$AI177,calendar!$A$2:$A$80))</f>
        <v/>
      </c>
      <c r="AK177" s="30" t="str">
        <f aca="false">IF($A177="","",IF(AND($X177&lt;&gt;"",$AH177&lt;&gt;""),"Y","N"))</f>
        <v/>
      </c>
      <c r="AL177" s="30" t="str">
        <f aca="true">IF(OR($A177="",$I177=""),"",IF($BC177="Y",SUMIFS(survey_frozen!$C$2:$C$251,survey_frozen!$P$2:$P$251,$A177&amp;"|"&amp;$B177),IFERROR(COUNTIFS(INDIRECT("'"&amp;$A177&amp;"'!$B$2:$B$501"),$T177,INDIRECT("'"&amp;$A177&amp;"'!$A$2:$A$501"),"&gt;="&amp;$I177,INDIRECT("'"&amp;$A177&amp;"'!$A$2:$A$501"),"&lt;"&amp;($BA177+1)),0)))</f>
        <v/>
      </c>
      <c r="AM177" s="30" t="str">
        <f aca="true">IF(OR($A177="",$I177=""),"",IF($BC177="Y",SUMIFS(survey_frozen!$D$2:$D$251,survey_frozen!$P$2:$P$251,$A177&amp;"|"&amp;$B177),IFERROR(COUNTIFS(INDIRECT("'"&amp;$A177&amp;"'!$B$2:$B$501"),$T177,INDIRECT("'"&amp;$A177&amp;"'!$A$2:$A$501"),"&gt;="&amp;$I177,INDIRECT("'"&amp;$A177&amp;"'!$A$2:$A$501"),"&lt;"&amp;($BA177+1),INDIRECT("'"&amp;$A177&amp;"'!$C$2:$C$501"),"Yes"),0)))</f>
        <v/>
      </c>
      <c r="AN177" s="30" t="str">
        <f aca="false">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30" t="str">
        <f aca="false">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30" t="str">
        <f aca="true">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30" t="str">
        <f aca="true">IF(OR($A177="",$I177=""),"",IF($BC177="Y",SUMIFS(survey_frozen!$E$2:$E$251,survey_frozen!$P$2:$P$251,$A177&amp;"|"&amp;$B177),IFERROR(COUNTIFS(INDIRECT("'"&amp;$A177&amp;"'!$B$2:$B$501"),$T177,INDIRECT("'"&amp;$A177&amp;"'!$A$2:$A$501"),"&gt;="&amp;$I177,INDIRECT("'"&amp;$A177&amp;"'!$A$2:$A$501"),"&lt;"&amp;($BA177+1),INDIRECT("'"&amp;$A177&amp;"'!$F$2:$F$501"),"Didn't see it"),0)))</f>
        <v/>
      </c>
      <c r="AR177" s="30" t="str">
        <f aca="true">IF(OR($A177="",$I177=""),"",IF($BC177="Y",SUMIFS(survey_frozen!$F$2:$F$251,survey_frozen!$P$2:$P$251,$A177&amp;"|"&amp;$B177),IFERROR(COUNTIFS(INDIRECT("'"&amp;$A177&amp;"'!$B$2:$B$501"),$T177,INDIRECT("'"&amp;$A177&amp;"'!$A$2:$A$501"),"&gt;="&amp;$I177,INDIRECT("'"&amp;$A177&amp;"'!$A$2:$A$501"),"&lt;"&amp;($BA177+1),INDIRECT("'"&amp;$A177&amp;"'!$F$2:$F$501"),"Not for me"),0)))</f>
        <v/>
      </c>
      <c r="AS177" s="30" t="str">
        <f aca="true">IF(OR($A177="",$I177=""),"",IF($BC177="Y",SUMIFS(survey_frozen!$G$2:$G$251,survey_frozen!$P$2:$P$251,$A177&amp;"|"&amp;$B177),IFERROR(COUNTIFS(INDIRECT("'"&amp;$A177&amp;"'!$B$2:$B$501"),$T177,INDIRECT("'"&amp;$A177&amp;"'!$A$2:$A$501"),"&gt;="&amp;$I177,INDIRECT("'"&amp;$A177&amp;"'!$A$2:$A$501"),"&lt;"&amp;($BA177+1),INDIRECT("'"&amp;$A177&amp;"'!$F$2:$F$501"),"Gone by the time I looked"),0)))</f>
        <v/>
      </c>
      <c r="AT177" s="30" t="str">
        <f aca="true">IF(OR($A177="",$I177=""),"",IF($BC177="Y",SUMIFS(survey_frozen!$H$2:$H$251,survey_frozen!$P$2:$P$251,$A177&amp;"|"&amp;$B177),IFERROR(COUNTIFS(INDIRECT("'"&amp;$A177&amp;"'!$B$2:$B$501"),$T177,INDIRECT("'"&amp;$A177&amp;"'!$A$2:$A$501"),"&gt;="&amp;$I177,INDIRECT("'"&amp;$A177&amp;"'!$A$2:$A$501"),"&lt;"&amp;($BA177+1),INDIRECT("'"&amp;$A177&amp;"'!$D$2:$D$501"),"&gt;=1"),0)))</f>
        <v/>
      </c>
      <c r="AU177" s="30" t="str">
        <f aca="true">IF(OR($A177="",$I177=""),"",IF($BC177="Y",SUMIFS(survey_frozen!$I$2:$I$251,survey_frozen!$P$2:$P$251,$A177&amp;"|"&amp;$B177),IFERROR(SUMIFS(INDIRECT("'"&amp;$A177&amp;"'!$D$2:$D$501"),INDIRECT("'"&amp;$A177&amp;"'!$B$2:$B$501"),$T177,INDIRECT("'"&amp;$A177&amp;"'!$A$2:$A$501"),"&gt;="&amp;$I177,INDIRECT("'"&amp;$A177&amp;"'!$A$2:$A$501"),"&lt;"&amp;($BA177+1)),0)))</f>
        <v/>
      </c>
      <c r="AV177" s="30" t="str">
        <f aca="true">IF(OR($A177="",$I177=""),"",IF($BC177="Y",SUMIFS(survey_frozen!$J$2:$J$251,survey_frozen!$P$2:$P$251,$A177&amp;"|"&amp;$B177),IFERROR(COUNTIFS(INDIRECT("'"&amp;$A177&amp;"'!$B$2:$B$501"),$T177,INDIRECT("'"&amp;$A177&amp;"'!$A$2:$A$501"),"&gt;="&amp;$I177,INDIRECT("'"&amp;$A177&amp;"'!$A$2:$A$501"),"&lt;"&amp;($BA177+1),INDIRECT("'"&amp;$A177&amp;"'!$E$2:$E$501"),"Yes"),0)))</f>
        <v/>
      </c>
      <c r="AW177" s="30" t="str">
        <f aca="true">IF(OR($A177="",$I177=""),"",IF($BC177="Y",SUMIFS(survey_frozen!$K$2:$K$251,survey_frozen!$P$2:$P$251,$A177&amp;"|"&amp;$B177),IFERROR(COUNTIFS(INDIRECT("'"&amp;$A177&amp;"'!$B$2:$B$501"),$T177,INDIRECT("'"&amp;$A177&amp;"'!$A$2:$A$501"),"&gt;="&amp;$I177,INDIRECT("'"&amp;$A177&amp;"'!$A$2:$A$501"),"&lt;"&amp;($BA177+1),INDIRECT("'"&amp;$A177&amp;"'!$E$2:$E$501"),"Maybe"),0)))</f>
        <v/>
      </c>
      <c r="AX177" s="30" t="str">
        <f aca="true">IF(OR($A177="",$I177=""),"",IF($BC177="Y",SUMIFS(survey_frozen!$L$2:$L$251,survey_frozen!$P$2:$P$251,$A177&amp;"|"&amp;$B177),IFERROR(COUNTIFS(INDIRECT("'"&amp;$A177&amp;"'!$B$2:$B$501"),$T177,INDIRECT("'"&amp;$A177&amp;"'!$A$2:$A$501"),"&gt;="&amp;$I177,INDIRECT("'"&amp;$A177&amp;"'!$A$2:$A$501"),"&lt;"&amp;($BA177+1),INDIRECT("'"&amp;$A177&amp;"'!$E$2:$E$501"),"No"),0)))</f>
        <v/>
      </c>
      <c r="AY177" s="30" t="str">
        <f aca="true">IF(OR($A177="",$I177=""),"",IF($BC177="Y",SUMIFS(survey_frozen!$M$2:$M$251,survey_frozen!$P$2:$P$251,$A177&amp;"|"&amp;$B177),IFERROR(COUNTIFS(INDIRECT("'"&amp;$A177&amp;"'!$B$2:$B$501"),$T177,INDIRECT("'"&amp;$A177&amp;"'!$A$2:$A$501"),"&gt;="&amp;$I177,INDIRECT("'"&amp;$A177&amp;"'!$A$2:$A$501"),"&lt;"&amp;($BA177+1),INDIRECT("'"&amp;$A177&amp;"'!$G$2:$G$501"),"&lt;&gt;"),0)))</f>
        <v/>
      </c>
      <c r="AZ177" s="30" t="str">
        <f aca="false">IF($A177="","",$A177&amp;"|"&amp;$L177)</f>
        <v/>
      </c>
      <c r="BA177" s="31" t="str">
        <f aca="false">IF($A177="","",IFERROR(IF(INDEX(drops!$R$2:$R$21,MATCH($H177,drops!$A$2:$A$21,0))="","",INDEX(drops!$R$2:$R$21,MATCH($H177,drops!$A$2:$A$21,0))),""))</f>
        <v/>
      </c>
      <c r="BB177" s="30" t="n">
        <f aca="false">IF(OR($A177="",$Q177&lt;&gt;"Y"),1000000,N($AL177))</f>
        <v>1000000</v>
      </c>
      <c r="BC177" s="30" t="str">
        <f aca="false">IF($A177="","",IF(COUNTIF(survey_frozen!$P$2:$P$251,$A177&amp;"|"&amp;$B177)&gt;0,"Y",""))</f>
        <v/>
      </c>
      <c r="BD177" s="30" t="str">
        <f aca="false">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ustomFormat="false" ht="15" hidden="false" customHeight="false" outlineLevel="0" collapsed="false">
      <c r="C178" s="11"/>
      <c r="D178" s="10"/>
      <c r="E178" s="11"/>
      <c r="H178" s="30" t="str">
        <f aca="false">IF($A178="","",IFERROR(IF(INDEX(campaigns!$B$2:$B$51,MATCH($A178,campaigns!$A$2:$A$51,0))="","",INDEX(campaigns!$B$2:$B$51,MATCH($A178,campaigns!$A$2:$A$51,0))),""))</f>
        <v/>
      </c>
      <c r="I178" s="31" t="str">
        <f aca="false">IF($A178="","",IFERROR(IF(INDEX(campaigns!$BG$2:$BG$51,MATCH($A178,campaigns!$A$2:$A$51,0))="","",INDEX(campaigns!$BG$2:$BG$51,MATCH($A178,campaigns!$A$2:$A$51,0))),""))</f>
        <v/>
      </c>
      <c r="J178" s="30" t="str">
        <f aca="false">IF($A178="","",IFERROR(IF(INDEX(campaigns!$BE$2:$BE$51,MATCH($A178,campaigns!$A$2:$A$51,0))="","",INDEX(campaigns!$BE$2:$BE$51,MATCH($A178,campaigns!$A$2:$A$51,0))),""))</f>
        <v/>
      </c>
      <c r="K178" s="30" t="str">
        <f aca="false">IF($B178="","",IFERROR(IF(INDEX(offices!$O$2:$O$61,MATCH($B178,offices!$A$2:$A$61,0))="","",INDEX(offices!$O$2:$O$61,MATCH($B178,offices!$A$2:$A$61,0))),""))</f>
        <v/>
      </c>
      <c r="L178" s="30" t="str">
        <f aca="false">IF($A178="","",IF($Q178="N","",COUNTIFS($A$2:$A178,$A178,$Q$2:$Q178,"&lt;&gt;N")))</f>
        <v/>
      </c>
      <c r="M178" s="30" t="str">
        <f aca="false">IF(OR($A178="",$L178=""),"",IF(AND(config!$B$34="names_if_public",IFERROR(IF(INDEX(offices!$AG$2:$AG$61,MATCH($B178,offices!$A$2:$A$61,0))="","",INDEX(offices!$AG$2:$AG$61,MATCH($B178,offices!$A$2:$A$61,0))),"")="Y"),$K178,CHAR(64+$L178)))</f>
        <v/>
      </c>
      <c r="N178" s="30" t="str">
        <f aca="false">IF(OR($A178="",$I178=""),"",COUNTIFS(stops!$B$2:$B$151,$B178,stops!$P$2:$P$151,"&lt;"&amp;$I178,stops!$L$2:$L$151,"&lt;&gt;not_delivered")+1)</f>
        <v/>
      </c>
      <c r="O178" s="30" t="str">
        <f aca="false">IF($A178="","",IF(N($N178)&lt;=config!$B$29,"explicit","opt-out"))</f>
        <v/>
      </c>
      <c r="P178" s="30" t="str">
        <f aca="false">IF($A178="","",IF($O178="explicit",IF($D178="yes","Y",IF($D178="no","N","pending")),IF($D178="no","N",IF(AND($C178&lt;&gt;"",$I178&lt;&gt;"",$C178&lt;=WORKDAY(N($I178),-5,calendar!$A$2:$A$80)),"Y","pending"))))</f>
        <v/>
      </c>
      <c r="Q178" s="30" t="str">
        <f aca="false">IF($A178="","",IF($P178="N","N",IF($P178&lt;&gt;"Y","pending",IF(AND((COUNTIFS(stops!$A$2:$A$151,$H178,stops!$B$2:$B$151,$B178,stops!$L$2:$L$151,"declined")+COUNTIFS(stops!$A$2:$A$151,$H178,stops!$B$2:$B$151,$B178,stops!$L$2:$L$151,"building_refused")+COUNTIFS(stops!$A$2:$A$151,$H178,stops!$B$2:$B$151,$B178,stops!$L$2:$L$151,"not_delivered"))&gt;0,N($U178)=0),"N","Y"))))</f>
        <v/>
      </c>
      <c r="R178" s="30" t="str">
        <f aca="false">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30" t="str">
        <f aca="false">IF($A178="","",IF($G178&lt;&gt;"",$G178,IFERROR(IF(INDEX(offices!$AM$2:$AM$61,MATCH($B178,offices!$A$2:$A$61,0))="","",INDEX(offices!$AM$2:$AM$61,MATCH($B178,offices!$A$2:$A$61,0))),"")))</f>
        <v/>
      </c>
      <c r="T178" s="30" t="str">
        <f aca="false">IF($A178="","",$A178&amp;"."&amp;$B178)</f>
        <v/>
      </c>
      <c r="U178" s="30" t="str">
        <f aca="false">IF($A178="","",SUMIFS(inventory!$G$2:$G$801,inventory!$C$2:$C$801,$A178,inventory!$D$2:$D$801,$B178,inventory!$E$2:$E$801,"delivered"))</f>
        <v/>
      </c>
      <c r="V178" s="37" t="str">
        <f aca="false">IF($A178="","",IFERROR(1/(1/SUMPRODUCT(MAX((inventory!$C$2:$C$801=$A178)*(inventory!$D$2:$D$801=$B178)*(inventory!$E$2:$E$801="delivered")*(inventory!$A$2:$A$801+inventory!$B$2:$B$801)))),""))</f>
        <v/>
      </c>
      <c r="W178" s="30" t="str">
        <f aca="false">IF($A178="","",IFERROR(IF(INDEX(inventory!$J$2:$J$801,MATCH($A178&amp;"|"&amp;$B178&amp;"|delivered",inventory!$R$2:$R$801,0))="","",INDEX(inventory!$J$2:$J$801,MATCH($A178&amp;"|"&amp;$B178&amp;"|delivered",inventory!$R$2:$R$801,0))),""))</f>
        <v/>
      </c>
      <c r="X178" s="30" t="str">
        <f aca="false">IF($A178="","",IFERROR(IF(INDEX(photos!$H$2:$H$701,MATCH($A178&amp;"|"&amp;$B178&amp;"|placement|Y",photos!$R$2:$R$701,0))="","",INDEX(photos!$H$2:$H$701,MATCH($A178&amp;"|"&amp;$B178&amp;"|placement|Y",photos!$R$2:$R$701,0))),""))</f>
        <v/>
      </c>
      <c r="Y178" s="31" t="str">
        <f aca="false">IF($A178="","",IFERROR(IF(INDEX(photos!$E$2:$E$701,MATCH($A178&amp;"|"&amp;$B178&amp;"|placement|Y",photos!$R$2:$R$701,0))="","",INDEX(photos!$E$2:$E$701,MATCH($A178&amp;"|"&amp;$B178&amp;"|placement|Y",photos!$R$2:$R$701,0))),""))</f>
        <v/>
      </c>
      <c r="Z178" s="30" t="str">
        <f aca="false">IF($A178="","",IF(COUNTIFS(counts!$C$2:$C$701,$A178,counts!$D$2:$D$701,$B178,counts!$E$2:$E$701,"placed")=0,"",SUMIFS(counts!$F$2:$F$701,counts!$C$2:$C$701,$A178,counts!$D$2:$D$701,$B178,counts!$E$2:$E$701,"placed")))</f>
        <v/>
      </c>
      <c r="AA178" s="30" t="str">
        <f aca="false">IF($A178="","",IF($Y178="",0,N($Z178)))</f>
        <v/>
      </c>
      <c r="AB178" s="30" t="str">
        <f aca="false">IF($A178="","",IF(OR($Y178="",$I178=""),"N",IF($Y178&lt;=WORKDAY(N($I178),1,calendar!$A$2:$A$80),"Y","N")))</f>
        <v/>
      </c>
      <c r="AC178" s="33" t="str">
        <f aca="false">IF(OR($A178="",$V178="",$Y178=""),"",ROUND(($Y178+N(IFERROR(IF(INDEX(photos!$F$2:$F$701,MATCH($A178&amp;"|"&amp;$B178&amp;"|placement|Y",photos!$R$2:$R$701,0))="","",INDEX(photos!$F$2:$F$701,MATCH($A178&amp;"|"&amp;$B178&amp;"|placement|Y",photos!$R$2:$R$701,0))),""))-$V178)*24,1))</f>
        <v/>
      </c>
      <c r="AD178" s="30" t="str">
        <f aca="false">IF($A178="","",SUMIFS(inventory!$G$2:$G$801,inventory!$C$2:$C$801,$A178,inventory!$D$2:$D$801,$B178,inventory!$E$2:$E$801,"topped_up"))</f>
        <v/>
      </c>
      <c r="AE178" s="30" t="str">
        <f aca="false">IF($A178="","",IF(COUNTIFS(counts!$C$2:$C$701,$A178,counts!$D$2:$D$701,$B178,counts!$E$2:$E$701,"remaining_day3")=0,"",SUMIFS(counts!$F$2:$F$701,counts!$C$2:$C$701,$A178,counts!$D$2:$D$701,$B178,counts!$E$2:$E$701,"remaining_day3")))</f>
        <v/>
      </c>
      <c r="AF178" s="30" t="str">
        <f aca="false">IF($A178="","",IF(COUNTIFS(counts!$C$2:$C$701,$A178,counts!$D$2:$D$701,$B178,counts!$E$2:$E$701,"remaining_day5")=0,"",SUMIFS(counts!$F$2:$F$701,counts!$C$2:$C$701,$A178,counts!$D$2:$D$701,$B178,counts!$E$2:$E$701,"remaining_day5")))</f>
        <v/>
      </c>
      <c r="AG178" s="30" t="str">
        <f aca="false">IF(OR($A178="",$AF178=""),"",MAX(0,$AA178+$AD178-$AF178))</f>
        <v/>
      </c>
      <c r="AH178" s="30" t="str">
        <f aca="false">IF(OR($A178="",$AI178=""),"",IFERROR(IF(INDEX(photos!$H$2:$H$701,MATCH($A178&amp;"|"&amp;$B178&amp;"|later|Y|"&amp;$AI178,photos!$S$2:$S$701,0))="","",INDEX(photos!$H$2:$H$701,MATCH($A178&amp;"|"&amp;$B178&amp;"|later|Y|"&amp;$AI178,photos!$S$2:$S$701,0))),""))</f>
        <v/>
      </c>
      <c r="AI178" s="31" t="str">
        <f aca="false">IF($A178="","",IFERROR(1/(1/SUMPRODUCT(MAX((photos!$B$2:$B$701=$A178)*(photos!$C$2:$C$701=$B178)*(photos!$D$2:$D$701="later")*(photos!$O$2:$O$701="Y")*photos!$E$2:$E$701))),""))</f>
        <v/>
      </c>
      <c r="AJ178" s="30" t="str">
        <f aca="false">IF(OR($A178="",$AI178="",$I178=""),"",NETWORKDAYS($I178,$AI178,calendar!$A$2:$A$80))</f>
        <v/>
      </c>
      <c r="AK178" s="30" t="str">
        <f aca="false">IF($A178="","",IF(AND($X178&lt;&gt;"",$AH178&lt;&gt;""),"Y","N"))</f>
        <v/>
      </c>
      <c r="AL178" s="30" t="str">
        <f aca="true">IF(OR($A178="",$I178=""),"",IF($BC178="Y",SUMIFS(survey_frozen!$C$2:$C$251,survey_frozen!$P$2:$P$251,$A178&amp;"|"&amp;$B178),IFERROR(COUNTIFS(INDIRECT("'"&amp;$A178&amp;"'!$B$2:$B$501"),$T178,INDIRECT("'"&amp;$A178&amp;"'!$A$2:$A$501"),"&gt;="&amp;$I178,INDIRECT("'"&amp;$A178&amp;"'!$A$2:$A$501"),"&lt;"&amp;($BA178+1)),0)))</f>
        <v/>
      </c>
      <c r="AM178" s="30" t="str">
        <f aca="true">IF(OR($A178="",$I178=""),"",IF($BC178="Y",SUMIFS(survey_frozen!$D$2:$D$251,survey_frozen!$P$2:$P$251,$A178&amp;"|"&amp;$B178),IFERROR(COUNTIFS(INDIRECT("'"&amp;$A178&amp;"'!$B$2:$B$501"),$T178,INDIRECT("'"&amp;$A178&amp;"'!$A$2:$A$501"),"&gt;="&amp;$I178,INDIRECT("'"&amp;$A178&amp;"'!$A$2:$A$501"),"&lt;"&amp;($BA178+1),INDIRECT("'"&amp;$A178&amp;"'!$C$2:$C$501"),"Yes"),0)))</f>
        <v/>
      </c>
      <c r="AN178" s="30" t="str">
        <f aca="false">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30" t="str">
        <f aca="false">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30" t="str">
        <f aca="true">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30" t="str">
        <f aca="true">IF(OR($A178="",$I178=""),"",IF($BC178="Y",SUMIFS(survey_frozen!$E$2:$E$251,survey_frozen!$P$2:$P$251,$A178&amp;"|"&amp;$B178),IFERROR(COUNTIFS(INDIRECT("'"&amp;$A178&amp;"'!$B$2:$B$501"),$T178,INDIRECT("'"&amp;$A178&amp;"'!$A$2:$A$501"),"&gt;="&amp;$I178,INDIRECT("'"&amp;$A178&amp;"'!$A$2:$A$501"),"&lt;"&amp;($BA178+1),INDIRECT("'"&amp;$A178&amp;"'!$F$2:$F$501"),"Didn't see it"),0)))</f>
        <v/>
      </c>
      <c r="AR178" s="30" t="str">
        <f aca="true">IF(OR($A178="",$I178=""),"",IF($BC178="Y",SUMIFS(survey_frozen!$F$2:$F$251,survey_frozen!$P$2:$P$251,$A178&amp;"|"&amp;$B178),IFERROR(COUNTIFS(INDIRECT("'"&amp;$A178&amp;"'!$B$2:$B$501"),$T178,INDIRECT("'"&amp;$A178&amp;"'!$A$2:$A$501"),"&gt;="&amp;$I178,INDIRECT("'"&amp;$A178&amp;"'!$A$2:$A$501"),"&lt;"&amp;($BA178+1),INDIRECT("'"&amp;$A178&amp;"'!$F$2:$F$501"),"Not for me"),0)))</f>
        <v/>
      </c>
      <c r="AS178" s="30" t="str">
        <f aca="true">IF(OR($A178="",$I178=""),"",IF($BC178="Y",SUMIFS(survey_frozen!$G$2:$G$251,survey_frozen!$P$2:$P$251,$A178&amp;"|"&amp;$B178),IFERROR(COUNTIFS(INDIRECT("'"&amp;$A178&amp;"'!$B$2:$B$501"),$T178,INDIRECT("'"&amp;$A178&amp;"'!$A$2:$A$501"),"&gt;="&amp;$I178,INDIRECT("'"&amp;$A178&amp;"'!$A$2:$A$501"),"&lt;"&amp;($BA178+1),INDIRECT("'"&amp;$A178&amp;"'!$F$2:$F$501"),"Gone by the time I looked"),0)))</f>
        <v/>
      </c>
      <c r="AT178" s="30" t="str">
        <f aca="true">IF(OR($A178="",$I178=""),"",IF($BC178="Y",SUMIFS(survey_frozen!$H$2:$H$251,survey_frozen!$P$2:$P$251,$A178&amp;"|"&amp;$B178),IFERROR(COUNTIFS(INDIRECT("'"&amp;$A178&amp;"'!$B$2:$B$501"),$T178,INDIRECT("'"&amp;$A178&amp;"'!$A$2:$A$501"),"&gt;="&amp;$I178,INDIRECT("'"&amp;$A178&amp;"'!$A$2:$A$501"),"&lt;"&amp;($BA178+1),INDIRECT("'"&amp;$A178&amp;"'!$D$2:$D$501"),"&gt;=1"),0)))</f>
        <v/>
      </c>
      <c r="AU178" s="30" t="str">
        <f aca="true">IF(OR($A178="",$I178=""),"",IF($BC178="Y",SUMIFS(survey_frozen!$I$2:$I$251,survey_frozen!$P$2:$P$251,$A178&amp;"|"&amp;$B178),IFERROR(SUMIFS(INDIRECT("'"&amp;$A178&amp;"'!$D$2:$D$501"),INDIRECT("'"&amp;$A178&amp;"'!$B$2:$B$501"),$T178,INDIRECT("'"&amp;$A178&amp;"'!$A$2:$A$501"),"&gt;="&amp;$I178,INDIRECT("'"&amp;$A178&amp;"'!$A$2:$A$501"),"&lt;"&amp;($BA178+1)),0)))</f>
        <v/>
      </c>
      <c r="AV178" s="30" t="str">
        <f aca="true">IF(OR($A178="",$I178=""),"",IF($BC178="Y",SUMIFS(survey_frozen!$J$2:$J$251,survey_frozen!$P$2:$P$251,$A178&amp;"|"&amp;$B178),IFERROR(COUNTIFS(INDIRECT("'"&amp;$A178&amp;"'!$B$2:$B$501"),$T178,INDIRECT("'"&amp;$A178&amp;"'!$A$2:$A$501"),"&gt;="&amp;$I178,INDIRECT("'"&amp;$A178&amp;"'!$A$2:$A$501"),"&lt;"&amp;($BA178+1),INDIRECT("'"&amp;$A178&amp;"'!$E$2:$E$501"),"Yes"),0)))</f>
        <v/>
      </c>
      <c r="AW178" s="30" t="str">
        <f aca="true">IF(OR($A178="",$I178=""),"",IF($BC178="Y",SUMIFS(survey_frozen!$K$2:$K$251,survey_frozen!$P$2:$P$251,$A178&amp;"|"&amp;$B178),IFERROR(COUNTIFS(INDIRECT("'"&amp;$A178&amp;"'!$B$2:$B$501"),$T178,INDIRECT("'"&amp;$A178&amp;"'!$A$2:$A$501"),"&gt;="&amp;$I178,INDIRECT("'"&amp;$A178&amp;"'!$A$2:$A$501"),"&lt;"&amp;($BA178+1),INDIRECT("'"&amp;$A178&amp;"'!$E$2:$E$501"),"Maybe"),0)))</f>
        <v/>
      </c>
      <c r="AX178" s="30" t="str">
        <f aca="true">IF(OR($A178="",$I178=""),"",IF($BC178="Y",SUMIFS(survey_frozen!$L$2:$L$251,survey_frozen!$P$2:$P$251,$A178&amp;"|"&amp;$B178),IFERROR(COUNTIFS(INDIRECT("'"&amp;$A178&amp;"'!$B$2:$B$501"),$T178,INDIRECT("'"&amp;$A178&amp;"'!$A$2:$A$501"),"&gt;="&amp;$I178,INDIRECT("'"&amp;$A178&amp;"'!$A$2:$A$501"),"&lt;"&amp;($BA178+1),INDIRECT("'"&amp;$A178&amp;"'!$E$2:$E$501"),"No"),0)))</f>
        <v/>
      </c>
      <c r="AY178" s="30" t="str">
        <f aca="true">IF(OR($A178="",$I178=""),"",IF($BC178="Y",SUMIFS(survey_frozen!$M$2:$M$251,survey_frozen!$P$2:$P$251,$A178&amp;"|"&amp;$B178),IFERROR(COUNTIFS(INDIRECT("'"&amp;$A178&amp;"'!$B$2:$B$501"),$T178,INDIRECT("'"&amp;$A178&amp;"'!$A$2:$A$501"),"&gt;="&amp;$I178,INDIRECT("'"&amp;$A178&amp;"'!$A$2:$A$501"),"&lt;"&amp;($BA178+1),INDIRECT("'"&amp;$A178&amp;"'!$G$2:$G$501"),"&lt;&gt;"),0)))</f>
        <v/>
      </c>
      <c r="AZ178" s="30" t="str">
        <f aca="false">IF($A178="","",$A178&amp;"|"&amp;$L178)</f>
        <v/>
      </c>
      <c r="BA178" s="31" t="str">
        <f aca="false">IF($A178="","",IFERROR(IF(INDEX(drops!$R$2:$R$21,MATCH($H178,drops!$A$2:$A$21,0))="","",INDEX(drops!$R$2:$R$21,MATCH($H178,drops!$A$2:$A$21,0))),""))</f>
        <v/>
      </c>
      <c r="BB178" s="30" t="n">
        <f aca="false">IF(OR($A178="",$Q178&lt;&gt;"Y"),1000000,N($AL178))</f>
        <v>1000000</v>
      </c>
      <c r="BC178" s="30" t="str">
        <f aca="false">IF($A178="","",IF(COUNTIF(survey_frozen!$P$2:$P$251,$A178&amp;"|"&amp;$B178)&gt;0,"Y",""))</f>
        <v/>
      </c>
      <c r="BD178" s="30" t="str">
        <f aca="false">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ustomFormat="false" ht="15" hidden="false" customHeight="false" outlineLevel="0" collapsed="false">
      <c r="C179" s="11"/>
      <c r="D179" s="10"/>
      <c r="E179" s="11"/>
      <c r="H179" s="30" t="str">
        <f aca="false">IF($A179="","",IFERROR(IF(INDEX(campaigns!$B$2:$B$51,MATCH($A179,campaigns!$A$2:$A$51,0))="","",INDEX(campaigns!$B$2:$B$51,MATCH($A179,campaigns!$A$2:$A$51,0))),""))</f>
        <v/>
      </c>
      <c r="I179" s="31" t="str">
        <f aca="false">IF($A179="","",IFERROR(IF(INDEX(campaigns!$BG$2:$BG$51,MATCH($A179,campaigns!$A$2:$A$51,0))="","",INDEX(campaigns!$BG$2:$BG$51,MATCH($A179,campaigns!$A$2:$A$51,0))),""))</f>
        <v/>
      </c>
      <c r="J179" s="30" t="str">
        <f aca="false">IF($A179="","",IFERROR(IF(INDEX(campaigns!$BE$2:$BE$51,MATCH($A179,campaigns!$A$2:$A$51,0))="","",INDEX(campaigns!$BE$2:$BE$51,MATCH($A179,campaigns!$A$2:$A$51,0))),""))</f>
        <v/>
      </c>
      <c r="K179" s="30" t="str">
        <f aca="false">IF($B179="","",IFERROR(IF(INDEX(offices!$O$2:$O$61,MATCH($B179,offices!$A$2:$A$61,0))="","",INDEX(offices!$O$2:$O$61,MATCH($B179,offices!$A$2:$A$61,0))),""))</f>
        <v/>
      </c>
      <c r="L179" s="30" t="str">
        <f aca="false">IF($A179="","",IF($Q179="N","",COUNTIFS($A$2:$A179,$A179,$Q$2:$Q179,"&lt;&gt;N")))</f>
        <v/>
      </c>
      <c r="M179" s="30" t="str">
        <f aca="false">IF(OR($A179="",$L179=""),"",IF(AND(config!$B$34="names_if_public",IFERROR(IF(INDEX(offices!$AG$2:$AG$61,MATCH($B179,offices!$A$2:$A$61,0))="","",INDEX(offices!$AG$2:$AG$61,MATCH($B179,offices!$A$2:$A$61,0))),"")="Y"),$K179,CHAR(64+$L179)))</f>
        <v/>
      </c>
      <c r="N179" s="30" t="str">
        <f aca="false">IF(OR($A179="",$I179=""),"",COUNTIFS(stops!$B$2:$B$151,$B179,stops!$P$2:$P$151,"&lt;"&amp;$I179,stops!$L$2:$L$151,"&lt;&gt;not_delivered")+1)</f>
        <v/>
      </c>
      <c r="O179" s="30" t="str">
        <f aca="false">IF($A179="","",IF(N($N179)&lt;=config!$B$29,"explicit","opt-out"))</f>
        <v/>
      </c>
      <c r="P179" s="30" t="str">
        <f aca="false">IF($A179="","",IF($O179="explicit",IF($D179="yes","Y",IF($D179="no","N","pending")),IF($D179="no","N",IF(AND($C179&lt;&gt;"",$I179&lt;&gt;"",$C179&lt;=WORKDAY(N($I179),-5,calendar!$A$2:$A$80)),"Y","pending"))))</f>
        <v/>
      </c>
      <c r="Q179" s="30" t="str">
        <f aca="false">IF($A179="","",IF($P179="N","N",IF($P179&lt;&gt;"Y","pending",IF(AND((COUNTIFS(stops!$A$2:$A$151,$H179,stops!$B$2:$B$151,$B179,stops!$L$2:$L$151,"declined")+COUNTIFS(stops!$A$2:$A$151,$H179,stops!$B$2:$B$151,$B179,stops!$L$2:$L$151,"building_refused")+COUNTIFS(stops!$A$2:$A$151,$H179,stops!$B$2:$B$151,$B179,stops!$L$2:$L$151,"not_delivered"))&gt;0,N($U179)=0),"N","Y"))))</f>
        <v/>
      </c>
      <c r="R179" s="30" t="str">
        <f aca="false">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30" t="str">
        <f aca="false">IF($A179="","",IF($G179&lt;&gt;"",$G179,IFERROR(IF(INDEX(offices!$AM$2:$AM$61,MATCH($B179,offices!$A$2:$A$61,0))="","",INDEX(offices!$AM$2:$AM$61,MATCH($B179,offices!$A$2:$A$61,0))),"")))</f>
        <v/>
      </c>
      <c r="T179" s="30" t="str">
        <f aca="false">IF($A179="","",$A179&amp;"."&amp;$B179)</f>
        <v/>
      </c>
      <c r="U179" s="30" t="str">
        <f aca="false">IF($A179="","",SUMIFS(inventory!$G$2:$G$801,inventory!$C$2:$C$801,$A179,inventory!$D$2:$D$801,$B179,inventory!$E$2:$E$801,"delivered"))</f>
        <v/>
      </c>
      <c r="V179" s="37" t="str">
        <f aca="false">IF($A179="","",IFERROR(1/(1/SUMPRODUCT(MAX((inventory!$C$2:$C$801=$A179)*(inventory!$D$2:$D$801=$B179)*(inventory!$E$2:$E$801="delivered")*(inventory!$A$2:$A$801+inventory!$B$2:$B$801)))),""))</f>
        <v/>
      </c>
      <c r="W179" s="30" t="str">
        <f aca="false">IF($A179="","",IFERROR(IF(INDEX(inventory!$J$2:$J$801,MATCH($A179&amp;"|"&amp;$B179&amp;"|delivered",inventory!$R$2:$R$801,0))="","",INDEX(inventory!$J$2:$J$801,MATCH($A179&amp;"|"&amp;$B179&amp;"|delivered",inventory!$R$2:$R$801,0))),""))</f>
        <v/>
      </c>
      <c r="X179" s="30" t="str">
        <f aca="false">IF($A179="","",IFERROR(IF(INDEX(photos!$H$2:$H$701,MATCH($A179&amp;"|"&amp;$B179&amp;"|placement|Y",photos!$R$2:$R$701,0))="","",INDEX(photos!$H$2:$H$701,MATCH($A179&amp;"|"&amp;$B179&amp;"|placement|Y",photos!$R$2:$R$701,0))),""))</f>
        <v/>
      </c>
      <c r="Y179" s="31" t="str">
        <f aca="false">IF($A179="","",IFERROR(IF(INDEX(photos!$E$2:$E$701,MATCH($A179&amp;"|"&amp;$B179&amp;"|placement|Y",photos!$R$2:$R$701,0))="","",INDEX(photos!$E$2:$E$701,MATCH($A179&amp;"|"&amp;$B179&amp;"|placement|Y",photos!$R$2:$R$701,0))),""))</f>
        <v/>
      </c>
      <c r="Z179" s="30" t="str">
        <f aca="false">IF($A179="","",IF(COUNTIFS(counts!$C$2:$C$701,$A179,counts!$D$2:$D$701,$B179,counts!$E$2:$E$701,"placed")=0,"",SUMIFS(counts!$F$2:$F$701,counts!$C$2:$C$701,$A179,counts!$D$2:$D$701,$B179,counts!$E$2:$E$701,"placed")))</f>
        <v/>
      </c>
      <c r="AA179" s="30" t="str">
        <f aca="false">IF($A179="","",IF($Y179="",0,N($Z179)))</f>
        <v/>
      </c>
      <c r="AB179" s="30" t="str">
        <f aca="false">IF($A179="","",IF(OR($Y179="",$I179=""),"N",IF($Y179&lt;=WORKDAY(N($I179),1,calendar!$A$2:$A$80),"Y","N")))</f>
        <v/>
      </c>
      <c r="AC179" s="33" t="str">
        <f aca="false">IF(OR($A179="",$V179="",$Y179=""),"",ROUND(($Y179+N(IFERROR(IF(INDEX(photos!$F$2:$F$701,MATCH($A179&amp;"|"&amp;$B179&amp;"|placement|Y",photos!$R$2:$R$701,0))="","",INDEX(photos!$F$2:$F$701,MATCH($A179&amp;"|"&amp;$B179&amp;"|placement|Y",photos!$R$2:$R$701,0))),""))-$V179)*24,1))</f>
        <v/>
      </c>
      <c r="AD179" s="30" t="str">
        <f aca="false">IF($A179="","",SUMIFS(inventory!$G$2:$G$801,inventory!$C$2:$C$801,$A179,inventory!$D$2:$D$801,$B179,inventory!$E$2:$E$801,"topped_up"))</f>
        <v/>
      </c>
      <c r="AE179" s="30" t="str">
        <f aca="false">IF($A179="","",IF(COUNTIFS(counts!$C$2:$C$701,$A179,counts!$D$2:$D$701,$B179,counts!$E$2:$E$701,"remaining_day3")=0,"",SUMIFS(counts!$F$2:$F$701,counts!$C$2:$C$701,$A179,counts!$D$2:$D$701,$B179,counts!$E$2:$E$701,"remaining_day3")))</f>
        <v/>
      </c>
      <c r="AF179" s="30" t="str">
        <f aca="false">IF($A179="","",IF(COUNTIFS(counts!$C$2:$C$701,$A179,counts!$D$2:$D$701,$B179,counts!$E$2:$E$701,"remaining_day5")=0,"",SUMIFS(counts!$F$2:$F$701,counts!$C$2:$C$701,$A179,counts!$D$2:$D$701,$B179,counts!$E$2:$E$701,"remaining_day5")))</f>
        <v/>
      </c>
      <c r="AG179" s="30" t="str">
        <f aca="false">IF(OR($A179="",$AF179=""),"",MAX(0,$AA179+$AD179-$AF179))</f>
        <v/>
      </c>
      <c r="AH179" s="30" t="str">
        <f aca="false">IF(OR($A179="",$AI179=""),"",IFERROR(IF(INDEX(photos!$H$2:$H$701,MATCH($A179&amp;"|"&amp;$B179&amp;"|later|Y|"&amp;$AI179,photos!$S$2:$S$701,0))="","",INDEX(photos!$H$2:$H$701,MATCH($A179&amp;"|"&amp;$B179&amp;"|later|Y|"&amp;$AI179,photos!$S$2:$S$701,0))),""))</f>
        <v/>
      </c>
      <c r="AI179" s="31" t="str">
        <f aca="false">IF($A179="","",IFERROR(1/(1/SUMPRODUCT(MAX((photos!$B$2:$B$701=$A179)*(photos!$C$2:$C$701=$B179)*(photos!$D$2:$D$701="later")*(photos!$O$2:$O$701="Y")*photos!$E$2:$E$701))),""))</f>
        <v/>
      </c>
      <c r="AJ179" s="30" t="str">
        <f aca="false">IF(OR($A179="",$AI179="",$I179=""),"",NETWORKDAYS($I179,$AI179,calendar!$A$2:$A$80))</f>
        <v/>
      </c>
      <c r="AK179" s="30" t="str">
        <f aca="false">IF($A179="","",IF(AND($X179&lt;&gt;"",$AH179&lt;&gt;""),"Y","N"))</f>
        <v/>
      </c>
      <c r="AL179" s="30" t="str">
        <f aca="true">IF(OR($A179="",$I179=""),"",IF($BC179="Y",SUMIFS(survey_frozen!$C$2:$C$251,survey_frozen!$P$2:$P$251,$A179&amp;"|"&amp;$B179),IFERROR(COUNTIFS(INDIRECT("'"&amp;$A179&amp;"'!$B$2:$B$501"),$T179,INDIRECT("'"&amp;$A179&amp;"'!$A$2:$A$501"),"&gt;="&amp;$I179,INDIRECT("'"&amp;$A179&amp;"'!$A$2:$A$501"),"&lt;"&amp;($BA179+1)),0)))</f>
        <v/>
      </c>
      <c r="AM179" s="30" t="str">
        <f aca="true">IF(OR($A179="",$I179=""),"",IF($BC179="Y",SUMIFS(survey_frozen!$D$2:$D$251,survey_frozen!$P$2:$P$251,$A179&amp;"|"&amp;$B179),IFERROR(COUNTIFS(INDIRECT("'"&amp;$A179&amp;"'!$B$2:$B$501"),$T179,INDIRECT("'"&amp;$A179&amp;"'!$A$2:$A$501"),"&gt;="&amp;$I179,INDIRECT("'"&amp;$A179&amp;"'!$A$2:$A$501"),"&lt;"&amp;($BA179+1),INDIRECT("'"&amp;$A179&amp;"'!$C$2:$C$501"),"Yes"),0)))</f>
        <v/>
      </c>
      <c r="AN179" s="30" t="str">
        <f aca="false">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30" t="str">
        <f aca="false">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30" t="str">
        <f aca="true">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30" t="str">
        <f aca="true">IF(OR($A179="",$I179=""),"",IF($BC179="Y",SUMIFS(survey_frozen!$E$2:$E$251,survey_frozen!$P$2:$P$251,$A179&amp;"|"&amp;$B179),IFERROR(COUNTIFS(INDIRECT("'"&amp;$A179&amp;"'!$B$2:$B$501"),$T179,INDIRECT("'"&amp;$A179&amp;"'!$A$2:$A$501"),"&gt;="&amp;$I179,INDIRECT("'"&amp;$A179&amp;"'!$A$2:$A$501"),"&lt;"&amp;($BA179+1),INDIRECT("'"&amp;$A179&amp;"'!$F$2:$F$501"),"Didn't see it"),0)))</f>
        <v/>
      </c>
      <c r="AR179" s="30" t="str">
        <f aca="true">IF(OR($A179="",$I179=""),"",IF($BC179="Y",SUMIFS(survey_frozen!$F$2:$F$251,survey_frozen!$P$2:$P$251,$A179&amp;"|"&amp;$B179),IFERROR(COUNTIFS(INDIRECT("'"&amp;$A179&amp;"'!$B$2:$B$501"),$T179,INDIRECT("'"&amp;$A179&amp;"'!$A$2:$A$501"),"&gt;="&amp;$I179,INDIRECT("'"&amp;$A179&amp;"'!$A$2:$A$501"),"&lt;"&amp;($BA179+1),INDIRECT("'"&amp;$A179&amp;"'!$F$2:$F$501"),"Not for me"),0)))</f>
        <v/>
      </c>
      <c r="AS179" s="30" t="str">
        <f aca="true">IF(OR($A179="",$I179=""),"",IF($BC179="Y",SUMIFS(survey_frozen!$G$2:$G$251,survey_frozen!$P$2:$P$251,$A179&amp;"|"&amp;$B179),IFERROR(COUNTIFS(INDIRECT("'"&amp;$A179&amp;"'!$B$2:$B$501"),$T179,INDIRECT("'"&amp;$A179&amp;"'!$A$2:$A$501"),"&gt;="&amp;$I179,INDIRECT("'"&amp;$A179&amp;"'!$A$2:$A$501"),"&lt;"&amp;($BA179+1),INDIRECT("'"&amp;$A179&amp;"'!$F$2:$F$501"),"Gone by the time I looked"),0)))</f>
        <v/>
      </c>
      <c r="AT179" s="30" t="str">
        <f aca="true">IF(OR($A179="",$I179=""),"",IF($BC179="Y",SUMIFS(survey_frozen!$H$2:$H$251,survey_frozen!$P$2:$P$251,$A179&amp;"|"&amp;$B179),IFERROR(COUNTIFS(INDIRECT("'"&amp;$A179&amp;"'!$B$2:$B$501"),$T179,INDIRECT("'"&amp;$A179&amp;"'!$A$2:$A$501"),"&gt;="&amp;$I179,INDIRECT("'"&amp;$A179&amp;"'!$A$2:$A$501"),"&lt;"&amp;($BA179+1),INDIRECT("'"&amp;$A179&amp;"'!$D$2:$D$501"),"&gt;=1"),0)))</f>
        <v/>
      </c>
      <c r="AU179" s="30" t="str">
        <f aca="true">IF(OR($A179="",$I179=""),"",IF($BC179="Y",SUMIFS(survey_frozen!$I$2:$I$251,survey_frozen!$P$2:$P$251,$A179&amp;"|"&amp;$B179),IFERROR(SUMIFS(INDIRECT("'"&amp;$A179&amp;"'!$D$2:$D$501"),INDIRECT("'"&amp;$A179&amp;"'!$B$2:$B$501"),$T179,INDIRECT("'"&amp;$A179&amp;"'!$A$2:$A$501"),"&gt;="&amp;$I179,INDIRECT("'"&amp;$A179&amp;"'!$A$2:$A$501"),"&lt;"&amp;($BA179+1)),0)))</f>
        <v/>
      </c>
      <c r="AV179" s="30" t="str">
        <f aca="true">IF(OR($A179="",$I179=""),"",IF($BC179="Y",SUMIFS(survey_frozen!$J$2:$J$251,survey_frozen!$P$2:$P$251,$A179&amp;"|"&amp;$B179),IFERROR(COUNTIFS(INDIRECT("'"&amp;$A179&amp;"'!$B$2:$B$501"),$T179,INDIRECT("'"&amp;$A179&amp;"'!$A$2:$A$501"),"&gt;="&amp;$I179,INDIRECT("'"&amp;$A179&amp;"'!$A$2:$A$501"),"&lt;"&amp;($BA179+1),INDIRECT("'"&amp;$A179&amp;"'!$E$2:$E$501"),"Yes"),0)))</f>
        <v/>
      </c>
      <c r="AW179" s="30" t="str">
        <f aca="true">IF(OR($A179="",$I179=""),"",IF($BC179="Y",SUMIFS(survey_frozen!$K$2:$K$251,survey_frozen!$P$2:$P$251,$A179&amp;"|"&amp;$B179),IFERROR(COUNTIFS(INDIRECT("'"&amp;$A179&amp;"'!$B$2:$B$501"),$T179,INDIRECT("'"&amp;$A179&amp;"'!$A$2:$A$501"),"&gt;="&amp;$I179,INDIRECT("'"&amp;$A179&amp;"'!$A$2:$A$501"),"&lt;"&amp;($BA179+1),INDIRECT("'"&amp;$A179&amp;"'!$E$2:$E$501"),"Maybe"),0)))</f>
        <v/>
      </c>
      <c r="AX179" s="30" t="str">
        <f aca="true">IF(OR($A179="",$I179=""),"",IF($BC179="Y",SUMIFS(survey_frozen!$L$2:$L$251,survey_frozen!$P$2:$P$251,$A179&amp;"|"&amp;$B179),IFERROR(COUNTIFS(INDIRECT("'"&amp;$A179&amp;"'!$B$2:$B$501"),$T179,INDIRECT("'"&amp;$A179&amp;"'!$A$2:$A$501"),"&gt;="&amp;$I179,INDIRECT("'"&amp;$A179&amp;"'!$A$2:$A$501"),"&lt;"&amp;($BA179+1),INDIRECT("'"&amp;$A179&amp;"'!$E$2:$E$501"),"No"),0)))</f>
        <v/>
      </c>
      <c r="AY179" s="30" t="str">
        <f aca="true">IF(OR($A179="",$I179=""),"",IF($BC179="Y",SUMIFS(survey_frozen!$M$2:$M$251,survey_frozen!$P$2:$P$251,$A179&amp;"|"&amp;$B179),IFERROR(COUNTIFS(INDIRECT("'"&amp;$A179&amp;"'!$B$2:$B$501"),$T179,INDIRECT("'"&amp;$A179&amp;"'!$A$2:$A$501"),"&gt;="&amp;$I179,INDIRECT("'"&amp;$A179&amp;"'!$A$2:$A$501"),"&lt;"&amp;($BA179+1),INDIRECT("'"&amp;$A179&amp;"'!$G$2:$G$501"),"&lt;&gt;"),0)))</f>
        <v/>
      </c>
      <c r="AZ179" s="30" t="str">
        <f aca="false">IF($A179="","",$A179&amp;"|"&amp;$L179)</f>
        <v/>
      </c>
      <c r="BA179" s="31" t="str">
        <f aca="false">IF($A179="","",IFERROR(IF(INDEX(drops!$R$2:$R$21,MATCH($H179,drops!$A$2:$A$21,0))="","",INDEX(drops!$R$2:$R$21,MATCH($H179,drops!$A$2:$A$21,0))),""))</f>
        <v/>
      </c>
      <c r="BB179" s="30" t="n">
        <f aca="false">IF(OR($A179="",$Q179&lt;&gt;"Y"),1000000,N($AL179))</f>
        <v>1000000</v>
      </c>
      <c r="BC179" s="30" t="str">
        <f aca="false">IF($A179="","",IF(COUNTIF(survey_frozen!$P$2:$P$251,$A179&amp;"|"&amp;$B179)&gt;0,"Y",""))</f>
        <v/>
      </c>
      <c r="BD179" s="30" t="str">
        <f aca="false">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ustomFormat="false" ht="15" hidden="false" customHeight="false" outlineLevel="0" collapsed="false">
      <c r="C180" s="11"/>
      <c r="D180" s="10"/>
      <c r="E180" s="11"/>
      <c r="H180" s="30" t="str">
        <f aca="false">IF($A180="","",IFERROR(IF(INDEX(campaigns!$B$2:$B$51,MATCH($A180,campaigns!$A$2:$A$51,0))="","",INDEX(campaigns!$B$2:$B$51,MATCH($A180,campaigns!$A$2:$A$51,0))),""))</f>
        <v/>
      </c>
      <c r="I180" s="31" t="str">
        <f aca="false">IF($A180="","",IFERROR(IF(INDEX(campaigns!$BG$2:$BG$51,MATCH($A180,campaigns!$A$2:$A$51,0))="","",INDEX(campaigns!$BG$2:$BG$51,MATCH($A180,campaigns!$A$2:$A$51,0))),""))</f>
        <v/>
      </c>
      <c r="J180" s="30" t="str">
        <f aca="false">IF($A180="","",IFERROR(IF(INDEX(campaigns!$BE$2:$BE$51,MATCH($A180,campaigns!$A$2:$A$51,0))="","",INDEX(campaigns!$BE$2:$BE$51,MATCH($A180,campaigns!$A$2:$A$51,0))),""))</f>
        <v/>
      </c>
      <c r="K180" s="30" t="str">
        <f aca="false">IF($B180="","",IFERROR(IF(INDEX(offices!$O$2:$O$61,MATCH($B180,offices!$A$2:$A$61,0))="","",INDEX(offices!$O$2:$O$61,MATCH($B180,offices!$A$2:$A$61,0))),""))</f>
        <v/>
      </c>
      <c r="L180" s="30" t="str">
        <f aca="false">IF($A180="","",IF($Q180="N","",COUNTIFS($A$2:$A180,$A180,$Q$2:$Q180,"&lt;&gt;N")))</f>
        <v/>
      </c>
      <c r="M180" s="30" t="str">
        <f aca="false">IF(OR($A180="",$L180=""),"",IF(AND(config!$B$34="names_if_public",IFERROR(IF(INDEX(offices!$AG$2:$AG$61,MATCH($B180,offices!$A$2:$A$61,0))="","",INDEX(offices!$AG$2:$AG$61,MATCH($B180,offices!$A$2:$A$61,0))),"")="Y"),$K180,CHAR(64+$L180)))</f>
        <v/>
      </c>
      <c r="N180" s="30" t="str">
        <f aca="false">IF(OR($A180="",$I180=""),"",COUNTIFS(stops!$B$2:$B$151,$B180,stops!$P$2:$P$151,"&lt;"&amp;$I180,stops!$L$2:$L$151,"&lt;&gt;not_delivered")+1)</f>
        <v/>
      </c>
      <c r="O180" s="30" t="str">
        <f aca="false">IF($A180="","",IF(N($N180)&lt;=config!$B$29,"explicit","opt-out"))</f>
        <v/>
      </c>
      <c r="P180" s="30" t="str">
        <f aca="false">IF($A180="","",IF($O180="explicit",IF($D180="yes","Y",IF($D180="no","N","pending")),IF($D180="no","N",IF(AND($C180&lt;&gt;"",$I180&lt;&gt;"",$C180&lt;=WORKDAY(N($I180),-5,calendar!$A$2:$A$80)),"Y","pending"))))</f>
        <v/>
      </c>
      <c r="Q180" s="30" t="str">
        <f aca="false">IF($A180="","",IF($P180="N","N",IF($P180&lt;&gt;"Y","pending",IF(AND((COUNTIFS(stops!$A$2:$A$151,$H180,stops!$B$2:$B$151,$B180,stops!$L$2:$L$151,"declined")+COUNTIFS(stops!$A$2:$A$151,$H180,stops!$B$2:$B$151,$B180,stops!$L$2:$L$151,"building_refused")+COUNTIFS(stops!$A$2:$A$151,$H180,stops!$B$2:$B$151,$B180,stops!$L$2:$L$151,"not_delivered"))&gt;0,N($U180)=0),"N","Y"))))</f>
        <v/>
      </c>
      <c r="R180" s="30" t="str">
        <f aca="false">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30" t="str">
        <f aca="false">IF($A180="","",IF($G180&lt;&gt;"",$G180,IFERROR(IF(INDEX(offices!$AM$2:$AM$61,MATCH($B180,offices!$A$2:$A$61,0))="","",INDEX(offices!$AM$2:$AM$61,MATCH($B180,offices!$A$2:$A$61,0))),"")))</f>
        <v/>
      </c>
      <c r="T180" s="30" t="str">
        <f aca="false">IF($A180="","",$A180&amp;"."&amp;$B180)</f>
        <v/>
      </c>
      <c r="U180" s="30" t="str">
        <f aca="false">IF($A180="","",SUMIFS(inventory!$G$2:$G$801,inventory!$C$2:$C$801,$A180,inventory!$D$2:$D$801,$B180,inventory!$E$2:$E$801,"delivered"))</f>
        <v/>
      </c>
      <c r="V180" s="37" t="str">
        <f aca="false">IF($A180="","",IFERROR(1/(1/SUMPRODUCT(MAX((inventory!$C$2:$C$801=$A180)*(inventory!$D$2:$D$801=$B180)*(inventory!$E$2:$E$801="delivered")*(inventory!$A$2:$A$801+inventory!$B$2:$B$801)))),""))</f>
        <v/>
      </c>
      <c r="W180" s="30" t="str">
        <f aca="false">IF($A180="","",IFERROR(IF(INDEX(inventory!$J$2:$J$801,MATCH($A180&amp;"|"&amp;$B180&amp;"|delivered",inventory!$R$2:$R$801,0))="","",INDEX(inventory!$J$2:$J$801,MATCH($A180&amp;"|"&amp;$B180&amp;"|delivered",inventory!$R$2:$R$801,0))),""))</f>
        <v/>
      </c>
      <c r="X180" s="30" t="str">
        <f aca="false">IF($A180="","",IFERROR(IF(INDEX(photos!$H$2:$H$701,MATCH($A180&amp;"|"&amp;$B180&amp;"|placement|Y",photos!$R$2:$R$701,0))="","",INDEX(photos!$H$2:$H$701,MATCH($A180&amp;"|"&amp;$B180&amp;"|placement|Y",photos!$R$2:$R$701,0))),""))</f>
        <v/>
      </c>
      <c r="Y180" s="31" t="str">
        <f aca="false">IF($A180="","",IFERROR(IF(INDEX(photos!$E$2:$E$701,MATCH($A180&amp;"|"&amp;$B180&amp;"|placement|Y",photos!$R$2:$R$701,0))="","",INDEX(photos!$E$2:$E$701,MATCH($A180&amp;"|"&amp;$B180&amp;"|placement|Y",photos!$R$2:$R$701,0))),""))</f>
        <v/>
      </c>
      <c r="Z180" s="30" t="str">
        <f aca="false">IF($A180="","",IF(COUNTIFS(counts!$C$2:$C$701,$A180,counts!$D$2:$D$701,$B180,counts!$E$2:$E$701,"placed")=0,"",SUMIFS(counts!$F$2:$F$701,counts!$C$2:$C$701,$A180,counts!$D$2:$D$701,$B180,counts!$E$2:$E$701,"placed")))</f>
        <v/>
      </c>
      <c r="AA180" s="30" t="str">
        <f aca="false">IF($A180="","",IF($Y180="",0,N($Z180)))</f>
        <v/>
      </c>
      <c r="AB180" s="30" t="str">
        <f aca="false">IF($A180="","",IF(OR($Y180="",$I180=""),"N",IF($Y180&lt;=WORKDAY(N($I180),1,calendar!$A$2:$A$80),"Y","N")))</f>
        <v/>
      </c>
      <c r="AC180" s="33" t="str">
        <f aca="false">IF(OR($A180="",$V180="",$Y180=""),"",ROUND(($Y180+N(IFERROR(IF(INDEX(photos!$F$2:$F$701,MATCH($A180&amp;"|"&amp;$B180&amp;"|placement|Y",photos!$R$2:$R$701,0))="","",INDEX(photos!$F$2:$F$701,MATCH($A180&amp;"|"&amp;$B180&amp;"|placement|Y",photos!$R$2:$R$701,0))),""))-$V180)*24,1))</f>
        <v/>
      </c>
      <c r="AD180" s="30" t="str">
        <f aca="false">IF($A180="","",SUMIFS(inventory!$G$2:$G$801,inventory!$C$2:$C$801,$A180,inventory!$D$2:$D$801,$B180,inventory!$E$2:$E$801,"topped_up"))</f>
        <v/>
      </c>
      <c r="AE180" s="30" t="str">
        <f aca="false">IF($A180="","",IF(COUNTIFS(counts!$C$2:$C$701,$A180,counts!$D$2:$D$701,$B180,counts!$E$2:$E$701,"remaining_day3")=0,"",SUMIFS(counts!$F$2:$F$701,counts!$C$2:$C$701,$A180,counts!$D$2:$D$701,$B180,counts!$E$2:$E$701,"remaining_day3")))</f>
        <v/>
      </c>
      <c r="AF180" s="30" t="str">
        <f aca="false">IF($A180="","",IF(COUNTIFS(counts!$C$2:$C$701,$A180,counts!$D$2:$D$701,$B180,counts!$E$2:$E$701,"remaining_day5")=0,"",SUMIFS(counts!$F$2:$F$701,counts!$C$2:$C$701,$A180,counts!$D$2:$D$701,$B180,counts!$E$2:$E$701,"remaining_day5")))</f>
        <v/>
      </c>
      <c r="AG180" s="30" t="str">
        <f aca="false">IF(OR($A180="",$AF180=""),"",MAX(0,$AA180+$AD180-$AF180))</f>
        <v/>
      </c>
      <c r="AH180" s="30" t="str">
        <f aca="false">IF(OR($A180="",$AI180=""),"",IFERROR(IF(INDEX(photos!$H$2:$H$701,MATCH($A180&amp;"|"&amp;$B180&amp;"|later|Y|"&amp;$AI180,photos!$S$2:$S$701,0))="","",INDEX(photos!$H$2:$H$701,MATCH($A180&amp;"|"&amp;$B180&amp;"|later|Y|"&amp;$AI180,photos!$S$2:$S$701,0))),""))</f>
        <v/>
      </c>
      <c r="AI180" s="31" t="str">
        <f aca="false">IF($A180="","",IFERROR(1/(1/SUMPRODUCT(MAX((photos!$B$2:$B$701=$A180)*(photos!$C$2:$C$701=$B180)*(photos!$D$2:$D$701="later")*(photos!$O$2:$O$701="Y")*photos!$E$2:$E$701))),""))</f>
        <v/>
      </c>
      <c r="AJ180" s="30" t="str">
        <f aca="false">IF(OR($A180="",$AI180="",$I180=""),"",NETWORKDAYS($I180,$AI180,calendar!$A$2:$A$80))</f>
        <v/>
      </c>
      <c r="AK180" s="30" t="str">
        <f aca="false">IF($A180="","",IF(AND($X180&lt;&gt;"",$AH180&lt;&gt;""),"Y","N"))</f>
        <v/>
      </c>
      <c r="AL180" s="30" t="str">
        <f aca="true">IF(OR($A180="",$I180=""),"",IF($BC180="Y",SUMIFS(survey_frozen!$C$2:$C$251,survey_frozen!$P$2:$P$251,$A180&amp;"|"&amp;$B180),IFERROR(COUNTIFS(INDIRECT("'"&amp;$A180&amp;"'!$B$2:$B$501"),$T180,INDIRECT("'"&amp;$A180&amp;"'!$A$2:$A$501"),"&gt;="&amp;$I180,INDIRECT("'"&amp;$A180&amp;"'!$A$2:$A$501"),"&lt;"&amp;($BA180+1)),0)))</f>
        <v/>
      </c>
      <c r="AM180" s="30" t="str">
        <f aca="true">IF(OR($A180="",$I180=""),"",IF($BC180="Y",SUMIFS(survey_frozen!$D$2:$D$251,survey_frozen!$P$2:$P$251,$A180&amp;"|"&amp;$B180),IFERROR(COUNTIFS(INDIRECT("'"&amp;$A180&amp;"'!$B$2:$B$501"),$T180,INDIRECT("'"&amp;$A180&amp;"'!$A$2:$A$501"),"&gt;="&amp;$I180,INDIRECT("'"&amp;$A180&amp;"'!$A$2:$A$501"),"&lt;"&amp;($BA180+1),INDIRECT("'"&amp;$A180&amp;"'!$C$2:$C$501"),"Yes"),0)))</f>
        <v/>
      </c>
      <c r="AN180" s="30" t="str">
        <f aca="false">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30" t="str">
        <f aca="false">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30" t="str">
        <f aca="true">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30" t="str">
        <f aca="true">IF(OR($A180="",$I180=""),"",IF($BC180="Y",SUMIFS(survey_frozen!$E$2:$E$251,survey_frozen!$P$2:$P$251,$A180&amp;"|"&amp;$B180),IFERROR(COUNTIFS(INDIRECT("'"&amp;$A180&amp;"'!$B$2:$B$501"),$T180,INDIRECT("'"&amp;$A180&amp;"'!$A$2:$A$501"),"&gt;="&amp;$I180,INDIRECT("'"&amp;$A180&amp;"'!$A$2:$A$501"),"&lt;"&amp;($BA180+1),INDIRECT("'"&amp;$A180&amp;"'!$F$2:$F$501"),"Didn't see it"),0)))</f>
        <v/>
      </c>
      <c r="AR180" s="30" t="str">
        <f aca="true">IF(OR($A180="",$I180=""),"",IF($BC180="Y",SUMIFS(survey_frozen!$F$2:$F$251,survey_frozen!$P$2:$P$251,$A180&amp;"|"&amp;$B180),IFERROR(COUNTIFS(INDIRECT("'"&amp;$A180&amp;"'!$B$2:$B$501"),$T180,INDIRECT("'"&amp;$A180&amp;"'!$A$2:$A$501"),"&gt;="&amp;$I180,INDIRECT("'"&amp;$A180&amp;"'!$A$2:$A$501"),"&lt;"&amp;($BA180+1),INDIRECT("'"&amp;$A180&amp;"'!$F$2:$F$501"),"Not for me"),0)))</f>
        <v/>
      </c>
      <c r="AS180" s="30" t="str">
        <f aca="true">IF(OR($A180="",$I180=""),"",IF($BC180="Y",SUMIFS(survey_frozen!$G$2:$G$251,survey_frozen!$P$2:$P$251,$A180&amp;"|"&amp;$B180),IFERROR(COUNTIFS(INDIRECT("'"&amp;$A180&amp;"'!$B$2:$B$501"),$T180,INDIRECT("'"&amp;$A180&amp;"'!$A$2:$A$501"),"&gt;="&amp;$I180,INDIRECT("'"&amp;$A180&amp;"'!$A$2:$A$501"),"&lt;"&amp;($BA180+1),INDIRECT("'"&amp;$A180&amp;"'!$F$2:$F$501"),"Gone by the time I looked"),0)))</f>
        <v/>
      </c>
      <c r="AT180" s="30" t="str">
        <f aca="true">IF(OR($A180="",$I180=""),"",IF($BC180="Y",SUMIFS(survey_frozen!$H$2:$H$251,survey_frozen!$P$2:$P$251,$A180&amp;"|"&amp;$B180),IFERROR(COUNTIFS(INDIRECT("'"&amp;$A180&amp;"'!$B$2:$B$501"),$T180,INDIRECT("'"&amp;$A180&amp;"'!$A$2:$A$501"),"&gt;="&amp;$I180,INDIRECT("'"&amp;$A180&amp;"'!$A$2:$A$501"),"&lt;"&amp;($BA180+1),INDIRECT("'"&amp;$A180&amp;"'!$D$2:$D$501"),"&gt;=1"),0)))</f>
        <v/>
      </c>
      <c r="AU180" s="30" t="str">
        <f aca="true">IF(OR($A180="",$I180=""),"",IF($BC180="Y",SUMIFS(survey_frozen!$I$2:$I$251,survey_frozen!$P$2:$P$251,$A180&amp;"|"&amp;$B180),IFERROR(SUMIFS(INDIRECT("'"&amp;$A180&amp;"'!$D$2:$D$501"),INDIRECT("'"&amp;$A180&amp;"'!$B$2:$B$501"),$T180,INDIRECT("'"&amp;$A180&amp;"'!$A$2:$A$501"),"&gt;="&amp;$I180,INDIRECT("'"&amp;$A180&amp;"'!$A$2:$A$501"),"&lt;"&amp;($BA180+1)),0)))</f>
        <v/>
      </c>
      <c r="AV180" s="30" t="str">
        <f aca="true">IF(OR($A180="",$I180=""),"",IF($BC180="Y",SUMIFS(survey_frozen!$J$2:$J$251,survey_frozen!$P$2:$P$251,$A180&amp;"|"&amp;$B180),IFERROR(COUNTIFS(INDIRECT("'"&amp;$A180&amp;"'!$B$2:$B$501"),$T180,INDIRECT("'"&amp;$A180&amp;"'!$A$2:$A$501"),"&gt;="&amp;$I180,INDIRECT("'"&amp;$A180&amp;"'!$A$2:$A$501"),"&lt;"&amp;($BA180+1),INDIRECT("'"&amp;$A180&amp;"'!$E$2:$E$501"),"Yes"),0)))</f>
        <v/>
      </c>
      <c r="AW180" s="30" t="str">
        <f aca="true">IF(OR($A180="",$I180=""),"",IF($BC180="Y",SUMIFS(survey_frozen!$K$2:$K$251,survey_frozen!$P$2:$P$251,$A180&amp;"|"&amp;$B180),IFERROR(COUNTIFS(INDIRECT("'"&amp;$A180&amp;"'!$B$2:$B$501"),$T180,INDIRECT("'"&amp;$A180&amp;"'!$A$2:$A$501"),"&gt;="&amp;$I180,INDIRECT("'"&amp;$A180&amp;"'!$A$2:$A$501"),"&lt;"&amp;($BA180+1),INDIRECT("'"&amp;$A180&amp;"'!$E$2:$E$501"),"Maybe"),0)))</f>
        <v/>
      </c>
      <c r="AX180" s="30" t="str">
        <f aca="true">IF(OR($A180="",$I180=""),"",IF($BC180="Y",SUMIFS(survey_frozen!$L$2:$L$251,survey_frozen!$P$2:$P$251,$A180&amp;"|"&amp;$B180),IFERROR(COUNTIFS(INDIRECT("'"&amp;$A180&amp;"'!$B$2:$B$501"),$T180,INDIRECT("'"&amp;$A180&amp;"'!$A$2:$A$501"),"&gt;="&amp;$I180,INDIRECT("'"&amp;$A180&amp;"'!$A$2:$A$501"),"&lt;"&amp;($BA180+1),INDIRECT("'"&amp;$A180&amp;"'!$E$2:$E$501"),"No"),0)))</f>
        <v/>
      </c>
      <c r="AY180" s="30" t="str">
        <f aca="true">IF(OR($A180="",$I180=""),"",IF($BC180="Y",SUMIFS(survey_frozen!$M$2:$M$251,survey_frozen!$P$2:$P$251,$A180&amp;"|"&amp;$B180),IFERROR(COUNTIFS(INDIRECT("'"&amp;$A180&amp;"'!$B$2:$B$501"),$T180,INDIRECT("'"&amp;$A180&amp;"'!$A$2:$A$501"),"&gt;="&amp;$I180,INDIRECT("'"&amp;$A180&amp;"'!$A$2:$A$501"),"&lt;"&amp;($BA180+1),INDIRECT("'"&amp;$A180&amp;"'!$G$2:$G$501"),"&lt;&gt;"),0)))</f>
        <v/>
      </c>
      <c r="AZ180" s="30" t="str">
        <f aca="false">IF($A180="","",$A180&amp;"|"&amp;$L180)</f>
        <v/>
      </c>
      <c r="BA180" s="31" t="str">
        <f aca="false">IF($A180="","",IFERROR(IF(INDEX(drops!$R$2:$R$21,MATCH($H180,drops!$A$2:$A$21,0))="","",INDEX(drops!$R$2:$R$21,MATCH($H180,drops!$A$2:$A$21,0))),""))</f>
        <v/>
      </c>
      <c r="BB180" s="30" t="n">
        <f aca="false">IF(OR($A180="",$Q180&lt;&gt;"Y"),1000000,N($AL180))</f>
        <v>1000000</v>
      </c>
      <c r="BC180" s="30" t="str">
        <f aca="false">IF($A180="","",IF(COUNTIF(survey_frozen!$P$2:$P$251,$A180&amp;"|"&amp;$B180)&gt;0,"Y",""))</f>
        <v/>
      </c>
      <c r="BD180" s="30" t="str">
        <f aca="false">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ustomFormat="false" ht="15" hidden="false" customHeight="false" outlineLevel="0" collapsed="false">
      <c r="C181" s="11"/>
      <c r="D181" s="10"/>
      <c r="E181" s="11"/>
      <c r="H181" s="30" t="str">
        <f aca="false">IF($A181="","",IFERROR(IF(INDEX(campaigns!$B$2:$B$51,MATCH($A181,campaigns!$A$2:$A$51,0))="","",INDEX(campaigns!$B$2:$B$51,MATCH($A181,campaigns!$A$2:$A$51,0))),""))</f>
        <v/>
      </c>
      <c r="I181" s="31" t="str">
        <f aca="false">IF($A181="","",IFERROR(IF(INDEX(campaigns!$BG$2:$BG$51,MATCH($A181,campaigns!$A$2:$A$51,0))="","",INDEX(campaigns!$BG$2:$BG$51,MATCH($A181,campaigns!$A$2:$A$51,0))),""))</f>
        <v/>
      </c>
      <c r="J181" s="30" t="str">
        <f aca="false">IF($A181="","",IFERROR(IF(INDEX(campaigns!$BE$2:$BE$51,MATCH($A181,campaigns!$A$2:$A$51,0))="","",INDEX(campaigns!$BE$2:$BE$51,MATCH($A181,campaigns!$A$2:$A$51,0))),""))</f>
        <v/>
      </c>
      <c r="K181" s="30" t="str">
        <f aca="false">IF($B181="","",IFERROR(IF(INDEX(offices!$O$2:$O$61,MATCH($B181,offices!$A$2:$A$61,0))="","",INDEX(offices!$O$2:$O$61,MATCH($B181,offices!$A$2:$A$61,0))),""))</f>
        <v/>
      </c>
      <c r="L181" s="30" t="str">
        <f aca="false">IF($A181="","",IF($Q181="N","",COUNTIFS($A$2:$A181,$A181,$Q$2:$Q181,"&lt;&gt;N")))</f>
        <v/>
      </c>
      <c r="M181" s="30" t="str">
        <f aca="false">IF(OR($A181="",$L181=""),"",IF(AND(config!$B$34="names_if_public",IFERROR(IF(INDEX(offices!$AG$2:$AG$61,MATCH($B181,offices!$A$2:$A$61,0))="","",INDEX(offices!$AG$2:$AG$61,MATCH($B181,offices!$A$2:$A$61,0))),"")="Y"),$K181,CHAR(64+$L181)))</f>
        <v/>
      </c>
      <c r="N181" s="30" t="str">
        <f aca="false">IF(OR($A181="",$I181=""),"",COUNTIFS(stops!$B$2:$B$151,$B181,stops!$P$2:$P$151,"&lt;"&amp;$I181,stops!$L$2:$L$151,"&lt;&gt;not_delivered")+1)</f>
        <v/>
      </c>
      <c r="O181" s="30" t="str">
        <f aca="false">IF($A181="","",IF(N($N181)&lt;=config!$B$29,"explicit","opt-out"))</f>
        <v/>
      </c>
      <c r="P181" s="30" t="str">
        <f aca="false">IF($A181="","",IF($O181="explicit",IF($D181="yes","Y",IF($D181="no","N","pending")),IF($D181="no","N",IF(AND($C181&lt;&gt;"",$I181&lt;&gt;"",$C181&lt;=WORKDAY(N($I181),-5,calendar!$A$2:$A$80)),"Y","pending"))))</f>
        <v/>
      </c>
      <c r="Q181" s="30" t="str">
        <f aca="false">IF($A181="","",IF($P181="N","N",IF($P181&lt;&gt;"Y","pending",IF(AND((COUNTIFS(stops!$A$2:$A$151,$H181,stops!$B$2:$B$151,$B181,stops!$L$2:$L$151,"declined")+COUNTIFS(stops!$A$2:$A$151,$H181,stops!$B$2:$B$151,$B181,stops!$L$2:$L$151,"building_refused")+COUNTIFS(stops!$A$2:$A$151,$H181,stops!$B$2:$B$151,$B181,stops!$L$2:$L$151,"not_delivered"))&gt;0,N($U181)=0),"N","Y"))))</f>
        <v/>
      </c>
      <c r="R181" s="30" t="str">
        <f aca="false">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30" t="str">
        <f aca="false">IF($A181="","",IF($G181&lt;&gt;"",$G181,IFERROR(IF(INDEX(offices!$AM$2:$AM$61,MATCH($B181,offices!$A$2:$A$61,0))="","",INDEX(offices!$AM$2:$AM$61,MATCH($B181,offices!$A$2:$A$61,0))),"")))</f>
        <v/>
      </c>
      <c r="T181" s="30" t="str">
        <f aca="false">IF($A181="","",$A181&amp;"."&amp;$B181)</f>
        <v/>
      </c>
      <c r="U181" s="30" t="str">
        <f aca="false">IF($A181="","",SUMIFS(inventory!$G$2:$G$801,inventory!$C$2:$C$801,$A181,inventory!$D$2:$D$801,$B181,inventory!$E$2:$E$801,"delivered"))</f>
        <v/>
      </c>
      <c r="V181" s="37" t="str">
        <f aca="false">IF($A181="","",IFERROR(1/(1/SUMPRODUCT(MAX((inventory!$C$2:$C$801=$A181)*(inventory!$D$2:$D$801=$B181)*(inventory!$E$2:$E$801="delivered")*(inventory!$A$2:$A$801+inventory!$B$2:$B$801)))),""))</f>
        <v/>
      </c>
      <c r="W181" s="30" t="str">
        <f aca="false">IF($A181="","",IFERROR(IF(INDEX(inventory!$J$2:$J$801,MATCH($A181&amp;"|"&amp;$B181&amp;"|delivered",inventory!$R$2:$R$801,0))="","",INDEX(inventory!$J$2:$J$801,MATCH($A181&amp;"|"&amp;$B181&amp;"|delivered",inventory!$R$2:$R$801,0))),""))</f>
        <v/>
      </c>
      <c r="X181" s="30" t="str">
        <f aca="false">IF($A181="","",IFERROR(IF(INDEX(photos!$H$2:$H$701,MATCH($A181&amp;"|"&amp;$B181&amp;"|placement|Y",photos!$R$2:$R$701,0))="","",INDEX(photos!$H$2:$H$701,MATCH($A181&amp;"|"&amp;$B181&amp;"|placement|Y",photos!$R$2:$R$701,0))),""))</f>
        <v/>
      </c>
      <c r="Y181" s="31" t="str">
        <f aca="false">IF($A181="","",IFERROR(IF(INDEX(photos!$E$2:$E$701,MATCH($A181&amp;"|"&amp;$B181&amp;"|placement|Y",photos!$R$2:$R$701,0))="","",INDEX(photos!$E$2:$E$701,MATCH($A181&amp;"|"&amp;$B181&amp;"|placement|Y",photos!$R$2:$R$701,0))),""))</f>
        <v/>
      </c>
      <c r="Z181" s="30" t="str">
        <f aca="false">IF($A181="","",IF(COUNTIFS(counts!$C$2:$C$701,$A181,counts!$D$2:$D$701,$B181,counts!$E$2:$E$701,"placed")=0,"",SUMIFS(counts!$F$2:$F$701,counts!$C$2:$C$701,$A181,counts!$D$2:$D$701,$B181,counts!$E$2:$E$701,"placed")))</f>
        <v/>
      </c>
      <c r="AA181" s="30" t="str">
        <f aca="false">IF($A181="","",IF($Y181="",0,N($Z181)))</f>
        <v/>
      </c>
      <c r="AB181" s="30" t="str">
        <f aca="false">IF($A181="","",IF(OR($Y181="",$I181=""),"N",IF($Y181&lt;=WORKDAY(N($I181),1,calendar!$A$2:$A$80),"Y","N")))</f>
        <v/>
      </c>
      <c r="AC181" s="33" t="str">
        <f aca="false">IF(OR($A181="",$V181="",$Y181=""),"",ROUND(($Y181+N(IFERROR(IF(INDEX(photos!$F$2:$F$701,MATCH($A181&amp;"|"&amp;$B181&amp;"|placement|Y",photos!$R$2:$R$701,0))="","",INDEX(photos!$F$2:$F$701,MATCH($A181&amp;"|"&amp;$B181&amp;"|placement|Y",photos!$R$2:$R$701,0))),""))-$V181)*24,1))</f>
        <v/>
      </c>
      <c r="AD181" s="30" t="str">
        <f aca="false">IF($A181="","",SUMIFS(inventory!$G$2:$G$801,inventory!$C$2:$C$801,$A181,inventory!$D$2:$D$801,$B181,inventory!$E$2:$E$801,"topped_up"))</f>
        <v/>
      </c>
      <c r="AE181" s="30" t="str">
        <f aca="false">IF($A181="","",IF(COUNTIFS(counts!$C$2:$C$701,$A181,counts!$D$2:$D$701,$B181,counts!$E$2:$E$701,"remaining_day3")=0,"",SUMIFS(counts!$F$2:$F$701,counts!$C$2:$C$701,$A181,counts!$D$2:$D$701,$B181,counts!$E$2:$E$701,"remaining_day3")))</f>
        <v/>
      </c>
      <c r="AF181" s="30" t="str">
        <f aca="false">IF($A181="","",IF(COUNTIFS(counts!$C$2:$C$701,$A181,counts!$D$2:$D$701,$B181,counts!$E$2:$E$701,"remaining_day5")=0,"",SUMIFS(counts!$F$2:$F$701,counts!$C$2:$C$701,$A181,counts!$D$2:$D$701,$B181,counts!$E$2:$E$701,"remaining_day5")))</f>
        <v/>
      </c>
      <c r="AG181" s="30" t="str">
        <f aca="false">IF(OR($A181="",$AF181=""),"",MAX(0,$AA181+$AD181-$AF181))</f>
        <v/>
      </c>
      <c r="AH181" s="30" t="str">
        <f aca="false">IF(OR($A181="",$AI181=""),"",IFERROR(IF(INDEX(photos!$H$2:$H$701,MATCH($A181&amp;"|"&amp;$B181&amp;"|later|Y|"&amp;$AI181,photos!$S$2:$S$701,0))="","",INDEX(photos!$H$2:$H$701,MATCH($A181&amp;"|"&amp;$B181&amp;"|later|Y|"&amp;$AI181,photos!$S$2:$S$701,0))),""))</f>
        <v/>
      </c>
      <c r="AI181" s="31" t="str">
        <f aca="false">IF($A181="","",IFERROR(1/(1/SUMPRODUCT(MAX((photos!$B$2:$B$701=$A181)*(photos!$C$2:$C$701=$B181)*(photos!$D$2:$D$701="later")*(photos!$O$2:$O$701="Y")*photos!$E$2:$E$701))),""))</f>
        <v/>
      </c>
      <c r="AJ181" s="30" t="str">
        <f aca="false">IF(OR($A181="",$AI181="",$I181=""),"",NETWORKDAYS($I181,$AI181,calendar!$A$2:$A$80))</f>
        <v/>
      </c>
      <c r="AK181" s="30" t="str">
        <f aca="false">IF($A181="","",IF(AND($X181&lt;&gt;"",$AH181&lt;&gt;""),"Y","N"))</f>
        <v/>
      </c>
      <c r="AL181" s="30" t="str">
        <f aca="true">IF(OR($A181="",$I181=""),"",IF($BC181="Y",SUMIFS(survey_frozen!$C$2:$C$251,survey_frozen!$P$2:$P$251,$A181&amp;"|"&amp;$B181),IFERROR(COUNTIFS(INDIRECT("'"&amp;$A181&amp;"'!$B$2:$B$501"),$T181,INDIRECT("'"&amp;$A181&amp;"'!$A$2:$A$501"),"&gt;="&amp;$I181,INDIRECT("'"&amp;$A181&amp;"'!$A$2:$A$501"),"&lt;"&amp;($BA181+1)),0)))</f>
        <v/>
      </c>
      <c r="AM181" s="30" t="str">
        <f aca="true">IF(OR($A181="",$I181=""),"",IF($BC181="Y",SUMIFS(survey_frozen!$D$2:$D$251,survey_frozen!$P$2:$P$251,$A181&amp;"|"&amp;$B181),IFERROR(COUNTIFS(INDIRECT("'"&amp;$A181&amp;"'!$B$2:$B$501"),$T181,INDIRECT("'"&amp;$A181&amp;"'!$A$2:$A$501"),"&gt;="&amp;$I181,INDIRECT("'"&amp;$A181&amp;"'!$A$2:$A$501"),"&lt;"&amp;($BA181+1),INDIRECT("'"&amp;$A181&amp;"'!$C$2:$C$501"),"Yes"),0)))</f>
        <v/>
      </c>
      <c r="AN181" s="30" t="str">
        <f aca="false">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30" t="str">
        <f aca="false">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30" t="str">
        <f aca="true">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30" t="str">
        <f aca="true">IF(OR($A181="",$I181=""),"",IF($BC181="Y",SUMIFS(survey_frozen!$E$2:$E$251,survey_frozen!$P$2:$P$251,$A181&amp;"|"&amp;$B181),IFERROR(COUNTIFS(INDIRECT("'"&amp;$A181&amp;"'!$B$2:$B$501"),$T181,INDIRECT("'"&amp;$A181&amp;"'!$A$2:$A$501"),"&gt;="&amp;$I181,INDIRECT("'"&amp;$A181&amp;"'!$A$2:$A$501"),"&lt;"&amp;($BA181+1),INDIRECT("'"&amp;$A181&amp;"'!$F$2:$F$501"),"Didn't see it"),0)))</f>
        <v/>
      </c>
      <c r="AR181" s="30" t="str">
        <f aca="true">IF(OR($A181="",$I181=""),"",IF($BC181="Y",SUMIFS(survey_frozen!$F$2:$F$251,survey_frozen!$P$2:$P$251,$A181&amp;"|"&amp;$B181),IFERROR(COUNTIFS(INDIRECT("'"&amp;$A181&amp;"'!$B$2:$B$501"),$T181,INDIRECT("'"&amp;$A181&amp;"'!$A$2:$A$501"),"&gt;="&amp;$I181,INDIRECT("'"&amp;$A181&amp;"'!$A$2:$A$501"),"&lt;"&amp;($BA181+1),INDIRECT("'"&amp;$A181&amp;"'!$F$2:$F$501"),"Not for me"),0)))</f>
        <v/>
      </c>
      <c r="AS181" s="30" t="str">
        <f aca="true">IF(OR($A181="",$I181=""),"",IF($BC181="Y",SUMIFS(survey_frozen!$G$2:$G$251,survey_frozen!$P$2:$P$251,$A181&amp;"|"&amp;$B181),IFERROR(COUNTIFS(INDIRECT("'"&amp;$A181&amp;"'!$B$2:$B$501"),$T181,INDIRECT("'"&amp;$A181&amp;"'!$A$2:$A$501"),"&gt;="&amp;$I181,INDIRECT("'"&amp;$A181&amp;"'!$A$2:$A$501"),"&lt;"&amp;($BA181+1),INDIRECT("'"&amp;$A181&amp;"'!$F$2:$F$501"),"Gone by the time I looked"),0)))</f>
        <v/>
      </c>
      <c r="AT181" s="30" t="str">
        <f aca="true">IF(OR($A181="",$I181=""),"",IF($BC181="Y",SUMIFS(survey_frozen!$H$2:$H$251,survey_frozen!$P$2:$P$251,$A181&amp;"|"&amp;$B181),IFERROR(COUNTIFS(INDIRECT("'"&amp;$A181&amp;"'!$B$2:$B$501"),$T181,INDIRECT("'"&amp;$A181&amp;"'!$A$2:$A$501"),"&gt;="&amp;$I181,INDIRECT("'"&amp;$A181&amp;"'!$A$2:$A$501"),"&lt;"&amp;($BA181+1),INDIRECT("'"&amp;$A181&amp;"'!$D$2:$D$501"),"&gt;=1"),0)))</f>
        <v/>
      </c>
      <c r="AU181" s="30" t="str">
        <f aca="true">IF(OR($A181="",$I181=""),"",IF($BC181="Y",SUMIFS(survey_frozen!$I$2:$I$251,survey_frozen!$P$2:$P$251,$A181&amp;"|"&amp;$B181),IFERROR(SUMIFS(INDIRECT("'"&amp;$A181&amp;"'!$D$2:$D$501"),INDIRECT("'"&amp;$A181&amp;"'!$B$2:$B$501"),$T181,INDIRECT("'"&amp;$A181&amp;"'!$A$2:$A$501"),"&gt;="&amp;$I181,INDIRECT("'"&amp;$A181&amp;"'!$A$2:$A$501"),"&lt;"&amp;($BA181+1)),0)))</f>
        <v/>
      </c>
      <c r="AV181" s="30" t="str">
        <f aca="true">IF(OR($A181="",$I181=""),"",IF($BC181="Y",SUMIFS(survey_frozen!$J$2:$J$251,survey_frozen!$P$2:$P$251,$A181&amp;"|"&amp;$B181),IFERROR(COUNTIFS(INDIRECT("'"&amp;$A181&amp;"'!$B$2:$B$501"),$T181,INDIRECT("'"&amp;$A181&amp;"'!$A$2:$A$501"),"&gt;="&amp;$I181,INDIRECT("'"&amp;$A181&amp;"'!$A$2:$A$501"),"&lt;"&amp;($BA181+1),INDIRECT("'"&amp;$A181&amp;"'!$E$2:$E$501"),"Yes"),0)))</f>
        <v/>
      </c>
      <c r="AW181" s="30" t="str">
        <f aca="true">IF(OR($A181="",$I181=""),"",IF($BC181="Y",SUMIFS(survey_frozen!$K$2:$K$251,survey_frozen!$P$2:$P$251,$A181&amp;"|"&amp;$B181),IFERROR(COUNTIFS(INDIRECT("'"&amp;$A181&amp;"'!$B$2:$B$501"),$T181,INDIRECT("'"&amp;$A181&amp;"'!$A$2:$A$501"),"&gt;="&amp;$I181,INDIRECT("'"&amp;$A181&amp;"'!$A$2:$A$501"),"&lt;"&amp;($BA181+1),INDIRECT("'"&amp;$A181&amp;"'!$E$2:$E$501"),"Maybe"),0)))</f>
        <v/>
      </c>
      <c r="AX181" s="30" t="str">
        <f aca="true">IF(OR($A181="",$I181=""),"",IF($BC181="Y",SUMIFS(survey_frozen!$L$2:$L$251,survey_frozen!$P$2:$P$251,$A181&amp;"|"&amp;$B181),IFERROR(COUNTIFS(INDIRECT("'"&amp;$A181&amp;"'!$B$2:$B$501"),$T181,INDIRECT("'"&amp;$A181&amp;"'!$A$2:$A$501"),"&gt;="&amp;$I181,INDIRECT("'"&amp;$A181&amp;"'!$A$2:$A$501"),"&lt;"&amp;($BA181+1),INDIRECT("'"&amp;$A181&amp;"'!$E$2:$E$501"),"No"),0)))</f>
        <v/>
      </c>
      <c r="AY181" s="30" t="str">
        <f aca="true">IF(OR($A181="",$I181=""),"",IF($BC181="Y",SUMIFS(survey_frozen!$M$2:$M$251,survey_frozen!$P$2:$P$251,$A181&amp;"|"&amp;$B181),IFERROR(COUNTIFS(INDIRECT("'"&amp;$A181&amp;"'!$B$2:$B$501"),$T181,INDIRECT("'"&amp;$A181&amp;"'!$A$2:$A$501"),"&gt;="&amp;$I181,INDIRECT("'"&amp;$A181&amp;"'!$A$2:$A$501"),"&lt;"&amp;($BA181+1),INDIRECT("'"&amp;$A181&amp;"'!$G$2:$G$501"),"&lt;&gt;"),0)))</f>
        <v/>
      </c>
      <c r="AZ181" s="30" t="str">
        <f aca="false">IF($A181="","",$A181&amp;"|"&amp;$L181)</f>
        <v/>
      </c>
      <c r="BA181" s="31" t="str">
        <f aca="false">IF($A181="","",IFERROR(IF(INDEX(drops!$R$2:$R$21,MATCH($H181,drops!$A$2:$A$21,0))="","",INDEX(drops!$R$2:$R$21,MATCH($H181,drops!$A$2:$A$21,0))),""))</f>
        <v/>
      </c>
      <c r="BB181" s="30" t="n">
        <f aca="false">IF(OR($A181="",$Q181&lt;&gt;"Y"),1000000,N($AL181))</f>
        <v>1000000</v>
      </c>
      <c r="BC181" s="30" t="str">
        <f aca="false">IF($A181="","",IF(COUNTIF(survey_frozen!$P$2:$P$251,$A181&amp;"|"&amp;$B181)&gt;0,"Y",""))</f>
        <v/>
      </c>
      <c r="BD181" s="30" t="str">
        <f aca="false">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ustomFormat="false" ht="15" hidden="false" customHeight="false" outlineLevel="0" collapsed="false">
      <c r="C182" s="11"/>
      <c r="D182" s="10"/>
      <c r="E182" s="11"/>
      <c r="H182" s="30" t="str">
        <f aca="false">IF($A182="","",IFERROR(IF(INDEX(campaigns!$B$2:$B$51,MATCH($A182,campaigns!$A$2:$A$51,0))="","",INDEX(campaigns!$B$2:$B$51,MATCH($A182,campaigns!$A$2:$A$51,0))),""))</f>
        <v/>
      </c>
      <c r="I182" s="31" t="str">
        <f aca="false">IF($A182="","",IFERROR(IF(INDEX(campaigns!$BG$2:$BG$51,MATCH($A182,campaigns!$A$2:$A$51,0))="","",INDEX(campaigns!$BG$2:$BG$51,MATCH($A182,campaigns!$A$2:$A$51,0))),""))</f>
        <v/>
      </c>
      <c r="J182" s="30" t="str">
        <f aca="false">IF($A182="","",IFERROR(IF(INDEX(campaigns!$BE$2:$BE$51,MATCH($A182,campaigns!$A$2:$A$51,0))="","",INDEX(campaigns!$BE$2:$BE$51,MATCH($A182,campaigns!$A$2:$A$51,0))),""))</f>
        <v/>
      </c>
      <c r="K182" s="30" t="str">
        <f aca="false">IF($B182="","",IFERROR(IF(INDEX(offices!$O$2:$O$61,MATCH($B182,offices!$A$2:$A$61,0))="","",INDEX(offices!$O$2:$O$61,MATCH($B182,offices!$A$2:$A$61,0))),""))</f>
        <v/>
      </c>
      <c r="L182" s="30" t="str">
        <f aca="false">IF($A182="","",IF($Q182="N","",COUNTIFS($A$2:$A182,$A182,$Q$2:$Q182,"&lt;&gt;N")))</f>
        <v/>
      </c>
      <c r="M182" s="30" t="str">
        <f aca="false">IF(OR($A182="",$L182=""),"",IF(AND(config!$B$34="names_if_public",IFERROR(IF(INDEX(offices!$AG$2:$AG$61,MATCH($B182,offices!$A$2:$A$61,0))="","",INDEX(offices!$AG$2:$AG$61,MATCH($B182,offices!$A$2:$A$61,0))),"")="Y"),$K182,CHAR(64+$L182)))</f>
        <v/>
      </c>
      <c r="N182" s="30" t="str">
        <f aca="false">IF(OR($A182="",$I182=""),"",COUNTIFS(stops!$B$2:$B$151,$B182,stops!$P$2:$P$151,"&lt;"&amp;$I182,stops!$L$2:$L$151,"&lt;&gt;not_delivered")+1)</f>
        <v/>
      </c>
      <c r="O182" s="30" t="str">
        <f aca="false">IF($A182="","",IF(N($N182)&lt;=config!$B$29,"explicit","opt-out"))</f>
        <v/>
      </c>
      <c r="P182" s="30" t="str">
        <f aca="false">IF($A182="","",IF($O182="explicit",IF($D182="yes","Y",IF($D182="no","N","pending")),IF($D182="no","N",IF(AND($C182&lt;&gt;"",$I182&lt;&gt;"",$C182&lt;=WORKDAY(N($I182),-5,calendar!$A$2:$A$80)),"Y","pending"))))</f>
        <v/>
      </c>
      <c r="Q182" s="30" t="str">
        <f aca="false">IF($A182="","",IF($P182="N","N",IF($P182&lt;&gt;"Y","pending",IF(AND((COUNTIFS(stops!$A$2:$A$151,$H182,stops!$B$2:$B$151,$B182,stops!$L$2:$L$151,"declined")+COUNTIFS(stops!$A$2:$A$151,$H182,stops!$B$2:$B$151,$B182,stops!$L$2:$L$151,"building_refused")+COUNTIFS(stops!$A$2:$A$151,$H182,stops!$B$2:$B$151,$B182,stops!$L$2:$L$151,"not_delivered"))&gt;0,N($U182)=0),"N","Y"))))</f>
        <v/>
      </c>
      <c r="R182" s="30" t="str">
        <f aca="false">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30" t="str">
        <f aca="false">IF($A182="","",IF($G182&lt;&gt;"",$G182,IFERROR(IF(INDEX(offices!$AM$2:$AM$61,MATCH($B182,offices!$A$2:$A$61,0))="","",INDEX(offices!$AM$2:$AM$61,MATCH($B182,offices!$A$2:$A$61,0))),"")))</f>
        <v/>
      </c>
      <c r="T182" s="30" t="str">
        <f aca="false">IF($A182="","",$A182&amp;"."&amp;$B182)</f>
        <v/>
      </c>
      <c r="U182" s="30" t="str">
        <f aca="false">IF($A182="","",SUMIFS(inventory!$G$2:$G$801,inventory!$C$2:$C$801,$A182,inventory!$D$2:$D$801,$B182,inventory!$E$2:$E$801,"delivered"))</f>
        <v/>
      </c>
      <c r="V182" s="37" t="str">
        <f aca="false">IF($A182="","",IFERROR(1/(1/SUMPRODUCT(MAX((inventory!$C$2:$C$801=$A182)*(inventory!$D$2:$D$801=$B182)*(inventory!$E$2:$E$801="delivered")*(inventory!$A$2:$A$801+inventory!$B$2:$B$801)))),""))</f>
        <v/>
      </c>
      <c r="W182" s="30" t="str">
        <f aca="false">IF($A182="","",IFERROR(IF(INDEX(inventory!$J$2:$J$801,MATCH($A182&amp;"|"&amp;$B182&amp;"|delivered",inventory!$R$2:$R$801,0))="","",INDEX(inventory!$J$2:$J$801,MATCH($A182&amp;"|"&amp;$B182&amp;"|delivered",inventory!$R$2:$R$801,0))),""))</f>
        <v/>
      </c>
      <c r="X182" s="30" t="str">
        <f aca="false">IF($A182="","",IFERROR(IF(INDEX(photos!$H$2:$H$701,MATCH($A182&amp;"|"&amp;$B182&amp;"|placement|Y",photos!$R$2:$R$701,0))="","",INDEX(photos!$H$2:$H$701,MATCH($A182&amp;"|"&amp;$B182&amp;"|placement|Y",photos!$R$2:$R$701,0))),""))</f>
        <v/>
      </c>
      <c r="Y182" s="31" t="str">
        <f aca="false">IF($A182="","",IFERROR(IF(INDEX(photos!$E$2:$E$701,MATCH($A182&amp;"|"&amp;$B182&amp;"|placement|Y",photos!$R$2:$R$701,0))="","",INDEX(photos!$E$2:$E$701,MATCH($A182&amp;"|"&amp;$B182&amp;"|placement|Y",photos!$R$2:$R$701,0))),""))</f>
        <v/>
      </c>
      <c r="Z182" s="30" t="str">
        <f aca="false">IF($A182="","",IF(COUNTIFS(counts!$C$2:$C$701,$A182,counts!$D$2:$D$701,$B182,counts!$E$2:$E$701,"placed")=0,"",SUMIFS(counts!$F$2:$F$701,counts!$C$2:$C$701,$A182,counts!$D$2:$D$701,$B182,counts!$E$2:$E$701,"placed")))</f>
        <v/>
      </c>
      <c r="AA182" s="30" t="str">
        <f aca="false">IF($A182="","",IF($Y182="",0,N($Z182)))</f>
        <v/>
      </c>
      <c r="AB182" s="30" t="str">
        <f aca="false">IF($A182="","",IF(OR($Y182="",$I182=""),"N",IF($Y182&lt;=WORKDAY(N($I182),1,calendar!$A$2:$A$80),"Y","N")))</f>
        <v/>
      </c>
      <c r="AC182" s="33" t="str">
        <f aca="false">IF(OR($A182="",$V182="",$Y182=""),"",ROUND(($Y182+N(IFERROR(IF(INDEX(photos!$F$2:$F$701,MATCH($A182&amp;"|"&amp;$B182&amp;"|placement|Y",photos!$R$2:$R$701,0))="","",INDEX(photos!$F$2:$F$701,MATCH($A182&amp;"|"&amp;$B182&amp;"|placement|Y",photos!$R$2:$R$701,0))),""))-$V182)*24,1))</f>
        <v/>
      </c>
      <c r="AD182" s="30" t="str">
        <f aca="false">IF($A182="","",SUMIFS(inventory!$G$2:$G$801,inventory!$C$2:$C$801,$A182,inventory!$D$2:$D$801,$B182,inventory!$E$2:$E$801,"topped_up"))</f>
        <v/>
      </c>
      <c r="AE182" s="30" t="str">
        <f aca="false">IF($A182="","",IF(COUNTIFS(counts!$C$2:$C$701,$A182,counts!$D$2:$D$701,$B182,counts!$E$2:$E$701,"remaining_day3")=0,"",SUMIFS(counts!$F$2:$F$701,counts!$C$2:$C$701,$A182,counts!$D$2:$D$701,$B182,counts!$E$2:$E$701,"remaining_day3")))</f>
        <v/>
      </c>
      <c r="AF182" s="30" t="str">
        <f aca="false">IF($A182="","",IF(COUNTIFS(counts!$C$2:$C$701,$A182,counts!$D$2:$D$701,$B182,counts!$E$2:$E$701,"remaining_day5")=0,"",SUMIFS(counts!$F$2:$F$701,counts!$C$2:$C$701,$A182,counts!$D$2:$D$701,$B182,counts!$E$2:$E$701,"remaining_day5")))</f>
        <v/>
      </c>
      <c r="AG182" s="30" t="str">
        <f aca="false">IF(OR($A182="",$AF182=""),"",MAX(0,$AA182+$AD182-$AF182))</f>
        <v/>
      </c>
      <c r="AH182" s="30" t="str">
        <f aca="false">IF(OR($A182="",$AI182=""),"",IFERROR(IF(INDEX(photos!$H$2:$H$701,MATCH($A182&amp;"|"&amp;$B182&amp;"|later|Y|"&amp;$AI182,photos!$S$2:$S$701,0))="","",INDEX(photos!$H$2:$H$701,MATCH($A182&amp;"|"&amp;$B182&amp;"|later|Y|"&amp;$AI182,photos!$S$2:$S$701,0))),""))</f>
        <v/>
      </c>
      <c r="AI182" s="31" t="str">
        <f aca="false">IF($A182="","",IFERROR(1/(1/SUMPRODUCT(MAX((photos!$B$2:$B$701=$A182)*(photos!$C$2:$C$701=$B182)*(photos!$D$2:$D$701="later")*(photos!$O$2:$O$701="Y")*photos!$E$2:$E$701))),""))</f>
        <v/>
      </c>
      <c r="AJ182" s="30" t="str">
        <f aca="false">IF(OR($A182="",$AI182="",$I182=""),"",NETWORKDAYS($I182,$AI182,calendar!$A$2:$A$80))</f>
        <v/>
      </c>
      <c r="AK182" s="30" t="str">
        <f aca="false">IF($A182="","",IF(AND($X182&lt;&gt;"",$AH182&lt;&gt;""),"Y","N"))</f>
        <v/>
      </c>
      <c r="AL182" s="30" t="str">
        <f aca="true">IF(OR($A182="",$I182=""),"",IF($BC182="Y",SUMIFS(survey_frozen!$C$2:$C$251,survey_frozen!$P$2:$P$251,$A182&amp;"|"&amp;$B182),IFERROR(COUNTIFS(INDIRECT("'"&amp;$A182&amp;"'!$B$2:$B$501"),$T182,INDIRECT("'"&amp;$A182&amp;"'!$A$2:$A$501"),"&gt;="&amp;$I182,INDIRECT("'"&amp;$A182&amp;"'!$A$2:$A$501"),"&lt;"&amp;($BA182+1)),0)))</f>
        <v/>
      </c>
      <c r="AM182" s="30" t="str">
        <f aca="true">IF(OR($A182="",$I182=""),"",IF($BC182="Y",SUMIFS(survey_frozen!$D$2:$D$251,survey_frozen!$P$2:$P$251,$A182&amp;"|"&amp;$B182),IFERROR(COUNTIFS(INDIRECT("'"&amp;$A182&amp;"'!$B$2:$B$501"),$T182,INDIRECT("'"&amp;$A182&amp;"'!$A$2:$A$501"),"&gt;="&amp;$I182,INDIRECT("'"&amp;$A182&amp;"'!$A$2:$A$501"),"&lt;"&amp;($BA182+1),INDIRECT("'"&amp;$A182&amp;"'!$C$2:$C$501"),"Yes"),0)))</f>
        <v/>
      </c>
      <c r="AN182" s="30" t="str">
        <f aca="false">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30" t="str">
        <f aca="false">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30" t="str">
        <f aca="true">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30" t="str">
        <f aca="true">IF(OR($A182="",$I182=""),"",IF($BC182="Y",SUMIFS(survey_frozen!$E$2:$E$251,survey_frozen!$P$2:$P$251,$A182&amp;"|"&amp;$B182),IFERROR(COUNTIFS(INDIRECT("'"&amp;$A182&amp;"'!$B$2:$B$501"),$T182,INDIRECT("'"&amp;$A182&amp;"'!$A$2:$A$501"),"&gt;="&amp;$I182,INDIRECT("'"&amp;$A182&amp;"'!$A$2:$A$501"),"&lt;"&amp;($BA182+1),INDIRECT("'"&amp;$A182&amp;"'!$F$2:$F$501"),"Didn't see it"),0)))</f>
        <v/>
      </c>
      <c r="AR182" s="30" t="str">
        <f aca="true">IF(OR($A182="",$I182=""),"",IF($BC182="Y",SUMIFS(survey_frozen!$F$2:$F$251,survey_frozen!$P$2:$P$251,$A182&amp;"|"&amp;$B182),IFERROR(COUNTIFS(INDIRECT("'"&amp;$A182&amp;"'!$B$2:$B$501"),$T182,INDIRECT("'"&amp;$A182&amp;"'!$A$2:$A$501"),"&gt;="&amp;$I182,INDIRECT("'"&amp;$A182&amp;"'!$A$2:$A$501"),"&lt;"&amp;($BA182+1),INDIRECT("'"&amp;$A182&amp;"'!$F$2:$F$501"),"Not for me"),0)))</f>
        <v/>
      </c>
      <c r="AS182" s="30" t="str">
        <f aca="true">IF(OR($A182="",$I182=""),"",IF($BC182="Y",SUMIFS(survey_frozen!$G$2:$G$251,survey_frozen!$P$2:$P$251,$A182&amp;"|"&amp;$B182),IFERROR(COUNTIFS(INDIRECT("'"&amp;$A182&amp;"'!$B$2:$B$501"),$T182,INDIRECT("'"&amp;$A182&amp;"'!$A$2:$A$501"),"&gt;="&amp;$I182,INDIRECT("'"&amp;$A182&amp;"'!$A$2:$A$501"),"&lt;"&amp;($BA182+1),INDIRECT("'"&amp;$A182&amp;"'!$F$2:$F$501"),"Gone by the time I looked"),0)))</f>
        <v/>
      </c>
      <c r="AT182" s="30" t="str">
        <f aca="true">IF(OR($A182="",$I182=""),"",IF($BC182="Y",SUMIFS(survey_frozen!$H$2:$H$251,survey_frozen!$P$2:$P$251,$A182&amp;"|"&amp;$B182),IFERROR(COUNTIFS(INDIRECT("'"&amp;$A182&amp;"'!$B$2:$B$501"),$T182,INDIRECT("'"&amp;$A182&amp;"'!$A$2:$A$501"),"&gt;="&amp;$I182,INDIRECT("'"&amp;$A182&amp;"'!$A$2:$A$501"),"&lt;"&amp;($BA182+1),INDIRECT("'"&amp;$A182&amp;"'!$D$2:$D$501"),"&gt;=1"),0)))</f>
        <v/>
      </c>
      <c r="AU182" s="30" t="str">
        <f aca="true">IF(OR($A182="",$I182=""),"",IF($BC182="Y",SUMIFS(survey_frozen!$I$2:$I$251,survey_frozen!$P$2:$P$251,$A182&amp;"|"&amp;$B182),IFERROR(SUMIFS(INDIRECT("'"&amp;$A182&amp;"'!$D$2:$D$501"),INDIRECT("'"&amp;$A182&amp;"'!$B$2:$B$501"),$T182,INDIRECT("'"&amp;$A182&amp;"'!$A$2:$A$501"),"&gt;="&amp;$I182,INDIRECT("'"&amp;$A182&amp;"'!$A$2:$A$501"),"&lt;"&amp;($BA182+1)),0)))</f>
        <v/>
      </c>
      <c r="AV182" s="30" t="str">
        <f aca="true">IF(OR($A182="",$I182=""),"",IF($BC182="Y",SUMIFS(survey_frozen!$J$2:$J$251,survey_frozen!$P$2:$P$251,$A182&amp;"|"&amp;$B182),IFERROR(COUNTIFS(INDIRECT("'"&amp;$A182&amp;"'!$B$2:$B$501"),$T182,INDIRECT("'"&amp;$A182&amp;"'!$A$2:$A$501"),"&gt;="&amp;$I182,INDIRECT("'"&amp;$A182&amp;"'!$A$2:$A$501"),"&lt;"&amp;($BA182+1),INDIRECT("'"&amp;$A182&amp;"'!$E$2:$E$501"),"Yes"),0)))</f>
        <v/>
      </c>
      <c r="AW182" s="30" t="str">
        <f aca="true">IF(OR($A182="",$I182=""),"",IF($BC182="Y",SUMIFS(survey_frozen!$K$2:$K$251,survey_frozen!$P$2:$P$251,$A182&amp;"|"&amp;$B182),IFERROR(COUNTIFS(INDIRECT("'"&amp;$A182&amp;"'!$B$2:$B$501"),$T182,INDIRECT("'"&amp;$A182&amp;"'!$A$2:$A$501"),"&gt;="&amp;$I182,INDIRECT("'"&amp;$A182&amp;"'!$A$2:$A$501"),"&lt;"&amp;($BA182+1),INDIRECT("'"&amp;$A182&amp;"'!$E$2:$E$501"),"Maybe"),0)))</f>
        <v/>
      </c>
      <c r="AX182" s="30" t="str">
        <f aca="true">IF(OR($A182="",$I182=""),"",IF($BC182="Y",SUMIFS(survey_frozen!$L$2:$L$251,survey_frozen!$P$2:$P$251,$A182&amp;"|"&amp;$B182),IFERROR(COUNTIFS(INDIRECT("'"&amp;$A182&amp;"'!$B$2:$B$501"),$T182,INDIRECT("'"&amp;$A182&amp;"'!$A$2:$A$501"),"&gt;="&amp;$I182,INDIRECT("'"&amp;$A182&amp;"'!$A$2:$A$501"),"&lt;"&amp;($BA182+1),INDIRECT("'"&amp;$A182&amp;"'!$E$2:$E$501"),"No"),0)))</f>
        <v/>
      </c>
      <c r="AY182" s="30" t="str">
        <f aca="true">IF(OR($A182="",$I182=""),"",IF($BC182="Y",SUMIFS(survey_frozen!$M$2:$M$251,survey_frozen!$P$2:$P$251,$A182&amp;"|"&amp;$B182),IFERROR(COUNTIFS(INDIRECT("'"&amp;$A182&amp;"'!$B$2:$B$501"),$T182,INDIRECT("'"&amp;$A182&amp;"'!$A$2:$A$501"),"&gt;="&amp;$I182,INDIRECT("'"&amp;$A182&amp;"'!$A$2:$A$501"),"&lt;"&amp;($BA182+1),INDIRECT("'"&amp;$A182&amp;"'!$G$2:$G$501"),"&lt;&gt;"),0)))</f>
        <v/>
      </c>
      <c r="AZ182" s="30" t="str">
        <f aca="false">IF($A182="","",$A182&amp;"|"&amp;$L182)</f>
        <v/>
      </c>
      <c r="BA182" s="31" t="str">
        <f aca="false">IF($A182="","",IFERROR(IF(INDEX(drops!$R$2:$R$21,MATCH($H182,drops!$A$2:$A$21,0))="","",INDEX(drops!$R$2:$R$21,MATCH($H182,drops!$A$2:$A$21,0))),""))</f>
        <v/>
      </c>
      <c r="BB182" s="30" t="n">
        <f aca="false">IF(OR($A182="",$Q182&lt;&gt;"Y"),1000000,N($AL182))</f>
        <v>1000000</v>
      </c>
      <c r="BC182" s="30" t="str">
        <f aca="false">IF($A182="","",IF(COUNTIF(survey_frozen!$P$2:$P$251,$A182&amp;"|"&amp;$B182)&gt;0,"Y",""))</f>
        <v/>
      </c>
      <c r="BD182" s="30" t="str">
        <f aca="false">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ustomFormat="false" ht="15" hidden="false" customHeight="false" outlineLevel="0" collapsed="false">
      <c r="C183" s="11"/>
      <c r="D183" s="10"/>
      <c r="E183" s="11"/>
      <c r="H183" s="30" t="str">
        <f aca="false">IF($A183="","",IFERROR(IF(INDEX(campaigns!$B$2:$B$51,MATCH($A183,campaigns!$A$2:$A$51,0))="","",INDEX(campaigns!$B$2:$B$51,MATCH($A183,campaigns!$A$2:$A$51,0))),""))</f>
        <v/>
      </c>
      <c r="I183" s="31" t="str">
        <f aca="false">IF($A183="","",IFERROR(IF(INDEX(campaigns!$BG$2:$BG$51,MATCH($A183,campaigns!$A$2:$A$51,0))="","",INDEX(campaigns!$BG$2:$BG$51,MATCH($A183,campaigns!$A$2:$A$51,0))),""))</f>
        <v/>
      </c>
      <c r="J183" s="30" t="str">
        <f aca="false">IF($A183="","",IFERROR(IF(INDEX(campaigns!$BE$2:$BE$51,MATCH($A183,campaigns!$A$2:$A$51,0))="","",INDEX(campaigns!$BE$2:$BE$51,MATCH($A183,campaigns!$A$2:$A$51,0))),""))</f>
        <v/>
      </c>
      <c r="K183" s="30" t="str">
        <f aca="false">IF($B183="","",IFERROR(IF(INDEX(offices!$O$2:$O$61,MATCH($B183,offices!$A$2:$A$61,0))="","",INDEX(offices!$O$2:$O$61,MATCH($B183,offices!$A$2:$A$61,0))),""))</f>
        <v/>
      </c>
      <c r="L183" s="30" t="str">
        <f aca="false">IF($A183="","",IF($Q183="N","",COUNTIFS($A$2:$A183,$A183,$Q$2:$Q183,"&lt;&gt;N")))</f>
        <v/>
      </c>
      <c r="M183" s="30" t="str">
        <f aca="false">IF(OR($A183="",$L183=""),"",IF(AND(config!$B$34="names_if_public",IFERROR(IF(INDEX(offices!$AG$2:$AG$61,MATCH($B183,offices!$A$2:$A$61,0))="","",INDEX(offices!$AG$2:$AG$61,MATCH($B183,offices!$A$2:$A$61,0))),"")="Y"),$K183,CHAR(64+$L183)))</f>
        <v/>
      </c>
      <c r="N183" s="30" t="str">
        <f aca="false">IF(OR($A183="",$I183=""),"",COUNTIFS(stops!$B$2:$B$151,$B183,stops!$P$2:$P$151,"&lt;"&amp;$I183,stops!$L$2:$L$151,"&lt;&gt;not_delivered")+1)</f>
        <v/>
      </c>
      <c r="O183" s="30" t="str">
        <f aca="false">IF($A183="","",IF(N($N183)&lt;=config!$B$29,"explicit","opt-out"))</f>
        <v/>
      </c>
      <c r="P183" s="30" t="str">
        <f aca="false">IF($A183="","",IF($O183="explicit",IF($D183="yes","Y",IF($D183="no","N","pending")),IF($D183="no","N",IF(AND($C183&lt;&gt;"",$I183&lt;&gt;"",$C183&lt;=WORKDAY(N($I183),-5,calendar!$A$2:$A$80)),"Y","pending"))))</f>
        <v/>
      </c>
      <c r="Q183" s="30" t="str">
        <f aca="false">IF($A183="","",IF($P183="N","N",IF($P183&lt;&gt;"Y","pending",IF(AND((COUNTIFS(stops!$A$2:$A$151,$H183,stops!$B$2:$B$151,$B183,stops!$L$2:$L$151,"declined")+COUNTIFS(stops!$A$2:$A$151,$H183,stops!$B$2:$B$151,$B183,stops!$L$2:$L$151,"building_refused")+COUNTIFS(stops!$A$2:$A$151,$H183,stops!$B$2:$B$151,$B183,stops!$L$2:$L$151,"not_delivered"))&gt;0,N($U183)=0),"N","Y"))))</f>
        <v/>
      </c>
      <c r="R183" s="30" t="str">
        <f aca="false">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30" t="str">
        <f aca="false">IF($A183="","",IF($G183&lt;&gt;"",$G183,IFERROR(IF(INDEX(offices!$AM$2:$AM$61,MATCH($B183,offices!$A$2:$A$61,0))="","",INDEX(offices!$AM$2:$AM$61,MATCH($B183,offices!$A$2:$A$61,0))),"")))</f>
        <v/>
      </c>
      <c r="T183" s="30" t="str">
        <f aca="false">IF($A183="","",$A183&amp;"."&amp;$B183)</f>
        <v/>
      </c>
      <c r="U183" s="30" t="str">
        <f aca="false">IF($A183="","",SUMIFS(inventory!$G$2:$G$801,inventory!$C$2:$C$801,$A183,inventory!$D$2:$D$801,$B183,inventory!$E$2:$E$801,"delivered"))</f>
        <v/>
      </c>
      <c r="V183" s="37" t="str">
        <f aca="false">IF($A183="","",IFERROR(1/(1/SUMPRODUCT(MAX((inventory!$C$2:$C$801=$A183)*(inventory!$D$2:$D$801=$B183)*(inventory!$E$2:$E$801="delivered")*(inventory!$A$2:$A$801+inventory!$B$2:$B$801)))),""))</f>
        <v/>
      </c>
      <c r="W183" s="30" t="str">
        <f aca="false">IF($A183="","",IFERROR(IF(INDEX(inventory!$J$2:$J$801,MATCH($A183&amp;"|"&amp;$B183&amp;"|delivered",inventory!$R$2:$R$801,0))="","",INDEX(inventory!$J$2:$J$801,MATCH($A183&amp;"|"&amp;$B183&amp;"|delivered",inventory!$R$2:$R$801,0))),""))</f>
        <v/>
      </c>
      <c r="X183" s="30" t="str">
        <f aca="false">IF($A183="","",IFERROR(IF(INDEX(photos!$H$2:$H$701,MATCH($A183&amp;"|"&amp;$B183&amp;"|placement|Y",photos!$R$2:$R$701,0))="","",INDEX(photos!$H$2:$H$701,MATCH($A183&amp;"|"&amp;$B183&amp;"|placement|Y",photos!$R$2:$R$701,0))),""))</f>
        <v/>
      </c>
      <c r="Y183" s="31" t="str">
        <f aca="false">IF($A183="","",IFERROR(IF(INDEX(photos!$E$2:$E$701,MATCH($A183&amp;"|"&amp;$B183&amp;"|placement|Y",photos!$R$2:$R$701,0))="","",INDEX(photos!$E$2:$E$701,MATCH($A183&amp;"|"&amp;$B183&amp;"|placement|Y",photos!$R$2:$R$701,0))),""))</f>
        <v/>
      </c>
      <c r="Z183" s="30" t="str">
        <f aca="false">IF($A183="","",IF(COUNTIFS(counts!$C$2:$C$701,$A183,counts!$D$2:$D$701,$B183,counts!$E$2:$E$701,"placed")=0,"",SUMIFS(counts!$F$2:$F$701,counts!$C$2:$C$701,$A183,counts!$D$2:$D$701,$B183,counts!$E$2:$E$701,"placed")))</f>
        <v/>
      </c>
      <c r="AA183" s="30" t="str">
        <f aca="false">IF($A183="","",IF($Y183="",0,N($Z183)))</f>
        <v/>
      </c>
      <c r="AB183" s="30" t="str">
        <f aca="false">IF($A183="","",IF(OR($Y183="",$I183=""),"N",IF($Y183&lt;=WORKDAY(N($I183),1,calendar!$A$2:$A$80),"Y","N")))</f>
        <v/>
      </c>
      <c r="AC183" s="33" t="str">
        <f aca="false">IF(OR($A183="",$V183="",$Y183=""),"",ROUND(($Y183+N(IFERROR(IF(INDEX(photos!$F$2:$F$701,MATCH($A183&amp;"|"&amp;$B183&amp;"|placement|Y",photos!$R$2:$R$701,0))="","",INDEX(photos!$F$2:$F$701,MATCH($A183&amp;"|"&amp;$B183&amp;"|placement|Y",photos!$R$2:$R$701,0))),""))-$V183)*24,1))</f>
        <v/>
      </c>
      <c r="AD183" s="30" t="str">
        <f aca="false">IF($A183="","",SUMIFS(inventory!$G$2:$G$801,inventory!$C$2:$C$801,$A183,inventory!$D$2:$D$801,$B183,inventory!$E$2:$E$801,"topped_up"))</f>
        <v/>
      </c>
      <c r="AE183" s="30" t="str">
        <f aca="false">IF($A183="","",IF(COUNTIFS(counts!$C$2:$C$701,$A183,counts!$D$2:$D$701,$B183,counts!$E$2:$E$701,"remaining_day3")=0,"",SUMIFS(counts!$F$2:$F$701,counts!$C$2:$C$701,$A183,counts!$D$2:$D$701,$B183,counts!$E$2:$E$701,"remaining_day3")))</f>
        <v/>
      </c>
      <c r="AF183" s="30" t="str">
        <f aca="false">IF($A183="","",IF(COUNTIFS(counts!$C$2:$C$701,$A183,counts!$D$2:$D$701,$B183,counts!$E$2:$E$701,"remaining_day5")=0,"",SUMIFS(counts!$F$2:$F$701,counts!$C$2:$C$701,$A183,counts!$D$2:$D$701,$B183,counts!$E$2:$E$701,"remaining_day5")))</f>
        <v/>
      </c>
      <c r="AG183" s="30" t="str">
        <f aca="false">IF(OR($A183="",$AF183=""),"",MAX(0,$AA183+$AD183-$AF183))</f>
        <v/>
      </c>
      <c r="AH183" s="30" t="str">
        <f aca="false">IF(OR($A183="",$AI183=""),"",IFERROR(IF(INDEX(photos!$H$2:$H$701,MATCH($A183&amp;"|"&amp;$B183&amp;"|later|Y|"&amp;$AI183,photos!$S$2:$S$701,0))="","",INDEX(photos!$H$2:$H$701,MATCH($A183&amp;"|"&amp;$B183&amp;"|later|Y|"&amp;$AI183,photos!$S$2:$S$701,0))),""))</f>
        <v/>
      </c>
      <c r="AI183" s="31" t="str">
        <f aca="false">IF($A183="","",IFERROR(1/(1/SUMPRODUCT(MAX((photos!$B$2:$B$701=$A183)*(photos!$C$2:$C$701=$B183)*(photos!$D$2:$D$701="later")*(photos!$O$2:$O$701="Y")*photos!$E$2:$E$701))),""))</f>
        <v/>
      </c>
      <c r="AJ183" s="30" t="str">
        <f aca="false">IF(OR($A183="",$AI183="",$I183=""),"",NETWORKDAYS($I183,$AI183,calendar!$A$2:$A$80))</f>
        <v/>
      </c>
      <c r="AK183" s="30" t="str">
        <f aca="false">IF($A183="","",IF(AND($X183&lt;&gt;"",$AH183&lt;&gt;""),"Y","N"))</f>
        <v/>
      </c>
      <c r="AL183" s="30" t="str">
        <f aca="true">IF(OR($A183="",$I183=""),"",IF($BC183="Y",SUMIFS(survey_frozen!$C$2:$C$251,survey_frozen!$P$2:$P$251,$A183&amp;"|"&amp;$B183),IFERROR(COUNTIFS(INDIRECT("'"&amp;$A183&amp;"'!$B$2:$B$501"),$T183,INDIRECT("'"&amp;$A183&amp;"'!$A$2:$A$501"),"&gt;="&amp;$I183,INDIRECT("'"&amp;$A183&amp;"'!$A$2:$A$501"),"&lt;"&amp;($BA183+1)),0)))</f>
        <v/>
      </c>
      <c r="AM183" s="30" t="str">
        <f aca="true">IF(OR($A183="",$I183=""),"",IF($BC183="Y",SUMIFS(survey_frozen!$D$2:$D$251,survey_frozen!$P$2:$P$251,$A183&amp;"|"&amp;$B183),IFERROR(COUNTIFS(INDIRECT("'"&amp;$A183&amp;"'!$B$2:$B$501"),$T183,INDIRECT("'"&amp;$A183&amp;"'!$A$2:$A$501"),"&gt;="&amp;$I183,INDIRECT("'"&amp;$A183&amp;"'!$A$2:$A$501"),"&lt;"&amp;($BA183+1),INDIRECT("'"&amp;$A183&amp;"'!$C$2:$C$501"),"Yes"),0)))</f>
        <v/>
      </c>
      <c r="AN183" s="30" t="str">
        <f aca="false">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30" t="str">
        <f aca="false">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30" t="str">
        <f aca="true">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30" t="str">
        <f aca="true">IF(OR($A183="",$I183=""),"",IF($BC183="Y",SUMIFS(survey_frozen!$E$2:$E$251,survey_frozen!$P$2:$P$251,$A183&amp;"|"&amp;$B183),IFERROR(COUNTIFS(INDIRECT("'"&amp;$A183&amp;"'!$B$2:$B$501"),$T183,INDIRECT("'"&amp;$A183&amp;"'!$A$2:$A$501"),"&gt;="&amp;$I183,INDIRECT("'"&amp;$A183&amp;"'!$A$2:$A$501"),"&lt;"&amp;($BA183+1),INDIRECT("'"&amp;$A183&amp;"'!$F$2:$F$501"),"Didn't see it"),0)))</f>
        <v/>
      </c>
      <c r="AR183" s="30" t="str">
        <f aca="true">IF(OR($A183="",$I183=""),"",IF($BC183="Y",SUMIFS(survey_frozen!$F$2:$F$251,survey_frozen!$P$2:$P$251,$A183&amp;"|"&amp;$B183),IFERROR(COUNTIFS(INDIRECT("'"&amp;$A183&amp;"'!$B$2:$B$501"),$T183,INDIRECT("'"&amp;$A183&amp;"'!$A$2:$A$501"),"&gt;="&amp;$I183,INDIRECT("'"&amp;$A183&amp;"'!$A$2:$A$501"),"&lt;"&amp;($BA183+1),INDIRECT("'"&amp;$A183&amp;"'!$F$2:$F$501"),"Not for me"),0)))</f>
        <v/>
      </c>
      <c r="AS183" s="30" t="str">
        <f aca="true">IF(OR($A183="",$I183=""),"",IF($BC183="Y",SUMIFS(survey_frozen!$G$2:$G$251,survey_frozen!$P$2:$P$251,$A183&amp;"|"&amp;$B183),IFERROR(COUNTIFS(INDIRECT("'"&amp;$A183&amp;"'!$B$2:$B$501"),$T183,INDIRECT("'"&amp;$A183&amp;"'!$A$2:$A$501"),"&gt;="&amp;$I183,INDIRECT("'"&amp;$A183&amp;"'!$A$2:$A$501"),"&lt;"&amp;($BA183+1),INDIRECT("'"&amp;$A183&amp;"'!$F$2:$F$501"),"Gone by the time I looked"),0)))</f>
        <v/>
      </c>
      <c r="AT183" s="30" t="str">
        <f aca="true">IF(OR($A183="",$I183=""),"",IF($BC183="Y",SUMIFS(survey_frozen!$H$2:$H$251,survey_frozen!$P$2:$P$251,$A183&amp;"|"&amp;$B183),IFERROR(COUNTIFS(INDIRECT("'"&amp;$A183&amp;"'!$B$2:$B$501"),$T183,INDIRECT("'"&amp;$A183&amp;"'!$A$2:$A$501"),"&gt;="&amp;$I183,INDIRECT("'"&amp;$A183&amp;"'!$A$2:$A$501"),"&lt;"&amp;($BA183+1),INDIRECT("'"&amp;$A183&amp;"'!$D$2:$D$501"),"&gt;=1"),0)))</f>
        <v/>
      </c>
      <c r="AU183" s="30" t="str">
        <f aca="true">IF(OR($A183="",$I183=""),"",IF($BC183="Y",SUMIFS(survey_frozen!$I$2:$I$251,survey_frozen!$P$2:$P$251,$A183&amp;"|"&amp;$B183),IFERROR(SUMIFS(INDIRECT("'"&amp;$A183&amp;"'!$D$2:$D$501"),INDIRECT("'"&amp;$A183&amp;"'!$B$2:$B$501"),$T183,INDIRECT("'"&amp;$A183&amp;"'!$A$2:$A$501"),"&gt;="&amp;$I183,INDIRECT("'"&amp;$A183&amp;"'!$A$2:$A$501"),"&lt;"&amp;($BA183+1)),0)))</f>
        <v/>
      </c>
      <c r="AV183" s="30" t="str">
        <f aca="true">IF(OR($A183="",$I183=""),"",IF($BC183="Y",SUMIFS(survey_frozen!$J$2:$J$251,survey_frozen!$P$2:$P$251,$A183&amp;"|"&amp;$B183),IFERROR(COUNTIFS(INDIRECT("'"&amp;$A183&amp;"'!$B$2:$B$501"),$T183,INDIRECT("'"&amp;$A183&amp;"'!$A$2:$A$501"),"&gt;="&amp;$I183,INDIRECT("'"&amp;$A183&amp;"'!$A$2:$A$501"),"&lt;"&amp;($BA183+1),INDIRECT("'"&amp;$A183&amp;"'!$E$2:$E$501"),"Yes"),0)))</f>
        <v/>
      </c>
      <c r="AW183" s="30" t="str">
        <f aca="true">IF(OR($A183="",$I183=""),"",IF($BC183="Y",SUMIFS(survey_frozen!$K$2:$K$251,survey_frozen!$P$2:$P$251,$A183&amp;"|"&amp;$B183),IFERROR(COUNTIFS(INDIRECT("'"&amp;$A183&amp;"'!$B$2:$B$501"),$T183,INDIRECT("'"&amp;$A183&amp;"'!$A$2:$A$501"),"&gt;="&amp;$I183,INDIRECT("'"&amp;$A183&amp;"'!$A$2:$A$501"),"&lt;"&amp;($BA183+1),INDIRECT("'"&amp;$A183&amp;"'!$E$2:$E$501"),"Maybe"),0)))</f>
        <v/>
      </c>
      <c r="AX183" s="30" t="str">
        <f aca="true">IF(OR($A183="",$I183=""),"",IF($BC183="Y",SUMIFS(survey_frozen!$L$2:$L$251,survey_frozen!$P$2:$P$251,$A183&amp;"|"&amp;$B183),IFERROR(COUNTIFS(INDIRECT("'"&amp;$A183&amp;"'!$B$2:$B$501"),$T183,INDIRECT("'"&amp;$A183&amp;"'!$A$2:$A$501"),"&gt;="&amp;$I183,INDIRECT("'"&amp;$A183&amp;"'!$A$2:$A$501"),"&lt;"&amp;($BA183+1),INDIRECT("'"&amp;$A183&amp;"'!$E$2:$E$501"),"No"),0)))</f>
        <v/>
      </c>
      <c r="AY183" s="30" t="str">
        <f aca="true">IF(OR($A183="",$I183=""),"",IF($BC183="Y",SUMIFS(survey_frozen!$M$2:$M$251,survey_frozen!$P$2:$P$251,$A183&amp;"|"&amp;$B183),IFERROR(COUNTIFS(INDIRECT("'"&amp;$A183&amp;"'!$B$2:$B$501"),$T183,INDIRECT("'"&amp;$A183&amp;"'!$A$2:$A$501"),"&gt;="&amp;$I183,INDIRECT("'"&amp;$A183&amp;"'!$A$2:$A$501"),"&lt;"&amp;($BA183+1),INDIRECT("'"&amp;$A183&amp;"'!$G$2:$G$501"),"&lt;&gt;"),0)))</f>
        <v/>
      </c>
      <c r="AZ183" s="30" t="str">
        <f aca="false">IF($A183="","",$A183&amp;"|"&amp;$L183)</f>
        <v/>
      </c>
      <c r="BA183" s="31" t="str">
        <f aca="false">IF($A183="","",IFERROR(IF(INDEX(drops!$R$2:$R$21,MATCH($H183,drops!$A$2:$A$21,0))="","",INDEX(drops!$R$2:$R$21,MATCH($H183,drops!$A$2:$A$21,0))),""))</f>
        <v/>
      </c>
      <c r="BB183" s="30" t="n">
        <f aca="false">IF(OR($A183="",$Q183&lt;&gt;"Y"),1000000,N($AL183))</f>
        <v>1000000</v>
      </c>
      <c r="BC183" s="30" t="str">
        <f aca="false">IF($A183="","",IF(COUNTIF(survey_frozen!$P$2:$P$251,$A183&amp;"|"&amp;$B183)&gt;0,"Y",""))</f>
        <v/>
      </c>
      <c r="BD183" s="30" t="str">
        <f aca="false">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ustomFormat="false" ht="15" hidden="false" customHeight="false" outlineLevel="0" collapsed="false">
      <c r="C184" s="11"/>
      <c r="D184" s="10"/>
      <c r="E184" s="11"/>
      <c r="H184" s="30" t="str">
        <f aca="false">IF($A184="","",IFERROR(IF(INDEX(campaigns!$B$2:$B$51,MATCH($A184,campaigns!$A$2:$A$51,0))="","",INDEX(campaigns!$B$2:$B$51,MATCH($A184,campaigns!$A$2:$A$51,0))),""))</f>
        <v/>
      </c>
      <c r="I184" s="31" t="str">
        <f aca="false">IF($A184="","",IFERROR(IF(INDEX(campaigns!$BG$2:$BG$51,MATCH($A184,campaigns!$A$2:$A$51,0))="","",INDEX(campaigns!$BG$2:$BG$51,MATCH($A184,campaigns!$A$2:$A$51,0))),""))</f>
        <v/>
      </c>
      <c r="J184" s="30" t="str">
        <f aca="false">IF($A184="","",IFERROR(IF(INDEX(campaigns!$BE$2:$BE$51,MATCH($A184,campaigns!$A$2:$A$51,0))="","",INDEX(campaigns!$BE$2:$BE$51,MATCH($A184,campaigns!$A$2:$A$51,0))),""))</f>
        <v/>
      </c>
      <c r="K184" s="30" t="str">
        <f aca="false">IF($B184="","",IFERROR(IF(INDEX(offices!$O$2:$O$61,MATCH($B184,offices!$A$2:$A$61,0))="","",INDEX(offices!$O$2:$O$61,MATCH($B184,offices!$A$2:$A$61,0))),""))</f>
        <v/>
      </c>
      <c r="L184" s="30" t="str">
        <f aca="false">IF($A184="","",IF($Q184="N","",COUNTIFS($A$2:$A184,$A184,$Q$2:$Q184,"&lt;&gt;N")))</f>
        <v/>
      </c>
      <c r="M184" s="30" t="str">
        <f aca="false">IF(OR($A184="",$L184=""),"",IF(AND(config!$B$34="names_if_public",IFERROR(IF(INDEX(offices!$AG$2:$AG$61,MATCH($B184,offices!$A$2:$A$61,0))="","",INDEX(offices!$AG$2:$AG$61,MATCH($B184,offices!$A$2:$A$61,0))),"")="Y"),$K184,CHAR(64+$L184)))</f>
        <v/>
      </c>
      <c r="N184" s="30" t="str">
        <f aca="false">IF(OR($A184="",$I184=""),"",COUNTIFS(stops!$B$2:$B$151,$B184,stops!$P$2:$P$151,"&lt;"&amp;$I184,stops!$L$2:$L$151,"&lt;&gt;not_delivered")+1)</f>
        <v/>
      </c>
      <c r="O184" s="30" t="str">
        <f aca="false">IF($A184="","",IF(N($N184)&lt;=config!$B$29,"explicit","opt-out"))</f>
        <v/>
      </c>
      <c r="P184" s="30" t="str">
        <f aca="false">IF($A184="","",IF($O184="explicit",IF($D184="yes","Y",IF($D184="no","N","pending")),IF($D184="no","N",IF(AND($C184&lt;&gt;"",$I184&lt;&gt;"",$C184&lt;=WORKDAY(N($I184),-5,calendar!$A$2:$A$80)),"Y","pending"))))</f>
        <v/>
      </c>
      <c r="Q184" s="30" t="str">
        <f aca="false">IF($A184="","",IF($P184="N","N",IF($P184&lt;&gt;"Y","pending",IF(AND((COUNTIFS(stops!$A$2:$A$151,$H184,stops!$B$2:$B$151,$B184,stops!$L$2:$L$151,"declined")+COUNTIFS(stops!$A$2:$A$151,$H184,stops!$B$2:$B$151,$B184,stops!$L$2:$L$151,"building_refused")+COUNTIFS(stops!$A$2:$A$151,$H184,stops!$B$2:$B$151,$B184,stops!$L$2:$L$151,"not_delivered"))&gt;0,N($U184)=0),"N","Y"))))</f>
        <v/>
      </c>
      <c r="R184" s="30" t="str">
        <f aca="false">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30" t="str">
        <f aca="false">IF($A184="","",IF($G184&lt;&gt;"",$G184,IFERROR(IF(INDEX(offices!$AM$2:$AM$61,MATCH($B184,offices!$A$2:$A$61,0))="","",INDEX(offices!$AM$2:$AM$61,MATCH($B184,offices!$A$2:$A$61,0))),"")))</f>
        <v/>
      </c>
      <c r="T184" s="30" t="str">
        <f aca="false">IF($A184="","",$A184&amp;"."&amp;$B184)</f>
        <v/>
      </c>
      <c r="U184" s="30" t="str">
        <f aca="false">IF($A184="","",SUMIFS(inventory!$G$2:$G$801,inventory!$C$2:$C$801,$A184,inventory!$D$2:$D$801,$B184,inventory!$E$2:$E$801,"delivered"))</f>
        <v/>
      </c>
      <c r="V184" s="37" t="str">
        <f aca="false">IF($A184="","",IFERROR(1/(1/SUMPRODUCT(MAX((inventory!$C$2:$C$801=$A184)*(inventory!$D$2:$D$801=$B184)*(inventory!$E$2:$E$801="delivered")*(inventory!$A$2:$A$801+inventory!$B$2:$B$801)))),""))</f>
        <v/>
      </c>
      <c r="W184" s="30" t="str">
        <f aca="false">IF($A184="","",IFERROR(IF(INDEX(inventory!$J$2:$J$801,MATCH($A184&amp;"|"&amp;$B184&amp;"|delivered",inventory!$R$2:$R$801,0))="","",INDEX(inventory!$J$2:$J$801,MATCH($A184&amp;"|"&amp;$B184&amp;"|delivered",inventory!$R$2:$R$801,0))),""))</f>
        <v/>
      </c>
      <c r="X184" s="30" t="str">
        <f aca="false">IF($A184="","",IFERROR(IF(INDEX(photos!$H$2:$H$701,MATCH($A184&amp;"|"&amp;$B184&amp;"|placement|Y",photos!$R$2:$R$701,0))="","",INDEX(photos!$H$2:$H$701,MATCH($A184&amp;"|"&amp;$B184&amp;"|placement|Y",photos!$R$2:$R$701,0))),""))</f>
        <v/>
      </c>
      <c r="Y184" s="31" t="str">
        <f aca="false">IF($A184="","",IFERROR(IF(INDEX(photos!$E$2:$E$701,MATCH($A184&amp;"|"&amp;$B184&amp;"|placement|Y",photos!$R$2:$R$701,0))="","",INDEX(photos!$E$2:$E$701,MATCH($A184&amp;"|"&amp;$B184&amp;"|placement|Y",photos!$R$2:$R$701,0))),""))</f>
        <v/>
      </c>
      <c r="Z184" s="30" t="str">
        <f aca="false">IF($A184="","",IF(COUNTIFS(counts!$C$2:$C$701,$A184,counts!$D$2:$D$701,$B184,counts!$E$2:$E$701,"placed")=0,"",SUMIFS(counts!$F$2:$F$701,counts!$C$2:$C$701,$A184,counts!$D$2:$D$701,$B184,counts!$E$2:$E$701,"placed")))</f>
        <v/>
      </c>
      <c r="AA184" s="30" t="str">
        <f aca="false">IF($A184="","",IF($Y184="",0,N($Z184)))</f>
        <v/>
      </c>
      <c r="AB184" s="30" t="str">
        <f aca="false">IF($A184="","",IF(OR($Y184="",$I184=""),"N",IF($Y184&lt;=WORKDAY(N($I184),1,calendar!$A$2:$A$80),"Y","N")))</f>
        <v/>
      </c>
      <c r="AC184" s="33" t="str">
        <f aca="false">IF(OR($A184="",$V184="",$Y184=""),"",ROUND(($Y184+N(IFERROR(IF(INDEX(photos!$F$2:$F$701,MATCH($A184&amp;"|"&amp;$B184&amp;"|placement|Y",photos!$R$2:$R$701,0))="","",INDEX(photos!$F$2:$F$701,MATCH($A184&amp;"|"&amp;$B184&amp;"|placement|Y",photos!$R$2:$R$701,0))),""))-$V184)*24,1))</f>
        <v/>
      </c>
      <c r="AD184" s="30" t="str">
        <f aca="false">IF($A184="","",SUMIFS(inventory!$G$2:$G$801,inventory!$C$2:$C$801,$A184,inventory!$D$2:$D$801,$B184,inventory!$E$2:$E$801,"topped_up"))</f>
        <v/>
      </c>
      <c r="AE184" s="30" t="str">
        <f aca="false">IF($A184="","",IF(COUNTIFS(counts!$C$2:$C$701,$A184,counts!$D$2:$D$701,$B184,counts!$E$2:$E$701,"remaining_day3")=0,"",SUMIFS(counts!$F$2:$F$701,counts!$C$2:$C$701,$A184,counts!$D$2:$D$701,$B184,counts!$E$2:$E$701,"remaining_day3")))</f>
        <v/>
      </c>
      <c r="AF184" s="30" t="str">
        <f aca="false">IF($A184="","",IF(COUNTIFS(counts!$C$2:$C$701,$A184,counts!$D$2:$D$701,$B184,counts!$E$2:$E$701,"remaining_day5")=0,"",SUMIFS(counts!$F$2:$F$701,counts!$C$2:$C$701,$A184,counts!$D$2:$D$701,$B184,counts!$E$2:$E$701,"remaining_day5")))</f>
        <v/>
      </c>
      <c r="AG184" s="30" t="str">
        <f aca="false">IF(OR($A184="",$AF184=""),"",MAX(0,$AA184+$AD184-$AF184))</f>
        <v/>
      </c>
      <c r="AH184" s="30" t="str">
        <f aca="false">IF(OR($A184="",$AI184=""),"",IFERROR(IF(INDEX(photos!$H$2:$H$701,MATCH($A184&amp;"|"&amp;$B184&amp;"|later|Y|"&amp;$AI184,photos!$S$2:$S$701,0))="","",INDEX(photos!$H$2:$H$701,MATCH($A184&amp;"|"&amp;$B184&amp;"|later|Y|"&amp;$AI184,photos!$S$2:$S$701,0))),""))</f>
        <v/>
      </c>
      <c r="AI184" s="31" t="str">
        <f aca="false">IF($A184="","",IFERROR(1/(1/SUMPRODUCT(MAX((photos!$B$2:$B$701=$A184)*(photos!$C$2:$C$701=$B184)*(photos!$D$2:$D$701="later")*(photos!$O$2:$O$701="Y")*photos!$E$2:$E$701))),""))</f>
        <v/>
      </c>
      <c r="AJ184" s="30" t="str">
        <f aca="false">IF(OR($A184="",$AI184="",$I184=""),"",NETWORKDAYS($I184,$AI184,calendar!$A$2:$A$80))</f>
        <v/>
      </c>
      <c r="AK184" s="30" t="str">
        <f aca="false">IF($A184="","",IF(AND($X184&lt;&gt;"",$AH184&lt;&gt;""),"Y","N"))</f>
        <v/>
      </c>
      <c r="AL184" s="30" t="str">
        <f aca="true">IF(OR($A184="",$I184=""),"",IF($BC184="Y",SUMIFS(survey_frozen!$C$2:$C$251,survey_frozen!$P$2:$P$251,$A184&amp;"|"&amp;$B184),IFERROR(COUNTIFS(INDIRECT("'"&amp;$A184&amp;"'!$B$2:$B$501"),$T184,INDIRECT("'"&amp;$A184&amp;"'!$A$2:$A$501"),"&gt;="&amp;$I184,INDIRECT("'"&amp;$A184&amp;"'!$A$2:$A$501"),"&lt;"&amp;($BA184+1)),0)))</f>
        <v/>
      </c>
      <c r="AM184" s="30" t="str">
        <f aca="true">IF(OR($A184="",$I184=""),"",IF($BC184="Y",SUMIFS(survey_frozen!$D$2:$D$251,survey_frozen!$P$2:$P$251,$A184&amp;"|"&amp;$B184),IFERROR(COUNTIFS(INDIRECT("'"&amp;$A184&amp;"'!$B$2:$B$501"),$T184,INDIRECT("'"&amp;$A184&amp;"'!$A$2:$A$501"),"&gt;="&amp;$I184,INDIRECT("'"&amp;$A184&amp;"'!$A$2:$A$501"),"&lt;"&amp;($BA184+1),INDIRECT("'"&amp;$A184&amp;"'!$C$2:$C$501"),"Yes"),0)))</f>
        <v/>
      </c>
      <c r="AN184" s="30" t="str">
        <f aca="false">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30" t="str">
        <f aca="false">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30" t="str">
        <f aca="true">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30" t="str">
        <f aca="true">IF(OR($A184="",$I184=""),"",IF($BC184="Y",SUMIFS(survey_frozen!$E$2:$E$251,survey_frozen!$P$2:$P$251,$A184&amp;"|"&amp;$B184),IFERROR(COUNTIFS(INDIRECT("'"&amp;$A184&amp;"'!$B$2:$B$501"),$T184,INDIRECT("'"&amp;$A184&amp;"'!$A$2:$A$501"),"&gt;="&amp;$I184,INDIRECT("'"&amp;$A184&amp;"'!$A$2:$A$501"),"&lt;"&amp;($BA184+1),INDIRECT("'"&amp;$A184&amp;"'!$F$2:$F$501"),"Didn't see it"),0)))</f>
        <v/>
      </c>
      <c r="AR184" s="30" t="str">
        <f aca="true">IF(OR($A184="",$I184=""),"",IF($BC184="Y",SUMIFS(survey_frozen!$F$2:$F$251,survey_frozen!$P$2:$P$251,$A184&amp;"|"&amp;$B184),IFERROR(COUNTIFS(INDIRECT("'"&amp;$A184&amp;"'!$B$2:$B$501"),$T184,INDIRECT("'"&amp;$A184&amp;"'!$A$2:$A$501"),"&gt;="&amp;$I184,INDIRECT("'"&amp;$A184&amp;"'!$A$2:$A$501"),"&lt;"&amp;($BA184+1),INDIRECT("'"&amp;$A184&amp;"'!$F$2:$F$501"),"Not for me"),0)))</f>
        <v/>
      </c>
      <c r="AS184" s="30" t="str">
        <f aca="true">IF(OR($A184="",$I184=""),"",IF($BC184="Y",SUMIFS(survey_frozen!$G$2:$G$251,survey_frozen!$P$2:$P$251,$A184&amp;"|"&amp;$B184),IFERROR(COUNTIFS(INDIRECT("'"&amp;$A184&amp;"'!$B$2:$B$501"),$T184,INDIRECT("'"&amp;$A184&amp;"'!$A$2:$A$501"),"&gt;="&amp;$I184,INDIRECT("'"&amp;$A184&amp;"'!$A$2:$A$501"),"&lt;"&amp;($BA184+1),INDIRECT("'"&amp;$A184&amp;"'!$F$2:$F$501"),"Gone by the time I looked"),0)))</f>
        <v/>
      </c>
      <c r="AT184" s="30" t="str">
        <f aca="true">IF(OR($A184="",$I184=""),"",IF($BC184="Y",SUMIFS(survey_frozen!$H$2:$H$251,survey_frozen!$P$2:$P$251,$A184&amp;"|"&amp;$B184),IFERROR(COUNTIFS(INDIRECT("'"&amp;$A184&amp;"'!$B$2:$B$501"),$T184,INDIRECT("'"&amp;$A184&amp;"'!$A$2:$A$501"),"&gt;="&amp;$I184,INDIRECT("'"&amp;$A184&amp;"'!$A$2:$A$501"),"&lt;"&amp;($BA184+1),INDIRECT("'"&amp;$A184&amp;"'!$D$2:$D$501"),"&gt;=1"),0)))</f>
        <v/>
      </c>
      <c r="AU184" s="30" t="str">
        <f aca="true">IF(OR($A184="",$I184=""),"",IF($BC184="Y",SUMIFS(survey_frozen!$I$2:$I$251,survey_frozen!$P$2:$P$251,$A184&amp;"|"&amp;$B184),IFERROR(SUMIFS(INDIRECT("'"&amp;$A184&amp;"'!$D$2:$D$501"),INDIRECT("'"&amp;$A184&amp;"'!$B$2:$B$501"),$T184,INDIRECT("'"&amp;$A184&amp;"'!$A$2:$A$501"),"&gt;="&amp;$I184,INDIRECT("'"&amp;$A184&amp;"'!$A$2:$A$501"),"&lt;"&amp;($BA184+1)),0)))</f>
        <v/>
      </c>
      <c r="AV184" s="30" t="str">
        <f aca="true">IF(OR($A184="",$I184=""),"",IF($BC184="Y",SUMIFS(survey_frozen!$J$2:$J$251,survey_frozen!$P$2:$P$251,$A184&amp;"|"&amp;$B184),IFERROR(COUNTIFS(INDIRECT("'"&amp;$A184&amp;"'!$B$2:$B$501"),$T184,INDIRECT("'"&amp;$A184&amp;"'!$A$2:$A$501"),"&gt;="&amp;$I184,INDIRECT("'"&amp;$A184&amp;"'!$A$2:$A$501"),"&lt;"&amp;($BA184+1),INDIRECT("'"&amp;$A184&amp;"'!$E$2:$E$501"),"Yes"),0)))</f>
        <v/>
      </c>
      <c r="AW184" s="30" t="str">
        <f aca="true">IF(OR($A184="",$I184=""),"",IF($BC184="Y",SUMIFS(survey_frozen!$K$2:$K$251,survey_frozen!$P$2:$P$251,$A184&amp;"|"&amp;$B184),IFERROR(COUNTIFS(INDIRECT("'"&amp;$A184&amp;"'!$B$2:$B$501"),$T184,INDIRECT("'"&amp;$A184&amp;"'!$A$2:$A$501"),"&gt;="&amp;$I184,INDIRECT("'"&amp;$A184&amp;"'!$A$2:$A$501"),"&lt;"&amp;($BA184+1),INDIRECT("'"&amp;$A184&amp;"'!$E$2:$E$501"),"Maybe"),0)))</f>
        <v/>
      </c>
      <c r="AX184" s="30" t="str">
        <f aca="true">IF(OR($A184="",$I184=""),"",IF($BC184="Y",SUMIFS(survey_frozen!$L$2:$L$251,survey_frozen!$P$2:$P$251,$A184&amp;"|"&amp;$B184),IFERROR(COUNTIFS(INDIRECT("'"&amp;$A184&amp;"'!$B$2:$B$501"),$T184,INDIRECT("'"&amp;$A184&amp;"'!$A$2:$A$501"),"&gt;="&amp;$I184,INDIRECT("'"&amp;$A184&amp;"'!$A$2:$A$501"),"&lt;"&amp;($BA184+1),INDIRECT("'"&amp;$A184&amp;"'!$E$2:$E$501"),"No"),0)))</f>
        <v/>
      </c>
      <c r="AY184" s="30" t="str">
        <f aca="true">IF(OR($A184="",$I184=""),"",IF($BC184="Y",SUMIFS(survey_frozen!$M$2:$M$251,survey_frozen!$P$2:$P$251,$A184&amp;"|"&amp;$B184),IFERROR(COUNTIFS(INDIRECT("'"&amp;$A184&amp;"'!$B$2:$B$501"),$T184,INDIRECT("'"&amp;$A184&amp;"'!$A$2:$A$501"),"&gt;="&amp;$I184,INDIRECT("'"&amp;$A184&amp;"'!$A$2:$A$501"),"&lt;"&amp;($BA184+1),INDIRECT("'"&amp;$A184&amp;"'!$G$2:$G$501"),"&lt;&gt;"),0)))</f>
        <v/>
      </c>
      <c r="AZ184" s="30" t="str">
        <f aca="false">IF($A184="","",$A184&amp;"|"&amp;$L184)</f>
        <v/>
      </c>
      <c r="BA184" s="31" t="str">
        <f aca="false">IF($A184="","",IFERROR(IF(INDEX(drops!$R$2:$R$21,MATCH($H184,drops!$A$2:$A$21,0))="","",INDEX(drops!$R$2:$R$21,MATCH($H184,drops!$A$2:$A$21,0))),""))</f>
        <v/>
      </c>
      <c r="BB184" s="30" t="n">
        <f aca="false">IF(OR($A184="",$Q184&lt;&gt;"Y"),1000000,N($AL184))</f>
        <v>1000000</v>
      </c>
      <c r="BC184" s="30" t="str">
        <f aca="false">IF($A184="","",IF(COUNTIF(survey_frozen!$P$2:$P$251,$A184&amp;"|"&amp;$B184)&gt;0,"Y",""))</f>
        <v/>
      </c>
      <c r="BD184" s="30" t="str">
        <f aca="false">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ustomFormat="false" ht="15" hidden="false" customHeight="false" outlineLevel="0" collapsed="false">
      <c r="C185" s="11"/>
      <c r="D185" s="10"/>
      <c r="E185" s="11"/>
      <c r="H185" s="30" t="str">
        <f aca="false">IF($A185="","",IFERROR(IF(INDEX(campaigns!$B$2:$B$51,MATCH($A185,campaigns!$A$2:$A$51,0))="","",INDEX(campaigns!$B$2:$B$51,MATCH($A185,campaigns!$A$2:$A$51,0))),""))</f>
        <v/>
      </c>
      <c r="I185" s="31" t="str">
        <f aca="false">IF($A185="","",IFERROR(IF(INDEX(campaigns!$BG$2:$BG$51,MATCH($A185,campaigns!$A$2:$A$51,0))="","",INDEX(campaigns!$BG$2:$BG$51,MATCH($A185,campaigns!$A$2:$A$51,0))),""))</f>
        <v/>
      </c>
      <c r="J185" s="30" t="str">
        <f aca="false">IF($A185="","",IFERROR(IF(INDEX(campaigns!$BE$2:$BE$51,MATCH($A185,campaigns!$A$2:$A$51,0))="","",INDEX(campaigns!$BE$2:$BE$51,MATCH($A185,campaigns!$A$2:$A$51,0))),""))</f>
        <v/>
      </c>
      <c r="K185" s="30" t="str">
        <f aca="false">IF($B185="","",IFERROR(IF(INDEX(offices!$O$2:$O$61,MATCH($B185,offices!$A$2:$A$61,0))="","",INDEX(offices!$O$2:$O$61,MATCH($B185,offices!$A$2:$A$61,0))),""))</f>
        <v/>
      </c>
      <c r="L185" s="30" t="str">
        <f aca="false">IF($A185="","",IF($Q185="N","",COUNTIFS($A$2:$A185,$A185,$Q$2:$Q185,"&lt;&gt;N")))</f>
        <v/>
      </c>
      <c r="M185" s="30" t="str">
        <f aca="false">IF(OR($A185="",$L185=""),"",IF(AND(config!$B$34="names_if_public",IFERROR(IF(INDEX(offices!$AG$2:$AG$61,MATCH($B185,offices!$A$2:$A$61,0))="","",INDEX(offices!$AG$2:$AG$61,MATCH($B185,offices!$A$2:$A$61,0))),"")="Y"),$K185,CHAR(64+$L185)))</f>
        <v/>
      </c>
      <c r="N185" s="30" t="str">
        <f aca="false">IF(OR($A185="",$I185=""),"",COUNTIFS(stops!$B$2:$B$151,$B185,stops!$P$2:$P$151,"&lt;"&amp;$I185,stops!$L$2:$L$151,"&lt;&gt;not_delivered")+1)</f>
        <v/>
      </c>
      <c r="O185" s="30" t="str">
        <f aca="false">IF($A185="","",IF(N($N185)&lt;=config!$B$29,"explicit","opt-out"))</f>
        <v/>
      </c>
      <c r="P185" s="30" t="str">
        <f aca="false">IF($A185="","",IF($O185="explicit",IF($D185="yes","Y",IF($D185="no","N","pending")),IF($D185="no","N",IF(AND($C185&lt;&gt;"",$I185&lt;&gt;"",$C185&lt;=WORKDAY(N($I185),-5,calendar!$A$2:$A$80)),"Y","pending"))))</f>
        <v/>
      </c>
      <c r="Q185" s="30" t="str">
        <f aca="false">IF($A185="","",IF($P185="N","N",IF($P185&lt;&gt;"Y","pending",IF(AND((COUNTIFS(stops!$A$2:$A$151,$H185,stops!$B$2:$B$151,$B185,stops!$L$2:$L$151,"declined")+COUNTIFS(stops!$A$2:$A$151,$H185,stops!$B$2:$B$151,$B185,stops!$L$2:$L$151,"building_refused")+COUNTIFS(stops!$A$2:$A$151,$H185,stops!$B$2:$B$151,$B185,stops!$L$2:$L$151,"not_delivered"))&gt;0,N($U185)=0),"N","Y"))))</f>
        <v/>
      </c>
      <c r="R185" s="30" t="str">
        <f aca="false">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30" t="str">
        <f aca="false">IF($A185="","",IF($G185&lt;&gt;"",$G185,IFERROR(IF(INDEX(offices!$AM$2:$AM$61,MATCH($B185,offices!$A$2:$A$61,0))="","",INDEX(offices!$AM$2:$AM$61,MATCH($B185,offices!$A$2:$A$61,0))),"")))</f>
        <v/>
      </c>
      <c r="T185" s="30" t="str">
        <f aca="false">IF($A185="","",$A185&amp;"."&amp;$B185)</f>
        <v/>
      </c>
      <c r="U185" s="30" t="str">
        <f aca="false">IF($A185="","",SUMIFS(inventory!$G$2:$G$801,inventory!$C$2:$C$801,$A185,inventory!$D$2:$D$801,$B185,inventory!$E$2:$E$801,"delivered"))</f>
        <v/>
      </c>
      <c r="V185" s="37" t="str">
        <f aca="false">IF($A185="","",IFERROR(1/(1/SUMPRODUCT(MAX((inventory!$C$2:$C$801=$A185)*(inventory!$D$2:$D$801=$B185)*(inventory!$E$2:$E$801="delivered")*(inventory!$A$2:$A$801+inventory!$B$2:$B$801)))),""))</f>
        <v/>
      </c>
      <c r="W185" s="30" t="str">
        <f aca="false">IF($A185="","",IFERROR(IF(INDEX(inventory!$J$2:$J$801,MATCH($A185&amp;"|"&amp;$B185&amp;"|delivered",inventory!$R$2:$R$801,0))="","",INDEX(inventory!$J$2:$J$801,MATCH($A185&amp;"|"&amp;$B185&amp;"|delivered",inventory!$R$2:$R$801,0))),""))</f>
        <v/>
      </c>
      <c r="X185" s="30" t="str">
        <f aca="false">IF($A185="","",IFERROR(IF(INDEX(photos!$H$2:$H$701,MATCH($A185&amp;"|"&amp;$B185&amp;"|placement|Y",photos!$R$2:$R$701,0))="","",INDEX(photos!$H$2:$H$701,MATCH($A185&amp;"|"&amp;$B185&amp;"|placement|Y",photos!$R$2:$R$701,0))),""))</f>
        <v/>
      </c>
      <c r="Y185" s="31" t="str">
        <f aca="false">IF($A185="","",IFERROR(IF(INDEX(photos!$E$2:$E$701,MATCH($A185&amp;"|"&amp;$B185&amp;"|placement|Y",photos!$R$2:$R$701,0))="","",INDEX(photos!$E$2:$E$701,MATCH($A185&amp;"|"&amp;$B185&amp;"|placement|Y",photos!$R$2:$R$701,0))),""))</f>
        <v/>
      </c>
      <c r="Z185" s="30" t="str">
        <f aca="false">IF($A185="","",IF(COUNTIFS(counts!$C$2:$C$701,$A185,counts!$D$2:$D$701,$B185,counts!$E$2:$E$701,"placed")=0,"",SUMIFS(counts!$F$2:$F$701,counts!$C$2:$C$701,$A185,counts!$D$2:$D$701,$B185,counts!$E$2:$E$701,"placed")))</f>
        <v/>
      </c>
      <c r="AA185" s="30" t="str">
        <f aca="false">IF($A185="","",IF($Y185="",0,N($Z185)))</f>
        <v/>
      </c>
      <c r="AB185" s="30" t="str">
        <f aca="false">IF($A185="","",IF(OR($Y185="",$I185=""),"N",IF($Y185&lt;=WORKDAY(N($I185),1,calendar!$A$2:$A$80),"Y","N")))</f>
        <v/>
      </c>
      <c r="AC185" s="33" t="str">
        <f aca="false">IF(OR($A185="",$V185="",$Y185=""),"",ROUND(($Y185+N(IFERROR(IF(INDEX(photos!$F$2:$F$701,MATCH($A185&amp;"|"&amp;$B185&amp;"|placement|Y",photos!$R$2:$R$701,0))="","",INDEX(photos!$F$2:$F$701,MATCH($A185&amp;"|"&amp;$B185&amp;"|placement|Y",photos!$R$2:$R$701,0))),""))-$V185)*24,1))</f>
        <v/>
      </c>
      <c r="AD185" s="30" t="str">
        <f aca="false">IF($A185="","",SUMIFS(inventory!$G$2:$G$801,inventory!$C$2:$C$801,$A185,inventory!$D$2:$D$801,$B185,inventory!$E$2:$E$801,"topped_up"))</f>
        <v/>
      </c>
      <c r="AE185" s="30" t="str">
        <f aca="false">IF($A185="","",IF(COUNTIFS(counts!$C$2:$C$701,$A185,counts!$D$2:$D$701,$B185,counts!$E$2:$E$701,"remaining_day3")=0,"",SUMIFS(counts!$F$2:$F$701,counts!$C$2:$C$701,$A185,counts!$D$2:$D$701,$B185,counts!$E$2:$E$701,"remaining_day3")))</f>
        <v/>
      </c>
      <c r="AF185" s="30" t="str">
        <f aca="false">IF($A185="","",IF(COUNTIFS(counts!$C$2:$C$701,$A185,counts!$D$2:$D$701,$B185,counts!$E$2:$E$701,"remaining_day5")=0,"",SUMIFS(counts!$F$2:$F$701,counts!$C$2:$C$701,$A185,counts!$D$2:$D$701,$B185,counts!$E$2:$E$701,"remaining_day5")))</f>
        <v/>
      </c>
      <c r="AG185" s="30" t="str">
        <f aca="false">IF(OR($A185="",$AF185=""),"",MAX(0,$AA185+$AD185-$AF185))</f>
        <v/>
      </c>
      <c r="AH185" s="30" t="str">
        <f aca="false">IF(OR($A185="",$AI185=""),"",IFERROR(IF(INDEX(photos!$H$2:$H$701,MATCH($A185&amp;"|"&amp;$B185&amp;"|later|Y|"&amp;$AI185,photos!$S$2:$S$701,0))="","",INDEX(photos!$H$2:$H$701,MATCH($A185&amp;"|"&amp;$B185&amp;"|later|Y|"&amp;$AI185,photos!$S$2:$S$701,0))),""))</f>
        <v/>
      </c>
      <c r="AI185" s="31" t="str">
        <f aca="false">IF($A185="","",IFERROR(1/(1/SUMPRODUCT(MAX((photos!$B$2:$B$701=$A185)*(photos!$C$2:$C$701=$B185)*(photos!$D$2:$D$701="later")*(photos!$O$2:$O$701="Y")*photos!$E$2:$E$701))),""))</f>
        <v/>
      </c>
      <c r="AJ185" s="30" t="str">
        <f aca="false">IF(OR($A185="",$AI185="",$I185=""),"",NETWORKDAYS($I185,$AI185,calendar!$A$2:$A$80))</f>
        <v/>
      </c>
      <c r="AK185" s="30" t="str">
        <f aca="false">IF($A185="","",IF(AND($X185&lt;&gt;"",$AH185&lt;&gt;""),"Y","N"))</f>
        <v/>
      </c>
      <c r="AL185" s="30" t="str">
        <f aca="true">IF(OR($A185="",$I185=""),"",IF($BC185="Y",SUMIFS(survey_frozen!$C$2:$C$251,survey_frozen!$P$2:$P$251,$A185&amp;"|"&amp;$B185),IFERROR(COUNTIFS(INDIRECT("'"&amp;$A185&amp;"'!$B$2:$B$501"),$T185,INDIRECT("'"&amp;$A185&amp;"'!$A$2:$A$501"),"&gt;="&amp;$I185,INDIRECT("'"&amp;$A185&amp;"'!$A$2:$A$501"),"&lt;"&amp;($BA185+1)),0)))</f>
        <v/>
      </c>
      <c r="AM185" s="30" t="str">
        <f aca="true">IF(OR($A185="",$I185=""),"",IF($BC185="Y",SUMIFS(survey_frozen!$D$2:$D$251,survey_frozen!$P$2:$P$251,$A185&amp;"|"&amp;$B185),IFERROR(COUNTIFS(INDIRECT("'"&amp;$A185&amp;"'!$B$2:$B$501"),$T185,INDIRECT("'"&amp;$A185&amp;"'!$A$2:$A$501"),"&gt;="&amp;$I185,INDIRECT("'"&amp;$A185&amp;"'!$A$2:$A$501"),"&lt;"&amp;($BA185+1),INDIRECT("'"&amp;$A185&amp;"'!$C$2:$C$501"),"Yes"),0)))</f>
        <v/>
      </c>
      <c r="AN185" s="30" t="str">
        <f aca="false">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30" t="str">
        <f aca="false">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30" t="str">
        <f aca="true">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30" t="str">
        <f aca="true">IF(OR($A185="",$I185=""),"",IF($BC185="Y",SUMIFS(survey_frozen!$E$2:$E$251,survey_frozen!$P$2:$P$251,$A185&amp;"|"&amp;$B185),IFERROR(COUNTIFS(INDIRECT("'"&amp;$A185&amp;"'!$B$2:$B$501"),$T185,INDIRECT("'"&amp;$A185&amp;"'!$A$2:$A$501"),"&gt;="&amp;$I185,INDIRECT("'"&amp;$A185&amp;"'!$A$2:$A$501"),"&lt;"&amp;($BA185+1),INDIRECT("'"&amp;$A185&amp;"'!$F$2:$F$501"),"Didn't see it"),0)))</f>
        <v/>
      </c>
      <c r="AR185" s="30" t="str">
        <f aca="true">IF(OR($A185="",$I185=""),"",IF($BC185="Y",SUMIFS(survey_frozen!$F$2:$F$251,survey_frozen!$P$2:$P$251,$A185&amp;"|"&amp;$B185),IFERROR(COUNTIFS(INDIRECT("'"&amp;$A185&amp;"'!$B$2:$B$501"),$T185,INDIRECT("'"&amp;$A185&amp;"'!$A$2:$A$501"),"&gt;="&amp;$I185,INDIRECT("'"&amp;$A185&amp;"'!$A$2:$A$501"),"&lt;"&amp;($BA185+1),INDIRECT("'"&amp;$A185&amp;"'!$F$2:$F$501"),"Not for me"),0)))</f>
        <v/>
      </c>
      <c r="AS185" s="30" t="str">
        <f aca="true">IF(OR($A185="",$I185=""),"",IF($BC185="Y",SUMIFS(survey_frozen!$G$2:$G$251,survey_frozen!$P$2:$P$251,$A185&amp;"|"&amp;$B185),IFERROR(COUNTIFS(INDIRECT("'"&amp;$A185&amp;"'!$B$2:$B$501"),$T185,INDIRECT("'"&amp;$A185&amp;"'!$A$2:$A$501"),"&gt;="&amp;$I185,INDIRECT("'"&amp;$A185&amp;"'!$A$2:$A$501"),"&lt;"&amp;($BA185+1),INDIRECT("'"&amp;$A185&amp;"'!$F$2:$F$501"),"Gone by the time I looked"),0)))</f>
        <v/>
      </c>
      <c r="AT185" s="30" t="str">
        <f aca="true">IF(OR($A185="",$I185=""),"",IF($BC185="Y",SUMIFS(survey_frozen!$H$2:$H$251,survey_frozen!$P$2:$P$251,$A185&amp;"|"&amp;$B185),IFERROR(COUNTIFS(INDIRECT("'"&amp;$A185&amp;"'!$B$2:$B$501"),$T185,INDIRECT("'"&amp;$A185&amp;"'!$A$2:$A$501"),"&gt;="&amp;$I185,INDIRECT("'"&amp;$A185&amp;"'!$A$2:$A$501"),"&lt;"&amp;($BA185+1),INDIRECT("'"&amp;$A185&amp;"'!$D$2:$D$501"),"&gt;=1"),0)))</f>
        <v/>
      </c>
      <c r="AU185" s="30" t="str">
        <f aca="true">IF(OR($A185="",$I185=""),"",IF($BC185="Y",SUMIFS(survey_frozen!$I$2:$I$251,survey_frozen!$P$2:$P$251,$A185&amp;"|"&amp;$B185),IFERROR(SUMIFS(INDIRECT("'"&amp;$A185&amp;"'!$D$2:$D$501"),INDIRECT("'"&amp;$A185&amp;"'!$B$2:$B$501"),$T185,INDIRECT("'"&amp;$A185&amp;"'!$A$2:$A$501"),"&gt;="&amp;$I185,INDIRECT("'"&amp;$A185&amp;"'!$A$2:$A$501"),"&lt;"&amp;($BA185+1)),0)))</f>
        <v/>
      </c>
      <c r="AV185" s="30" t="str">
        <f aca="true">IF(OR($A185="",$I185=""),"",IF($BC185="Y",SUMIFS(survey_frozen!$J$2:$J$251,survey_frozen!$P$2:$P$251,$A185&amp;"|"&amp;$B185),IFERROR(COUNTIFS(INDIRECT("'"&amp;$A185&amp;"'!$B$2:$B$501"),$T185,INDIRECT("'"&amp;$A185&amp;"'!$A$2:$A$501"),"&gt;="&amp;$I185,INDIRECT("'"&amp;$A185&amp;"'!$A$2:$A$501"),"&lt;"&amp;($BA185+1),INDIRECT("'"&amp;$A185&amp;"'!$E$2:$E$501"),"Yes"),0)))</f>
        <v/>
      </c>
      <c r="AW185" s="30" t="str">
        <f aca="true">IF(OR($A185="",$I185=""),"",IF($BC185="Y",SUMIFS(survey_frozen!$K$2:$K$251,survey_frozen!$P$2:$P$251,$A185&amp;"|"&amp;$B185),IFERROR(COUNTIFS(INDIRECT("'"&amp;$A185&amp;"'!$B$2:$B$501"),$T185,INDIRECT("'"&amp;$A185&amp;"'!$A$2:$A$501"),"&gt;="&amp;$I185,INDIRECT("'"&amp;$A185&amp;"'!$A$2:$A$501"),"&lt;"&amp;($BA185+1),INDIRECT("'"&amp;$A185&amp;"'!$E$2:$E$501"),"Maybe"),0)))</f>
        <v/>
      </c>
      <c r="AX185" s="30" t="str">
        <f aca="true">IF(OR($A185="",$I185=""),"",IF($BC185="Y",SUMIFS(survey_frozen!$L$2:$L$251,survey_frozen!$P$2:$P$251,$A185&amp;"|"&amp;$B185),IFERROR(COUNTIFS(INDIRECT("'"&amp;$A185&amp;"'!$B$2:$B$501"),$T185,INDIRECT("'"&amp;$A185&amp;"'!$A$2:$A$501"),"&gt;="&amp;$I185,INDIRECT("'"&amp;$A185&amp;"'!$A$2:$A$501"),"&lt;"&amp;($BA185+1),INDIRECT("'"&amp;$A185&amp;"'!$E$2:$E$501"),"No"),0)))</f>
        <v/>
      </c>
      <c r="AY185" s="30" t="str">
        <f aca="true">IF(OR($A185="",$I185=""),"",IF($BC185="Y",SUMIFS(survey_frozen!$M$2:$M$251,survey_frozen!$P$2:$P$251,$A185&amp;"|"&amp;$B185),IFERROR(COUNTIFS(INDIRECT("'"&amp;$A185&amp;"'!$B$2:$B$501"),$T185,INDIRECT("'"&amp;$A185&amp;"'!$A$2:$A$501"),"&gt;="&amp;$I185,INDIRECT("'"&amp;$A185&amp;"'!$A$2:$A$501"),"&lt;"&amp;($BA185+1),INDIRECT("'"&amp;$A185&amp;"'!$G$2:$G$501"),"&lt;&gt;"),0)))</f>
        <v/>
      </c>
      <c r="AZ185" s="30" t="str">
        <f aca="false">IF($A185="","",$A185&amp;"|"&amp;$L185)</f>
        <v/>
      </c>
      <c r="BA185" s="31" t="str">
        <f aca="false">IF($A185="","",IFERROR(IF(INDEX(drops!$R$2:$R$21,MATCH($H185,drops!$A$2:$A$21,0))="","",INDEX(drops!$R$2:$R$21,MATCH($H185,drops!$A$2:$A$21,0))),""))</f>
        <v/>
      </c>
      <c r="BB185" s="30" t="n">
        <f aca="false">IF(OR($A185="",$Q185&lt;&gt;"Y"),1000000,N($AL185))</f>
        <v>1000000</v>
      </c>
      <c r="BC185" s="30" t="str">
        <f aca="false">IF($A185="","",IF(COUNTIF(survey_frozen!$P$2:$P$251,$A185&amp;"|"&amp;$B185)&gt;0,"Y",""))</f>
        <v/>
      </c>
      <c r="BD185" s="30" t="str">
        <f aca="false">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ustomFormat="false" ht="15" hidden="false" customHeight="false" outlineLevel="0" collapsed="false">
      <c r="C186" s="11"/>
      <c r="D186" s="10"/>
      <c r="E186" s="11"/>
      <c r="H186" s="30" t="str">
        <f aca="false">IF($A186="","",IFERROR(IF(INDEX(campaigns!$B$2:$B$51,MATCH($A186,campaigns!$A$2:$A$51,0))="","",INDEX(campaigns!$B$2:$B$51,MATCH($A186,campaigns!$A$2:$A$51,0))),""))</f>
        <v/>
      </c>
      <c r="I186" s="31" t="str">
        <f aca="false">IF($A186="","",IFERROR(IF(INDEX(campaigns!$BG$2:$BG$51,MATCH($A186,campaigns!$A$2:$A$51,0))="","",INDEX(campaigns!$BG$2:$BG$51,MATCH($A186,campaigns!$A$2:$A$51,0))),""))</f>
        <v/>
      </c>
      <c r="J186" s="30" t="str">
        <f aca="false">IF($A186="","",IFERROR(IF(INDEX(campaigns!$BE$2:$BE$51,MATCH($A186,campaigns!$A$2:$A$51,0))="","",INDEX(campaigns!$BE$2:$BE$51,MATCH($A186,campaigns!$A$2:$A$51,0))),""))</f>
        <v/>
      </c>
      <c r="K186" s="30" t="str">
        <f aca="false">IF($B186="","",IFERROR(IF(INDEX(offices!$O$2:$O$61,MATCH($B186,offices!$A$2:$A$61,0))="","",INDEX(offices!$O$2:$O$61,MATCH($B186,offices!$A$2:$A$61,0))),""))</f>
        <v/>
      </c>
      <c r="L186" s="30" t="str">
        <f aca="false">IF($A186="","",IF($Q186="N","",COUNTIFS($A$2:$A186,$A186,$Q$2:$Q186,"&lt;&gt;N")))</f>
        <v/>
      </c>
      <c r="M186" s="30" t="str">
        <f aca="false">IF(OR($A186="",$L186=""),"",IF(AND(config!$B$34="names_if_public",IFERROR(IF(INDEX(offices!$AG$2:$AG$61,MATCH($B186,offices!$A$2:$A$61,0))="","",INDEX(offices!$AG$2:$AG$61,MATCH($B186,offices!$A$2:$A$61,0))),"")="Y"),$K186,CHAR(64+$L186)))</f>
        <v/>
      </c>
      <c r="N186" s="30" t="str">
        <f aca="false">IF(OR($A186="",$I186=""),"",COUNTIFS(stops!$B$2:$B$151,$B186,stops!$P$2:$P$151,"&lt;"&amp;$I186,stops!$L$2:$L$151,"&lt;&gt;not_delivered")+1)</f>
        <v/>
      </c>
      <c r="O186" s="30" t="str">
        <f aca="false">IF($A186="","",IF(N($N186)&lt;=config!$B$29,"explicit","opt-out"))</f>
        <v/>
      </c>
      <c r="P186" s="30" t="str">
        <f aca="false">IF($A186="","",IF($O186="explicit",IF($D186="yes","Y",IF($D186="no","N","pending")),IF($D186="no","N",IF(AND($C186&lt;&gt;"",$I186&lt;&gt;"",$C186&lt;=WORKDAY(N($I186),-5,calendar!$A$2:$A$80)),"Y","pending"))))</f>
        <v/>
      </c>
      <c r="Q186" s="30" t="str">
        <f aca="false">IF($A186="","",IF($P186="N","N",IF($P186&lt;&gt;"Y","pending",IF(AND((COUNTIFS(stops!$A$2:$A$151,$H186,stops!$B$2:$B$151,$B186,stops!$L$2:$L$151,"declined")+COUNTIFS(stops!$A$2:$A$151,$H186,stops!$B$2:$B$151,$B186,stops!$L$2:$L$151,"building_refused")+COUNTIFS(stops!$A$2:$A$151,$H186,stops!$B$2:$B$151,$B186,stops!$L$2:$L$151,"not_delivered"))&gt;0,N($U186)=0),"N","Y"))))</f>
        <v/>
      </c>
      <c r="R186" s="30" t="str">
        <f aca="false">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30" t="str">
        <f aca="false">IF($A186="","",IF($G186&lt;&gt;"",$G186,IFERROR(IF(INDEX(offices!$AM$2:$AM$61,MATCH($B186,offices!$A$2:$A$61,0))="","",INDEX(offices!$AM$2:$AM$61,MATCH($B186,offices!$A$2:$A$61,0))),"")))</f>
        <v/>
      </c>
      <c r="T186" s="30" t="str">
        <f aca="false">IF($A186="","",$A186&amp;"."&amp;$B186)</f>
        <v/>
      </c>
      <c r="U186" s="30" t="str">
        <f aca="false">IF($A186="","",SUMIFS(inventory!$G$2:$G$801,inventory!$C$2:$C$801,$A186,inventory!$D$2:$D$801,$B186,inventory!$E$2:$E$801,"delivered"))</f>
        <v/>
      </c>
      <c r="V186" s="37" t="str">
        <f aca="false">IF($A186="","",IFERROR(1/(1/SUMPRODUCT(MAX((inventory!$C$2:$C$801=$A186)*(inventory!$D$2:$D$801=$B186)*(inventory!$E$2:$E$801="delivered")*(inventory!$A$2:$A$801+inventory!$B$2:$B$801)))),""))</f>
        <v/>
      </c>
      <c r="W186" s="30" t="str">
        <f aca="false">IF($A186="","",IFERROR(IF(INDEX(inventory!$J$2:$J$801,MATCH($A186&amp;"|"&amp;$B186&amp;"|delivered",inventory!$R$2:$R$801,0))="","",INDEX(inventory!$J$2:$J$801,MATCH($A186&amp;"|"&amp;$B186&amp;"|delivered",inventory!$R$2:$R$801,0))),""))</f>
        <v/>
      </c>
      <c r="X186" s="30" t="str">
        <f aca="false">IF($A186="","",IFERROR(IF(INDEX(photos!$H$2:$H$701,MATCH($A186&amp;"|"&amp;$B186&amp;"|placement|Y",photos!$R$2:$R$701,0))="","",INDEX(photos!$H$2:$H$701,MATCH($A186&amp;"|"&amp;$B186&amp;"|placement|Y",photos!$R$2:$R$701,0))),""))</f>
        <v/>
      </c>
      <c r="Y186" s="31" t="str">
        <f aca="false">IF($A186="","",IFERROR(IF(INDEX(photos!$E$2:$E$701,MATCH($A186&amp;"|"&amp;$B186&amp;"|placement|Y",photos!$R$2:$R$701,0))="","",INDEX(photos!$E$2:$E$701,MATCH($A186&amp;"|"&amp;$B186&amp;"|placement|Y",photos!$R$2:$R$701,0))),""))</f>
        <v/>
      </c>
      <c r="Z186" s="30" t="str">
        <f aca="false">IF($A186="","",IF(COUNTIFS(counts!$C$2:$C$701,$A186,counts!$D$2:$D$701,$B186,counts!$E$2:$E$701,"placed")=0,"",SUMIFS(counts!$F$2:$F$701,counts!$C$2:$C$701,$A186,counts!$D$2:$D$701,$B186,counts!$E$2:$E$701,"placed")))</f>
        <v/>
      </c>
      <c r="AA186" s="30" t="str">
        <f aca="false">IF($A186="","",IF($Y186="",0,N($Z186)))</f>
        <v/>
      </c>
      <c r="AB186" s="30" t="str">
        <f aca="false">IF($A186="","",IF(OR($Y186="",$I186=""),"N",IF($Y186&lt;=WORKDAY(N($I186),1,calendar!$A$2:$A$80),"Y","N")))</f>
        <v/>
      </c>
      <c r="AC186" s="33" t="str">
        <f aca="false">IF(OR($A186="",$V186="",$Y186=""),"",ROUND(($Y186+N(IFERROR(IF(INDEX(photos!$F$2:$F$701,MATCH($A186&amp;"|"&amp;$B186&amp;"|placement|Y",photos!$R$2:$R$701,0))="","",INDEX(photos!$F$2:$F$701,MATCH($A186&amp;"|"&amp;$B186&amp;"|placement|Y",photos!$R$2:$R$701,0))),""))-$V186)*24,1))</f>
        <v/>
      </c>
      <c r="AD186" s="30" t="str">
        <f aca="false">IF($A186="","",SUMIFS(inventory!$G$2:$G$801,inventory!$C$2:$C$801,$A186,inventory!$D$2:$D$801,$B186,inventory!$E$2:$E$801,"topped_up"))</f>
        <v/>
      </c>
      <c r="AE186" s="30" t="str">
        <f aca="false">IF($A186="","",IF(COUNTIFS(counts!$C$2:$C$701,$A186,counts!$D$2:$D$701,$B186,counts!$E$2:$E$701,"remaining_day3")=0,"",SUMIFS(counts!$F$2:$F$701,counts!$C$2:$C$701,$A186,counts!$D$2:$D$701,$B186,counts!$E$2:$E$701,"remaining_day3")))</f>
        <v/>
      </c>
      <c r="AF186" s="30" t="str">
        <f aca="false">IF($A186="","",IF(COUNTIFS(counts!$C$2:$C$701,$A186,counts!$D$2:$D$701,$B186,counts!$E$2:$E$701,"remaining_day5")=0,"",SUMIFS(counts!$F$2:$F$701,counts!$C$2:$C$701,$A186,counts!$D$2:$D$701,$B186,counts!$E$2:$E$701,"remaining_day5")))</f>
        <v/>
      </c>
      <c r="AG186" s="30" t="str">
        <f aca="false">IF(OR($A186="",$AF186=""),"",MAX(0,$AA186+$AD186-$AF186))</f>
        <v/>
      </c>
      <c r="AH186" s="30" t="str">
        <f aca="false">IF(OR($A186="",$AI186=""),"",IFERROR(IF(INDEX(photos!$H$2:$H$701,MATCH($A186&amp;"|"&amp;$B186&amp;"|later|Y|"&amp;$AI186,photos!$S$2:$S$701,0))="","",INDEX(photos!$H$2:$H$701,MATCH($A186&amp;"|"&amp;$B186&amp;"|later|Y|"&amp;$AI186,photos!$S$2:$S$701,0))),""))</f>
        <v/>
      </c>
      <c r="AI186" s="31" t="str">
        <f aca="false">IF($A186="","",IFERROR(1/(1/SUMPRODUCT(MAX((photos!$B$2:$B$701=$A186)*(photos!$C$2:$C$701=$B186)*(photos!$D$2:$D$701="later")*(photos!$O$2:$O$701="Y")*photos!$E$2:$E$701))),""))</f>
        <v/>
      </c>
      <c r="AJ186" s="30" t="str">
        <f aca="false">IF(OR($A186="",$AI186="",$I186=""),"",NETWORKDAYS($I186,$AI186,calendar!$A$2:$A$80))</f>
        <v/>
      </c>
      <c r="AK186" s="30" t="str">
        <f aca="false">IF($A186="","",IF(AND($X186&lt;&gt;"",$AH186&lt;&gt;""),"Y","N"))</f>
        <v/>
      </c>
      <c r="AL186" s="30" t="str">
        <f aca="true">IF(OR($A186="",$I186=""),"",IF($BC186="Y",SUMIFS(survey_frozen!$C$2:$C$251,survey_frozen!$P$2:$P$251,$A186&amp;"|"&amp;$B186),IFERROR(COUNTIFS(INDIRECT("'"&amp;$A186&amp;"'!$B$2:$B$501"),$T186,INDIRECT("'"&amp;$A186&amp;"'!$A$2:$A$501"),"&gt;="&amp;$I186,INDIRECT("'"&amp;$A186&amp;"'!$A$2:$A$501"),"&lt;"&amp;($BA186+1)),0)))</f>
        <v/>
      </c>
      <c r="AM186" s="30" t="str">
        <f aca="true">IF(OR($A186="",$I186=""),"",IF($BC186="Y",SUMIFS(survey_frozen!$D$2:$D$251,survey_frozen!$P$2:$P$251,$A186&amp;"|"&amp;$B186),IFERROR(COUNTIFS(INDIRECT("'"&amp;$A186&amp;"'!$B$2:$B$501"),$T186,INDIRECT("'"&amp;$A186&amp;"'!$A$2:$A$501"),"&gt;="&amp;$I186,INDIRECT("'"&amp;$A186&amp;"'!$A$2:$A$501"),"&lt;"&amp;($BA186+1),INDIRECT("'"&amp;$A186&amp;"'!$C$2:$C$501"),"Yes"),0)))</f>
        <v/>
      </c>
      <c r="AN186" s="30" t="str">
        <f aca="false">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30" t="str">
        <f aca="false">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30" t="str">
        <f aca="true">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30" t="str">
        <f aca="true">IF(OR($A186="",$I186=""),"",IF($BC186="Y",SUMIFS(survey_frozen!$E$2:$E$251,survey_frozen!$P$2:$P$251,$A186&amp;"|"&amp;$B186),IFERROR(COUNTIFS(INDIRECT("'"&amp;$A186&amp;"'!$B$2:$B$501"),$T186,INDIRECT("'"&amp;$A186&amp;"'!$A$2:$A$501"),"&gt;="&amp;$I186,INDIRECT("'"&amp;$A186&amp;"'!$A$2:$A$501"),"&lt;"&amp;($BA186+1),INDIRECT("'"&amp;$A186&amp;"'!$F$2:$F$501"),"Didn't see it"),0)))</f>
        <v/>
      </c>
      <c r="AR186" s="30" t="str">
        <f aca="true">IF(OR($A186="",$I186=""),"",IF($BC186="Y",SUMIFS(survey_frozen!$F$2:$F$251,survey_frozen!$P$2:$P$251,$A186&amp;"|"&amp;$B186),IFERROR(COUNTIFS(INDIRECT("'"&amp;$A186&amp;"'!$B$2:$B$501"),$T186,INDIRECT("'"&amp;$A186&amp;"'!$A$2:$A$501"),"&gt;="&amp;$I186,INDIRECT("'"&amp;$A186&amp;"'!$A$2:$A$501"),"&lt;"&amp;($BA186+1),INDIRECT("'"&amp;$A186&amp;"'!$F$2:$F$501"),"Not for me"),0)))</f>
        <v/>
      </c>
      <c r="AS186" s="30" t="str">
        <f aca="true">IF(OR($A186="",$I186=""),"",IF($BC186="Y",SUMIFS(survey_frozen!$G$2:$G$251,survey_frozen!$P$2:$P$251,$A186&amp;"|"&amp;$B186),IFERROR(COUNTIFS(INDIRECT("'"&amp;$A186&amp;"'!$B$2:$B$501"),$T186,INDIRECT("'"&amp;$A186&amp;"'!$A$2:$A$501"),"&gt;="&amp;$I186,INDIRECT("'"&amp;$A186&amp;"'!$A$2:$A$501"),"&lt;"&amp;($BA186+1),INDIRECT("'"&amp;$A186&amp;"'!$F$2:$F$501"),"Gone by the time I looked"),0)))</f>
        <v/>
      </c>
      <c r="AT186" s="30" t="str">
        <f aca="true">IF(OR($A186="",$I186=""),"",IF($BC186="Y",SUMIFS(survey_frozen!$H$2:$H$251,survey_frozen!$P$2:$P$251,$A186&amp;"|"&amp;$B186),IFERROR(COUNTIFS(INDIRECT("'"&amp;$A186&amp;"'!$B$2:$B$501"),$T186,INDIRECT("'"&amp;$A186&amp;"'!$A$2:$A$501"),"&gt;="&amp;$I186,INDIRECT("'"&amp;$A186&amp;"'!$A$2:$A$501"),"&lt;"&amp;($BA186+1),INDIRECT("'"&amp;$A186&amp;"'!$D$2:$D$501"),"&gt;=1"),0)))</f>
        <v/>
      </c>
      <c r="AU186" s="30" t="str">
        <f aca="true">IF(OR($A186="",$I186=""),"",IF($BC186="Y",SUMIFS(survey_frozen!$I$2:$I$251,survey_frozen!$P$2:$P$251,$A186&amp;"|"&amp;$B186),IFERROR(SUMIFS(INDIRECT("'"&amp;$A186&amp;"'!$D$2:$D$501"),INDIRECT("'"&amp;$A186&amp;"'!$B$2:$B$501"),$T186,INDIRECT("'"&amp;$A186&amp;"'!$A$2:$A$501"),"&gt;="&amp;$I186,INDIRECT("'"&amp;$A186&amp;"'!$A$2:$A$501"),"&lt;"&amp;($BA186+1)),0)))</f>
        <v/>
      </c>
      <c r="AV186" s="30" t="str">
        <f aca="true">IF(OR($A186="",$I186=""),"",IF($BC186="Y",SUMIFS(survey_frozen!$J$2:$J$251,survey_frozen!$P$2:$P$251,$A186&amp;"|"&amp;$B186),IFERROR(COUNTIFS(INDIRECT("'"&amp;$A186&amp;"'!$B$2:$B$501"),$T186,INDIRECT("'"&amp;$A186&amp;"'!$A$2:$A$501"),"&gt;="&amp;$I186,INDIRECT("'"&amp;$A186&amp;"'!$A$2:$A$501"),"&lt;"&amp;($BA186+1),INDIRECT("'"&amp;$A186&amp;"'!$E$2:$E$501"),"Yes"),0)))</f>
        <v/>
      </c>
      <c r="AW186" s="30" t="str">
        <f aca="true">IF(OR($A186="",$I186=""),"",IF($BC186="Y",SUMIFS(survey_frozen!$K$2:$K$251,survey_frozen!$P$2:$P$251,$A186&amp;"|"&amp;$B186),IFERROR(COUNTIFS(INDIRECT("'"&amp;$A186&amp;"'!$B$2:$B$501"),$T186,INDIRECT("'"&amp;$A186&amp;"'!$A$2:$A$501"),"&gt;="&amp;$I186,INDIRECT("'"&amp;$A186&amp;"'!$A$2:$A$501"),"&lt;"&amp;($BA186+1),INDIRECT("'"&amp;$A186&amp;"'!$E$2:$E$501"),"Maybe"),0)))</f>
        <v/>
      </c>
      <c r="AX186" s="30" t="str">
        <f aca="true">IF(OR($A186="",$I186=""),"",IF($BC186="Y",SUMIFS(survey_frozen!$L$2:$L$251,survey_frozen!$P$2:$P$251,$A186&amp;"|"&amp;$B186),IFERROR(COUNTIFS(INDIRECT("'"&amp;$A186&amp;"'!$B$2:$B$501"),$T186,INDIRECT("'"&amp;$A186&amp;"'!$A$2:$A$501"),"&gt;="&amp;$I186,INDIRECT("'"&amp;$A186&amp;"'!$A$2:$A$501"),"&lt;"&amp;($BA186+1),INDIRECT("'"&amp;$A186&amp;"'!$E$2:$E$501"),"No"),0)))</f>
        <v/>
      </c>
      <c r="AY186" s="30" t="str">
        <f aca="true">IF(OR($A186="",$I186=""),"",IF($BC186="Y",SUMIFS(survey_frozen!$M$2:$M$251,survey_frozen!$P$2:$P$251,$A186&amp;"|"&amp;$B186),IFERROR(COUNTIFS(INDIRECT("'"&amp;$A186&amp;"'!$B$2:$B$501"),$T186,INDIRECT("'"&amp;$A186&amp;"'!$A$2:$A$501"),"&gt;="&amp;$I186,INDIRECT("'"&amp;$A186&amp;"'!$A$2:$A$501"),"&lt;"&amp;($BA186+1),INDIRECT("'"&amp;$A186&amp;"'!$G$2:$G$501"),"&lt;&gt;"),0)))</f>
        <v/>
      </c>
      <c r="AZ186" s="30" t="str">
        <f aca="false">IF($A186="","",$A186&amp;"|"&amp;$L186)</f>
        <v/>
      </c>
      <c r="BA186" s="31" t="str">
        <f aca="false">IF($A186="","",IFERROR(IF(INDEX(drops!$R$2:$R$21,MATCH($H186,drops!$A$2:$A$21,0))="","",INDEX(drops!$R$2:$R$21,MATCH($H186,drops!$A$2:$A$21,0))),""))</f>
        <v/>
      </c>
      <c r="BB186" s="30" t="n">
        <f aca="false">IF(OR($A186="",$Q186&lt;&gt;"Y"),1000000,N($AL186))</f>
        <v>1000000</v>
      </c>
      <c r="BC186" s="30" t="str">
        <f aca="false">IF($A186="","",IF(COUNTIF(survey_frozen!$P$2:$P$251,$A186&amp;"|"&amp;$B186)&gt;0,"Y",""))</f>
        <v/>
      </c>
      <c r="BD186" s="30" t="str">
        <f aca="false">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ustomFormat="false" ht="15" hidden="false" customHeight="false" outlineLevel="0" collapsed="false">
      <c r="C187" s="11"/>
      <c r="D187" s="10"/>
      <c r="E187" s="11"/>
      <c r="H187" s="30" t="str">
        <f aca="false">IF($A187="","",IFERROR(IF(INDEX(campaigns!$B$2:$B$51,MATCH($A187,campaigns!$A$2:$A$51,0))="","",INDEX(campaigns!$B$2:$B$51,MATCH($A187,campaigns!$A$2:$A$51,0))),""))</f>
        <v/>
      </c>
      <c r="I187" s="31" t="str">
        <f aca="false">IF($A187="","",IFERROR(IF(INDEX(campaigns!$BG$2:$BG$51,MATCH($A187,campaigns!$A$2:$A$51,0))="","",INDEX(campaigns!$BG$2:$BG$51,MATCH($A187,campaigns!$A$2:$A$51,0))),""))</f>
        <v/>
      </c>
      <c r="J187" s="30" t="str">
        <f aca="false">IF($A187="","",IFERROR(IF(INDEX(campaigns!$BE$2:$BE$51,MATCH($A187,campaigns!$A$2:$A$51,0))="","",INDEX(campaigns!$BE$2:$BE$51,MATCH($A187,campaigns!$A$2:$A$51,0))),""))</f>
        <v/>
      </c>
      <c r="K187" s="30" t="str">
        <f aca="false">IF($B187="","",IFERROR(IF(INDEX(offices!$O$2:$O$61,MATCH($B187,offices!$A$2:$A$61,0))="","",INDEX(offices!$O$2:$O$61,MATCH($B187,offices!$A$2:$A$61,0))),""))</f>
        <v/>
      </c>
      <c r="L187" s="30" t="str">
        <f aca="false">IF($A187="","",IF($Q187="N","",COUNTIFS($A$2:$A187,$A187,$Q$2:$Q187,"&lt;&gt;N")))</f>
        <v/>
      </c>
      <c r="M187" s="30" t="str">
        <f aca="false">IF(OR($A187="",$L187=""),"",IF(AND(config!$B$34="names_if_public",IFERROR(IF(INDEX(offices!$AG$2:$AG$61,MATCH($B187,offices!$A$2:$A$61,0))="","",INDEX(offices!$AG$2:$AG$61,MATCH($B187,offices!$A$2:$A$61,0))),"")="Y"),$K187,CHAR(64+$L187)))</f>
        <v/>
      </c>
      <c r="N187" s="30" t="str">
        <f aca="false">IF(OR($A187="",$I187=""),"",COUNTIFS(stops!$B$2:$B$151,$B187,stops!$P$2:$P$151,"&lt;"&amp;$I187,stops!$L$2:$L$151,"&lt;&gt;not_delivered")+1)</f>
        <v/>
      </c>
      <c r="O187" s="30" t="str">
        <f aca="false">IF($A187="","",IF(N($N187)&lt;=config!$B$29,"explicit","opt-out"))</f>
        <v/>
      </c>
      <c r="P187" s="30" t="str">
        <f aca="false">IF($A187="","",IF($O187="explicit",IF($D187="yes","Y",IF($D187="no","N","pending")),IF($D187="no","N",IF(AND($C187&lt;&gt;"",$I187&lt;&gt;"",$C187&lt;=WORKDAY(N($I187),-5,calendar!$A$2:$A$80)),"Y","pending"))))</f>
        <v/>
      </c>
      <c r="Q187" s="30" t="str">
        <f aca="false">IF($A187="","",IF($P187="N","N",IF($P187&lt;&gt;"Y","pending",IF(AND((COUNTIFS(stops!$A$2:$A$151,$H187,stops!$B$2:$B$151,$B187,stops!$L$2:$L$151,"declined")+COUNTIFS(stops!$A$2:$A$151,$H187,stops!$B$2:$B$151,$B187,stops!$L$2:$L$151,"building_refused")+COUNTIFS(stops!$A$2:$A$151,$H187,stops!$B$2:$B$151,$B187,stops!$L$2:$L$151,"not_delivered"))&gt;0,N($U187)=0),"N","Y"))))</f>
        <v/>
      </c>
      <c r="R187" s="30" t="str">
        <f aca="false">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30" t="str">
        <f aca="false">IF($A187="","",IF($G187&lt;&gt;"",$G187,IFERROR(IF(INDEX(offices!$AM$2:$AM$61,MATCH($B187,offices!$A$2:$A$61,0))="","",INDEX(offices!$AM$2:$AM$61,MATCH($B187,offices!$A$2:$A$61,0))),"")))</f>
        <v/>
      </c>
      <c r="T187" s="30" t="str">
        <f aca="false">IF($A187="","",$A187&amp;"."&amp;$B187)</f>
        <v/>
      </c>
      <c r="U187" s="30" t="str">
        <f aca="false">IF($A187="","",SUMIFS(inventory!$G$2:$G$801,inventory!$C$2:$C$801,$A187,inventory!$D$2:$D$801,$B187,inventory!$E$2:$E$801,"delivered"))</f>
        <v/>
      </c>
      <c r="V187" s="37" t="str">
        <f aca="false">IF($A187="","",IFERROR(1/(1/SUMPRODUCT(MAX((inventory!$C$2:$C$801=$A187)*(inventory!$D$2:$D$801=$B187)*(inventory!$E$2:$E$801="delivered")*(inventory!$A$2:$A$801+inventory!$B$2:$B$801)))),""))</f>
        <v/>
      </c>
      <c r="W187" s="30" t="str">
        <f aca="false">IF($A187="","",IFERROR(IF(INDEX(inventory!$J$2:$J$801,MATCH($A187&amp;"|"&amp;$B187&amp;"|delivered",inventory!$R$2:$R$801,0))="","",INDEX(inventory!$J$2:$J$801,MATCH($A187&amp;"|"&amp;$B187&amp;"|delivered",inventory!$R$2:$R$801,0))),""))</f>
        <v/>
      </c>
      <c r="X187" s="30" t="str">
        <f aca="false">IF($A187="","",IFERROR(IF(INDEX(photos!$H$2:$H$701,MATCH($A187&amp;"|"&amp;$B187&amp;"|placement|Y",photos!$R$2:$R$701,0))="","",INDEX(photos!$H$2:$H$701,MATCH($A187&amp;"|"&amp;$B187&amp;"|placement|Y",photos!$R$2:$R$701,0))),""))</f>
        <v/>
      </c>
      <c r="Y187" s="31" t="str">
        <f aca="false">IF($A187="","",IFERROR(IF(INDEX(photos!$E$2:$E$701,MATCH($A187&amp;"|"&amp;$B187&amp;"|placement|Y",photos!$R$2:$R$701,0))="","",INDEX(photos!$E$2:$E$701,MATCH($A187&amp;"|"&amp;$B187&amp;"|placement|Y",photos!$R$2:$R$701,0))),""))</f>
        <v/>
      </c>
      <c r="Z187" s="30" t="str">
        <f aca="false">IF($A187="","",IF(COUNTIFS(counts!$C$2:$C$701,$A187,counts!$D$2:$D$701,$B187,counts!$E$2:$E$701,"placed")=0,"",SUMIFS(counts!$F$2:$F$701,counts!$C$2:$C$701,$A187,counts!$D$2:$D$701,$B187,counts!$E$2:$E$701,"placed")))</f>
        <v/>
      </c>
      <c r="AA187" s="30" t="str">
        <f aca="false">IF($A187="","",IF($Y187="",0,N($Z187)))</f>
        <v/>
      </c>
      <c r="AB187" s="30" t="str">
        <f aca="false">IF($A187="","",IF(OR($Y187="",$I187=""),"N",IF($Y187&lt;=WORKDAY(N($I187),1,calendar!$A$2:$A$80),"Y","N")))</f>
        <v/>
      </c>
      <c r="AC187" s="33" t="str">
        <f aca="false">IF(OR($A187="",$V187="",$Y187=""),"",ROUND(($Y187+N(IFERROR(IF(INDEX(photos!$F$2:$F$701,MATCH($A187&amp;"|"&amp;$B187&amp;"|placement|Y",photos!$R$2:$R$701,0))="","",INDEX(photos!$F$2:$F$701,MATCH($A187&amp;"|"&amp;$B187&amp;"|placement|Y",photos!$R$2:$R$701,0))),""))-$V187)*24,1))</f>
        <v/>
      </c>
      <c r="AD187" s="30" t="str">
        <f aca="false">IF($A187="","",SUMIFS(inventory!$G$2:$G$801,inventory!$C$2:$C$801,$A187,inventory!$D$2:$D$801,$B187,inventory!$E$2:$E$801,"topped_up"))</f>
        <v/>
      </c>
      <c r="AE187" s="30" t="str">
        <f aca="false">IF($A187="","",IF(COUNTIFS(counts!$C$2:$C$701,$A187,counts!$D$2:$D$701,$B187,counts!$E$2:$E$701,"remaining_day3")=0,"",SUMIFS(counts!$F$2:$F$701,counts!$C$2:$C$701,$A187,counts!$D$2:$D$701,$B187,counts!$E$2:$E$701,"remaining_day3")))</f>
        <v/>
      </c>
      <c r="AF187" s="30" t="str">
        <f aca="false">IF($A187="","",IF(COUNTIFS(counts!$C$2:$C$701,$A187,counts!$D$2:$D$701,$B187,counts!$E$2:$E$701,"remaining_day5")=0,"",SUMIFS(counts!$F$2:$F$701,counts!$C$2:$C$701,$A187,counts!$D$2:$D$701,$B187,counts!$E$2:$E$701,"remaining_day5")))</f>
        <v/>
      </c>
      <c r="AG187" s="30" t="str">
        <f aca="false">IF(OR($A187="",$AF187=""),"",MAX(0,$AA187+$AD187-$AF187))</f>
        <v/>
      </c>
      <c r="AH187" s="30" t="str">
        <f aca="false">IF(OR($A187="",$AI187=""),"",IFERROR(IF(INDEX(photos!$H$2:$H$701,MATCH($A187&amp;"|"&amp;$B187&amp;"|later|Y|"&amp;$AI187,photos!$S$2:$S$701,0))="","",INDEX(photos!$H$2:$H$701,MATCH($A187&amp;"|"&amp;$B187&amp;"|later|Y|"&amp;$AI187,photos!$S$2:$S$701,0))),""))</f>
        <v/>
      </c>
      <c r="AI187" s="31" t="str">
        <f aca="false">IF($A187="","",IFERROR(1/(1/SUMPRODUCT(MAX((photos!$B$2:$B$701=$A187)*(photos!$C$2:$C$701=$B187)*(photos!$D$2:$D$701="later")*(photos!$O$2:$O$701="Y")*photos!$E$2:$E$701))),""))</f>
        <v/>
      </c>
      <c r="AJ187" s="30" t="str">
        <f aca="false">IF(OR($A187="",$AI187="",$I187=""),"",NETWORKDAYS($I187,$AI187,calendar!$A$2:$A$80))</f>
        <v/>
      </c>
      <c r="AK187" s="30" t="str">
        <f aca="false">IF($A187="","",IF(AND($X187&lt;&gt;"",$AH187&lt;&gt;""),"Y","N"))</f>
        <v/>
      </c>
      <c r="AL187" s="30" t="str">
        <f aca="true">IF(OR($A187="",$I187=""),"",IF($BC187="Y",SUMIFS(survey_frozen!$C$2:$C$251,survey_frozen!$P$2:$P$251,$A187&amp;"|"&amp;$B187),IFERROR(COUNTIFS(INDIRECT("'"&amp;$A187&amp;"'!$B$2:$B$501"),$T187,INDIRECT("'"&amp;$A187&amp;"'!$A$2:$A$501"),"&gt;="&amp;$I187,INDIRECT("'"&amp;$A187&amp;"'!$A$2:$A$501"),"&lt;"&amp;($BA187+1)),0)))</f>
        <v/>
      </c>
      <c r="AM187" s="30" t="str">
        <f aca="true">IF(OR($A187="",$I187=""),"",IF($BC187="Y",SUMIFS(survey_frozen!$D$2:$D$251,survey_frozen!$P$2:$P$251,$A187&amp;"|"&amp;$B187),IFERROR(COUNTIFS(INDIRECT("'"&amp;$A187&amp;"'!$B$2:$B$501"),$T187,INDIRECT("'"&amp;$A187&amp;"'!$A$2:$A$501"),"&gt;="&amp;$I187,INDIRECT("'"&amp;$A187&amp;"'!$A$2:$A$501"),"&lt;"&amp;($BA187+1),INDIRECT("'"&amp;$A187&amp;"'!$C$2:$C$501"),"Yes"),0)))</f>
        <v/>
      </c>
      <c r="AN187" s="30" t="str">
        <f aca="false">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30" t="str">
        <f aca="false">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30" t="str">
        <f aca="true">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30" t="str">
        <f aca="true">IF(OR($A187="",$I187=""),"",IF($BC187="Y",SUMIFS(survey_frozen!$E$2:$E$251,survey_frozen!$P$2:$P$251,$A187&amp;"|"&amp;$B187),IFERROR(COUNTIFS(INDIRECT("'"&amp;$A187&amp;"'!$B$2:$B$501"),$T187,INDIRECT("'"&amp;$A187&amp;"'!$A$2:$A$501"),"&gt;="&amp;$I187,INDIRECT("'"&amp;$A187&amp;"'!$A$2:$A$501"),"&lt;"&amp;($BA187+1),INDIRECT("'"&amp;$A187&amp;"'!$F$2:$F$501"),"Didn't see it"),0)))</f>
        <v/>
      </c>
      <c r="AR187" s="30" t="str">
        <f aca="true">IF(OR($A187="",$I187=""),"",IF($BC187="Y",SUMIFS(survey_frozen!$F$2:$F$251,survey_frozen!$P$2:$P$251,$A187&amp;"|"&amp;$B187),IFERROR(COUNTIFS(INDIRECT("'"&amp;$A187&amp;"'!$B$2:$B$501"),$T187,INDIRECT("'"&amp;$A187&amp;"'!$A$2:$A$501"),"&gt;="&amp;$I187,INDIRECT("'"&amp;$A187&amp;"'!$A$2:$A$501"),"&lt;"&amp;($BA187+1),INDIRECT("'"&amp;$A187&amp;"'!$F$2:$F$501"),"Not for me"),0)))</f>
        <v/>
      </c>
      <c r="AS187" s="30" t="str">
        <f aca="true">IF(OR($A187="",$I187=""),"",IF($BC187="Y",SUMIFS(survey_frozen!$G$2:$G$251,survey_frozen!$P$2:$P$251,$A187&amp;"|"&amp;$B187),IFERROR(COUNTIFS(INDIRECT("'"&amp;$A187&amp;"'!$B$2:$B$501"),$T187,INDIRECT("'"&amp;$A187&amp;"'!$A$2:$A$501"),"&gt;="&amp;$I187,INDIRECT("'"&amp;$A187&amp;"'!$A$2:$A$501"),"&lt;"&amp;($BA187+1),INDIRECT("'"&amp;$A187&amp;"'!$F$2:$F$501"),"Gone by the time I looked"),0)))</f>
        <v/>
      </c>
      <c r="AT187" s="30" t="str">
        <f aca="true">IF(OR($A187="",$I187=""),"",IF($BC187="Y",SUMIFS(survey_frozen!$H$2:$H$251,survey_frozen!$P$2:$P$251,$A187&amp;"|"&amp;$B187),IFERROR(COUNTIFS(INDIRECT("'"&amp;$A187&amp;"'!$B$2:$B$501"),$T187,INDIRECT("'"&amp;$A187&amp;"'!$A$2:$A$501"),"&gt;="&amp;$I187,INDIRECT("'"&amp;$A187&amp;"'!$A$2:$A$501"),"&lt;"&amp;($BA187+1),INDIRECT("'"&amp;$A187&amp;"'!$D$2:$D$501"),"&gt;=1"),0)))</f>
        <v/>
      </c>
      <c r="AU187" s="30" t="str">
        <f aca="true">IF(OR($A187="",$I187=""),"",IF($BC187="Y",SUMIFS(survey_frozen!$I$2:$I$251,survey_frozen!$P$2:$P$251,$A187&amp;"|"&amp;$B187),IFERROR(SUMIFS(INDIRECT("'"&amp;$A187&amp;"'!$D$2:$D$501"),INDIRECT("'"&amp;$A187&amp;"'!$B$2:$B$501"),$T187,INDIRECT("'"&amp;$A187&amp;"'!$A$2:$A$501"),"&gt;="&amp;$I187,INDIRECT("'"&amp;$A187&amp;"'!$A$2:$A$501"),"&lt;"&amp;($BA187+1)),0)))</f>
        <v/>
      </c>
      <c r="AV187" s="30" t="str">
        <f aca="true">IF(OR($A187="",$I187=""),"",IF($BC187="Y",SUMIFS(survey_frozen!$J$2:$J$251,survey_frozen!$P$2:$P$251,$A187&amp;"|"&amp;$B187),IFERROR(COUNTIFS(INDIRECT("'"&amp;$A187&amp;"'!$B$2:$B$501"),$T187,INDIRECT("'"&amp;$A187&amp;"'!$A$2:$A$501"),"&gt;="&amp;$I187,INDIRECT("'"&amp;$A187&amp;"'!$A$2:$A$501"),"&lt;"&amp;($BA187+1),INDIRECT("'"&amp;$A187&amp;"'!$E$2:$E$501"),"Yes"),0)))</f>
        <v/>
      </c>
      <c r="AW187" s="30" t="str">
        <f aca="true">IF(OR($A187="",$I187=""),"",IF($BC187="Y",SUMIFS(survey_frozen!$K$2:$K$251,survey_frozen!$P$2:$P$251,$A187&amp;"|"&amp;$B187),IFERROR(COUNTIFS(INDIRECT("'"&amp;$A187&amp;"'!$B$2:$B$501"),$T187,INDIRECT("'"&amp;$A187&amp;"'!$A$2:$A$501"),"&gt;="&amp;$I187,INDIRECT("'"&amp;$A187&amp;"'!$A$2:$A$501"),"&lt;"&amp;($BA187+1),INDIRECT("'"&amp;$A187&amp;"'!$E$2:$E$501"),"Maybe"),0)))</f>
        <v/>
      </c>
      <c r="AX187" s="30" t="str">
        <f aca="true">IF(OR($A187="",$I187=""),"",IF($BC187="Y",SUMIFS(survey_frozen!$L$2:$L$251,survey_frozen!$P$2:$P$251,$A187&amp;"|"&amp;$B187),IFERROR(COUNTIFS(INDIRECT("'"&amp;$A187&amp;"'!$B$2:$B$501"),$T187,INDIRECT("'"&amp;$A187&amp;"'!$A$2:$A$501"),"&gt;="&amp;$I187,INDIRECT("'"&amp;$A187&amp;"'!$A$2:$A$501"),"&lt;"&amp;($BA187+1),INDIRECT("'"&amp;$A187&amp;"'!$E$2:$E$501"),"No"),0)))</f>
        <v/>
      </c>
      <c r="AY187" s="30" t="str">
        <f aca="true">IF(OR($A187="",$I187=""),"",IF($BC187="Y",SUMIFS(survey_frozen!$M$2:$M$251,survey_frozen!$P$2:$P$251,$A187&amp;"|"&amp;$B187),IFERROR(COUNTIFS(INDIRECT("'"&amp;$A187&amp;"'!$B$2:$B$501"),$T187,INDIRECT("'"&amp;$A187&amp;"'!$A$2:$A$501"),"&gt;="&amp;$I187,INDIRECT("'"&amp;$A187&amp;"'!$A$2:$A$501"),"&lt;"&amp;($BA187+1),INDIRECT("'"&amp;$A187&amp;"'!$G$2:$G$501"),"&lt;&gt;"),0)))</f>
        <v/>
      </c>
      <c r="AZ187" s="30" t="str">
        <f aca="false">IF($A187="","",$A187&amp;"|"&amp;$L187)</f>
        <v/>
      </c>
      <c r="BA187" s="31" t="str">
        <f aca="false">IF($A187="","",IFERROR(IF(INDEX(drops!$R$2:$R$21,MATCH($H187,drops!$A$2:$A$21,0))="","",INDEX(drops!$R$2:$R$21,MATCH($H187,drops!$A$2:$A$21,0))),""))</f>
        <v/>
      </c>
      <c r="BB187" s="30" t="n">
        <f aca="false">IF(OR($A187="",$Q187&lt;&gt;"Y"),1000000,N($AL187))</f>
        <v>1000000</v>
      </c>
      <c r="BC187" s="30" t="str">
        <f aca="false">IF($A187="","",IF(COUNTIF(survey_frozen!$P$2:$P$251,$A187&amp;"|"&amp;$B187)&gt;0,"Y",""))</f>
        <v/>
      </c>
      <c r="BD187" s="30" t="str">
        <f aca="false">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ustomFormat="false" ht="15" hidden="false" customHeight="false" outlineLevel="0" collapsed="false">
      <c r="C188" s="11"/>
      <c r="D188" s="10"/>
      <c r="E188" s="11"/>
      <c r="H188" s="30" t="str">
        <f aca="false">IF($A188="","",IFERROR(IF(INDEX(campaigns!$B$2:$B$51,MATCH($A188,campaigns!$A$2:$A$51,0))="","",INDEX(campaigns!$B$2:$B$51,MATCH($A188,campaigns!$A$2:$A$51,0))),""))</f>
        <v/>
      </c>
      <c r="I188" s="31" t="str">
        <f aca="false">IF($A188="","",IFERROR(IF(INDEX(campaigns!$BG$2:$BG$51,MATCH($A188,campaigns!$A$2:$A$51,0))="","",INDEX(campaigns!$BG$2:$BG$51,MATCH($A188,campaigns!$A$2:$A$51,0))),""))</f>
        <v/>
      </c>
      <c r="J188" s="30" t="str">
        <f aca="false">IF($A188="","",IFERROR(IF(INDEX(campaigns!$BE$2:$BE$51,MATCH($A188,campaigns!$A$2:$A$51,0))="","",INDEX(campaigns!$BE$2:$BE$51,MATCH($A188,campaigns!$A$2:$A$51,0))),""))</f>
        <v/>
      </c>
      <c r="K188" s="30" t="str">
        <f aca="false">IF($B188="","",IFERROR(IF(INDEX(offices!$O$2:$O$61,MATCH($B188,offices!$A$2:$A$61,0))="","",INDEX(offices!$O$2:$O$61,MATCH($B188,offices!$A$2:$A$61,0))),""))</f>
        <v/>
      </c>
      <c r="L188" s="30" t="str">
        <f aca="false">IF($A188="","",IF($Q188="N","",COUNTIFS($A$2:$A188,$A188,$Q$2:$Q188,"&lt;&gt;N")))</f>
        <v/>
      </c>
      <c r="M188" s="30" t="str">
        <f aca="false">IF(OR($A188="",$L188=""),"",IF(AND(config!$B$34="names_if_public",IFERROR(IF(INDEX(offices!$AG$2:$AG$61,MATCH($B188,offices!$A$2:$A$61,0))="","",INDEX(offices!$AG$2:$AG$61,MATCH($B188,offices!$A$2:$A$61,0))),"")="Y"),$K188,CHAR(64+$L188)))</f>
        <v/>
      </c>
      <c r="N188" s="30" t="str">
        <f aca="false">IF(OR($A188="",$I188=""),"",COUNTIFS(stops!$B$2:$B$151,$B188,stops!$P$2:$P$151,"&lt;"&amp;$I188,stops!$L$2:$L$151,"&lt;&gt;not_delivered")+1)</f>
        <v/>
      </c>
      <c r="O188" s="30" t="str">
        <f aca="false">IF($A188="","",IF(N($N188)&lt;=config!$B$29,"explicit","opt-out"))</f>
        <v/>
      </c>
      <c r="P188" s="30" t="str">
        <f aca="false">IF($A188="","",IF($O188="explicit",IF($D188="yes","Y",IF($D188="no","N","pending")),IF($D188="no","N",IF(AND($C188&lt;&gt;"",$I188&lt;&gt;"",$C188&lt;=WORKDAY(N($I188),-5,calendar!$A$2:$A$80)),"Y","pending"))))</f>
        <v/>
      </c>
      <c r="Q188" s="30" t="str">
        <f aca="false">IF($A188="","",IF($P188="N","N",IF($P188&lt;&gt;"Y","pending",IF(AND((COUNTIFS(stops!$A$2:$A$151,$H188,stops!$B$2:$B$151,$B188,stops!$L$2:$L$151,"declined")+COUNTIFS(stops!$A$2:$A$151,$H188,stops!$B$2:$B$151,$B188,stops!$L$2:$L$151,"building_refused")+COUNTIFS(stops!$A$2:$A$151,$H188,stops!$B$2:$B$151,$B188,stops!$L$2:$L$151,"not_delivered"))&gt;0,N($U188)=0),"N","Y"))))</f>
        <v/>
      </c>
      <c r="R188" s="30" t="str">
        <f aca="false">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30" t="str">
        <f aca="false">IF($A188="","",IF($G188&lt;&gt;"",$G188,IFERROR(IF(INDEX(offices!$AM$2:$AM$61,MATCH($B188,offices!$A$2:$A$61,0))="","",INDEX(offices!$AM$2:$AM$61,MATCH($B188,offices!$A$2:$A$61,0))),"")))</f>
        <v/>
      </c>
      <c r="T188" s="30" t="str">
        <f aca="false">IF($A188="","",$A188&amp;"."&amp;$B188)</f>
        <v/>
      </c>
      <c r="U188" s="30" t="str">
        <f aca="false">IF($A188="","",SUMIFS(inventory!$G$2:$G$801,inventory!$C$2:$C$801,$A188,inventory!$D$2:$D$801,$B188,inventory!$E$2:$E$801,"delivered"))</f>
        <v/>
      </c>
      <c r="V188" s="37" t="str">
        <f aca="false">IF($A188="","",IFERROR(1/(1/SUMPRODUCT(MAX((inventory!$C$2:$C$801=$A188)*(inventory!$D$2:$D$801=$B188)*(inventory!$E$2:$E$801="delivered")*(inventory!$A$2:$A$801+inventory!$B$2:$B$801)))),""))</f>
        <v/>
      </c>
      <c r="W188" s="30" t="str">
        <f aca="false">IF($A188="","",IFERROR(IF(INDEX(inventory!$J$2:$J$801,MATCH($A188&amp;"|"&amp;$B188&amp;"|delivered",inventory!$R$2:$R$801,0))="","",INDEX(inventory!$J$2:$J$801,MATCH($A188&amp;"|"&amp;$B188&amp;"|delivered",inventory!$R$2:$R$801,0))),""))</f>
        <v/>
      </c>
      <c r="X188" s="30" t="str">
        <f aca="false">IF($A188="","",IFERROR(IF(INDEX(photos!$H$2:$H$701,MATCH($A188&amp;"|"&amp;$B188&amp;"|placement|Y",photos!$R$2:$R$701,0))="","",INDEX(photos!$H$2:$H$701,MATCH($A188&amp;"|"&amp;$B188&amp;"|placement|Y",photos!$R$2:$R$701,0))),""))</f>
        <v/>
      </c>
      <c r="Y188" s="31" t="str">
        <f aca="false">IF($A188="","",IFERROR(IF(INDEX(photos!$E$2:$E$701,MATCH($A188&amp;"|"&amp;$B188&amp;"|placement|Y",photos!$R$2:$R$701,0))="","",INDEX(photos!$E$2:$E$701,MATCH($A188&amp;"|"&amp;$B188&amp;"|placement|Y",photos!$R$2:$R$701,0))),""))</f>
        <v/>
      </c>
      <c r="Z188" s="30" t="str">
        <f aca="false">IF($A188="","",IF(COUNTIFS(counts!$C$2:$C$701,$A188,counts!$D$2:$D$701,$B188,counts!$E$2:$E$701,"placed")=0,"",SUMIFS(counts!$F$2:$F$701,counts!$C$2:$C$701,$A188,counts!$D$2:$D$701,$B188,counts!$E$2:$E$701,"placed")))</f>
        <v/>
      </c>
      <c r="AA188" s="30" t="str">
        <f aca="false">IF($A188="","",IF($Y188="",0,N($Z188)))</f>
        <v/>
      </c>
      <c r="AB188" s="30" t="str">
        <f aca="false">IF($A188="","",IF(OR($Y188="",$I188=""),"N",IF($Y188&lt;=WORKDAY(N($I188),1,calendar!$A$2:$A$80),"Y","N")))</f>
        <v/>
      </c>
      <c r="AC188" s="33" t="str">
        <f aca="false">IF(OR($A188="",$V188="",$Y188=""),"",ROUND(($Y188+N(IFERROR(IF(INDEX(photos!$F$2:$F$701,MATCH($A188&amp;"|"&amp;$B188&amp;"|placement|Y",photos!$R$2:$R$701,0))="","",INDEX(photos!$F$2:$F$701,MATCH($A188&amp;"|"&amp;$B188&amp;"|placement|Y",photos!$R$2:$R$701,0))),""))-$V188)*24,1))</f>
        <v/>
      </c>
      <c r="AD188" s="30" t="str">
        <f aca="false">IF($A188="","",SUMIFS(inventory!$G$2:$G$801,inventory!$C$2:$C$801,$A188,inventory!$D$2:$D$801,$B188,inventory!$E$2:$E$801,"topped_up"))</f>
        <v/>
      </c>
      <c r="AE188" s="30" t="str">
        <f aca="false">IF($A188="","",IF(COUNTIFS(counts!$C$2:$C$701,$A188,counts!$D$2:$D$701,$B188,counts!$E$2:$E$701,"remaining_day3")=0,"",SUMIFS(counts!$F$2:$F$701,counts!$C$2:$C$701,$A188,counts!$D$2:$D$701,$B188,counts!$E$2:$E$701,"remaining_day3")))</f>
        <v/>
      </c>
      <c r="AF188" s="30" t="str">
        <f aca="false">IF($A188="","",IF(COUNTIFS(counts!$C$2:$C$701,$A188,counts!$D$2:$D$701,$B188,counts!$E$2:$E$701,"remaining_day5")=0,"",SUMIFS(counts!$F$2:$F$701,counts!$C$2:$C$701,$A188,counts!$D$2:$D$701,$B188,counts!$E$2:$E$701,"remaining_day5")))</f>
        <v/>
      </c>
      <c r="AG188" s="30" t="str">
        <f aca="false">IF(OR($A188="",$AF188=""),"",MAX(0,$AA188+$AD188-$AF188))</f>
        <v/>
      </c>
      <c r="AH188" s="30" t="str">
        <f aca="false">IF(OR($A188="",$AI188=""),"",IFERROR(IF(INDEX(photos!$H$2:$H$701,MATCH($A188&amp;"|"&amp;$B188&amp;"|later|Y|"&amp;$AI188,photos!$S$2:$S$701,0))="","",INDEX(photos!$H$2:$H$701,MATCH($A188&amp;"|"&amp;$B188&amp;"|later|Y|"&amp;$AI188,photos!$S$2:$S$701,0))),""))</f>
        <v/>
      </c>
      <c r="AI188" s="31" t="str">
        <f aca="false">IF($A188="","",IFERROR(1/(1/SUMPRODUCT(MAX((photos!$B$2:$B$701=$A188)*(photos!$C$2:$C$701=$B188)*(photos!$D$2:$D$701="later")*(photos!$O$2:$O$701="Y")*photos!$E$2:$E$701))),""))</f>
        <v/>
      </c>
      <c r="AJ188" s="30" t="str">
        <f aca="false">IF(OR($A188="",$AI188="",$I188=""),"",NETWORKDAYS($I188,$AI188,calendar!$A$2:$A$80))</f>
        <v/>
      </c>
      <c r="AK188" s="30" t="str">
        <f aca="false">IF($A188="","",IF(AND($X188&lt;&gt;"",$AH188&lt;&gt;""),"Y","N"))</f>
        <v/>
      </c>
      <c r="AL188" s="30" t="str">
        <f aca="true">IF(OR($A188="",$I188=""),"",IF($BC188="Y",SUMIFS(survey_frozen!$C$2:$C$251,survey_frozen!$P$2:$P$251,$A188&amp;"|"&amp;$B188),IFERROR(COUNTIFS(INDIRECT("'"&amp;$A188&amp;"'!$B$2:$B$501"),$T188,INDIRECT("'"&amp;$A188&amp;"'!$A$2:$A$501"),"&gt;="&amp;$I188,INDIRECT("'"&amp;$A188&amp;"'!$A$2:$A$501"),"&lt;"&amp;($BA188+1)),0)))</f>
        <v/>
      </c>
      <c r="AM188" s="30" t="str">
        <f aca="true">IF(OR($A188="",$I188=""),"",IF($BC188="Y",SUMIFS(survey_frozen!$D$2:$D$251,survey_frozen!$P$2:$P$251,$A188&amp;"|"&amp;$B188),IFERROR(COUNTIFS(INDIRECT("'"&amp;$A188&amp;"'!$B$2:$B$501"),$T188,INDIRECT("'"&amp;$A188&amp;"'!$A$2:$A$501"),"&gt;="&amp;$I188,INDIRECT("'"&amp;$A188&amp;"'!$A$2:$A$501"),"&lt;"&amp;($BA188+1),INDIRECT("'"&amp;$A188&amp;"'!$C$2:$C$501"),"Yes"),0)))</f>
        <v/>
      </c>
      <c r="AN188" s="30" t="str">
        <f aca="false">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30" t="str">
        <f aca="false">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30" t="str">
        <f aca="true">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30" t="str">
        <f aca="true">IF(OR($A188="",$I188=""),"",IF($BC188="Y",SUMIFS(survey_frozen!$E$2:$E$251,survey_frozen!$P$2:$P$251,$A188&amp;"|"&amp;$B188),IFERROR(COUNTIFS(INDIRECT("'"&amp;$A188&amp;"'!$B$2:$B$501"),$T188,INDIRECT("'"&amp;$A188&amp;"'!$A$2:$A$501"),"&gt;="&amp;$I188,INDIRECT("'"&amp;$A188&amp;"'!$A$2:$A$501"),"&lt;"&amp;($BA188+1),INDIRECT("'"&amp;$A188&amp;"'!$F$2:$F$501"),"Didn't see it"),0)))</f>
        <v/>
      </c>
      <c r="AR188" s="30" t="str">
        <f aca="true">IF(OR($A188="",$I188=""),"",IF($BC188="Y",SUMIFS(survey_frozen!$F$2:$F$251,survey_frozen!$P$2:$P$251,$A188&amp;"|"&amp;$B188),IFERROR(COUNTIFS(INDIRECT("'"&amp;$A188&amp;"'!$B$2:$B$501"),$T188,INDIRECT("'"&amp;$A188&amp;"'!$A$2:$A$501"),"&gt;="&amp;$I188,INDIRECT("'"&amp;$A188&amp;"'!$A$2:$A$501"),"&lt;"&amp;($BA188+1),INDIRECT("'"&amp;$A188&amp;"'!$F$2:$F$501"),"Not for me"),0)))</f>
        <v/>
      </c>
      <c r="AS188" s="30" t="str">
        <f aca="true">IF(OR($A188="",$I188=""),"",IF($BC188="Y",SUMIFS(survey_frozen!$G$2:$G$251,survey_frozen!$P$2:$P$251,$A188&amp;"|"&amp;$B188),IFERROR(COUNTIFS(INDIRECT("'"&amp;$A188&amp;"'!$B$2:$B$501"),$T188,INDIRECT("'"&amp;$A188&amp;"'!$A$2:$A$501"),"&gt;="&amp;$I188,INDIRECT("'"&amp;$A188&amp;"'!$A$2:$A$501"),"&lt;"&amp;($BA188+1),INDIRECT("'"&amp;$A188&amp;"'!$F$2:$F$501"),"Gone by the time I looked"),0)))</f>
        <v/>
      </c>
      <c r="AT188" s="30" t="str">
        <f aca="true">IF(OR($A188="",$I188=""),"",IF($BC188="Y",SUMIFS(survey_frozen!$H$2:$H$251,survey_frozen!$P$2:$P$251,$A188&amp;"|"&amp;$B188),IFERROR(COUNTIFS(INDIRECT("'"&amp;$A188&amp;"'!$B$2:$B$501"),$T188,INDIRECT("'"&amp;$A188&amp;"'!$A$2:$A$501"),"&gt;="&amp;$I188,INDIRECT("'"&amp;$A188&amp;"'!$A$2:$A$501"),"&lt;"&amp;($BA188+1),INDIRECT("'"&amp;$A188&amp;"'!$D$2:$D$501"),"&gt;=1"),0)))</f>
        <v/>
      </c>
      <c r="AU188" s="30" t="str">
        <f aca="true">IF(OR($A188="",$I188=""),"",IF($BC188="Y",SUMIFS(survey_frozen!$I$2:$I$251,survey_frozen!$P$2:$P$251,$A188&amp;"|"&amp;$B188),IFERROR(SUMIFS(INDIRECT("'"&amp;$A188&amp;"'!$D$2:$D$501"),INDIRECT("'"&amp;$A188&amp;"'!$B$2:$B$501"),$T188,INDIRECT("'"&amp;$A188&amp;"'!$A$2:$A$501"),"&gt;="&amp;$I188,INDIRECT("'"&amp;$A188&amp;"'!$A$2:$A$501"),"&lt;"&amp;($BA188+1)),0)))</f>
        <v/>
      </c>
      <c r="AV188" s="30" t="str">
        <f aca="true">IF(OR($A188="",$I188=""),"",IF($BC188="Y",SUMIFS(survey_frozen!$J$2:$J$251,survey_frozen!$P$2:$P$251,$A188&amp;"|"&amp;$B188),IFERROR(COUNTIFS(INDIRECT("'"&amp;$A188&amp;"'!$B$2:$B$501"),$T188,INDIRECT("'"&amp;$A188&amp;"'!$A$2:$A$501"),"&gt;="&amp;$I188,INDIRECT("'"&amp;$A188&amp;"'!$A$2:$A$501"),"&lt;"&amp;($BA188+1),INDIRECT("'"&amp;$A188&amp;"'!$E$2:$E$501"),"Yes"),0)))</f>
        <v/>
      </c>
      <c r="AW188" s="30" t="str">
        <f aca="true">IF(OR($A188="",$I188=""),"",IF($BC188="Y",SUMIFS(survey_frozen!$K$2:$K$251,survey_frozen!$P$2:$P$251,$A188&amp;"|"&amp;$B188),IFERROR(COUNTIFS(INDIRECT("'"&amp;$A188&amp;"'!$B$2:$B$501"),$T188,INDIRECT("'"&amp;$A188&amp;"'!$A$2:$A$501"),"&gt;="&amp;$I188,INDIRECT("'"&amp;$A188&amp;"'!$A$2:$A$501"),"&lt;"&amp;($BA188+1),INDIRECT("'"&amp;$A188&amp;"'!$E$2:$E$501"),"Maybe"),0)))</f>
        <v/>
      </c>
      <c r="AX188" s="30" t="str">
        <f aca="true">IF(OR($A188="",$I188=""),"",IF($BC188="Y",SUMIFS(survey_frozen!$L$2:$L$251,survey_frozen!$P$2:$P$251,$A188&amp;"|"&amp;$B188),IFERROR(COUNTIFS(INDIRECT("'"&amp;$A188&amp;"'!$B$2:$B$501"),$T188,INDIRECT("'"&amp;$A188&amp;"'!$A$2:$A$501"),"&gt;="&amp;$I188,INDIRECT("'"&amp;$A188&amp;"'!$A$2:$A$501"),"&lt;"&amp;($BA188+1),INDIRECT("'"&amp;$A188&amp;"'!$E$2:$E$501"),"No"),0)))</f>
        <v/>
      </c>
      <c r="AY188" s="30" t="str">
        <f aca="true">IF(OR($A188="",$I188=""),"",IF($BC188="Y",SUMIFS(survey_frozen!$M$2:$M$251,survey_frozen!$P$2:$P$251,$A188&amp;"|"&amp;$B188),IFERROR(COUNTIFS(INDIRECT("'"&amp;$A188&amp;"'!$B$2:$B$501"),$T188,INDIRECT("'"&amp;$A188&amp;"'!$A$2:$A$501"),"&gt;="&amp;$I188,INDIRECT("'"&amp;$A188&amp;"'!$A$2:$A$501"),"&lt;"&amp;($BA188+1),INDIRECT("'"&amp;$A188&amp;"'!$G$2:$G$501"),"&lt;&gt;"),0)))</f>
        <v/>
      </c>
      <c r="AZ188" s="30" t="str">
        <f aca="false">IF($A188="","",$A188&amp;"|"&amp;$L188)</f>
        <v/>
      </c>
      <c r="BA188" s="31" t="str">
        <f aca="false">IF($A188="","",IFERROR(IF(INDEX(drops!$R$2:$R$21,MATCH($H188,drops!$A$2:$A$21,0))="","",INDEX(drops!$R$2:$R$21,MATCH($H188,drops!$A$2:$A$21,0))),""))</f>
        <v/>
      </c>
      <c r="BB188" s="30" t="n">
        <f aca="false">IF(OR($A188="",$Q188&lt;&gt;"Y"),1000000,N($AL188))</f>
        <v>1000000</v>
      </c>
      <c r="BC188" s="30" t="str">
        <f aca="false">IF($A188="","",IF(COUNTIF(survey_frozen!$P$2:$P$251,$A188&amp;"|"&amp;$B188)&gt;0,"Y",""))</f>
        <v/>
      </c>
      <c r="BD188" s="30" t="str">
        <f aca="false">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ustomFormat="false" ht="15" hidden="false" customHeight="false" outlineLevel="0" collapsed="false">
      <c r="C189" s="11"/>
      <c r="D189" s="10"/>
      <c r="E189" s="11"/>
      <c r="H189" s="30" t="str">
        <f aca="false">IF($A189="","",IFERROR(IF(INDEX(campaigns!$B$2:$B$51,MATCH($A189,campaigns!$A$2:$A$51,0))="","",INDEX(campaigns!$B$2:$B$51,MATCH($A189,campaigns!$A$2:$A$51,0))),""))</f>
        <v/>
      </c>
      <c r="I189" s="31" t="str">
        <f aca="false">IF($A189="","",IFERROR(IF(INDEX(campaigns!$BG$2:$BG$51,MATCH($A189,campaigns!$A$2:$A$51,0))="","",INDEX(campaigns!$BG$2:$BG$51,MATCH($A189,campaigns!$A$2:$A$51,0))),""))</f>
        <v/>
      </c>
      <c r="J189" s="30" t="str">
        <f aca="false">IF($A189="","",IFERROR(IF(INDEX(campaigns!$BE$2:$BE$51,MATCH($A189,campaigns!$A$2:$A$51,0))="","",INDEX(campaigns!$BE$2:$BE$51,MATCH($A189,campaigns!$A$2:$A$51,0))),""))</f>
        <v/>
      </c>
      <c r="K189" s="30" t="str">
        <f aca="false">IF($B189="","",IFERROR(IF(INDEX(offices!$O$2:$O$61,MATCH($B189,offices!$A$2:$A$61,0))="","",INDEX(offices!$O$2:$O$61,MATCH($B189,offices!$A$2:$A$61,0))),""))</f>
        <v/>
      </c>
      <c r="L189" s="30" t="str">
        <f aca="false">IF($A189="","",IF($Q189="N","",COUNTIFS($A$2:$A189,$A189,$Q$2:$Q189,"&lt;&gt;N")))</f>
        <v/>
      </c>
      <c r="M189" s="30" t="str">
        <f aca="false">IF(OR($A189="",$L189=""),"",IF(AND(config!$B$34="names_if_public",IFERROR(IF(INDEX(offices!$AG$2:$AG$61,MATCH($B189,offices!$A$2:$A$61,0))="","",INDEX(offices!$AG$2:$AG$61,MATCH($B189,offices!$A$2:$A$61,0))),"")="Y"),$K189,CHAR(64+$L189)))</f>
        <v/>
      </c>
      <c r="N189" s="30" t="str">
        <f aca="false">IF(OR($A189="",$I189=""),"",COUNTIFS(stops!$B$2:$B$151,$B189,stops!$P$2:$P$151,"&lt;"&amp;$I189,stops!$L$2:$L$151,"&lt;&gt;not_delivered")+1)</f>
        <v/>
      </c>
      <c r="O189" s="30" t="str">
        <f aca="false">IF($A189="","",IF(N($N189)&lt;=config!$B$29,"explicit","opt-out"))</f>
        <v/>
      </c>
      <c r="P189" s="30" t="str">
        <f aca="false">IF($A189="","",IF($O189="explicit",IF($D189="yes","Y",IF($D189="no","N","pending")),IF($D189="no","N",IF(AND($C189&lt;&gt;"",$I189&lt;&gt;"",$C189&lt;=WORKDAY(N($I189),-5,calendar!$A$2:$A$80)),"Y","pending"))))</f>
        <v/>
      </c>
      <c r="Q189" s="30" t="str">
        <f aca="false">IF($A189="","",IF($P189="N","N",IF($P189&lt;&gt;"Y","pending",IF(AND((COUNTIFS(stops!$A$2:$A$151,$H189,stops!$B$2:$B$151,$B189,stops!$L$2:$L$151,"declined")+COUNTIFS(stops!$A$2:$A$151,$H189,stops!$B$2:$B$151,$B189,stops!$L$2:$L$151,"building_refused")+COUNTIFS(stops!$A$2:$A$151,$H189,stops!$B$2:$B$151,$B189,stops!$L$2:$L$151,"not_delivered"))&gt;0,N($U189)=0),"N","Y"))))</f>
        <v/>
      </c>
      <c r="R189" s="30" t="str">
        <f aca="false">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30" t="str">
        <f aca="false">IF($A189="","",IF($G189&lt;&gt;"",$G189,IFERROR(IF(INDEX(offices!$AM$2:$AM$61,MATCH($B189,offices!$A$2:$A$61,0))="","",INDEX(offices!$AM$2:$AM$61,MATCH($B189,offices!$A$2:$A$61,0))),"")))</f>
        <v/>
      </c>
      <c r="T189" s="30" t="str">
        <f aca="false">IF($A189="","",$A189&amp;"."&amp;$B189)</f>
        <v/>
      </c>
      <c r="U189" s="30" t="str">
        <f aca="false">IF($A189="","",SUMIFS(inventory!$G$2:$G$801,inventory!$C$2:$C$801,$A189,inventory!$D$2:$D$801,$B189,inventory!$E$2:$E$801,"delivered"))</f>
        <v/>
      </c>
      <c r="V189" s="37" t="str">
        <f aca="false">IF($A189="","",IFERROR(1/(1/SUMPRODUCT(MAX((inventory!$C$2:$C$801=$A189)*(inventory!$D$2:$D$801=$B189)*(inventory!$E$2:$E$801="delivered")*(inventory!$A$2:$A$801+inventory!$B$2:$B$801)))),""))</f>
        <v/>
      </c>
      <c r="W189" s="30" t="str">
        <f aca="false">IF($A189="","",IFERROR(IF(INDEX(inventory!$J$2:$J$801,MATCH($A189&amp;"|"&amp;$B189&amp;"|delivered",inventory!$R$2:$R$801,0))="","",INDEX(inventory!$J$2:$J$801,MATCH($A189&amp;"|"&amp;$B189&amp;"|delivered",inventory!$R$2:$R$801,0))),""))</f>
        <v/>
      </c>
      <c r="X189" s="30" t="str">
        <f aca="false">IF($A189="","",IFERROR(IF(INDEX(photos!$H$2:$H$701,MATCH($A189&amp;"|"&amp;$B189&amp;"|placement|Y",photos!$R$2:$R$701,0))="","",INDEX(photos!$H$2:$H$701,MATCH($A189&amp;"|"&amp;$B189&amp;"|placement|Y",photos!$R$2:$R$701,0))),""))</f>
        <v/>
      </c>
      <c r="Y189" s="31" t="str">
        <f aca="false">IF($A189="","",IFERROR(IF(INDEX(photos!$E$2:$E$701,MATCH($A189&amp;"|"&amp;$B189&amp;"|placement|Y",photos!$R$2:$R$701,0))="","",INDEX(photos!$E$2:$E$701,MATCH($A189&amp;"|"&amp;$B189&amp;"|placement|Y",photos!$R$2:$R$701,0))),""))</f>
        <v/>
      </c>
      <c r="Z189" s="30" t="str">
        <f aca="false">IF($A189="","",IF(COUNTIFS(counts!$C$2:$C$701,$A189,counts!$D$2:$D$701,$B189,counts!$E$2:$E$701,"placed")=0,"",SUMIFS(counts!$F$2:$F$701,counts!$C$2:$C$701,$A189,counts!$D$2:$D$701,$B189,counts!$E$2:$E$701,"placed")))</f>
        <v/>
      </c>
      <c r="AA189" s="30" t="str">
        <f aca="false">IF($A189="","",IF($Y189="",0,N($Z189)))</f>
        <v/>
      </c>
      <c r="AB189" s="30" t="str">
        <f aca="false">IF($A189="","",IF(OR($Y189="",$I189=""),"N",IF($Y189&lt;=WORKDAY(N($I189),1,calendar!$A$2:$A$80),"Y","N")))</f>
        <v/>
      </c>
      <c r="AC189" s="33" t="str">
        <f aca="false">IF(OR($A189="",$V189="",$Y189=""),"",ROUND(($Y189+N(IFERROR(IF(INDEX(photos!$F$2:$F$701,MATCH($A189&amp;"|"&amp;$B189&amp;"|placement|Y",photos!$R$2:$R$701,0))="","",INDEX(photos!$F$2:$F$701,MATCH($A189&amp;"|"&amp;$B189&amp;"|placement|Y",photos!$R$2:$R$701,0))),""))-$V189)*24,1))</f>
        <v/>
      </c>
      <c r="AD189" s="30" t="str">
        <f aca="false">IF($A189="","",SUMIFS(inventory!$G$2:$G$801,inventory!$C$2:$C$801,$A189,inventory!$D$2:$D$801,$B189,inventory!$E$2:$E$801,"topped_up"))</f>
        <v/>
      </c>
      <c r="AE189" s="30" t="str">
        <f aca="false">IF($A189="","",IF(COUNTIFS(counts!$C$2:$C$701,$A189,counts!$D$2:$D$701,$B189,counts!$E$2:$E$701,"remaining_day3")=0,"",SUMIFS(counts!$F$2:$F$701,counts!$C$2:$C$701,$A189,counts!$D$2:$D$701,$B189,counts!$E$2:$E$701,"remaining_day3")))</f>
        <v/>
      </c>
      <c r="AF189" s="30" t="str">
        <f aca="false">IF($A189="","",IF(COUNTIFS(counts!$C$2:$C$701,$A189,counts!$D$2:$D$701,$B189,counts!$E$2:$E$701,"remaining_day5")=0,"",SUMIFS(counts!$F$2:$F$701,counts!$C$2:$C$701,$A189,counts!$D$2:$D$701,$B189,counts!$E$2:$E$701,"remaining_day5")))</f>
        <v/>
      </c>
      <c r="AG189" s="30" t="str">
        <f aca="false">IF(OR($A189="",$AF189=""),"",MAX(0,$AA189+$AD189-$AF189))</f>
        <v/>
      </c>
      <c r="AH189" s="30" t="str">
        <f aca="false">IF(OR($A189="",$AI189=""),"",IFERROR(IF(INDEX(photos!$H$2:$H$701,MATCH($A189&amp;"|"&amp;$B189&amp;"|later|Y|"&amp;$AI189,photos!$S$2:$S$701,0))="","",INDEX(photos!$H$2:$H$701,MATCH($A189&amp;"|"&amp;$B189&amp;"|later|Y|"&amp;$AI189,photos!$S$2:$S$701,0))),""))</f>
        <v/>
      </c>
      <c r="AI189" s="31" t="str">
        <f aca="false">IF($A189="","",IFERROR(1/(1/SUMPRODUCT(MAX((photos!$B$2:$B$701=$A189)*(photos!$C$2:$C$701=$B189)*(photos!$D$2:$D$701="later")*(photos!$O$2:$O$701="Y")*photos!$E$2:$E$701))),""))</f>
        <v/>
      </c>
      <c r="AJ189" s="30" t="str">
        <f aca="false">IF(OR($A189="",$AI189="",$I189=""),"",NETWORKDAYS($I189,$AI189,calendar!$A$2:$A$80))</f>
        <v/>
      </c>
      <c r="AK189" s="30" t="str">
        <f aca="false">IF($A189="","",IF(AND($X189&lt;&gt;"",$AH189&lt;&gt;""),"Y","N"))</f>
        <v/>
      </c>
      <c r="AL189" s="30" t="str">
        <f aca="true">IF(OR($A189="",$I189=""),"",IF($BC189="Y",SUMIFS(survey_frozen!$C$2:$C$251,survey_frozen!$P$2:$P$251,$A189&amp;"|"&amp;$B189),IFERROR(COUNTIFS(INDIRECT("'"&amp;$A189&amp;"'!$B$2:$B$501"),$T189,INDIRECT("'"&amp;$A189&amp;"'!$A$2:$A$501"),"&gt;="&amp;$I189,INDIRECT("'"&amp;$A189&amp;"'!$A$2:$A$501"),"&lt;"&amp;($BA189+1)),0)))</f>
        <v/>
      </c>
      <c r="AM189" s="30" t="str">
        <f aca="true">IF(OR($A189="",$I189=""),"",IF($BC189="Y",SUMIFS(survey_frozen!$D$2:$D$251,survey_frozen!$P$2:$P$251,$A189&amp;"|"&amp;$B189),IFERROR(COUNTIFS(INDIRECT("'"&amp;$A189&amp;"'!$B$2:$B$501"),$T189,INDIRECT("'"&amp;$A189&amp;"'!$A$2:$A$501"),"&gt;="&amp;$I189,INDIRECT("'"&amp;$A189&amp;"'!$A$2:$A$501"),"&lt;"&amp;($BA189+1),INDIRECT("'"&amp;$A189&amp;"'!$C$2:$C$501"),"Yes"),0)))</f>
        <v/>
      </c>
      <c r="AN189" s="30" t="str">
        <f aca="false">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30" t="str">
        <f aca="false">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30" t="str">
        <f aca="true">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30" t="str">
        <f aca="true">IF(OR($A189="",$I189=""),"",IF($BC189="Y",SUMIFS(survey_frozen!$E$2:$E$251,survey_frozen!$P$2:$P$251,$A189&amp;"|"&amp;$B189),IFERROR(COUNTIFS(INDIRECT("'"&amp;$A189&amp;"'!$B$2:$B$501"),$T189,INDIRECT("'"&amp;$A189&amp;"'!$A$2:$A$501"),"&gt;="&amp;$I189,INDIRECT("'"&amp;$A189&amp;"'!$A$2:$A$501"),"&lt;"&amp;($BA189+1),INDIRECT("'"&amp;$A189&amp;"'!$F$2:$F$501"),"Didn't see it"),0)))</f>
        <v/>
      </c>
      <c r="AR189" s="30" t="str">
        <f aca="true">IF(OR($A189="",$I189=""),"",IF($BC189="Y",SUMIFS(survey_frozen!$F$2:$F$251,survey_frozen!$P$2:$P$251,$A189&amp;"|"&amp;$B189),IFERROR(COUNTIFS(INDIRECT("'"&amp;$A189&amp;"'!$B$2:$B$501"),$T189,INDIRECT("'"&amp;$A189&amp;"'!$A$2:$A$501"),"&gt;="&amp;$I189,INDIRECT("'"&amp;$A189&amp;"'!$A$2:$A$501"),"&lt;"&amp;($BA189+1),INDIRECT("'"&amp;$A189&amp;"'!$F$2:$F$501"),"Not for me"),0)))</f>
        <v/>
      </c>
      <c r="AS189" s="30" t="str">
        <f aca="true">IF(OR($A189="",$I189=""),"",IF($BC189="Y",SUMIFS(survey_frozen!$G$2:$G$251,survey_frozen!$P$2:$P$251,$A189&amp;"|"&amp;$B189),IFERROR(COUNTIFS(INDIRECT("'"&amp;$A189&amp;"'!$B$2:$B$501"),$T189,INDIRECT("'"&amp;$A189&amp;"'!$A$2:$A$501"),"&gt;="&amp;$I189,INDIRECT("'"&amp;$A189&amp;"'!$A$2:$A$501"),"&lt;"&amp;($BA189+1),INDIRECT("'"&amp;$A189&amp;"'!$F$2:$F$501"),"Gone by the time I looked"),0)))</f>
        <v/>
      </c>
      <c r="AT189" s="30" t="str">
        <f aca="true">IF(OR($A189="",$I189=""),"",IF($BC189="Y",SUMIFS(survey_frozen!$H$2:$H$251,survey_frozen!$P$2:$P$251,$A189&amp;"|"&amp;$B189),IFERROR(COUNTIFS(INDIRECT("'"&amp;$A189&amp;"'!$B$2:$B$501"),$T189,INDIRECT("'"&amp;$A189&amp;"'!$A$2:$A$501"),"&gt;="&amp;$I189,INDIRECT("'"&amp;$A189&amp;"'!$A$2:$A$501"),"&lt;"&amp;($BA189+1),INDIRECT("'"&amp;$A189&amp;"'!$D$2:$D$501"),"&gt;=1"),0)))</f>
        <v/>
      </c>
      <c r="AU189" s="30" t="str">
        <f aca="true">IF(OR($A189="",$I189=""),"",IF($BC189="Y",SUMIFS(survey_frozen!$I$2:$I$251,survey_frozen!$P$2:$P$251,$A189&amp;"|"&amp;$B189),IFERROR(SUMIFS(INDIRECT("'"&amp;$A189&amp;"'!$D$2:$D$501"),INDIRECT("'"&amp;$A189&amp;"'!$B$2:$B$501"),$T189,INDIRECT("'"&amp;$A189&amp;"'!$A$2:$A$501"),"&gt;="&amp;$I189,INDIRECT("'"&amp;$A189&amp;"'!$A$2:$A$501"),"&lt;"&amp;($BA189+1)),0)))</f>
        <v/>
      </c>
      <c r="AV189" s="30" t="str">
        <f aca="true">IF(OR($A189="",$I189=""),"",IF($BC189="Y",SUMIFS(survey_frozen!$J$2:$J$251,survey_frozen!$P$2:$P$251,$A189&amp;"|"&amp;$B189),IFERROR(COUNTIFS(INDIRECT("'"&amp;$A189&amp;"'!$B$2:$B$501"),$T189,INDIRECT("'"&amp;$A189&amp;"'!$A$2:$A$501"),"&gt;="&amp;$I189,INDIRECT("'"&amp;$A189&amp;"'!$A$2:$A$501"),"&lt;"&amp;($BA189+1),INDIRECT("'"&amp;$A189&amp;"'!$E$2:$E$501"),"Yes"),0)))</f>
        <v/>
      </c>
      <c r="AW189" s="30" t="str">
        <f aca="true">IF(OR($A189="",$I189=""),"",IF($BC189="Y",SUMIFS(survey_frozen!$K$2:$K$251,survey_frozen!$P$2:$P$251,$A189&amp;"|"&amp;$B189),IFERROR(COUNTIFS(INDIRECT("'"&amp;$A189&amp;"'!$B$2:$B$501"),$T189,INDIRECT("'"&amp;$A189&amp;"'!$A$2:$A$501"),"&gt;="&amp;$I189,INDIRECT("'"&amp;$A189&amp;"'!$A$2:$A$501"),"&lt;"&amp;($BA189+1),INDIRECT("'"&amp;$A189&amp;"'!$E$2:$E$501"),"Maybe"),0)))</f>
        <v/>
      </c>
      <c r="AX189" s="30" t="str">
        <f aca="true">IF(OR($A189="",$I189=""),"",IF($BC189="Y",SUMIFS(survey_frozen!$L$2:$L$251,survey_frozen!$P$2:$P$251,$A189&amp;"|"&amp;$B189),IFERROR(COUNTIFS(INDIRECT("'"&amp;$A189&amp;"'!$B$2:$B$501"),$T189,INDIRECT("'"&amp;$A189&amp;"'!$A$2:$A$501"),"&gt;="&amp;$I189,INDIRECT("'"&amp;$A189&amp;"'!$A$2:$A$501"),"&lt;"&amp;($BA189+1),INDIRECT("'"&amp;$A189&amp;"'!$E$2:$E$501"),"No"),0)))</f>
        <v/>
      </c>
      <c r="AY189" s="30" t="str">
        <f aca="true">IF(OR($A189="",$I189=""),"",IF($BC189="Y",SUMIFS(survey_frozen!$M$2:$M$251,survey_frozen!$P$2:$P$251,$A189&amp;"|"&amp;$B189),IFERROR(COUNTIFS(INDIRECT("'"&amp;$A189&amp;"'!$B$2:$B$501"),$T189,INDIRECT("'"&amp;$A189&amp;"'!$A$2:$A$501"),"&gt;="&amp;$I189,INDIRECT("'"&amp;$A189&amp;"'!$A$2:$A$501"),"&lt;"&amp;($BA189+1),INDIRECT("'"&amp;$A189&amp;"'!$G$2:$G$501"),"&lt;&gt;"),0)))</f>
        <v/>
      </c>
      <c r="AZ189" s="30" t="str">
        <f aca="false">IF($A189="","",$A189&amp;"|"&amp;$L189)</f>
        <v/>
      </c>
      <c r="BA189" s="31" t="str">
        <f aca="false">IF($A189="","",IFERROR(IF(INDEX(drops!$R$2:$R$21,MATCH($H189,drops!$A$2:$A$21,0))="","",INDEX(drops!$R$2:$R$21,MATCH($H189,drops!$A$2:$A$21,0))),""))</f>
        <v/>
      </c>
      <c r="BB189" s="30" t="n">
        <f aca="false">IF(OR($A189="",$Q189&lt;&gt;"Y"),1000000,N($AL189))</f>
        <v>1000000</v>
      </c>
      <c r="BC189" s="30" t="str">
        <f aca="false">IF($A189="","",IF(COUNTIF(survey_frozen!$P$2:$P$251,$A189&amp;"|"&amp;$B189)&gt;0,"Y",""))</f>
        <v/>
      </c>
      <c r="BD189" s="30" t="str">
        <f aca="false">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ustomFormat="false" ht="15" hidden="false" customHeight="false" outlineLevel="0" collapsed="false">
      <c r="C190" s="11"/>
      <c r="D190" s="10"/>
      <c r="E190" s="11"/>
      <c r="H190" s="30" t="str">
        <f aca="false">IF($A190="","",IFERROR(IF(INDEX(campaigns!$B$2:$B$51,MATCH($A190,campaigns!$A$2:$A$51,0))="","",INDEX(campaigns!$B$2:$B$51,MATCH($A190,campaigns!$A$2:$A$51,0))),""))</f>
        <v/>
      </c>
      <c r="I190" s="31" t="str">
        <f aca="false">IF($A190="","",IFERROR(IF(INDEX(campaigns!$BG$2:$BG$51,MATCH($A190,campaigns!$A$2:$A$51,0))="","",INDEX(campaigns!$BG$2:$BG$51,MATCH($A190,campaigns!$A$2:$A$51,0))),""))</f>
        <v/>
      </c>
      <c r="J190" s="30" t="str">
        <f aca="false">IF($A190="","",IFERROR(IF(INDEX(campaigns!$BE$2:$BE$51,MATCH($A190,campaigns!$A$2:$A$51,0))="","",INDEX(campaigns!$BE$2:$BE$51,MATCH($A190,campaigns!$A$2:$A$51,0))),""))</f>
        <v/>
      </c>
      <c r="K190" s="30" t="str">
        <f aca="false">IF($B190="","",IFERROR(IF(INDEX(offices!$O$2:$O$61,MATCH($B190,offices!$A$2:$A$61,0))="","",INDEX(offices!$O$2:$O$61,MATCH($B190,offices!$A$2:$A$61,0))),""))</f>
        <v/>
      </c>
      <c r="L190" s="30" t="str">
        <f aca="false">IF($A190="","",IF($Q190="N","",COUNTIFS($A$2:$A190,$A190,$Q$2:$Q190,"&lt;&gt;N")))</f>
        <v/>
      </c>
      <c r="M190" s="30" t="str">
        <f aca="false">IF(OR($A190="",$L190=""),"",IF(AND(config!$B$34="names_if_public",IFERROR(IF(INDEX(offices!$AG$2:$AG$61,MATCH($B190,offices!$A$2:$A$61,0))="","",INDEX(offices!$AG$2:$AG$61,MATCH($B190,offices!$A$2:$A$61,0))),"")="Y"),$K190,CHAR(64+$L190)))</f>
        <v/>
      </c>
      <c r="N190" s="30" t="str">
        <f aca="false">IF(OR($A190="",$I190=""),"",COUNTIFS(stops!$B$2:$B$151,$B190,stops!$P$2:$P$151,"&lt;"&amp;$I190,stops!$L$2:$L$151,"&lt;&gt;not_delivered")+1)</f>
        <v/>
      </c>
      <c r="O190" s="30" t="str">
        <f aca="false">IF($A190="","",IF(N($N190)&lt;=config!$B$29,"explicit","opt-out"))</f>
        <v/>
      </c>
      <c r="P190" s="30" t="str">
        <f aca="false">IF($A190="","",IF($O190="explicit",IF($D190="yes","Y",IF($D190="no","N","pending")),IF($D190="no","N",IF(AND($C190&lt;&gt;"",$I190&lt;&gt;"",$C190&lt;=WORKDAY(N($I190),-5,calendar!$A$2:$A$80)),"Y","pending"))))</f>
        <v/>
      </c>
      <c r="Q190" s="30" t="str">
        <f aca="false">IF($A190="","",IF($P190="N","N",IF($P190&lt;&gt;"Y","pending",IF(AND((COUNTIFS(stops!$A$2:$A$151,$H190,stops!$B$2:$B$151,$B190,stops!$L$2:$L$151,"declined")+COUNTIFS(stops!$A$2:$A$151,$H190,stops!$B$2:$B$151,$B190,stops!$L$2:$L$151,"building_refused")+COUNTIFS(stops!$A$2:$A$151,$H190,stops!$B$2:$B$151,$B190,stops!$L$2:$L$151,"not_delivered"))&gt;0,N($U190)=0),"N","Y"))))</f>
        <v/>
      </c>
      <c r="R190" s="30" t="str">
        <f aca="false">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30" t="str">
        <f aca="false">IF($A190="","",IF($G190&lt;&gt;"",$G190,IFERROR(IF(INDEX(offices!$AM$2:$AM$61,MATCH($B190,offices!$A$2:$A$61,0))="","",INDEX(offices!$AM$2:$AM$61,MATCH($B190,offices!$A$2:$A$61,0))),"")))</f>
        <v/>
      </c>
      <c r="T190" s="30" t="str">
        <f aca="false">IF($A190="","",$A190&amp;"."&amp;$B190)</f>
        <v/>
      </c>
      <c r="U190" s="30" t="str">
        <f aca="false">IF($A190="","",SUMIFS(inventory!$G$2:$G$801,inventory!$C$2:$C$801,$A190,inventory!$D$2:$D$801,$B190,inventory!$E$2:$E$801,"delivered"))</f>
        <v/>
      </c>
      <c r="V190" s="37" t="str">
        <f aca="false">IF($A190="","",IFERROR(1/(1/SUMPRODUCT(MAX((inventory!$C$2:$C$801=$A190)*(inventory!$D$2:$D$801=$B190)*(inventory!$E$2:$E$801="delivered")*(inventory!$A$2:$A$801+inventory!$B$2:$B$801)))),""))</f>
        <v/>
      </c>
      <c r="W190" s="30" t="str">
        <f aca="false">IF($A190="","",IFERROR(IF(INDEX(inventory!$J$2:$J$801,MATCH($A190&amp;"|"&amp;$B190&amp;"|delivered",inventory!$R$2:$R$801,0))="","",INDEX(inventory!$J$2:$J$801,MATCH($A190&amp;"|"&amp;$B190&amp;"|delivered",inventory!$R$2:$R$801,0))),""))</f>
        <v/>
      </c>
      <c r="X190" s="30" t="str">
        <f aca="false">IF($A190="","",IFERROR(IF(INDEX(photos!$H$2:$H$701,MATCH($A190&amp;"|"&amp;$B190&amp;"|placement|Y",photos!$R$2:$R$701,0))="","",INDEX(photos!$H$2:$H$701,MATCH($A190&amp;"|"&amp;$B190&amp;"|placement|Y",photos!$R$2:$R$701,0))),""))</f>
        <v/>
      </c>
      <c r="Y190" s="31" t="str">
        <f aca="false">IF($A190="","",IFERROR(IF(INDEX(photos!$E$2:$E$701,MATCH($A190&amp;"|"&amp;$B190&amp;"|placement|Y",photos!$R$2:$R$701,0))="","",INDEX(photos!$E$2:$E$701,MATCH($A190&amp;"|"&amp;$B190&amp;"|placement|Y",photos!$R$2:$R$701,0))),""))</f>
        <v/>
      </c>
      <c r="Z190" s="30" t="str">
        <f aca="false">IF($A190="","",IF(COUNTIFS(counts!$C$2:$C$701,$A190,counts!$D$2:$D$701,$B190,counts!$E$2:$E$701,"placed")=0,"",SUMIFS(counts!$F$2:$F$701,counts!$C$2:$C$701,$A190,counts!$D$2:$D$701,$B190,counts!$E$2:$E$701,"placed")))</f>
        <v/>
      </c>
      <c r="AA190" s="30" t="str">
        <f aca="false">IF($A190="","",IF($Y190="",0,N($Z190)))</f>
        <v/>
      </c>
      <c r="AB190" s="30" t="str">
        <f aca="false">IF($A190="","",IF(OR($Y190="",$I190=""),"N",IF($Y190&lt;=WORKDAY(N($I190),1,calendar!$A$2:$A$80),"Y","N")))</f>
        <v/>
      </c>
      <c r="AC190" s="33" t="str">
        <f aca="false">IF(OR($A190="",$V190="",$Y190=""),"",ROUND(($Y190+N(IFERROR(IF(INDEX(photos!$F$2:$F$701,MATCH($A190&amp;"|"&amp;$B190&amp;"|placement|Y",photos!$R$2:$R$701,0))="","",INDEX(photos!$F$2:$F$701,MATCH($A190&amp;"|"&amp;$B190&amp;"|placement|Y",photos!$R$2:$R$701,0))),""))-$V190)*24,1))</f>
        <v/>
      </c>
      <c r="AD190" s="30" t="str">
        <f aca="false">IF($A190="","",SUMIFS(inventory!$G$2:$G$801,inventory!$C$2:$C$801,$A190,inventory!$D$2:$D$801,$B190,inventory!$E$2:$E$801,"topped_up"))</f>
        <v/>
      </c>
      <c r="AE190" s="30" t="str">
        <f aca="false">IF($A190="","",IF(COUNTIFS(counts!$C$2:$C$701,$A190,counts!$D$2:$D$701,$B190,counts!$E$2:$E$701,"remaining_day3")=0,"",SUMIFS(counts!$F$2:$F$701,counts!$C$2:$C$701,$A190,counts!$D$2:$D$701,$B190,counts!$E$2:$E$701,"remaining_day3")))</f>
        <v/>
      </c>
      <c r="AF190" s="30" t="str">
        <f aca="false">IF($A190="","",IF(COUNTIFS(counts!$C$2:$C$701,$A190,counts!$D$2:$D$701,$B190,counts!$E$2:$E$701,"remaining_day5")=0,"",SUMIFS(counts!$F$2:$F$701,counts!$C$2:$C$701,$A190,counts!$D$2:$D$701,$B190,counts!$E$2:$E$701,"remaining_day5")))</f>
        <v/>
      </c>
      <c r="AG190" s="30" t="str">
        <f aca="false">IF(OR($A190="",$AF190=""),"",MAX(0,$AA190+$AD190-$AF190))</f>
        <v/>
      </c>
      <c r="AH190" s="30" t="str">
        <f aca="false">IF(OR($A190="",$AI190=""),"",IFERROR(IF(INDEX(photos!$H$2:$H$701,MATCH($A190&amp;"|"&amp;$B190&amp;"|later|Y|"&amp;$AI190,photos!$S$2:$S$701,0))="","",INDEX(photos!$H$2:$H$701,MATCH($A190&amp;"|"&amp;$B190&amp;"|later|Y|"&amp;$AI190,photos!$S$2:$S$701,0))),""))</f>
        <v/>
      </c>
      <c r="AI190" s="31" t="str">
        <f aca="false">IF($A190="","",IFERROR(1/(1/SUMPRODUCT(MAX((photos!$B$2:$B$701=$A190)*(photos!$C$2:$C$701=$B190)*(photos!$D$2:$D$701="later")*(photos!$O$2:$O$701="Y")*photos!$E$2:$E$701))),""))</f>
        <v/>
      </c>
      <c r="AJ190" s="30" t="str">
        <f aca="false">IF(OR($A190="",$AI190="",$I190=""),"",NETWORKDAYS($I190,$AI190,calendar!$A$2:$A$80))</f>
        <v/>
      </c>
      <c r="AK190" s="30" t="str">
        <f aca="false">IF($A190="","",IF(AND($X190&lt;&gt;"",$AH190&lt;&gt;""),"Y","N"))</f>
        <v/>
      </c>
      <c r="AL190" s="30" t="str">
        <f aca="true">IF(OR($A190="",$I190=""),"",IF($BC190="Y",SUMIFS(survey_frozen!$C$2:$C$251,survey_frozen!$P$2:$P$251,$A190&amp;"|"&amp;$B190),IFERROR(COUNTIFS(INDIRECT("'"&amp;$A190&amp;"'!$B$2:$B$501"),$T190,INDIRECT("'"&amp;$A190&amp;"'!$A$2:$A$501"),"&gt;="&amp;$I190,INDIRECT("'"&amp;$A190&amp;"'!$A$2:$A$501"),"&lt;"&amp;($BA190+1)),0)))</f>
        <v/>
      </c>
      <c r="AM190" s="30" t="str">
        <f aca="true">IF(OR($A190="",$I190=""),"",IF($BC190="Y",SUMIFS(survey_frozen!$D$2:$D$251,survey_frozen!$P$2:$P$251,$A190&amp;"|"&amp;$B190),IFERROR(COUNTIFS(INDIRECT("'"&amp;$A190&amp;"'!$B$2:$B$501"),$T190,INDIRECT("'"&amp;$A190&amp;"'!$A$2:$A$501"),"&gt;="&amp;$I190,INDIRECT("'"&amp;$A190&amp;"'!$A$2:$A$501"),"&lt;"&amp;($BA190+1),INDIRECT("'"&amp;$A190&amp;"'!$C$2:$C$501"),"Yes"),0)))</f>
        <v/>
      </c>
      <c r="AN190" s="30" t="str">
        <f aca="false">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30" t="str">
        <f aca="false">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30" t="str">
        <f aca="true">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30" t="str">
        <f aca="true">IF(OR($A190="",$I190=""),"",IF($BC190="Y",SUMIFS(survey_frozen!$E$2:$E$251,survey_frozen!$P$2:$P$251,$A190&amp;"|"&amp;$B190),IFERROR(COUNTIFS(INDIRECT("'"&amp;$A190&amp;"'!$B$2:$B$501"),$T190,INDIRECT("'"&amp;$A190&amp;"'!$A$2:$A$501"),"&gt;="&amp;$I190,INDIRECT("'"&amp;$A190&amp;"'!$A$2:$A$501"),"&lt;"&amp;($BA190+1),INDIRECT("'"&amp;$A190&amp;"'!$F$2:$F$501"),"Didn't see it"),0)))</f>
        <v/>
      </c>
      <c r="AR190" s="30" t="str">
        <f aca="true">IF(OR($A190="",$I190=""),"",IF($BC190="Y",SUMIFS(survey_frozen!$F$2:$F$251,survey_frozen!$P$2:$P$251,$A190&amp;"|"&amp;$B190),IFERROR(COUNTIFS(INDIRECT("'"&amp;$A190&amp;"'!$B$2:$B$501"),$T190,INDIRECT("'"&amp;$A190&amp;"'!$A$2:$A$501"),"&gt;="&amp;$I190,INDIRECT("'"&amp;$A190&amp;"'!$A$2:$A$501"),"&lt;"&amp;($BA190+1),INDIRECT("'"&amp;$A190&amp;"'!$F$2:$F$501"),"Not for me"),0)))</f>
        <v/>
      </c>
      <c r="AS190" s="30" t="str">
        <f aca="true">IF(OR($A190="",$I190=""),"",IF($BC190="Y",SUMIFS(survey_frozen!$G$2:$G$251,survey_frozen!$P$2:$P$251,$A190&amp;"|"&amp;$B190),IFERROR(COUNTIFS(INDIRECT("'"&amp;$A190&amp;"'!$B$2:$B$501"),$T190,INDIRECT("'"&amp;$A190&amp;"'!$A$2:$A$501"),"&gt;="&amp;$I190,INDIRECT("'"&amp;$A190&amp;"'!$A$2:$A$501"),"&lt;"&amp;($BA190+1),INDIRECT("'"&amp;$A190&amp;"'!$F$2:$F$501"),"Gone by the time I looked"),0)))</f>
        <v/>
      </c>
      <c r="AT190" s="30" t="str">
        <f aca="true">IF(OR($A190="",$I190=""),"",IF($BC190="Y",SUMIFS(survey_frozen!$H$2:$H$251,survey_frozen!$P$2:$P$251,$A190&amp;"|"&amp;$B190),IFERROR(COUNTIFS(INDIRECT("'"&amp;$A190&amp;"'!$B$2:$B$501"),$T190,INDIRECT("'"&amp;$A190&amp;"'!$A$2:$A$501"),"&gt;="&amp;$I190,INDIRECT("'"&amp;$A190&amp;"'!$A$2:$A$501"),"&lt;"&amp;($BA190+1),INDIRECT("'"&amp;$A190&amp;"'!$D$2:$D$501"),"&gt;=1"),0)))</f>
        <v/>
      </c>
      <c r="AU190" s="30" t="str">
        <f aca="true">IF(OR($A190="",$I190=""),"",IF($BC190="Y",SUMIFS(survey_frozen!$I$2:$I$251,survey_frozen!$P$2:$P$251,$A190&amp;"|"&amp;$B190),IFERROR(SUMIFS(INDIRECT("'"&amp;$A190&amp;"'!$D$2:$D$501"),INDIRECT("'"&amp;$A190&amp;"'!$B$2:$B$501"),$T190,INDIRECT("'"&amp;$A190&amp;"'!$A$2:$A$501"),"&gt;="&amp;$I190,INDIRECT("'"&amp;$A190&amp;"'!$A$2:$A$501"),"&lt;"&amp;($BA190+1)),0)))</f>
        <v/>
      </c>
      <c r="AV190" s="30" t="str">
        <f aca="true">IF(OR($A190="",$I190=""),"",IF($BC190="Y",SUMIFS(survey_frozen!$J$2:$J$251,survey_frozen!$P$2:$P$251,$A190&amp;"|"&amp;$B190),IFERROR(COUNTIFS(INDIRECT("'"&amp;$A190&amp;"'!$B$2:$B$501"),$T190,INDIRECT("'"&amp;$A190&amp;"'!$A$2:$A$501"),"&gt;="&amp;$I190,INDIRECT("'"&amp;$A190&amp;"'!$A$2:$A$501"),"&lt;"&amp;($BA190+1),INDIRECT("'"&amp;$A190&amp;"'!$E$2:$E$501"),"Yes"),0)))</f>
        <v/>
      </c>
      <c r="AW190" s="30" t="str">
        <f aca="true">IF(OR($A190="",$I190=""),"",IF($BC190="Y",SUMIFS(survey_frozen!$K$2:$K$251,survey_frozen!$P$2:$P$251,$A190&amp;"|"&amp;$B190),IFERROR(COUNTIFS(INDIRECT("'"&amp;$A190&amp;"'!$B$2:$B$501"),$T190,INDIRECT("'"&amp;$A190&amp;"'!$A$2:$A$501"),"&gt;="&amp;$I190,INDIRECT("'"&amp;$A190&amp;"'!$A$2:$A$501"),"&lt;"&amp;($BA190+1),INDIRECT("'"&amp;$A190&amp;"'!$E$2:$E$501"),"Maybe"),0)))</f>
        <v/>
      </c>
      <c r="AX190" s="30" t="str">
        <f aca="true">IF(OR($A190="",$I190=""),"",IF($BC190="Y",SUMIFS(survey_frozen!$L$2:$L$251,survey_frozen!$P$2:$P$251,$A190&amp;"|"&amp;$B190),IFERROR(COUNTIFS(INDIRECT("'"&amp;$A190&amp;"'!$B$2:$B$501"),$T190,INDIRECT("'"&amp;$A190&amp;"'!$A$2:$A$501"),"&gt;="&amp;$I190,INDIRECT("'"&amp;$A190&amp;"'!$A$2:$A$501"),"&lt;"&amp;($BA190+1),INDIRECT("'"&amp;$A190&amp;"'!$E$2:$E$501"),"No"),0)))</f>
        <v/>
      </c>
      <c r="AY190" s="30" t="str">
        <f aca="true">IF(OR($A190="",$I190=""),"",IF($BC190="Y",SUMIFS(survey_frozen!$M$2:$M$251,survey_frozen!$P$2:$P$251,$A190&amp;"|"&amp;$B190),IFERROR(COUNTIFS(INDIRECT("'"&amp;$A190&amp;"'!$B$2:$B$501"),$T190,INDIRECT("'"&amp;$A190&amp;"'!$A$2:$A$501"),"&gt;="&amp;$I190,INDIRECT("'"&amp;$A190&amp;"'!$A$2:$A$501"),"&lt;"&amp;($BA190+1),INDIRECT("'"&amp;$A190&amp;"'!$G$2:$G$501"),"&lt;&gt;"),0)))</f>
        <v/>
      </c>
      <c r="AZ190" s="30" t="str">
        <f aca="false">IF($A190="","",$A190&amp;"|"&amp;$L190)</f>
        <v/>
      </c>
      <c r="BA190" s="31" t="str">
        <f aca="false">IF($A190="","",IFERROR(IF(INDEX(drops!$R$2:$R$21,MATCH($H190,drops!$A$2:$A$21,0))="","",INDEX(drops!$R$2:$R$21,MATCH($H190,drops!$A$2:$A$21,0))),""))</f>
        <v/>
      </c>
      <c r="BB190" s="30" t="n">
        <f aca="false">IF(OR($A190="",$Q190&lt;&gt;"Y"),1000000,N($AL190))</f>
        <v>1000000</v>
      </c>
      <c r="BC190" s="30" t="str">
        <f aca="false">IF($A190="","",IF(COUNTIF(survey_frozen!$P$2:$P$251,$A190&amp;"|"&amp;$B190)&gt;0,"Y",""))</f>
        <v/>
      </c>
      <c r="BD190" s="30" t="str">
        <f aca="false">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ustomFormat="false" ht="15" hidden="false" customHeight="false" outlineLevel="0" collapsed="false">
      <c r="C191" s="11"/>
      <c r="D191" s="10"/>
      <c r="E191" s="11"/>
      <c r="H191" s="30" t="str">
        <f aca="false">IF($A191="","",IFERROR(IF(INDEX(campaigns!$B$2:$B$51,MATCH($A191,campaigns!$A$2:$A$51,0))="","",INDEX(campaigns!$B$2:$B$51,MATCH($A191,campaigns!$A$2:$A$51,0))),""))</f>
        <v/>
      </c>
      <c r="I191" s="31" t="str">
        <f aca="false">IF($A191="","",IFERROR(IF(INDEX(campaigns!$BG$2:$BG$51,MATCH($A191,campaigns!$A$2:$A$51,0))="","",INDEX(campaigns!$BG$2:$BG$51,MATCH($A191,campaigns!$A$2:$A$51,0))),""))</f>
        <v/>
      </c>
      <c r="J191" s="30" t="str">
        <f aca="false">IF($A191="","",IFERROR(IF(INDEX(campaigns!$BE$2:$BE$51,MATCH($A191,campaigns!$A$2:$A$51,0))="","",INDEX(campaigns!$BE$2:$BE$51,MATCH($A191,campaigns!$A$2:$A$51,0))),""))</f>
        <v/>
      </c>
      <c r="K191" s="30" t="str">
        <f aca="false">IF($B191="","",IFERROR(IF(INDEX(offices!$O$2:$O$61,MATCH($B191,offices!$A$2:$A$61,0))="","",INDEX(offices!$O$2:$O$61,MATCH($B191,offices!$A$2:$A$61,0))),""))</f>
        <v/>
      </c>
      <c r="L191" s="30" t="str">
        <f aca="false">IF($A191="","",IF($Q191="N","",COUNTIFS($A$2:$A191,$A191,$Q$2:$Q191,"&lt;&gt;N")))</f>
        <v/>
      </c>
      <c r="M191" s="30" t="str">
        <f aca="false">IF(OR($A191="",$L191=""),"",IF(AND(config!$B$34="names_if_public",IFERROR(IF(INDEX(offices!$AG$2:$AG$61,MATCH($B191,offices!$A$2:$A$61,0))="","",INDEX(offices!$AG$2:$AG$61,MATCH($B191,offices!$A$2:$A$61,0))),"")="Y"),$K191,CHAR(64+$L191)))</f>
        <v/>
      </c>
      <c r="N191" s="30" t="str">
        <f aca="false">IF(OR($A191="",$I191=""),"",COUNTIFS(stops!$B$2:$B$151,$B191,stops!$P$2:$P$151,"&lt;"&amp;$I191,stops!$L$2:$L$151,"&lt;&gt;not_delivered")+1)</f>
        <v/>
      </c>
      <c r="O191" s="30" t="str">
        <f aca="false">IF($A191="","",IF(N($N191)&lt;=config!$B$29,"explicit","opt-out"))</f>
        <v/>
      </c>
      <c r="P191" s="30" t="str">
        <f aca="false">IF($A191="","",IF($O191="explicit",IF($D191="yes","Y",IF($D191="no","N","pending")),IF($D191="no","N",IF(AND($C191&lt;&gt;"",$I191&lt;&gt;"",$C191&lt;=WORKDAY(N($I191),-5,calendar!$A$2:$A$80)),"Y","pending"))))</f>
        <v/>
      </c>
      <c r="Q191" s="30" t="str">
        <f aca="false">IF($A191="","",IF($P191="N","N",IF($P191&lt;&gt;"Y","pending",IF(AND((COUNTIFS(stops!$A$2:$A$151,$H191,stops!$B$2:$B$151,$B191,stops!$L$2:$L$151,"declined")+COUNTIFS(stops!$A$2:$A$151,$H191,stops!$B$2:$B$151,$B191,stops!$L$2:$L$151,"building_refused")+COUNTIFS(stops!$A$2:$A$151,$H191,stops!$B$2:$B$151,$B191,stops!$L$2:$L$151,"not_delivered"))&gt;0,N($U191)=0),"N","Y"))))</f>
        <v/>
      </c>
      <c r="R191" s="30" t="str">
        <f aca="false">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30" t="str">
        <f aca="false">IF($A191="","",IF($G191&lt;&gt;"",$G191,IFERROR(IF(INDEX(offices!$AM$2:$AM$61,MATCH($B191,offices!$A$2:$A$61,0))="","",INDEX(offices!$AM$2:$AM$61,MATCH($B191,offices!$A$2:$A$61,0))),"")))</f>
        <v/>
      </c>
      <c r="T191" s="30" t="str">
        <f aca="false">IF($A191="","",$A191&amp;"."&amp;$B191)</f>
        <v/>
      </c>
      <c r="U191" s="30" t="str">
        <f aca="false">IF($A191="","",SUMIFS(inventory!$G$2:$G$801,inventory!$C$2:$C$801,$A191,inventory!$D$2:$D$801,$B191,inventory!$E$2:$E$801,"delivered"))</f>
        <v/>
      </c>
      <c r="V191" s="37" t="str">
        <f aca="false">IF($A191="","",IFERROR(1/(1/SUMPRODUCT(MAX((inventory!$C$2:$C$801=$A191)*(inventory!$D$2:$D$801=$B191)*(inventory!$E$2:$E$801="delivered")*(inventory!$A$2:$A$801+inventory!$B$2:$B$801)))),""))</f>
        <v/>
      </c>
      <c r="W191" s="30" t="str">
        <f aca="false">IF($A191="","",IFERROR(IF(INDEX(inventory!$J$2:$J$801,MATCH($A191&amp;"|"&amp;$B191&amp;"|delivered",inventory!$R$2:$R$801,0))="","",INDEX(inventory!$J$2:$J$801,MATCH($A191&amp;"|"&amp;$B191&amp;"|delivered",inventory!$R$2:$R$801,0))),""))</f>
        <v/>
      </c>
      <c r="X191" s="30" t="str">
        <f aca="false">IF($A191="","",IFERROR(IF(INDEX(photos!$H$2:$H$701,MATCH($A191&amp;"|"&amp;$B191&amp;"|placement|Y",photos!$R$2:$R$701,0))="","",INDEX(photos!$H$2:$H$701,MATCH($A191&amp;"|"&amp;$B191&amp;"|placement|Y",photos!$R$2:$R$701,0))),""))</f>
        <v/>
      </c>
      <c r="Y191" s="31" t="str">
        <f aca="false">IF($A191="","",IFERROR(IF(INDEX(photos!$E$2:$E$701,MATCH($A191&amp;"|"&amp;$B191&amp;"|placement|Y",photos!$R$2:$R$701,0))="","",INDEX(photos!$E$2:$E$701,MATCH($A191&amp;"|"&amp;$B191&amp;"|placement|Y",photos!$R$2:$R$701,0))),""))</f>
        <v/>
      </c>
      <c r="Z191" s="30" t="str">
        <f aca="false">IF($A191="","",IF(COUNTIFS(counts!$C$2:$C$701,$A191,counts!$D$2:$D$701,$B191,counts!$E$2:$E$701,"placed")=0,"",SUMIFS(counts!$F$2:$F$701,counts!$C$2:$C$701,$A191,counts!$D$2:$D$701,$B191,counts!$E$2:$E$701,"placed")))</f>
        <v/>
      </c>
      <c r="AA191" s="30" t="str">
        <f aca="false">IF($A191="","",IF($Y191="",0,N($Z191)))</f>
        <v/>
      </c>
      <c r="AB191" s="30" t="str">
        <f aca="false">IF($A191="","",IF(OR($Y191="",$I191=""),"N",IF($Y191&lt;=WORKDAY(N($I191),1,calendar!$A$2:$A$80),"Y","N")))</f>
        <v/>
      </c>
      <c r="AC191" s="33" t="str">
        <f aca="false">IF(OR($A191="",$V191="",$Y191=""),"",ROUND(($Y191+N(IFERROR(IF(INDEX(photos!$F$2:$F$701,MATCH($A191&amp;"|"&amp;$B191&amp;"|placement|Y",photos!$R$2:$R$701,0))="","",INDEX(photos!$F$2:$F$701,MATCH($A191&amp;"|"&amp;$B191&amp;"|placement|Y",photos!$R$2:$R$701,0))),""))-$V191)*24,1))</f>
        <v/>
      </c>
      <c r="AD191" s="30" t="str">
        <f aca="false">IF($A191="","",SUMIFS(inventory!$G$2:$G$801,inventory!$C$2:$C$801,$A191,inventory!$D$2:$D$801,$B191,inventory!$E$2:$E$801,"topped_up"))</f>
        <v/>
      </c>
      <c r="AE191" s="30" t="str">
        <f aca="false">IF($A191="","",IF(COUNTIFS(counts!$C$2:$C$701,$A191,counts!$D$2:$D$701,$B191,counts!$E$2:$E$701,"remaining_day3")=0,"",SUMIFS(counts!$F$2:$F$701,counts!$C$2:$C$701,$A191,counts!$D$2:$D$701,$B191,counts!$E$2:$E$701,"remaining_day3")))</f>
        <v/>
      </c>
      <c r="AF191" s="30" t="str">
        <f aca="false">IF($A191="","",IF(COUNTIFS(counts!$C$2:$C$701,$A191,counts!$D$2:$D$701,$B191,counts!$E$2:$E$701,"remaining_day5")=0,"",SUMIFS(counts!$F$2:$F$701,counts!$C$2:$C$701,$A191,counts!$D$2:$D$701,$B191,counts!$E$2:$E$701,"remaining_day5")))</f>
        <v/>
      </c>
      <c r="AG191" s="30" t="str">
        <f aca="false">IF(OR($A191="",$AF191=""),"",MAX(0,$AA191+$AD191-$AF191))</f>
        <v/>
      </c>
      <c r="AH191" s="30" t="str">
        <f aca="false">IF(OR($A191="",$AI191=""),"",IFERROR(IF(INDEX(photos!$H$2:$H$701,MATCH($A191&amp;"|"&amp;$B191&amp;"|later|Y|"&amp;$AI191,photos!$S$2:$S$701,0))="","",INDEX(photos!$H$2:$H$701,MATCH($A191&amp;"|"&amp;$B191&amp;"|later|Y|"&amp;$AI191,photos!$S$2:$S$701,0))),""))</f>
        <v/>
      </c>
      <c r="AI191" s="31" t="str">
        <f aca="false">IF($A191="","",IFERROR(1/(1/SUMPRODUCT(MAX((photos!$B$2:$B$701=$A191)*(photos!$C$2:$C$701=$B191)*(photos!$D$2:$D$701="later")*(photos!$O$2:$O$701="Y")*photos!$E$2:$E$701))),""))</f>
        <v/>
      </c>
      <c r="AJ191" s="30" t="str">
        <f aca="false">IF(OR($A191="",$AI191="",$I191=""),"",NETWORKDAYS($I191,$AI191,calendar!$A$2:$A$80))</f>
        <v/>
      </c>
      <c r="AK191" s="30" t="str">
        <f aca="false">IF($A191="","",IF(AND($X191&lt;&gt;"",$AH191&lt;&gt;""),"Y","N"))</f>
        <v/>
      </c>
      <c r="AL191" s="30" t="str">
        <f aca="true">IF(OR($A191="",$I191=""),"",IF($BC191="Y",SUMIFS(survey_frozen!$C$2:$C$251,survey_frozen!$P$2:$P$251,$A191&amp;"|"&amp;$B191),IFERROR(COUNTIFS(INDIRECT("'"&amp;$A191&amp;"'!$B$2:$B$501"),$T191,INDIRECT("'"&amp;$A191&amp;"'!$A$2:$A$501"),"&gt;="&amp;$I191,INDIRECT("'"&amp;$A191&amp;"'!$A$2:$A$501"),"&lt;"&amp;($BA191+1)),0)))</f>
        <v/>
      </c>
      <c r="AM191" s="30" t="str">
        <f aca="true">IF(OR($A191="",$I191=""),"",IF($BC191="Y",SUMIFS(survey_frozen!$D$2:$D$251,survey_frozen!$P$2:$P$251,$A191&amp;"|"&amp;$B191),IFERROR(COUNTIFS(INDIRECT("'"&amp;$A191&amp;"'!$B$2:$B$501"),$T191,INDIRECT("'"&amp;$A191&amp;"'!$A$2:$A$501"),"&gt;="&amp;$I191,INDIRECT("'"&amp;$A191&amp;"'!$A$2:$A$501"),"&lt;"&amp;($BA191+1),INDIRECT("'"&amp;$A191&amp;"'!$C$2:$C$501"),"Yes"),0)))</f>
        <v/>
      </c>
      <c r="AN191" s="30" t="str">
        <f aca="false">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30" t="str">
        <f aca="false">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30" t="str">
        <f aca="true">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30" t="str">
        <f aca="true">IF(OR($A191="",$I191=""),"",IF($BC191="Y",SUMIFS(survey_frozen!$E$2:$E$251,survey_frozen!$P$2:$P$251,$A191&amp;"|"&amp;$B191),IFERROR(COUNTIFS(INDIRECT("'"&amp;$A191&amp;"'!$B$2:$B$501"),$T191,INDIRECT("'"&amp;$A191&amp;"'!$A$2:$A$501"),"&gt;="&amp;$I191,INDIRECT("'"&amp;$A191&amp;"'!$A$2:$A$501"),"&lt;"&amp;($BA191+1),INDIRECT("'"&amp;$A191&amp;"'!$F$2:$F$501"),"Didn't see it"),0)))</f>
        <v/>
      </c>
      <c r="AR191" s="30" t="str">
        <f aca="true">IF(OR($A191="",$I191=""),"",IF($BC191="Y",SUMIFS(survey_frozen!$F$2:$F$251,survey_frozen!$P$2:$P$251,$A191&amp;"|"&amp;$B191),IFERROR(COUNTIFS(INDIRECT("'"&amp;$A191&amp;"'!$B$2:$B$501"),$T191,INDIRECT("'"&amp;$A191&amp;"'!$A$2:$A$501"),"&gt;="&amp;$I191,INDIRECT("'"&amp;$A191&amp;"'!$A$2:$A$501"),"&lt;"&amp;($BA191+1),INDIRECT("'"&amp;$A191&amp;"'!$F$2:$F$501"),"Not for me"),0)))</f>
        <v/>
      </c>
      <c r="AS191" s="30" t="str">
        <f aca="true">IF(OR($A191="",$I191=""),"",IF($BC191="Y",SUMIFS(survey_frozen!$G$2:$G$251,survey_frozen!$P$2:$P$251,$A191&amp;"|"&amp;$B191),IFERROR(COUNTIFS(INDIRECT("'"&amp;$A191&amp;"'!$B$2:$B$501"),$T191,INDIRECT("'"&amp;$A191&amp;"'!$A$2:$A$501"),"&gt;="&amp;$I191,INDIRECT("'"&amp;$A191&amp;"'!$A$2:$A$501"),"&lt;"&amp;($BA191+1),INDIRECT("'"&amp;$A191&amp;"'!$F$2:$F$501"),"Gone by the time I looked"),0)))</f>
        <v/>
      </c>
      <c r="AT191" s="30" t="str">
        <f aca="true">IF(OR($A191="",$I191=""),"",IF($BC191="Y",SUMIFS(survey_frozen!$H$2:$H$251,survey_frozen!$P$2:$P$251,$A191&amp;"|"&amp;$B191),IFERROR(COUNTIFS(INDIRECT("'"&amp;$A191&amp;"'!$B$2:$B$501"),$T191,INDIRECT("'"&amp;$A191&amp;"'!$A$2:$A$501"),"&gt;="&amp;$I191,INDIRECT("'"&amp;$A191&amp;"'!$A$2:$A$501"),"&lt;"&amp;($BA191+1),INDIRECT("'"&amp;$A191&amp;"'!$D$2:$D$501"),"&gt;=1"),0)))</f>
        <v/>
      </c>
      <c r="AU191" s="30" t="str">
        <f aca="true">IF(OR($A191="",$I191=""),"",IF($BC191="Y",SUMIFS(survey_frozen!$I$2:$I$251,survey_frozen!$P$2:$P$251,$A191&amp;"|"&amp;$B191),IFERROR(SUMIFS(INDIRECT("'"&amp;$A191&amp;"'!$D$2:$D$501"),INDIRECT("'"&amp;$A191&amp;"'!$B$2:$B$501"),$T191,INDIRECT("'"&amp;$A191&amp;"'!$A$2:$A$501"),"&gt;="&amp;$I191,INDIRECT("'"&amp;$A191&amp;"'!$A$2:$A$501"),"&lt;"&amp;($BA191+1)),0)))</f>
        <v/>
      </c>
      <c r="AV191" s="30" t="str">
        <f aca="true">IF(OR($A191="",$I191=""),"",IF($BC191="Y",SUMIFS(survey_frozen!$J$2:$J$251,survey_frozen!$P$2:$P$251,$A191&amp;"|"&amp;$B191),IFERROR(COUNTIFS(INDIRECT("'"&amp;$A191&amp;"'!$B$2:$B$501"),$T191,INDIRECT("'"&amp;$A191&amp;"'!$A$2:$A$501"),"&gt;="&amp;$I191,INDIRECT("'"&amp;$A191&amp;"'!$A$2:$A$501"),"&lt;"&amp;($BA191+1),INDIRECT("'"&amp;$A191&amp;"'!$E$2:$E$501"),"Yes"),0)))</f>
        <v/>
      </c>
      <c r="AW191" s="30" t="str">
        <f aca="true">IF(OR($A191="",$I191=""),"",IF($BC191="Y",SUMIFS(survey_frozen!$K$2:$K$251,survey_frozen!$P$2:$P$251,$A191&amp;"|"&amp;$B191),IFERROR(COUNTIFS(INDIRECT("'"&amp;$A191&amp;"'!$B$2:$B$501"),$T191,INDIRECT("'"&amp;$A191&amp;"'!$A$2:$A$501"),"&gt;="&amp;$I191,INDIRECT("'"&amp;$A191&amp;"'!$A$2:$A$501"),"&lt;"&amp;($BA191+1),INDIRECT("'"&amp;$A191&amp;"'!$E$2:$E$501"),"Maybe"),0)))</f>
        <v/>
      </c>
      <c r="AX191" s="30" t="str">
        <f aca="true">IF(OR($A191="",$I191=""),"",IF($BC191="Y",SUMIFS(survey_frozen!$L$2:$L$251,survey_frozen!$P$2:$P$251,$A191&amp;"|"&amp;$B191),IFERROR(COUNTIFS(INDIRECT("'"&amp;$A191&amp;"'!$B$2:$B$501"),$T191,INDIRECT("'"&amp;$A191&amp;"'!$A$2:$A$501"),"&gt;="&amp;$I191,INDIRECT("'"&amp;$A191&amp;"'!$A$2:$A$501"),"&lt;"&amp;($BA191+1),INDIRECT("'"&amp;$A191&amp;"'!$E$2:$E$501"),"No"),0)))</f>
        <v/>
      </c>
      <c r="AY191" s="30" t="str">
        <f aca="true">IF(OR($A191="",$I191=""),"",IF($BC191="Y",SUMIFS(survey_frozen!$M$2:$M$251,survey_frozen!$P$2:$P$251,$A191&amp;"|"&amp;$B191),IFERROR(COUNTIFS(INDIRECT("'"&amp;$A191&amp;"'!$B$2:$B$501"),$T191,INDIRECT("'"&amp;$A191&amp;"'!$A$2:$A$501"),"&gt;="&amp;$I191,INDIRECT("'"&amp;$A191&amp;"'!$A$2:$A$501"),"&lt;"&amp;($BA191+1),INDIRECT("'"&amp;$A191&amp;"'!$G$2:$G$501"),"&lt;&gt;"),0)))</f>
        <v/>
      </c>
      <c r="AZ191" s="30" t="str">
        <f aca="false">IF($A191="","",$A191&amp;"|"&amp;$L191)</f>
        <v/>
      </c>
      <c r="BA191" s="31" t="str">
        <f aca="false">IF($A191="","",IFERROR(IF(INDEX(drops!$R$2:$R$21,MATCH($H191,drops!$A$2:$A$21,0))="","",INDEX(drops!$R$2:$R$21,MATCH($H191,drops!$A$2:$A$21,0))),""))</f>
        <v/>
      </c>
      <c r="BB191" s="30" t="n">
        <f aca="false">IF(OR($A191="",$Q191&lt;&gt;"Y"),1000000,N($AL191))</f>
        <v>1000000</v>
      </c>
      <c r="BC191" s="30" t="str">
        <f aca="false">IF($A191="","",IF(COUNTIF(survey_frozen!$P$2:$P$251,$A191&amp;"|"&amp;$B191)&gt;0,"Y",""))</f>
        <v/>
      </c>
      <c r="BD191" s="30" t="str">
        <f aca="false">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ustomFormat="false" ht="15" hidden="false" customHeight="false" outlineLevel="0" collapsed="false">
      <c r="C192" s="11"/>
      <c r="D192" s="10"/>
      <c r="E192" s="11"/>
      <c r="H192" s="30" t="str">
        <f aca="false">IF($A192="","",IFERROR(IF(INDEX(campaigns!$B$2:$B$51,MATCH($A192,campaigns!$A$2:$A$51,0))="","",INDEX(campaigns!$B$2:$B$51,MATCH($A192,campaigns!$A$2:$A$51,0))),""))</f>
        <v/>
      </c>
      <c r="I192" s="31" t="str">
        <f aca="false">IF($A192="","",IFERROR(IF(INDEX(campaigns!$BG$2:$BG$51,MATCH($A192,campaigns!$A$2:$A$51,0))="","",INDEX(campaigns!$BG$2:$BG$51,MATCH($A192,campaigns!$A$2:$A$51,0))),""))</f>
        <v/>
      </c>
      <c r="J192" s="30" t="str">
        <f aca="false">IF($A192="","",IFERROR(IF(INDEX(campaigns!$BE$2:$BE$51,MATCH($A192,campaigns!$A$2:$A$51,0))="","",INDEX(campaigns!$BE$2:$BE$51,MATCH($A192,campaigns!$A$2:$A$51,0))),""))</f>
        <v/>
      </c>
      <c r="K192" s="30" t="str">
        <f aca="false">IF($B192="","",IFERROR(IF(INDEX(offices!$O$2:$O$61,MATCH($B192,offices!$A$2:$A$61,0))="","",INDEX(offices!$O$2:$O$61,MATCH($B192,offices!$A$2:$A$61,0))),""))</f>
        <v/>
      </c>
      <c r="L192" s="30" t="str">
        <f aca="false">IF($A192="","",IF($Q192="N","",COUNTIFS($A$2:$A192,$A192,$Q$2:$Q192,"&lt;&gt;N")))</f>
        <v/>
      </c>
      <c r="M192" s="30" t="str">
        <f aca="false">IF(OR($A192="",$L192=""),"",IF(AND(config!$B$34="names_if_public",IFERROR(IF(INDEX(offices!$AG$2:$AG$61,MATCH($B192,offices!$A$2:$A$61,0))="","",INDEX(offices!$AG$2:$AG$61,MATCH($B192,offices!$A$2:$A$61,0))),"")="Y"),$K192,CHAR(64+$L192)))</f>
        <v/>
      </c>
      <c r="N192" s="30" t="str">
        <f aca="false">IF(OR($A192="",$I192=""),"",COUNTIFS(stops!$B$2:$B$151,$B192,stops!$P$2:$P$151,"&lt;"&amp;$I192,stops!$L$2:$L$151,"&lt;&gt;not_delivered")+1)</f>
        <v/>
      </c>
      <c r="O192" s="30" t="str">
        <f aca="false">IF($A192="","",IF(N($N192)&lt;=config!$B$29,"explicit","opt-out"))</f>
        <v/>
      </c>
      <c r="P192" s="30" t="str">
        <f aca="false">IF($A192="","",IF($O192="explicit",IF($D192="yes","Y",IF($D192="no","N","pending")),IF($D192="no","N",IF(AND($C192&lt;&gt;"",$I192&lt;&gt;"",$C192&lt;=WORKDAY(N($I192),-5,calendar!$A$2:$A$80)),"Y","pending"))))</f>
        <v/>
      </c>
      <c r="Q192" s="30" t="str">
        <f aca="false">IF($A192="","",IF($P192="N","N",IF($P192&lt;&gt;"Y","pending",IF(AND((COUNTIFS(stops!$A$2:$A$151,$H192,stops!$B$2:$B$151,$B192,stops!$L$2:$L$151,"declined")+COUNTIFS(stops!$A$2:$A$151,$H192,stops!$B$2:$B$151,$B192,stops!$L$2:$L$151,"building_refused")+COUNTIFS(stops!$A$2:$A$151,$H192,stops!$B$2:$B$151,$B192,stops!$L$2:$L$151,"not_delivered"))&gt;0,N($U192)=0),"N","Y"))))</f>
        <v/>
      </c>
      <c r="R192" s="30" t="str">
        <f aca="false">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30" t="str">
        <f aca="false">IF($A192="","",IF($G192&lt;&gt;"",$G192,IFERROR(IF(INDEX(offices!$AM$2:$AM$61,MATCH($B192,offices!$A$2:$A$61,0))="","",INDEX(offices!$AM$2:$AM$61,MATCH($B192,offices!$A$2:$A$61,0))),"")))</f>
        <v/>
      </c>
      <c r="T192" s="30" t="str">
        <f aca="false">IF($A192="","",$A192&amp;"."&amp;$B192)</f>
        <v/>
      </c>
      <c r="U192" s="30" t="str">
        <f aca="false">IF($A192="","",SUMIFS(inventory!$G$2:$G$801,inventory!$C$2:$C$801,$A192,inventory!$D$2:$D$801,$B192,inventory!$E$2:$E$801,"delivered"))</f>
        <v/>
      </c>
      <c r="V192" s="37" t="str">
        <f aca="false">IF($A192="","",IFERROR(1/(1/SUMPRODUCT(MAX((inventory!$C$2:$C$801=$A192)*(inventory!$D$2:$D$801=$B192)*(inventory!$E$2:$E$801="delivered")*(inventory!$A$2:$A$801+inventory!$B$2:$B$801)))),""))</f>
        <v/>
      </c>
      <c r="W192" s="30" t="str">
        <f aca="false">IF($A192="","",IFERROR(IF(INDEX(inventory!$J$2:$J$801,MATCH($A192&amp;"|"&amp;$B192&amp;"|delivered",inventory!$R$2:$R$801,0))="","",INDEX(inventory!$J$2:$J$801,MATCH($A192&amp;"|"&amp;$B192&amp;"|delivered",inventory!$R$2:$R$801,0))),""))</f>
        <v/>
      </c>
      <c r="X192" s="30" t="str">
        <f aca="false">IF($A192="","",IFERROR(IF(INDEX(photos!$H$2:$H$701,MATCH($A192&amp;"|"&amp;$B192&amp;"|placement|Y",photos!$R$2:$R$701,0))="","",INDEX(photos!$H$2:$H$701,MATCH($A192&amp;"|"&amp;$B192&amp;"|placement|Y",photos!$R$2:$R$701,0))),""))</f>
        <v/>
      </c>
      <c r="Y192" s="31" t="str">
        <f aca="false">IF($A192="","",IFERROR(IF(INDEX(photos!$E$2:$E$701,MATCH($A192&amp;"|"&amp;$B192&amp;"|placement|Y",photos!$R$2:$R$701,0))="","",INDEX(photos!$E$2:$E$701,MATCH($A192&amp;"|"&amp;$B192&amp;"|placement|Y",photos!$R$2:$R$701,0))),""))</f>
        <v/>
      </c>
      <c r="Z192" s="30" t="str">
        <f aca="false">IF($A192="","",IF(COUNTIFS(counts!$C$2:$C$701,$A192,counts!$D$2:$D$701,$B192,counts!$E$2:$E$701,"placed")=0,"",SUMIFS(counts!$F$2:$F$701,counts!$C$2:$C$701,$A192,counts!$D$2:$D$701,$B192,counts!$E$2:$E$701,"placed")))</f>
        <v/>
      </c>
      <c r="AA192" s="30" t="str">
        <f aca="false">IF($A192="","",IF($Y192="",0,N($Z192)))</f>
        <v/>
      </c>
      <c r="AB192" s="30" t="str">
        <f aca="false">IF($A192="","",IF(OR($Y192="",$I192=""),"N",IF($Y192&lt;=WORKDAY(N($I192),1,calendar!$A$2:$A$80),"Y","N")))</f>
        <v/>
      </c>
      <c r="AC192" s="33" t="str">
        <f aca="false">IF(OR($A192="",$V192="",$Y192=""),"",ROUND(($Y192+N(IFERROR(IF(INDEX(photos!$F$2:$F$701,MATCH($A192&amp;"|"&amp;$B192&amp;"|placement|Y",photos!$R$2:$R$701,0))="","",INDEX(photos!$F$2:$F$701,MATCH($A192&amp;"|"&amp;$B192&amp;"|placement|Y",photos!$R$2:$R$701,0))),""))-$V192)*24,1))</f>
        <v/>
      </c>
      <c r="AD192" s="30" t="str">
        <f aca="false">IF($A192="","",SUMIFS(inventory!$G$2:$G$801,inventory!$C$2:$C$801,$A192,inventory!$D$2:$D$801,$B192,inventory!$E$2:$E$801,"topped_up"))</f>
        <v/>
      </c>
      <c r="AE192" s="30" t="str">
        <f aca="false">IF($A192="","",IF(COUNTIFS(counts!$C$2:$C$701,$A192,counts!$D$2:$D$701,$B192,counts!$E$2:$E$701,"remaining_day3")=0,"",SUMIFS(counts!$F$2:$F$701,counts!$C$2:$C$701,$A192,counts!$D$2:$D$701,$B192,counts!$E$2:$E$701,"remaining_day3")))</f>
        <v/>
      </c>
      <c r="AF192" s="30" t="str">
        <f aca="false">IF($A192="","",IF(COUNTIFS(counts!$C$2:$C$701,$A192,counts!$D$2:$D$701,$B192,counts!$E$2:$E$701,"remaining_day5")=0,"",SUMIFS(counts!$F$2:$F$701,counts!$C$2:$C$701,$A192,counts!$D$2:$D$701,$B192,counts!$E$2:$E$701,"remaining_day5")))</f>
        <v/>
      </c>
      <c r="AG192" s="30" t="str">
        <f aca="false">IF(OR($A192="",$AF192=""),"",MAX(0,$AA192+$AD192-$AF192))</f>
        <v/>
      </c>
      <c r="AH192" s="30" t="str">
        <f aca="false">IF(OR($A192="",$AI192=""),"",IFERROR(IF(INDEX(photos!$H$2:$H$701,MATCH($A192&amp;"|"&amp;$B192&amp;"|later|Y|"&amp;$AI192,photos!$S$2:$S$701,0))="","",INDEX(photos!$H$2:$H$701,MATCH($A192&amp;"|"&amp;$B192&amp;"|later|Y|"&amp;$AI192,photos!$S$2:$S$701,0))),""))</f>
        <v/>
      </c>
      <c r="AI192" s="31" t="str">
        <f aca="false">IF($A192="","",IFERROR(1/(1/SUMPRODUCT(MAX((photos!$B$2:$B$701=$A192)*(photos!$C$2:$C$701=$B192)*(photos!$D$2:$D$701="later")*(photos!$O$2:$O$701="Y")*photos!$E$2:$E$701))),""))</f>
        <v/>
      </c>
      <c r="AJ192" s="30" t="str">
        <f aca="false">IF(OR($A192="",$AI192="",$I192=""),"",NETWORKDAYS($I192,$AI192,calendar!$A$2:$A$80))</f>
        <v/>
      </c>
      <c r="AK192" s="30" t="str">
        <f aca="false">IF($A192="","",IF(AND($X192&lt;&gt;"",$AH192&lt;&gt;""),"Y","N"))</f>
        <v/>
      </c>
      <c r="AL192" s="30" t="str">
        <f aca="true">IF(OR($A192="",$I192=""),"",IF($BC192="Y",SUMIFS(survey_frozen!$C$2:$C$251,survey_frozen!$P$2:$P$251,$A192&amp;"|"&amp;$B192),IFERROR(COUNTIFS(INDIRECT("'"&amp;$A192&amp;"'!$B$2:$B$501"),$T192,INDIRECT("'"&amp;$A192&amp;"'!$A$2:$A$501"),"&gt;="&amp;$I192,INDIRECT("'"&amp;$A192&amp;"'!$A$2:$A$501"),"&lt;"&amp;($BA192+1)),0)))</f>
        <v/>
      </c>
      <c r="AM192" s="30" t="str">
        <f aca="true">IF(OR($A192="",$I192=""),"",IF($BC192="Y",SUMIFS(survey_frozen!$D$2:$D$251,survey_frozen!$P$2:$P$251,$A192&amp;"|"&amp;$B192),IFERROR(COUNTIFS(INDIRECT("'"&amp;$A192&amp;"'!$B$2:$B$501"),$T192,INDIRECT("'"&amp;$A192&amp;"'!$A$2:$A$501"),"&gt;="&amp;$I192,INDIRECT("'"&amp;$A192&amp;"'!$A$2:$A$501"),"&lt;"&amp;($BA192+1),INDIRECT("'"&amp;$A192&amp;"'!$C$2:$C$501"),"Yes"),0)))</f>
        <v/>
      </c>
      <c r="AN192" s="30" t="str">
        <f aca="false">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30" t="str">
        <f aca="false">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30" t="str">
        <f aca="true">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30" t="str">
        <f aca="true">IF(OR($A192="",$I192=""),"",IF($BC192="Y",SUMIFS(survey_frozen!$E$2:$E$251,survey_frozen!$P$2:$P$251,$A192&amp;"|"&amp;$B192),IFERROR(COUNTIFS(INDIRECT("'"&amp;$A192&amp;"'!$B$2:$B$501"),$T192,INDIRECT("'"&amp;$A192&amp;"'!$A$2:$A$501"),"&gt;="&amp;$I192,INDIRECT("'"&amp;$A192&amp;"'!$A$2:$A$501"),"&lt;"&amp;($BA192+1),INDIRECT("'"&amp;$A192&amp;"'!$F$2:$F$501"),"Didn't see it"),0)))</f>
        <v/>
      </c>
      <c r="AR192" s="30" t="str">
        <f aca="true">IF(OR($A192="",$I192=""),"",IF($BC192="Y",SUMIFS(survey_frozen!$F$2:$F$251,survey_frozen!$P$2:$P$251,$A192&amp;"|"&amp;$B192),IFERROR(COUNTIFS(INDIRECT("'"&amp;$A192&amp;"'!$B$2:$B$501"),$T192,INDIRECT("'"&amp;$A192&amp;"'!$A$2:$A$501"),"&gt;="&amp;$I192,INDIRECT("'"&amp;$A192&amp;"'!$A$2:$A$501"),"&lt;"&amp;($BA192+1),INDIRECT("'"&amp;$A192&amp;"'!$F$2:$F$501"),"Not for me"),0)))</f>
        <v/>
      </c>
      <c r="AS192" s="30" t="str">
        <f aca="true">IF(OR($A192="",$I192=""),"",IF($BC192="Y",SUMIFS(survey_frozen!$G$2:$G$251,survey_frozen!$P$2:$P$251,$A192&amp;"|"&amp;$B192),IFERROR(COUNTIFS(INDIRECT("'"&amp;$A192&amp;"'!$B$2:$B$501"),$T192,INDIRECT("'"&amp;$A192&amp;"'!$A$2:$A$501"),"&gt;="&amp;$I192,INDIRECT("'"&amp;$A192&amp;"'!$A$2:$A$501"),"&lt;"&amp;($BA192+1),INDIRECT("'"&amp;$A192&amp;"'!$F$2:$F$501"),"Gone by the time I looked"),0)))</f>
        <v/>
      </c>
      <c r="AT192" s="30" t="str">
        <f aca="true">IF(OR($A192="",$I192=""),"",IF($BC192="Y",SUMIFS(survey_frozen!$H$2:$H$251,survey_frozen!$P$2:$P$251,$A192&amp;"|"&amp;$B192),IFERROR(COUNTIFS(INDIRECT("'"&amp;$A192&amp;"'!$B$2:$B$501"),$T192,INDIRECT("'"&amp;$A192&amp;"'!$A$2:$A$501"),"&gt;="&amp;$I192,INDIRECT("'"&amp;$A192&amp;"'!$A$2:$A$501"),"&lt;"&amp;($BA192+1),INDIRECT("'"&amp;$A192&amp;"'!$D$2:$D$501"),"&gt;=1"),0)))</f>
        <v/>
      </c>
      <c r="AU192" s="30" t="str">
        <f aca="true">IF(OR($A192="",$I192=""),"",IF($BC192="Y",SUMIFS(survey_frozen!$I$2:$I$251,survey_frozen!$P$2:$P$251,$A192&amp;"|"&amp;$B192),IFERROR(SUMIFS(INDIRECT("'"&amp;$A192&amp;"'!$D$2:$D$501"),INDIRECT("'"&amp;$A192&amp;"'!$B$2:$B$501"),$T192,INDIRECT("'"&amp;$A192&amp;"'!$A$2:$A$501"),"&gt;="&amp;$I192,INDIRECT("'"&amp;$A192&amp;"'!$A$2:$A$501"),"&lt;"&amp;($BA192+1)),0)))</f>
        <v/>
      </c>
      <c r="AV192" s="30" t="str">
        <f aca="true">IF(OR($A192="",$I192=""),"",IF($BC192="Y",SUMIFS(survey_frozen!$J$2:$J$251,survey_frozen!$P$2:$P$251,$A192&amp;"|"&amp;$B192),IFERROR(COUNTIFS(INDIRECT("'"&amp;$A192&amp;"'!$B$2:$B$501"),$T192,INDIRECT("'"&amp;$A192&amp;"'!$A$2:$A$501"),"&gt;="&amp;$I192,INDIRECT("'"&amp;$A192&amp;"'!$A$2:$A$501"),"&lt;"&amp;($BA192+1),INDIRECT("'"&amp;$A192&amp;"'!$E$2:$E$501"),"Yes"),0)))</f>
        <v/>
      </c>
      <c r="AW192" s="30" t="str">
        <f aca="true">IF(OR($A192="",$I192=""),"",IF($BC192="Y",SUMIFS(survey_frozen!$K$2:$K$251,survey_frozen!$P$2:$P$251,$A192&amp;"|"&amp;$B192),IFERROR(COUNTIFS(INDIRECT("'"&amp;$A192&amp;"'!$B$2:$B$501"),$T192,INDIRECT("'"&amp;$A192&amp;"'!$A$2:$A$501"),"&gt;="&amp;$I192,INDIRECT("'"&amp;$A192&amp;"'!$A$2:$A$501"),"&lt;"&amp;($BA192+1),INDIRECT("'"&amp;$A192&amp;"'!$E$2:$E$501"),"Maybe"),0)))</f>
        <v/>
      </c>
      <c r="AX192" s="30" t="str">
        <f aca="true">IF(OR($A192="",$I192=""),"",IF($BC192="Y",SUMIFS(survey_frozen!$L$2:$L$251,survey_frozen!$P$2:$P$251,$A192&amp;"|"&amp;$B192),IFERROR(COUNTIFS(INDIRECT("'"&amp;$A192&amp;"'!$B$2:$B$501"),$T192,INDIRECT("'"&amp;$A192&amp;"'!$A$2:$A$501"),"&gt;="&amp;$I192,INDIRECT("'"&amp;$A192&amp;"'!$A$2:$A$501"),"&lt;"&amp;($BA192+1),INDIRECT("'"&amp;$A192&amp;"'!$E$2:$E$501"),"No"),0)))</f>
        <v/>
      </c>
      <c r="AY192" s="30" t="str">
        <f aca="true">IF(OR($A192="",$I192=""),"",IF($BC192="Y",SUMIFS(survey_frozen!$M$2:$M$251,survey_frozen!$P$2:$P$251,$A192&amp;"|"&amp;$B192),IFERROR(COUNTIFS(INDIRECT("'"&amp;$A192&amp;"'!$B$2:$B$501"),$T192,INDIRECT("'"&amp;$A192&amp;"'!$A$2:$A$501"),"&gt;="&amp;$I192,INDIRECT("'"&amp;$A192&amp;"'!$A$2:$A$501"),"&lt;"&amp;($BA192+1),INDIRECT("'"&amp;$A192&amp;"'!$G$2:$G$501"),"&lt;&gt;"),0)))</f>
        <v/>
      </c>
      <c r="AZ192" s="30" t="str">
        <f aca="false">IF($A192="","",$A192&amp;"|"&amp;$L192)</f>
        <v/>
      </c>
      <c r="BA192" s="31" t="str">
        <f aca="false">IF($A192="","",IFERROR(IF(INDEX(drops!$R$2:$R$21,MATCH($H192,drops!$A$2:$A$21,0))="","",INDEX(drops!$R$2:$R$21,MATCH($H192,drops!$A$2:$A$21,0))),""))</f>
        <v/>
      </c>
      <c r="BB192" s="30" t="n">
        <f aca="false">IF(OR($A192="",$Q192&lt;&gt;"Y"),1000000,N($AL192))</f>
        <v>1000000</v>
      </c>
      <c r="BC192" s="30" t="str">
        <f aca="false">IF($A192="","",IF(COUNTIF(survey_frozen!$P$2:$P$251,$A192&amp;"|"&amp;$B192)&gt;0,"Y",""))</f>
        <v/>
      </c>
      <c r="BD192" s="30" t="str">
        <f aca="false">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ustomFormat="false" ht="15" hidden="false" customHeight="false" outlineLevel="0" collapsed="false">
      <c r="C193" s="11"/>
      <c r="D193" s="10"/>
      <c r="E193" s="11"/>
      <c r="H193" s="30" t="str">
        <f aca="false">IF($A193="","",IFERROR(IF(INDEX(campaigns!$B$2:$B$51,MATCH($A193,campaigns!$A$2:$A$51,0))="","",INDEX(campaigns!$B$2:$B$51,MATCH($A193,campaigns!$A$2:$A$51,0))),""))</f>
        <v/>
      </c>
      <c r="I193" s="31" t="str">
        <f aca="false">IF($A193="","",IFERROR(IF(INDEX(campaigns!$BG$2:$BG$51,MATCH($A193,campaigns!$A$2:$A$51,0))="","",INDEX(campaigns!$BG$2:$BG$51,MATCH($A193,campaigns!$A$2:$A$51,0))),""))</f>
        <v/>
      </c>
      <c r="J193" s="30" t="str">
        <f aca="false">IF($A193="","",IFERROR(IF(INDEX(campaigns!$BE$2:$BE$51,MATCH($A193,campaigns!$A$2:$A$51,0))="","",INDEX(campaigns!$BE$2:$BE$51,MATCH($A193,campaigns!$A$2:$A$51,0))),""))</f>
        <v/>
      </c>
      <c r="K193" s="30" t="str">
        <f aca="false">IF($B193="","",IFERROR(IF(INDEX(offices!$O$2:$O$61,MATCH($B193,offices!$A$2:$A$61,0))="","",INDEX(offices!$O$2:$O$61,MATCH($B193,offices!$A$2:$A$61,0))),""))</f>
        <v/>
      </c>
      <c r="L193" s="30" t="str">
        <f aca="false">IF($A193="","",IF($Q193="N","",COUNTIFS($A$2:$A193,$A193,$Q$2:$Q193,"&lt;&gt;N")))</f>
        <v/>
      </c>
      <c r="M193" s="30" t="str">
        <f aca="false">IF(OR($A193="",$L193=""),"",IF(AND(config!$B$34="names_if_public",IFERROR(IF(INDEX(offices!$AG$2:$AG$61,MATCH($B193,offices!$A$2:$A$61,0))="","",INDEX(offices!$AG$2:$AG$61,MATCH($B193,offices!$A$2:$A$61,0))),"")="Y"),$K193,CHAR(64+$L193)))</f>
        <v/>
      </c>
      <c r="N193" s="30" t="str">
        <f aca="false">IF(OR($A193="",$I193=""),"",COUNTIFS(stops!$B$2:$B$151,$B193,stops!$P$2:$P$151,"&lt;"&amp;$I193,stops!$L$2:$L$151,"&lt;&gt;not_delivered")+1)</f>
        <v/>
      </c>
      <c r="O193" s="30" t="str">
        <f aca="false">IF($A193="","",IF(N($N193)&lt;=config!$B$29,"explicit","opt-out"))</f>
        <v/>
      </c>
      <c r="P193" s="30" t="str">
        <f aca="false">IF($A193="","",IF($O193="explicit",IF($D193="yes","Y",IF($D193="no","N","pending")),IF($D193="no","N",IF(AND($C193&lt;&gt;"",$I193&lt;&gt;"",$C193&lt;=WORKDAY(N($I193),-5,calendar!$A$2:$A$80)),"Y","pending"))))</f>
        <v/>
      </c>
      <c r="Q193" s="30" t="str">
        <f aca="false">IF($A193="","",IF($P193="N","N",IF($P193&lt;&gt;"Y","pending",IF(AND((COUNTIFS(stops!$A$2:$A$151,$H193,stops!$B$2:$B$151,$B193,stops!$L$2:$L$151,"declined")+COUNTIFS(stops!$A$2:$A$151,$H193,stops!$B$2:$B$151,$B193,stops!$L$2:$L$151,"building_refused")+COUNTIFS(stops!$A$2:$A$151,$H193,stops!$B$2:$B$151,$B193,stops!$L$2:$L$151,"not_delivered"))&gt;0,N($U193)=0),"N","Y"))))</f>
        <v/>
      </c>
      <c r="R193" s="30" t="str">
        <f aca="false">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30" t="str">
        <f aca="false">IF($A193="","",IF($G193&lt;&gt;"",$G193,IFERROR(IF(INDEX(offices!$AM$2:$AM$61,MATCH($B193,offices!$A$2:$A$61,0))="","",INDEX(offices!$AM$2:$AM$61,MATCH($B193,offices!$A$2:$A$61,0))),"")))</f>
        <v/>
      </c>
      <c r="T193" s="30" t="str">
        <f aca="false">IF($A193="","",$A193&amp;"."&amp;$B193)</f>
        <v/>
      </c>
      <c r="U193" s="30" t="str">
        <f aca="false">IF($A193="","",SUMIFS(inventory!$G$2:$G$801,inventory!$C$2:$C$801,$A193,inventory!$D$2:$D$801,$B193,inventory!$E$2:$E$801,"delivered"))</f>
        <v/>
      </c>
      <c r="V193" s="37" t="str">
        <f aca="false">IF($A193="","",IFERROR(1/(1/SUMPRODUCT(MAX((inventory!$C$2:$C$801=$A193)*(inventory!$D$2:$D$801=$B193)*(inventory!$E$2:$E$801="delivered")*(inventory!$A$2:$A$801+inventory!$B$2:$B$801)))),""))</f>
        <v/>
      </c>
      <c r="W193" s="30" t="str">
        <f aca="false">IF($A193="","",IFERROR(IF(INDEX(inventory!$J$2:$J$801,MATCH($A193&amp;"|"&amp;$B193&amp;"|delivered",inventory!$R$2:$R$801,0))="","",INDEX(inventory!$J$2:$J$801,MATCH($A193&amp;"|"&amp;$B193&amp;"|delivered",inventory!$R$2:$R$801,0))),""))</f>
        <v/>
      </c>
      <c r="X193" s="30" t="str">
        <f aca="false">IF($A193="","",IFERROR(IF(INDEX(photos!$H$2:$H$701,MATCH($A193&amp;"|"&amp;$B193&amp;"|placement|Y",photos!$R$2:$R$701,0))="","",INDEX(photos!$H$2:$H$701,MATCH($A193&amp;"|"&amp;$B193&amp;"|placement|Y",photos!$R$2:$R$701,0))),""))</f>
        <v/>
      </c>
      <c r="Y193" s="31" t="str">
        <f aca="false">IF($A193="","",IFERROR(IF(INDEX(photos!$E$2:$E$701,MATCH($A193&amp;"|"&amp;$B193&amp;"|placement|Y",photos!$R$2:$R$701,0))="","",INDEX(photos!$E$2:$E$701,MATCH($A193&amp;"|"&amp;$B193&amp;"|placement|Y",photos!$R$2:$R$701,0))),""))</f>
        <v/>
      </c>
      <c r="Z193" s="30" t="str">
        <f aca="false">IF($A193="","",IF(COUNTIFS(counts!$C$2:$C$701,$A193,counts!$D$2:$D$701,$B193,counts!$E$2:$E$701,"placed")=0,"",SUMIFS(counts!$F$2:$F$701,counts!$C$2:$C$701,$A193,counts!$D$2:$D$701,$B193,counts!$E$2:$E$701,"placed")))</f>
        <v/>
      </c>
      <c r="AA193" s="30" t="str">
        <f aca="false">IF($A193="","",IF($Y193="",0,N($Z193)))</f>
        <v/>
      </c>
      <c r="AB193" s="30" t="str">
        <f aca="false">IF($A193="","",IF(OR($Y193="",$I193=""),"N",IF($Y193&lt;=WORKDAY(N($I193),1,calendar!$A$2:$A$80),"Y","N")))</f>
        <v/>
      </c>
      <c r="AC193" s="33" t="str">
        <f aca="false">IF(OR($A193="",$V193="",$Y193=""),"",ROUND(($Y193+N(IFERROR(IF(INDEX(photos!$F$2:$F$701,MATCH($A193&amp;"|"&amp;$B193&amp;"|placement|Y",photos!$R$2:$R$701,0))="","",INDEX(photos!$F$2:$F$701,MATCH($A193&amp;"|"&amp;$B193&amp;"|placement|Y",photos!$R$2:$R$701,0))),""))-$V193)*24,1))</f>
        <v/>
      </c>
      <c r="AD193" s="30" t="str">
        <f aca="false">IF($A193="","",SUMIFS(inventory!$G$2:$G$801,inventory!$C$2:$C$801,$A193,inventory!$D$2:$D$801,$B193,inventory!$E$2:$E$801,"topped_up"))</f>
        <v/>
      </c>
      <c r="AE193" s="30" t="str">
        <f aca="false">IF($A193="","",IF(COUNTIFS(counts!$C$2:$C$701,$A193,counts!$D$2:$D$701,$B193,counts!$E$2:$E$701,"remaining_day3")=0,"",SUMIFS(counts!$F$2:$F$701,counts!$C$2:$C$701,$A193,counts!$D$2:$D$701,$B193,counts!$E$2:$E$701,"remaining_day3")))</f>
        <v/>
      </c>
      <c r="AF193" s="30" t="str">
        <f aca="false">IF($A193="","",IF(COUNTIFS(counts!$C$2:$C$701,$A193,counts!$D$2:$D$701,$B193,counts!$E$2:$E$701,"remaining_day5")=0,"",SUMIFS(counts!$F$2:$F$701,counts!$C$2:$C$701,$A193,counts!$D$2:$D$701,$B193,counts!$E$2:$E$701,"remaining_day5")))</f>
        <v/>
      </c>
      <c r="AG193" s="30" t="str">
        <f aca="false">IF(OR($A193="",$AF193=""),"",MAX(0,$AA193+$AD193-$AF193))</f>
        <v/>
      </c>
      <c r="AH193" s="30" t="str">
        <f aca="false">IF(OR($A193="",$AI193=""),"",IFERROR(IF(INDEX(photos!$H$2:$H$701,MATCH($A193&amp;"|"&amp;$B193&amp;"|later|Y|"&amp;$AI193,photos!$S$2:$S$701,0))="","",INDEX(photos!$H$2:$H$701,MATCH($A193&amp;"|"&amp;$B193&amp;"|later|Y|"&amp;$AI193,photos!$S$2:$S$701,0))),""))</f>
        <v/>
      </c>
      <c r="AI193" s="31" t="str">
        <f aca="false">IF($A193="","",IFERROR(1/(1/SUMPRODUCT(MAX((photos!$B$2:$B$701=$A193)*(photos!$C$2:$C$701=$B193)*(photos!$D$2:$D$701="later")*(photos!$O$2:$O$701="Y")*photos!$E$2:$E$701))),""))</f>
        <v/>
      </c>
      <c r="AJ193" s="30" t="str">
        <f aca="false">IF(OR($A193="",$AI193="",$I193=""),"",NETWORKDAYS($I193,$AI193,calendar!$A$2:$A$80))</f>
        <v/>
      </c>
      <c r="AK193" s="30" t="str">
        <f aca="false">IF($A193="","",IF(AND($X193&lt;&gt;"",$AH193&lt;&gt;""),"Y","N"))</f>
        <v/>
      </c>
      <c r="AL193" s="30" t="str">
        <f aca="true">IF(OR($A193="",$I193=""),"",IF($BC193="Y",SUMIFS(survey_frozen!$C$2:$C$251,survey_frozen!$P$2:$P$251,$A193&amp;"|"&amp;$B193),IFERROR(COUNTIFS(INDIRECT("'"&amp;$A193&amp;"'!$B$2:$B$501"),$T193,INDIRECT("'"&amp;$A193&amp;"'!$A$2:$A$501"),"&gt;="&amp;$I193,INDIRECT("'"&amp;$A193&amp;"'!$A$2:$A$501"),"&lt;"&amp;($BA193+1)),0)))</f>
        <v/>
      </c>
      <c r="AM193" s="30" t="str">
        <f aca="true">IF(OR($A193="",$I193=""),"",IF($BC193="Y",SUMIFS(survey_frozen!$D$2:$D$251,survey_frozen!$P$2:$P$251,$A193&amp;"|"&amp;$B193),IFERROR(COUNTIFS(INDIRECT("'"&amp;$A193&amp;"'!$B$2:$B$501"),$T193,INDIRECT("'"&amp;$A193&amp;"'!$A$2:$A$501"),"&gt;="&amp;$I193,INDIRECT("'"&amp;$A193&amp;"'!$A$2:$A$501"),"&lt;"&amp;($BA193+1),INDIRECT("'"&amp;$A193&amp;"'!$C$2:$C$501"),"Yes"),0)))</f>
        <v/>
      </c>
      <c r="AN193" s="30" t="str">
        <f aca="false">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30" t="str">
        <f aca="false">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30" t="str">
        <f aca="true">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30" t="str">
        <f aca="true">IF(OR($A193="",$I193=""),"",IF($BC193="Y",SUMIFS(survey_frozen!$E$2:$E$251,survey_frozen!$P$2:$P$251,$A193&amp;"|"&amp;$B193),IFERROR(COUNTIFS(INDIRECT("'"&amp;$A193&amp;"'!$B$2:$B$501"),$T193,INDIRECT("'"&amp;$A193&amp;"'!$A$2:$A$501"),"&gt;="&amp;$I193,INDIRECT("'"&amp;$A193&amp;"'!$A$2:$A$501"),"&lt;"&amp;($BA193+1),INDIRECT("'"&amp;$A193&amp;"'!$F$2:$F$501"),"Didn't see it"),0)))</f>
        <v/>
      </c>
      <c r="AR193" s="30" t="str">
        <f aca="true">IF(OR($A193="",$I193=""),"",IF($BC193="Y",SUMIFS(survey_frozen!$F$2:$F$251,survey_frozen!$P$2:$P$251,$A193&amp;"|"&amp;$B193),IFERROR(COUNTIFS(INDIRECT("'"&amp;$A193&amp;"'!$B$2:$B$501"),$T193,INDIRECT("'"&amp;$A193&amp;"'!$A$2:$A$501"),"&gt;="&amp;$I193,INDIRECT("'"&amp;$A193&amp;"'!$A$2:$A$501"),"&lt;"&amp;($BA193+1),INDIRECT("'"&amp;$A193&amp;"'!$F$2:$F$501"),"Not for me"),0)))</f>
        <v/>
      </c>
      <c r="AS193" s="30" t="str">
        <f aca="true">IF(OR($A193="",$I193=""),"",IF($BC193="Y",SUMIFS(survey_frozen!$G$2:$G$251,survey_frozen!$P$2:$P$251,$A193&amp;"|"&amp;$B193),IFERROR(COUNTIFS(INDIRECT("'"&amp;$A193&amp;"'!$B$2:$B$501"),$T193,INDIRECT("'"&amp;$A193&amp;"'!$A$2:$A$501"),"&gt;="&amp;$I193,INDIRECT("'"&amp;$A193&amp;"'!$A$2:$A$501"),"&lt;"&amp;($BA193+1),INDIRECT("'"&amp;$A193&amp;"'!$F$2:$F$501"),"Gone by the time I looked"),0)))</f>
        <v/>
      </c>
      <c r="AT193" s="30" t="str">
        <f aca="true">IF(OR($A193="",$I193=""),"",IF($BC193="Y",SUMIFS(survey_frozen!$H$2:$H$251,survey_frozen!$P$2:$P$251,$A193&amp;"|"&amp;$B193),IFERROR(COUNTIFS(INDIRECT("'"&amp;$A193&amp;"'!$B$2:$B$501"),$T193,INDIRECT("'"&amp;$A193&amp;"'!$A$2:$A$501"),"&gt;="&amp;$I193,INDIRECT("'"&amp;$A193&amp;"'!$A$2:$A$501"),"&lt;"&amp;($BA193+1),INDIRECT("'"&amp;$A193&amp;"'!$D$2:$D$501"),"&gt;=1"),0)))</f>
        <v/>
      </c>
      <c r="AU193" s="30" t="str">
        <f aca="true">IF(OR($A193="",$I193=""),"",IF($BC193="Y",SUMIFS(survey_frozen!$I$2:$I$251,survey_frozen!$P$2:$P$251,$A193&amp;"|"&amp;$B193),IFERROR(SUMIFS(INDIRECT("'"&amp;$A193&amp;"'!$D$2:$D$501"),INDIRECT("'"&amp;$A193&amp;"'!$B$2:$B$501"),$T193,INDIRECT("'"&amp;$A193&amp;"'!$A$2:$A$501"),"&gt;="&amp;$I193,INDIRECT("'"&amp;$A193&amp;"'!$A$2:$A$501"),"&lt;"&amp;($BA193+1)),0)))</f>
        <v/>
      </c>
      <c r="AV193" s="30" t="str">
        <f aca="true">IF(OR($A193="",$I193=""),"",IF($BC193="Y",SUMIFS(survey_frozen!$J$2:$J$251,survey_frozen!$P$2:$P$251,$A193&amp;"|"&amp;$B193),IFERROR(COUNTIFS(INDIRECT("'"&amp;$A193&amp;"'!$B$2:$B$501"),$T193,INDIRECT("'"&amp;$A193&amp;"'!$A$2:$A$501"),"&gt;="&amp;$I193,INDIRECT("'"&amp;$A193&amp;"'!$A$2:$A$501"),"&lt;"&amp;($BA193+1),INDIRECT("'"&amp;$A193&amp;"'!$E$2:$E$501"),"Yes"),0)))</f>
        <v/>
      </c>
      <c r="AW193" s="30" t="str">
        <f aca="true">IF(OR($A193="",$I193=""),"",IF($BC193="Y",SUMIFS(survey_frozen!$K$2:$K$251,survey_frozen!$P$2:$P$251,$A193&amp;"|"&amp;$B193),IFERROR(COUNTIFS(INDIRECT("'"&amp;$A193&amp;"'!$B$2:$B$501"),$T193,INDIRECT("'"&amp;$A193&amp;"'!$A$2:$A$501"),"&gt;="&amp;$I193,INDIRECT("'"&amp;$A193&amp;"'!$A$2:$A$501"),"&lt;"&amp;($BA193+1),INDIRECT("'"&amp;$A193&amp;"'!$E$2:$E$501"),"Maybe"),0)))</f>
        <v/>
      </c>
      <c r="AX193" s="30" t="str">
        <f aca="true">IF(OR($A193="",$I193=""),"",IF($BC193="Y",SUMIFS(survey_frozen!$L$2:$L$251,survey_frozen!$P$2:$P$251,$A193&amp;"|"&amp;$B193),IFERROR(COUNTIFS(INDIRECT("'"&amp;$A193&amp;"'!$B$2:$B$501"),$T193,INDIRECT("'"&amp;$A193&amp;"'!$A$2:$A$501"),"&gt;="&amp;$I193,INDIRECT("'"&amp;$A193&amp;"'!$A$2:$A$501"),"&lt;"&amp;($BA193+1),INDIRECT("'"&amp;$A193&amp;"'!$E$2:$E$501"),"No"),0)))</f>
        <v/>
      </c>
      <c r="AY193" s="30" t="str">
        <f aca="true">IF(OR($A193="",$I193=""),"",IF($BC193="Y",SUMIFS(survey_frozen!$M$2:$M$251,survey_frozen!$P$2:$P$251,$A193&amp;"|"&amp;$B193),IFERROR(COUNTIFS(INDIRECT("'"&amp;$A193&amp;"'!$B$2:$B$501"),$T193,INDIRECT("'"&amp;$A193&amp;"'!$A$2:$A$501"),"&gt;="&amp;$I193,INDIRECT("'"&amp;$A193&amp;"'!$A$2:$A$501"),"&lt;"&amp;($BA193+1),INDIRECT("'"&amp;$A193&amp;"'!$G$2:$G$501"),"&lt;&gt;"),0)))</f>
        <v/>
      </c>
      <c r="AZ193" s="30" t="str">
        <f aca="false">IF($A193="","",$A193&amp;"|"&amp;$L193)</f>
        <v/>
      </c>
      <c r="BA193" s="31" t="str">
        <f aca="false">IF($A193="","",IFERROR(IF(INDEX(drops!$R$2:$R$21,MATCH($H193,drops!$A$2:$A$21,0))="","",INDEX(drops!$R$2:$R$21,MATCH($H193,drops!$A$2:$A$21,0))),""))</f>
        <v/>
      </c>
      <c r="BB193" s="30" t="n">
        <f aca="false">IF(OR($A193="",$Q193&lt;&gt;"Y"),1000000,N($AL193))</f>
        <v>1000000</v>
      </c>
      <c r="BC193" s="30" t="str">
        <f aca="false">IF($A193="","",IF(COUNTIF(survey_frozen!$P$2:$P$251,$A193&amp;"|"&amp;$B193)&gt;0,"Y",""))</f>
        <v/>
      </c>
      <c r="BD193" s="30" t="str">
        <f aca="false">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ustomFormat="false" ht="15" hidden="false" customHeight="false" outlineLevel="0" collapsed="false">
      <c r="C194" s="11"/>
      <c r="D194" s="10"/>
      <c r="E194" s="11"/>
      <c r="H194" s="30" t="str">
        <f aca="false">IF($A194="","",IFERROR(IF(INDEX(campaigns!$B$2:$B$51,MATCH($A194,campaigns!$A$2:$A$51,0))="","",INDEX(campaigns!$B$2:$B$51,MATCH($A194,campaigns!$A$2:$A$51,0))),""))</f>
        <v/>
      </c>
      <c r="I194" s="31" t="str">
        <f aca="false">IF($A194="","",IFERROR(IF(INDEX(campaigns!$BG$2:$BG$51,MATCH($A194,campaigns!$A$2:$A$51,0))="","",INDEX(campaigns!$BG$2:$BG$51,MATCH($A194,campaigns!$A$2:$A$51,0))),""))</f>
        <v/>
      </c>
      <c r="J194" s="30" t="str">
        <f aca="false">IF($A194="","",IFERROR(IF(INDEX(campaigns!$BE$2:$BE$51,MATCH($A194,campaigns!$A$2:$A$51,0))="","",INDEX(campaigns!$BE$2:$BE$51,MATCH($A194,campaigns!$A$2:$A$51,0))),""))</f>
        <v/>
      </c>
      <c r="K194" s="30" t="str">
        <f aca="false">IF($B194="","",IFERROR(IF(INDEX(offices!$O$2:$O$61,MATCH($B194,offices!$A$2:$A$61,0))="","",INDEX(offices!$O$2:$O$61,MATCH($B194,offices!$A$2:$A$61,0))),""))</f>
        <v/>
      </c>
      <c r="L194" s="30" t="str">
        <f aca="false">IF($A194="","",IF($Q194="N","",COUNTIFS($A$2:$A194,$A194,$Q$2:$Q194,"&lt;&gt;N")))</f>
        <v/>
      </c>
      <c r="M194" s="30" t="str">
        <f aca="false">IF(OR($A194="",$L194=""),"",IF(AND(config!$B$34="names_if_public",IFERROR(IF(INDEX(offices!$AG$2:$AG$61,MATCH($B194,offices!$A$2:$A$61,0))="","",INDEX(offices!$AG$2:$AG$61,MATCH($B194,offices!$A$2:$A$61,0))),"")="Y"),$K194,CHAR(64+$L194)))</f>
        <v/>
      </c>
      <c r="N194" s="30" t="str">
        <f aca="false">IF(OR($A194="",$I194=""),"",COUNTIFS(stops!$B$2:$B$151,$B194,stops!$P$2:$P$151,"&lt;"&amp;$I194,stops!$L$2:$L$151,"&lt;&gt;not_delivered")+1)</f>
        <v/>
      </c>
      <c r="O194" s="30" t="str">
        <f aca="false">IF($A194="","",IF(N($N194)&lt;=config!$B$29,"explicit","opt-out"))</f>
        <v/>
      </c>
      <c r="P194" s="30" t="str">
        <f aca="false">IF($A194="","",IF($O194="explicit",IF($D194="yes","Y",IF($D194="no","N","pending")),IF($D194="no","N",IF(AND($C194&lt;&gt;"",$I194&lt;&gt;"",$C194&lt;=WORKDAY(N($I194),-5,calendar!$A$2:$A$80)),"Y","pending"))))</f>
        <v/>
      </c>
      <c r="Q194" s="30" t="str">
        <f aca="false">IF($A194="","",IF($P194="N","N",IF($P194&lt;&gt;"Y","pending",IF(AND((COUNTIFS(stops!$A$2:$A$151,$H194,stops!$B$2:$B$151,$B194,stops!$L$2:$L$151,"declined")+COUNTIFS(stops!$A$2:$A$151,$H194,stops!$B$2:$B$151,$B194,stops!$L$2:$L$151,"building_refused")+COUNTIFS(stops!$A$2:$A$151,$H194,stops!$B$2:$B$151,$B194,stops!$L$2:$L$151,"not_delivered"))&gt;0,N($U194)=0),"N","Y"))))</f>
        <v/>
      </c>
      <c r="R194" s="30" t="str">
        <f aca="false">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30" t="str">
        <f aca="false">IF($A194="","",IF($G194&lt;&gt;"",$G194,IFERROR(IF(INDEX(offices!$AM$2:$AM$61,MATCH($B194,offices!$A$2:$A$61,0))="","",INDEX(offices!$AM$2:$AM$61,MATCH($B194,offices!$A$2:$A$61,0))),"")))</f>
        <v/>
      </c>
      <c r="T194" s="30" t="str">
        <f aca="false">IF($A194="","",$A194&amp;"."&amp;$B194)</f>
        <v/>
      </c>
      <c r="U194" s="30" t="str">
        <f aca="false">IF($A194="","",SUMIFS(inventory!$G$2:$G$801,inventory!$C$2:$C$801,$A194,inventory!$D$2:$D$801,$B194,inventory!$E$2:$E$801,"delivered"))</f>
        <v/>
      </c>
      <c r="V194" s="37" t="str">
        <f aca="false">IF($A194="","",IFERROR(1/(1/SUMPRODUCT(MAX((inventory!$C$2:$C$801=$A194)*(inventory!$D$2:$D$801=$B194)*(inventory!$E$2:$E$801="delivered")*(inventory!$A$2:$A$801+inventory!$B$2:$B$801)))),""))</f>
        <v/>
      </c>
      <c r="W194" s="30" t="str">
        <f aca="false">IF($A194="","",IFERROR(IF(INDEX(inventory!$J$2:$J$801,MATCH($A194&amp;"|"&amp;$B194&amp;"|delivered",inventory!$R$2:$R$801,0))="","",INDEX(inventory!$J$2:$J$801,MATCH($A194&amp;"|"&amp;$B194&amp;"|delivered",inventory!$R$2:$R$801,0))),""))</f>
        <v/>
      </c>
      <c r="X194" s="30" t="str">
        <f aca="false">IF($A194="","",IFERROR(IF(INDEX(photos!$H$2:$H$701,MATCH($A194&amp;"|"&amp;$B194&amp;"|placement|Y",photos!$R$2:$R$701,0))="","",INDEX(photos!$H$2:$H$701,MATCH($A194&amp;"|"&amp;$B194&amp;"|placement|Y",photos!$R$2:$R$701,0))),""))</f>
        <v/>
      </c>
      <c r="Y194" s="31" t="str">
        <f aca="false">IF($A194="","",IFERROR(IF(INDEX(photos!$E$2:$E$701,MATCH($A194&amp;"|"&amp;$B194&amp;"|placement|Y",photos!$R$2:$R$701,0))="","",INDEX(photos!$E$2:$E$701,MATCH($A194&amp;"|"&amp;$B194&amp;"|placement|Y",photos!$R$2:$R$701,0))),""))</f>
        <v/>
      </c>
      <c r="Z194" s="30" t="str">
        <f aca="false">IF($A194="","",IF(COUNTIFS(counts!$C$2:$C$701,$A194,counts!$D$2:$D$701,$B194,counts!$E$2:$E$701,"placed")=0,"",SUMIFS(counts!$F$2:$F$701,counts!$C$2:$C$701,$A194,counts!$D$2:$D$701,$B194,counts!$E$2:$E$701,"placed")))</f>
        <v/>
      </c>
      <c r="AA194" s="30" t="str">
        <f aca="false">IF($A194="","",IF($Y194="",0,N($Z194)))</f>
        <v/>
      </c>
      <c r="AB194" s="30" t="str">
        <f aca="false">IF($A194="","",IF(OR($Y194="",$I194=""),"N",IF($Y194&lt;=WORKDAY(N($I194),1,calendar!$A$2:$A$80),"Y","N")))</f>
        <v/>
      </c>
      <c r="AC194" s="33" t="str">
        <f aca="false">IF(OR($A194="",$V194="",$Y194=""),"",ROUND(($Y194+N(IFERROR(IF(INDEX(photos!$F$2:$F$701,MATCH($A194&amp;"|"&amp;$B194&amp;"|placement|Y",photos!$R$2:$R$701,0))="","",INDEX(photos!$F$2:$F$701,MATCH($A194&amp;"|"&amp;$B194&amp;"|placement|Y",photos!$R$2:$R$701,0))),""))-$V194)*24,1))</f>
        <v/>
      </c>
      <c r="AD194" s="30" t="str">
        <f aca="false">IF($A194="","",SUMIFS(inventory!$G$2:$G$801,inventory!$C$2:$C$801,$A194,inventory!$D$2:$D$801,$B194,inventory!$E$2:$E$801,"topped_up"))</f>
        <v/>
      </c>
      <c r="AE194" s="30" t="str">
        <f aca="false">IF($A194="","",IF(COUNTIFS(counts!$C$2:$C$701,$A194,counts!$D$2:$D$701,$B194,counts!$E$2:$E$701,"remaining_day3")=0,"",SUMIFS(counts!$F$2:$F$701,counts!$C$2:$C$701,$A194,counts!$D$2:$D$701,$B194,counts!$E$2:$E$701,"remaining_day3")))</f>
        <v/>
      </c>
      <c r="AF194" s="30" t="str">
        <f aca="false">IF($A194="","",IF(COUNTIFS(counts!$C$2:$C$701,$A194,counts!$D$2:$D$701,$B194,counts!$E$2:$E$701,"remaining_day5")=0,"",SUMIFS(counts!$F$2:$F$701,counts!$C$2:$C$701,$A194,counts!$D$2:$D$701,$B194,counts!$E$2:$E$701,"remaining_day5")))</f>
        <v/>
      </c>
      <c r="AG194" s="30" t="str">
        <f aca="false">IF(OR($A194="",$AF194=""),"",MAX(0,$AA194+$AD194-$AF194))</f>
        <v/>
      </c>
      <c r="AH194" s="30" t="str">
        <f aca="false">IF(OR($A194="",$AI194=""),"",IFERROR(IF(INDEX(photos!$H$2:$H$701,MATCH($A194&amp;"|"&amp;$B194&amp;"|later|Y|"&amp;$AI194,photos!$S$2:$S$701,0))="","",INDEX(photos!$H$2:$H$701,MATCH($A194&amp;"|"&amp;$B194&amp;"|later|Y|"&amp;$AI194,photos!$S$2:$S$701,0))),""))</f>
        <v/>
      </c>
      <c r="AI194" s="31" t="str">
        <f aca="false">IF($A194="","",IFERROR(1/(1/SUMPRODUCT(MAX((photos!$B$2:$B$701=$A194)*(photos!$C$2:$C$701=$B194)*(photos!$D$2:$D$701="later")*(photos!$O$2:$O$701="Y")*photos!$E$2:$E$701))),""))</f>
        <v/>
      </c>
      <c r="AJ194" s="30" t="str">
        <f aca="false">IF(OR($A194="",$AI194="",$I194=""),"",NETWORKDAYS($I194,$AI194,calendar!$A$2:$A$80))</f>
        <v/>
      </c>
      <c r="AK194" s="30" t="str">
        <f aca="false">IF($A194="","",IF(AND($X194&lt;&gt;"",$AH194&lt;&gt;""),"Y","N"))</f>
        <v/>
      </c>
      <c r="AL194" s="30" t="str">
        <f aca="true">IF(OR($A194="",$I194=""),"",IF($BC194="Y",SUMIFS(survey_frozen!$C$2:$C$251,survey_frozen!$P$2:$P$251,$A194&amp;"|"&amp;$B194),IFERROR(COUNTIFS(INDIRECT("'"&amp;$A194&amp;"'!$B$2:$B$501"),$T194,INDIRECT("'"&amp;$A194&amp;"'!$A$2:$A$501"),"&gt;="&amp;$I194,INDIRECT("'"&amp;$A194&amp;"'!$A$2:$A$501"),"&lt;"&amp;($BA194+1)),0)))</f>
        <v/>
      </c>
      <c r="AM194" s="30" t="str">
        <f aca="true">IF(OR($A194="",$I194=""),"",IF($BC194="Y",SUMIFS(survey_frozen!$D$2:$D$251,survey_frozen!$P$2:$P$251,$A194&amp;"|"&amp;$B194),IFERROR(COUNTIFS(INDIRECT("'"&amp;$A194&amp;"'!$B$2:$B$501"),$T194,INDIRECT("'"&amp;$A194&amp;"'!$A$2:$A$501"),"&gt;="&amp;$I194,INDIRECT("'"&amp;$A194&amp;"'!$A$2:$A$501"),"&lt;"&amp;($BA194+1),INDIRECT("'"&amp;$A194&amp;"'!$C$2:$C$501"),"Yes"),0)))</f>
        <v/>
      </c>
      <c r="AN194" s="30" t="str">
        <f aca="false">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30" t="str">
        <f aca="false">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30" t="str">
        <f aca="true">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30" t="str">
        <f aca="true">IF(OR($A194="",$I194=""),"",IF($BC194="Y",SUMIFS(survey_frozen!$E$2:$E$251,survey_frozen!$P$2:$P$251,$A194&amp;"|"&amp;$B194),IFERROR(COUNTIFS(INDIRECT("'"&amp;$A194&amp;"'!$B$2:$B$501"),$T194,INDIRECT("'"&amp;$A194&amp;"'!$A$2:$A$501"),"&gt;="&amp;$I194,INDIRECT("'"&amp;$A194&amp;"'!$A$2:$A$501"),"&lt;"&amp;($BA194+1),INDIRECT("'"&amp;$A194&amp;"'!$F$2:$F$501"),"Didn't see it"),0)))</f>
        <v/>
      </c>
      <c r="AR194" s="30" t="str">
        <f aca="true">IF(OR($A194="",$I194=""),"",IF($BC194="Y",SUMIFS(survey_frozen!$F$2:$F$251,survey_frozen!$P$2:$P$251,$A194&amp;"|"&amp;$B194),IFERROR(COUNTIFS(INDIRECT("'"&amp;$A194&amp;"'!$B$2:$B$501"),$T194,INDIRECT("'"&amp;$A194&amp;"'!$A$2:$A$501"),"&gt;="&amp;$I194,INDIRECT("'"&amp;$A194&amp;"'!$A$2:$A$501"),"&lt;"&amp;($BA194+1),INDIRECT("'"&amp;$A194&amp;"'!$F$2:$F$501"),"Not for me"),0)))</f>
        <v/>
      </c>
      <c r="AS194" s="30" t="str">
        <f aca="true">IF(OR($A194="",$I194=""),"",IF($BC194="Y",SUMIFS(survey_frozen!$G$2:$G$251,survey_frozen!$P$2:$P$251,$A194&amp;"|"&amp;$B194),IFERROR(COUNTIFS(INDIRECT("'"&amp;$A194&amp;"'!$B$2:$B$501"),$T194,INDIRECT("'"&amp;$A194&amp;"'!$A$2:$A$501"),"&gt;="&amp;$I194,INDIRECT("'"&amp;$A194&amp;"'!$A$2:$A$501"),"&lt;"&amp;($BA194+1),INDIRECT("'"&amp;$A194&amp;"'!$F$2:$F$501"),"Gone by the time I looked"),0)))</f>
        <v/>
      </c>
      <c r="AT194" s="30" t="str">
        <f aca="true">IF(OR($A194="",$I194=""),"",IF($BC194="Y",SUMIFS(survey_frozen!$H$2:$H$251,survey_frozen!$P$2:$P$251,$A194&amp;"|"&amp;$B194),IFERROR(COUNTIFS(INDIRECT("'"&amp;$A194&amp;"'!$B$2:$B$501"),$T194,INDIRECT("'"&amp;$A194&amp;"'!$A$2:$A$501"),"&gt;="&amp;$I194,INDIRECT("'"&amp;$A194&amp;"'!$A$2:$A$501"),"&lt;"&amp;($BA194+1),INDIRECT("'"&amp;$A194&amp;"'!$D$2:$D$501"),"&gt;=1"),0)))</f>
        <v/>
      </c>
      <c r="AU194" s="30" t="str">
        <f aca="true">IF(OR($A194="",$I194=""),"",IF($BC194="Y",SUMIFS(survey_frozen!$I$2:$I$251,survey_frozen!$P$2:$P$251,$A194&amp;"|"&amp;$B194),IFERROR(SUMIFS(INDIRECT("'"&amp;$A194&amp;"'!$D$2:$D$501"),INDIRECT("'"&amp;$A194&amp;"'!$B$2:$B$501"),$T194,INDIRECT("'"&amp;$A194&amp;"'!$A$2:$A$501"),"&gt;="&amp;$I194,INDIRECT("'"&amp;$A194&amp;"'!$A$2:$A$501"),"&lt;"&amp;($BA194+1)),0)))</f>
        <v/>
      </c>
      <c r="AV194" s="30" t="str">
        <f aca="true">IF(OR($A194="",$I194=""),"",IF($BC194="Y",SUMIFS(survey_frozen!$J$2:$J$251,survey_frozen!$P$2:$P$251,$A194&amp;"|"&amp;$B194),IFERROR(COUNTIFS(INDIRECT("'"&amp;$A194&amp;"'!$B$2:$B$501"),$T194,INDIRECT("'"&amp;$A194&amp;"'!$A$2:$A$501"),"&gt;="&amp;$I194,INDIRECT("'"&amp;$A194&amp;"'!$A$2:$A$501"),"&lt;"&amp;($BA194+1),INDIRECT("'"&amp;$A194&amp;"'!$E$2:$E$501"),"Yes"),0)))</f>
        <v/>
      </c>
      <c r="AW194" s="30" t="str">
        <f aca="true">IF(OR($A194="",$I194=""),"",IF($BC194="Y",SUMIFS(survey_frozen!$K$2:$K$251,survey_frozen!$P$2:$P$251,$A194&amp;"|"&amp;$B194),IFERROR(COUNTIFS(INDIRECT("'"&amp;$A194&amp;"'!$B$2:$B$501"),$T194,INDIRECT("'"&amp;$A194&amp;"'!$A$2:$A$501"),"&gt;="&amp;$I194,INDIRECT("'"&amp;$A194&amp;"'!$A$2:$A$501"),"&lt;"&amp;($BA194+1),INDIRECT("'"&amp;$A194&amp;"'!$E$2:$E$501"),"Maybe"),0)))</f>
        <v/>
      </c>
      <c r="AX194" s="30" t="str">
        <f aca="true">IF(OR($A194="",$I194=""),"",IF($BC194="Y",SUMIFS(survey_frozen!$L$2:$L$251,survey_frozen!$P$2:$P$251,$A194&amp;"|"&amp;$B194),IFERROR(COUNTIFS(INDIRECT("'"&amp;$A194&amp;"'!$B$2:$B$501"),$T194,INDIRECT("'"&amp;$A194&amp;"'!$A$2:$A$501"),"&gt;="&amp;$I194,INDIRECT("'"&amp;$A194&amp;"'!$A$2:$A$501"),"&lt;"&amp;($BA194+1),INDIRECT("'"&amp;$A194&amp;"'!$E$2:$E$501"),"No"),0)))</f>
        <v/>
      </c>
      <c r="AY194" s="30" t="str">
        <f aca="true">IF(OR($A194="",$I194=""),"",IF($BC194="Y",SUMIFS(survey_frozen!$M$2:$M$251,survey_frozen!$P$2:$P$251,$A194&amp;"|"&amp;$B194),IFERROR(COUNTIFS(INDIRECT("'"&amp;$A194&amp;"'!$B$2:$B$501"),$T194,INDIRECT("'"&amp;$A194&amp;"'!$A$2:$A$501"),"&gt;="&amp;$I194,INDIRECT("'"&amp;$A194&amp;"'!$A$2:$A$501"),"&lt;"&amp;($BA194+1),INDIRECT("'"&amp;$A194&amp;"'!$G$2:$G$501"),"&lt;&gt;"),0)))</f>
        <v/>
      </c>
      <c r="AZ194" s="30" t="str">
        <f aca="false">IF($A194="","",$A194&amp;"|"&amp;$L194)</f>
        <v/>
      </c>
      <c r="BA194" s="31" t="str">
        <f aca="false">IF($A194="","",IFERROR(IF(INDEX(drops!$R$2:$R$21,MATCH($H194,drops!$A$2:$A$21,0))="","",INDEX(drops!$R$2:$R$21,MATCH($H194,drops!$A$2:$A$21,0))),""))</f>
        <v/>
      </c>
      <c r="BB194" s="30" t="n">
        <f aca="false">IF(OR($A194="",$Q194&lt;&gt;"Y"),1000000,N($AL194))</f>
        <v>1000000</v>
      </c>
      <c r="BC194" s="30" t="str">
        <f aca="false">IF($A194="","",IF(COUNTIF(survey_frozen!$P$2:$P$251,$A194&amp;"|"&amp;$B194)&gt;0,"Y",""))</f>
        <v/>
      </c>
      <c r="BD194" s="30" t="str">
        <f aca="false">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ustomFormat="false" ht="15" hidden="false" customHeight="false" outlineLevel="0" collapsed="false">
      <c r="C195" s="11"/>
      <c r="D195" s="10"/>
      <c r="E195" s="11"/>
      <c r="H195" s="30" t="str">
        <f aca="false">IF($A195="","",IFERROR(IF(INDEX(campaigns!$B$2:$B$51,MATCH($A195,campaigns!$A$2:$A$51,0))="","",INDEX(campaigns!$B$2:$B$51,MATCH($A195,campaigns!$A$2:$A$51,0))),""))</f>
        <v/>
      </c>
      <c r="I195" s="31" t="str">
        <f aca="false">IF($A195="","",IFERROR(IF(INDEX(campaigns!$BG$2:$BG$51,MATCH($A195,campaigns!$A$2:$A$51,0))="","",INDEX(campaigns!$BG$2:$BG$51,MATCH($A195,campaigns!$A$2:$A$51,0))),""))</f>
        <v/>
      </c>
      <c r="J195" s="30" t="str">
        <f aca="false">IF($A195="","",IFERROR(IF(INDEX(campaigns!$BE$2:$BE$51,MATCH($A195,campaigns!$A$2:$A$51,0))="","",INDEX(campaigns!$BE$2:$BE$51,MATCH($A195,campaigns!$A$2:$A$51,0))),""))</f>
        <v/>
      </c>
      <c r="K195" s="30" t="str">
        <f aca="false">IF($B195="","",IFERROR(IF(INDEX(offices!$O$2:$O$61,MATCH($B195,offices!$A$2:$A$61,0))="","",INDEX(offices!$O$2:$O$61,MATCH($B195,offices!$A$2:$A$61,0))),""))</f>
        <v/>
      </c>
      <c r="L195" s="30" t="str">
        <f aca="false">IF($A195="","",IF($Q195="N","",COUNTIFS($A$2:$A195,$A195,$Q$2:$Q195,"&lt;&gt;N")))</f>
        <v/>
      </c>
      <c r="M195" s="30" t="str">
        <f aca="false">IF(OR($A195="",$L195=""),"",IF(AND(config!$B$34="names_if_public",IFERROR(IF(INDEX(offices!$AG$2:$AG$61,MATCH($B195,offices!$A$2:$A$61,0))="","",INDEX(offices!$AG$2:$AG$61,MATCH($B195,offices!$A$2:$A$61,0))),"")="Y"),$K195,CHAR(64+$L195)))</f>
        <v/>
      </c>
      <c r="N195" s="30" t="str">
        <f aca="false">IF(OR($A195="",$I195=""),"",COUNTIFS(stops!$B$2:$B$151,$B195,stops!$P$2:$P$151,"&lt;"&amp;$I195,stops!$L$2:$L$151,"&lt;&gt;not_delivered")+1)</f>
        <v/>
      </c>
      <c r="O195" s="30" t="str">
        <f aca="false">IF($A195="","",IF(N($N195)&lt;=config!$B$29,"explicit","opt-out"))</f>
        <v/>
      </c>
      <c r="P195" s="30" t="str">
        <f aca="false">IF($A195="","",IF($O195="explicit",IF($D195="yes","Y",IF($D195="no","N","pending")),IF($D195="no","N",IF(AND($C195&lt;&gt;"",$I195&lt;&gt;"",$C195&lt;=WORKDAY(N($I195),-5,calendar!$A$2:$A$80)),"Y","pending"))))</f>
        <v/>
      </c>
      <c r="Q195" s="30" t="str">
        <f aca="false">IF($A195="","",IF($P195="N","N",IF($P195&lt;&gt;"Y","pending",IF(AND((COUNTIFS(stops!$A$2:$A$151,$H195,stops!$B$2:$B$151,$B195,stops!$L$2:$L$151,"declined")+COUNTIFS(stops!$A$2:$A$151,$H195,stops!$B$2:$B$151,$B195,stops!$L$2:$L$151,"building_refused")+COUNTIFS(stops!$A$2:$A$151,$H195,stops!$B$2:$B$151,$B195,stops!$L$2:$L$151,"not_delivered"))&gt;0,N($U195)=0),"N","Y"))))</f>
        <v/>
      </c>
      <c r="R195" s="30" t="str">
        <f aca="false">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30" t="str">
        <f aca="false">IF($A195="","",IF($G195&lt;&gt;"",$G195,IFERROR(IF(INDEX(offices!$AM$2:$AM$61,MATCH($B195,offices!$A$2:$A$61,0))="","",INDEX(offices!$AM$2:$AM$61,MATCH($B195,offices!$A$2:$A$61,0))),"")))</f>
        <v/>
      </c>
      <c r="T195" s="30" t="str">
        <f aca="false">IF($A195="","",$A195&amp;"."&amp;$B195)</f>
        <v/>
      </c>
      <c r="U195" s="30" t="str">
        <f aca="false">IF($A195="","",SUMIFS(inventory!$G$2:$G$801,inventory!$C$2:$C$801,$A195,inventory!$D$2:$D$801,$B195,inventory!$E$2:$E$801,"delivered"))</f>
        <v/>
      </c>
      <c r="V195" s="37" t="str">
        <f aca="false">IF($A195="","",IFERROR(1/(1/SUMPRODUCT(MAX((inventory!$C$2:$C$801=$A195)*(inventory!$D$2:$D$801=$B195)*(inventory!$E$2:$E$801="delivered")*(inventory!$A$2:$A$801+inventory!$B$2:$B$801)))),""))</f>
        <v/>
      </c>
      <c r="W195" s="30" t="str">
        <f aca="false">IF($A195="","",IFERROR(IF(INDEX(inventory!$J$2:$J$801,MATCH($A195&amp;"|"&amp;$B195&amp;"|delivered",inventory!$R$2:$R$801,0))="","",INDEX(inventory!$J$2:$J$801,MATCH($A195&amp;"|"&amp;$B195&amp;"|delivered",inventory!$R$2:$R$801,0))),""))</f>
        <v/>
      </c>
      <c r="X195" s="30" t="str">
        <f aca="false">IF($A195="","",IFERROR(IF(INDEX(photos!$H$2:$H$701,MATCH($A195&amp;"|"&amp;$B195&amp;"|placement|Y",photos!$R$2:$R$701,0))="","",INDEX(photos!$H$2:$H$701,MATCH($A195&amp;"|"&amp;$B195&amp;"|placement|Y",photos!$R$2:$R$701,0))),""))</f>
        <v/>
      </c>
      <c r="Y195" s="31" t="str">
        <f aca="false">IF($A195="","",IFERROR(IF(INDEX(photos!$E$2:$E$701,MATCH($A195&amp;"|"&amp;$B195&amp;"|placement|Y",photos!$R$2:$R$701,0))="","",INDEX(photos!$E$2:$E$701,MATCH($A195&amp;"|"&amp;$B195&amp;"|placement|Y",photos!$R$2:$R$701,0))),""))</f>
        <v/>
      </c>
      <c r="Z195" s="30" t="str">
        <f aca="false">IF($A195="","",IF(COUNTIFS(counts!$C$2:$C$701,$A195,counts!$D$2:$D$701,$B195,counts!$E$2:$E$701,"placed")=0,"",SUMIFS(counts!$F$2:$F$701,counts!$C$2:$C$701,$A195,counts!$D$2:$D$701,$B195,counts!$E$2:$E$701,"placed")))</f>
        <v/>
      </c>
      <c r="AA195" s="30" t="str">
        <f aca="false">IF($A195="","",IF($Y195="",0,N($Z195)))</f>
        <v/>
      </c>
      <c r="AB195" s="30" t="str">
        <f aca="false">IF($A195="","",IF(OR($Y195="",$I195=""),"N",IF($Y195&lt;=WORKDAY(N($I195),1,calendar!$A$2:$A$80),"Y","N")))</f>
        <v/>
      </c>
      <c r="AC195" s="33" t="str">
        <f aca="false">IF(OR($A195="",$V195="",$Y195=""),"",ROUND(($Y195+N(IFERROR(IF(INDEX(photos!$F$2:$F$701,MATCH($A195&amp;"|"&amp;$B195&amp;"|placement|Y",photos!$R$2:$R$701,0))="","",INDEX(photos!$F$2:$F$701,MATCH($A195&amp;"|"&amp;$B195&amp;"|placement|Y",photos!$R$2:$R$701,0))),""))-$V195)*24,1))</f>
        <v/>
      </c>
      <c r="AD195" s="30" t="str">
        <f aca="false">IF($A195="","",SUMIFS(inventory!$G$2:$G$801,inventory!$C$2:$C$801,$A195,inventory!$D$2:$D$801,$B195,inventory!$E$2:$E$801,"topped_up"))</f>
        <v/>
      </c>
      <c r="AE195" s="30" t="str">
        <f aca="false">IF($A195="","",IF(COUNTIFS(counts!$C$2:$C$701,$A195,counts!$D$2:$D$701,$B195,counts!$E$2:$E$701,"remaining_day3")=0,"",SUMIFS(counts!$F$2:$F$701,counts!$C$2:$C$701,$A195,counts!$D$2:$D$701,$B195,counts!$E$2:$E$701,"remaining_day3")))</f>
        <v/>
      </c>
      <c r="AF195" s="30" t="str">
        <f aca="false">IF($A195="","",IF(COUNTIFS(counts!$C$2:$C$701,$A195,counts!$D$2:$D$701,$B195,counts!$E$2:$E$701,"remaining_day5")=0,"",SUMIFS(counts!$F$2:$F$701,counts!$C$2:$C$701,$A195,counts!$D$2:$D$701,$B195,counts!$E$2:$E$701,"remaining_day5")))</f>
        <v/>
      </c>
      <c r="AG195" s="30" t="str">
        <f aca="false">IF(OR($A195="",$AF195=""),"",MAX(0,$AA195+$AD195-$AF195))</f>
        <v/>
      </c>
      <c r="AH195" s="30" t="str">
        <f aca="false">IF(OR($A195="",$AI195=""),"",IFERROR(IF(INDEX(photos!$H$2:$H$701,MATCH($A195&amp;"|"&amp;$B195&amp;"|later|Y|"&amp;$AI195,photos!$S$2:$S$701,0))="","",INDEX(photos!$H$2:$H$701,MATCH($A195&amp;"|"&amp;$B195&amp;"|later|Y|"&amp;$AI195,photos!$S$2:$S$701,0))),""))</f>
        <v/>
      </c>
      <c r="AI195" s="31" t="str">
        <f aca="false">IF($A195="","",IFERROR(1/(1/SUMPRODUCT(MAX((photos!$B$2:$B$701=$A195)*(photos!$C$2:$C$701=$B195)*(photos!$D$2:$D$701="later")*(photos!$O$2:$O$701="Y")*photos!$E$2:$E$701))),""))</f>
        <v/>
      </c>
      <c r="AJ195" s="30" t="str">
        <f aca="false">IF(OR($A195="",$AI195="",$I195=""),"",NETWORKDAYS($I195,$AI195,calendar!$A$2:$A$80))</f>
        <v/>
      </c>
      <c r="AK195" s="30" t="str">
        <f aca="false">IF($A195="","",IF(AND($X195&lt;&gt;"",$AH195&lt;&gt;""),"Y","N"))</f>
        <v/>
      </c>
      <c r="AL195" s="30" t="str">
        <f aca="true">IF(OR($A195="",$I195=""),"",IF($BC195="Y",SUMIFS(survey_frozen!$C$2:$C$251,survey_frozen!$P$2:$P$251,$A195&amp;"|"&amp;$B195),IFERROR(COUNTIFS(INDIRECT("'"&amp;$A195&amp;"'!$B$2:$B$501"),$T195,INDIRECT("'"&amp;$A195&amp;"'!$A$2:$A$501"),"&gt;="&amp;$I195,INDIRECT("'"&amp;$A195&amp;"'!$A$2:$A$501"),"&lt;"&amp;($BA195+1)),0)))</f>
        <v/>
      </c>
      <c r="AM195" s="30" t="str">
        <f aca="true">IF(OR($A195="",$I195=""),"",IF($BC195="Y",SUMIFS(survey_frozen!$D$2:$D$251,survey_frozen!$P$2:$P$251,$A195&amp;"|"&amp;$B195),IFERROR(COUNTIFS(INDIRECT("'"&amp;$A195&amp;"'!$B$2:$B$501"),$T195,INDIRECT("'"&amp;$A195&amp;"'!$A$2:$A$501"),"&gt;="&amp;$I195,INDIRECT("'"&amp;$A195&amp;"'!$A$2:$A$501"),"&lt;"&amp;($BA195+1),INDIRECT("'"&amp;$A195&amp;"'!$C$2:$C$501"),"Yes"),0)))</f>
        <v/>
      </c>
      <c r="AN195" s="30" t="str">
        <f aca="false">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30" t="str">
        <f aca="false">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30" t="str">
        <f aca="true">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30" t="str">
        <f aca="true">IF(OR($A195="",$I195=""),"",IF($BC195="Y",SUMIFS(survey_frozen!$E$2:$E$251,survey_frozen!$P$2:$P$251,$A195&amp;"|"&amp;$B195),IFERROR(COUNTIFS(INDIRECT("'"&amp;$A195&amp;"'!$B$2:$B$501"),$T195,INDIRECT("'"&amp;$A195&amp;"'!$A$2:$A$501"),"&gt;="&amp;$I195,INDIRECT("'"&amp;$A195&amp;"'!$A$2:$A$501"),"&lt;"&amp;($BA195+1),INDIRECT("'"&amp;$A195&amp;"'!$F$2:$F$501"),"Didn't see it"),0)))</f>
        <v/>
      </c>
      <c r="AR195" s="30" t="str">
        <f aca="true">IF(OR($A195="",$I195=""),"",IF($BC195="Y",SUMIFS(survey_frozen!$F$2:$F$251,survey_frozen!$P$2:$P$251,$A195&amp;"|"&amp;$B195),IFERROR(COUNTIFS(INDIRECT("'"&amp;$A195&amp;"'!$B$2:$B$501"),$T195,INDIRECT("'"&amp;$A195&amp;"'!$A$2:$A$501"),"&gt;="&amp;$I195,INDIRECT("'"&amp;$A195&amp;"'!$A$2:$A$501"),"&lt;"&amp;($BA195+1),INDIRECT("'"&amp;$A195&amp;"'!$F$2:$F$501"),"Not for me"),0)))</f>
        <v/>
      </c>
      <c r="AS195" s="30" t="str">
        <f aca="true">IF(OR($A195="",$I195=""),"",IF($BC195="Y",SUMIFS(survey_frozen!$G$2:$G$251,survey_frozen!$P$2:$P$251,$A195&amp;"|"&amp;$B195),IFERROR(COUNTIFS(INDIRECT("'"&amp;$A195&amp;"'!$B$2:$B$501"),$T195,INDIRECT("'"&amp;$A195&amp;"'!$A$2:$A$501"),"&gt;="&amp;$I195,INDIRECT("'"&amp;$A195&amp;"'!$A$2:$A$501"),"&lt;"&amp;($BA195+1),INDIRECT("'"&amp;$A195&amp;"'!$F$2:$F$501"),"Gone by the time I looked"),0)))</f>
        <v/>
      </c>
      <c r="AT195" s="30" t="str">
        <f aca="true">IF(OR($A195="",$I195=""),"",IF($BC195="Y",SUMIFS(survey_frozen!$H$2:$H$251,survey_frozen!$P$2:$P$251,$A195&amp;"|"&amp;$B195),IFERROR(COUNTIFS(INDIRECT("'"&amp;$A195&amp;"'!$B$2:$B$501"),$T195,INDIRECT("'"&amp;$A195&amp;"'!$A$2:$A$501"),"&gt;="&amp;$I195,INDIRECT("'"&amp;$A195&amp;"'!$A$2:$A$501"),"&lt;"&amp;($BA195+1),INDIRECT("'"&amp;$A195&amp;"'!$D$2:$D$501"),"&gt;=1"),0)))</f>
        <v/>
      </c>
      <c r="AU195" s="30" t="str">
        <f aca="true">IF(OR($A195="",$I195=""),"",IF($BC195="Y",SUMIFS(survey_frozen!$I$2:$I$251,survey_frozen!$P$2:$P$251,$A195&amp;"|"&amp;$B195),IFERROR(SUMIFS(INDIRECT("'"&amp;$A195&amp;"'!$D$2:$D$501"),INDIRECT("'"&amp;$A195&amp;"'!$B$2:$B$501"),$T195,INDIRECT("'"&amp;$A195&amp;"'!$A$2:$A$501"),"&gt;="&amp;$I195,INDIRECT("'"&amp;$A195&amp;"'!$A$2:$A$501"),"&lt;"&amp;($BA195+1)),0)))</f>
        <v/>
      </c>
      <c r="AV195" s="30" t="str">
        <f aca="true">IF(OR($A195="",$I195=""),"",IF($BC195="Y",SUMIFS(survey_frozen!$J$2:$J$251,survey_frozen!$P$2:$P$251,$A195&amp;"|"&amp;$B195),IFERROR(COUNTIFS(INDIRECT("'"&amp;$A195&amp;"'!$B$2:$B$501"),$T195,INDIRECT("'"&amp;$A195&amp;"'!$A$2:$A$501"),"&gt;="&amp;$I195,INDIRECT("'"&amp;$A195&amp;"'!$A$2:$A$501"),"&lt;"&amp;($BA195+1),INDIRECT("'"&amp;$A195&amp;"'!$E$2:$E$501"),"Yes"),0)))</f>
        <v/>
      </c>
      <c r="AW195" s="30" t="str">
        <f aca="true">IF(OR($A195="",$I195=""),"",IF($BC195="Y",SUMIFS(survey_frozen!$K$2:$K$251,survey_frozen!$P$2:$P$251,$A195&amp;"|"&amp;$B195),IFERROR(COUNTIFS(INDIRECT("'"&amp;$A195&amp;"'!$B$2:$B$501"),$T195,INDIRECT("'"&amp;$A195&amp;"'!$A$2:$A$501"),"&gt;="&amp;$I195,INDIRECT("'"&amp;$A195&amp;"'!$A$2:$A$501"),"&lt;"&amp;($BA195+1),INDIRECT("'"&amp;$A195&amp;"'!$E$2:$E$501"),"Maybe"),0)))</f>
        <v/>
      </c>
      <c r="AX195" s="30" t="str">
        <f aca="true">IF(OR($A195="",$I195=""),"",IF($BC195="Y",SUMIFS(survey_frozen!$L$2:$L$251,survey_frozen!$P$2:$P$251,$A195&amp;"|"&amp;$B195),IFERROR(COUNTIFS(INDIRECT("'"&amp;$A195&amp;"'!$B$2:$B$501"),$T195,INDIRECT("'"&amp;$A195&amp;"'!$A$2:$A$501"),"&gt;="&amp;$I195,INDIRECT("'"&amp;$A195&amp;"'!$A$2:$A$501"),"&lt;"&amp;($BA195+1),INDIRECT("'"&amp;$A195&amp;"'!$E$2:$E$501"),"No"),0)))</f>
        <v/>
      </c>
      <c r="AY195" s="30" t="str">
        <f aca="true">IF(OR($A195="",$I195=""),"",IF($BC195="Y",SUMIFS(survey_frozen!$M$2:$M$251,survey_frozen!$P$2:$P$251,$A195&amp;"|"&amp;$B195),IFERROR(COUNTIFS(INDIRECT("'"&amp;$A195&amp;"'!$B$2:$B$501"),$T195,INDIRECT("'"&amp;$A195&amp;"'!$A$2:$A$501"),"&gt;="&amp;$I195,INDIRECT("'"&amp;$A195&amp;"'!$A$2:$A$501"),"&lt;"&amp;($BA195+1),INDIRECT("'"&amp;$A195&amp;"'!$G$2:$G$501"),"&lt;&gt;"),0)))</f>
        <v/>
      </c>
      <c r="AZ195" s="30" t="str">
        <f aca="false">IF($A195="","",$A195&amp;"|"&amp;$L195)</f>
        <v/>
      </c>
      <c r="BA195" s="31" t="str">
        <f aca="false">IF($A195="","",IFERROR(IF(INDEX(drops!$R$2:$R$21,MATCH($H195,drops!$A$2:$A$21,0))="","",INDEX(drops!$R$2:$R$21,MATCH($H195,drops!$A$2:$A$21,0))),""))</f>
        <v/>
      </c>
      <c r="BB195" s="30" t="n">
        <f aca="false">IF(OR($A195="",$Q195&lt;&gt;"Y"),1000000,N($AL195))</f>
        <v>1000000</v>
      </c>
      <c r="BC195" s="30" t="str">
        <f aca="false">IF($A195="","",IF(COUNTIF(survey_frozen!$P$2:$P$251,$A195&amp;"|"&amp;$B195)&gt;0,"Y",""))</f>
        <v/>
      </c>
      <c r="BD195" s="30" t="str">
        <f aca="false">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ustomFormat="false" ht="15" hidden="false" customHeight="false" outlineLevel="0" collapsed="false">
      <c r="C196" s="11"/>
      <c r="D196" s="10"/>
      <c r="E196" s="11"/>
      <c r="H196" s="30" t="str">
        <f aca="false">IF($A196="","",IFERROR(IF(INDEX(campaigns!$B$2:$B$51,MATCH($A196,campaigns!$A$2:$A$51,0))="","",INDEX(campaigns!$B$2:$B$51,MATCH($A196,campaigns!$A$2:$A$51,0))),""))</f>
        <v/>
      </c>
      <c r="I196" s="31" t="str">
        <f aca="false">IF($A196="","",IFERROR(IF(INDEX(campaigns!$BG$2:$BG$51,MATCH($A196,campaigns!$A$2:$A$51,0))="","",INDEX(campaigns!$BG$2:$BG$51,MATCH($A196,campaigns!$A$2:$A$51,0))),""))</f>
        <v/>
      </c>
      <c r="J196" s="30" t="str">
        <f aca="false">IF($A196="","",IFERROR(IF(INDEX(campaigns!$BE$2:$BE$51,MATCH($A196,campaigns!$A$2:$A$51,0))="","",INDEX(campaigns!$BE$2:$BE$51,MATCH($A196,campaigns!$A$2:$A$51,0))),""))</f>
        <v/>
      </c>
      <c r="K196" s="30" t="str">
        <f aca="false">IF($B196="","",IFERROR(IF(INDEX(offices!$O$2:$O$61,MATCH($B196,offices!$A$2:$A$61,0))="","",INDEX(offices!$O$2:$O$61,MATCH($B196,offices!$A$2:$A$61,0))),""))</f>
        <v/>
      </c>
      <c r="L196" s="30" t="str">
        <f aca="false">IF($A196="","",IF($Q196="N","",COUNTIFS($A$2:$A196,$A196,$Q$2:$Q196,"&lt;&gt;N")))</f>
        <v/>
      </c>
      <c r="M196" s="30" t="str">
        <f aca="false">IF(OR($A196="",$L196=""),"",IF(AND(config!$B$34="names_if_public",IFERROR(IF(INDEX(offices!$AG$2:$AG$61,MATCH($B196,offices!$A$2:$A$61,0))="","",INDEX(offices!$AG$2:$AG$61,MATCH($B196,offices!$A$2:$A$61,0))),"")="Y"),$K196,CHAR(64+$L196)))</f>
        <v/>
      </c>
      <c r="N196" s="30" t="str">
        <f aca="false">IF(OR($A196="",$I196=""),"",COUNTIFS(stops!$B$2:$B$151,$B196,stops!$P$2:$P$151,"&lt;"&amp;$I196,stops!$L$2:$L$151,"&lt;&gt;not_delivered")+1)</f>
        <v/>
      </c>
      <c r="O196" s="30" t="str">
        <f aca="false">IF($A196="","",IF(N($N196)&lt;=config!$B$29,"explicit","opt-out"))</f>
        <v/>
      </c>
      <c r="P196" s="30" t="str">
        <f aca="false">IF($A196="","",IF($O196="explicit",IF($D196="yes","Y",IF($D196="no","N","pending")),IF($D196="no","N",IF(AND($C196&lt;&gt;"",$I196&lt;&gt;"",$C196&lt;=WORKDAY(N($I196),-5,calendar!$A$2:$A$80)),"Y","pending"))))</f>
        <v/>
      </c>
      <c r="Q196" s="30" t="str">
        <f aca="false">IF($A196="","",IF($P196="N","N",IF($P196&lt;&gt;"Y","pending",IF(AND((COUNTIFS(stops!$A$2:$A$151,$H196,stops!$B$2:$B$151,$B196,stops!$L$2:$L$151,"declined")+COUNTIFS(stops!$A$2:$A$151,$H196,stops!$B$2:$B$151,$B196,stops!$L$2:$L$151,"building_refused")+COUNTIFS(stops!$A$2:$A$151,$H196,stops!$B$2:$B$151,$B196,stops!$L$2:$L$151,"not_delivered"))&gt;0,N($U196)=0),"N","Y"))))</f>
        <v/>
      </c>
      <c r="R196" s="30" t="str">
        <f aca="false">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30" t="str">
        <f aca="false">IF($A196="","",IF($G196&lt;&gt;"",$G196,IFERROR(IF(INDEX(offices!$AM$2:$AM$61,MATCH($B196,offices!$A$2:$A$61,0))="","",INDEX(offices!$AM$2:$AM$61,MATCH($B196,offices!$A$2:$A$61,0))),"")))</f>
        <v/>
      </c>
      <c r="T196" s="30" t="str">
        <f aca="false">IF($A196="","",$A196&amp;"."&amp;$B196)</f>
        <v/>
      </c>
      <c r="U196" s="30" t="str">
        <f aca="false">IF($A196="","",SUMIFS(inventory!$G$2:$G$801,inventory!$C$2:$C$801,$A196,inventory!$D$2:$D$801,$B196,inventory!$E$2:$E$801,"delivered"))</f>
        <v/>
      </c>
      <c r="V196" s="37" t="str">
        <f aca="false">IF($A196="","",IFERROR(1/(1/SUMPRODUCT(MAX((inventory!$C$2:$C$801=$A196)*(inventory!$D$2:$D$801=$B196)*(inventory!$E$2:$E$801="delivered")*(inventory!$A$2:$A$801+inventory!$B$2:$B$801)))),""))</f>
        <v/>
      </c>
      <c r="W196" s="30" t="str">
        <f aca="false">IF($A196="","",IFERROR(IF(INDEX(inventory!$J$2:$J$801,MATCH($A196&amp;"|"&amp;$B196&amp;"|delivered",inventory!$R$2:$R$801,0))="","",INDEX(inventory!$J$2:$J$801,MATCH($A196&amp;"|"&amp;$B196&amp;"|delivered",inventory!$R$2:$R$801,0))),""))</f>
        <v/>
      </c>
      <c r="X196" s="30" t="str">
        <f aca="false">IF($A196="","",IFERROR(IF(INDEX(photos!$H$2:$H$701,MATCH($A196&amp;"|"&amp;$B196&amp;"|placement|Y",photos!$R$2:$R$701,0))="","",INDEX(photos!$H$2:$H$701,MATCH($A196&amp;"|"&amp;$B196&amp;"|placement|Y",photos!$R$2:$R$701,0))),""))</f>
        <v/>
      </c>
      <c r="Y196" s="31" t="str">
        <f aca="false">IF($A196="","",IFERROR(IF(INDEX(photos!$E$2:$E$701,MATCH($A196&amp;"|"&amp;$B196&amp;"|placement|Y",photos!$R$2:$R$701,0))="","",INDEX(photos!$E$2:$E$701,MATCH($A196&amp;"|"&amp;$B196&amp;"|placement|Y",photos!$R$2:$R$701,0))),""))</f>
        <v/>
      </c>
      <c r="Z196" s="30" t="str">
        <f aca="false">IF($A196="","",IF(COUNTIFS(counts!$C$2:$C$701,$A196,counts!$D$2:$D$701,$B196,counts!$E$2:$E$701,"placed")=0,"",SUMIFS(counts!$F$2:$F$701,counts!$C$2:$C$701,$A196,counts!$D$2:$D$701,$B196,counts!$E$2:$E$701,"placed")))</f>
        <v/>
      </c>
      <c r="AA196" s="30" t="str">
        <f aca="false">IF($A196="","",IF($Y196="",0,N($Z196)))</f>
        <v/>
      </c>
      <c r="AB196" s="30" t="str">
        <f aca="false">IF($A196="","",IF(OR($Y196="",$I196=""),"N",IF($Y196&lt;=WORKDAY(N($I196),1,calendar!$A$2:$A$80),"Y","N")))</f>
        <v/>
      </c>
      <c r="AC196" s="33" t="str">
        <f aca="false">IF(OR($A196="",$V196="",$Y196=""),"",ROUND(($Y196+N(IFERROR(IF(INDEX(photos!$F$2:$F$701,MATCH($A196&amp;"|"&amp;$B196&amp;"|placement|Y",photos!$R$2:$R$701,0))="","",INDEX(photos!$F$2:$F$701,MATCH($A196&amp;"|"&amp;$B196&amp;"|placement|Y",photos!$R$2:$R$701,0))),""))-$V196)*24,1))</f>
        <v/>
      </c>
      <c r="AD196" s="30" t="str">
        <f aca="false">IF($A196="","",SUMIFS(inventory!$G$2:$G$801,inventory!$C$2:$C$801,$A196,inventory!$D$2:$D$801,$B196,inventory!$E$2:$E$801,"topped_up"))</f>
        <v/>
      </c>
      <c r="AE196" s="30" t="str">
        <f aca="false">IF($A196="","",IF(COUNTIFS(counts!$C$2:$C$701,$A196,counts!$D$2:$D$701,$B196,counts!$E$2:$E$701,"remaining_day3")=0,"",SUMIFS(counts!$F$2:$F$701,counts!$C$2:$C$701,$A196,counts!$D$2:$D$701,$B196,counts!$E$2:$E$701,"remaining_day3")))</f>
        <v/>
      </c>
      <c r="AF196" s="30" t="str">
        <f aca="false">IF($A196="","",IF(COUNTIFS(counts!$C$2:$C$701,$A196,counts!$D$2:$D$701,$B196,counts!$E$2:$E$701,"remaining_day5")=0,"",SUMIFS(counts!$F$2:$F$701,counts!$C$2:$C$701,$A196,counts!$D$2:$D$701,$B196,counts!$E$2:$E$701,"remaining_day5")))</f>
        <v/>
      </c>
      <c r="AG196" s="30" t="str">
        <f aca="false">IF(OR($A196="",$AF196=""),"",MAX(0,$AA196+$AD196-$AF196))</f>
        <v/>
      </c>
      <c r="AH196" s="30" t="str">
        <f aca="false">IF(OR($A196="",$AI196=""),"",IFERROR(IF(INDEX(photos!$H$2:$H$701,MATCH($A196&amp;"|"&amp;$B196&amp;"|later|Y|"&amp;$AI196,photos!$S$2:$S$701,0))="","",INDEX(photos!$H$2:$H$701,MATCH($A196&amp;"|"&amp;$B196&amp;"|later|Y|"&amp;$AI196,photos!$S$2:$S$701,0))),""))</f>
        <v/>
      </c>
      <c r="AI196" s="31" t="str">
        <f aca="false">IF($A196="","",IFERROR(1/(1/SUMPRODUCT(MAX((photos!$B$2:$B$701=$A196)*(photos!$C$2:$C$701=$B196)*(photos!$D$2:$D$701="later")*(photos!$O$2:$O$701="Y")*photos!$E$2:$E$701))),""))</f>
        <v/>
      </c>
      <c r="AJ196" s="30" t="str">
        <f aca="false">IF(OR($A196="",$AI196="",$I196=""),"",NETWORKDAYS($I196,$AI196,calendar!$A$2:$A$80))</f>
        <v/>
      </c>
      <c r="AK196" s="30" t="str">
        <f aca="false">IF($A196="","",IF(AND($X196&lt;&gt;"",$AH196&lt;&gt;""),"Y","N"))</f>
        <v/>
      </c>
      <c r="AL196" s="30" t="str">
        <f aca="true">IF(OR($A196="",$I196=""),"",IF($BC196="Y",SUMIFS(survey_frozen!$C$2:$C$251,survey_frozen!$P$2:$P$251,$A196&amp;"|"&amp;$B196),IFERROR(COUNTIFS(INDIRECT("'"&amp;$A196&amp;"'!$B$2:$B$501"),$T196,INDIRECT("'"&amp;$A196&amp;"'!$A$2:$A$501"),"&gt;="&amp;$I196,INDIRECT("'"&amp;$A196&amp;"'!$A$2:$A$501"),"&lt;"&amp;($BA196+1)),0)))</f>
        <v/>
      </c>
      <c r="AM196" s="30" t="str">
        <f aca="true">IF(OR($A196="",$I196=""),"",IF($BC196="Y",SUMIFS(survey_frozen!$D$2:$D$251,survey_frozen!$P$2:$P$251,$A196&amp;"|"&amp;$B196),IFERROR(COUNTIFS(INDIRECT("'"&amp;$A196&amp;"'!$B$2:$B$501"),$T196,INDIRECT("'"&amp;$A196&amp;"'!$A$2:$A$501"),"&gt;="&amp;$I196,INDIRECT("'"&amp;$A196&amp;"'!$A$2:$A$501"),"&lt;"&amp;($BA196+1),INDIRECT("'"&amp;$A196&amp;"'!$C$2:$C$501"),"Yes"),0)))</f>
        <v/>
      </c>
      <c r="AN196" s="30" t="str">
        <f aca="false">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30" t="str">
        <f aca="false">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30" t="str">
        <f aca="true">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30" t="str">
        <f aca="true">IF(OR($A196="",$I196=""),"",IF($BC196="Y",SUMIFS(survey_frozen!$E$2:$E$251,survey_frozen!$P$2:$P$251,$A196&amp;"|"&amp;$B196),IFERROR(COUNTIFS(INDIRECT("'"&amp;$A196&amp;"'!$B$2:$B$501"),$T196,INDIRECT("'"&amp;$A196&amp;"'!$A$2:$A$501"),"&gt;="&amp;$I196,INDIRECT("'"&amp;$A196&amp;"'!$A$2:$A$501"),"&lt;"&amp;($BA196+1),INDIRECT("'"&amp;$A196&amp;"'!$F$2:$F$501"),"Didn't see it"),0)))</f>
        <v/>
      </c>
      <c r="AR196" s="30" t="str">
        <f aca="true">IF(OR($A196="",$I196=""),"",IF($BC196="Y",SUMIFS(survey_frozen!$F$2:$F$251,survey_frozen!$P$2:$P$251,$A196&amp;"|"&amp;$B196),IFERROR(COUNTIFS(INDIRECT("'"&amp;$A196&amp;"'!$B$2:$B$501"),$T196,INDIRECT("'"&amp;$A196&amp;"'!$A$2:$A$501"),"&gt;="&amp;$I196,INDIRECT("'"&amp;$A196&amp;"'!$A$2:$A$501"),"&lt;"&amp;($BA196+1),INDIRECT("'"&amp;$A196&amp;"'!$F$2:$F$501"),"Not for me"),0)))</f>
        <v/>
      </c>
      <c r="AS196" s="30" t="str">
        <f aca="true">IF(OR($A196="",$I196=""),"",IF($BC196="Y",SUMIFS(survey_frozen!$G$2:$G$251,survey_frozen!$P$2:$P$251,$A196&amp;"|"&amp;$B196),IFERROR(COUNTIFS(INDIRECT("'"&amp;$A196&amp;"'!$B$2:$B$501"),$T196,INDIRECT("'"&amp;$A196&amp;"'!$A$2:$A$501"),"&gt;="&amp;$I196,INDIRECT("'"&amp;$A196&amp;"'!$A$2:$A$501"),"&lt;"&amp;($BA196+1),INDIRECT("'"&amp;$A196&amp;"'!$F$2:$F$501"),"Gone by the time I looked"),0)))</f>
        <v/>
      </c>
      <c r="AT196" s="30" t="str">
        <f aca="true">IF(OR($A196="",$I196=""),"",IF($BC196="Y",SUMIFS(survey_frozen!$H$2:$H$251,survey_frozen!$P$2:$P$251,$A196&amp;"|"&amp;$B196),IFERROR(COUNTIFS(INDIRECT("'"&amp;$A196&amp;"'!$B$2:$B$501"),$T196,INDIRECT("'"&amp;$A196&amp;"'!$A$2:$A$501"),"&gt;="&amp;$I196,INDIRECT("'"&amp;$A196&amp;"'!$A$2:$A$501"),"&lt;"&amp;($BA196+1),INDIRECT("'"&amp;$A196&amp;"'!$D$2:$D$501"),"&gt;=1"),0)))</f>
        <v/>
      </c>
      <c r="AU196" s="30" t="str">
        <f aca="true">IF(OR($A196="",$I196=""),"",IF($BC196="Y",SUMIFS(survey_frozen!$I$2:$I$251,survey_frozen!$P$2:$P$251,$A196&amp;"|"&amp;$B196),IFERROR(SUMIFS(INDIRECT("'"&amp;$A196&amp;"'!$D$2:$D$501"),INDIRECT("'"&amp;$A196&amp;"'!$B$2:$B$501"),$T196,INDIRECT("'"&amp;$A196&amp;"'!$A$2:$A$501"),"&gt;="&amp;$I196,INDIRECT("'"&amp;$A196&amp;"'!$A$2:$A$501"),"&lt;"&amp;($BA196+1)),0)))</f>
        <v/>
      </c>
      <c r="AV196" s="30" t="str">
        <f aca="true">IF(OR($A196="",$I196=""),"",IF($BC196="Y",SUMIFS(survey_frozen!$J$2:$J$251,survey_frozen!$P$2:$P$251,$A196&amp;"|"&amp;$B196),IFERROR(COUNTIFS(INDIRECT("'"&amp;$A196&amp;"'!$B$2:$B$501"),$T196,INDIRECT("'"&amp;$A196&amp;"'!$A$2:$A$501"),"&gt;="&amp;$I196,INDIRECT("'"&amp;$A196&amp;"'!$A$2:$A$501"),"&lt;"&amp;($BA196+1),INDIRECT("'"&amp;$A196&amp;"'!$E$2:$E$501"),"Yes"),0)))</f>
        <v/>
      </c>
      <c r="AW196" s="30" t="str">
        <f aca="true">IF(OR($A196="",$I196=""),"",IF($BC196="Y",SUMIFS(survey_frozen!$K$2:$K$251,survey_frozen!$P$2:$P$251,$A196&amp;"|"&amp;$B196),IFERROR(COUNTIFS(INDIRECT("'"&amp;$A196&amp;"'!$B$2:$B$501"),$T196,INDIRECT("'"&amp;$A196&amp;"'!$A$2:$A$501"),"&gt;="&amp;$I196,INDIRECT("'"&amp;$A196&amp;"'!$A$2:$A$501"),"&lt;"&amp;($BA196+1),INDIRECT("'"&amp;$A196&amp;"'!$E$2:$E$501"),"Maybe"),0)))</f>
        <v/>
      </c>
      <c r="AX196" s="30" t="str">
        <f aca="true">IF(OR($A196="",$I196=""),"",IF($BC196="Y",SUMIFS(survey_frozen!$L$2:$L$251,survey_frozen!$P$2:$P$251,$A196&amp;"|"&amp;$B196),IFERROR(COUNTIFS(INDIRECT("'"&amp;$A196&amp;"'!$B$2:$B$501"),$T196,INDIRECT("'"&amp;$A196&amp;"'!$A$2:$A$501"),"&gt;="&amp;$I196,INDIRECT("'"&amp;$A196&amp;"'!$A$2:$A$501"),"&lt;"&amp;($BA196+1),INDIRECT("'"&amp;$A196&amp;"'!$E$2:$E$501"),"No"),0)))</f>
        <v/>
      </c>
      <c r="AY196" s="30" t="str">
        <f aca="true">IF(OR($A196="",$I196=""),"",IF($BC196="Y",SUMIFS(survey_frozen!$M$2:$M$251,survey_frozen!$P$2:$P$251,$A196&amp;"|"&amp;$B196),IFERROR(COUNTIFS(INDIRECT("'"&amp;$A196&amp;"'!$B$2:$B$501"),$T196,INDIRECT("'"&amp;$A196&amp;"'!$A$2:$A$501"),"&gt;="&amp;$I196,INDIRECT("'"&amp;$A196&amp;"'!$A$2:$A$501"),"&lt;"&amp;($BA196+1),INDIRECT("'"&amp;$A196&amp;"'!$G$2:$G$501"),"&lt;&gt;"),0)))</f>
        <v/>
      </c>
      <c r="AZ196" s="30" t="str">
        <f aca="false">IF($A196="","",$A196&amp;"|"&amp;$L196)</f>
        <v/>
      </c>
      <c r="BA196" s="31" t="str">
        <f aca="false">IF($A196="","",IFERROR(IF(INDEX(drops!$R$2:$R$21,MATCH($H196,drops!$A$2:$A$21,0))="","",INDEX(drops!$R$2:$R$21,MATCH($H196,drops!$A$2:$A$21,0))),""))</f>
        <v/>
      </c>
      <c r="BB196" s="30" t="n">
        <f aca="false">IF(OR($A196="",$Q196&lt;&gt;"Y"),1000000,N($AL196))</f>
        <v>1000000</v>
      </c>
      <c r="BC196" s="30" t="str">
        <f aca="false">IF($A196="","",IF(COUNTIF(survey_frozen!$P$2:$P$251,$A196&amp;"|"&amp;$B196)&gt;0,"Y",""))</f>
        <v/>
      </c>
      <c r="BD196" s="30" t="str">
        <f aca="false">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ustomFormat="false" ht="15" hidden="false" customHeight="false" outlineLevel="0" collapsed="false">
      <c r="C197" s="11"/>
      <c r="D197" s="10"/>
      <c r="E197" s="11"/>
      <c r="H197" s="30" t="str">
        <f aca="false">IF($A197="","",IFERROR(IF(INDEX(campaigns!$B$2:$B$51,MATCH($A197,campaigns!$A$2:$A$51,0))="","",INDEX(campaigns!$B$2:$B$51,MATCH($A197,campaigns!$A$2:$A$51,0))),""))</f>
        <v/>
      </c>
      <c r="I197" s="31" t="str">
        <f aca="false">IF($A197="","",IFERROR(IF(INDEX(campaigns!$BG$2:$BG$51,MATCH($A197,campaigns!$A$2:$A$51,0))="","",INDEX(campaigns!$BG$2:$BG$51,MATCH($A197,campaigns!$A$2:$A$51,0))),""))</f>
        <v/>
      </c>
      <c r="J197" s="30" t="str">
        <f aca="false">IF($A197="","",IFERROR(IF(INDEX(campaigns!$BE$2:$BE$51,MATCH($A197,campaigns!$A$2:$A$51,0))="","",INDEX(campaigns!$BE$2:$BE$51,MATCH($A197,campaigns!$A$2:$A$51,0))),""))</f>
        <v/>
      </c>
      <c r="K197" s="30" t="str">
        <f aca="false">IF($B197="","",IFERROR(IF(INDEX(offices!$O$2:$O$61,MATCH($B197,offices!$A$2:$A$61,0))="","",INDEX(offices!$O$2:$O$61,MATCH($B197,offices!$A$2:$A$61,0))),""))</f>
        <v/>
      </c>
      <c r="L197" s="30" t="str">
        <f aca="false">IF($A197="","",IF($Q197="N","",COUNTIFS($A$2:$A197,$A197,$Q$2:$Q197,"&lt;&gt;N")))</f>
        <v/>
      </c>
      <c r="M197" s="30" t="str">
        <f aca="false">IF(OR($A197="",$L197=""),"",IF(AND(config!$B$34="names_if_public",IFERROR(IF(INDEX(offices!$AG$2:$AG$61,MATCH($B197,offices!$A$2:$A$61,0))="","",INDEX(offices!$AG$2:$AG$61,MATCH($B197,offices!$A$2:$A$61,0))),"")="Y"),$K197,CHAR(64+$L197)))</f>
        <v/>
      </c>
      <c r="N197" s="30" t="str">
        <f aca="false">IF(OR($A197="",$I197=""),"",COUNTIFS(stops!$B$2:$B$151,$B197,stops!$P$2:$P$151,"&lt;"&amp;$I197,stops!$L$2:$L$151,"&lt;&gt;not_delivered")+1)</f>
        <v/>
      </c>
      <c r="O197" s="30" t="str">
        <f aca="false">IF($A197="","",IF(N($N197)&lt;=config!$B$29,"explicit","opt-out"))</f>
        <v/>
      </c>
      <c r="P197" s="30" t="str">
        <f aca="false">IF($A197="","",IF($O197="explicit",IF($D197="yes","Y",IF($D197="no","N","pending")),IF($D197="no","N",IF(AND($C197&lt;&gt;"",$I197&lt;&gt;"",$C197&lt;=WORKDAY(N($I197),-5,calendar!$A$2:$A$80)),"Y","pending"))))</f>
        <v/>
      </c>
      <c r="Q197" s="30" t="str">
        <f aca="false">IF($A197="","",IF($P197="N","N",IF($P197&lt;&gt;"Y","pending",IF(AND((COUNTIFS(stops!$A$2:$A$151,$H197,stops!$B$2:$B$151,$B197,stops!$L$2:$L$151,"declined")+COUNTIFS(stops!$A$2:$A$151,$H197,stops!$B$2:$B$151,$B197,stops!$L$2:$L$151,"building_refused")+COUNTIFS(stops!$A$2:$A$151,$H197,stops!$B$2:$B$151,$B197,stops!$L$2:$L$151,"not_delivered"))&gt;0,N($U197)=0),"N","Y"))))</f>
        <v/>
      </c>
      <c r="R197" s="30" t="str">
        <f aca="false">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30" t="str">
        <f aca="false">IF($A197="","",IF($G197&lt;&gt;"",$G197,IFERROR(IF(INDEX(offices!$AM$2:$AM$61,MATCH($B197,offices!$A$2:$A$61,0))="","",INDEX(offices!$AM$2:$AM$61,MATCH($B197,offices!$A$2:$A$61,0))),"")))</f>
        <v/>
      </c>
      <c r="T197" s="30" t="str">
        <f aca="false">IF($A197="","",$A197&amp;"."&amp;$B197)</f>
        <v/>
      </c>
      <c r="U197" s="30" t="str">
        <f aca="false">IF($A197="","",SUMIFS(inventory!$G$2:$G$801,inventory!$C$2:$C$801,$A197,inventory!$D$2:$D$801,$B197,inventory!$E$2:$E$801,"delivered"))</f>
        <v/>
      </c>
      <c r="V197" s="37" t="str">
        <f aca="false">IF($A197="","",IFERROR(1/(1/SUMPRODUCT(MAX((inventory!$C$2:$C$801=$A197)*(inventory!$D$2:$D$801=$B197)*(inventory!$E$2:$E$801="delivered")*(inventory!$A$2:$A$801+inventory!$B$2:$B$801)))),""))</f>
        <v/>
      </c>
      <c r="W197" s="30" t="str">
        <f aca="false">IF($A197="","",IFERROR(IF(INDEX(inventory!$J$2:$J$801,MATCH($A197&amp;"|"&amp;$B197&amp;"|delivered",inventory!$R$2:$R$801,0))="","",INDEX(inventory!$J$2:$J$801,MATCH($A197&amp;"|"&amp;$B197&amp;"|delivered",inventory!$R$2:$R$801,0))),""))</f>
        <v/>
      </c>
      <c r="X197" s="30" t="str">
        <f aca="false">IF($A197="","",IFERROR(IF(INDEX(photos!$H$2:$H$701,MATCH($A197&amp;"|"&amp;$B197&amp;"|placement|Y",photos!$R$2:$R$701,0))="","",INDEX(photos!$H$2:$H$701,MATCH($A197&amp;"|"&amp;$B197&amp;"|placement|Y",photos!$R$2:$R$701,0))),""))</f>
        <v/>
      </c>
      <c r="Y197" s="31" t="str">
        <f aca="false">IF($A197="","",IFERROR(IF(INDEX(photos!$E$2:$E$701,MATCH($A197&amp;"|"&amp;$B197&amp;"|placement|Y",photos!$R$2:$R$701,0))="","",INDEX(photos!$E$2:$E$701,MATCH($A197&amp;"|"&amp;$B197&amp;"|placement|Y",photos!$R$2:$R$701,0))),""))</f>
        <v/>
      </c>
      <c r="Z197" s="30" t="str">
        <f aca="false">IF($A197="","",IF(COUNTIFS(counts!$C$2:$C$701,$A197,counts!$D$2:$D$701,$B197,counts!$E$2:$E$701,"placed")=0,"",SUMIFS(counts!$F$2:$F$701,counts!$C$2:$C$701,$A197,counts!$D$2:$D$701,$B197,counts!$E$2:$E$701,"placed")))</f>
        <v/>
      </c>
      <c r="AA197" s="30" t="str">
        <f aca="false">IF($A197="","",IF($Y197="",0,N($Z197)))</f>
        <v/>
      </c>
      <c r="AB197" s="30" t="str">
        <f aca="false">IF($A197="","",IF(OR($Y197="",$I197=""),"N",IF($Y197&lt;=WORKDAY(N($I197),1,calendar!$A$2:$A$80),"Y","N")))</f>
        <v/>
      </c>
      <c r="AC197" s="33" t="str">
        <f aca="false">IF(OR($A197="",$V197="",$Y197=""),"",ROUND(($Y197+N(IFERROR(IF(INDEX(photos!$F$2:$F$701,MATCH($A197&amp;"|"&amp;$B197&amp;"|placement|Y",photos!$R$2:$R$701,0))="","",INDEX(photos!$F$2:$F$701,MATCH($A197&amp;"|"&amp;$B197&amp;"|placement|Y",photos!$R$2:$R$701,0))),""))-$V197)*24,1))</f>
        <v/>
      </c>
      <c r="AD197" s="30" t="str">
        <f aca="false">IF($A197="","",SUMIFS(inventory!$G$2:$G$801,inventory!$C$2:$C$801,$A197,inventory!$D$2:$D$801,$B197,inventory!$E$2:$E$801,"topped_up"))</f>
        <v/>
      </c>
      <c r="AE197" s="30" t="str">
        <f aca="false">IF($A197="","",IF(COUNTIFS(counts!$C$2:$C$701,$A197,counts!$D$2:$D$701,$B197,counts!$E$2:$E$701,"remaining_day3")=0,"",SUMIFS(counts!$F$2:$F$701,counts!$C$2:$C$701,$A197,counts!$D$2:$D$701,$B197,counts!$E$2:$E$701,"remaining_day3")))</f>
        <v/>
      </c>
      <c r="AF197" s="30" t="str">
        <f aca="false">IF($A197="","",IF(COUNTIFS(counts!$C$2:$C$701,$A197,counts!$D$2:$D$701,$B197,counts!$E$2:$E$701,"remaining_day5")=0,"",SUMIFS(counts!$F$2:$F$701,counts!$C$2:$C$701,$A197,counts!$D$2:$D$701,$B197,counts!$E$2:$E$701,"remaining_day5")))</f>
        <v/>
      </c>
      <c r="AG197" s="30" t="str">
        <f aca="false">IF(OR($A197="",$AF197=""),"",MAX(0,$AA197+$AD197-$AF197))</f>
        <v/>
      </c>
      <c r="AH197" s="30" t="str">
        <f aca="false">IF(OR($A197="",$AI197=""),"",IFERROR(IF(INDEX(photos!$H$2:$H$701,MATCH($A197&amp;"|"&amp;$B197&amp;"|later|Y|"&amp;$AI197,photos!$S$2:$S$701,0))="","",INDEX(photos!$H$2:$H$701,MATCH($A197&amp;"|"&amp;$B197&amp;"|later|Y|"&amp;$AI197,photos!$S$2:$S$701,0))),""))</f>
        <v/>
      </c>
      <c r="AI197" s="31" t="str">
        <f aca="false">IF($A197="","",IFERROR(1/(1/SUMPRODUCT(MAX((photos!$B$2:$B$701=$A197)*(photos!$C$2:$C$701=$B197)*(photos!$D$2:$D$701="later")*(photos!$O$2:$O$701="Y")*photos!$E$2:$E$701))),""))</f>
        <v/>
      </c>
      <c r="AJ197" s="30" t="str">
        <f aca="false">IF(OR($A197="",$AI197="",$I197=""),"",NETWORKDAYS($I197,$AI197,calendar!$A$2:$A$80))</f>
        <v/>
      </c>
      <c r="AK197" s="30" t="str">
        <f aca="false">IF($A197="","",IF(AND($X197&lt;&gt;"",$AH197&lt;&gt;""),"Y","N"))</f>
        <v/>
      </c>
      <c r="AL197" s="30" t="str">
        <f aca="true">IF(OR($A197="",$I197=""),"",IF($BC197="Y",SUMIFS(survey_frozen!$C$2:$C$251,survey_frozen!$P$2:$P$251,$A197&amp;"|"&amp;$B197),IFERROR(COUNTIFS(INDIRECT("'"&amp;$A197&amp;"'!$B$2:$B$501"),$T197,INDIRECT("'"&amp;$A197&amp;"'!$A$2:$A$501"),"&gt;="&amp;$I197,INDIRECT("'"&amp;$A197&amp;"'!$A$2:$A$501"),"&lt;"&amp;($BA197+1)),0)))</f>
        <v/>
      </c>
      <c r="AM197" s="30" t="str">
        <f aca="true">IF(OR($A197="",$I197=""),"",IF($BC197="Y",SUMIFS(survey_frozen!$D$2:$D$251,survey_frozen!$P$2:$P$251,$A197&amp;"|"&amp;$B197),IFERROR(COUNTIFS(INDIRECT("'"&amp;$A197&amp;"'!$B$2:$B$501"),$T197,INDIRECT("'"&amp;$A197&amp;"'!$A$2:$A$501"),"&gt;="&amp;$I197,INDIRECT("'"&amp;$A197&amp;"'!$A$2:$A$501"),"&lt;"&amp;($BA197+1),INDIRECT("'"&amp;$A197&amp;"'!$C$2:$C$501"),"Yes"),0)))</f>
        <v/>
      </c>
      <c r="AN197" s="30" t="str">
        <f aca="false">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30" t="str">
        <f aca="false">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30" t="str">
        <f aca="true">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30" t="str">
        <f aca="true">IF(OR($A197="",$I197=""),"",IF($BC197="Y",SUMIFS(survey_frozen!$E$2:$E$251,survey_frozen!$P$2:$P$251,$A197&amp;"|"&amp;$B197),IFERROR(COUNTIFS(INDIRECT("'"&amp;$A197&amp;"'!$B$2:$B$501"),$T197,INDIRECT("'"&amp;$A197&amp;"'!$A$2:$A$501"),"&gt;="&amp;$I197,INDIRECT("'"&amp;$A197&amp;"'!$A$2:$A$501"),"&lt;"&amp;($BA197+1),INDIRECT("'"&amp;$A197&amp;"'!$F$2:$F$501"),"Didn't see it"),0)))</f>
        <v/>
      </c>
      <c r="AR197" s="30" t="str">
        <f aca="true">IF(OR($A197="",$I197=""),"",IF($BC197="Y",SUMIFS(survey_frozen!$F$2:$F$251,survey_frozen!$P$2:$P$251,$A197&amp;"|"&amp;$B197),IFERROR(COUNTIFS(INDIRECT("'"&amp;$A197&amp;"'!$B$2:$B$501"),$T197,INDIRECT("'"&amp;$A197&amp;"'!$A$2:$A$501"),"&gt;="&amp;$I197,INDIRECT("'"&amp;$A197&amp;"'!$A$2:$A$501"),"&lt;"&amp;($BA197+1),INDIRECT("'"&amp;$A197&amp;"'!$F$2:$F$501"),"Not for me"),0)))</f>
        <v/>
      </c>
      <c r="AS197" s="30" t="str">
        <f aca="true">IF(OR($A197="",$I197=""),"",IF($BC197="Y",SUMIFS(survey_frozen!$G$2:$G$251,survey_frozen!$P$2:$P$251,$A197&amp;"|"&amp;$B197),IFERROR(COUNTIFS(INDIRECT("'"&amp;$A197&amp;"'!$B$2:$B$501"),$T197,INDIRECT("'"&amp;$A197&amp;"'!$A$2:$A$501"),"&gt;="&amp;$I197,INDIRECT("'"&amp;$A197&amp;"'!$A$2:$A$501"),"&lt;"&amp;($BA197+1),INDIRECT("'"&amp;$A197&amp;"'!$F$2:$F$501"),"Gone by the time I looked"),0)))</f>
        <v/>
      </c>
      <c r="AT197" s="30" t="str">
        <f aca="true">IF(OR($A197="",$I197=""),"",IF($BC197="Y",SUMIFS(survey_frozen!$H$2:$H$251,survey_frozen!$P$2:$P$251,$A197&amp;"|"&amp;$B197),IFERROR(COUNTIFS(INDIRECT("'"&amp;$A197&amp;"'!$B$2:$B$501"),$T197,INDIRECT("'"&amp;$A197&amp;"'!$A$2:$A$501"),"&gt;="&amp;$I197,INDIRECT("'"&amp;$A197&amp;"'!$A$2:$A$501"),"&lt;"&amp;($BA197+1),INDIRECT("'"&amp;$A197&amp;"'!$D$2:$D$501"),"&gt;=1"),0)))</f>
        <v/>
      </c>
      <c r="AU197" s="30" t="str">
        <f aca="true">IF(OR($A197="",$I197=""),"",IF($BC197="Y",SUMIFS(survey_frozen!$I$2:$I$251,survey_frozen!$P$2:$P$251,$A197&amp;"|"&amp;$B197),IFERROR(SUMIFS(INDIRECT("'"&amp;$A197&amp;"'!$D$2:$D$501"),INDIRECT("'"&amp;$A197&amp;"'!$B$2:$B$501"),$T197,INDIRECT("'"&amp;$A197&amp;"'!$A$2:$A$501"),"&gt;="&amp;$I197,INDIRECT("'"&amp;$A197&amp;"'!$A$2:$A$501"),"&lt;"&amp;($BA197+1)),0)))</f>
        <v/>
      </c>
      <c r="AV197" s="30" t="str">
        <f aca="true">IF(OR($A197="",$I197=""),"",IF($BC197="Y",SUMIFS(survey_frozen!$J$2:$J$251,survey_frozen!$P$2:$P$251,$A197&amp;"|"&amp;$B197),IFERROR(COUNTIFS(INDIRECT("'"&amp;$A197&amp;"'!$B$2:$B$501"),$T197,INDIRECT("'"&amp;$A197&amp;"'!$A$2:$A$501"),"&gt;="&amp;$I197,INDIRECT("'"&amp;$A197&amp;"'!$A$2:$A$501"),"&lt;"&amp;($BA197+1),INDIRECT("'"&amp;$A197&amp;"'!$E$2:$E$501"),"Yes"),0)))</f>
        <v/>
      </c>
      <c r="AW197" s="30" t="str">
        <f aca="true">IF(OR($A197="",$I197=""),"",IF($BC197="Y",SUMIFS(survey_frozen!$K$2:$K$251,survey_frozen!$P$2:$P$251,$A197&amp;"|"&amp;$B197),IFERROR(COUNTIFS(INDIRECT("'"&amp;$A197&amp;"'!$B$2:$B$501"),$T197,INDIRECT("'"&amp;$A197&amp;"'!$A$2:$A$501"),"&gt;="&amp;$I197,INDIRECT("'"&amp;$A197&amp;"'!$A$2:$A$501"),"&lt;"&amp;($BA197+1),INDIRECT("'"&amp;$A197&amp;"'!$E$2:$E$501"),"Maybe"),0)))</f>
        <v/>
      </c>
      <c r="AX197" s="30" t="str">
        <f aca="true">IF(OR($A197="",$I197=""),"",IF($BC197="Y",SUMIFS(survey_frozen!$L$2:$L$251,survey_frozen!$P$2:$P$251,$A197&amp;"|"&amp;$B197),IFERROR(COUNTIFS(INDIRECT("'"&amp;$A197&amp;"'!$B$2:$B$501"),$T197,INDIRECT("'"&amp;$A197&amp;"'!$A$2:$A$501"),"&gt;="&amp;$I197,INDIRECT("'"&amp;$A197&amp;"'!$A$2:$A$501"),"&lt;"&amp;($BA197+1),INDIRECT("'"&amp;$A197&amp;"'!$E$2:$E$501"),"No"),0)))</f>
        <v/>
      </c>
      <c r="AY197" s="30" t="str">
        <f aca="true">IF(OR($A197="",$I197=""),"",IF($BC197="Y",SUMIFS(survey_frozen!$M$2:$M$251,survey_frozen!$P$2:$P$251,$A197&amp;"|"&amp;$B197),IFERROR(COUNTIFS(INDIRECT("'"&amp;$A197&amp;"'!$B$2:$B$501"),$T197,INDIRECT("'"&amp;$A197&amp;"'!$A$2:$A$501"),"&gt;="&amp;$I197,INDIRECT("'"&amp;$A197&amp;"'!$A$2:$A$501"),"&lt;"&amp;($BA197+1),INDIRECT("'"&amp;$A197&amp;"'!$G$2:$G$501"),"&lt;&gt;"),0)))</f>
        <v/>
      </c>
      <c r="AZ197" s="30" t="str">
        <f aca="false">IF($A197="","",$A197&amp;"|"&amp;$L197)</f>
        <v/>
      </c>
      <c r="BA197" s="31" t="str">
        <f aca="false">IF($A197="","",IFERROR(IF(INDEX(drops!$R$2:$R$21,MATCH($H197,drops!$A$2:$A$21,0))="","",INDEX(drops!$R$2:$R$21,MATCH($H197,drops!$A$2:$A$21,0))),""))</f>
        <v/>
      </c>
      <c r="BB197" s="30" t="n">
        <f aca="false">IF(OR($A197="",$Q197&lt;&gt;"Y"),1000000,N($AL197))</f>
        <v>1000000</v>
      </c>
      <c r="BC197" s="30" t="str">
        <f aca="false">IF($A197="","",IF(COUNTIF(survey_frozen!$P$2:$P$251,$A197&amp;"|"&amp;$B197)&gt;0,"Y",""))</f>
        <v/>
      </c>
      <c r="BD197" s="30" t="str">
        <f aca="false">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ustomFormat="false" ht="15" hidden="false" customHeight="false" outlineLevel="0" collapsed="false">
      <c r="C198" s="11"/>
      <c r="D198" s="10"/>
      <c r="E198" s="11"/>
      <c r="H198" s="30" t="str">
        <f aca="false">IF($A198="","",IFERROR(IF(INDEX(campaigns!$B$2:$B$51,MATCH($A198,campaigns!$A$2:$A$51,0))="","",INDEX(campaigns!$B$2:$B$51,MATCH($A198,campaigns!$A$2:$A$51,0))),""))</f>
        <v/>
      </c>
      <c r="I198" s="31" t="str">
        <f aca="false">IF($A198="","",IFERROR(IF(INDEX(campaigns!$BG$2:$BG$51,MATCH($A198,campaigns!$A$2:$A$51,0))="","",INDEX(campaigns!$BG$2:$BG$51,MATCH($A198,campaigns!$A$2:$A$51,0))),""))</f>
        <v/>
      </c>
      <c r="J198" s="30" t="str">
        <f aca="false">IF($A198="","",IFERROR(IF(INDEX(campaigns!$BE$2:$BE$51,MATCH($A198,campaigns!$A$2:$A$51,0))="","",INDEX(campaigns!$BE$2:$BE$51,MATCH($A198,campaigns!$A$2:$A$51,0))),""))</f>
        <v/>
      </c>
      <c r="K198" s="30" t="str">
        <f aca="false">IF($B198="","",IFERROR(IF(INDEX(offices!$O$2:$O$61,MATCH($B198,offices!$A$2:$A$61,0))="","",INDEX(offices!$O$2:$O$61,MATCH($B198,offices!$A$2:$A$61,0))),""))</f>
        <v/>
      </c>
      <c r="L198" s="30" t="str">
        <f aca="false">IF($A198="","",IF($Q198="N","",COUNTIFS($A$2:$A198,$A198,$Q$2:$Q198,"&lt;&gt;N")))</f>
        <v/>
      </c>
      <c r="M198" s="30" t="str">
        <f aca="false">IF(OR($A198="",$L198=""),"",IF(AND(config!$B$34="names_if_public",IFERROR(IF(INDEX(offices!$AG$2:$AG$61,MATCH($B198,offices!$A$2:$A$61,0))="","",INDEX(offices!$AG$2:$AG$61,MATCH($B198,offices!$A$2:$A$61,0))),"")="Y"),$K198,CHAR(64+$L198)))</f>
        <v/>
      </c>
      <c r="N198" s="30" t="str">
        <f aca="false">IF(OR($A198="",$I198=""),"",COUNTIFS(stops!$B$2:$B$151,$B198,stops!$P$2:$P$151,"&lt;"&amp;$I198,stops!$L$2:$L$151,"&lt;&gt;not_delivered")+1)</f>
        <v/>
      </c>
      <c r="O198" s="30" t="str">
        <f aca="false">IF($A198="","",IF(N($N198)&lt;=config!$B$29,"explicit","opt-out"))</f>
        <v/>
      </c>
      <c r="P198" s="30" t="str">
        <f aca="false">IF($A198="","",IF($O198="explicit",IF($D198="yes","Y",IF($D198="no","N","pending")),IF($D198="no","N",IF(AND($C198&lt;&gt;"",$I198&lt;&gt;"",$C198&lt;=WORKDAY(N($I198),-5,calendar!$A$2:$A$80)),"Y","pending"))))</f>
        <v/>
      </c>
      <c r="Q198" s="30" t="str">
        <f aca="false">IF($A198="","",IF($P198="N","N",IF($P198&lt;&gt;"Y","pending",IF(AND((COUNTIFS(stops!$A$2:$A$151,$H198,stops!$B$2:$B$151,$B198,stops!$L$2:$L$151,"declined")+COUNTIFS(stops!$A$2:$A$151,$H198,stops!$B$2:$B$151,$B198,stops!$L$2:$L$151,"building_refused")+COUNTIFS(stops!$A$2:$A$151,$H198,stops!$B$2:$B$151,$B198,stops!$L$2:$L$151,"not_delivered"))&gt;0,N($U198)=0),"N","Y"))))</f>
        <v/>
      </c>
      <c r="R198" s="30" t="str">
        <f aca="false">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30" t="str">
        <f aca="false">IF($A198="","",IF($G198&lt;&gt;"",$G198,IFERROR(IF(INDEX(offices!$AM$2:$AM$61,MATCH($B198,offices!$A$2:$A$61,0))="","",INDEX(offices!$AM$2:$AM$61,MATCH($B198,offices!$A$2:$A$61,0))),"")))</f>
        <v/>
      </c>
      <c r="T198" s="30" t="str">
        <f aca="false">IF($A198="","",$A198&amp;"."&amp;$B198)</f>
        <v/>
      </c>
      <c r="U198" s="30" t="str">
        <f aca="false">IF($A198="","",SUMIFS(inventory!$G$2:$G$801,inventory!$C$2:$C$801,$A198,inventory!$D$2:$D$801,$B198,inventory!$E$2:$E$801,"delivered"))</f>
        <v/>
      </c>
      <c r="V198" s="37" t="str">
        <f aca="false">IF($A198="","",IFERROR(1/(1/SUMPRODUCT(MAX((inventory!$C$2:$C$801=$A198)*(inventory!$D$2:$D$801=$B198)*(inventory!$E$2:$E$801="delivered")*(inventory!$A$2:$A$801+inventory!$B$2:$B$801)))),""))</f>
        <v/>
      </c>
      <c r="W198" s="30" t="str">
        <f aca="false">IF($A198="","",IFERROR(IF(INDEX(inventory!$J$2:$J$801,MATCH($A198&amp;"|"&amp;$B198&amp;"|delivered",inventory!$R$2:$R$801,0))="","",INDEX(inventory!$J$2:$J$801,MATCH($A198&amp;"|"&amp;$B198&amp;"|delivered",inventory!$R$2:$R$801,0))),""))</f>
        <v/>
      </c>
      <c r="X198" s="30" t="str">
        <f aca="false">IF($A198="","",IFERROR(IF(INDEX(photos!$H$2:$H$701,MATCH($A198&amp;"|"&amp;$B198&amp;"|placement|Y",photos!$R$2:$R$701,0))="","",INDEX(photos!$H$2:$H$701,MATCH($A198&amp;"|"&amp;$B198&amp;"|placement|Y",photos!$R$2:$R$701,0))),""))</f>
        <v/>
      </c>
      <c r="Y198" s="31" t="str">
        <f aca="false">IF($A198="","",IFERROR(IF(INDEX(photos!$E$2:$E$701,MATCH($A198&amp;"|"&amp;$B198&amp;"|placement|Y",photos!$R$2:$R$701,0))="","",INDEX(photos!$E$2:$E$701,MATCH($A198&amp;"|"&amp;$B198&amp;"|placement|Y",photos!$R$2:$R$701,0))),""))</f>
        <v/>
      </c>
      <c r="Z198" s="30" t="str">
        <f aca="false">IF($A198="","",IF(COUNTIFS(counts!$C$2:$C$701,$A198,counts!$D$2:$D$701,$B198,counts!$E$2:$E$701,"placed")=0,"",SUMIFS(counts!$F$2:$F$701,counts!$C$2:$C$701,$A198,counts!$D$2:$D$701,$B198,counts!$E$2:$E$701,"placed")))</f>
        <v/>
      </c>
      <c r="AA198" s="30" t="str">
        <f aca="false">IF($A198="","",IF($Y198="",0,N($Z198)))</f>
        <v/>
      </c>
      <c r="AB198" s="30" t="str">
        <f aca="false">IF($A198="","",IF(OR($Y198="",$I198=""),"N",IF($Y198&lt;=WORKDAY(N($I198),1,calendar!$A$2:$A$80),"Y","N")))</f>
        <v/>
      </c>
      <c r="AC198" s="33" t="str">
        <f aca="false">IF(OR($A198="",$V198="",$Y198=""),"",ROUND(($Y198+N(IFERROR(IF(INDEX(photos!$F$2:$F$701,MATCH($A198&amp;"|"&amp;$B198&amp;"|placement|Y",photos!$R$2:$R$701,0))="","",INDEX(photos!$F$2:$F$701,MATCH($A198&amp;"|"&amp;$B198&amp;"|placement|Y",photos!$R$2:$R$701,0))),""))-$V198)*24,1))</f>
        <v/>
      </c>
      <c r="AD198" s="30" t="str">
        <f aca="false">IF($A198="","",SUMIFS(inventory!$G$2:$G$801,inventory!$C$2:$C$801,$A198,inventory!$D$2:$D$801,$B198,inventory!$E$2:$E$801,"topped_up"))</f>
        <v/>
      </c>
      <c r="AE198" s="30" t="str">
        <f aca="false">IF($A198="","",IF(COUNTIFS(counts!$C$2:$C$701,$A198,counts!$D$2:$D$701,$B198,counts!$E$2:$E$701,"remaining_day3")=0,"",SUMIFS(counts!$F$2:$F$701,counts!$C$2:$C$701,$A198,counts!$D$2:$D$701,$B198,counts!$E$2:$E$701,"remaining_day3")))</f>
        <v/>
      </c>
      <c r="AF198" s="30" t="str">
        <f aca="false">IF($A198="","",IF(COUNTIFS(counts!$C$2:$C$701,$A198,counts!$D$2:$D$701,$B198,counts!$E$2:$E$701,"remaining_day5")=0,"",SUMIFS(counts!$F$2:$F$701,counts!$C$2:$C$701,$A198,counts!$D$2:$D$701,$B198,counts!$E$2:$E$701,"remaining_day5")))</f>
        <v/>
      </c>
      <c r="AG198" s="30" t="str">
        <f aca="false">IF(OR($A198="",$AF198=""),"",MAX(0,$AA198+$AD198-$AF198))</f>
        <v/>
      </c>
      <c r="AH198" s="30" t="str">
        <f aca="false">IF(OR($A198="",$AI198=""),"",IFERROR(IF(INDEX(photos!$H$2:$H$701,MATCH($A198&amp;"|"&amp;$B198&amp;"|later|Y|"&amp;$AI198,photos!$S$2:$S$701,0))="","",INDEX(photos!$H$2:$H$701,MATCH($A198&amp;"|"&amp;$B198&amp;"|later|Y|"&amp;$AI198,photos!$S$2:$S$701,0))),""))</f>
        <v/>
      </c>
      <c r="AI198" s="31" t="str">
        <f aca="false">IF($A198="","",IFERROR(1/(1/SUMPRODUCT(MAX((photos!$B$2:$B$701=$A198)*(photos!$C$2:$C$701=$B198)*(photos!$D$2:$D$701="later")*(photos!$O$2:$O$701="Y")*photos!$E$2:$E$701))),""))</f>
        <v/>
      </c>
      <c r="AJ198" s="30" t="str">
        <f aca="false">IF(OR($A198="",$AI198="",$I198=""),"",NETWORKDAYS($I198,$AI198,calendar!$A$2:$A$80))</f>
        <v/>
      </c>
      <c r="AK198" s="30" t="str">
        <f aca="false">IF($A198="","",IF(AND($X198&lt;&gt;"",$AH198&lt;&gt;""),"Y","N"))</f>
        <v/>
      </c>
      <c r="AL198" s="30" t="str">
        <f aca="true">IF(OR($A198="",$I198=""),"",IF($BC198="Y",SUMIFS(survey_frozen!$C$2:$C$251,survey_frozen!$P$2:$P$251,$A198&amp;"|"&amp;$B198),IFERROR(COUNTIFS(INDIRECT("'"&amp;$A198&amp;"'!$B$2:$B$501"),$T198,INDIRECT("'"&amp;$A198&amp;"'!$A$2:$A$501"),"&gt;="&amp;$I198,INDIRECT("'"&amp;$A198&amp;"'!$A$2:$A$501"),"&lt;"&amp;($BA198+1)),0)))</f>
        <v/>
      </c>
      <c r="AM198" s="30" t="str">
        <f aca="true">IF(OR($A198="",$I198=""),"",IF($BC198="Y",SUMIFS(survey_frozen!$D$2:$D$251,survey_frozen!$P$2:$P$251,$A198&amp;"|"&amp;$B198),IFERROR(COUNTIFS(INDIRECT("'"&amp;$A198&amp;"'!$B$2:$B$501"),$T198,INDIRECT("'"&amp;$A198&amp;"'!$A$2:$A$501"),"&gt;="&amp;$I198,INDIRECT("'"&amp;$A198&amp;"'!$A$2:$A$501"),"&lt;"&amp;($BA198+1),INDIRECT("'"&amp;$A198&amp;"'!$C$2:$C$501"),"Yes"),0)))</f>
        <v/>
      </c>
      <c r="AN198" s="30" t="str">
        <f aca="false">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30" t="str">
        <f aca="false">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30" t="str">
        <f aca="true">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30" t="str">
        <f aca="true">IF(OR($A198="",$I198=""),"",IF($BC198="Y",SUMIFS(survey_frozen!$E$2:$E$251,survey_frozen!$P$2:$P$251,$A198&amp;"|"&amp;$B198),IFERROR(COUNTIFS(INDIRECT("'"&amp;$A198&amp;"'!$B$2:$B$501"),$T198,INDIRECT("'"&amp;$A198&amp;"'!$A$2:$A$501"),"&gt;="&amp;$I198,INDIRECT("'"&amp;$A198&amp;"'!$A$2:$A$501"),"&lt;"&amp;($BA198+1),INDIRECT("'"&amp;$A198&amp;"'!$F$2:$F$501"),"Didn't see it"),0)))</f>
        <v/>
      </c>
      <c r="AR198" s="30" t="str">
        <f aca="true">IF(OR($A198="",$I198=""),"",IF($BC198="Y",SUMIFS(survey_frozen!$F$2:$F$251,survey_frozen!$P$2:$P$251,$A198&amp;"|"&amp;$B198),IFERROR(COUNTIFS(INDIRECT("'"&amp;$A198&amp;"'!$B$2:$B$501"),$T198,INDIRECT("'"&amp;$A198&amp;"'!$A$2:$A$501"),"&gt;="&amp;$I198,INDIRECT("'"&amp;$A198&amp;"'!$A$2:$A$501"),"&lt;"&amp;($BA198+1),INDIRECT("'"&amp;$A198&amp;"'!$F$2:$F$501"),"Not for me"),0)))</f>
        <v/>
      </c>
      <c r="AS198" s="30" t="str">
        <f aca="true">IF(OR($A198="",$I198=""),"",IF($BC198="Y",SUMIFS(survey_frozen!$G$2:$G$251,survey_frozen!$P$2:$P$251,$A198&amp;"|"&amp;$B198),IFERROR(COUNTIFS(INDIRECT("'"&amp;$A198&amp;"'!$B$2:$B$501"),$T198,INDIRECT("'"&amp;$A198&amp;"'!$A$2:$A$501"),"&gt;="&amp;$I198,INDIRECT("'"&amp;$A198&amp;"'!$A$2:$A$501"),"&lt;"&amp;($BA198+1),INDIRECT("'"&amp;$A198&amp;"'!$F$2:$F$501"),"Gone by the time I looked"),0)))</f>
        <v/>
      </c>
      <c r="AT198" s="30" t="str">
        <f aca="true">IF(OR($A198="",$I198=""),"",IF($BC198="Y",SUMIFS(survey_frozen!$H$2:$H$251,survey_frozen!$P$2:$P$251,$A198&amp;"|"&amp;$B198),IFERROR(COUNTIFS(INDIRECT("'"&amp;$A198&amp;"'!$B$2:$B$501"),$T198,INDIRECT("'"&amp;$A198&amp;"'!$A$2:$A$501"),"&gt;="&amp;$I198,INDIRECT("'"&amp;$A198&amp;"'!$A$2:$A$501"),"&lt;"&amp;($BA198+1),INDIRECT("'"&amp;$A198&amp;"'!$D$2:$D$501"),"&gt;=1"),0)))</f>
        <v/>
      </c>
      <c r="AU198" s="30" t="str">
        <f aca="true">IF(OR($A198="",$I198=""),"",IF($BC198="Y",SUMIFS(survey_frozen!$I$2:$I$251,survey_frozen!$P$2:$P$251,$A198&amp;"|"&amp;$B198),IFERROR(SUMIFS(INDIRECT("'"&amp;$A198&amp;"'!$D$2:$D$501"),INDIRECT("'"&amp;$A198&amp;"'!$B$2:$B$501"),$T198,INDIRECT("'"&amp;$A198&amp;"'!$A$2:$A$501"),"&gt;="&amp;$I198,INDIRECT("'"&amp;$A198&amp;"'!$A$2:$A$501"),"&lt;"&amp;($BA198+1)),0)))</f>
        <v/>
      </c>
      <c r="AV198" s="30" t="str">
        <f aca="true">IF(OR($A198="",$I198=""),"",IF($BC198="Y",SUMIFS(survey_frozen!$J$2:$J$251,survey_frozen!$P$2:$P$251,$A198&amp;"|"&amp;$B198),IFERROR(COUNTIFS(INDIRECT("'"&amp;$A198&amp;"'!$B$2:$B$501"),$T198,INDIRECT("'"&amp;$A198&amp;"'!$A$2:$A$501"),"&gt;="&amp;$I198,INDIRECT("'"&amp;$A198&amp;"'!$A$2:$A$501"),"&lt;"&amp;($BA198+1),INDIRECT("'"&amp;$A198&amp;"'!$E$2:$E$501"),"Yes"),0)))</f>
        <v/>
      </c>
      <c r="AW198" s="30" t="str">
        <f aca="true">IF(OR($A198="",$I198=""),"",IF($BC198="Y",SUMIFS(survey_frozen!$K$2:$K$251,survey_frozen!$P$2:$P$251,$A198&amp;"|"&amp;$B198),IFERROR(COUNTIFS(INDIRECT("'"&amp;$A198&amp;"'!$B$2:$B$501"),$T198,INDIRECT("'"&amp;$A198&amp;"'!$A$2:$A$501"),"&gt;="&amp;$I198,INDIRECT("'"&amp;$A198&amp;"'!$A$2:$A$501"),"&lt;"&amp;($BA198+1),INDIRECT("'"&amp;$A198&amp;"'!$E$2:$E$501"),"Maybe"),0)))</f>
        <v/>
      </c>
      <c r="AX198" s="30" t="str">
        <f aca="true">IF(OR($A198="",$I198=""),"",IF($BC198="Y",SUMIFS(survey_frozen!$L$2:$L$251,survey_frozen!$P$2:$P$251,$A198&amp;"|"&amp;$B198),IFERROR(COUNTIFS(INDIRECT("'"&amp;$A198&amp;"'!$B$2:$B$501"),$T198,INDIRECT("'"&amp;$A198&amp;"'!$A$2:$A$501"),"&gt;="&amp;$I198,INDIRECT("'"&amp;$A198&amp;"'!$A$2:$A$501"),"&lt;"&amp;($BA198+1),INDIRECT("'"&amp;$A198&amp;"'!$E$2:$E$501"),"No"),0)))</f>
        <v/>
      </c>
      <c r="AY198" s="30" t="str">
        <f aca="true">IF(OR($A198="",$I198=""),"",IF($BC198="Y",SUMIFS(survey_frozen!$M$2:$M$251,survey_frozen!$P$2:$P$251,$A198&amp;"|"&amp;$B198),IFERROR(COUNTIFS(INDIRECT("'"&amp;$A198&amp;"'!$B$2:$B$501"),$T198,INDIRECT("'"&amp;$A198&amp;"'!$A$2:$A$501"),"&gt;="&amp;$I198,INDIRECT("'"&amp;$A198&amp;"'!$A$2:$A$501"),"&lt;"&amp;($BA198+1),INDIRECT("'"&amp;$A198&amp;"'!$G$2:$G$501"),"&lt;&gt;"),0)))</f>
        <v/>
      </c>
      <c r="AZ198" s="30" t="str">
        <f aca="false">IF($A198="","",$A198&amp;"|"&amp;$L198)</f>
        <v/>
      </c>
      <c r="BA198" s="31" t="str">
        <f aca="false">IF($A198="","",IFERROR(IF(INDEX(drops!$R$2:$R$21,MATCH($H198,drops!$A$2:$A$21,0))="","",INDEX(drops!$R$2:$R$21,MATCH($H198,drops!$A$2:$A$21,0))),""))</f>
        <v/>
      </c>
      <c r="BB198" s="30" t="n">
        <f aca="false">IF(OR($A198="",$Q198&lt;&gt;"Y"),1000000,N($AL198))</f>
        <v>1000000</v>
      </c>
      <c r="BC198" s="30" t="str">
        <f aca="false">IF($A198="","",IF(COUNTIF(survey_frozen!$P$2:$P$251,$A198&amp;"|"&amp;$B198)&gt;0,"Y",""))</f>
        <v/>
      </c>
      <c r="BD198" s="30" t="str">
        <f aca="false">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ustomFormat="false" ht="15" hidden="false" customHeight="false" outlineLevel="0" collapsed="false">
      <c r="C199" s="11"/>
      <c r="D199" s="10"/>
      <c r="E199" s="11"/>
      <c r="H199" s="30" t="str">
        <f aca="false">IF($A199="","",IFERROR(IF(INDEX(campaigns!$B$2:$B$51,MATCH($A199,campaigns!$A$2:$A$51,0))="","",INDEX(campaigns!$B$2:$B$51,MATCH($A199,campaigns!$A$2:$A$51,0))),""))</f>
        <v/>
      </c>
      <c r="I199" s="31" t="str">
        <f aca="false">IF($A199="","",IFERROR(IF(INDEX(campaigns!$BG$2:$BG$51,MATCH($A199,campaigns!$A$2:$A$51,0))="","",INDEX(campaigns!$BG$2:$BG$51,MATCH($A199,campaigns!$A$2:$A$51,0))),""))</f>
        <v/>
      </c>
      <c r="J199" s="30" t="str">
        <f aca="false">IF($A199="","",IFERROR(IF(INDEX(campaigns!$BE$2:$BE$51,MATCH($A199,campaigns!$A$2:$A$51,0))="","",INDEX(campaigns!$BE$2:$BE$51,MATCH($A199,campaigns!$A$2:$A$51,0))),""))</f>
        <v/>
      </c>
      <c r="K199" s="30" t="str">
        <f aca="false">IF($B199="","",IFERROR(IF(INDEX(offices!$O$2:$O$61,MATCH($B199,offices!$A$2:$A$61,0))="","",INDEX(offices!$O$2:$O$61,MATCH($B199,offices!$A$2:$A$61,0))),""))</f>
        <v/>
      </c>
      <c r="L199" s="30" t="str">
        <f aca="false">IF($A199="","",IF($Q199="N","",COUNTIFS($A$2:$A199,$A199,$Q$2:$Q199,"&lt;&gt;N")))</f>
        <v/>
      </c>
      <c r="M199" s="30" t="str">
        <f aca="false">IF(OR($A199="",$L199=""),"",IF(AND(config!$B$34="names_if_public",IFERROR(IF(INDEX(offices!$AG$2:$AG$61,MATCH($B199,offices!$A$2:$A$61,0))="","",INDEX(offices!$AG$2:$AG$61,MATCH($B199,offices!$A$2:$A$61,0))),"")="Y"),$K199,CHAR(64+$L199)))</f>
        <v/>
      </c>
      <c r="N199" s="30" t="str">
        <f aca="false">IF(OR($A199="",$I199=""),"",COUNTIFS(stops!$B$2:$B$151,$B199,stops!$P$2:$P$151,"&lt;"&amp;$I199,stops!$L$2:$L$151,"&lt;&gt;not_delivered")+1)</f>
        <v/>
      </c>
      <c r="O199" s="30" t="str">
        <f aca="false">IF($A199="","",IF(N($N199)&lt;=config!$B$29,"explicit","opt-out"))</f>
        <v/>
      </c>
      <c r="P199" s="30" t="str">
        <f aca="false">IF($A199="","",IF($O199="explicit",IF($D199="yes","Y",IF($D199="no","N","pending")),IF($D199="no","N",IF(AND($C199&lt;&gt;"",$I199&lt;&gt;"",$C199&lt;=WORKDAY(N($I199),-5,calendar!$A$2:$A$80)),"Y","pending"))))</f>
        <v/>
      </c>
      <c r="Q199" s="30" t="str">
        <f aca="false">IF($A199="","",IF($P199="N","N",IF($P199&lt;&gt;"Y","pending",IF(AND((COUNTIFS(stops!$A$2:$A$151,$H199,stops!$B$2:$B$151,$B199,stops!$L$2:$L$151,"declined")+COUNTIFS(stops!$A$2:$A$151,$H199,stops!$B$2:$B$151,$B199,stops!$L$2:$L$151,"building_refused")+COUNTIFS(stops!$A$2:$A$151,$H199,stops!$B$2:$B$151,$B199,stops!$L$2:$L$151,"not_delivered"))&gt;0,N($U199)=0),"N","Y"))))</f>
        <v/>
      </c>
      <c r="R199" s="30" t="str">
        <f aca="false">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30" t="str">
        <f aca="false">IF($A199="","",IF($G199&lt;&gt;"",$G199,IFERROR(IF(INDEX(offices!$AM$2:$AM$61,MATCH($B199,offices!$A$2:$A$61,0))="","",INDEX(offices!$AM$2:$AM$61,MATCH($B199,offices!$A$2:$A$61,0))),"")))</f>
        <v/>
      </c>
      <c r="T199" s="30" t="str">
        <f aca="false">IF($A199="","",$A199&amp;"."&amp;$B199)</f>
        <v/>
      </c>
      <c r="U199" s="30" t="str">
        <f aca="false">IF($A199="","",SUMIFS(inventory!$G$2:$G$801,inventory!$C$2:$C$801,$A199,inventory!$D$2:$D$801,$B199,inventory!$E$2:$E$801,"delivered"))</f>
        <v/>
      </c>
      <c r="V199" s="37" t="str">
        <f aca="false">IF($A199="","",IFERROR(1/(1/SUMPRODUCT(MAX((inventory!$C$2:$C$801=$A199)*(inventory!$D$2:$D$801=$B199)*(inventory!$E$2:$E$801="delivered")*(inventory!$A$2:$A$801+inventory!$B$2:$B$801)))),""))</f>
        <v/>
      </c>
      <c r="W199" s="30" t="str">
        <f aca="false">IF($A199="","",IFERROR(IF(INDEX(inventory!$J$2:$J$801,MATCH($A199&amp;"|"&amp;$B199&amp;"|delivered",inventory!$R$2:$R$801,0))="","",INDEX(inventory!$J$2:$J$801,MATCH($A199&amp;"|"&amp;$B199&amp;"|delivered",inventory!$R$2:$R$801,0))),""))</f>
        <v/>
      </c>
      <c r="X199" s="30" t="str">
        <f aca="false">IF($A199="","",IFERROR(IF(INDEX(photos!$H$2:$H$701,MATCH($A199&amp;"|"&amp;$B199&amp;"|placement|Y",photos!$R$2:$R$701,0))="","",INDEX(photos!$H$2:$H$701,MATCH($A199&amp;"|"&amp;$B199&amp;"|placement|Y",photos!$R$2:$R$701,0))),""))</f>
        <v/>
      </c>
      <c r="Y199" s="31" t="str">
        <f aca="false">IF($A199="","",IFERROR(IF(INDEX(photos!$E$2:$E$701,MATCH($A199&amp;"|"&amp;$B199&amp;"|placement|Y",photos!$R$2:$R$701,0))="","",INDEX(photos!$E$2:$E$701,MATCH($A199&amp;"|"&amp;$B199&amp;"|placement|Y",photos!$R$2:$R$701,0))),""))</f>
        <v/>
      </c>
      <c r="Z199" s="30" t="str">
        <f aca="false">IF($A199="","",IF(COUNTIFS(counts!$C$2:$C$701,$A199,counts!$D$2:$D$701,$B199,counts!$E$2:$E$701,"placed")=0,"",SUMIFS(counts!$F$2:$F$701,counts!$C$2:$C$701,$A199,counts!$D$2:$D$701,$B199,counts!$E$2:$E$701,"placed")))</f>
        <v/>
      </c>
      <c r="AA199" s="30" t="str">
        <f aca="false">IF($A199="","",IF($Y199="",0,N($Z199)))</f>
        <v/>
      </c>
      <c r="AB199" s="30" t="str">
        <f aca="false">IF($A199="","",IF(OR($Y199="",$I199=""),"N",IF($Y199&lt;=WORKDAY(N($I199),1,calendar!$A$2:$A$80),"Y","N")))</f>
        <v/>
      </c>
      <c r="AC199" s="33" t="str">
        <f aca="false">IF(OR($A199="",$V199="",$Y199=""),"",ROUND(($Y199+N(IFERROR(IF(INDEX(photos!$F$2:$F$701,MATCH($A199&amp;"|"&amp;$B199&amp;"|placement|Y",photos!$R$2:$R$701,0))="","",INDEX(photos!$F$2:$F$701,MATCH($A199&amp;"|"&amp;$B199&amp;"|placement|Y",photos!$R$2:$R$701,0))),""))-$V199)*24,1))</f>
        <v/>
      </c>
      <c r="AD199" s="30" t="str">
        <f aca="false">IF($A199="","",SUMIFS(inventory!$G$2:$G$801,inventory!$C$2:$C$801,$A199,inventory!$D$2:$D$801,$B199,inventory!$E$2:$E$801,"topped_up"))</f>
        <v/>
      </c>
      <c r="AE199" s="30" t="str">
        <f aca="false">IF($A199="","",IF(COUNTIFS(counts!$C$2:$C$701,$A199,counts!$D$2:$D$701,$B199,counts!$E$2:$E$701,"remaining_day3")=0,"",SUMIFS(counts!$F$2:$F$701,counts!$C$2:$C$701,$A199,counts!$D$2:$D$701,$B199,counts!$E$2:$E$701,"remaining_day3")))</f>
        <v/>
      </c>
      <c r="AF199" s="30" t="str">
        <f aca="false">IF($A199="","",IF(COUNTIFS(counts!$C$2:$C$701,$A199,counts!$D$2:$D$701,$B199,counts!$E$2:$E$701,"remaining_day5")=0,"",SUMIFS(counts!$F$2:$F$701,counts!$C$2:$C$701,$A199,counts!$D$2:$D$701,$B199,counts!$E$2:$E$701,"remaining_day5")))</f>
        <v/>
      </c>
      <c r="AG199" s="30" t="str">
        <f aca="false">IF(OR($A199="",$AF199=""),"",MAX(0,$AA199+$AD199-$AF199))</f>
        <v/>
      </c>
      <c r="AH199" s="30" t="str">
        <f aca="false">IF(OR($A199="",$AI199=""),"",IFERROR(IF(INDEX(photos!$H$2:$H$701,MATCH($A199&amp;"|"&amp;$B199&amp;"|later|Y|"&amp;$AI199,photos!$S$2:$S$701,0))="","",INDEX(photos!$H$2:$H$701,MATCH($A199&amp;"|"&amp;$B199&amp;"|later|Y|"&amp;$AI199,photos!$S$2:$S$701,0))),""))</f>
        <v/>
      </c>
      <c r="AI199" s="31" t="str">
        <f aca="false">IF($A199="","",IFERROR(1/(1/SUMPRODUCT(MAX((photos!$B$2:$B$701=$A199)*(photos!$C$2:$C$701=$B199)*(photos!$D$2:$D$701="later")*(photos!$O$2:$O$701="Y")*photos!$E$2:$E$701))),""))</f>
        <v/>
      </c>
      <c r="AJ199" s="30" t="str">
        <f aca="false">IF(OR($A199="",$AI199="",$I199=""),"",NETWORKDAYS($I199,$AI199,calendar!$A$2:$A$80))</f>
        <v/>
      </c>
      <c r="AK199" s="30" t="str">
        <f aca="false">IF($A199="","",IF(AND($X199&lt;&gt;"",$AH199&lt;&gt;""),"Y","N"))</f>
        <v/>
      </c>
      <c r="AL199" s="30" t="str">
        <f aca="true">IF(OR($A199="",$I199=""),"",IF($BC199="Y",SUMIFS(survey_frozen!$C$2:$C$251,survey_frozen!$P$2:$P$251,$A199&amp;"|"&amp;$B199),IFERROR(COUNTIFS(INDIRECT("'"&amp;$A199&amp;"'!$B$2:$B$501"),$T199,INDIRECT("'"&amp;$A199&amp;"'!$A$2:$A$501"),"&gt;="&amp;$I199,INDIRECT("'"&amp;$A199&amp;"'!$A$2:$A$501"),"&lt;"&amp;($BA199+1)),0)))</f>
        <v/>
      </c>
      <c r="AM199" s="30" t="str">
        <f aca="true">IF(OR($A199="",$I199=""),"",IF($BC199="Y",SUMIFS(survey_frozen!$D$2:$D$251,survey_frozen!$P$2:$P$251,$A199&amp;"|"&amp;$B199),IFERROR(COUNTIFS(INDIRECT("'"&amp;$A199&amp;"'!$B$2:$B$501"),$T199,INDIRECT("'"&amp;$A199&amp;"'!$A$2:$A$501"),"&gt;="&amp;$I199,INDIRECT("'"&amp;$A199&amp;"'!$A$2:$A$501"),"&lt;"&amp;($BA199+1),INDIRECT("'"&amp;$A199&amp;"'!$C$2:$C$501"),"Yes"),0)))</f>
        <v/>
      </c>
      <c r="AN199" s="30" t="str">
        <f aca="false">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30" t="str">
        <f aca="false">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30" t="str">
        <f aca="true">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30" t="str">
        <f aca="true">IF(OR($A199="",$I199=""),"",IF($BC199="Y",SUMIFS(survey_frozen!$E$2:$E$251,survey_frozen!$P$2:$P$251,$A199&amp;"|"&amp;$B199),IFERROR(COUNTIFS(INDIRECT("'"&amp;$A199&amp;"'!$B$2:$B$501"),$T199,INDIRECT("'"&amp;$A199&amp;"'!$A$2:$A$501"),"&gt;="&amp;$I199,INDIRECT("'"&amp;$A199&amp;"'!$A$2:$A$501"),"&lt;"&amp;($BA199+1),INDIRECT("'"&amp;$A199&amp;"'!$F$2:$F$501"),"Didn't see it"),0)))</f>
        <v/>
      </c>
      <c r="AR199" s="30" t="str">
        <f aca="true">IF(OR($A199="",$I199=""),"",IF($BC199="Y",SUMIFS(survey_frozen!$F$2:$F$251,survey_frozen!$P$2:$P$251,$A199&amp;"|"&amp;$B199),IFERROR(COUNTIFS(INDIRECT("'"&amp;$A199&amp;"'!$B$2:$B$501"),$T199,INDIRECT("'"&amp;$A199&amp;"'!$A$2:$A$501"),"&gt;="&amp;$I199,INDIRECT("'"&amp;$A199&amp;"'!$A$2:$A$501"),"&lt;"&amp;($BA199+1),INDIRECT("'"&amp;$A199&amp;"'!$F$2:$F$501"),"Not for me"),0)))</f>
        <v/>
      </c>
      <c r="AS199" s="30" t="str">
        <f aca="true">IF(OR($A199="",$I199=""),"",IF($BC199="Y",SUMIFS(survey_frozen!$G$2:$G$251,survey_frozen!$P$2:$P$251,$A199&amp;"|"&amp;$B199),IFERROR(COUNTIFS(INDIRECT("'"&amp;$A199&amp;"'!$B$2:$B$501"),$T199,INDIRECT("'"&amp;$A199&amp;"'!$A$2:$A$501"),"&gt;="&amp;$I199,INDIRECT("'"&amp;$A199&amp;"'!$A$2:$A$501"),"&lt;"&amp;($BA199+1),INDIRECT("'"&amp;$A199&amp;"'!$F$2:$F$501"),"Gone by the time I looked"),0)))</f>
        <v/>
      </c>
      <c r="AT199" s="30" t="str">
        <f aca="true">IF(OR($A199="",$I199=""),"",IF($BC199="Y",SUMIFS(survey_frozen!$H$2:$H$251,survey_frozen!$P$2:$P$251,$A199&amp;"|"&amp;$B199),IFERROR(COUNTIFS(INDIRECT("'"&amp;$A199&amp;"'!$B$2:$B$501"),$T199,INDIRECT("'"&amp;$A199&amp;"'!$A$2:$A$501"),"&gt;="&amp;$I199,INDIRECT("'"&amp;$A199&amp;"'!$A$2:$A$501"),"&lt;"&amp;($BA199+1),INDIRECT("'"&amp;$A199&amp;"'!$D$2:$D$501"),"&gt;=1"),0)))</f>
        <v/>
      </c>
      <c r="AU199" s="30" t="str">
        <f aca="true">IF(OR($A199="",$I199=""),"",IF($BC199="Y",SUMIFS(survey_frozen!$I$2:$I$251,survey_frozen!$P$2:$P$251,$A199&amp;"|"&amp;$B199),IFERROR(SUMIFS(INDIRECT("'"&amp;$A199&amp;"'!$D$2:$D$501"),INDIRECT("'"&amp;$A199&amp;"'!$B$2:$B$501"),$T199,INDIRECT("'"&amp;$A199&amp;"'!$A$2:$A$501"),"&gt;="&amp;$I199,INDIRECT("'"&amp;$A199&amp;"'!$A$2:$A$501"),"&lt;"&amp;($BA199+1)),0)))</f>
        <v/>
      </c>
      <c r="AV199" s="30" t="str">
        <f aca="true">IF(OR($A199="",$I199=""),"",IF($BC199="Y",SUMIFS(survey_frozen!$J$2:$J$251,survey_frozen!$P$2:$P$251,$A199&amp;"|"&amp;$B199),IFERROR(COUNTIFS(INDIRECT("'"&amp;$A199&amp;"'!$B$2:$B$501"),$T199,INDIRECT("'"&amp;$A199&amp;"'!$A$2:$A$501"),"&gt;="&amp;$I199,INDIRECT("'"&amp;$A199&amp;"'!$A$2:$A$501"),"&lt;"&amp;($BA199+1),INDIRECT("'"&amp;$A199&amp;"'!$E$2:$E$501"),"Yes"),0)))</f>
        <v/>
      </c>
      <c r="AW199" s="30" t="str">
        <f aca="true">IF(OR($A199="",$I199=""),"",IF($BC199="Y",SUMIFS(survey_frozen!$K$2:$K$251,survey_frozen!$P$2:$P$251,$A199&amp;"|"&amp;$B199),IFERROR(COUNTIFS(INDIRECT("'"&amp;$A199&amp;"'!$B$2:$B$501"),$T199,INDIRECT("'"&amp;$A199&amp;"'!$A$2:$A$501"),"&gt;="&amp;$I199,INDIRECT("'"&amp;$A199&amp;"'!$A$2:$A$501"),"&lt;"&amp;($BA199+1),INDIRECT("'"&amp;$A199&amp;"'!$E$2:$E$501"),"Maybe"),0)))</f>
        <v/>
      </c>
      <c r="AX199" s="30" t="str">
        <f aca="true">IF(OR($A199="",$I199=""),"",IF($BC199="Y",SUMIFS(survey_frozen!$L$2:$L$251,survey_frozen!$P$2:$P$251,$A199&amp;"|"&amp;$B199),IFERROR(COUNTIFS(INDIRECT("'"&amp;$A199&amp;"'!$B$2:$B$501"),$T199,INDIRECT("'"&amp;$A199&amp;"'!$A$2:$A$501"),"&gt;="&amp;$I199,INDIRECT("'"&amp;$A199&amp;"'!$A$2:$A$501"),"&lt;"&amp;($BA199+1),INDIRECT("'"&amp;$A199&amp;"'!$E$2:$E$501"),"No"),0)))</f>
        <v/>
      </c>
      <c r="AY199" s="30" t="str">
        <f aca="true">IF(OR($A199="",$I199=""),"",IF($BC199="Y",SUMIFS(survey_frozen!$M$2:$M$251,survey_frozen!$P$2:$P$251,$A199&amp;"|"&amp;$B199),IFERROR(COUNTIFS(INDIRECT("'"&amp;$A199&amp;"'!$B$2:$B$501"),$T199,INDIRECT("'"&amp;$A199&amp;"'!$A$2:$A$501"),"&gt;="&amp;$I199,INDIRECT("'"&amp;$A199&amp;"'!$A$2:$A$501"),"&lt;"&amp;($BA199+1),INDIRECT("'"&amp;$A199&amp;"'!$G$2:$G$501"),"&lt;&gt;"),0)))</f>
        <v/>
      </c>
      <c r="AZ199" s="30" t="str">
        <f aca="false">IF($A199="","",$A199&amp;"|"&amp;$L199)</f>
        <v/>
      </c>
      <c r="BA199" s="31" t="str">
        <f aca="false">IF($A199="","",IFERROR(IF(INDEX(drops!$R$2:$R$21,MATCH($H199,drops!$A$2:$A$21,0))="","",INDEX(drops!$R$2:$R$21,MATCH($H199,drops!$A$2:$A$21,0))),""))</f>
        <v/>
      </c>
      <c r="BB199" s="30" t="n">
        <f aca="false">IF(OR($A199="",$Q199&lt;&gt;"Y"),1000000,N($AL199))</f>
        <v>1000000</v>
      </c>
      <c r="BC199" s="30" t="str">
        <f aca="false">IF($A199="","",IF(COUNTIF(survey_frozen!$P$2:$P$251,$A199&amp;"|"&amp;$B199)&gt;0,"Y",""))</f>
        <v/>
      </c>
      <c r="BD199" s="30" t="str">
        <f aca="false">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ustomFormat="false" ht="15" hidden="false" customHeight="false" outlineLevel="0" collapsed="false">
      <c r="C200" s="11"/>
      <c r="D200" s="10"/>
      <c r="E200" s="11"/>
      <c r="H200" s="30" t="str">
        <f aca="false">IF($A200="","",IFERROR(IF(INDEX(campaigns!$B$2:$B$51,MATCH($A200,campaigns!$A$2:$A$51,0))="","",INDEX(campaigns!$B$2:$B$51,MATCH($A200,campaigns!$A$2:$A$51,0))),""))</f>
        <v/>
      </c>
      <c r="I200" s="31" t="str">
        <f aca="false">IF($A200="","",IFERROR(IF(INDEX(campaigns!$BG$2:$BG$51,MATCH($A200,campaigns!$A$2:$A$51,0))="","",INDEX(campaigns!$BG$2:$BG$51,MATCH($A200,campaigns!$A$2:$A$51,0))),""))</f>
        <v/>
      </c>
      <c r="J200" s="30" t="str">
        <f aca="false">IF($A200="","",IFERROR(IF(INDEX(campaigns!$BE$2:$BE$51,MATCH($A200,campaigns!$A$2:$A$51,0))="","",INDEX(campaigns!$BE$2:$BE$51,MATCH($A200,campaigns!$A$2:$A$51,0))),""))</f>
        <v/>
      </c>
      <c r="K200" s="30" t="str">
        <f aca="false">IF($B200="","",IFERROR(IF(INDEX(offices!$O$2:$O$61,MATCH($B200,offices!$A$2:$A$61,0))="","",INDEX(offices!$O$2:$O$61,MATCH($B200,offices!$A$2:$A$61,0))),""))</f>
        <v/>
      </c>
      <c r="L200" s="30" t="str">
        <f aca="false">IF($A200="","",IF($Q200="N","",COUNTIFS($A$2:$A200,$A200,$Q$2:$Q200,"&lt;&gt;N")))</f>
        <v/>
      </c>
      <c r="M200" s="30" t="str">
        <f aca="false">IF(OR($A200="",$L200=""),"",IF(AND(config!$B$34="names_if_public",IFERROR(IF(INDEX(offices!$AG$2:$AG$61,MATCH($B200,offices!$A$2:$A$61,0))="","",INDEX(offices!$AG$2:$AG$61,MATCH($B200,offices!$A$2:$A$61,0))),"")="Y"),$K200,CHAR(64+$L200)))</f>
        <v/>
      </c>
      <c r="N200" s="30" t="str">
        <f aca="false">IF(OR($A200="",$I200=""),"",COUNTIFS(stops!$B$2:$B$151,$B200,stops!$P$2:$P$151,"&lt;"&amp;$I200,stops!$L$2:$L$151,"&lt;&gt;not_delivered")+1)</f>
        <v/>
      </c>
      <c r="O200" s="30" t="str">
        <f aca="false">IF($A200="","",IF(N($N200)&lt;=config!$B$29,"explicit","opt-out"))</f>
        <v/>
      </c>
      <c r="P200" s="30" t="str">
        <f aca="false">IF($A200="","",IF($O200="explicit",IF($D200="yes","Y",IF($D200="no","N","pending")),IF($D200="no","N",IF(AND($C200&lt;&gt;"",$I200&lt;&gt;"",$C200&lt;=WORKDAY(N($I200),-5,calendar!$A$2:$A$80)),"Y","pending"))))</f>
        <v/>
      </c>
      <c r="Q200" s="30" t="str">
        <f aca="false">IF($A200="","",IF($P200="N","N",IF($P200&lt;&gt;"Y","pending",IF(AND((COUNTIFS(stops!$A$2:$A$151,$H200,stops!$B$2:$B$151,$B200,stops!$L$2:$L$151,"declined")+COUNTIFS(stops!$A$2:$A$151,$H200,stops!$B$2:$B$151,$B200,stops!$L$2:$L$151,"building_refused")+COUNTIFS(stops!$A$2:$A$151,$H200,stops!$B$2:$B$151,$B200,stops!$L$2:$L$151,"not_delivered"))&gt;0,N($U200)=0),"N","Y"))))</f>
        <v/>
      </c>
      <c r="R200" s="30" t="str">
        <f aca="false">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30" t="str">
        <f aca="false">IF($A200="","",IF($G200&lt;&gt;"",$G200,IFERROR(IF(INDEX(offices!$AM$2:$AM$61,MATCH($B200,offices!$A$2:$A$61,0))="","",INDEX(offices!$AM$2:$AM$61,MATCH($B200,offices!$A$2:$A$61,0))),"")))</f>
        <v/>
      </c>
      <c r="T200" s="30" t="str">
        <f aca="false">IF($A200="","",$A200&amp;"."&amp;$B200)</f>
        <v/>
      </c>
      <c r="U200" s="30" t="str">
        <f aca="false">IF($A200="","",SUMIFS(inventory!$G$2:$G$801,inventory!$C$2:$C$801,$A200,inventory!$D$2:$D$801,$B200,inventory!$E$2:$E$801,"delivered"))</f>
        <v/>
      </c>
      <c r="V200" s="37" t="str">
        <f aca="false">IF($A200="","",IFERROR(1/(1/SUMPRODUCT(MAX((inventory!$C$2:$C$801=$A200)*(inventory!$D$2:$D$801=$B200)*(inventory!$E$2:$E$801="delivered")*(inventory!$A$2:$A$801+inventory!$B$2:$B$801)))),""))</f>
        <v/>
      </c>
      <c r="W200" s="30" t="str">
        <f aca="false">IF($A200="","",IFERROR(IF(INDEX(inventory!$J$2:$J$801,MATCH($A200&amp;"|"&amp;$B200&amp;"|delivered",inventory!$R$2:$R$801,0))="","",INDEX(inventory!$J$2:$J$801,MATCH($A200&amp;"|"&amp;$B200&amp;"|delivered",inventory!$R$2:$R$801,0))),""))</f>
        <v/>
      </c>
      <c r="X200" s="30" t="str">
        <f aca="false">IF($A200="","",IFERROR(IF(INDEX(photos!$H$2:$H$701,MATCH($A200&amp;"|"&amp;$B200&amp;"|placement|Y",photos!$R$2:$R$701,0))="","",INDEX(photos!$H$2:$H$701,MATCH($A200&amp;"|"&amp;$B200&amp;"|placement|Y",photos!$R$2:$R$701,0))),""))</f>
        <v/>
      </c>
      <c r="Y200" s="31" t="str">
        <f aca="false">IF($A200="","",IFERROR(IF(INDEX(photos!$E$2:$E$701,MATCH($A200&amp;"|"&amp;$B200&amp;"|placement|Y",photos!$R$2:$R$701,0))="","",INDEX(photos!$E$2:$E$701,MATCH($A200&amp;"|"&amp;$B200&amp;"|placement|Y",photos!$R$2:$R$701,0))),""))</f>
        <v/>
      </c>
      <c r="Z200" s="30" t="str">
        <f aca="false">IF($A200="","",IF(COUNTIFS(counts!$C$2:$C$701,$A200,counts!$D$2:$D$701,$B200,counts!$E$2:$E$701,"placed")=0,"",SUMIFS(counts!$F$2:$F$701,counts!$C$2:$C$701,$A200,counts!$D$2:$D$701,$B200,counts!$E$2:$E$701,"placed")))</f>
        <v/>
      </c>
      <c r="AA200" s="30" t="str">
        <f aca="false">IF($A200="","",IF($Y200="",0,N($Z200)))</f>
        <v/>
      </c>
      <c r="AB200" s="30" t="str">
        <f aca="false">IF($A200="","",IF(OR($Y200="",$I200=""),"N",IF($Y200&lt;=WORKDAY(N($I200),1,calendar!$A$2:$A$80),"Y","N")))</f>
        <v/>
      </c>
      <c r="AC200" s="33" t="str">
        <f aca="false">IF(OR($A200="",$V200="",$Y200=""),"",ROUND(($Y200+N(IFERROR(IF(INDEX(photos!$F$2:$F$701,MATCH($A200&amp;"|"&amp;$B200&amp;"|placement|Y",photos!$R$2:$R$701,0))="","",INDEX(photos!$F$2:$F$701,MATCH($A200&amp;"|"&amp;$B200&amp;"|placement|Y",photos!$R$2:$R$701,0))),""))-$V200)*24,1))</f>
        <v/>
      </c>
      <c r="AD200" s="30" t="str">
        <f aca="false">IF($A200="","",SUMIFS(inventory!$G$2:$G$801,inventory!$C$2:$C$801,$A200,inventory!$D$2:$D$801,$B200,inventory!$E$2:$E$801,"topped_up"))</f>
        <v/>
      </c>
      <c r="AE200" s="30" t="str">
        <f aca="false">IF($A200="","",IF(COUNTIFS(counts!$C$2:$C$701,$A200,counts!$D$2:$D$701,$B200,counts!$E$2:$E$701,"remaining_day3")=0,"",SUMIFS(counts!$F$2:$F$701,counts!$C$2:$C$701,$A200,counts!$D$2:$D$701,$B200,counts!$E$2:$E$701,"remaining_day3")))</f>
        <v/>
      </c>
      <c r="AF200" s="30" t="str">
        <f aca="false">IF($A200="","",IF(COUNTIFS(counts!$C$2:$C$701,$A200,counts!$D$2:$D$701,$B200,counts!$E$2:$E$701,"remaining_day5")=0,"",SUMIFS(counts!$F$2:$F$701,counts!$C$2:$C$701,$A200,counts!$D$2:$D$701,$B200,counts!$E$2:$E$701,"remaining_day5")))</f>
        <v/>
      </c>
      <c r="AG200" s="30" t="str">
        <f aca="false">IF(OR($A200="",$AF200=""),"",MAX(0,$AA200+$AD200-$AF200))</f>
        <v/>
      </c>
      <c r="AH200" s="30" t="str">
        <f aca="false">IF(OR($A200="",$AI200=""),"",IFERROR(IF(INDEX(photos!$H$2:$H$701,MATCH($A200&amp;"|"&amp;$B200&amp;"|later|Y|"&amp;$AI200,photos!$S$2:$S$701,0))="","",INDEX(photos!$H$2:$H$701,MATCH($A200&amp;"|"&amp;$B200&amp;"|later|Y|"&amp;$AI200,photos!$S$2:$S$701,0))),""))</f>
        <v/>
      </c>
      <c r="AI200" s="31" t="str">
        <f aca="false">IF($A200="","",IFERROR(1/(1/SUMPRODUCT(MAX((photos!$B$2:$B$701=$A200)*(photos!$C$2:$C$701=$B200)*(photos!$D$2:$D$701="later")*(photos!$O$2:$O$701="Y")*photos!$E$2:$E$701))),""))</f>
        <v/>
      </c>
      <c r="AJ200" s="30" t="str">
        <f aca="false">IF(OR($A200="",$AI200="",$I200=""),"",NETWORKDAYS($I200,$AI200,calendar!$A$2:$A$80))</f>
        <v/>
      </c>
      <c r="AK200" s="30" t="str">
        <f aca="false">IF($A200="","",IF(AND($X200&lt;&gt;"",$AH200&lt;&gt;""),"Y","N"))</f>
        <v/>
      </c>
      <c r="AL200" s="30" t="str">
        <f aca="true">IF(OR($A200="",$I200=""),"",IF($BC200="Y",SUMIFS(survey_frozen!$C$2:$C$251,survey_frozen!$P$2:$P$251,$A200&amp;"|"&amp;$B200),IFERROR(COUNTIFS(INDIRECT("'"&amp;$A200&amp;"'!$B$2:$B$501"),$T200,INDIRECT("'"&amp;$A200&amp;"'!$A$2:$A$501"),"&gt;="&amp;$I200,INDIRECT("'"&amp;$A200&amp;"'!$A$2:$A$501"),"&lt;"&amp;($BA200+1)),0)))</f>
        <v/>
      </c>
      <c r="AM200" s="30" t="str">
        <f aca="true">IF(OR($A200="",$I200=""),"",IF($BC200="Y",SUMIFS(survey_frozen!$D$2:$D$251,survey_frozen!$P$2:$P$251,$A200&amp;"|"&amp;$B200),IFERROR(COUNTIFS(INDIRECT("'"&amp;$A200&amp;"'!$B$2:$B$501"),$T200,INDIRECT("'"&amp;$A200&amp;"'!$A$2:$A$501"),"&gt;="&amp;$I200,INDIRECT("'"&amp;$A200&amp;"'!$A$2:$A$501"),"&lt;"&amp;($BA200+1),INDIRECT("'"&amp;$A200&amp;"'!$C$2:$C$501"),"Yes"),0)))</f>
        <v/>
      </c>
      <c r="AN200" s="30" t="str">
        <f aca="false">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30" t="str">
        <f aca="false">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30" t="str">
        <f aca="true">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30" t="str">
        <f aca="true">IF(OR($A200="",$I200=""),"",IF($BC200="Y",SUMIFS(survey_frozen!$E$2:$E$251,survey_frozen!$P$2:$P$251,$A200&amp;"|"&amp;$B200),IFERROR(COUNTIFS(INDIRECT("'"&amp;$A200&amp;"'!$B$2:$B$501"),$T200,INDIRECT("'"&amp;$A200&amp;"'!$A$2:$A$501"),"&gt;="&amp;$I200,INDIRECT("'"&amp;$A200&amp;"'!$A$2:$A$501"),"&lt;"&amp;($BA200+1),INDIRECT("'"&amp;$A200&amp;"'!$F$2:$F$501"),"Didn't see it"),0)))</f>
        <v/>
      </c>
      <c r="AR200" s="30" t="str">
        <f aca="true">IF(OR($A200="",$I200=""),"",IF($BC200="Y",SUMIFS(survey_frozen!$F$2:$F$251,survey_frozen!$P$2:$P$251,$A200&amp;"|"&amp;$B200),IFERROR(COUNTIFS(INDIRECT("'"&amp;$A200&amp;"'!$B$2:$B$501"),$T200,INDIRECT("'"&amp;$A200&amp;"'!$A$2:$A$501"),"&gt;="&amp;$I200,INDIRECT("'"&amp;$A200&amp;"'!$A$2:$A$501"),"&lt;"&amp;($BA200+1),INDIRECT("'"&amp;$A200&amp;"'!$F$2:$F$501"),"Not for me"),0)))</f>
        <v/>
      </c>
      <c r="AS200" s="30" t="str">
        <f aca="true">IF(OR($A200="",$I200=""),"",IF($BC200="Y",SUMIFS(survey_frozen!$G$2:$G$251,survey_frozen!$P$2:$P$251,$A200&amp;"|"&amp;$B200),IFERROR(COUNTIFS(INDIRECT("'"&amp;$A200&amp;"'!$B$2:$B$501"),$T200,INDIRECT("'"&amp;$A200&amp;"'!$A$2:$A$501"),"&gt;="&amp;$I200,INDIRECT("'"&amp;$A200&amp;"'!$A$2:$A$501"),"&lt;"&amp;($BA200+1),INDIRECT("'"&amp;$A200&amp;"'!$F$2:$F$501"),"Gone by the time I looked"),0)))</f>
        <v/>
      </c>
      <c r="AT200" s="30" t="str">
        <f aca="true">IF(OR($A200="",$I200=""),"",IF($BC200="Y",SUMIFS(survey_frozen!$H$2:$H$251,survey_frozen!$P$2:$P$251,$A200&amp;"|"&amp;$B200),IFERROR(COUNTIFS(INDIRECT("'"&amp;$A200&amp;"'!$B$2:$B$501"),$T200,INDIRECT("'"&amp;$A200&amp;"'!$A$2:$A$501"),"&gt;="&amp;$I200,INDIRECT("'"&amp;$A200&amp;"'!$A$2:$A$501"),"&lt;"&amp;($BA200+1),INDIRECT("'"&amp;$A200&amp;"'!$D$2:$D$501"),"&gt;=1"),0)))</f>
        <v/>
      </c>
      <c r="AU200" s="30" t="str">
        <f aca="true">IF(OR($A200="",$I200=""),"",IF($BC200="Y",SUMIFS(survey_frozen!$I$2:$I$251,survey_frozen!$P$2:$P$251,$A200&amp;"|"&amp;$B200),IFERROR(SUMIFS(INDIRECT("'"&amp;$A200&amp;"'!$D$2:$D$501"),INDIRECT("'"&amp;$A200&amp;"'!$B$2:$B$501"),$T200,INDIRECT("'"&amp;$A200&amp;"'!$A$2:$A$501"),"&gt;="&amp;$I200,INDIRECT("'"&amp;$A200&amp;"'!$A$2:$A$501"),"&lt;"&amp;($BA200+1)),0)))</f>
        <v/>
      </c>
      <c r="AV200" s="30" t="str">
        <f aca="true">IF(OR($A200="",$I200=""),"",IF($BC200="Y",SUMIFS(survey_frozen!$J$2:$J$251,survey_frozen!$P$2:$P$251,$A200&amp;"|"&amp;$B200),IFERROR(COUNTIFS(INDIRECT("'"&amp;$A200&amp;"'!$B$2:$B$501"),$T200,INDIRECT("'"&amp;$A200&amp;"'!$A$2:$A$501"),"&gt;="&amp;$I200,INDIRECT("'"&amp;$A200&amp;"'!$A$2:$A$501"),"&lt;"&amp;($BA200+1),INDIRECT("'"&amp;$A200&amp;"'!$E$2:$E$501"),"Yes"),0)))</f>
        <v/>
      </c>
      <c r="AW200" s="30" t="str">
        <f aca="true">IF(OR($A200="",$I200=""),"",IF($BC200="Y",SUMIFS(survey_frozen!$K$2:$K$251,survey_frozen!$P$2:$P$251,$A200&amp;"|"&amp;$B200),IFERROR(COUNTIFS(INDIRECT("'"&amp;$A200&amp;"'!$B$2:$B$501"),$T200,INDIRECT("'"&amp;$A200&amp;"'!$A$2:$A$501"),"&gt;="&amp;$I200,INDIRECT("'"&amp;$A200&amp;"'!$A$2:$A$501"),"&lt;"&amp;($BA200+1),INDIRECT("'"&amp;$A200&amp;"'!$E$2:$E$501"),"Maybe"),0)))</f>
        <v/>
      </c>
      <c r="AX200" s="30" t="str">
        <f aca="true">IF(OR($A200="",$I200=""),"",IF($BC200="Y",SUMIFS(survey_frozen!$L$2:$L$251,survey_frozen!$P$2:$P$251,$A200&amp;"|"&amp;$B200),IFERROR(COUNTIFS(INDIRECT("'"&amp;$A200&amp;"'!$B$2:$B$501"),$T200,INDIRECT("'"&amp;$A200&amp;"'!$A$2:$A$501"),"&gt;="&amp;$I200,INDIRECT("'"&amp;$A200&amp;"'!$A$2:$A$501"),"&lt;"&amp;($BA200+1),INDIRECT("'"&amp;$A200&amp;"'!$E$2:$E$501"),"No"),0)))</f>
        <v/>
      </c>
      <c r="AY200" s="30" t="str">
        <f aca="true">IF(OR($A200="",$I200=""),"",IF($BC200="Y",SUMIFS(survey_frozen!$M$2:$M$251,survey_frozen!$P$2:$P$251,$A200&amp;"|"&amp;$B200),IFERROR(COUNTIFS(INDIRECT("'"&amp;$A200&amp;"'!$B$2:$B$501"),$T200,INDIRECT("'"&amp;$A200&amp;"'!$A$2:$A$501"),"&gt;="&amp;$I200,INDIRECT("'"&amp;$A200&amp;"'!$A$2:$A$501"),"&lt;"&amp;($BA200+1),INDIRECT("'"&amp;$A200&amp;"'!$G$2:$G$501"),"&lt;&gt;"),0)))</f>
        <v/>
      </c>
      <c r="AZ200" s="30" t="str">
        <f aca="false">IF($A200="","",$A200&amp;"|"&amp;$L200)</f>
        <v/>
      </c>
      <c r="BA200" s="31" t="str">
        <f aca="false">IF($A200="","",IFERROR(IF(INDEX(drops!$R$2:$R$21,MATCH($H200,drops!$A$2:$A$21,0))="","",INDEX(drops!$R$2:$R$21,MATCH($H200,drops!$A$2:$A$21,0))),""))</f>
        <v/>
      </c>
      <c r="BB200" s="30" t="n">
        <f aca="false">IF(OR($A200="",$Q200&lt;&gt;"Y"),1000000,N($AL200))</f>
        <v>1000000</v>
      </c>
      <c r="BC200" s="30" t="str">
        <f aca="false">IF($A200="","",IF(COUNTIF(survey_frozen!$P$2:$P$251,$A200&amp;"|"&amp;$B200)&gt;0,"Y",""))</f>
        <v/>
      </c>
      <c r="BD200" s="30" t="str">
        <f aca="false">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ustomFormat="false" ht="15" hidden="false" customHeight="false" outlineLevel="0" collapsed="false">
      <c r="C201" s="11"/>
      <c r="D201" s="10"/>
      <c r="E201" s="11"/>
      <c r="H201" s="30" t="str">
        <f aca="false">IF($A201="","",IFERROR(IF(INDEX(campaigns!$B$2:$B$51,MATCH($A201,campaigns!$A$2:$A$51,0))="","",INDEX(campaigns!$B$2:$B$51,MATCH($A201,campaigns!$A$2:$A$51,0))),""))</f>
        <v/>
      </c>
      <c r="I201" s="31" t="str">
        <f aca="false">IF($A201="","",IFERROR(IF(INDEX(campaigns!$BG$2:$BG$51,MATCH($A201,campaigns!$A$2:$A$51,0))="","",INDEX(campaigns!$BG$2:$BG$51,MATCH($A201,campaigns!$A$2:$A$51,0))),""))</f>
        <v/>
      </c>
      <c r="J201" s="30" t="str">
        <f aca="false">IF($A201="","",IFERROR(IF(INDEX(campaigns!$BE$2:$BE$51,MATCH($A201,campaigns!$A$2:$A$51,0))="","",INDEX(campaigns!$BE$2:$BE$51,MATCH($A201,campaigns!$A$2:$A$51,0))),""))</f>
        <v/>
      </c>
      <c r="K201" s="30" t="str">
        <f aca="false">IF($B201="","",IFERROR(IF(INDEX(offices!$O$2:$O$61,MATCH($B201,offices!$A$2:$A$61,0))="","",INDEX(offices!$O$2:$O$61,MATCH($B201,offices!$A$2:$A$61,0))),""))</f>
        <v/>
      </c>
      <c r="L201" s="30" t="str">
        <f aca="false">IF($A201="","",IF($Q201="N","",COUNTIFS($A$2:$A201,$A201,$Q$2:$Q201,"&lt;&gt;N")))</f>
        <v/>
      </c>
      <c r="M201" s="30" t="str">
        <f aca="false">IF(OR($A201="",$L201=""),"",IF(AND(config!$B$34="names_if_public",IFERROR(IF(INDEX(offices!$AG$2:$AG$61,MATCH($B201,offices!$A$2:$A$61,0))="","",INDEX(offices!$AG$2:$AG$61,MATCH($B201,offices!$A$2:$A$61,0))),"")="Y"),$K201,CHAR(64+$L201)))</f>
        <v/>
      </c>
      <c r="N201" s="30" t="str">
        <f aca="false">IF(OR($A201="",$I201=""),"",COUNTIFS(stops!$B$2:$B$151,$B201,stops!$P$2:$P$151,"&lt;"&amp;$I201,stops!$L$2:$L$151,"&lt;&gt;not_delivered")+1)</f>
        <v/>
      </c>
      <c r="O201" s="30" t="str">
        <f aca="false">IF($A201="","",IF(N($N201)&lt;=config!$B$29,"explicit","opt-out"))</f>
        <v/>
      </c>
      <c r="P201" s="30" t="str">
        <f aca="false">IF($A201="","",IF($O201="explicit",IF($D201="yes","Y",IF($D201="no","N","pending")),IF($D201="no","N",IF(AND($C201&lt;&gt;"",$I201&lt;&gt;"",$C201&lt;=WORKDAY(N($I201),-5,calendar!$A$2:$A$80)),"Y","pending"))))</f>
        <v/>
      </c>
      <c r="Q201" s="30" t="str">
        <f aca="false">IF($A201="","",IF($P201="N","N",IF($P201&lt;&gt;"Y","pending",IF(AND((COUNTIFS(stops!$A$2:$A$151,$H201,stops!$B$2:$B$151,$B201,stops!$L$2:$L$151,"declined")+COUNTIFS(stops!$A$2:$A$151,$H201,stops!$B$2:$B$151,$B201,stops!$L$2:$L$151,"building_refused")+COUNTIFS(stops!$A$2:$A$151,$H201,stops!$B$2:$B$151,$B201,stops!$L$2:$L$151,"not_delivered"))&gt;0,N($U201)=0),"N","Y"))))</f>
        <v/>
      </c>
      <c r="R201" s="30" t="str">
        <f aca="false">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30" t="str">
        <f aca="false">IF($A201="","",IF($G201&lt;&gt;"",$G201,IFERROR(IF(INDEX(offices!$AM$2:$AM$61,MATCH($B201,offices!$A$2:$A$61,0))="","",INDEX(offices!$AM$2:$AM$61,MATCH($B201,offices!$A$2:$A$61,0))),"")))</f>
        <v/>
      </c>
      <c r="T201" s="30" t="str">
        <f aca="false">IF($A201="","",$A201&amp;"."&amp;$B201)</f>
        <v/>
      </c>
      <c r="U201" s="30" t="str">
        <f aca="false">IF($A201="","",SUMIFS(inventory!$G$2:$G$801,inventory!$C$2:$C$801,$A201,inventory!$D$2:$D$801,$B201,inventory!$E$2:$E$801,"delivered"))</f>
        <v/>
      </c>
      <c r="V201" s="37" t="str">
        <f aca="false">IF($A201="","",IFERROR(1/(1/SUMPRODUCT(MAX((inventory!$C$2:$C$801=$A201)*(inventory!$D$2:$D$801=$B201)*(inventory!$E$2:$E$801="delivered")*(inventory!$A$2:$A$801+inventory!$B$2:$B$801)))),""))</f>
        <v/>
      </c>
      <c r="W201" s="30" t="str">
        <f aca="false">IF($A201="","",IFERROR(IF(INDEX(inventory!$J$2:$J$801,MATCH($A201&amp;"|"&amp;$B201&amp;"|delivered",inventory!$R$2:$R$801,0))="","",INDEX(inventory!$J$2:$J$801,MATCH($A201&amp;"|"&amp;$B201&amp;"|delivered",inventory!$R$2:$R$801,0))),""))</f>
        <v/>
      </c>
      <c r="X201" s="30" t="str">
        <f aca="false">IF($A201="","",IFERROR(IF(INDEX(photos!$H$2:$H$701,MATCH($A201&amp;"|"&amp;$B201&amp;"|placement|Y",photos!$R$2:$R$701,0))="","",INDEX(photos!$H$2:$H$701,MATCH($A201&amp;"|"&amp;$B201&amp;"|placement|Y",photos!$R$2:$R$701,0))),""))</f>
        <v/>
      </c>
      <c r="Y201" s="31" t="str">
        <f aca="false">IF($A201="","",IFERROR(IF(INDEX(photos!$E$2:$E$701,MATCH($A201&amp;"|"&amp;$B201&amp;"|placement|Y",photos!$R$2:$R$701,0))="","",INDEX(photos!$E$2:$E$701,MATCH($A201&amp;"|"&amp;$B201&amp;"|placement|Y",photos!$R$2:$R$701,0))),""))</f>
        <v/>
      </c>
      <c r="Z201" s="30" t="str">
        <f aca="false">IF($A201="","",IF(COUNTIFS(counts!$C$2:$C$701,$A201,counts!$D$2:$D$701,$B201,counts!$E$2:$E$701,"placed")=0,"",SUMIFS(counts!$F$2:$F$701,counts!$C$2:$C$701,$A201,counts!$D$2:$D$701,$B201,counts!$E$2:$E$701,"placed")))</f>
        <v/>
      </c>
      <c r="AA201" s="30" t="str">
        <f aca="false">IF($A201="","",IF($Y201="",0,N($Z201)))</f>
        <v/>
      </c>
      <c r="AB201" s="30" t="str">
        <f aca="false">IF($A201="","",IF(OR($Y201="",$I201=""),"N",IF($Y201&lt;=WORKDAY(N($I201),1,calendar!$A$2:$A$80),"Y","N")))</f>
        <v/>
      </c>
      <c r="AC201" s="33" t="str">
        <f aca="false">IF(OR($A201="",$V201="",$Y201=""),"",ROUND(($Y201+N(IFERROR(IF(INDEX(photos!$F$2:$F$701,MATCH($A201&amp;"|"&amp;$B201&amp;"|placement|Y",photos!$R$2:$R$701,0))="","",INDEX(photos!$F$2:$F$701,MATCH($A201&amp;"|"&amp;$B201&amp;"|placement|Y",photos!$R$2:$R$701,0))),""))-$V201)*24,1))</f>
        <v/>
      </c>
      <c r="AD201" s="30" t="str">
        <f aca="false">IF($A201="","",SUMIFS(inventory!$G$2:$G$801,inventory!$C$2:$C$801,$A201,inventory!$D$2:$D$801,$B201,inventory!$E$2:$E$801,"topped_up"))</f>
        <v/>
      </c>
      <c r="AE201" s="30" t="str">
        <f aca="false">IF($A201="","",IF(COUNTIFS(counts!$C$2:$C$701,$A201,counts!$D$2:$D$701,$B201,counts!$E$2:$E$701,"remaining_day3")=0,"",SUMIFS(counts!$F$2:$F$701,counts!$C$2:$C$701,$A201,counts!$D$2:$D$701,$B201,counts!$E$2:$E$701,"remaining_day3")))</f>
        <v/>
      </c>
      <c r="AF201" s="30" t="str">
        <f aca="false">IF($A201="","",IF(COUNTIFS(counts!$C$2:$C$701,$A201,counts!$D$2:$D$701,$B201,counts!$E$2:$E$701,"remaining_day5")=0,"",SUMIFS(counts!$F$2:$F$701,counts!$C$2:$C$701,$A201,counts!$D$2:$D$701,$B201,counts!$E$2:$E$701,"remaining_day5")))</f>
        <v/>
      </c>
      <c r="AG201" s="30" t="str">
        <f aca="false">IF(OR($A201="",$AF201=""),"",MAX(0,$AA201+$AD201-$AF201))</f>
        <v/>
      </c>
      <c r="AH201" s="30" t="str">
        <f aca="false">IF(OR($A201="",$AI201=""),"",IFERROR(IF(INDEX(photos!$H$2:$H$701,MATCH($A201&amp;"|"&amp;$B201&amp;"|later|Y|"&amp;$AI201,photos!$S$2:$S$701,0))="","",INDEX(photos!$H$2:$H$701,MATCH($A201&amp;"|"&amp;$B201&amp;"|later|Y|"&amp;$AI201,photos!$S$2:$S$701,0))),""))</f>
        <v/>
      </c>
      <c r="AI201" s="31" t="str">
        <f aca="false">IF($A201="","",IFERROR(1/(1/SUMPRODUCT(MAX((photos!$B$2:$B$701=$A201)*(photos!$C$2:$C$701=$B201)*(photos!$D$2:$D$701="later")*(photos!$O$2:$O$701="Y")*photos!$E$2:$E$701))),""))</f>
        <v/>
      </c>
      <c r="AJ201" s="30" t="str">
        <f aca="false">IF(OR($A201="",$AI201="",$I201=""),"",NETWORKDAYS($I201,$AI201,calendar!$A$2:$A$80))</f>
        <v/>
      </c>
      <c r="AK201" s="30" t="str">
        <f aca="false">IF($A201="","",IF(AND($X201&lt;&gt;"",$AH201&lt;&gt;""),"Y","N"))</f>
        <v/>
      </c>
      <c r="AL201" s="30" t="str">
        <f aca="true">IF(OR($A201="",$I201=""),"",IF($BC201="Y",SUMIFS(survey_frozen!$C$2:$C$251,survey_frozen!$P$2:$P$251,$A201&amp;"|"&amp;$B201),IFERROR(COUNTIFS(INDIRECT("'"&amp;$A201&amp;"'!$B$2:$B$501"),$T201,INDIRECT("'"&amp;$A201&amp;"'!$A$2:$A$501"),"&gt;="&amp;$I201,INDIRECT("'"&amp;$A201&amp;"'!$A$2:$A$501"),"&lt;"&amp;($BA201+1)),0)))</f>
        <v/>
      </c>
      <c r="AM201" s="30" t="str">
        <f aca="true">IF(OR($A201="",$I201=""),"",IF($BC201="Y",SUMIFS(survey_frozen!$D$2:$D$251,survey_frozen!$P$2:$P$251,$A201&amp;"|"&amp;$B201),IFERROR(COUNTIFS(INDIRECT("'"&amp;$A201&amp;"'!$B$2:$B$501"),$T201,INDIRECT("'"&amp;$A201&amp;"'!$A$2:$A$501"),"&gt;="&amp;$I201,INDIRECT("'"&amp;$A201&amp;"'!$A$2:$A$501"),"&lt;"&amp;($BA201+1),INDIRECT("'"&amp;$A201&amp;"'!$C$2:$C$501"),"Yes"),0)))</f>
        <v/>
      </c>
      <c r="AN201" s="30" t="str">
        <f aca="false">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30" t="str">
        <f aca="false">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30" t="str">
        <f aca="true">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30" t="str">
        <f aca="true">IF(OR($A201="",$I201=""),"",IF($BC201="Y",SUMIFS(survey_frozen!$E$2:$E$251,survey_frozen!$P$2:$P$251,$A201&amp;"|"&amp;$B201),IFERROR(COUNTIFS(INDIRECT("'"&amp;$A201&amp;"'!$B$2:$B$501"),$T201,INDIRECT("'"&amp;$A201&amp;"'!$A$2:$A$501"),"&gt;="&amp;$I201,INDIRECT("'"&amp;$A201&amp;"'!$A$2:$A$501"),"&lt;"&amp;($BA201+1),INDIRECT("'"&amp;$A201&amp;"'!$F$2:$F$501"),"Didn't see it"),0)))</f>
        <v/>
      </c>
      <c r="AR201" s="30" t="str">
        <f aca="true">IF(OR($A201="",$I201=""),"",IF($BC201="Y",SUMIFS(survey_frozen!$F$2:$F$251,survey_frozen!$P$2:$P$251,$A201&amp;"|"&amp;$B201),IFERROR(COUNTIFS(INDIRECT("'"&amp;$A201&amp;"'!$B$2:$B$501"),$T201,INDIRECT("'"&amp;$A201&amp;"'!$A$2:$A$501"),"&gt;="&amp;$I201,INDIRECT("'"&amp;$A201&amp;"'!$A$2:$A$501"),"&lt;"&amp;($BA201+1),INDIRECT("'"&amp;$A201&amp;"'!$F$2:$F$501"),"Not for me"),0)))</f>
        <v/>
      </c>
      <c r="AS201" s="30" t="str">
        <f aca="true">IF(OR($A201="",$I201=""),"",IF($BC201="Y",SUMIFS(survey_frozen!$G$2:$G$251,survey_frozen!$P$2:$P$251,$A201&amp;"|"&amp;$B201),IFERROR(COUNTIFS(INDIRECT("'"&amp;$A201&amp;"'!$B$2:$B$501"),$T201,INDIRECT("'"&amp;$A201&amp;"'!$A$2:$A$501"),"&gt;="&amp;$I201,INDIRECT("'"&amp;$A201&amp;"'!$A$2:$A$501"),"&lt;"&amp;($BA201+1),INDIRECT("'"&amp;$A201&amp;"'!$F$2:$F$501"),"Gone by the time I looked"),0)))</f>
        <v/>
      </c>
      <c r="AT201" s="30" t="str">
        <f aca="true">IF(OR($A201="",$I201=""),"",IF($BC201="Y",SUMIFS(survey_frozen!$H$2:$H$251,survey_frozen!$P$2:$P$251,$A201&amp;"|"&amp;$B201),IFERROR(COUNTIFS(INDIRECT("'"&amp;$A201&amp;"'!$B$2:$B$501"),$T201,INDIRECT("'"&amp;$A201&amp;"'!$A$2:$A$501"),"&gt;="&amp;$I201,INDIRECT("'"&amp;$A201&amp;"'!$A$2:$A$501"),"&lt;"&amp;($BA201+1),INDIRECT("'"&amp;$A201&amp;"'!$D$2:$D$501"),"&gt;=1"),0)))</f>
        <v/>
      </c>
      <c r="AU201" s="30" t="str">
        <f aca="true">IF(OR($A201="",$I201=""),"",IF($BC201="Y",SUMIFS(survey_frozen!$I$2:$I$251,survey_frozen!$P$2:$P$251,$A201&amp;"|"&amp;$B201),IFERROR(SUMIFS(INDIRECT("'"&amp;$A201&amp;"'!$D$2:$D$501"),INDIRECT("'"&amp;$A201&amp;"'!$B$2:$B$501"),$T201,INDIRECT("'"&amp;$A201&amp;"'!$A$2:$A$501"),"&gt;="&amp;$I201,INDIRECT("'"&amp;$A201&amp;"'!$A$2:$A$501"),"&lt;"&amp;($BA201+1)),0)))</f>
        <v/>
      </c>
      <c r="AV201" s="30" t="str">
        <f aca="true">IF(OR($A201="",$I201=""),"",IF($BC201="Y",SUMIFS(survey_frozen!$J$2:$J$251,survey_frozen!$P$2:$P$251,$A201&amp;"|"&amp;$B201),IFERROR(COUNTIFS(INDIRECT("'"&amp;$A201&amp;"'!$B$2:$B$501"),$T201,INDIRECT("'"&amp;$A201&amp;"'!$A$2:$A$501"),"&gt;="&amp;$I201,INDIRECT("'"&amp;$A201&amp;"'!$A$2:$A$501"),"&lt;"&amp;($BA201+1),INDIRECT("'"&amp;$A201&amp;"'!$E$2:$E$501"),"Yes"),0)))</f>
        <v/>
      </c>
      <c r="AW201" s="30" t="str">
        <f aca="true">IF(OR($A201="",$I201=""),"",IF($BC201="Y",SUMIFS(survey_frozen!$K$2:$K$251,survey_frozen!$P$2:$P$251,$A201&amp;"|"&amp;$B201),IFERROR(COUNTIFS(INDIRECT("'"&amp;$A201&amp;"'!$B$2:$B$501"),$T201,INDIRECT("'"&amp;$A201&amp;"'!$A$2:$A$501"),"&gt;="&amp;$I201,INDIRECT("'"&amp;$A201&amp;"'!$A$2:$A$501"),"&lt;"&amp;($BA201+1),INDIRECT("'"&amp;$A201&amp;"'!$E$2:$E$501"),"Maybe"),0)))</f>
        <v/>
      </c>
      <c r="AX201" s="30" t="str">
        <f aca="true">IF(OR($A201="",$I201=""),"",IF($BC201="Y",SUMIFS(survey_frozen!$L$2:$L$251,survey_frozen!$P$2:$P$251,$A201&amp;"|"&amp;$B201),IFERROR(COUNTIFS(INDIRECT("'"&amp;$A201&amp;"'!$B$2:$B$501"),$T201,INDIRECT("'"&amp;$A201&amp;"'!$A$2:$A$501"),"&gt;="&amp;$I201,INDIRECT("'"&amp;$A201&amp;"'!$A$2:$A$501"),"&lt;"&amp;($BA201+1),INDIRECT("'"&amp;$A201&amp;"'!$E$2:$E$501"),"No"),0)))</f>
        <v/>
      </c>
      <c r="AY201" s="30" t="str">
        <f aca="true">IF(OR($A201="",$I201=""),"",IF($BC201="Y",SUMIFS(survey_frozen!$M$2:$M$251,survey_frozen!$P$2:$P$251,$A201&amp;"|"&amp;$B201),IFERROR(COUNTIFS(INDIRECT("'"&amp;$A201&amp;"'!$B$2:$B$501"),$T201,INDIRECT("'"&amp;$A201&amp;"'!$A$2:$A$501"),"&gt;="&amp;$I201,INDIRECT("'"&amp;$A201&amp;"'!$A$2:$A$501"),"&lt;"&amp;($BA201+1),INDIRECT("'"&amp;$A201&amp;"'!$G$2:$G$501"),"&lt;&gt;"),0)))</f>
        <v/>
      </c>
      <c r="AZ201" s="30" t="str">
        <f aca="false">IF($A201="","",$A201&amp;"|"&amp;$L201)</f>
        <v/>
      </c>
      <c r="BA201" s="31" t="str">
        <f aca="false">IF($A201="","",IFERROR(IF(INDEX(drops!$R$2:$R$21,MATCH($H201,drops!$A$2:$A$21,0))="","",INDEX(drops!$R$2:$R$21,MATCH($H201,drops!$A$2:$A$21,0))),""))</f>
        <v/>
      </c>
      <c r="BB201" s="30" t="n">
        <f aca="false">IF(OR($A201="",$Q201&lt;&gt;"Y"),1000000,N($AL201))</f>
        <v>1000000</v>
      </c>
      <c r="BC201" s="30" t="str">
        <f aca="false">IF($A201="","",IF(COUNTIF(survey_frozen!$P$2:$P$251,$A201&amp;"|"&amp;$B201)&gt;0,"Y",""))</f>
        <v/>
      </c>
      <c r="BD201" s="30" t="str">
        <f aca="false">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ustomFormat="false" ht="15" hidden="false" customHeight="false" outlineLevel="0" collapsed="false">
      <c r="C202" s="11"/>
      <c r="D202" s="10"/>
      <c r="E202" s="11"/>
      <c r="H202" s="30" t="str">
        <f aca="false">IF($A202="","",IFERROR(IF(INDEX(campaigns!$B$2:$B$51,MATCH($A202,campaigns!$A$2:$A$51,0))="","",INDEX(campaigns!$B$2:$B$51,MATCH($A202,campaigns!$A$2:$A$51,0))),""))</f>
        <v/>
      </c>
      <c r="I202" s="31" t="str">
        <f aca="false">IF($A202="","",IFERROR(IF(INDEX(campaigns!$BG$2:$BG$51,MATCH($A202,campaigns!$A$2:$A$51,0))="","",INDEX(campaigns!$BG$2:$BG$51,MATCH($A202,campaigns!$A$2:$A$51,0))),""))</f>
        <v/>
      </c>
      <c r="J202" s="30" t="str">
        <f aca="false">IF($A202="","",IFERROR(IF(INDEX(campaigns!$BE$2:$BE$51,MATCH($A202,campaigns!$A$2:$A$51,0))="","",INDEX(campaigns!$BE$2:$BE$51,MATCH($A202,campaigns!$A$2:$A$51,0))),""))</f>
        <v/>
      </c>
      <c r="K202" s="30" t="str">
        <f aca="false">IF($B202="","",IFERROR(IF(INDEX(offices!$O$2:$O$61,MATCH($B202,offices!$A$2:$A$61,0))="","",INDEX(offices!$O$2:$O$61,MATCH($B202,offices!$A$2:$A$61,0))),""))</f>
        <v/>
      </c>
      <c r="L202" s="30" t="str">
        <f aca="false">IF($A202="","",IF($Q202="N","",COUNTIFS($A$2:$A202,$A202,$Q$2:$Q202,"&lt;&gt;N")))</f>
        <v/>
      </c>
      <c r="M202" s="30" t="str">
        <f aca="false">IF(OR($A202="",$L202=""),"",IF(AND(config!$B$34="names_if_public",IFERROR(IF(INDEX(offices!$AG$2:$AG$61,MATCH($B202,offices!$A$2:$A$61,0))="","",INDEX(offices!$AG$2:$AG$61,MATCH($B202,offices!$A$2:$A$61,0))),"")="Y"),$K202,CHAR(64+$L202)))</f>
        <v/>
      </c>
      <c r="N202" s="30" t="str">
        <f aca="false">IF(OR($A202="",$I202=""),"",COUNTIFS(stops!$B$2:$B$151,$B202,stops!$P$2:$P$151,"&lt;"&amp;$I202,stops!$L$2:$L$151,"&lt;&gt;not_delivered")+1)</f>
        <v/>
      </c>
      <c r="O202" s="30" t="str">
        <f aca="false">IF($A202="","",IF(N($N202)&lt;=config!$B$29,"explicit","opt-out"))</f>
        <v/>
      </c>
      <c r="P202" s="30" t="str">
        <f aca="false">IF($A202="","",IF($O202="explicit",IF($D202="yes","Y",IF($D202="no","N","pending")),IF($D202="no","N",IF(AND($C202&lt;&gt;"",$I202&lt;&gt;"",$C202&lt;=WORKDAY(N($I202),-5,calendar!$A$2:$A$80)),"Y","pending"))))</f>
        <v/>
      </c>
      <c r="Q202" s="30" t="str">
        <f aca="false">IF($A202="","",IF($P202="N","N",IF($P202&lt;&gt;"Y","pending",IF(AND((COUNTIFS(stops!$A$2:$A$151,$H202,stops!$B$2:$B$151,$B202,stops!$L$2:$L$151,"declined")+COUNTIFS(stops!$A$2:$A$151,$H202,stops!$B$2:$B$151,$B202,stops!$L$2:$L$151,"building_refused")+COUNTIFS(stops!$A$2:$A$151,$H202,stops!$B$2:$B$151,$B202,stops!$L$2:$L$151,"not_delivered"))&gt;0,N($U202)=0),"N","Y"))))</f>
        <v/>
      </c>
      <c r="R202" s="30" t="str">
        <f aca="false">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30" t="str">
        <f aca="false">IF($A202="","",IF($G202&lt;&gt;"",$G202,IFERROR(IF(INDEX(offices!$AM$2:$AM$61,MATCH($B202,offices!$A$2:$A$61,0))="","",INDEX(offices!$AM$2:$AM$61,MATCH($B202,offices!$A$2:$A$61,0))),"")))</f>
        <v/>
      </c>
      <c r="T202" s="30" t="str">
        <f aca="false">IF($A202="","",$A202&amp;"."&amp;$B202)</f>
        <v/>
      </c>
      <c r="U202" s="30" t="str">
        <f aca="false">IF($A202="","",SUMIFS(inventory!$G$2:$G$801,inventory!$C$2:$C$801,$A202,inventory!$D$2:$D$801,$B202,inventory!$E$2:$E$801,"delivered"))</f>
        <v/>
      </c>
      <c r="V202" s="37" t="str">
        <f aca="false">IF($A202="","",IFERROR(1/(1/SUMPRODUCT(MAX((inventory!$C$2:$C$801=$A202)*(inventory!$D$2:$D$801=$B202)*(inventory!$E$2:$E$801="delivered")*(inventory!$A$2:$A$801+inventory!$B$2:$B$801)))),""))</f>
        <v/>
      </c>
      <c r="W202" s="30" t="str">
        <f aca="false">IF($A202="","",IFERROR(IF(INDEX(inventory!$J$2:$J$801,MATCH($A202&amp;"|"&amp;$B202&amp;"|delivered",inventory!$R$2:$R$801,0))="","",INDEX(inventory!$J$2:$J$801,MATCH($A202&amp;"|"&amp;$B202&amp;"|delivered",inventory!$R$2:$R$801,0))),""))</f>
        <v/>
      </c>
      <c r="X202" s="30" t="str">
        <f aca="false">IF($A202="","",IFERROR(IF(INDEX(photos!$H$2:$H$701,MATCH($A202&amp;"|"&amp;$B202&amp;"|placement|Y",photos!$R$2:$R$701,0))="","",INDEX(photos!$H$2:$H$701,MATCH($A202&amp;"|"&amp;$B202&amp;"|placement|Y",photos!$R$2:$R$701,0))),""))</f>
        <v/>
      </c>
      <c r="Y202" s="31" t="str">
        <f aca="false">IF($A202="","",IFERROR(IF(INDEX(photos!$E$2:$E$701,MATCH($A202&amp;"|"&amp;$B202&amp;"|placement|Y",photos!$R$2:$R$701,0))="","",INDEX(photos!$E$2:$E$701,MATCH($A202&amp;"|"&amp;$B202&amp;"|placement|Y",photos!$R$2:$R$701,0))),""))</f>
        <v/>
      </c>
      <c r="Z202" s="30" t="str">
        <f aca="false">IF($A202="","",IF(COUNTIFS(counts!$C$2:$C$701,$A202,counts!$D$2:$D$701,$B202,counts!$E$2:$E$701,"placed")=0,"",SUMIFS(counts!$F$2:$F$701,counts!$C$2:$C$701,$A202,counts!$D$2:$D$701,$B202,counts!$E$2:$E$701,"placed")))</f>
        <v/>
      </c>
      <c r="AA202" s="30" t="str">
        <f aca="false">IF($A202="","",IF($Y202="",0,N($Z202)))</f>
        <v/>
      </c>
      <c r="AB202" s="30" t="str">
        <f aca="false">IF($A202="","",IF(OR($Y202="",$I202=""),"N",IF($Y202&lt;=WORKDAY(N($I202),1,calendar!$A$2:$A$80),"Y","N")))</f>
        <v/>
      </c>
      <c r="AC202" s="33" t="str">
        <f aca="false">IF(OR($A202="",$V202="",$Y202=""),"",ROUND(($Y202+N(IFERROR(IF(INDEX(photos!$F$2:$F$701,MATCH($A202&amp;"|"&amp;$B202&amp;"|placement|Y",photos!$R$2:$R$701,0))="","",INDEX(photos!$F$2:$F$701,MATCH($A202&amp;"|"&amp;$B202&amp;"|placement|Y",photos!$R$2:$R$701,0))),""))-$V202)*24,1))</f>
        <v/>
      </c>
      <c r="AD202" s="30" t="str">
        <f aca="false">IF($A202="","",SUMIFS(inventory!$G$2:$G$801,inventory!$C$2:$C$801,$A202,inventory!$D$2:$D$801,$B202,inventory!$E$2:$E$801,"topped_up"))</f>
        <v/>
      </c>
      <c r="AE202" s="30" t="str">
        <f aca="false">IF($A202="","",IF(COUNTIFS(counts!$C$2:$C$701,$A202,counts!$D$2:$D$701,$B202,counts!$E$2:$E$701,"remaining_day3")=0,"",SUMIFS(counts!$F$2:$F$701,counts!$C$2:$C$701,$A202,counts!$D$2:$D$701,$B202,counts!$E$2:$E$701,"remaining_day3")))</f>
        <v/>
      </c>
      <c r="AF202" s="30" t="str">
        <f aca="false">IF($A202="","",IF(COUNTIFS(counts!$C$2:$C$701,$A202,counts!$D$2:$D$701,$B202,counts!$E$2:$E$701,"remaining_day5")=0,"",SUMIFS(counts!$F$2:$F$701,counts!$C$2:$C$701,$A202,counts!$D$2:$D$701,$B202,counts!$E$2:$E$701,"remaining_day5")))</f>
        <v/>
      </c>
      <c r="AG202" s="30" t="str">
        <f aca="false">IF(OR($A202="",$AF202=""),"",MAX(0,$AA202+$AD202-$AF202))</f>
        <v/>
      </c>
      <c r="AH202" s="30" t="str">
        <f aca="false">IF(OR($A202="",$AI202=""),"",IFERROR(IF(INDEX(photos!$H$2:$H$701,MATCH($A202&amp;"|"&amp;$B202&amp;"|later|Y|"&amp;$AI202,photos!$S$2:$S$701,0))="","",INDEX(photos!$H$2:$H$701,MATCH($A202&amp;"|"&amp;$B202&amp;"|later|Y|"&amp;$AI202,photos!$S$2:$S$701,0))),""))</f>
        <v/>
      </c>
      <c r="AI202" s="31" t="str">
        <f aca="false">IF($A202="","",IFERROR(1/(1/SUMPRODUCT(MAX((photos!$B$2:$B$701=$A202)*(photos!$C$2:$C$701=$B202)*(photos!$D$2:$D$701="later")*(photos!$O$2:$O$701="Y")*photos!$E$2:$E$701))),""))</f>
        <v/>
      </c>
      <c r="AJ202" s="30" t="str">
        <f aca="false">IF(OR($A202="",$AI202="",$I202=""),"",NETWORKDAYS($I202,$AI202,calendar!$A$2:$A$80))</f>
        <v/>
      </c>
      <c r="AK202" s="30" t="str">
        <f aca="false">IF($A202="","",IF(AND($X202&lt;&gt;"",$AH202&lt;&gt;""),"Y","N"))</f>
        <v/>
      </c>
      <c r="AL202" s="30" t="str">
        <f aca="true">IF(OR($A202="",$I202=""),"",IF($BC202="Y",SUMIFS(survey_frozen!$C$2:$C$251,survey_frozen!$P$2:$P$251,$A202&amp;"|"&amp;$B202),IFERROR(COUNTIFS(INDIRECT("'"&amp;$A202&amp;"'!$B$2:$B$501"),$T202,INDIRECT("'"&amp;$A202&amp;"'!$A$2:$A$501"),"&gt;="&amp;$I202,INDIRECT("'"&amp;$A202&amp;"'!$A$2:$A$501"),"&lt;"&amp;($BA202+1)),0)))</f>
        <v/>
      </c>
      <c r="AM202" s="30" t="str">
        <f aca="true">IF(OR($A202="",$I202=""),"",IF($BC202="Y",SUMIFS(survey_frozen!$D$2:$D$251,survey_frozen!$P$2:$P$251,$A202&amp;"|"&amp;$B202),IFERROR(COUNTIFS(INDIRECT("'"&amp;$A202&amp;"'!$B$2:$B$501"),$T202,INDIRECT("'"&amp;$A202&amp;"'!$A$2:$A$501"),"&gt;="&amp;$I202,INDIRECT("'"&amp;$A202&amp;"'!$A$2:$A$501"),"&lt;"&amp;($BA202+1),INDIRECT("'"&amp;$A202&amp;"'!$C$2:$C$501"),"Yes"),0)))</f>
        <v/>
      </c>
      <c r="AN202" s="30" t="str">
        <f aca="false">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30" t="str">
        <f aca="false">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30" t="str">
        <f aca="true">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30" t="str">
        <f aca="true">IF(OR($A202="",$I202=""),"",IF($BC202="Y",SUMIFS(survey_frozen!$E$2:$E$251,survey_frozen!$P$2:$P$251,$A202&amp;"|"&amp;$B202),IFERROR(COUNTIFS(INDIRECT("'"&amp;$A202&amp;"'!$B$2:$B$501"),$T202,INDIRECT("'"&amp;$A202&amp;"'!$A$2:$A$501"),"&gt;="&amp;$I202,INDIRECT("'"&amp;$A202&amp;"'!$A$2:$A$501"),"&lt;"&amp;($BA202+1),INDIRECT("'"&amp;$A202&amp;"'!$F$2:$F$501"),"Didn't see it"),0)))</f>
        <v/>
      </c>
      <c r="AR202" s="30" t="str">
        <f aca="true">IF(OR($A202="",$I202=""),"",IF($BC202="Y",SUMIFS(survey_frozen!$F$2:$F$251,survey_frozen!$P$2:$P$251,$A202&amp;"|"&amp;$B202),IFERROR(COUNTIFS(INDIRECT("'"&amp;$A202&amp;"'!$B$2:$B$501"),$T202,INDIRECT("'"&amp;$A202&amp;"'!$A$2:$A$501"),"&gt;="&amp;$I202,INDIRECT("'"&amp;$A202&amp;"'!$A$2:$A$501"),"&lt;"&amp;($BA202+1),INDIRECT("'"&amp;$A202&amp;"'!$F$2:$F$501"),"Not for me"),0)))</f>
        <v/>
      </c>
      <c r="AS202" s="30" t="str">
        <f aca="true">IF(OR($A202="",$I202=""),"",IF($BC202="Y",SUMIFS(survey_frozen!$G$2:$G$251,survey_frozen!$P$2:$P$251,$A202&amp;"|"&amp;$B202),IFERROR(COUNTIFS(INDIRECT("'"&amp;$A202&amp;"'!$B$2:$B$501"),$T202,INDIRECT("'"&amp;$A202&amp;"'!$A$2:$A$501"),"&gt;="&amp;$I202,INDIRECT("'"&amp;$A202&amp;"'!$A$2:$A$501"),"&lt;"&amp;($BA202+1),INDIRECT("'"&amp;$A202&amp;"'!$F$2:$F$501"),"Gone by the time I looked"),0)))</f>
        <v/>
      </c>
      <c r="AT202" s="30" t="str">
        <f aca="true">IF(OR($A202="",$I202=""),"",IF($BC202="Y",SUMIFS(survey_frozen!$H$2:$H$251,survey_frozen!$P$2:$P$251,$A202&amp;"|"&amp;$B202),IFERROR(COUNTIFS(INDIRECT("'"&amp;$A202&amp;"'!$B$2:$B$501"),$T202,INDIRECT("'"&amp;$A202&amp;"'!$A$2:$A$501"),"&gt;="&amp;$I202,INDIRECT("'"&amp;$A202&amp;"'!$A$2:$A$501"),"&lt;"&amp;($BA202+1),INDIRECT("'"&amp;$A202&amp;"'!$D$2:$D$501"),"&gt;=1"),0)))</f>
        <v/>
      </c>
      <c r="AU202" s="30" t="str">
        <f aca="true">IF(OR($A202="",$I202=""),"",IF($BC202="Y",SUMIFS(survey_frozen!$I$2:$I$251,survey_frozen!$P$2:$P$251,$A202&amp;"|"&amp;$B202),IFERROR(SUMIFS(INDIRECT("'"&amp;$A202&amp;"'!$D$2:$D$501"),INDIRECT("'"&amp;$A202&amp;"'!$B$2:$B$501"),$T202,INDIRECT("'"&amp;$A202&amp;"'!$A$2:$A$501"),"&gt;="&amp;$I202,INDIRECT("'"&amp;$A202&amp;"'!$A$2:$A$501"),"&lt;"&amp;($BA202+1)),0)))</f>
        <v/>
      </c>
      <c r="AV202" s="30" t="str">
        <f aca="true">IF(OR($A202="",$I202=""),"",IF($BC202="Y",SUMIFS(survey_frozen!$J$2:$J$251,survey_frozen!$P$2:$P$251,$A202&amp;"|"&amp;$B202),IFERROR(COUNTIFS(INDIRECT("'"&amp;$A202&amp;"'!$B$2:$B$501"),$T202,INDIRECT("'"&amp;$A202&amp;"'!$A$2:$A$501"),"&gt;="&amp;$I202,INDIRECT("'"&amp;$A202&amp;"'!$A$2:$A$501"),"&lt;"&amp;($BA202+1),INDIRECT("'"&amp;$A202&amp;"'!$E$2:$E$501"),"Yes"),0)))</f>
        <v/>
      </c>
      <c r="AW202" s="30" t="str">
        <f aca="true">IF(OR($A202="",$I202=""),"",IF($BC202="Y",SUMIFS(survey_frozen!$K$2:$K$251,survey_frozen!$P$2:$P$251,$A202&amp;"|"&amp;$B202),IFERROR(COUNTIFS(INDIRECT("'"&amp;$A202&amp;"'!$B$2:$B$501"),$T202,INDIRECT("'"&amp;$A202&amp;"'!$A$2:$A$501"),"&gt;="&amp;$I202,INDIRECT("'"&amp;$A202&amp;"'!$A$2:$A$501"),"&lt;"&amp;($BA202+1),INDIRECT("'"&amp;$A202&amp;"'!$E$2:$E$501"),"Maybe"),0)))</f>
        <v/>
      </c>
      <c r="AX202" s="30" t="str">
        <f aca="true">IF(OR($A202="",$I202=""),"",IF($BC202="Y",SUMIFS(survey_frozen!$L$2:$L$251,survey_frozen!$P$2:$P$251,$A202&amp;"|"&amp;$B202),IFERROR(COUNTIFS(INDIRECT("'"&amp;$A202&amp;"'!$B$2:$B$501"),$T202,INDIRECT("'"&amp;$A202&amp;"'!$A$2:$A$501"),"&gt;="&amp;$I202,INDIRECT("'"&amp;$A202&amp;"'!$A$2:$A$501"),"&lt;"&amp;($BA202+1),INDIRECT("'"&amp;$A202&amp;"'!$E$2:$E$501"),"No"),0)))</f>
        <v/>
      </c>
      <c r="AY202" s="30" t="str">
        <f aca="true">IF(OR($A202="",$I202=""),"",IF($BC202="Y",SUMIFS(survey_frozen!$M$2:$M$251,survey_frozen!$P$2:$P$251,$A202&amp;"|"&amp;$B202),IFERROR(COUNTIFS(INDIRECT("'"&amp;$A202&amp;"'!$B$2:$B$501"),$T202,INDIRECT("'"&amp;$A202&amp;"'!$A$2:$A$501"),"&gt;="&amp;$I202,INDIRECT("'"&amp;$A202&amp;"'!$A$2:$A$501"),"&lt;"&amp;($BA202+1),INDIRECT("'"&amp;$A202&amp;"'!$G$2:$G$501"),"&lt;&gt;"),0)))</f>
        <v/>
      </c>
      <c r="AZ202" s="30" t="str">
        <f aca="false">IF($A202="","",$A202&amp;"|"&amp;$L202)</f>
        <v/>
      </c>
      <c r="BA202" s="31" t="str">
        <f aca="false">IF($A202="","",IFERROR(IF(INDEX(drops!$R$2:$R$21,MATCH($H202,drops!$A$2:$A$21,0))="","",INDEX(drops!$R$2:$R$21,MATCH($H202,drops!$A$2:$A$21,0))),""))</f>
        <v/>
      </c>
      <c r="BB202" s="30" t="n">
        <f aca="false">IF(OR($A202="",$Q202&lt;&gt;"Y"),1000000,N($AL202))</f>
        <v>1000000</v>
      </c>
      <c r="BC202" s="30" t="str">
        <f aca="false">IF($A202="","",IF(COUNTIF(survey_frozen!$P$2:$P$251,$A202&amp;"|"&amp;$B202)&gt;0,"Y",""))</f>
        <v/>
      </c>
      <c r="BD202" s="30" t="str">
        <f aca="false">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ustomFormat="false" ht="15" hidden="false" customHeight="false" outlineLevel="0" collapsed="false">
      <c r="C203" s="11"/>
      <c r="D203" s="10"/>
      <c r="E203" s="11"/>
      <c r="H203" s="30" t="str">
        <f aca="false">IF($A203="","",IFERROR(IF(INDEX(campaigns!$B$2:$B$51,MATCH($A203,campaigns!$A$2:$A$51,0))="","",INDEX(campaigns!$B$2:$B$51,MATCH($A203,campaigns!$A$2:$A$51,0))),""))</f>
        <v/>
      </c>
      <c r="I203" s="31" t="str">
        <f aca="false">IF($A203="","",IFERROR(IF(INDEX(campaigns!$BG$2:$BG$51,MATCH($A203,campaigns!$A$2:$A$51,0))="","",INDEX(campaigns!$BG$2:$BG$51,MATCH($A203,campaigns!$A$2:$A$51,0))),""))</f>
        <v/>
      </c>
      <c r="J203" s="30" t="str">
        <f aca="false">IF($A203="","",IFERROR(IF(INDEX(campaigns!$BE$2:$BE$51,MATCH($A203,campaigns!$A$2:$A$51,0))="","",INDEX(campaigns!$BE$2:$BE$51,MATCH($A203,campaigns!$A$2:$A$51,0))),""))</f>
        <v/>
      </c>
      <c r="K203" s="30" t="str">
        <f aca="false">IF($B203="","",IFERROR(IF(INDEX(offices!$O$2:$O$61,MATCH($B203,offices!$A$2:$A$61,0))="","",INDEX(offices!$O$2:$O$61,MATCH($B203,offices!$A$2:$A$61,0))),""))</f>
        <v/>
      </c>
      <c r="L203" s="30" t="str">
        <f aca="false">IF($A203="","",IF($Q203="N","",COUNTIFS($A$2:$A203,$A203,$Q$2:$Q203,"&lt;&gt;N")))</f>
        <v/>
      </c>
      <c r="M203" s="30" t="str">
        <f aca="false">IF(OR($A203="",$L203=""),"",IF(AND(config!$B$34="names_if_public",IFERROR(IF(INDEX(offices!$AG$2:$AG$61,MATCH($B203,offices!$A$2:$A$61,0))="","",INDEX(offices!$AG$2:$AG$61,MATCH($B203,offices!$A$2:$A$61,0))),"")="Y"),$K203,CHAR(64+$L203)))</f>
        <v/>
      </c>
      <c r="N203" s="30" t="str">
        <f aca="false">IF(OR($A203="",$I203=""),"",COUNTIFS(stops!$B$2:$B$151,$B203,stops!$P$2:$P$151,"&lt;"&amp;$I203,stops!$L$2:$L$151,"&lt;&gt;not_delivered")+1)</f>
        <v/>
      </c>
      <c r="O203" s="30" t="str">
        <f aca="false">IF($A203="","",IF(N($N203)&lt;=config!$B$29,"explicit","opt-out"))</f>
        <v/>
      </c>
      <c r="P203" s="30" t="str">
        <f aca="false">IF($A203="","",IF($O203="explicit",IF($D203="yes","Y",IF($D203="no","N","pending")),IF($D203="no","N",IF(AND($C203&lt;&gt;"",$I203&lt;&gt;"",$C203&lt;=WORKDAY(N($I203),-5,calendar!$A$2:$A$80)),"Y","pending"))))</f>
        <v/>
      </c>
      <c r="Q203" s="30" t="str">
        <f aca="false">IF($A203="","",IF($P203="N","N",IF($P203&lt;&gt;"Y","pending",IF(AND((COUNTIFS(stops!$A$2:$A$151,$H203,stops!$B$2:$B$151,$B203,stops!$L$2:$L$151,"declined")+COUNTIFS(stops!$A$2:$A$151,$H203,stops!$B$2:$B$151,$B203,stops!$L$2:$L$151,"building_refused")+COUNTIFS(stops!$A$2:$A$151,$H203,stops!$B$2:$B$151,$B203,stops!$L$2:$L$151,"not_delivered"))&gt;0,N($U203)=0),"N","Y"))))</f>
        <v/>
      </c>
      <c r="R203" s="30" t="str">
        <f aca="false">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30" t="str">
        <f aca="false">IF($A203="","",IF($G203&lt;&gt;"",$G203,IFERROR(IF(INDEX(offices!$AM$2:$AM$61,MATCH($B203,offices!$A$2:$A$61,0))="","",INDEX(offices!$AM$2:$AM$61,MATCH($B203,offices!$A$2:$A$61,0))),"")))</f>
        <v/>
      </c>
      <c r="T203" s="30" t="str">
        <f aca="false">IF($A203="","",$A203&amp;"."&amp;$B203)</f>
        <v/>
      </c>
      <c r="U203" s="30" t="str">
        <f aca="false">IF($A203="","",SUMIFS(inventory!$G$2:$G$801,inventory!$C$2:$C$801,$A203,inventory!$D$2:$D$801,$B203,inventory!$E$2:$E$801,"delivered"))</f>
        <v/>
      </c>
      <c r="V203" s="37" t="str">
        <f aca="false">IF($A203="","",IFERROR(1/(1/SUMPRODUCT(MAX((inventory!$C$2:$C$801=$A203)*(inventory!$D$2:$D$801=$B203)*(inventory!$E$2:$E$801="delivered")*(inventory!$A$2:$A$801+inventory!$B$2:$B$801)))),""))</f>
        <v/>
      </c>
      <c r="W203" s="30" t="str">
        <f aca="false">IF($A203="","",IFERROR(IF(INDEX(inventory!$J$2:$J$801,MATCH($A203&amp;"|"&amp;$B203&amp;"|delivered",inventory!$R$2:$R$801,0))="","",INDEX(inventory!$J$2:$J$801,MATCH($A203&amp;"|"&amp;$B203&amp;"|delivered",inventory!$R$2:$R$801,0))),""))</f>
        <v/>
      </c>
      <c r="X203" s="30" t="str">
        <f aca="false">IF($A203="","",IFERROR(IF(INDEX(photos!$H$2:$H$701,MATCH($A203&amp;"|"&amp;$B203&amp;"|placement|Y",photos!$R$2:$R$701,0))="","",INDEX(photos!$H$2:$H$701,MATCH($A203&amp;"|"&amp;$B203&amp;"|placement|Y",photos!$R$2:$R$701,0))),""))</f>
        <v/>
      </c>
      <c r="Y203" s="31" t="str">
        <f aca="false">IF($A203="","",IFERROR(IF(INDEX(photos!$E$2:$E$701,MATCH($A203&amp;"|"&amp;$B203&amp;"|placement|Y",photos!$R$2:$R$701,0))="","",INDEX(photos!$E$2:$E$701,MATCH($A203&amp;"|"&amp;$B203&amp;"|placement|Y",photos!$R$2:$R$701,0))),""))</f>
        <v/>
      </c>
      <c r="Z203" s="30" t="str">
        <f aca="false">IF($A203="","",IF(COUNTIFS(counts!$C$2:$C$701,$A203,counts!$D$2:$D$701,$B203,counts!$E$2:$E$701,"placed")=0,"",SUMIFS(counts!$F$2:$F$701,counts!$C$2:$C$701,$A203,counts!$D$2:$D$701,$B203,counts!$E$2:$E$701,"placed")))</f>
        <v/>
      </c>
      <c r="AA203" s="30" t="str">
        <f aca="false">IF($A203="","",IF($Y203="",0,N($Z203)))</f>
        <v/>
      </c>
      <c r="AB203" s="30" t="str">
        <f aca="false">IF($A203="","",IF(OR($Y203="",$I203=""),"N",IF($Y203&lt;=WORKDAY(N($I203),1,calendar!$A$2:$A$80),"Y","N")))</f>
        <v/>
      </c>
      <c r="AC203" s="33" t="str">
        <f aca="false">IF(OR($A203="",$V203="",$Y203=""),"",ROUND(($Y203+N(IFERROR(IF(INDEX(photos!$F$2:$F$701,MATCH($A203&amp;"|"&amp;$B203&amp;"|placement|Y",photos!$R$2:$R$701,0))="","",INDEX(photos!$F$2:$F$701,MATCH($A203&amp;"|"&amp;$B203&amp;"|placement|Y",photos!$R$2:$R$701,0))),""))-$V203)*24,1))</f>
        <v/>
      </c>
      <c r="AD203" s="30" t="str">
        <f aca="false">IF($A203="","",SUMIFS(inventory!$G$2:$G$801,inventory!$C$2:$C$801,$A203,inventory!$D$2:$D$801,$B203,inventory!$E$2:$E$801,"topped_up"))</f>
        <v/>
      </c>
      <c r="AE203" s="30" t="str">
        <f aca="false">IF($A203="","",IF(COUNTIFS(counts!$C$2:$C$701,$A203,counts!$D$2:$D$701,$B203,counts!$E$2:$E$701,"remaining_day3")=0,"",SUMIFS(counts!$F$2:$F$701,counts!$C$2:$C$701,$A203,counts!$D$2:$D$701,$B203,counts!$E$2:$E$701,"remaining_day3")))</f>
        <v/>
      </c>
      <c r="AF203" s="30" t="str">
        <f aca="false">IF($A203="","",IF(COUNTIFS(counts!$C$2:$C$701,$A203,counts!$D$2:$D$701,$B203,counts!$E$2:$E$701,"remaining_day5")=0,"",SUMIFS(counts!$F$2:$F$701,counts!$C$2:$C$701,$A203,counts!$D$2:$D$701,$B203,counts!$E$2:$E$701,"remaining_day5")))</f>
        <v/>
      </c>
      <c r="AG203" s="30" t="str">
        <f aca="false">IF(OR($A203="",$AF203=""),"",MAX(0,$AA203+$AD203-$AF203))</f>
        <v/>
      </c>
      <c r="AH203" s="30" t="str">
        <f aca="false">IF(OR($A203="",$AI203=""),"",IFERROR(IF(INDEX(photos!$H$2:$H$701,MATCH($A203&amp;"|"&amp;$B203&amp;"|later|Y|"&amp;$AI203,photos!$S$2:$S$701,0))="","",INDEX(photos!$H$2:$H$701,MATCH($A203&amp;"|"&amp;$B203&amp;"|later|Y|"&amp;$AI203,photos!$S$2:$S$701,0))),""))</f>
        <v/>
      </c>
      <c r="AI203" s="31" t="str">
        <f aca="false">IF($A203="","",IFERROR(1/(1/SUMPRODUCT(MAX((photos!$B$2:$B$701=$A203)*(photos!$C$2:$C$701=$B203)*(photos!$D$2:$D$701="later")*(photos!$O$2:$O$701="Y")*photos!$E$2:$E$701))),""))</f>
        <v/>
      </c>
      <c r="AJ203" s="30" t="str">
        <f aca="false">IF(OR($A203="",$AI203="",$I203=""),"",NETWORKDAYS($I203,$AI203,calendar!$A$2:$A$80))</f>
        <v/>
      </c>
      <c r="AK203" s="30" t="str">
        <f aca="false">IF($A203="","",IF(AND($X203&lt;&gt;"",$AH203&lt;&gt;""),"Y","N"))</f>
        <v/>
      </c>
      <c r="AL203" s="30" t="str">
        <f aca="true">IF(OR($A203="",$I203=""),"",IF($BC203="Y",SUMIFS(survey_frozen!$C$2:$C$251,survey_frozen!$P$2:$P$251,$A203&amp;"|"&amp;$B203),IFERROR(COUNTIFS(INDIRECT("'"&amp;$A203&amp;"'!$B$2:$B$501"),$T203,INDIRECT("'"&amp;$A203&amp;"'!$A$2:$A$501"),"&gt;="&amp;$I203,INDIRECT("'"&amp;$A203&amp;"'!$A$2:$A$501"),"&lt;"&amp;($BA203+1)),0)))</f>
        <v/>
      </c>
      <c r="AM203" s="30" t="str">
        <f aca="true">IF(OR($A203="",$I203=""),"",IF($BC203="Y",SUMIFS(survey_frozen!$D$2:$D$251,survey_frozen!$P$2:$P$251,$A203&amp;"|"&amp;$B203),IFERROR(COUNTIFS(INDIRECT("'"&amp;$A203&amp;"'!$B$2:$B$501"),$T203,INDIRECT("'"&amp;$A203&amp;"'!$A$2:$A$501"),"&gt;="&amp;$I203,INDIRECT("'"&amp;$A203&amp;"'!$A$2:$A$501"),"&lt;"&amp;($BA203+1),INDIRECT("'"&amp;$A203&amp;"'!$C$2:$C$501"),"Yes"),0)))</f>
        <v/>
      </c>
      <c r="AN203" s="30" t="str">
        <f aca="false">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30" t="str">
        <f aca="false">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30" t="str">
        <f aca="true">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30" t="str">
        <f aca="true">IF(OR($A203="",$I203=""),"",IF($BC203="Y",SUMIFS(survey_frozen!$E$2:$E$251,survey_frozen!$P$2:$P$251,$A203&amp;"|"&amp;$B203),IFERROR(COUNTIFS(INDIRECT("'"&amp;$A203&amp;"'!$B$2:$B$501"),$T203,INDIRECT("'"&amp;$A203&amp;"'!$A$2:$A$501"),"&gt;="&amp;$I203,INDIRECT("'"&amp;$A203&amp;"'!$A$2:$A$501"),"&lt;"&amp;($BA203+1),INDIRECT("'"&amp;$A203&amp;"'!$F$2:$F$501"),"Didn't see it"),0)))</f>
        <v/>
      </c>
      <c r="AR203" s="30" t="str">
        <f aca="true">IF(OR($A203="",$I203=""),"",IF($BC203="Y",SUMIFS(survey_frozen!$F$2:$F$251,survey_frozen!$P$2:$P$251,$A203&amp;"|"&amp;$B203),IFERROR(COUNTIFS(INDIRECT("'"&amp;$A203&amp;"'!$B$2:$B$501"),$T203,INDIRECT("'"&amp;$A203&amp;"'!$A$2:$A$501"),"&gt;="&amp;$I203,INDIRECT("'"&amp;$A203&amp;"'!$A$2:$A$501"),"&lt;"&amp;($BA203+1),INDIRECT("'"&amp;$A203&amp;"'!$F$2:$F$501"),"Not for me"),0)))</f>
        <v/>
      </c>
      <c r="AS203" s="30" t="str">
        <f aca="true">IF(OR($A203="",$I203=""),"",IF($BC203="Y",SUMIFS(survey_frozen!$G$2:$G$251,survey_frozen!$P$2:$P$251,$A203&amp;"|"&amp;$B203),IFERROR(COUNTIFS(INDIRECT("'"&amp;$A203&amp;"'!$B$2:$B$501"),$T203,INDIRECT("'"&amp;$A203&amp;"'!$A$2:$A$501"),"&gt;="&amp;$I203,INDIRECT("'"&amp;$A203&amp;"'!$A$2:$A$501"),"&lt;"&amp;($BA203+1),INDIRECT("'"&amp;$A203&amp;"'!$F$2:$F$501"),"Gone by the time I looked"),0)))</f>
        <v/>
      </c>
      <c r="AT203" s="30" t="str">
        <f aca="true">IF(OR($A203="",$I203=""),"",IF($BC203="Y",SUMIFS(survey_frozen!$H$2:$H$251,survey_frozen!$P$2:$P$251,$A203&amp;"|"&amp;$B203),IFERROR(COUNTIFS(INDIRECT("'"&amp;$A203&amp;"'!$B$2:$B$501"),$T203,INDIRECT("'"&amp;$A203&amp;"'!$A$2:$A$501"),"&gt;="&amp;$I203,INDIRECT("'"&amp;$A203&amp;"'!$A$2:$A$501"),"&lt;"&amp;($BA203+1),INDIRECT("'"&amp;$A203&amp;"'!$D$2:$D$501"),"&gt;=1"),0)))</f>
        <v/>
      </c>
      <c r="AU203" s="30" t="str">
        <f aca="true">IF(OR($A203="",$I203=""),"",IF($BC203="Y",SUMIFS(survey_frozen!$I$2:$I$251,survey_frozen!$P$2:$P$251,$A203&amp;"|"&amp;$B203),IFERROR(SUMIFS(INDIRECT("'"&amp;$A203&amp;"'!$D$2:$D$501"),INDIRECT("'"&amp;$A203&amp;"'!$B$2:$B$501"),$T203,INDIRECT("'"&amp;$A203&amp;"'!$A$2:$A$501"),"&gt;="&amp;$I203,INDIRECT("'"&amp;$A203&amp;"'!$A$2:$A$501"),"&lt;"&amp;($BA203+1)),0)))</f>
        <v/>
      </c>
      <c r="AV203" s="30" t="str">
        <f aca="true">IF(OR($A203="",$I203=""),"",IF($BC203="Y",SUMIFS(survey_frozen!$J$2:$J$251,survey_frozen!$P$2:$P$251,$A203&amp;"|"&amp;$B203),IFERROR(COUNTIFS(INDIRECT("'"&amp;$A203&amp;"'!$B$2:$B$501"),$T203,INDIRECT("'"&amp;$A203&amp;"'!$A$2:$A$501"),"&gt;="&amp;$I203,INDIRECT("'"&amp;$A203&amp;"'!$A$2:$A$501"),"&lt;"&amp;($BA203+1),INDIRECT("'"&amp;$A203&amp;"'!$E$2:$E$501"),"Yes"),0)))</f>
        <v/>
      </c>
      <c r="AW203" s="30" t="str">
        <f aca="true">IF(OR($A203="",$I203=""),"",IF($BC203="Y",SUMIFS(survey_frozen!$K$2:$K$251,survey_frozen!$P$2:$P$251,$A203&amp;"|"&amp;$B203),IFERROR(COUNTIFS(INDIRECT("'"&amp;$A203&amp;"'!$B$2:$B$501"),$T203,INDIRECT("'"&amp;$A203&amp;"'!$A$2:$A$501"),"&gt;="&amp;$I203,INDIRECT("'"&amp;$A203&amp;"'!$A$2:$A$501"),"&lt;"&amp;($BA203+1),INDIRECT("'"&amp;$A203&amp;"'!$E$2:$E$501"),"Maybe"),0)))</f>
        <v/>
      </c>
      <c r="AX203" s="30" t="str">
        <f aca="true">IF(OR($A203="",$I203=""),"",IF($BC203="Y",SUMIFS(survey_frozen!$L$2:$L$251,survey_frozen!$P$2:$P$251,$A203&amp;"|"&amp;$B203),IFERROR(COUNTIFS(INDIRECT("'"&amp;$A203&amp;"'!$B$2:$B$501"),$T203,INDIRECT("'"&amp;$A203&amp;"'!$A$2:$A$501"),"&gt;="&amp;$I203,INDIRECT("'"&amp;$A203&amp;"'!$A$2:$A$501"),"&lt;"&amp;($BA203+1),INDIRECT("'"&amp;$A203&amp;"'!$E$2:$E$501"),"No"),0)))</f>
        <v/>
      </c>
      <c r="AY203" s="30" t="str">
        <f aca="true">IF(OR($A203="",$I203=""),"",IF($BC203="Y",SUMIFS(survey_frozen!$M$2:$M$251,survey_frozen!$P$2:$P$251,$A203&amp;"|"&amp;$B203),IFERROR(COUNTIFS(INDIRECT("'"&amp;$A203&amp;"'!$B$2:$B$501"),$T203,INDIRECT("'"&amp;$A203&amp;"'!$A$2:$A$501"),"&gt;="&amp;$I203,INDIRECT("'"&amp;$A203&amp;"'!$A$2:$A$501"),"&lt;"&amp;($BA203+1),INDIRECT("'"&amp;$A203&amp;"'!$G$2:$G$501"),"&lt;&gt;"),0)))</f>
        <v/>
      </c>
      <c r="AZ203" s="30" t="str">
        <f aca="false">IF($A203="","",$A203&amp;"|"&amp;$L203)</f>
        <v/>
      </c>
      <c r="BA203" s="31" t="str">
        <f aca="false">IF($A203="","",IFERROR(IF(INDEX(drops!$R$2:$R$21,MATCH($H203,drops!$A$2:$A$21,0))="","",INDEX(drops!$R$2:$R$21,MATCH($H203,drops!$A$2:$A$21,0))),""))</f>
        <v/>
      </c>
      <c r="BB203" s="30" t="n">
        <f aca="false">IF(OR($A203="",$Q203&lt;&gt;"Y"),1000000,N($AL203))</f>
        <v>1000000</v>
      </c>
      <c r="BC203" s="30" t="str">
        <f aca="false">IF($A203="","",IF(COUNTIF(survey_frozen!$P$2:$P$251,$A203&amp;"|"&amp;$B203)&gt;0,"Y",""))</f>
        <v/>
      </c>
      <c r="BD203" s="30" t="str">
        <f aca="false">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ustomFormat="false" ht="15" hidden="false" customHeight="false" outlineLevel="0" collapsed="false">
      <c r="C204" s="11"/>
      <c r="D204" s="10"/>
      <c r="E204" s="11"/>
      <c r="H204" s="30" t="str">
        <f aca="false">IF($A204="","",IFERROR(IF(INDEX(campaigns!$B$2:$B$51,MATCH($A204,campaigns!$A$2:$A$51,0))="","",INDEX(campaigns!$B$2:$B$51,MATCH($A204,campaigns!$A$2:$A$51,0))),""))</f>
        <v/>
      </c>
      <c r="I204" s="31" t="str">
        <f aca="false">IF($A204="","",IFERROR(IF(INDEX(campaigns!$BG$2:$BG$51,MATCH($A204,campaigns!$A$2:$A$51,0))="","",INDEX(campaigns!$BG$2:$BG$51,MATCH($A204,campaigns!$A$2:$A$51,0))),""))</f>
        <v/>
      </c>
      <c r="J204" s="30" t="str">
        <f aca="false">IF($A204="","",IFERROR(IF(INDEX(campaigns!$BE$2:$BE$51,MATCH($A204,campaigns!$A$2:$A$51,0))="","",INDEX(campaigns!$BE$2:$BE$51,MATCH($A204,campaigns!$A$2:$A$51,0))),""))</f>
        <v/>
      </c>
      <c r="K204" s="30" t="str">
        <f aca="false">IF($B204="","",IFERROR(IF(INDEX(offices!$O$2:$O$61,MATCH($B204,offices!$A$2:$A$61,0))="","",INDEX(offices!$O$2:$O$61,MATCH($B204,offices!$A$2:$A$61,0))),""))</f>
        <v/>
      </c>
      <c r="L204" s="30" t="str">
        <f aca="false">IF($A204="","",IF($Q204="N","",COUNTIFS($A$2:$A204,$A204,$Q$2:$Q204,"&lt;&gt;N")))</f>
        <v/>
      </c>
      <c r="M204" s="30" t="str">
        <f aca="false">IF(OR($A204="",$L204=""),"",IF(AND(config!$B$34="names_if_public",IFERROR(IF(INDEX(offices!$AG$2:$AG$61,MATCH($B204,offices!$A$2:$A$61,0))="","",INDEX(offices!$AG$2:$AG$61,MATCH($B204,offices!$A$2:$A$61,0))),"")="Y"),$K204,CHAR(64+$L204)))</f>
        <v/>
      </c>
      <c r="N204" s="30" t="str">
        <f aca="false">IF(OR($A204="",$I204=""),"",COUNTIFS(stops!$B$2:$B$151,$B204,stops!$P$2:$P$151,"&lt;"&amp;$I204,stops!$L$2:$L$151,"&lt;&gt;not_delivered")+1)</f>
        <v/>
      </c>
      <c r="O204" s="30" t="str">
        <f aca="false">IF($A204="","",IF(N($N204)&lt;=config!$B$29,"explicit","opt-out"))</f>
        <v/>
      </c>
      <c r="P204" s="30" t="str">
        <f aca="false">IF($A204="","",IF($O204="explicit",IF($D204="yes","Y",IF($D204="no","N","pending")),IF($D204="no","N",IF(AND($C204&lt;&gt;"",$I204&lt;&gt;"",$C204&lt;=WORKDAY(N($I204),-5,calendar!$A$2:$A$80)),"Y","pending"))))</f>
        <v/>
      </c>
      <c r="Q204" s="30" t="str">
        <f aca="false">IF($A204="","",IF($P204="N","N",IF($P204&lt;&gt;"Y","pending",IF(AND((COUNTIFS(stops!$A$2:$A$151,$H204,stops!$B$2:$B$151,$B204,stops!$L$2:$L$151,"declined")+COUNTIFS(stops!$A$2:$A$151,$H204,stops!$B$2:$B$151,$B204,stops!$L$2:$L$151,"building_refused")+COUNTIFS(stops!$A$2:$A$151,$H204,stops!$B$2:$B$151,$B204,stops!$L$2:$L$151,"not_delivered"))&gt;0,N($U204)=0),"N","Y"))))</f>
        <v/>
      </c>
      <c r="R204" s="30" t="str">
        <f aca="false">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30" t="str">
        <f aca="false">IF($A204="","",IF($G204&lt;&gt;"",$G204,IFERROR(IF(INDEX(offices!$AM$2:$AM$61,MATCH($B204,offices!$A$2:$A$61,0))="","",INDEX(offices!$AM$2:$AM$61,MATCH($B204,offices!$A$2:$A$61,0))),"")))</f>
        <v/>
      </c>
      <c r="T204" s="30" t="str">
        <f aca="false">IF($A204="","",$A204&amp;"."&amp;$B204)</f>
        <v/>
      </c>
      <c r="U204" s="30" t="str">
        <f aca="false">IF($A204="","",SUMIFS(inventory!$G$2:$G$801,inventory!$C$2:$C$801,$A204,inventory!$D$2:$D$801,$B204,inventory!$E$2:$E$801,"delivered"))</f>
        <v/>
      </c>
      <c r="V204" s="37" t="str">
        <f aca="false">IF($A204="","",IFERROR(1/(1/SUMPRODUCT(MAX((inventory!$C$2:$C$801=$A204)*(inventory!$D$2:$D$801=$B204)*(inventory!$E$2:$E$801="delivered")*(inventory!$A$2:$A$801+inventory!$B$2:$B$801)))),""))</f>
        <v/>
      </c>
      <c r="W204" s="30" t="str">
        <f aca="false">IF($A204="","",IFERROR(IF(INDEX(inventory!$J$2:$J$801,MATCH($A204&amp;"|"&amp;$B204&amp;"|delivered",inventory!$R$2:$R$801,0))="","",INDEX(inventory!$J$2:$J$801,MATCH($A204&amp;"|"&amp;$B204&amp;"|delivered",inventory!$R$2:$R$801,0))),""))</f>
        <v/>
      </c>
      <c r="X204" s="30" t="str">
        <f aca="false">IF($A204="","",IFERROR(IF(INDEX(photos!$H$2:$H$701,MATCH($A204&amp;"|"&amp;$B204&amp;"|placement|Y",photos!$R$2:$R$701,0))="","",INDEX(photos!$H$2:$H$701,MATCH($A204&amp;"|"&amp;$B204&amp;"|placement|Y",photos!$R$2:$R$701,0))),""))</f>
        <v/>
      </c>
      <c r="Y204" s="31" t="str">
        <f aca="false">IF($A204="","",IFERROR(IF(INDEX(photos!$E$2:$E$701,MATCH($A204&amp;"|"&amp;$B204&amp;"|placement|Y",photos!$R$2:$R$701,0))="","",INDEX(photos!$E$2:$E$701,MATCH($A204&amp;"|"&amp;$B204&amp;"|placement|Y",photos!$R$2:$R$701,0))),""))</f>
        <v/>
      </c>
      <c r="Z204" s="30" t="str">
        <f aca="false">IF($A204="","",IF(COUNTIFS(counts!$C$2:$C$701,$A204,counts!$D$2:$D$701,$B204,counts!$E$2:$E$701,"placed")=0,"",SUMIFS(counts!$F$2:$F$701,counts!$C$2:$C$701,$A204,counts!$D$2:$D$701,$B204,counts!$E$2:$E$701,"placed")))</f>
        <v/>
      </c>
      <c r="AA204" s="30" t="str">
        <f aca="false">IF($A204="","",IF($Y204="",0,N($Z204)))</f>
        <v/>
      </c>
      <c r="AB204" s="30" t="str">
        <f aca="false">IF($A204="","",IF(OR($Y204="",$I204=""),"N",IF($Y204&lt;=WORKDAY(N($I204),1,calendar!$A$2:$A$80),"Y","N")))</f>
        <v/>
      </c>
      <c r="AC204" s="33" t="str">
        <f aca="false">IF(OR($A204="",$V204="",$Y204=""),"",ROUND(($Y204+N(IFERROR(IF(INDEX(photos!$F$2:$F$701,MATCH($A204&amp;"|"&amp;$B204&amp;"|placement|Y",photos!$R$2:$R$701,0))="","",INDEX(photos!$F$2:$F$701,MATCH($A204&amp;"|"&amp;$B204&amp;"|placement|Y",photos!$R$2:$R$701,0))),""))-$V204)*24,1))</f>
        <v/>
      </c>
      <c r="AD204" s="30" t="str">
        <f aca="false">IF($A204="","",SUMIFS(inventory!$G$2:$G$801,inventory!$C$2:$C$801,$A204,inventory!$D$2:$D$801,$B204,inventory!$E$2:$E$801,"topped_up"))</f>
        <v/>
      </c>
      <c r="AE204" s="30" t="str">
        <f aca="false">IF($A204="","",IF(COUNTIFS(counts!$C$2:$C$701,$A204,counts!$D$2:$D$701,$B204,counts!$E$2:$E$701,"remaining_day3")=0,"",SUMIFS(counts!$F$2:$F$701,counts!$C$2:$C$701,$A204,counts!$D$2:$D$701,$B204,counts!$E$2:$E$701,"remaining_day3")))</f>
        <v/>
      </c>
      <c r="AF204" s="30" t="str">
        <f aca="false">IF($A204="","",IF(COUNTIFS(counts!$C$2:$C$701,$A204,counts!$D$2:$D$701,$B204,counts!$E$2:$E$701,"remaining_day5")=0,"",SUMIFS(counts!$F$2:$F$701,counts!$C$2:$C$701,$A204,counts!$D$2:$D$701,$B204,counts!$E$2:$E$701,"remaining_day5")))</f>
        <v/>
      </c>
      <c r="AG204" s="30" t="str">
        <f aca="false">IF(OR($A204="",$AF204=""),"",MAX(0,$AA204+$AD204-$AF204))</f>
        <v/>
      </c>
      <c r="AH204" s="30" t="str">
        <f aca="false">IF(OR($A204="",$AI204=""),"",IFERROR(IF(INDEX(photos!$H$2:$H$701,MATCH($A204&amp;"|"&amp;$B204&amp;"|later|Y|"&amp;$AI204,photos!$S$2:$S$701,0))="","",INDEX(photos!$H$2:$H$701,MATCH($A204&amp;"|"&amp;$B204&amp;"|later|Y|"&amp;$AI204,photos!$S$2:$S$701,0))),""))</f>
        <v/>
      </c>
      <c r="AI204" s="31" t="str">
        <f aca="false">IF($A204="","",IFERROR(1/(1/SUMPRODUCT(MAX((photos!$B$2:$B$701=$A204)*(photos!$C$2:$C$701=$B204)*(photos!$D$2:$D$701="later")*(photos!$O$2:$O$701="Y")*photos!$E$2:$E$701))),""))</f>
        <v/>
      </c>
      <c r="AJ204" s="30" t="str">
        <f aca="false">IF(OR($A204="",$AI204="",$I204=""),"",NETWORKDAYS($I204,$AI204,calendar!$A$2:$A$80))</f>
        <v/>
      </c>
      <c r="AK204" s="30" t="str">
        <f aca="false">IF($A204="","",IF(AND($X204&lt;&gt;"",$AH204&lt;&gt;""),"Y","N"))</f>
        <v/>
      </c>
      <c r="AL204" s="30" t="str">
        <f aca="true">IF(OR($A204="",$I204=""),"",IF($BC204="Y",SUMIFS(survey_frozen!$C$2:$C$251,survey_frozen!$P$2:$P$251,$A204&amp;"|"&amp;$B204),IFERROR(COUNTIFS(INDIRECT("'"&amp;$A204&amp;"'!$B$2:$B$501"),$T204,INDIRECT("'"&amp;$A204&amp;"'!$A$2:$A$501"),"&gt;="&amp;$I204,INDIRECT("'"&amp;$A204&amp;"'!$A$2:$A$501"),"&lt;"&amp;($BA204+1)),0)))</f>
        <v/>
      </c>
      <c r="AM204" s="30" t="str">
        <f aca="true">IF(OR($A204="",$I204=""),"",IF($BC204="Y",SUMIFS(survey_frozen!$D$2:$D$251,survey_frozen!$P$2:$P$251,$A204&amp;"|"&amp;$B204),IFERROR(COUNTIFS(INDIRECT("'"&amp;$A204&amp;"'!$B$2:$B$501"),$T204,INDIRECT("'"&amp;$A204&amp;"'!$A$2:$A$501"),"&gt;="&amp;$I204,INDIRECT("'"&amp;$A204&amp;"'!$A$2:$A$501"),"&lt;"&amp;($BA204+1),INDIRECT("'"&amp;$A204&amp;"'!$C$2:$C$501"),"Yes"),0)))</f>
        <v/>
      </c>
      <c r="AN204" s="30" t="str">
        <f aca="false">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30" t="str">
        <f aca="false">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30" t="str">
        <f aca="true">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30" t="str">
        <f aca="true">IF(OR($A204="",$I204=""),"",IF($BC204="Y",SUMIFS(survey_frozen!$E$2:$E$251,survey_frozen!$P$2:$P$251,$A204&amp;"|"&amp;$B204),IFERROR(COUNTIFS(INDIRECT("'"&amp;$A204&amp;"'!$B$2:$B$501"),$T204,INDIRECT("'"&amp;$A204&amp;"'!$A$2:$A$501"),"&gt;="&amp;$I204,INDIRECT("'"&amp;$A204&amp;"'!$A$2:$A$501"),"&lt;"&amp;($BA204+1),INDIRECT("'"&amp;$A204&amp;"'!$F$2:$F$501"),"Didn't see it"),0)))</f>
        <v/>
      </c>
      <c r="AR204" s="30" t="str">
        <f aca="true">IF(OR($A204="",$I204=""),"",IF($BC204="Y",SUMIFS(survey_frozen!$F$2:$F$251,survey_frozen!$P$2:$P$251,$A204&amp;"|"&amp;$B204),IFERROR(COUNTIFS(INDIRECT("'"&amp;$A204&amp;"'!$B$2:$B$501"),$T204,INDIRECT("'"&amp;$A204&amp;"'!$A$2:$A$501"),"&gt;="&amp;$I204,INDIRECT("'"&amp;$A204&amp;"'!$A$2:$A$501"),"&lt;"&amp;($BA204+1),INDIRECT("'"&amp;$A204&amp;"'!$F$2:$F$501"),"Not for me"),0)))</f>
        <v/>
      </c>
      <c r="AS204" s="30" t="str">
        <f aca="true">IF(OR($A204="",$I204=""),"",IF($BC204="Y",SUMIFS(survey_frozen!$G$2:$G$251,survey_frozen!$P$2:$P$251,$A204&amp;"|"&amp;$B204),IFERROR(COUNTIFS(INDIRECT("'"&amp;$A204&amp;"'!$B$2:$B$501"),$T204,INDIRECT("'"&amp;$A204&amp;"'!$A$2:$A$501"),"&gt;="&amp;$I204,INDIRECT("'"&amp;$A204&amp;"'!$A$2:$A$501"),"&lt;"&amp;($BA204+1),INDIRECT("'"&amp;$A204&amp;"'!$F$2:$F$501"),"Gone by the time I looked"),0)))</f>
        <v/>
      </c>
      <c r="AT204" s="30" t="str">
        <f aca="true">IF(OR($A204="",$I204=""),"",IF($BC204="Y",SUMIFS(survey_frozen!$H$2:$H$251,survey_frozen!$P$2:$P$251,$A204&amp;"|"&amp;$B204),IFERROR(COUNTIFS(INDIRECT("'"&amp;$A204&amp;"'!$B$2:$B$501"),$T204,INDIRECT("'"&amp;$A204&amp;"'!$A$2:$A$501"),"&gt;="&amp;$I204,INDIRECT("'"&amp;$A204&amp;"'!$A$2:$A$501"),"&lt;"&amp;($BA204+1),INDIRECT("'"&amp;$A204&amp;"'!$D$2:$D$501"),"&gt;=1"),0)))</f>
        <v/>
      </c>
      <c r="AU204" s="30" t="str">
        <f aca="true">IF(OR($A204="",$I204=""),"",IF($BC204="Y",SUMIFS(survey_frozen!$I$2:$I$251,survey_frozen!$P$2:$P$251,$A204&amp;"|"&amp;$B204),IFERROR(SUMIFS(INDIRECT("'"&amp;$A204&amp;"'!$D$2:$D$501"),INDIRECT("'"&amp;$A204&amp;"'!$B$2:$B$501"),$T204,INDIRECT("'"&amp;$A204&amp;"'!$A$2:$A$501"),"&gt;="&amp;$I204,INDIRECT("'"&amp;$A204&amp;"'!$A$2:$A$501"),"&lt;"&amp;($BA204+1)),0)))</f>
        <v/>
      </c>
      <c r="AV204" s="30" t="str">
        <f aca="true">IF(OR($A204="",$I204=""),"",IF($BC204="Y",SUMIFS(survey_frozen!$J$2:$J$251,survey_frozen!$P$2:$P$251,$A204&amp;"|"&amp;$B204),IFERROR(COUNTIFS(INDIRECT("'"&amp;$A204&amp;"'!$B$2:$B$501"),$T204,INDIRECT("'"&amp;$A204&amp;"'!$A$2:$A$501"),"&gt;="&amp;$I204,INDIRECT("'"&amp;$A204&amp;"'!$A$2:$A$501"),"&lt;"&amp;($BA204+1),INDIRECT("'"&amp;$A204&amp;"'!$E$2:$E$501"),"Yes"),0)))</f>
        <v/>
      </c>
      <c r="AW204" s="30" t="str">
        <f aca="true">IF(OR($A204="",$I204=""),"",IF($BC204="Y",SUMIFS(survey_frozen!$K$2:$K$251,survey_frozen!$P$2:$P$251,$A204&amp;"|"&amp;$B204),IFERROR(COUNTIFS(INDIRECT("'"&amp;$A204&amp;"'!$B$2:$B$501"),$T204,INDIRECT("'"&amp;$A204&amp;"'!$A$2:$A$501"),"&gt;="&amp;$I204,INDIRECT("'"&amp;$A204&amp;"'!$A$2:$A$501"),"&lt;"&amp;($BA204+1),INDIRECT("'"&amp;$A204&amp;"'!$E$2:$E$501"),"Maybe"),0)))</f>
        <v/>
      </c>
      <c r="AX204" s="30" t="str">
        <f aca="true">IF(OR($A204="",$I204=""),"",IF($BC204="Y",SUMIFS(survey_frozen!$L$2:$L$251,survey_frozen!$P$2:$P$251,$A204&amp;"|"&amp;$B204),IFERROR(COUNTIFS(INDIRECT("'"&amp;$A204&amp;"'!$B$2:$B$501"),$T204,INDIRECT("'"&amp;$A204&amp;"'!$A$2:$A$501"),"&gt;="&amp;$I204,INDIRECT("'"&amp;$A204&amp;"'!$A$2:$A$501"),"&lt;"&amp;($BA204+1),INDIRECT("'"&amp;$A204&amp;"'!$E$2:$E$501"),"No"),0)))</f>
        <v/>
      </c>
      <c r="AY204" s="30" t="str">
        <f aca="true">IF(OR($A204="",$I204=""),"",IF($BC204="Y",SUMIFS(survey_frozen!$M$2:$M$251,survey_frozen!$P$2:$P$251,$A204&amp;"|"&amp;$B204),IFERROR(COUNTIFS(INDIRECT("'"&amp;$A204&amp;"'!$B$2:$B$501"),$T204,INDIRECT("'"&amp;$A204&amp;"'!$A$2:$A$501"),"&gt;="&amp;$I204,INDIRECT("'"&amp;$A204&amp;"'!$A$2:$A$501"),"&lt;"&amp;($BA204+1),INDIRECT("'"&amp;$A204&amp;"'!$G$2:$G$501"),"&lt;&gt;"),0)))</f>
        <v/>
      </c>
      <c r="AZ204" s="30" t="str">
        <f aca="false">IF($A204="","",$A204&amp;"|"&amp;$L204)</f>
        <v/>
      </c>
      <c r="BA204" s="31" t="str">
        <f aca="false">IF($A204="","",IFERROR(IF(INDEX(drops!$R$2:$R$21,MATCH($H204,drops!$A$2:$A$21,0))="","",INDEX(drops!$R$2:$R$21,MATCH($H204,drops!$A$2:$A$21,0))),""))</f>
        <v/>
      </c>
      <c r="BB204" s="30" t="n">
        <f aca="false">IF(OR($A204="",$Q204&lt;&gt;"Y"),1000000,N($AL204))</f>
        <v>1000000</v>
      </c>
      <c r="BC204" s="30" t="str">
        <f aca="false">IF($A204="","",IF(COUNTIF(survey_frozen!$P$2:$P$251,$A204&amp;"|"&amp;$B204)&gt;0,"Y",""))</f>
        <v/>
      </c>
      <c r="BD204" s="30" t="str">
        <f aca="false">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ustomFormat="false" ht="15" hidden="false" customHeight="false" outlineLevel="0" collapsed="false">
      <c r="C205" s="11"/>
      <c r="D205" s="10"/>
      <c r="E205" s="11"/>
      <c r="H205" s="30" t="str">
        <f aca="false">IF($A205="","",IFERROR(IF(INDEX(campaigns!$B$2:$B$51,MATCH($A205,campaigns!$A$2:$A$51,0))="","",INDEX(campaigns!$B$2:$B$51,MATCH($A205,campaigns!$A$2:$A$51,0))),""))</f>
        <v/>
      </c>
      <c r="I205" s="31" t="str">
        <f aca="false">IF($A205="","",IFERROR(IF(INDEX(campaigns!$BG$2:$BG$51,MATCH($A205,campaigns!$A$2:$A$51,0))="","",INDEX(campaigns!$BG$2:$BG$51,MATCH($A205,campaigns!$A$2:$A$51,0))),""))</f>
        <v/>
      </c>
      <c r="J205" s="30" t="str">
        <f aca="false">IF($A205="","",IFERROR(IF(INDEX(campaigns!$BE$2:$BE$51,MATCH($A205,campaigns!$A$2:$A$51,0))="","",INDEX(campaigns!$BE$2:$BE$51,MATCH($A205,campaigns!$A$2:$A$51,0))),""))</f>
        <v/>
      </c>
      <c r="K205" s="30" t="str">
        <f aca="false">IF($B205="","",IFERROR(IF(INDEX(offices!$O$2:$O$61,MATCH($B205,offices!$A$2:$A$61,0))="","",INDEX(offices!$O$2:$O$61,MATCH($B205,offices!$A$2:$A$61,0))),""))</f>
        <v/>
      </c>
      <c r="L205" s="30" t="str">
        <f aca="false">IF($A205="","",IF($Q205="N","",COUNTIFS($A$2:$A205,$A205,$Q$2:$Q205,"&lt;&gt;N")))</f>
        <v/>
      </c>
      <c r="M205" s="30" t="str">
        <f aca="false">IF(OR($A205="",$L205=""),"",IF(AND(config!$B$34="names_if_public",IFERROR(IF(INDEX(offices!$AG$2:$AG$61,MATCH($B205,offices!$A$2:$A$61,0))="","",INDEX(offices!$AG$2:$AG$61,MATCH($B205,offices!$A$2:$A$61,0))),"")="Y"),$K205,CHAR(64+$L205)))</f>
        <v/>
      </c>
      <c r="N205" s="30" t="str">
        <f aca="false">IF(OR($A205="",$I205=""),"",COUNTIFS(stops!$B$2:$B$151,$B205,stops!$P$2:$P$151,"&lt;"&amp;$I205,stops!$L$2:$L$151,"&lt;&gt;not_delivered")+1)</f>
        <v/>
      </c>
      <c r="O205" s="30" t="str">
        <f aca="false">IF($A205="","",IF(N($N205)&lt;=config!$B$29,"explicit","opt-out"))</f>
        <v/>
      </c>
      <c r="P205" s="30" t="str">
        <f aca="false">IF($A205="","",IF($O205="explicit",IF($D205="yes","Y",IF($D205="no","N","pending")),IF($D205="no","N",IF(AND($C205&lt;&gt;"",$I205&lt;&gt;"",$C205&lt;=WORKDAY(N($I205),-5,calendar!$A$2:$A$80)),"Y","pending"))))</f>
        <v/>
      </c>
      <c r="Q205" s="30" t="str">
        <f aca="false">IF($A205="","",IF($P205="N","N",IF($P205&lt;&gt;"Y","pending",IF(AND((COUNTIFS(stops!$A$2:$A$151,$H205,stops!$B$2:$B$151,$B205,stops!$L$2:$L$151,"declined")+COUNTIFS(stops!$A$2:$A$151,$H205,stops!$B$2:$B$151,$B205,stops!$L$2:$L$151,"building_refused")+COUNTIFS(stops!$A$2:$A$151,$H205,stops!$B$2:$B$151,$B205,stops!$L$2:$L$151,"not_delivered"))&gt;0,N($U205)=0),"N","Y"))))</f>
        <v/>
      </c>
      <c r="R205" s="30" t="str">
        <f aca="false">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30" t="str">
        <f aca="false">IF($A205="","",IF($G205&lt;&gt;"",$G205,IFERROR(IF(INDEX(offices!$AM$2:$AM$61,MATCH($B205,offices!$A$2:$A$61,0))="","",INDEX(offices!$AM$2:$AM$61,MATCH($B205,offices!$A$2:$A$61,0))),"")))</f>
        <v/>
      </c>
      <c r="T205" s="30" t="str">
        <f aca="false">IF($A205="","",$A205&amp;"."&amp;$B205)</f>
        <v/>
      </c>
      <c r="U205" s="30" t="str">
        <f aca="false">IF($A205="","",SUMIFS(inventory!$G$2:$G$801,inventory!$C$2:$C$801,$A205,inventory!$D$2:$D$801,$B205,inventory!$E$2:$E$801,"delivered"))</f>
        <v/>
      </c>
      <c r="V205" s="37" t="str">
        <f aca="false">IF($A205="","",IFERROR(1/(1/SUMPRODUCT(MAX((inventory!$C$2:$C$801=$A205)*(inventory!$D$2:$D$801=$B205)*(inventory!$E$2:$E$801="delivered")*(inventory!$A$2:$A$801+inventory!$B$2:$B$801)))),""))</f>
        <v/>
      </c>
      <c r="W205" s="30" t="str">
        <f aca="false">IF($A205="","",IFERROR(IF(INDEX(inventory!$J$2:$J$801,MATCH($A205&amp;"|"&amp;$B205&amp;"|delivered",inventory!$R$2:$R$801,0))="","",INDEX(inventory!$J$2:$J$801,MATCH($A205&amp;"|"&amp;$B205&amp;"|delivered",inventory!$R$2:$R$801,0))),""))</f>
        <v/>
      </c>
      <c r="X205" s="30" t="str">
        <f aca="false">IF($A205="","",IFERROR(IF(INDEX(photos!$H$2:$H$701,MATCH($A205&amp;"|"&amp;$B205&amp;"|placement|Y",photos!$R$2:$R$701,0))="","",INDEX(photos!$H$2:$H$701,MATCH($A205&amp;"|"&amp;$B205&amp;"|placement|Y",photos!$R$2:$R$701,0))),""))</f>
        <v/>
      </c>
      <c r="Y205" s="31" t="str">
        <f aca="false">IF($A205="","",IFERROR(IF(INDEX(photos!$E$2:$E$701,MATCH($A205&amp;"|"&amp;$B205&amp;"|placement|Y",photos!$R$2:$R$701,0))="","",INDEX(photos!$E$2:$E$701,MATCH($A205&amp;"|"&amp;$B205&amp;"|placement|Y",photos!$R$2:$R$701,0))),""))</f>
        <v/>
      </c>
      <c r="Z205" s="30" t="str">
        <f aca="false">IF($A205="","",IF(COUNTIFS(counts!$C$2:$C$701,$A205,counts!$D$2:$D$701,$B205,counts!$E$2:$E$701,"placed")=0,"",SUMIFS(counts!$F$2:$F$701,counts!$C$2:$C$701,$A205,counts!$D$2:$D$701,$B205,counts!$E$2:$E$701,"placed")))</f>
        <v/>
      </c>
      <c r="AA205" s="30" t="str">
        <f aca="false">IF($A205="","",IF($Y205="",0,N($Z205)))</f>
        <v/>
      </c>
      <c r="AB205" s="30" t="str">
        <f aca="false">IF($A205="","",IF(OR($Y205="",$I205=""),"N",IF($Y205&lt;=WORKDAY(N($I205),1,calendar!$A$2:$A$80),"Y","N")))</f>
        <v/>
      </c>
      <c r="AC205" s="33" t="str">
        <f aca="false">IF(OR($A205="",$V205="",$Y205=""),"",ROUND(($Y205+N(IFERROR(IF(INDEX(photos!$F$2:$F$701,MATCH($A205&amp;"|"&amp;$B205&amp;"|placement|Y",photos!$R$2:$R$701,0))="","",INDEX(photos!$F$2:$F$701,MATCH($A205&amp;"|"&amp;$B205&amp;"|placement|Y",photos!$R$2:$R$701,0))),""))-$V205)*24,1))</f>
        <v/>
      </c>
      <c r="AD205" s="30" t="str">
        <f aca="false">IF($A205="","",SUMIFS(inventory!$G$2:$G$801,inventory!$C$2:$C$801,$A205,inventory!$D$2:$D$801,$B205,inventory!$E$2:$E$801,"topped_up"))</f>
        <v/>
      </c>
      <c r="AE205" s="30" t="str">
        <f aca="false">IF($A205="","",IF(COUNTIFS(counts!$C$2:$C$701,$A205,counts!$D$2:$D$701,$B205,counts!$E$2:$E$701,"remaining_day3")=0,"",SUMIFS(counts!$F$2:$F$701,counts!$C$2:$C$701,$A205,counts!$D$2:$D$701,$B205,counts!$E$2:$E$701,"remaining_day3")))</f>
        <v/>
      </c>
      <c r="AF205" s="30" t="str">
        <f aca="false">IF($A205="","",IF(COUNTIFS(counts!$C$2:$C$701,$A205,counts!$D$2:$D$701,$B205,counts!$E$2:$E$701,"remaining_day5")=0,"",SUMIFS(counts!$F$2:$F$701,counts!$C$2:$C$701,$A205,counts!$D$2:$D$701,$B205,counts!$E$2:$E$701,"remaining_day5")))</f>
        <v/>
      </c>
      <c r="AG205" s="30" t="str">
        <f aca="false">IF(OR($A205="",$AF205=""),"",MAX(0,$AA205+$AD205-$AF205))</f>
        <v/>
      </c>
      <c r="AH205" s="30" t="str">
        <f aca="false">IF(OR($A205="",$AI205=""),"",IFERROR(IF(INDEX(photos!$H$2:$H$701,MATCH($A205&amp;"|"&amp;$B205&amp;"|later|Y|"&amp;$AI205,photos!$S$2:$S$701,0))="","",INDEX(photos!$H$2:$H$701,MATCH($A205&amp;"|"&amp;$B205&amp;"|later|Y|"&amp;$AI205,photos!$S$2:$S$701,0))),""))</f>
        <v/>
      </c>
      <c r="AI205" s="31" t="str">
        <f aca="false">IF($A205="","",IFERROR(1/(1/SUMPRODUCT(MAX((photos!$B$2:$B$701=$A205)*(photos!$C$2:$C$701=$B205)*(photos!$D$2:$D$701="later")*(photos!$O$2:$O$701="Y")*photos!$E$2:$E$701))),""))</f>
        <v/>
      </c>
      <c r="AJ205" s="30" t="str">
        <f aca="false">IF(OR($A205="",$AI205="",$I205=""),"",NETWORKDAYS($I205,$AI205,calendar!$A$2:$A$80))</f>
        <v/>
      </c>
      <c r="AK205" s="30" t="str">
        <f aca="false">IF($A205="","",IF(AND($X205&lt;&gt;"",$AH205&lt;&gt;""),"Y","N"))</f>
        <v/>
      </c>
      <c r="AL205" s="30" t="str">
        <f aca="true">IF(OR($A205="",$I205=""),"",IF($BC205="Y",SUMIFS(survey_frozen!$C$2:$C$251,survey_frozen!$P$2:$P$251,$A205&amp;"|"&amp;$B205),IFERROR(COUNTIFS(INDIRECT("'"&amp;$A205&amp;"'!$B$2:$B$501"),$T205,INDIRECT("'"&amp;$A205&amp;"'!$A$2:$A$501"),"&gt;="&amp;$I205,INDIRECT("'"&amp;$A205&amp;"'!$A$2:$A$501"),"&lt;"&amp;($BA205+1)),0)))</f>
        <v/>
      </c>
      <c r="AM205" s="30" t="str">
        <f aca="true">IF(OR($A205="",$I205=""),"",IF($BC205="Y",SUMIFS(survey_frozen!$D$2:$D$251,survey_frozen!$P$2:$P$251,$A205&amp;"|"&amp;$B205),IFERROR(COUNTIFS(INDIRECT("'"&amp;$A205&amp;"'!$B$2:$B$501"),$T205,INDIRECT("'"&amp;$A205&amp;"'!$A$2:$A$501"),"&gt;="&amp;$I205,INDIRECT("'"&amp;$A205&amp;"'!$A$2:$A$501"),"&lt;"&amp;($BA205+1),INDIRECT("'"&amp;$A205&amp;"'!$C$2:$C$501"),"Yes"),0)))</f>
        <v/>
      </c>
      <c r="AN205" s="30" t="str">
        <f aca="false">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30" t="str">
        <f aca="false">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30" t="str">
        <f aca="true">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30" t="str">
        <f aca="true">IF(OR($A205="",$I205=""),"",IF($BC205="Y",SUMIFS(survey_frozen!$E$2:$E$251,survey_frozen!$P$2:$P$251,$A205&amp;"|"&amp;$B205),IFERROR(COUNTIFS(INDIRECT("'"&amp;$A205&amp;"'!$B$2:$B$501"),$T205,INDIRECT("'"&amp;$A205&amp;"'!$A$2:$A$501"),"&gt;="&amp;$I205,INDIRECT("'"&amp;$A205&amp;"'!$A$2:$A$501"),"&lt;"&amp;($BA205+1),INDIRECT("'"&amp;$A205&amp;"'!$F$2:$F$501"),"Didn't see it"),0)))</f>
        <v/>
      </c>
      <c r="AR205" s="30" t="str">
        <f aca="true">IF(OR($A205="",$I205=""),"",IF($BC205="Y",SUMIFS(survey_frozen!$F$2:$F$251,survey_frozen!$P$2:$P$251,$A205&amp;"|"&amp;$B205),IFERROR(COUNTIFS(INDIRECT("'"&amp;$A205&amp;"'!$B$2:$B$501"),$T205,INDIRECT("'"&amp;$A205&amp;"'!$A$2:$A$501"),"&gt;="&amp;$I205,INDIRECT("'"&amp;$A205&amp;"'!$A$2:$A$501"),"&lt;"&amp;($BA205+1),INDIRECT("'"&amp;$A205&amp;"'!$F$2:$F$501"),"Not for me"),0)))</f>
        <v/>
      </c>
      <c r="AS205" s="30" t="str">
        <f aca="true">IF(OR($A205="",$I205=""),"",IF($BC205="Y",SUMIFS(survey_frozen!$G$2:$G$251,survey_frozen!$P$2:$P$251,$A205&amp;"|"&amp;$B205),IFERROR(COUNTIFS(INDIRECT("'"&amp;$A205&amp;"'!$B$2:$B$501"),$T205,INDIRECT("'"&amp;$A205&amp;"'!$A$2:$A$501"),"&gt;="&amp;$I205,INDIRECT("'"&amp;$A205&amp;"'!$A$2:$A$501"),"&lt;"&amp;($BA205+1),INDIRECT("'"&amp;$A205&amp;"'!$F$2:$F$501"),"Gone by the time I looked"),0)))</f>
        <v/>
      </c>
      <c r="AT205" s="30" t="str">
        <f aca="true">IF(OR($A205="",$I205=""),"",IF($BC205="Y",SUMIFS(survey_frozen!$H$2:$H$251,survey_frozen!$P$2:$P$251,$A205&amp;"|"&amp;$B205),IFERROR(COUNTIFS(INDIRECT("'"&amp;$A205&amp;"'!$B$2:$B$501"),$T205,INDIRECT("'"&amp;$A205&amp;"'!$A$2:$A$501"),"&gt;="&amp;$I205,INDIRECT("'"&amp;$A205&amp;"'!$A$2:$A$501"),"&lt;"&amp;($BA205+1),INDIRECT("'"&amp;$A205&amp;"'!$D$2:$D$501"),"&gt;=1"),0)))</f>
        <v/>
      </c>
      <c r="AU205" s="30" t="str">
        <f aca="true">IF(OR($A205="",$I205=""),"",IF($BC205="Y",SUMIFS(survey_frozen!$I$2:$I$251,survey_frozen!$P$2:$P$251,$A205&amp;"|"&amp;$B205),IFERROR(SUMIFS(INDIRECT("'"&amp;$A205&amp;"'!$D$2:$D$501"),INDIRECT("'"&amp;$A205&amp;"'!$B$2:$B$501"),$T205,INDIRECT("'"&amp;$A205&amp;"'!$A$2:$A$501"),"&gt;="&amp;$I205,INDIRECT("'"&amp;$A205&amp;"'!$A$2:$A$501"),"&lt;"&amp;($BA205+1)),0)))</f>
        <v/>
      </c>
      <c r="AV205" s="30" t="str">
        <f aca="true">IF(OR($A205="",$I205=""),"",IF($BC205="Y",SUMIFS(survey_frozen!$J$2:$J$251,survey_frozen!$P$2:$P$251,$A205&amp;"|"&amp;$B205),IFERROR(COUNTIFS(INDIRECT("'"&amp;$A205&amp;"'!$B$2:$B$501"),$T205,INDIRECT("'"&amp;$A205&amp;"'!$A$2:$A$501"),"&gt;="&amp;$I205,INDIRECT("'"&amp;$A205&amp;"'!$A$2:$A$501"),"&lt;"&amp;($BA205+1),INDIRECT("'"&amp;$A205&amp;"'!$E$2:$E$501"),"Yes"),0)))</f>
        <v/>
      </c>
      <c r="AW205" s="30" t="str">
        <f aca="true">IF(OR($A205="",$I205=""),"",IF($BC205="Y",SUMIFS(survey_frozen!$K$2:$K$251,survey_frozen!$P$2:$P$251,$A205&amp;"|"&amp;$B205),IFERROR(COUNTIFS(INDIRECT("'"&amp;$A205&amp;"'!$B$2:$B$501"),$T205,INDIRECT("'"&amp;$A205&amp;"'!$A$2:$A$501"),"&gt;="&amp;$I205,INDIRECT("'"&amp;$A205&amp;"'!$A$2:$A$501"),"&lt;"&amp;($BA205+1),INDIRECT("'"&amp;$A205&amp;"'!$E$2:$E$501"),"Maybe"),0)))</f>
        <v/>
      </c>
      <c r="AX205" s="30" t="str">
        <f aca="true">IF(OR($A205="",$I205=""),"",IF($BC205="Y",SUMIFS(survey_frozen!$L$2:$L$251,survey_frozen!$P$2:$P$251,$A205&amp;"|"&amp;$B205),IFERROR(COUNTIFS(INDIRECT("'"&amp;$A205&amp;"'!$B$2:$B$501"),$T205,INDIRECT("'"&amp;$A205&amp;"'!$A$2:$A$501"),"&gt;="&amp;$I205,INDIRECT("'"&amp;$A205&amp;"'!$A$2:$A$501"),"&lt;"&amp;($BA205+1),INDIRECT("'"&amp;$A205&amp;"'!$E$2:$E$501"),"No"),0)))</f>
        <v/>
      </c>
      <c r="AY205" s="30" t="str">
        <f aca="true">IF(OR($A205="",$I205=""),"",IF($BC205="Y",SUMIFS(survey_frozen!$M$2:$M$251,survey_frozen!$P$2:$P$251,$A205&amp;"|"&amp;$B205),IFERROR(COUNTIFS(INDIRECT("'"&amp;$A205&amp;"'!$B$2:$B$501"),$T205,INDIRECT("'"&amp;$A205&amp;"'!$A$2:$A$501"),"&gt;="&amp;$I205,INDIRECT("'"&amp;$A205&amp;"'!$A$2:$A$501"),"&lt;"&amp;($BA205+1),INDIRECT("'"&amp;$A205&amp;"'!$G$2:$G$501"),"&lt;&gt;"),0)))</f>
        <v/>
      </c>
      <c r="AZ205" s="30" t="str">
        <f aca="false">IF($A205="","",$A205&amp;"|"&amp;$L205)</f>
        <v/>
      </c>
      <c r="BA205" s="31" t="str">
        <f aca="false">IF($A205="","",IFERROR(IF(INDEX(drops!$R$2:$R$21,MATCH($H205,drops!$A$2:$A$21,0))="","",INDEX(drops!$R$2:$R$21,MATCH($H205,drops!$A$2:$A$21,0))),""))</f>
        <v/>
      </c>
      <c r="BB205" s="30" t="n">
        <f aca="false">IF(OR($A205="",$Q205&lt;&gt;"Y"),1000000,N($AL205))</f>
        <v>1000000</v>
      </c>
      <c r="BC205" s="30" t="str">
        <f aca="false">IF($A205="","",IF(COUNTIF(survey_frozen!$P$2:$P$251,$A205&amp;"|"&amp;$B205)&gt;0,"Y",""))</f>
        <v/>
      </c>
      <c r="BD205" s="30" t="str">
        <f aca="false">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ustomFormat="false" ht="15" hidden="false" customHeight="false" outlineLevel="0" collapsed="false">
      <c r="C206" s="11"/>
      <c r="D206" s="10"/>
      <c r="E206" s="11"/>
      <c r="H206" s="30" t="str">
        <f aca="false">IF($A206="","",IFERROR(IF(INDEX(campaigns!$B$2:$B$51,MATCH($A206,campaigns!$A$2:$A$51,0))="","",INDEX(campaigns!$B$2:$B$51,MATCH($A206,campaigns!$A$2:$A$51,0))),""))</f>
        <v/>
      </c>
      <c r="I206" s="31" t="str">
        <f aca="false">IF($A206="","",IFERROR(IF(INDEX(campaigns!$BG$2:$BG$51,MATCH($A206,campaigns!$A$2:$A$51,0))="","",INDEX(campaigns!$BG$2:$BG$51,MATCH($A206,campaigns!$A$2:$A$51,0))),""))</f>
        <v/>
      </c>
      <c r="J206" s="30" t="str">
        <f aca="false">IF($A206="","",IFERROR(IF(INDEX(campaigns!$BE$2:$BE$51,MATCH($A206,campaigns!$A$2:$A$51,0))="","",INDEX(campaigns!$BE$2:$BE$51,MATCH($A206,campaigns!$A$2:$A$51,0))),""))</f>
        <v/>
      </c>
      <c r="K206" s="30" t="str">
        <f aca="false">IF($B206="","",IFERROR(IF(INDEX(offices!$O$2:$O$61,MATCH($B206,offices!$A$2:$A$61,0))="","",INDEX(offices!$O$2:$O$61,MATCH($B206,offices!$A$2:$A$61,0))),""))</f>
        <v/>
      </c>
      <c r="L206" s="30" t="str">
        <f aca="false">IF($A206="","",IF($Q206="N","",COUNTIFS($A$2:$A206,$A206,$Q$2:$Q206,"&lt;&gt;N")))</f>
        <v/>
      </c>
      <c r="M206" s="30" t="str">
        <f aca="false">IF(OR($A206="",$L206=""),"",IF(AND(config!$B$34="names_if_public",IFERROR(IF(INDEX(offices!$AG$2:$AG$61,MATCH($B206,offices!$A$2:$A$61,0))="","",INDEX(offices!$AG$2:$AG$61,MATCH($B206,offices!$A$2:$A$61,0))),"")="Y"),$K206,CHAR(64+$L206)))</f>
        <v/>
      </c>
      <c r="N206" s="30" t="str">
        <f aca="false">IF(OR($A206="",$I206=""),"",COUNTIFS(stops!$B$2:$B$151,$B206,stops!$P$2:$P$151,"&lt;"&amp;$I206,stops!$L$2:$L$151,"&lt;&gt;not_delivered")+1)</f>
        <v/>
      </c>
      <c r="O206" s="30" t="str">
        <f aca="false">IF($A206="","",IF(N($N206)&lt;=config!$B$29,"explicit","opt-out"))</f>
        <v/>
      </c>
      <c r="P206" s="30" t="str">
        <f aca="false">IF($A206="","",IF($O206="explicit",IF($D206="yes","Y",IF($D206="no","N","pending")),IF($D206="no","N",IF(AND($C206&lt;&gt;"",$I206&lt;&gt;"",$C206&lt;=WORKDAY(N($I206),-5,calendar!$A$2:$A$80)),"Y","pending"))))</f>
        <v/>
      </c>
      <c r="Q206" s="30" t="str">
        <f aca="false">IF($A206="","",IF($P206="N","N",IF($P206&lt;&gt;"Y","pending",IF(AND((COUNTIFS(stops!$A$2:$A$151,$H206,stops!$B$2:$B$151,$B206,stops!$L$2:$L$151,"declined")+COUNTIFS(stops!$A$2:$A$151,$H206,stops!$B$2:$B$151,$B206,stops!$L$2:$L$151,"building_refused")+COUNTIFS(stops!$A$2:$A$151,$H206,stops!$B$2:$B$151,$B206,stops!$L$2:$L$151,"not_delivered"))&gt;0,N($U206)=0),"N","Y"))))</f>
        <v/>
      </c>
      <c r="R206" s="30" t="str">
        <f aca="false">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30" t="str">
        <f aca="false">IF($A206="","",IF($G206&lt;&gt;"",$G206,IFERROR(IF(INDEX(offices!$AM$2:$AM$61,MATCH($B206,offices!$A$2:$A$61,0))="","",INDEX(offices!$AM$2:$AM$61,MATCH($B206,offices!$A$2:$A$61,0))),"")))</f>
        <v/>
      </c>
      <c r="T206" s="30" t="str">
        <f aca="false">IF($A206="","",$A206&amp;"."&amp;$B206)</f>
        <v/>
      </c>
      <c r="U206" s="30" t="str">
        <f aca="false">IF($A206="","",SUMIFS(inventory!$G$2:$G$801,inventory!$C$2:$C$801,$A206,inventory!$D$2:$D$801,$B206,inventory!$E$2:$E$801,"delivered"))</f>
        <v/>
      </c>
      <c r="V206" s="37" t="str">
        <f aca="false">IF($A206="","",IFERROR(1/(1/SUMPRODUCT(MAX((inventory!$C$2:$C$801=$A206)*(inventory!$D$2:$D$801=$B206)*(inventory!$E$2:$E$801="delivered")*(inventory!$A$2:$A$801+inventory!$B$2:$B$801)))),""))</f>
        <v/>
      </c>
      <c r="W206" s="30" t="str">
        <f aca="false">IF($A206="","",IFERROR(IF(INDEX(inventory!$J$2:$J$801,MATCH($A206&amp;"|"&amp;$B206&amp;"|delivered",inventory!$R$2:$R$801,0))="","",INDEX(inventory!$J$2:$J$801,MATCH($A206&amp;"|"&amp;$B206&amp;"|delivered",inventory!$R$2:$R$801,0))),""))</f>
        <v/>
      </c>
      <c r="X206" s="30" t="str">
        <f aca="false">IF($A206="","",IFERROR(IF(INDEX(photos!$H$2:$H$701,MATCH($A206&amp;"|"&amp;$B206&amp;"|placement|Y",photos!$R$2:$R$701,0))="","",INDEX(photos!$H$2:$H$701,MATCH($A206&amp;"|"&amp;$B206&amp;"|placement|Y",photos!$R$2:$R$701,0))),""))</f>
        <v/>
      </c>
      <c r="Y206" s="31" t="str">
        <f aca="false">IF($A206="","",IFERROR(IF(INDEX(photos!$E$2:$E$701,MATCH($A206&amp;"|"&amp;$B206&amp;"|placement|Y",photos!$R$2:$R$701,0))="","",INDEX(photos!$E$2:$E$701,MATCH($A206&amp;"|"&amp;$B206&amp;"|placement|Y",photos!$R$2:$R$701,0))),""))</f>
        <v/>
      </c>
      <c r="Z206" s="30" t="str">
        <f aca="false">IF($A206="","",IF(COUNTIFS(counts!$C$2:$C$701,$A206,counts!$D$2:$D$701,$B206,counts!$E$2:$E$701,"placed")=0,"",SUMIFS(counts!$F$2:$F$701,counts!$C$2:$C$701,$A206,counts!$D$2:$D$701,$B206,counts!$E$2:$E$701,"placed")))</f>
        <v/>
      </c>
      <c r="AA206" s="30" t="str">
        <f aca="false">IF($A206="","",IF($Y206="",0,N($Z206)))</f>
        <v/>
      </c>
      <c r="AB206" s="30" t="str">
        <f aca="false">IF($A206="","",IF(OR($Y206="",$I206=""),"N",IF($Y206&lt;=WORKDAY(N($I206),1,calendar!$A$2:$A$80),"Y","N")))</f>
        <v/>
      </c>
      <c r="AC206" s="33" t="str">
        <f aca="false">IF(OR($A206="",$V206="",$Y206=""),"",ROUND(($Y206+N(IFERROR(IF(INDEX(photos!$F$2:$F$701,MATCH($A206&amp;"|"&amp;$B206&amp;"|placement|Y",photos!$R$2:$R$701,0))="","",INDEX(photos!$F$2:$F$701,MATCH($A206&amp;"|"&amp;$B206&amp;"|placement|Y",photos!$R$2:$R$701,0))),""))-$V206)*24,1))</f>
        <v/>
      </c>
      <c r="AD206" s="30" t="str">
        <f aca="false">IF($A206="","",SUMIFS(inventory!$G$2:$G$801,inventory!$C$2:$C$801,$A206,inventory!$D$2:$D$801,$B206,inventory!$E$2:$E$801,"topped_up"))</f>
        <v/>
      </c>
      <c r="AE206" s="30" t="str">
        <f aca="false">IF($A206="","",IF(COUNTIFS(counts!$C$2:$C$701,$A206,counts!$D$2:$D$701,$B206,counts!$E$2:$E$701,"remaining_day3")=0,"",SUMIFS(counts!$F$2:$F$701,counts!$C$2:$C$701,$A206,counts!$D$2:$D$701,$B206,counts!$E$2:$E$701,"remaining_day3")))</f>
        <v/>
      </c>
      <c r="AF206" s="30" t="str">
        <f aca="false">IF($A206="","",IF(COUNTIFS(counts!$C$2:$C$701,$A206,counts!$D$2:$D$701,$B206,counts!$E$2:$E$701,"remaining_day5")=0,"",SUMIFS(counts!$F$2:$F$701,counts!$C$2:$C$701,$A206,counts!$D$2:$D$701,$B206,counts!$E$2:$E$701,"remaining_day5")))</f>
        <v/>
      </c>
      <c r="AG206" s="30" t="str">
        <f aca="false">IF(OR($A206="",$AF206=""),"",MAX(0,$AA206+$AD206-$AF206))</f>
        <v/>
      </c>
      <c r="AH206" s="30" t="str">
        <f aca="false">IF(OR($A206="",$AI206=""),"",IFERROR(IF(INDEX(photos!$H$2:$H$701,MATCH($A206&amp;"|"&amp;$B206&amp;"|later|Y|"&amp;$AI206,photos!$S$2:$S$701,0))="","",INDEX(photos!$H$2:$H$701,MATCH($A206&amp;"|"&amp;$B206&amp;"|later|Y|"&amp;$AI206,photos!$S$2:$S$701,0))),""))</f>
        <v/>
      </c>
      <c r="AI206" s="31" t="str">
        <f aca="false">IF($A206="","",IFERROR(1/(1/SUMPRODUCT(MAX((photos!$B$2:$B$701=$A206)*(photos!$C$2:$C$701=$B206)*(photos!$D$2:$D$701="later")*(photos!$O$2:$O$701="Y")*photos!$E$2:$E$701))),""))</f>
        <v/>
      </c>
      <c r="AJ206" s="30" t="str">
        <f aca="false">IF(OR($A206="",$AI206="",$I206=""),"",NETWORKDAYS($I206,$AI206,calendar!$A$2:$A$80))</f>
        <v/>
      </c>
      <c r="AK206" s="30" t="str">
        <f aca="false">IF($A206="","",IF(AND($X206&lt;&gt;"",$AH206&lt;&gt;""),"Y","N"))</f>
        <v/>
      </c>
      <c r="AL206" s="30" t="str">
        <f aca="true">IF(OR($A206="",$I206=""),"",IF($BC206="Y",SUMIFS(survey_frozen!$C$2:$C$251,survey_frozen!$P$2:$P$251,$A206&amp;"|"&amp;$B206),IFERROR(COUNTIFS(INDIRECT("'"&amp;$A206&amp;"'!$B$2:$B$501"),$T206,INDIRECT("'"&amp;$A206&amp;"'!$A$2:$A$501"),"&gt;="&amp;$I206,INDIRECT("'"&amp;$A206&amp;"'!$A$2:$A$501"),"&lt;"&amp;($BA206+1)),0)))</f>
        <v/>
      </c>
      <c r="AM206" s="30" t="str">
        <f aca="true">IF(OR($A206="",$I206=""),"",IF($BC206="Y",SUMIFS(survey_frozen!$D$2:$D$251,survey_frozen!$P$2:$P$251,$A206&amp;"|"&amp;$B206),IFERROR(COUNTIFS(INDIRECT("'"&amp;$A206&amp;"'!$B$2:$B$501"),$T206,INDIRECT("'"&amp;$A206&amp;"'!$A$2:$A$501"),"&gt;="&amp;$I206,INDIRECT("'"&amp;$A206&amp;"'!$A$2:$A$501"),"&lt;"&amp;($BA206+1),INDIRECT("'"&amp;$A206&amp;"'!$C$2:$C$501"),"Yes"),0)))</f>
        <v/>
      </c>
      <c r="AN206" s="30" t="str">
        <f aca="false">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30" t="str">
        <f aca="false">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30" t="str">
        <f aca="true">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30" t="str">
        <f aca="true">IF(OR($A206="",$I206=""),"",IF($BC206="Y",SUMIFS(survey_frozen!$E$2:$E$251,survey_frozen!$P$2:$P$251,$A206&amp;"|"&amp;$B206),IFERROR(COUNTIFS(INDIRECT("'"&amp;$A206&amp;"'!$B$2:$B$501"),$T206,INDIRECT("'"&amp;$A206&amp;"'!$A$2:$A$501"),"&gt;="&amp;$I206,INDIRECT("'"&amp;$A206&amp;"'!$A$2:$A$501"),"&lt;"&amp;($BA206+1),INDIRECT("'"&amp;$A206&amp;"'!$F$2:$F$501"),"Didn't see it"),0)))</f>
        <v/>
      </c>
      <c r="AR206" s="30" t="str">
        <f aca="true">IF(OR($A206="",$I206=""),"",IF($BC206="Y",SUMIFS(survey_frozen!$F$2:$F$251,survey_frozen!$P$2:$P$251,$A206&amp;"|"&amp;$B206),IFERROR(COUNTIFS(INDIRECT("'"&amp;$A206&amp;"'!$B$2:$B$501"),$T206,INDIRECT("'"&amp;$A206&amp;"'!$A$2:$A$501"),"&gt;="&amp;$I206,INDIRECT("'"&amp;$A206&amp;"'!$A$2:$A$501"),"&lt;"&amp;($BA206+1),INDIRECT("'"&amp;$A206&amp;"'!$F$2:$F$501"),"Not for me"),0)))</f>
        <v/>
      </c>
      <c r="AS206" s="30" t="str">
        <f aca="true">IF(OR($A206="",$I206=""),"",IF($BC206="Y",SUMIFS(survey_frozen!$G$2:$G$251,survey_frozen!$P$2:$P$251,$A206&amp;"|"&amp;$B206),IFERROR(COUNTIFS(INDIRECT("'"&amp;$A206&amp;"'!$B$2:$B$501"),$T206,INDIRECT("'"&amp;$A206&amp;"'!$A$2:$A$501"),"&gt;="&amp;$I206,INDIRECT("'"&amp;$A206&amp;"'!$A$2:$A$501"),"&lt;"&amp;($BA206+1),INDIRECT("'"&amp;$A206&amp;"'!$F$2:$F$501"),"Gone by the time I looked"),0)))</f>
        <v/>
      </c>
      <c r="AT206" s="30" t="str">
        <f aca="true">IF(OR($A206="",$I206=""),"",IF($BC206="Y",SUMIFS(survey_frozen!$H$2:$H$251,survey_frozen!$P$2:$P$251,$A206&amp;"|"&amp;$B206),IFERROR(COUNTIFS(INDIRECT("'"&amp;$A206&amp;"'!$B$2:$B$501"),$T206,INDIRECT("'"&amp;$A206&amp;"'!$A$2:$A$501"),"&gt;="&amp;$I206,INDIRECT("'"&amp;$A206&amp;"'!$A$2:$A$501"),"&lt;"&amp;($BA206+1),INDIRECT("'"&amp;$A206&amp;"'!$D$2:$D$501"),"&gt;=1"),0)))</f>
        <v/>
      </c>
      <c r="AU206" s="30" t="str">
        <f aca="true">IF(OR($A206="",$I206=""),"",IF($BC206="Y",SUMIFS(survey_frozen!$I$2:$I$251,survey_frozen!$P$2:$P$251,$A206&amp;"|"&amp;$B206),IFERROR(SUMIFS(INDIRECT("'"&amp;$A206&amp;"'!$D$2:$D$501"),INDIRECT("'"&amp;$A206&amp;"'!$B$2:$B$501"),$T206,INDIRECT("'"&amp;$A206&amp;"'!$A$2:$A$501"),"&gt;="&amp;$I206,INDIRECT("'"&amp;$A206&amp;"'!$A$2:$A$501"),"&lt;"&amp;($BA206+1)),0)))</f>
        <v/>
      </c>
      <c r="AV206" s="30" t="str">
        <f aca="true">IF(OR($A206="",$I206=""),"",IF($BC206="Y",SUMIFS(survey_frozen!$J$2:$J$251,survey_frozen!$P$2:$P$251,$A206&amp;"|"&amp;$B206),IFERROR(COUNTIFS(INDIRECT("'"&amp;$A206&amp;"'!$B$2:$B$501"),$T206,INDIRECT("'"&amp;$A206&amp;"'!$A$2:$A$501"),"&gt;="&amp;$I206,INDIRECT("'"&amp;$A206&amp;"'!$A$2:$A$501"),"&lt;"&amp;($BA206+1),INDIRECT("'"&amp;$A206&amp;"'!$E$2:$E$501"),"Yes"),0)))</f>
        <v/>
      </c>
      <c r="AW206" s="30" t="str">
        <f aca="true">IF(OR($A206="",$I206=""),"",IF($BC206="Y",SUMIFS(survey_frozen!$K$2:$K$251,survey_frozen!$P$2:$P$251,$A206&amp;"|"&amp;$B206),IFERROR(COUNTIFS(INDIRECT("'"&amp;$A206&amp;"'!$B$2:$B$501"),$T206,INDIRECT("'"&amp;$A206&amp;"'!$A$2:$A$501"),"&gt;="&amp;$I206,INDIRECT("'"&amp;$A206&amp;"'!$A$2:$A$501"),"&lt;"&amp;($BA206+1),INDIRECT("'"&amp;$A206&amp;"'!$E$2:$E$501"),"Maybe"),0)))</f>
        <v/>
      </c>
      <c r="AX206" s="30" t="str">
        <f aca="true">IF(OR($A206="",$I206=""),"",IF($BC206="Y",SUMIFS(survey_frozen!$L$2:$L$251,survey_frozen!$P$2:$P$251,$A206&amp;"|"&amp;$B206),IFERROR(COUNTIFS(INDIRECT("'"&amp;$A206&amp;"'!$B$2:$B$501"),$T206,INDIRECT("'"&amp;$A206&amp;"'!$A$2:$A$501"),"&gt;="&amp;$I206,INDIRECT("'"&amp;$A206&amp;"'!$A$2:$A$501"),"&lt;"&amp;($BA206+1),INDIRECT("'"&amp;$A206&amp;"'!$E$2:$E$501"),"No"),0)))</f>
        <v/>
      </c>
      <c r="AY206" s="30" t="str">
        <f aca="true">IF(OR($A206="",$I206=""),"",IF($BC206="Y",SUMIFS(survey_frozen!$M$2:$M$251,survey_frozen!$P$2:$P$251,$A206&amp;"|"&amp;$B206),IFERROR(COUNTIFS(INDIRECT("'"&amp;$A206&amp;"'!$B$2:$B$501"),$T206,INDIRECT("'"&amp;$A206&amp;"'!$A$2:$A$501"),"&gt;="&amp;$I206,INDIRECT("'"&amp;$A206&amp;"'!$A$2:$A$501"),"&lt;"&amp;($BA206+1),INDIRECT("'"&amp;$A206&amp;"'!$G$2:$G$501"),"&lt;&gt;"),0)))</f>
        <v/>
      </c>
      <c r="AZ206" s="30" t="str">
        <f aca="false">IF($A206="","",$A206&amp;"|"&amp;$L206)</f>
        <v/>
      </c>
      <c r="BA206" s="31" t="str">
        <f aca="false">IF($A206="","",IFERROR(IF(INDEX(drops!$R$2:$R$21,MATCH($H206,drops!$A$2:$A$21,0))="","",INDEX(drops!$R$2:$R$21,MATCH($H206,drops!$A$2:$A$21,0))),""))</f>
        <v/>
      </c>
      <c r="BB206" s="30" t="n">
        <f aca="false">IF(OR($A206="",$Q206&lt;&gt;"Y"),1000000,N($AL206))</f>
        <v>1000000</v>
      </c>
      <c r="BC206" s="30" t="str">
        <f aca="false">IF($A206="","",IF(COUNTIF(survey_frozen!$P$2:$P$251,$A206&amp;"|"&amp;$B206)&gt;0,"Y",""))</f>
        <v/>
      </c>
      <c r="BD206" s="30" t="str">
        <f aca="false">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ustomFormat="false" ht="15" hidden="false" customHeight="false" outlineLevel="0" collapsed="false">
      <c r="C207" s="11"/>
      <c r="D207" s="10"/>
      <c r="E207" s="11"/>
      <c r="H207" s="30" t="str">
        <f aca="false">IF($A207="","",IFERROR(IF(INDEX(campaigns!$B$2:$B$51,MATCH($A207,campaigns!$A$2:$A$51,0))="","",INDEX(campaigns!$B$2:$B$51,MATCH($A207,campaigns!$A$2:$A$51,0))),""))</f>
        <v/>
      </c>
      <c r="I207" s="31" t="str">
        <f aca="false">IF($A207="","",IFERROR(IF(INDEX(campaigns!$BG$2:$BG$51,MATCH($A207,campaigns!$A$2:$A$51,0))="","",INDEX(campaigns!$BG$2:$BG$51,MATCH($A207,campaigns!$A$2:$A$51,0))),""))</f>
        <v/>
      </c>
      <c r="J207" s="30" t="str">
        <f aca="false">IF($A207="","",IFERROR(IF(INDEX(campaigns!$BE$2:$BE$51,MATCH($A207,campaigns!$A$2:$A$51,0))="","",INDEX(campaigns!$BE$2:$BE$51,MATCH($A207,campaigns!$A$2:$A$51,0))),""))</f>
        <v/>
      </c>
      <c r="K207" s="30" t="str">
        <f aca="false">IF($B207="","",IFERROR(IF(INDEX(offices!$O$2:$O$61,MATCH($B207,offices!$A$2:$A$61,0))="","",INDEX(offices!$O$2:$O$61,MATCH($B207,offices!$A$2:$A$61,0))),""))</f>
        <v/>
      </c>
      <c r="L207" s="30" t="str">
        <f aca="false">IF($A207="","",IF($Q207="N","",COUNTIFS($A$2:$A207,$A207,$Q$2:$Q207,"&lt;&gt;N")))</f>
        <v/>
      </c>
      <c r="M207" s="30" t="str">
        <f aca="false">IF(OR($A207="",$L207=""),"",IF(AND(config!$B$34="names_if_public",IFERROR(IF(INDEX(offices!$AG$2:$AG$61,MATCH($B207,offices!$A$2:$A$61,0))="","",INDEX(offices!$AG$2:$AG$61,MATCH($B207,offices!$A$2:$A$61,0))),"")="Y"),$K207,CHAR(64+$L207)))</f>
        <v/>
      </c>
      <c r="N207" s="30" t="str">
        <f aca="false">IF(OR($A207="",$I207=""),"",COUNTIFS(stops!$B$2:$B$151,$B207,stops!$P$2:$P$151,"&lt;"&amp;$I207,stops!$L$2:$L$151,"&lt;&gt;not_delivered")+1)</f>
        <v/>
      </c>
      <c r="O207" s="30" t="str">
        <f aca="false">IF($A207="","",IF(N($N207)&lt;=config!$B$29,"explicit","opt-out"))</f>
        <v/>
      </c>
      <c r="P207" s="30" t="str">
        <f aca="false">IF($A207="","",IF($O207="explicit",IF($D207="yes","Y",IF($D207="no","N","pending")),IF($D207="no","N",IF(AND($C207&lt;&gt;"",$I207&lt;&gt;"",$C207&lt;=WORKDAY(N($I207),-5,calendar!$A$2:$A$80)),"Y","pending"))))</f>
        <v/>
      </c>
      <c r="Q207" s="30" t="str">
        <f aca="false">IF($A207="","",IF($P207="N","N",IF($P207&lt;&gt;"Y","pending",IF(AND((COUNTIFS(stops!$A$2:$A$151,$H207,stops!$B$2:$B$151,$B207,stops!$L$2:$L$151,"declined")+COUNTIFS(stops!$A$2:$A$151,$H207,stops!$B$2:$B$151,$B207,stops!$L$2:$L$151,"building_refused")+COUNTIFS(stops!$A$2:$A$151,$H207,stops!$B$2:$B$151,$B207,stops!$L$2:$L$151,"not_delivered"))&gt;0,N($U207)=0),"N","Y"))))</f>
        <v/>
      </c>
      <c r="R207" s="30" t="str">
        <f aca="false">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30" t="str">
        <f aca="false">IF($A207="","",IF($G207&lt;&gt;"",$G207,IFERROR(IF(INDEX(offices!$AM$2:$AM$61,MATCH($B207,offices!$A$2:$A$61,0))="","",INDEX(offices!$AM$2:$AM$61,MATCH($B207,offices!$A$2:$A$61,0))),"")))</f>
        <v/>
      </c>
      <c r="T207" s="30" t="str">
        <f aca="false">IF($A207="","",$A207&amp;"."&amp;$B207)</f>
        <v/>
      </c>
      <c r="U207" s="30" t="str">
        <f aca="false">IF($A207="","",SUMIFS(inventory!$G$2:$G$801,inventory!$C$2:$C$801,$A207,inventory!$D$2:$D$801,$B207,inventory!$E$2:$E$801,"delivered"))</f>
        <v/>
      </c>
      <c r="V207" s="37" t="str">
        <f aca="false">IF($A207="","",IFERROR(1/(1/SUMPRODUCT(MAX((inventory!$C$2:$C$801=$A207)*(inventory!$D$2:$D$801=$B207)*(inventory!$E$2:$E$801="delivered")*(inventory!$A$2:$A$801+inventory!$B$2:$B$801)))),""))</f>
        <v/>
      </c>
      <c r="W207" s="30" t="str">
        <f aca="false">IF($A207="","",IFERROR(IF(INDEX(inventory!$J$2:$J$801,MATCH($A207&amp;"|"&amp;$B207&amp;"|delivered",inventory!$R$2:$R$801,0))="","",INDEX(inventory!$J$2:$J$801,MATCH($A207&amp;"|"&amp;$B207&amp;"|delivered",inventory!$R$2:$R$801,0))),""))</f>
        <v/>
      </c>
      <c r="X207" s="30" t="str">
        <f aca="false">IF($A207="","",IFERROR(IF(INDEX(photos!$H$2:$H$701,MATCH($A207&amp;"|"&amp;$B207&amp;"|placement|Y",photos!$R$2:$R$701,0))="","",INDEX(photos!$H$2:$H$701,MATCH($A207&amp;"|"&amp;$B207&amp;"|placement|Y",photos!$R$2:$R$701,0))),""))</f>
        <v/>
      </c>
      <c r="Y207" s="31" t="str">
        <f aca="false">IF($A207="","",IFERROR(IF(INDEX(photos!$E$2:$E$701,MATCH($A207&amp;"|"&amp;$B207&amp;"|placement|Y",photos!$R$2:$R$701,0))="","",INDEX(photos!$E$2:$E$701,MATCH($A207&amp;"|"&amp;$B207&amp;"|placement|Y",photos!$R$2:$R$701,0))),""))</f>
        <v/>
      </c>
      <c r="Z207" s="30" t="str">
        <f aca="false">IF($A207="","",IF(COUNTIFS(counts!$C$2:$C$701,$A207,counts!$D$2:$D$701,$B207,counts!$E$2:$E$701,"placed")=0,"",SUMIFS(counts!$F$2:$F$701,counts!$C$2:$C$701,$A207,counts!$D$2:$D$701,$B207,counts!$E$2:$E$701,"placed")))</f>
        <v/>
      </c>
      <c r="AA207" s="30" t="str">
        <f aca="false">IF($A207="","",IF($Y207="",0,N($Z207)))</f>
        <v/>
      </c>
      <c r="AB207" s="30" t="str">
        <f aca="false">IF($A207="","",IF(OR($Y207="",$I207=""),"N",IF($Y207&lt;=WORKDAY(N($I207),1,calendar!$A$2:$A$80),"Y","N")))</f>
        <v/>
      </c>
      <c r="AC207" s="33" t="str">
        <f aca="false">IF(OR($A207="",$V207="",$Y207=""),"",ROUND(($Y207+N(IFERROR(IF(INDEX(photos!$F$2:$F$701,MATCH($A207&amp;"|"&amp;$B207&amp;"|placement|Y",photos!$R$2:$R$701,0))="","",INDEX(photos!$F$2:$F$701,MATCH($A207&amp;"|"&amp;$B207&amp;"|placement|Y",photos!$R$2:$R$701,0))),""))-$V207)*24,1))</f>
        <v/>
      </c>
      <c r="AD207" s="30" t="str">
        <f aca="false">IF($A207="","",SUMIFS(inventory!$G$2:$G$801,inventory!$C$2:$C$801,$A207,inventory!$D$2:$D$801,$B207,inventory!$E$2:$E$801,"topped_up"))</f>
        <v/>
      </c>
      <c r="AE207" s="30" t="str">
        <f aca="false">IF($A207="","",IF(COUNTIFS(counts!$C$2:$C$701,$A207,counts!$D$2:$D$701,$B207,counts!$E$2:$E$701,"remaining_day3")=0,"",SUMIFS(counts!$F$2:$F$701,counts!$C$2:$C$701,$A207,counts!$D$2:$D$701,$B207,counts!$E$2:$E$701,"remaining_day3")))</f>
        <v/>
      </c>
      <c r="AF207" s="30" t="str">
        <f aca="false">IF($A207="","",IF(COUNTIFS(counts!$C$2:$C$701,$A207,counts!$D$2:$D$701,$B207,counts!$E$2:$E$701,"remaining_day5")=0,"",SUMIFS(counts!$F$2:$F$701,counts!$C$2:$C$701,$A207,counts!$D$2:$D$701,$B207,counts!$E$2:$E$701,"remaining_day5")))</f>
        <v/>
      </c>
      <c r="AG207" s="30" t="str">
        <f aca="false">IF(OR($A207="",$AF207=""),"",MAX(0,$AA207+$AD207-$AF207))</f>
        <v/>
      </c>
      <c r="AH207" s="30" t="str">
        <f aca="false">IF(OR($A207="",$AI207=""),"",IFERROR(IF(INDEX(photos!$H$2:$H$701,MATCH($A207&amp;"|"&amp;$B207&amp;"|later|Y|"&amp;$AI207,photos!$S$2:$S$701,0))="","",INDEX(photos!$H$2:$H$701,MATCH($A207&amp;"|"&amp;$B207&amp;"|later|Y|"&amp;$AI207,photos!$S$2:$S$701,0))),""))</f>
        <v/>
      </c>
      <c r="AI207" s="31" t="str">
        <f aca="false">IF($A207="","",IFERROR(1/(1/SUMPRODUCT(MAX((photos!$B$2:$B$701=$A207)*(photos!$C$2:$C$701=$B207)*(photos!$D$2:$D$701="later")*(photos!$O$2:$O$701="Y")*photos!$E$2:$E$701))),""))</f>
        <v/>
      </c>
      <c r="AJ207" s="30" t="str">
        <f aca="false">IF(OR($A207="",$AI207="",$I207=""),"",NETWORKDAYS($I207,$AI207,calendar!$A$2:$A$80))</f>
        <v/>
      </c>
      <c r="AK207" s="30" t="str">
        <f aca="false">IF($A207="","",IF(AND($X207&lt;&gt;"",$AH207&lt;&gt;""),"Y","N"))</f>
        <v/>
      </c>
      <c r="AL207" s="30" t="str">
        <f aca="true">IF(OR($A207="",$I207=""),"",IF($BC207="Y",SUMIFS(survey_frozen!$C$2:$C$251,survey_frozen!$P$2:$P$251,$A207&amp;"|"&amp;$B207),IFERROR(COUNTIFS(INDIRECT("'"&amp;$A207&amp;"'!$B$2:$B$501"),$T207,INDIRECT("'"&amp;$A207&amp;"'!$A$2:$A$501"),"&gt;="&amp;$I207,INDIRECT("'"&amp;$A207&amp;"'!$A$2:$A$501"),"&lt;"&amp;($BA207+1)),0)))</f>
        <v/>
      </c>
      <c r="AM207" s="30" t="str">
        <f aca="true">IF(OR($A207="",$I207=""),"",IF($BC207="Y",SUMIFS(survey_frozen!$D$2:$D$251,survey_frozen!$P$2:$P$251,$A207&amp;"|"&amp;$B207),IFERROR(COUNTIFS(INDIRECT("'"&amp;$A207&amp;"'!$B$2:$B$501"),$T207,INDIRECT("'"&amp;$A207&amp;"'!$A$2:$A$501"),"&gt;="&amp;$I207,INDIRECT("'"&amp;$A207&amp;"'!$A$2:$A$501"),"&lt;"&amp;($BA207+1),INDIRECT("'"&amp;$A207&amp;"'!$C$2:$C$501"),"Yes"),0)))</f>
        <v/>
      </c>
      <c r="AN207" s="30" t="str">
        <f aca="false">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30" t="str">
        <f aca="false">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30" t="str">
        <f aca="true">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30" t="str">
        <f aca="true">IF(OR($A207="",$I207=""),"",IF($BC207="Y",SUMIFS(survey_frozen!$E$2:$E$251,survey_frozen!$P$2:$P$251,$A207&amp;"|"&amp;$B207),IFERROR(COUNTIFS(INDIRECT("'"&amp;$A207&amp;"'!$B$2:$B$501"),$T207,INDIRECT("'"&amp;$A207&amp;"'!$A$2:$A$501"),"&gt;="&amp;$I207,INDIRECT("'"&amp;$A207&amp;"'!$A$2:$A$501"),"&lt;"&amp;($BA207+1),INDIRECT("'"&amp;$A207&amp;"'!$F$2:$F$501"),"Didn't see it"),0)))</f>
        <v/>
      </c>
      <c r="AR207" s="30" t="str">
        <f aca="true">IF(OR($A207="",$I207=""),"",IF($BC207="Y",SUMIFS(survey_frozen!$F$2:$F$251,survey_frozen!$P$2:$P$251,$A207&amp;"|"&amp;$B207),IFERROR(COUNTIFS(INDIRECT("'"&amp;$A207&amp;"'!$B$2:$B$501"),$T207,INDIRECT("'"&amp;$A207&amp;"'!$A$2:$A$501"),"&gt;="&amp;$I207,INDIRECT("'"&amp;$A207&amp;"'!$A$2:$A$501"),"&lt;"&amp;($BA207+1),INDIRECT("'"&amp;$A207&amp;"'!$F$2:$F$501"),"Not for me"),0)))</f>
        <v/>
      </c>
      <c r="AS207" s="30" t="str">
        <f aca="true">IF(OR($A207="",$I207=""),"",IF($BC207="Y",SUMIFS(survey_frozen!$G$2:$G$251,survey_frozen!$P$2:$P$251,$A207&amp;"|"&amp;$B207),IFERROR(COUNTIFS(INDIRECT("'"&amp;$A207&amp;"'!$B$2:$B$501"),$T207,INDIRECT("'"&amp;$A207&amp;"'!$A$2:$A$501"),"&gt;="&amp;$I207,INDIRECT("'"&amp;$A207&amp;"'!$A$2:$A$501"),"&lt;"&amp;($BA207+1),INDIRECT("'"&amp;$A207&amp;"'!$F$2:$F$501"),"Gone by the time I looked"),0)))</f>
        <v/>
      </c>
      <c r="AT207" s="30" t="str">
        <f aca="true">IF(OR($A207="",$I207=""),"",IF($BC207="Y",SUMIFS(survey_frozen!$H$2:$H$251,survey_frozen!$P$2:$P$251,$A207&amp;"|"&amp;$B207),IFERROR(COUNTIFS(INDIRECT("'"&amp;$A207&amp;"'!$B$2:$B$501"),$T207,INDIRECT("'"&amp;$A207&amp;"'!$A$2:$A$501"),"&gt;="&amp;$I207,INDIRECT("'"&amp;$A207&amp;"'!$A$2:$A$501"),"&lt;"&amp;($BA207+1),INDIRECT("'"&amp;$A207&amp;"'!$D$2:$D$501"),"&gt;=1"),0)))</f>
        <v/>
      </c>
      <c r="AU207" s="30" t="str">
        <f aca="true">IF(OR($A207="",$I207=""),"",IF($BC207="Y",SUMIFS(survey_frozen!$I$2:$I$251,survey_frozen!$P$2:$P$251,$A207&amp;"|"&amp;$B207),IFERROR(SUMIFS(INDIRECT("'"&amp;$A207&amp;"'!$D$2:$D$501"),INDIRECT("'"&amp;$A207&amp;"'!$B$2:$B$501"),$T207,INDIRECT("'"&amp;$A207&amp;"'!$A$2:$A$501"),"&gt;="&amp;$I207,INDIRECT("'"&amp;$A207&amp;"'!$A$2:$A$501"),"&lt;"&amp;($BA207+1)),0)))</f>
        <v/>
      </c>
      <c r="AV207" s="30" t="str">
        <f aca="true">IF(OR($A207="",$I207=""),"",IF($BC207="Y",SUMIFS(survey_frozen!$J$2:$J$251,survey_frozen!$P$2:$P$251,$A207&amp;"|"&amp;$B207),IFERROR(COUNTIFS(INDIRECT("'"&amp;$A207&amp;"'!$B$2:$B$501"),$T207,INDIRECT("'"&amp;$A207&amp;"'!$A$2:$A$501"),"&gt;="&amp;$I207,INDIRECT("'"&amp;$A207&amp;"'!$A$2:$A$501"),"&lt;"&amp;($BA207+1),INDIRECT("'"&amp;$A207&amp;"'!$E$2:$E$501"),"Yes"),0)))</f>
        <v/>
      </c>
      <c r="AW207" s="30" t="str">
        <f aca="true">IF(OR($A207="",$I207=""),"",IF($BC207="Y",SUMIFS(survey_frozen!$K$2:$K$251,survey_frozen!$P$2:$P$251,$A207&amp;"|"&amp;$B207),IFERROR(COUNTIFS(INDIRECT("'"&amp;$A207&amp;"'!$B$2:$B$501"),$T207,INDIRECT("'"&amp;$A207&amp;"'!$A$2:$A$501"),"&gt;="&amp;$I207,INDIRECT("'"&amp;$A207&amp;"'!$A$2:$A$501"),"&lt;"&amp;($BA207+1),INDIRECT("'"&amp;$A207&amp;"'!$E$2:$E$501"),"Maybe"),0)))</f>
        <v/>
      </c>
      <c r="AX207" s="30" t="str">
        <f aca="true">IF(OR($A207="",$I207=""),"",IF($BC207="Y",SUMIFS(survey_frozen!$L$2:$L$251,survey_frozen!$P$2:$P$251,$A207&amp;"|"&amp;$B207),IFERROR(COUNTIFS(INDIRECT("'"&amp;$A207&amp;"'!$B$2:$B$501"),$T207,INDIRECT("'"&amp;$A207&amp;"'!$A$2:$A$501"),"&gt;="&amp;$I207,INDIRECT("'"&amp;$A207&amp;"'!$A$2:$A$501"),"&lt;"&amp;($BA207+1),INDIRECT("'"&amp;$A207&amp;"'!$E$2:$E$501"),"No"),0)))</f>
        <v/>
      </c>
      <c r="AY207" s="30" t="str">
        <f aca="true">IF(OR($A207="",$I207=""),"",IF($BC207="Y",SUMIFS(survey_frozen!$M$2:$M$251,survey_frozen!$P$2:$P$251,$A207&amp;"|"&amp;$B207),IFERROR(COUNTIFS(INDIRECT("'"&amp;$A207&amp;"'!$B$2:$B$501"),$T207,INDIRECT("'"&amp;$A207&amp;"'!$A$2:$A$501"),"&gt;="&amp;$I207,INDIRECT("'"&amp;$A207&amp;"'!$A$2:$A$501"),"&lt;"&amp;($BA207+1),INDIRECT("'"&amp;$A207&amp;"'!$G$2:$G$501"),"&lt;&gt;"),0)))</f>
        <v/>
      </c>
      <c r="AZ207" s="30" t="str">
        <f aca="false">IF($A207="","",$A207&amp;"|"&amp;$L207)</f>
        <v/>
      </c>
      <c r="BA207" s="31" t="str">
        <f aca="false">IF($A207="","",IFERROR(IF(INDEX(drops!$R$2:$R$21,MATCH($H207,drops!$A$2:$A$21,0))="","",INDEX(drops!$R$2:$R$21,MATCH($H207,drops!$A$2:$A$21,0))),""))</f>
        <v/>
      </c>
      <c r="BB207" s="30" t="n">
        <f aca="false">IF(OR($A207="",$Q207&lt;&gt;"Y"),1000000,N($AL207))</f>
        <v>1000000</v>
      </c>
      <c r="BC207" s="30" t="str">
        <f aca="false">IF($A207="","",IF(COUNTIF(survey_frozen!$P$2:$P$251,$A207&amp;"|"&amp;$B207)&gt;0,"Y",""))</f>
        <v/>
      </c>
      <c r="BD207" s="30" t="str">
        <f aca="false">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ustomFormat="false" ht="15" hidden="false" customHeight="false" outlineLevel="0" collapsed="false">
      <c r="C208" s="11"/>
      <c r="D208" s="10"/>
      <c r="E208" s="11"/>
      <c r="H208" s="30" t="str">
        <f aca="false">IF($A208="","",IFERROR(IF(INDEX(campaigns!$B$2:$B$51,MATCH($A208,campaigns!$A$2:$A$51,0))="","",INDEX(campaigns!$B$2:$B$51,MATCH($A208,campaigns!$A$2:$A$51,0))),""))</f>
        <v/>
      </c>
      <c r="I208" s="31" t="str">
        <f aca="false">IF($A208="","",IFERROR(IF(INDEX(campaigns!$BG$2:$BG$51,MATCH($A208,campaigns!$A$2:$A$51,0))="","",INDEX(campaigns!$BG$2:$BG$51,MATCH($A208,campaigns!$A$2:$A$51,0))),""))</f>
        <v/>
      </c>
      <c r="J208" s="30" t="str">
        <f aca="false">IF($A208="","",IFERROR(IF(INDEX(campaigns!$BE$2:$BE$51,MATCH($A208,campaigns!$A$2:$A$51,0))="","",INDEX(campaigns!$BE$2:$BE$51,MATCH($A208,campaigns!$A$2:$A$51,0))),""))</f>
        <v/>
      </c>
      <c r="K208" s="30" t="str">
        <f aca="false">IF($B208="","",IFERROR(IF(INDEX(offices!$O$2:$O$61,MATCH($B208,offices!$A$2:$A$61,0))="","",INDEX(offices!$O$2:$O$61,MATCH($B208,offices!$A$2:$A$61,0))),""))</f>
        <v/>
      </c>
      <c r="L208" s="30" t="str">
        <f aca="false">IF($A208="","",IF($Q208="N","",COUNTIFS($A$2:$A208,$A208,$Q$2:$Q208,"&lt;&gt;N")))</f>
        <v/>
      </c>
      <c r="M208" s="30" t="str">
        <f aca="false">IF(OR($A208="",$L208=""),"",IF(AND(config!$B$34="names_if_public",IFERROR(IF(INDEX(offices!$AG$2:$AG$61,MATCH($B208,offices!$A$2:$A$61,0))="","",INDEX(offices!$AG$2:$AG$61,MATCH($B208,offices!$A$2:$A$61,0))),"")="Y"),$K208,CHAR(64+$L208)))</f>
        <v/>
      </c>
      <c r="N208" s="30" t="str">
        <f aca="false">IF(OR($A208="",$I208=""),"",COUNTIFS(stops!$B$2:$B$151,$B208,stops!$P$2:$P$151,"&lt;"&amp;$I208,stops!$L$2:$L$151,"&lt;&gt;not_delivered")+1)</f>
        <v/>
      </c>
      <c r="O208" s="30" t="str">
        <f aca="false">IF($A208="","",IF(N($N208)&lt;=config!$B$29,"explicit","opt-out"))</f>
        <v/>
      </c>
      <c r="P208" s="30" t="str">
        <f aca="false">IF($A208="","",IF($O208="explicit",IF($D208="yes","Y",IF($D208="no","N","pending")),IF($D208="no","N",IF(AND($C208&lt;&gt;"",$I208&lt;&gt;"",$C208&lt;=WORKDAY(N($I208),-5,calendar!$A$2:$A$80)),"Y","pending"))))</f>
        <v/>
      </c>
      <c r="Q208" s="30" t="str">
        <f aca="false">IF($A208="","",IF($P208="N","N",IF($P208&lt;&gt;"Y","pending",IF(AND((COUNTIFS(stops!$A$2:$A$151,$H208,stops!$B$2:$B$151,$B208,stops!$L$2:$L$151,"declined")+COUNTIFS(stops!$A$2:$A$151,$H208,stops!$B$2:$B$151,$B208,stops!$L$2:$L$151,"building_refused")+COUNTIFS(stops!$A$2:$A$151,$H208,stops!$B$2:$B$151,$B208,stops!$L$2:$L$151,"not_delivered"))&gt;0,N($U208)=0),"N","Y"))))</f>
        <v/>
      </c>
      <c r="R208" s="30" t="str">
        <f aca="false">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30" t="str">
        <f aca="false">IF($A208="","",IF($G208&lt;&gt;"",$G208,IFERROR(IF(INDEX(offices!$AM$2:$AM$61,MATCH($B208,offices!$A$2:$A$61,0))="","",INDEX(offices!$AM$2:$AM$61,MATCH($B208,offices!$A$2:$A$61,0))),"")))</f>
        <v/>
      </c>
      <c r="T208" s="30" t="str">
        <f aca="false">IF($A208="","",$A208&amp;"."&amp;$B208)</f>
        <v/>
      </c>
      <c r="U208" s="30" t="str">
        <f aca="false">IF($A208="","",SUMIFS(inventory!$G$2:$G$801,inventory!$C$2:$C$801,$A208,inventory!$D$2:$D$801,$B208,inventory!$E$2:$E$801,"delivered"))</f>
        <v/>
      </c>
      <c r="V208" s="37" t="str">
        <f aca="false">IF($A208="","",IFERROR(1/(1/SUMPRODUCT(MAX((inventory!$C$2:$C$801=$A208)*(inventory!$D$2:$D$801=$B208)*(inventory!$E$2:$E$801="delivered")*(inventory!$A$2:$A$801+inventory!$B$2:$B$801)))),""))</f>
        <v/>
      </c>
      <c r="W208" s="30" t="str">
        <f aca="false">IF($A208="","",IFERROR(IF(INDEX(inventory!$J$2:$J$801,MATCH($A208&amp;"|"&amp;$B208&amp;"|delivered",inventory!$R$2:$R$801,0))="","",INDEX(inventory!$J$2:$J$801,MATCH($A208&amp;"|"&amp;$B208&amp;"|delivered",inventory!$R$2:$R$801,0))),""))</f>
        <v/>
      </c>
      <c r="X208" s="30" t="str">
        <f aca="false">IF($A208="","",IFERROR(IF(INDEX(photos!$H$2:$H$701,MATCH($A208&amp;"|"&amp;$B208&amp;"|placement|Y",photos!$R$2:$R$701,0))="","",INDEX(photos!$H$2:$H$701,MATCH($A208&amp;"|"&amp;$B208&amp;"|placement|Y",photos!$R$2:$R$701,0))),""))</f>
        <v/>
      </c>
      <c r="Y208" s="31" t="str">
        <f aca="false">IF($A208="","",IFERROR(IF(INDEX(photos!$E$2:$E$701,MATCH($A208&amp;"|"&amp;$B208&amp;"|placement|Y",photos!$R$2:$R$701,0))="","",INDEX(photos!$E$2:$E$701,MATCH($A208&amp;"|"&amp;$B208&amp;"|placement|Y",photos!$R$2:$R$701,0))),""))</f>
        <v/>
      </c>
      <c r="Z208" s="30" t="str">
        <f aca="false">IF($A208="","",IF(COUNTIFS(counts!$C$2:$C$701,$A208,counts!$D$2:$D$701,$B208,counts!$E$2:$E$701,"placed")=0,"",SUMIFS(counts!$F$2:$F$701,counts!$C$2:$C$701,$A208,counts!$D$2:$D$701,$B208,counts!$E$2:$E$701,"placed")))</f>
        <v/>
      </c>
      <c r="AA208" s="30" t="str">
        <f aca="false">IF($A208="","",IF($Y208="",0,N($Z208)))</f>
        <v/>
      </c>
      <c r="AB208" s="30" t="str">
        <f aca="false">IF($A208="","",IF(OR($Y208="",$I208=""),"N",IF($Y208&lt;=WORKDAY(N($I208),1,calendar!$A$2:$A$80),"Y","N")))</f>
        <v/>
      </c>
      <c r="AC208" s="33" t="str">
        <f aca="false">IF(OR($A208="",$V208="",$Y208=""),"",ROUND(($Y208+N(IFERROR(IF(INDEX(photos!$F$2:$F$701,MATCH($A208&amp;"|"&amp;$B208&amp;"|placement|Y",photos!$R$2:$R$701,0))="","",INDEX(photos!$F$2:$F$701,MATCH($A208&amp;"|"&amp;$B208&amp;"|placement|Y",photos!$R$2:$R$701,0))),""))-$V208)*24,1))</f>
        <v/>
      </c>
      <c r="AD208" s="30" t="str">
        <f aca="false">IF($A208="","",SUMIFS(inventory!$G$2:$G$801,inventory!$C$2:$C$801,$A208,inventory!$D$2:$D$801,$B208,inventory!$E$2:$E$801,"topped_up"))</f>
        <v/>
      </c>
      <c r="AE208" s="30" t="str">
        <f aca="false">IF($A208="","",IF(COUNTIFS(counts!$C$2:$C$701,$A208,counts!$D$2:$D$701,$B208,counts!$E$2:$E$701,"remaining_day3")=0,"",SUMIFS(counts!$F$2:$F$701,counts!$C$2:$C$701,$A208,counts!$D$2:$D$701,$B208,counts!$E$2:$E$701,"remaining_day3")))</f>
        <v/>
      </c>
      <c r="AF208" s="30" t="str">
        <f aca="false">IF($A208="","",IF(COUNTIFS(counts!$C$2:$C$701,$A208,counts!$D$2:$D$701,$B208,counts!$E$2:$E$701,"remaining_day5")=0,"",SUMIFS(counts!$F$2:$F$701,counts!$C$2:$C$701,$A208,counts!$D$2:$D$701,$B208,counts!$E$2:$E$701,"remaining_day5")))</f>
        <v/>
      </c>
      <c r="AG208" s="30" t="str">
        <f aca="false">IF(OR($A208="",$AF208=""),"",MAX(0,$AA208+$AD208-$AF208))</f>
        <v/>
      </c>
      <c r="AH208" s="30" t="str">
        <f aca="false">IF(OR($A208="",$AI208=""),"",IFERROR(IF(INDEX(photos!$H$2:$H$701,MATCH($A208&amp;"|"&amp;$B208&amp;"|later|Y|"&amp;$AI208,photos!$S$2:$S$701,0))="","",INDEX(photos!$H$2:$H$701,MATCH($A208&amp;"|"&amp;$B208&amp;"|later|Y|"&amp;$AI208,photos!$S$2:$S$701,0))),""))</f>
        <v/>
      </c>
      <c r="AI208" s="31" t="str">
        <f aca="false">IF($A208="","",IFERROR(1/(1/SUMPRODUCT(MAX((photos!$B$2:$B$701=$A208)*(photos!$C$2:$C$701=$B208)*(photos!$D$2:$D$701="later")*(photos!$O$2:$O$701="Y")*photos!$E$2:$E$701))),""))</f>
        <v/>
      </c>
      <c r="AJ208" s="30" t="str">
        <f aca="false">IF(OR($A208="",$AI208="",$I208=""),"",NETWORKDAYS($I208,$AI208,calendar!$A$2:$A$80))</f>
        <v/>
      </c>
      <c r="AK208" s="30" t="str">
        <f aca="false">IF($A208="","",IF(AND($X208&lt;&gt;"",$AH208&lt;&gt;""),"Y","N"))</f>
        <v/>
      </c>
      <c r="AL208" s="30" t="str">
        <f aca="true">IF(OR($A208="",$I208=""),"",IF($BC208="Y",SUMIFS(survey_frozen!$C$2:$C$251,survey_frozen!$P$2:$P$251,$A208&amp;"|"&amp;$B208),IFERROR(COUNTIFS(INDIRECT("'"&amp;$A208&amp;"'!$B$2:$B$501"),$T208,INDIRECT("'"&amp;$A208&amp;"'!$A$2:$A$501"),"&gt;="&amp;$I208,INDIRECT("'"&amp;$A208&amp;"'!$A$2:$A$501"),"&lt;"&amp;($BA208+1)),0)))</f>
        <v/>
      </c>
      <c r="AM208" s="30" t="str">
        <f aca="true">IF(OR($A208="",$I208=""),"",IF($BC208="Y",SUMIFS(survey_frozen!$D$2:$D$251,survey_frozen!$P$2:$P$251,$A208&amp;"|"&amp;$B208),IFERROR(COUNTIFS(INDIRECT("'"&amp;$A208&amp;"'!$B$2:$B$501"),$T208,INDIRECT("'"&amp;$A208&amp;"'!$A$2:$A$501"),"&gt;="&amp;$I208,INDIRECT("'"&amp;$A208&amp;"'!$A$2:$A$501"),"&lt;"&amp;($BA208+1),INDIRECT("'"&amp;$A208&amp;"'!$C$2:$C$501"),"Yes"),0)))</f>
        <v/>
      </c>
      <c r="AN208" s="30" t="str">
        <f aca="false">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30" t="str">
        <f aca="false">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30" t="str">
        <f aca="true">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30" t="str">
        <f aca="true">IF(OR($A208="",$I208=""),"",IF($BC208="Y",SUMIFS(survey_frozen!$E$2:$E$251,survey_frozen!$P$2:$P$251,$A208&amp;"|"&amp;$B208),IFERROR(COUNTIFS(INDIRECT("'"&amp;$A208&amp;"'!$B$2:$B$501"),$T208,INDIRECT("'"&amp;$A208&amp;"'!$A$2:$A$501"),"&gt;="&amp;$I208,INDIRECT("'"&amp;$A208&amp;"'!$A$2:$A$501"),"&lt;"&amp;($BA208+1),INDIRECT("'"&amp;$A208&amp;"'!$F$2:$F$501"),"Didn't see it"),0)))</f>
        <v/>
      </c>
      <c r="AR208" s="30" t="str">
        <f aca="true">IF(OR($A208="",$I208=""),"",IF($BC208="Y",SUMIFS(survey_frozen!$F$2:$F$251,survey_frozen!$P$2:$P$251,$A208&amp;"|"&amp;$B208),IFERROR(COUNTIFS(INDIRECT("'"&amp;$A208&amp;"'!$B$2:$B$501"),$T208,INDIRECT("'"&amp;$A208&amp;"'!$A$2:$A$501"),"&gt;="&amp;$I208,INDIRECT("'"&amp;$A208&amp;"'!$A$2:$A$501"),"&lt;"&amp;($BA208+1),INDIRECT("'"&amp;$A208&amp;"'!$F$2:$F$501"),"Not for me"),0)))</f>
        <v/>
      </c>
      <c r="AS208" s="30" t="str">
        <f aca="true">IF(OR($A208="",$I208=""),"",IF($BC208="Y",SUMIFS(survey_frozen!$G$2:$G$251,survey_frozen!$P$2:$P$251,$A208&amp;"|"&amp;$B208),IFERROR(COUNTIFS(INDIRECT("'"&amp;$A208&amp;"'!$B$2:$B$501"),$T208,INDIRECT("'"&amp;$A208&amp;"'!$A$2:$A$501"),"&gt;="&amp;$I208,INDIRECT("'"&amp;$A208&amp;"'!$A$2:$A$501"),"&lt;"&amp;($BA208+1),INDIRECT("'"&amp;$A208&amp;"'!$F$2:$F$501"),"Gone by the time I looked"),0)))</f>
        <v/>
      </c>
      <c r="AT208" s="30" t="str">
        <f aca="true">IF(OR($A208="",$I208=""),"",IF($BC208="Y",SUMIFS(survey_frozen!$H$2:$H$251,survey_frozen!$P$2:$P$251,$A208&amp;"|"&amp;$B208),IFERROR(COUNTIFS(INDIRECT("'"&amp;$A208&amp;"'!$B$2:$B$501"),$T208,INDIRECT("'"&amp;$A208&amp;"'!$A$2:$A$501"),"&gt;="&amp;$I208,INDIRECT("'"&amp;$A208&amp;"'!$A$2:$A$501"),"&lt;"&amp;($BA208+1),INDIRECT("'"&amp;$A208&amp;"'!$D$2:$D$501"),"&gt;=1"),0)))</f>
        <v/>
      </c>
      <c r="AU208" s="30" t="str">
        <f aca="true">IF(OR($A208="",$I208=""),"",IF($BC208="Y",SUMIFS(survey_frozen!$I$2:$I$251,survey_frozen!$P$2:$P$251,$A208&amp;"|"&amp;$B208),IFERROR(SUMIFS(INDIRECT("'"&amp;$A208&amp;"'!$D$2:$D$501"),INDIRECT("'"&amp;$A208&amp;"'!$B$2:$B$501"),$T208,INDIRECT("'"&amp;$A208&amp;"'!$A$2:$A$501"),"&gt;="&amp;$I208,INDIRECT("'"&amp;$A208&amp;"'!$A$2:$A$501"),"&lt;"&amp;($BA208+1)),0)))</f>
        <v/>
      </c>
      <c r="AV208" s="30" t="str">
        <f aca="true">IF(OR($A208="",$I208=""),"",IF($BC208="Y",SUMIFS(survey_frozen!$J$2:$J$251,survey_frozen!$P$2:$P$251,$A208&amp;"|"&amp;$B208),IFERROR(COUNTIFS(INDIRECT("'"&amp;$A208&amp;"'!$B$2:$B$501"),$T208,INDIRECT("'"&amp;$A208&amp;"'!$A$2:$A$501"),"&gt;="&amp;$I208,INDIRECT("'"&amp;$A208&amp;"'!$A$2:$A$501"),"&lt;"&amp;($BA208+1),INDIRECT("'"&amp;$A208&amp;"'!$E$2:$E$501"),"Yes"),0)))</f>
        <v/>
      </c>
      <c r="AW208" s="30" t="str">
        <f aca="true">IF(OR($A208="",$I208=""),"",IF($BC208="Y",SUMIFS(survey_frozen!$K$2:$K$251,survey_frozen!$P$2:$P$251,$A208&amp;"|"&amp;$B208),IFERROR(COUNTIFS(INDIRECT("'"&amp;$A208&amp;"'!$B$2:$B$501"),$T208,INDIRECT("'"&amp;$A208&amp;"'!$A$2:$A$501"),"&gt;="&amp;$I208,INDIRECT("'"&amp;$A208&amp;"'!$A$2:$A$501"),"&lt;"&amp;($BA208+1),INDIRECT("'"&amp;$A208&amp;"'!$E$2:$E$501"),"Maybe"),0)))</f>
        <v/>
      </c>
      <c r="AX208" s="30" t="str">
        <f aca="true">IF(OR($A208="",$I208=""),"",IF($BC208="Y",SUMIFS(survey_frozen!$L$2:$L$251,survey_frozen!$P$2:$P$251,$A208&amp;"|"&amp;$B208),IFERROR(COUNTIFS(INDIRECT("'"&amp;$A208&amp;"'!$B$2:$B$501"),$T208,INDIRECT("'"&amp;$A208&amp;"'!$A$2:$A$501"),"&gt;="&amp;$I208,INDIRECT("'"&amp;$A208&amp;"'!$A$2:$A$501"),"&lt;"&amp;($BA208+1),INDIRECT("'"&amp;$A208&amp;"'!$E$2:$E$501"),"No"),0)))</f>
        <v/>
      </c>
      <c r="AY208" s="30" t="str">
        <f aca="true">IF(OR($A208="",$I208=""),"",IF($BC208="Y",SUMIFS(survey_frozen!$M$2:$M$251,survey_frozen!$P$2:$P$251,$A208&amp;"|"&amp;$B208),IFERROR(COUNTIFS(INDIRECT("'"&amp;$A208&amp;"'!$B$2:$B$501"),$T208,INDIRECT("'"&amp;$A208&amp;"'!$A$2:$A$501"),"&gt;="&amp;$I208,INDIRECT("'"&amp;$A208&amp;"'!$A$2:$A$501"),"&lt;"&amp;($BA208+1),INDIRECT("'"&amp;$A208&amp;"'!$G$2:$G$501"),"&lt;&gt;"),0)))</f>
        <v/>
      </c>
      <c r="AZ208" s="30" t="str">
        <f aca="false">IF($A208="","",$A208&amp;"|"&amp;$L208)</f>
        <v/>
      </c>
      <c r="BA208" s="31" t="str">
        <f aca="false">IF($A208="","",IFERROR(IF(INDEX(drops!$R$2:$R$21,MATCH($H208,drops!$A$2:$A$21,0))="","",INDEX(drops!$R$2:$R$21,MATCH($H208,drops!$A$2:$A$21,0))),""))</f>
        <v/>
      </c>
      <c r="BB208" s="30" t="n">
        <f aca="false">IF(OR($A208="",$Q208&lt;&gt;"Y"),1000000,N($AL208))</f>
        <v>1000000</v>
      </c>
      <c r="BC208" s="30" t="str">
        <f aca="false">IF($A208="","",IF(COUNTIF(survey_frozen!$P$2:$P$251,$A208&amp;"|"&amp;$B208)&gt;0,"Y",""))</f>
        <v/>
      </c>
      <c r="BD208" s="30" t="str">
        <f aca="false">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ustomFormat="false" ht="15" hidden="false" customHeight="false" outlineLevel="0" collapsed="false">
      <c r="C209" s="11"/>
      <c r="D209" s="10"/>
      <c r="E209" s="11"/>
      <c r="H209" s="30" t="str">
        <f aca="false">IF($A209="","",IFERROR(IF(INDEX(campaigns!$B$2:$B$51,MATCH($A209,campaigns!$A$2:$A$51,0))="","",INDEX(campaigns!$B$2:$B$51,MATCH($A209,campaigns!$A$2:$A$51,0))),""))</f>
        <v/>
      </c>
      <c r="I209" s="31" t="str">
        <f aca="false">IF($A209="","",IFERROR(IF(INDEX(campaigns!$BG$2:$BG$51,MATCH($A209,campaigns!$A$2:$A$51,0))="","",INDEX(campaigns!$BG$2:$BG$51,MATCH($A209,campaigns!$A$2:$A$51,0))),""))</f>
        <v/>
      </c>
      <c r="J209" s="30" t="str">
        <f aca="false">IF($A209="","",IFERROR(IF(INDEX(campaigns!$BE$2:$BE$51,MATCH($A209,campaigns!$A$2:$A$51,0))="","",INDEX(campaigns!$BE$2:$BE$51,MATCH($A209,campaigns!$A$2:$A$51,0))),""))</f>
        <v/>
      </c>
      <c r="K209" s="30" t="str">
        <f aca="false">IF($B209="","",IFERROR(IF(INDEX(offices!$O$2:$O$61,MATCH($B209,offices!$A$2:$A$61,0))="","",INDEX(offices!$O$2:$O$61,MATCH($B209,offices!$A$2:$A$61,0))),""))</f>
        <v/>
      </c>
      <c r="L209" s="30" t="str">
        <f aca="false">IF($A209="","",IF($Q209="N","",COUNTIFS($A$2:$A209,$A209,$Q$2:$Q209,"&lt;&gt;N")))</f>
        <v/>
      </c>
      <c r="M209" s="30" t="str">
        <f aca="false">IF(OR($A209="",$L209=""),"",IF(AND(config!$B$34="names_if_public",IFERROR(IF(INDEX(offices!$AG$2:$AG$61,MATCH($B209,offices!$A$2:$A$61,0))="","",INDEX(offices!$AG$2:$AG$61,MATCH($B209,offices!$A$2:$A$61,0))),"")="Y"),$K209,CHAR(64+$L209)))</f>
        <v/>
      </c>
      <c r="N209" s="30" t="str">
        <f aca="false">IF(OR($A209="",$I209=""),"",COUNTIFS(stops!$B$2:$B$151,$B209,stops!$P$2:$P$151,"&lt;"&amp;$I209,stops!$L$2:$L$151,"&lt;&gt;not_delivered")+1)</f>
        <v/>
      </c>
      <c r="O209" s="30" t="str">
        <f aca="false">IF($A209="","",IF(N($N209)&lt;=config!$B$29,"explicit","opt-out"))</f>
        <v/>
      </c>
      <c r="P209" s="30" t="str">
        <f aca="false">IF($A209="","",IF($O209="explicit",IF($D209="yes","Y",IF($D209="no","N","pending")),IF($D209="no","N",IF(AND($C209&lt;&gt;"",$I209&lt;&gt;"",$C209&lt;=WORKDAY(N($I209),-5,calendar!$A$2:$A$80)),"Y","pending"))))</f>
        <v/>
      </c>
      <c r="Q209" s="30" t="str">
        <f aca="false">IF($A209="","",IF($P209="N","N",IF($P209&lt;&gt;"Y","pending",IF(AND((COUNTIFS(stops!$A$2:$A$151,$H209,stops!$B$2:$B$151,$B209,stops!$L$2:$L$151,"declined")+COUNTIFS(stops!$A$2:$A$151,$H209,stops!$B$2:$B$151,$B209,stops!$L$2:$L$151,"building_refused")+COUNTIFS(stops!$A$2:$A$151,$H209,stops!$B$2:$B$151,$B209,stops!$L$2:$L$151,"not_delivered"))&gt;0,N($U209)=0),"N","Y"))))</f>
        <v/>
      </c>
      <c r="R209" s="30" t="str">
        <f aca="false">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30" t="str">
        <f aca="false">IF($A209="","",IF($G209&lt;&gt;"",$G209,IFERROR(IF(INDEX(offices!$AM$2:$AM$61,MATCH($B209,offices!$A$2:$A$61,0))="","",INDEX(offices!$AM$2:$AM$61,MATCH($B209,offices!$A$2:$A$61,0))),"")))</f>
        <v/>
      </c>
      <c r="T209" s="30" t="str">
        <f aca="false">IF($A209="","",$A209&amp;"."&amp;$B209)</f>
        <v/>
      </c>
      <c r="U209" s="30" t="str">
        <f aca="false">IF($A209="","",SUMIFS(inventory!$G$2:$G$801,inventory!$C$2:$C$801,$A209,inventory!$D$2:$D$801,$B209,inventory!$E$2:$E$801,"delivered"))</f>
        <v/>
      </c>
      <c r="V209" s="37" t="str">
        <f aca="false">IF($A209="","",IFERROR(1/(1/SUMPRODUCT(MAX((inventory!$C$2:$C$801=$A209)*(inventory!$D$2:$D$801=$B209)*(inventory!$E$2:$E$801="delivered")*(inventory!$A$2:$A$801+inventory!$B$2:$B$801)))),""))</f>
        <v/>
      </c>
      <c r="W209" s="30" t="str">
        <f aca="false">IF($A209="","",IFERROR(IF(INDEX(inventory!$J$2:$J$801,MATCH($A209&amp;"|"&amp;$B209&amp;"|delivered",inventory!$R$2:$R$801,0))="","",INDEX(inventory!$J$2:$J$801,MATCH($A209&amp;"|"&amp;$B209&amp;"|delivered",inventory!$R$2:$R$801,0))),""))</f>
        <v/>
      </c>
      <c r="X209" s="30" t="str">
        <f aca="false">IF($A209="","",IFERROR(IF(INDEX(photos!$H$2:$H$701,MATCH($A209&amp;"|"&amp;$B209&amp;"|placement|Y",photos!$R$2:$R$701,0))="","",INDEX(photos!$H$2:$H$701,MATCH($A209&amp;"|"&amp;$B209&amp;"|placement|Y",photos!$R$2:$R$701,0))),""))</f>
        <v/>
      </c>
      <c r="Y209" s="31" t="str">
        <f aca="false">IF($A209="","",IFERROR(IF(INDEX(photos!$E$2:$E$701,MATCH($A209&amp;"|"&amp;$B209&amp;"|placement|Y",photos!$R$2:$R$701,0))="","",INDEX(photos!$E$2:$E$701,MATCH($A209&amp;"|"&amp;$B209&amp;"|placement|Y",photos!$R$2:$R$701,0))),""))</f>
        <v/>
      </c>
      <c r="Z209" s="30" t="str">
        <f aca="false">IF($A209="","",IF(COUNTIFS(counts!$C$2:$C$701,$A209,counts!$D$2:$D$701,$B209,counts!$E$2:$E$701,"placed")=0,"",SUMIFS(counts!$F$2:$F$701,counts!$C$2:$C$701,$A209,counts!$D$2:$D$701,$B209,counts!$E$2:$E$701,"placed")))</f>
        <v/>
      </c>
      <c r="AA209" s="30" t="str">
        <f aca="false">IF($A209="","",IF($Y209="",0,N($Z209)))</f>
        <v/>
      </c>
      <c r="AB209" s="30" t="str">
        <f aca="false">IF($A209="","",IF(OR($Y209="",$I209=""),"N",IF($Y209&lt;=WORKDAY(N($I209),1,calendar!$A$2:$A$80),"Y","N")))</f>
        <v/>
      </c>
      <c r="AC209" s="33" t="str">
        <f aca="false">IF(OR($A209="",$V209="",$Y209=""),"",ROUND(($Y209+N(IFERROR(IF(INDEX(photos!$F$2:$F$701,MATCH($A209&amp;"|"&amp;$B209&amp;"|placement|Y",photos!$R$2:$R$701,0))="","",INDEX(photos!$F$2:$F$701,MATCH($A209&amp;"|"&amp;$B209&amp;"|placement|Y",photos!$R$2:$R$701,0))),""))-$V209)*24,1))</f>
        <v/>
      </c>
      <c r="AD209" s="30" t="str">
        <f aca="false">IF($A209="","",SUMIFS(inventory!$G$2:$G$801,inventory!$C$2:$C$801,$A209,inventory!$D$2:$D$801,$B209,inventory!$E$2:$E$801,"topped_up"))</f>
        <v/>
      </c>
      <c r="AE209" s="30" t="str">
        <f aca="false">IF($A209="","",IF(COUNTIFS(counts!$C$2:$C$701,$A209,counts!$D$2:$D$701,$B209,counts!$E$2:$E$701,"remaining_day3")=0,"",SUMIFS(counts!$F$2:$F$701,counts!$C$2:$C$701,$A209,counts!$D$2:$D$701,$B209,counts!$E$2:$E$701,"remaining_day3")))</f>
        <v/>
      </c>
      <c r="AF209" s="30" t="str">
        <f aca="false">IF($A209="","",IF(COUNTIFS(counts!$C$2:$C$701,$A209,counts!$D$2:$D$701,$B209,counts!$E$2:$E$701,"remaining_day5")=0,"",SUMIFS(counts!$F$2:$F$701,counts!$C$2:$C$701,$A209,counts!$D$2:$D$701,$B209,counts!$E$2:$E$701,"remaining_day5")))</f>
        <v/>
      </c>
      <c r="AG209" s="30" t="str">
        <f aca="false">IF(OR($A209="",$AF209=""),"",MAX(0,$AA209+$AD209-$AF209))</f>
        <v/>
      </c>
      <c r="AH209" s="30" t="str">
        <f aca="false">IF(OR($A209="",$AI209=""),"",IFERROR(IF(INDEX(photos!$H$2:$H$701,MATCH($A209&amp;"|"&amp;$B209&amp;"|later|Y|"&amp;$AI209,photos!$S$2:$S$701,0))="","",INDEX(photos!$H$2:$H$701,MATCH($A209&amp;"|"&amp;$B209&amp;"|later|Y|"&amp;$AI209,photos!$S$2:$S$701,0))),""))</f>
        <v/>
      </c>
      <c r="AI209" s="31" t="str">
        <f aca="false">IF($A209="","",IFERROR(1/(1/SUMPRODUCT(MAX((photos!$B$2:$B$701=$A209)*(photos!$C$2:$C$701=$B209)*(photos!$D$2:$D$701="later")*(photos!$O$2:$O$701="Y")*photos!$E$2:$E$701))),""))</f>
        <v/>
      </c>
      <c r="AJ209" s="30" t="str">
        <f aca="false">IF(OR($A209="",$AI209="",$I209=""),"",NETWORKDAYS($I209,$AI209,calendar!$A$2:$A$80))</f>
        <v/>
      </c>
      <c r="AK209" s="30" t="str">
        <f aca="false">IF($A209="","",IF(AND($X209&lt;&gt;"",$AH209&lt;&gt;""),"Y","N"))</f>
        <v/>
      </c>
      <c r="AL209" s="30" t="str">
        <f aca="true">IF(OR($A209="",$I209=""),"",IF($BC209="Y",SUMIFS(survey_frozen!$C$2:$C$251,survey_frozen!$P$2:$P$251,$A209&amp;"|"&amp;$B209),IFERROR(COUNTIFS(INDIRECT("'"&amp;$A209&amp;"'!$B$2:$B$501"),$T209,INDIRECT("'"&amp;$A209&amp;"'!$A$2:$A$501"),"&gt;="&amp;$I209,INDIRECT("'"&amp;$A209&amp;"'!$A$2:$A$501"),"&lt;"&amp;($BA209+1)),0)))</f>
        <v/>
      </c>
      <c r="AM209" s="30" t="str">
        <f aca="true">IF(OR($A209="",$I209=""),"",IF($BC209="Y",SUMIFS(survey_frozen!$D$2:$D$251,survey_frozen!$P$2:$P$251,$A209&amp;"|"&amp;$B209),IFERROR(COUNTIFS(INDIRECT("'"&amp;$A209&amp;"'!$B$2:$B$501"),$T209,INDIRECT("'"&amp;$A209&amp;"'!$A$2:$A$501"),"&gt;="&amp;$I209,INDIRECT("'"&amp;$A209&amp;"'!$A$2:$A$501"),"&lt;"&amp;($BA209+1),INDIRECT("'"&amp;$A209&amp;"'!$C$2:$C$501"),"Yes"),0)))</f>
        <v/>
      </c>
      <c r="AN209" s="30" t="str">
        <f aca="false">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30" t="str">
        <f aca="false">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30" t="str">
        <f aca="true">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30" t="str">
        <f aca="true">IF(OR($A209="",$I209=""),"",IF($BC209="Y",SUMIFS(survey_frozen!$E$2:$E$251,survey_frozen!$P$2:$P$251,$A209&amp;"|"&amp;$B209),IFERROR(COUNTIFS(INDIRECT("'"&amp;$A209&amp;"'!$B$2:$B$501"),$T209,INDIRECT("'"&amp;$A209&amp;"'!$A$2:$A$501"),"&gt;="&amp;$I209,INDIRECT("'"&amp;$A209&amp;"'!$A$2:$A$501"),"&lt;"&amp;($BA209+1),INDIRECT("'"&amp;$A209&amp;"'!$F$2:$F$501"),"Didn't see it"),0)))</f>
        <v/>
      </c>
      <c r="AR209" s="30" t="str">
        <f aca="true">IF(OR($A209="",$I209=""),"",IF($BC209="Y",SUMIFS(survey_frozen!$F$2:$F$251,survey_frozen!$P$2:$P$251,$A209&amp;"|"&amp;$B209),IFERROR(COUNTIFS(INDIRECT("'"&amp;$A209&amp;"'!$B$2:$B$501"),$T209,INDIRECT("'"&amp;$A209&amp;"'!$A$2:$A$501"),"&gt;="&amp;$I209,INDIRECT("'"&amp;$A209&amp;"'!$A$2:$A$501"),"&lt;"&amp;($BA209+1),INDIRECT("'"&amp;$A209&amp;"'!$F$2:$F$501"),"Not for me"),0)))</f>
        <v/>
      </c>
      <c r="AS209" s="30" t="str">
        <f aca="true">IF(OR($A209="",$I209=""),"",IF($BC209="Y",SUMIFS(survey_frozen!$G$2:$G$251,survey_frozen!$P$2:$P$251,$A209&amp;"|"&amp;$B209),IFERROR(COUNTIFS(INDIRECT("'"&amp;$A209&amp;"'!$B$2:$B$501"),$T209,INDIRECT("'"&amp;$A209&amp;"'!$A$2:$A$501"),"&gt;="&amp;$I209,INDIRECT("'"&amp;$A209&amp;"'!$A$2:$A$501"),"&lt;"&amp;($BA209+1),INDIRECT("'"&amp;$A209&amp;"'!$F$2:$F$501"),"Gone by the time I looked"),0)))</f>
        <v/>
      </c>
      <c r="AT209" s="30" t="str">
        <f aca="true">IF(OR($A209="",$I209=""),"",IF($BC209="Y",SUMIFS(survey_frozen!$H$2:$H$251,survey_frozen!$P$2:$P$251,$A209&amp;"|"&amp;$B209),IFERROR(COUNTIFS(INDIRECT("'"&amp;$A209&amp;"'!$B$2:$B$501"),$T209,INDIRECT("'"&amp;$A209&amp;"'!$A$2:$A$501"),"&gt;="&amp;$I209,INDIRECT("'"&amp;$A209&amp;"'!$A$2:$A$501"),"&lt;"&amp;($BA209+1),INDIRECT("'"&amp;$A209&amp;"'!$D$2:$D$501"),"&gt;=1"),0)))</f>
        <v/>
      </c>
      <c r="AU209" s="30" t="str">
        <f aca="true">IF(OR($A209="",$I209=""),"",IF($BC209="Y",SUMIFS(survey_frozen!$I$2:$I$251,survey_frozen!$P$2:$P$251,$A209&amp;"|"&amp;$B209),IFERROR(SUMIFS(INDIRECT("'"&amp;$A209&amp;"'!$D$2:$D$501"),INDIRECT("'"&amp;$A209&amp;"'!$B$2:$B$501"),$T209,INDIRECT("'"&amp;$A209&amp;"'!$A$2:$A$501"),"&gt;="&amp;$I209,INDIRECT("'"&amp;$A209&amp;"'!$A$2:$A$501"),"&lt;"&amp;($BA209+1)),0)))</f>
        <v/>
      </c>
      <c r="AV209" s="30" t="str">
        <f aca="true">IF(OR($A209="",$I209=""),"",IF($BC209="Y",SUMIFS(survey_frozen!$J$2:$J$251,survey_frozen!$P$2:$P$251,$A209&amp;"|"&amp;$B209),IFERROR(COUNTIFS(INDIRECT("'"&amp;$A209&amp;"'!$B$2:$B$501"),$T209,INDIRECT("'"&amp;$A209&amp;"'!$A$2:$A$501"),"&gt;="&amp;$I209,INDIRECT("'"&amp;$A209&amp;"'!$A$2:$A$501"),"&lt;"&amp;($BA209+1),INDIRECT("'"&amp;$A209&amp;"'!$E$2:$E$501"),"Yes"),0)))</f>
        <v/>
      </c>
      <c r="AW209" s="30" t="str">
        <f aca="true">IF(OR($A209="",$I209=""),"",IF($BC209="Y",SUMIFS(survey_frozen!$K$2:$K$251,survey_frozen!$P$2:$P$251,$A209&amp;"|"&amp;$B209),IFERROR(COUNTIFS(INDIRECT("'"&amp;$A209&amp;"'!$B$2:$B$501"),$T209,INDIRECT("'"&amp;$A209&amp;"'!$A$2:$A$501"),"&gt;="&amp;$I209,INDIRECT("'"&amp;$A209&amp;"'!$A$2:$A$501"),"&lt;"&amp;($BA209+1),INDIRECT("'"&amp;$A209&amp;"'!$E$2:$E$501"),"Maybe"),0)))</f>
        <v/>
      </c>
      <c r="AX209" s="30" t="str">
        <f aca="true">IF(OR($A209="",$I209=""),"",IF($BC209="Y",SUMIFS(survey_frozen!$L$2:$L$251,survey_frozen!$P$2:$P$251,$A209&amp;"|"&amp;$B209),IFERROR(COUNTIFS(INDIRECT("'"&amp;$A209&amp;"'!$B$2:$B$501"),$T209,INDIRECT("'"&amp;$A209&amp;"'!$A$2:$A$501"),"&gt;="&amp;$I209,INDIRECT("'"&amp;$A209&amp;"'!$A$2:$A$501"),"&lt;"&amp;($BA209+1),INDIRECT("'"&amp;$A209&amp;"'!$E$2:$E$501"),"No"),0)))</f>
        <v/>
      </c>
      <c r="AY209" s="30" t="str">
        <f aca="true">IF(OR($A209="",$I209=""),"",IF($BC209="Y",SUMIFS(survey_frozen!$M$2:$M$251,survey_frozen!$P$2:$P$251,$A209&amp;"|"&amp;$B209),IFERROR(COUNTIFS(INDIRECT("'"&amp;$A209&amp;"'!$B$2:$B$501"),$T209,INDIRECT("'"&amp;$A209&amp;"'!$A$2:$A$501"),"&gt;="&amp;$I209,INDIRECT("'"&amp;$A209&amp;"'!$A$2:$A$501"),"&lt;"&amp;($BA209+1),INDIRECT("'"&amp;$A209&amp;"'!$G$2:$G$501"),"&lt;&gt;"),0)))</f>
        <v/>
      </c>
      <c r="AZ209" s="30" t="str">
        <f aca="false">IF($A209="","",$A209&amp;"|"&amp;$L209)</f>
        <v/>
      </c>
      <c r="BA209" s="31" t="str">
        <f aca="false">IF($A209="","",IFERROR(IF(INDEX(drops!$R$2:$R$21,MATCH($H209,drops!$A$2:$A$21,0))="","",INDEX(drops!$R$2:$R$21,MATCH($H209,drops!$A$2:$A$21,0))),""))</f>
        <v/>
      </c>
      <c r="BB209" s="30" t="n">
        <f aca="false">IF(OR($A209="",$Q209&lt;&gt;"Y"),1000000,N($AL209))</f>
        <v>1000000</v>
      </c>
      <c r="BC209" s="30" t="str">
        <f aca="false">IF($A209="","",IF(COUNTIF(survey_frozen!$P$2:$P$251,$A209&amp;"|"&amp;$B209)&gt;0,"Y",""))</f>
        <v/>
      </c>
      <c r="BD209" s="30" t="str">
        <f aca="false">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ustomFormat="false" ht="15" hidden="false" customHeight="false" outlineLevel="0" collapsed="false">
      <c r="C210" s="11"/>
      <c r="D210" s="10"/>
      <c r="E210" s="11"/>
      <c r="H210" s="30" t="str">
        <f aca="false">IF($A210="","",IFERROR(IF(INDEX(campaigns!$B$2:$B$51,MATCH($A210,campaigns!$A$2:$A$51,0))="","",INDEX(campaigns!$B$2:$B$51,MATCH($A210,campaigns!$A$2:$A$51,0))),""))</f>
        <v/>
      </c>
      <c r="I210" s="31" t="str">
        <f aca="false">IF($A210="","",IFERROR(IF(INDEX(campaigns!$BG$2:$BG$51,MATCH($A210,campaigns!$A$2:$A$51,0))="","",INDEX(campaigns!$BG$2:$BG$51,MATCH($A210,campaigns!$A$2:$A$51,0))),""))</f>
        <v/>
      </c>
      <c r="J210" s="30" t="str">
        <f aca="false">IF($A210="","",IFERROR(IF(INDEX(campaigns!$BE$2:$BE$51,MATCH($A210,campaigns!$A$2:$A$51,0))="","",INDEX(campaigns!$BE$2:$BE$51,MATCH($A210,campaigns!$A$2:$A$51,0))),""))</f>
        <v/>
      </c>
      <c r="K210" s="30" t="str">
        <f aca="false">IF($B210="","",IFERROR(IF(INDEX(offices!$O$2:$O$61,MATCH($B210,offices!$A$2:$A$61,0))="","",INDEX(offices!$O$2:$O$61,MATCH($B210,offices!$A$2:$A$61,0))),""))</f>
        <v/>
      </c>
      <c r="L210" s="30" t="str">
        <f aca="false">IF($A210="","",IF($Q210="N","",COUNTIFS($A$2:$A210,$A210,$Q$2:$Q210,"&lt;&gt;N")))</f>
        <v/>
      </c>
      <c r="M210" s="30" t="str">
        <f aca="false">IF(OR($A210="",$L210=""),"",IF(AND(config!$B$34="names_if_public",IFERROR(IF(INDEX(offices!$AG$2:$AG$61,MATCH($B210,offices!$A$2:$A$61,0))="","",INDEX(offices!$AG$2:$AG$61,MATCH($B210,offices!$A$2:$A$61,0))),"")="Y"),$K210,CHAR(64+$L210)))</f>
        <v/>
      </c>
      <c r="N210" s="30" t="str">
        <f aca="false">IF(OR($A210="",$I210=""),"",COUNTIFS(stops!$B$2:$B$151,$B210,stops!$P$2:$P$151,"&lt;"&amp;$I210,stops!$L$2:$L$151,"&lt;&gt;not_delivered")+1)</f>
        <v/>
      </c>
      <c r="O210" s="30" t="str">
        <f aca="false">IF($A210="","",IF(N($N210)&lt;=config!$B$29,"explicit","opt-out"))</f>
        <v/>
      </c>
      <c r="P210" s="30" t="str">
        <f aca="false">IF($A210="","",IF($O210="explicit",IF($D210="yes","Y",IF($D210="no","N","pending")),IF($D210="no","N",IF(AND($C210&lt;&gt;"",$I210&lt;&gt;"",$C210&lt;=WORKDAY(N($I210),-5,calendar!$A$2:$A$80)),"Y","pending"))))</f>
        <v/>
      </c>
      <c r="Q210" s="30" t="str">
        <f aca="false">IF($A210="","",IF($P210="N","N",IF($P210&lt;&gt;"Y","pending",IF(AND((COUNTIFS(stops!$A$2:$A$151,$H210,stops!$B$2:$B$151,$B210,stops!$L$2:$L$151,"declined")+COUNTIFS(stops!$A$2:$A$151,$H210,stops!$B$2:$B$151,$B210,stops!$L$2:$L$151,"building_refused")+COUNTIFS(stops!$A$2:$A$151,$H210,stops!$B$2:$B$151,$B210,stops!$L$2:$L$151,"not_delivered"))&gt;0,N($U210)=0),"N","Y"))))</f>
        <v/>
      </c>
      <c r="R210" s="30" t="str">
        <f aca="false">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30" t="str">
        <f aca="false">IF($A210="","",IF($G210&lt;&gt;"",$G210,IFERROR(IF(INDEX(offices!$AM$2:$AM$61,MATCH($B210,offices!$A$2:$A$61,0))="","",INDEX(offices!$AM$2:$AM$61,MATCH($B210,offices!$A$2:$A$61,0))),"")))</f>
        <v/>
      </c>
      <c r="T210" s="30" t="str">
        <f aca="false">IF($A210="","",$A210&amp;"."&amp;$B210)</f>
        <v/>
      </c>
      <c r="U210" s="30" t="str">
        <f aca="false">IF($A210="","",SUMIFS(inventory!$G$2:$G$801,inventory!$C$2:$C$801,$A210,inventory!$D$2:$D$801,$B210,inventory!$E$2:$E$801,"delivered"))</f>
        <v/>
      </c>
      <c r="V210" s="37" t="str">
        <f aca="false">IF($A210="","",IFERROR(1/(1/SUMPRODUCT(MAX((inventory!$C$2:$C$801=$A210)*(inventory!$D$2:$D$801=$B210)*(inventory!$E$2:$E$801="delivered")*(inventory!$A$2:$A$801+inventory!$B$2:$B$801)))),""))</f>
        <v/>
      </c>
      <c r="W210" s="30" t="str">
        <f aca="false">IF($A210="","",IFERROR(IF(INDEX(inventory!$J$2:$J$801,MATCH($A210&amp;"|"&amp;$B210&amp;"|delivered",inventory!$R$2:$R$801,0))="","",INDEX(inventory!$J$2:$J$801,MATCH($A210&amp;"|"&amp;$B210&amp;"|delivered",inventory!$R$2:$R$801,0))),""))</f>
        <v/>
      </c>
      <c r="X210" s="30" t="str">
        <f aca="false">IF($A210="","",IFERROR(IF(INDEX(photos!$H$2:$H$701,MATCH($A210&amp;"|"&amp;$B210&amp;"|placement|Y",photos!$R$2:$R$701,0))="","",INDEX(photos!$H$2:$H$701,MATCH($A210&amp;"|"&amp;$B210&amp;"|placement|Y",photos!$R$2:$R$701,0))),""))</f>
        <v/>
      </c>
      <c r="Y210" s="31" t="str">
        <f aca="false">IF($A210="","",IFERROR(IF(INDEX(photos!$E$2:$E$701,MATCH($A210&amp;"|"&amp;$B210&amp;"|placement|Y",photos!$R$2:$R$701,0))="","",INDEX(photos!$E$2:$E$701,MATCH($A210&amp;"|"&amp;$B210&amp;"|placement|Y",photos!$R$2:$R$701,0))),""))</f>
        <v/>
      </c>
      <c r="Z210" s="30" t="str">
        <f aca="false">IF($A210="","",IF(COUNTIFS(counts!$C$2:$C$701,$A210,counts!$D$2:$D$701,$B210,counts!$E$2:$E$701,"placed")=0,"",SUMIFS(counts!$F$2:$F$701,counts!$C$2:$C$701,$A210,counts!$D$2:$D$701,$B210,counts!$E$2:$E$701,"placed")))</f>
        <v/>
      </c>
      <c r="AA210" s="30" t="str">
        <f aca="false">IF($A210="","",IF($Y210="",0,N($Z210)))</f>
        <v/>
      </c>
      <c r="AB210" s="30" t="str">
        <f aca="false">IF($A210="","",IF(OR($Y210="",$I210=""),"N",IF($Y210&lt;=WORKDAY(N($I210),1,calendar!$A$2:$A$80),"Y","N")))</f>
        <v/>
      </c>
      <c r="AC210" s="33" t="str">
        <f aca="false">IF(OR($A210="",$V210="",$Y210=""),"",ROUND(($Y210+N(IFERROR(IF(INDEX(photos!$F$2:$F$701,MATCH($A210&amp;"|"&amp;$B210&amp;"|placement|Y",photos!$R$2:$R$701,0))="","",INDEX(photos!$F$2:$F$701,MATCH($A210&amp;"|"&amp;$B210&amp;"|placement|Y",photos!$R$2:$R$701,0))),""))-$V210)*24,1))</f>
        <v/>
      </c>
      <c r="AD210" s="30" t="str">
        <f aca="false">IF($A210="","",SUMIFS(inventory!$G$2:$G$801,inventory!$C$2:$C$801,$A210,inventory!$D$2:$D$801,$B210,inventory!$E$2:$E$801,"topped_up"))</f>
        <v/>
      </c>
      <c r="AE210" s="30" t="str">
        <f aca="false">IF($A210="","",IF(COUNTIFS(counts!$C$2:$C$701,$A210,counts!$D$2:$D$701,$B210,counts!$E$2:$E$701,"remaining_day3")=0,"",SUMIFS(counts!$F$2:$F$701,counts!$C$2:$C$701,$A210,counts!$D$2:$D$701,$B210,counts!$E$2:$E$701,"remaining_day3")))</f>
        <v/>
      </c>
      <c r="AF210" s="30" t="str">
        <f aca="false">IF($A210="","",IF(COUNTIFS(counts!$C$2:$C$701,$A210,counts!$D$2:$D$701,$B210,counts!$E$2:$E$701,"remaining_day5")=0,"",SUMIFS(counts!$F$2:$F$701,counts!$C$2:$C$701,$A210,counts!$D$2:$D$701,$B210,counts!$E$2:$E$701,"remaining_day5")))</f>
        <v/>
      </c>
      <c r="AG210" s="30" t="str">
        <f aca="false">IF(OR($A210="",$AF210=""),"",MAX(0,$AA210+$AD210-$AF210))</f>
        <v/>
      </c>
      <c r="AH210" s="30" t="str">
        <f aca="false">IF(OR($A210="",$AI210=""),"",IFERROR(IF(INDEX(photos!$H$2:$H$701,MATCH($A210&amp;"|"&amp;$B210&amp;"|later|Y|"&amp;$AI210,photos!$S$2:$S$701,0))="","",INDEX(photos!$H$2:$H$701,MATCH($A210&amp;"|"&amp;$B210&amp;"|later|Y|"&amp;$AI210,photos!$S$2:$S$701,0))),""))</f>
        <v/>
      </c>
      <c r="AI210" s="31" t="str">
        <f aca="false">IF($A210="","",IFERROR(1/(1/SUMPRODUCT(MAX((photos!$B$2:$B$701=$A210)*(photos!$C$2:$C$701=$B210)*(photos!$D$2:$D$701="later")*(photos!$O$2:$O$701="Y")*photos!$E$2:$E$701))),""))</f>
        <v/>
      </c>
      <c r="AJ210" s="30" t="str">
        <f aca="false">IF(OR($A210="",$AI210="",$I210=""),"",NETWORKDAYS($I210,$AI210,calendar!$A$2:$A$80))</f>
        <v/>
      </c>
      <c r="AK210" s="30" t="str">
        <f aca="false">IF($A210="","",IF(AND($X210&lt;&gt;"",$AH210&lt;&gt;""),"Y","N"))</f>
        <v/>
      </c>
      <c r="AL210" s="30" t="str">
        <f aca="true">IF(OR($A210="",$I210=""),"",IF($BC210="Y",SUMIFS(survey_frozen!$C$2:$C$251,survey_frozen!$P$2:$P$251,$A210&amp;"|"&amp;$B210),IFERROR(COUNTIFS(INDIRECT("'"&amp;$A210&amp;"'!$B$2:$B$501"),$T210,INDIRECT("'"&amp;$A210&amp;"'!$A$2:$A$501"),"&gt;="&amp;$I210,INDIRECT("'"&amp;$A210&amp;"'!$A$2:$A$501"),"&lt;"&amp;($BA210+1)),0)))</f>
        <v/>
      </c>
      <c r="AM210" s="30" t="str">
        <f aca="true">IF(OR($A210="",$I210=""),"",IF($BC210="Y",SUMIFS(survey_frozen!$D$2:$D$251,survey_frozen!$P$2:$P$251,$A210&amp;"|"&amp;$B210),IFERROR(COUNTIFS(INDIRECT("'"&amp;$A210&amp;"'!$B$2:$B$501"),$T210,INDIRECT("'"&amp;$A210&amp;"'!$A$2:$A$501"),"&gt;="&amp;$I210,INDIRECT("'"&amp;$A210&amp;"'!$A$2:$A$501"),"&lt;"&amp;($BA210+1),INDIRECT("'"&amp;$A210&amp;"'!$C$2:$C$501"),"Yes"),0)))</f>
        <v/>
      </c>
      <c r="AN210" s="30" t="str">
        <f aca="false">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30" t="str">
        <f aca="false">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30" t="str">
        <f aca="true">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30" t="str">
        <f aca="true">IF(OR($A210="",$I210=""),"",IF($BC210="Y",SUMIFS(survey_frozen!$E$2:$E$251,survey_frozen!$P$2:$P$251,$A210&amp;"|"&amp;$B210),IFERROR(COUNTIFS(INDIRECT("'"&amp;$A210&amp;"'!$B$2:$B$501"),$T210,INDIRECT("'"&amp;$A210&amp;"'!$A$2:$A$501"),"&gt;="&amp;$I210,INDIRECT("'"&amp;$A210&amp;"'!$A$2:$A$501"),"&lt;"&amp;($BA210+1),INDIRECT("'"&amp;$A210&amp;"'!$F$2:$F$501"),"Didn't see it"),0)))</f>
        <v/>
      </c>
      <c r="AR210" s="30" t="str">
        <f aca="true">IF(OR($A210="",$I210=""),"",IF($BC210="Y",SUMIFS(survey_frozen!$F$2:$F$251,survey_frozen!$P$2:$P$251,$A210&amp;"|"&amp;$B210),IFERROR(COUNTIFS(INDIRECT("'"&amp;$A210&amp;"'!$B$2:$B$501"),$T210,INDIRECT("'"&amp;$A210&amp;"'!$A$2:$A$501"),"&gt;="&amp;$I210,INDIRECT("'"&amp;$A210&amp;"'!$A$2:$A$501"),"&lt;"&amp;($BA210+1),INDIRECT("'"&amp;$A210&amp;"'!$F$2:$F$501"),"Not for me"),0)))</f>
        <v/>
      </c>
      <c r="AS210" s="30" t="str">
        <f aca="true">IF(OR($A210="",$I210=""),"",IF($BC210="Y",SUMIFS(survey_frozen!$G$2:$G$251,survey_frozen!$P$2:$P$251,$A210&amp;"|"&amp;$B210),IFERROR(COUNTIFS(INDIRECT("'"&amp;$A210&amp;"'!$B$2:$B$501"),$T210,INDIRECT("'"&amp;$A210&amp;"'!$A$2:$A$501"),"&gt;="&amp;$I210,INDIRECT("'"&amp;$A210&amp;"'!$A$2:$A$501"),"&lt;"&amp;($BA210+1),INDIRECT("'"&amp;$A210&amp;"'!$F$2:$F$501"),"Gone by the time I looked"),0)))</f>
        <v/>
      </c>
      <c r="AT210" s="30" t="str">
        <f aca="true">IF(OR($A210="",$I210=""),"",IF($BC210="Y",SUMIFS(survey_frozen!$H$2:$H$251,survey_frozen!$P$2:$P$251,$A210&amp;"|"&amp;$B210),IFERROR(COUNTIFS(INDIRECT("'"&amp;$A210&amp;"'!$B$2:$B$501"),$T210,INDIRECT("'"&amp;$A210&amp;"'!$A$2:$A$501"),"&gt;="&amp;$I210,INDIRECT("'"&amp;$A210&amp;"'!$A$2:$A$501"),"&lt;"&amp;($BA210+1),INDIRECT("'"&amp;$A210&amp;"'!$D$2:$D$501"),"&gt;=1"),0)))</f>
        <v/>
      </c>
      <c r="AU210" s="30" t="str">
        <f aca="true">IF(OR($A210="",$I210=""),"",IF($BC210="Y",SUMIFS(survey_frozen!$I$2:$I$251,survey_frozen!$P$2:$P$251,$A210&amp;"|"&amp;$B210),IFERROR(SUMIFS(INDIRECT("'"&amp;$A210&amp;"'!$D$2:$D$501"),INDIRECT("'"&amp;$A210&amp;"'!$B$2:$B$501"),$T210,INDIRECT("'"&amp;$A210&amp;"'!$A$2:$A$501"),"&gt;="&amp;$I210,INDIRECT("'"&amp;$A210&amp;"'!$A$2:$A$501"),"&lt;"&amp;($BA210+1)),0)))</f>
        <v/>
      </c>
      <c r="AV210" s="30" t="str">
        <f aca="true">IF(OR($A210="",$I210=""),"",IF($BC210="Y",SUMIFS(survey_frozen!$J$2:$J$251,survey_frozen!$P$2:$P$251,$A210&amp;"|"&amp;$B210),IFERROR(COUNTIFS(INDIRECT("'"&amp;$A210&amp;"'!$B$2:$B$501"),$T210,INDIRECT("'"&amp;$A210&amp;"'!$A$2:$A$501"),"&gt;="&amp;$I210,INDIRECT("'"&amp;$A210&amp;"'!$A$2:$A$501"),"&lt;"&amp;($BA210+1),INDIRECT("'"&amp;$A210&amp;"'!$E$2:$E$501"),"Yes"),0)))</f>
        <v/>
      </c>
      <c r="AW210" s="30" t="str">
        <f aca="true">IF(OR($A210="",$I210=""),"",IF($BC210="Y",SUMIFS(survey_frozen!$K$2:$K$251,survey_frozen!$P$2:$P$251,$A210&amp;"|"&amp;$B210),IFERROR(COUNTIFS(INDIRECT("'"&amp;$A210&amp;"'!$B$2:$B$501"),$T210,INDIRECT("'"&amp;$A210&amp;"'!$A$2:$A$501"),"&gt;="&amp;$I210,INDIRECT("'"&amp;$A210&amp;"'!$A$2:$A$501"),"&lt;"&amp;($BA210+1),INDIRECT("'"&amp;$A210&amp;"'!$E$2:$E$501"),"Maybe"),0)))</f>
        <v/>
      </c>
      <c r="AX210" s="30" t="str">
        <f aca="true">IF(OR($A210="",$I210=""),"",IF($BC210="Y",SUMIFS(survey_frozen!$L$2:$L$251,survey_frozen!$P$2:$P$251,$A210&amp;"|"&amp;$B210),IFERROR(COUNTIFS(INDIRECT("'"&amp;$A210&amp;"'!$B$2:$B$501"),$T210,INDIRECT("'"&amp;$A210&amp;"'!$A$2:$A$501"),"&gt;="&amp;$I210,INDIRECT("'"&amp;$A210&amp;"'!$A$2:$A$501"),"&lt;"&amp;($BA210+1),INDIRECT("'"&amp;$A210&amp;"'!$E$2:$E$501"),"No"),0)))</f>
        <v/>
      </c>
      <c r="AY210" s="30" t="str">
        <f aca="true">IF(OR($A210="",$I210=""),"",IF($BC210="Y",SUMIFS(survey_frozen!$M$2:$M$251,survey_frozen!$P$2:$P$251,$A210&amp;"|"&amp;$B210),IFERROR(COUNTIFS(INDIRECT("'"&amp;$A210&amp;"'!$B$2:$B$501"),$T210,INDIRECT("'"&amp;$A210&amp;"'!$A$2:$A$501"),"&gt;="&amp;$I210,INDIRECT("'"&amp;$A210&amp;"'!$A$2:$A$501"),"&lt;"&amp;($BA210+1),INDIRECT("'"&amp;$A210&amp;"'!$G$2:$G$501"),"&lt;&gt;"),0)))</f>
        <v/>
      </c>
      <c r="AZ210" s="30" t="str">
        <f aca="false">IF($A210="","",$A210&amp;"|"&amp;$L210)</f>
        <v/>
      </c>
      <c r="BA210" s="31" t="str">
        <f aca="false">IF($A210="","",IFERROR(IF(INDEX(drops!$R$2:$R$21,MATCH($H210,drops!$A$2:$A$21,0))="","",INDEX(drops!$R$2:$R$21,MATCH($H210,drops!$A$2:$A$21,0))),""))</f>
        <v/>
      </c>
      <c r="BB210" s="30" t="n">
        <f aca="false">IF(OR($A210="",$Q210&lt;&gt;"Y"),1000000,N($AL210))</f>
        <v>1000000</v>
      </c>
      <c r="BC210" s="30" t="str">
        <f aca="false">IF($A210="","",IF(COUNTIF(survey_frozen!$P$2:$P$251,$A210&amp;"|"&amp;$B210)&gt;0,"Y",""))</f>
        <v/>
      </c>
      <c r="BD210" s="30" t="str">
        <f aca="false">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ustomFormat="false" ht="15" hidden="false" customHeight="false" outlineLevel="0" collapsed="false">
      <c r="C211" s="11"/>
      <c r="D211" s="10"/>
      <c r="E211" s="11"/>
      <c r="H211" s="30" t="str">
        <f aca="false">IF($A211="","",IFERROR(IF(INDEX(campaigns!$B$2:$B$51,MATCH($A211,campaigns!$A$2:$A$51,0))="","",INDEX(campaigns!$B$2:$B$51,MATCH($A211,campaigns!$A$2:$A$51,0))),""))</f>
        <v/>
      </c>
      <c r="I211" s="31" t="str">
        <f aca="false">IF($A211="","",IFERROR(IF(INDEX(campaigns!$BG$2:$BG$51,MATCH($A211,campaigns!$A$2:$A$51,0))="","",INDEX(campaigns!$BG$2:$BG$51,MATCH($A211,campaigns!$A$2:$A$51,0))),""))</f>
        <v/>
      </c>
      <c r="J211" s="30" t="str">
        <f aca="false">IF($A211="","",IFERROR(IF(INDEX(campaigns!$BE$2:$BE$51,MATCH($A211,campaigns!$A$2:$A$51,0))="","",INDEX(campaigns!$BE$2:$BE$51,MATCH($A211,campaigns!$A$2:$A$51,0))),""))</f>
        <v/>
      </c>
      <c r="K211" s="30" t="str">
        <f aca="false">IF($B211="","",IFERROR(IF(INDEX(offices!$O$2:$O$61,MATCH($B211,offices!$A$2:$A$61,0))="","",INDEX(offices!$O$2:$O$61,MATCH($B211,offices!$A$2:$A$61,0))),""))</f>
        <v/>
      </c>
      <c r="L211" s="30" t="str">
        <f aca="false">IF($A211="","",IF($Q211="N","",COUNTIFS($A$2:$A211,$A211,$Q$2:$Q211,"&lt;&gt;N")))</f>
        <v/>
      </c>
      <c r="M211" s="30" t="str">
        <f aca="false">IF(OR($A211="",$L211=""),"",IF(AND(config!$B$34="names_if_public",IFERROR(IF(INDEX(offices!$AG$2:$AG$61,MATCH($B211,offices!$A$2:$A$61,0))="","",INDEX(offices!$AG$2:$AG$61,MATCH($B211,offices!$A$2:$A$61,0))),"")="Y"),$K211,CHAR(64+$L211)))</f>
        <v/>
      </c>
      <c r="N211" s="30" t="str">
        <f aca="false">IF(OR($A211="",$I211=""),"",COUNTIFS(stops!$B$2:$B$151,$B211,stops!$P$2:$P$151,"&lt;"&amp;$I211,stops!$L$2:$L$151,"&lt;&gt;not_delivered")+1)</f>
        <v/>
      </c>
      <c r="O211" s="30" t="str">
        <f aca="false">IF($A211="","",IF(N($N211)&lt;=config!$B$29,"explicit","opt-out"))</f>
        <v/>
      </c>
      <c r="P211" s="30" t="str">
        <f aca="false">IF($A211="","",IF($O211="explicit",IF($D211="yes","Y",IF($D211="no","N","pending")),IF($D211="no","N",IF(AND($C211&lt;&gt;"",$I211&lt;&gt;"",$C211&lt;=WORKDAY(N($I211),-5,calendar!$A$2:$A$80)),"Y","pending"))))</f>
        <v/>
      </c>
      <c r="Q211" s="30" t="str">
        <f aca="false">IF($A211="","",IF($P211="N","N",IF($P211&lt;&gt;"Y","pending",IF(AND((COUNTIFS(stops!$A$2:$A$151,$H211,stops!$B$2:$B$151,$B211,stops!$L$2:$L$151,"declined")+COUNTIFS(stops!$A$2:$A$151,$H211,stops!$B$2:$B$151,$B211,stops!$L$2:$L$151,"building_refused")+COUNTIFS(stops!$A$2:$A$151,$H211,stops!$B$2:$B$151,$B211,stops!$L$2:$L$151,"not_delivered"))&gt;0,N($U211)=0),"N","Y"))))</f>
        <v/>
      </c>
      <c r="R211" s="30" t="str">
        <f aca="false">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30" t="str">
        <f aca="false">IF($A211="","",IF($G211&lt;&gt;"",$G211,IFERROR(IF(INDEX(offices!$AM$2:$AM$61,MATCH($B211,offices!$A$2:$A$61,0))="","",INDEX(offices!$AM$2:$AM$61,MATCH($B211,offices!$A$2:$A$61,0))),"")))</f>
        <v/>
      </c>
      <c r="T211" s="30" t="str">
        <f aca="false">IF($A211="","",$A211&amp;"."&amp;$B211)</f>
        <v/>
      </c>
      <c r="U211" s="30" t="str">
        <f aca="false">IF($A211="","",SUMIFS(inventory!$G$2:$G$801,inventory!$C$2:$C$801,$A211,inventory!$D$2:$D$801,$B211,inventory!$E$2:$E$801,"delivered"))</f>
        <v/>
      </c>
      <c r="V211" s="37" t="str">
        <f aca="false">IF($A211="","",IFERROR(1/(1/SUMPRODUCT(MAX((inventory!$C$2:$C$801=$A211)*(inventory!$D$2:$D$801=$B211)*(inventory!$E$2:$E$801="delivered")*(inventory!$A$2:$A$801+inventory!$B$2:$B$801)))),""))</f>
        <v/>
      </c>
      <c r="W211" s="30" t="str">
        <f aca="false">IF($A211="","",IFERROR(IF(INDEX(inventory!$J$2:$J$801,MATCH($A211&amp;"|"&amp;$B211&amp;"|delivered",inventory!$R$2:$R$801,0))="","",INDEX(inventory!$J$2:$J$801,MATCH($A211&amp;"|"&amp;$B211&amp;"|delivered",inventory!$R$2:$R$801,0))),""))</f>
        <v/>
      </c>
      <c r="X211" s="30" t="str">
        <f aca="false">IF($A211="","",IFERROR(IF(INDEX(photos!$H$2:$H$701,MATCH($A211&amp;"|"&amp;$B211&amp;"|placement|Y",photos!$R$2:$R$701,0))="","",INDEX(photos!$H$2:$H$701,MATCH($A211&amp;"|"&amp;$B211&amp;"|placement|Y",photos!$R$2:$R$701,0))),""))</f>
        <v/>
      </c>
      <c r="Y211" s="31" t="str">
        <f aca="false">IF($A211="","",IFERROR(IF(INDEX(photos!$E$2:$E$701,MATCH($A211&amp;"|"&amp;$B211&amp;"|placement|Y",photos!$R$2:$R$701,0))="","",INDEX(photos!$E$2:$E$701,MATCH($A211&amp;"|"&amp;$B211&amp;"|placement|Y",photos!$R$2:$R$701,0))),""))</f>
        <v/>
      </c>
      <c r="Z211" s="30" t="str">
        <f aca="false">IF($A211="","",IF(COUNTIFS(counts!$C$2:$C$701,$A211,counts!$D$2:$D$701,$B211,counts!$E$2:$E$701,"placed")=0,"",SUMIFS(counts!$F$2:$F$701,counts!$C$2:$C$701,$A211,counts!$D$2:$D$701,$B211,counts!$E$2:$E$701,"placed")))</f>
        <v/>
      </c>
      <c r="AA211" s="30" t="str">
        <f aca="false">IF($A211="","",IF($Y211="",0,N($Z211)))</f>
        <v/>
      </c>
      <c r="AB211" s="30" t="str">
        <f aca="false">IF($A211="","",IF(OR($Y211="",$I211=""),"N",IF($Y211&lt;=WORKDAY(N($I211),1,calendar!$A$2:$A$80),"Y","N")))</f>
        <v/>
      </c>
      <c r="AC211" s="33" t="str">
        <f aca="false">IF(OR($A211="",$V211="",$Y211=""),"",ROUND(($Y211+N(IFERROR(IF(INDEX(photos!$F$2:$F$701,MATCH($A211&amp;"|"&amp;$B211&amp;"|placement|Y",photos!$R$2:$R$701,0))="","",INDEX(photos!$F$2:$F$701,MATCH($A211&amp;"|"&amp;$B211&amp;"|placement|Y",photos!$R$2:$R$701,0))),""))-$V211)*24,1))</f>
        <v/>
      </c>
      <c r="AD211" s="30" t="str">
        <f aca="false">IF($A211="","",SUMIFS(inventory!$G$2:$G$801,inventory!$C$2:$C$801,$A211,inventory!$D$2:$D$801,$B211,inventory!$E$2:$E$801,"topped_up"))</f>
        <v/>
      </c>
      <c r="AE211" s="30" t="str">
        <f aca="false">IF($A211="","",IF(COUNTIFS(counts!$C$2:$C$701,$A211,counts!$D$2:$D$701,$B211,counts!$E$2:$E$701,"remaining_day3")=0,"",SUMIFS(counts!$F$2:$F$701,counts!$C$2:$C$701,$A211,counts!$D$2:$D$701,$B211,counts!$E$2:$E$701,"remaining_day3")))</f>
        <v/>
      </c>
      <c r="AF211" s="30" t="str">
        <f aca="false">IF($A211="","",IF(COUNTIFS(counts!$C$2:$C$701,$A211,counts!$D$2:$D$701,$B211,counts!$E$2:$E$701,"remaining_day5")=0,"",SUMIFS(counts!$F$2:$F$701,counts!$C$2:$C$701,$A211,counts!$D$2:$D$701,$B211,counts!$E$2:$E$701,"remaining_day5")))</f>
        <v/>
      </c>
      <c r="AG211" s="30" t="str">
        <f aca="false">IF(OR($A211="",$AF211=""),"",MAX(0,$AA211+$AD211-$AF211))</f>
        <v/>
      </c>
      <c r="AH211" s="30" t="str">
        <f aca="false">IF(OR($A211="",$AI211=""),"",IFERROR(IF(INDEX(photos!$H$2:$H$701,MATCH($A211&amp;"|"&amp;$B211&amp;"|later|Y|"&amp;$AI211,photos!$S$2:$S$701,0))="","",INDEX(photos!$H$2:$H$701,MATCH($A211&amp;"|"&amp;$B211&amp;"|later|Y|"&amp;$AI211,photos!$S$2:$S$701,0))),""))</f>
        <v/>
      </c>
      <c r="AI211" s="31" t="str">
        <f aca="false">IF($A211="","",IFERROR(1/(1/SUMPRODUCT(MAX((photos!$B$2:$B$701=$A211)*(photos!$C$2:$C$701=$B211)*(photos!$D$2:$D$701="later")*(photos!$O$2:$O$701="Y")*photos!$E$2:$E$701))),""))</f>
        <v/>
      </c>
      <c r="AJ211" s="30" t="str">
        <f aca="false">IF(OR($A211="",$AI211="",$I211=""),"",NETWORKDAYS($I211,$AI211,calendar!$A$2:$A$80))</f>
        <v/>
      </c>
      <c r="AK211" s="30" t="str">
        <f aca="false">IF($A211="","",IF(AND($X211&lt;&gt;"",$AH211&lt;&gt;""),"Y","N"))</f>
        <v/>
      </c>
      <c r="AL211" s="30" t="str">
        <f aca="true">IF(OR($A211="",$I211=""),"",IF($BC211="Y",SUMIFS(survey_frozen!$C$2:$C$251,survey_frozen!$P$2:$P$251,$A211&amp;"|"&amp;$B211),IFERROR(COUNTIFS(INDIRECT("'"&amp;$A211&amp;"'!$B$2:$B$501"),$T211,INDIRECT("'"&amp;$A211&amp;"'!$A$2:$A$501"),"&gt;="&amp;$I211,INDIRECT("'"&amp;$A211&amp;"'!$A$2:$A$501"),"&lt;"&amp;($BA211+1)),0)))</f>
        <v/>
      </c>
      <c r="AM211" s="30" t="str">
        <f aca="true">IF(OR($A211="",$I211=""),"",IF($BC211="Y",SUMIFS(survey_frozen!$D$2:$D$251,survey_frozen!$P$2:$P$251,$A211&amp;"|"&amp;$B211),IFERROR(COUNTIFS(INDIRECT("'"&amp;$A211&amp;"'!$B$2:$B$501"),$T211,INDIRECT("'"&amp;$A211&amp;"'!$A$2:$A$501"),"&gt;="&amp;$I211,INDIRECT("'"&amp;$A211&amp;"'!$A$2:$A$501"),"&lt;"&amp;($BA211+1),INDIRECT("'"&amp;$A211&amp;"'!$C$2:$C$501"),"Yes"),0)))</f>
        <v/>
      </c>
      <c r="AN211" s="30" t="str">
        <f aca="false">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30" t="str">
        <f aca="false">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30" t="str">
        <f aca="true">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30" t="str">
        <f aca="true">IF(OR($A211="",$I211=""),"",IF($BC211="Y",SUMIFS(survey_frozen!$E$2:$E$251,survey_frozen!$P$2:$P$251,$A211&amp;"|"&amp;$B211),IFERROR(COUNTIFS(INDIRECT("'"&amp;$A211&amp;"'!$B$2:$B$501"),$T211,INDIRECT("'"&amp;$A211&amp;"'!$A$2:$A$501"),"&gt;="&amp;$I211,INDIRECT("'"&amp;$A211&amp;"'!$A$2:$A$501"),"&lt;"&amp;($BA211+1),INDIRECT("'"&amp;$A211&amp;"'!$F$2:$F$501"),"Didn't see it"),0)))</f>
        <v/>
      </c>
      <c r="AR211" s="30" t="str">
        <f aca="true">IF(OR($A211="",$I211=""),"",IF($BC211="Y",SUMIFS(survey_frozen!$F$2:$F$251,survey_frozen!$P$2:$P$251,$A211&amp;"|"&amp;$B211),IFERROR(COUNTIFS(INDIRECT("'"&amp;$A211&amp;"'!$B$2:$B$501"),$T211,INDIRECT("'"&amp;$A211&amp;"'!$A$2:$A$501"),"&gt;="&amp;$I211,INDIRECT("'"&amp;$A211&amp;"'!$A$2:$A$501"),"&lt;"&amp;($BA211+1),INDIRECT("'"&amp;$A211&amp;"'!$F$2:$F$501"),"Not for me"),0)))</f>
        <v/>
      </c>
      <c r="AS211" s="30" t="str">
        <f aca="true">IF(OR($A211="",$I211=""),"",IF($BC211="Y",SUMIFS(survey_frozen!$G$2:$G$251,survey_frozen!$P$2:$P$251,$A211&amp;"|"&amp;$B211),IFERROR(COUNTIFS(INDIRECT("'"&amp;$A211&amp;"'!$B$2:$B$501"),$T211,INDIRECT("'"&amp;$A211&amp;"'!$A$2:$A$501"),"&gt;="&amp;$I211,INDIRECT("'"&amp;$A211&amp;"'!$A$2:$A$501"),"&lt;"&amp;($BA211+1),INDIRECT("'"&amp;$A211&amp;"'!$F$2:$F$501"),"Gone by the time I looked"),0)))</f>
        <v/>
      </c>
      <c r="AT211" s="30" t="str">
        <f aca="true">IF(OR($A211="",$I211=""),"",IF($BC211="Y",SUMIFS(survey_frozen!$H$2:$H$251,survey_frozen!$P$2:$P$251,$A211&amp;"|"&amp;$B211),IFERROR(COUNTIFS(INDIRECT("'"&amp;$A211&amp;"'!$B$2:$B$501"),$T211,INDIRECT("'"&amp;$A211&amp;"'!$A$2:$A$501"),"&gt;="&amp;$I211,INDIRECT("'"&amp;$A211&amp;"'!$A$2:$A$501"),"&lt;"&amp;($BA211+1),INDIRECT("'"&amp;$A211&amp;"'!$D$2:$D$501"),"&gt;=1"),0)))</f>
        <v/>
      </c>
      <c r="AU211" s="30" t="str">
        <f aca="true">IF(OR($A211="",$I211=""),"",IF($BC211="Y",SUMIFS(survey_frozen!$I$2:$I$251,survey_frozen!$P$2:$P$251,$A211&amp;"|"&amp;$B211),IFERROR(SUMIFS(INDIRECT("'"&amp;$A211&amp;"'!$D$2:$D$501"),INDIRECT("'"&amp;$A211&amp;"'!$B$2:$B$501"),$T211,INDIRECT("'"&amp;$A211&amp;"'!$A$2:$A$501"),"&gt;="&amp;$I211,INDIRECT("'"&amp;$A211&amp;"'!$A$2:$A$501"),"&lt;"&amp;($BA211+1)),0)))</f>
        <v/>
      </c>
      <c r="AV211" s="30" t="str">
        <f aca="true">IF(OR($A211="",$I211=""),"",IF($BC211="Y",SUMIFS(survey_frozen!$J$2:$J$251,survey_frozen!$P$2:$P$251,$A211&amp;"|"&amp;$B211),IFERROR(COUNTIFS(INDIRECT("'"&amp;$A211&amp;"'!$B$2:$B$501"),$T211,INDIRECT("'"&amp;$A211&amp;"'!$A$2:$A$501"),"&gt;="&amp;$I211,INDIRECT("'"&amp;$A211&amp;"'!$A$2:$A$501"),"&lt;"&amp;($BA211+1),INDIRECT("'"&amp;$A211&amp;"'!$E$2:$E$501"),"Yes"),0)))</f>
        <v/>
      </c>
      <c r="AW211" s="30" t="str">
        <f aca="true">IF(OR($A211="",$I211=""),"",IF($BC211="Y",SUMIFS(survey_frozen!$K$2:$K$251,survey_frozen!$P$2:$P$251,$A211&amp;"|"&amp;$B211),IFERROR(COUNTIFS(INDIRECT("'"&amp;$A211&amp;"'!$B$2:$B$501"),$T211,INDIRECT("'"&amp;$A211&amp;"'!$A$2:$A$501"),"&gt;="&amp;$I211,INDIRECT("'"&amp;$A211&amp;"'!$A$2:$A$501"),"&lt;"&amp;($BA211+1),INDIRECT("'"&amp;$A211&amp;"'!$E$2:$E$501"),"Maybe"),0)))</f>
        <v/>
      </c>
      <c r="AX211" s="30" t="str">
        <f aca="true">IF(OR($A211="",$I211=""),"",IF($BC211="Y",SUMIFS(survey_frozen!$L$2:$L$251,survey_frozen!$P$2:$P$251,$A211&amp;"|"&amp;$B211),IFERROR(COUNTIFS(INDIRECT("'"&amp;$A211&amp;"'!$B$2:$B$501"),$T211,INDIRECT("'"&amp;$A211&amp;"'!$A$2:$A$501"),"&gt;="&amp;$I211,INDIRECT("'"&amp;$A211&amp;"'!$A$2:$A$501"),"&lt;"&amp;($BA211+1),INDIRECT("'"&amp;$A211&amp;"'!$E$2:$E$501"),"No"),0)))</f>
        <v/>
      </c>
      <c r="AY211" s="30" t="str">
        <f aca="true">IF(OR($A211="",$I211=""),"",IF($BC211="Y",SUMIFS(survey_frozen!$M$2:$M$251,survey_frozen!$P$2:$P$251,$A211&amp;"|"&amp;$B211),IFERROR(COUNTIFS(INDIRECT("'"&amp;$A211&amp;"'!$B$2:$B$501"),$T211,INDIRECT("'"&amp;$A211&amp;"'!$A$2:$A$501"),"&gt;="&amp;$I211,INDIRECT("'"&amp;$A211&amp;"'!$A$2:$A$501"),"&lt;"&amp;($BA211+1),INDIRECT("'"&amp;$A211&amp;"'!$G$2:$G$501"),"&lt;&gt;"),0)))</f>
        <v/>
      </c>
      <c r="AZ211" s="30" t="str">
        <f aca="false">IF($A211="","",$A211&amp;"|"&amp;$L211)</f>
        <v/>
      </c>
      <c r="BA211" s="31" t="str">
        <f aca="false">IF($A211="","",IFERROR(IF(INDEX(drops!$R$2:$R$21,MATCH($H211,drops!$A$2:$A$21,0))="","",INDEX(drops!$R$2:$R$21,MATCH($H211,drops!$A$2:$A$21,0))),""))</f>
        <v/>
      </c>
      <c r="BB211" s="30" t="n">
        <f aca="false">IF(OR($A211="",$Q211&lt;&gt;"Y"),1000000,N($AL211))</f>
        <v>1000000</v>
      </c>
      <c r="BC211" s="30" t="str">
        <f aca="false">IF($A211="","",IF(COUNTIF(survey_frozen!$P$2:$P$251,$A211&amp;"|"&amp;$B211)&gt;0,"Y",""))</f>
        <v/>
      </c>
      <c r="BD211" s="30" t="str">
        <f aca="false">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ustomFormat="false" ht="15" hidden="false" customHeight="false" outlineLevel="0" collapsed="false">
      <c r="C212" s="11"/>
      <c r="D212" s="10"/>
      <c r="E212" s="11"/>
      <c r="H212" s="30" t="str">
        <f aca="false">IF($A212="","",IFERROR(IF(INDEX(campaigns!$B$2:$B$51,MATCH($A212,campaigns!$A$2:$A$51,0))="","",INDEX(campaigns!$B$2:$B$51,MATCH($A212,campaigns!$A$2:$A$51,0))),""))</f>
        <v/>
      </c>
      <c r="I212" s="31" t="str">
        <f aca="false">IF($A212="","",IFERROR(IF(INDEX(campaigns!$BG$2:$BG$51,MATCH($A212,campaigns!$A$2:$A$51,0))="","",INDEX(campaigns!$BG$2:$BG$51,MATCH($A212,campaigns!$A$2:$A$51,0))),""))</f>
        <v/>
      </c>
      <c r="J212" s="30" t="str">
        <f aca="false">IF($A212="","",IFERROR(IF(INDEX(campaigns!$BE$2:$BE$51,MATCH($A212,campaigns!$A$2:$A$51,0))="","",INDEX(campaigns!$BE$2:$BE$51,MATCH($A212,campaigns!$A$2:$A$51,0))),""))</f>
        <v/>
      </c>
      <c r="K212" s="30" t="str">
        <f aca="false">IF($B212="","",IFERROR(IF(INDEX(offices!$O$2:$O$61,MATCH($B212,offices!$A$2:$A$61,0))="","",INDEX(offices!$O$2:$O$61,MATCH($B212,offices!$A$2:$A$61,0))),""))</f>
        <v/>
      </c>
      <c r="L212" s="30" t="str">
        <f aca="false">IF($A212="","",IF($Q212="N","",COUNTIFS($A$2:$A212,$A212,$Q$2:$Q212,"&lt;&gt;N")))</f>
        <v/>
      </c>
      <c r="M212" s="30" t="str">
        <f aca="false">IF(OR($A212="",$L212=""),"",IF(AND(config!$B$34="names_if_public",IFERROR(IF(INDEX(offices!$AG$2:$AG$61,MATCH($B212,offices!$A$2:$A$61,0))="","",INDEX(offices!$AG$2:$AG$61,MATCH($B212,offices!$A$2:$A$61,0))),"")="Y"),$K212,CHAR(64+$L212)))</f>
        <v/>
      </c>
      <c r="N212" s="30" t="str">
        <f aca="false">IF(OR($A212="",$I212=""),"",COUNTIFS(stops!$B$2:$B$151,$B212,stops!$P$2:$P$151,"&lt;"&amp;$I212,stops!$L$2:$L$151,"&lt;&gt;not_delivered")+1)</f>
        <v/>
      </c>
      <c r="O212" s="30" t="str">
        <f aca="false">IF($A212="","",IF(N($N212)&lt;=config!$B$29,"explicit","opt-out"))</f>
        <v/>
      </c>
      <c r="P212" s="30" t="str">
        <f aca="false">IF($A212="","",IF($O212="explicit",IF($D212="yes","Y",IF($D212="no","N","pending")),IF($D212="no","N",IF(AND($C212&lt;&gt;"",$I212&lt;&gt;"",$C212&lt;=WORKDAY(N($I212),-5,calendar!$A$2:$A$80)),"Y","pending"))))</f>
        <v/>
      </c>
      <c r="Q212" s="30" t="str">
        <f aca="false">IF($A212="","",IF($P212="N","N",IF($P212&lt;&gt;"Y","pending",IF(AND((COUNTIFS(stops!$A$2:$A$151,$H212,stops!$B$2:$B$151,$B212,stops!$L$2:$L$151,"declined")+COUNTIFS(stops!$A$2:$A$151,$H212,stops!$B$2:$B$151,$B212,stops!$L$2:$L$151,"building_refused")+COUNTIFS(stops!$A$2:$A$151,$H212,stops!$B$2:$B$151,$B212,stops!$L$2:$L$151,"not_delivered"))&gt;0,N($U212)=0),"N","Y"))))</f>
        <v/>
      </c>
      <c r="R212" s="30" t="str">
        <f aca="false">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30" t="str">
        <f aca="false">IF($A212="","",IF($G212&lt;&gt;"",$G212,IFERROR(IF(INDEX(offices!$AM$2:$AM$61,MATCH($B212,offices!$A$2:$A$61,0))="","",INDEX(offices!$AM$2:$AM$61,MATCH($B212,offices!$A$2:$A$61,0))),"")))</f>
        <v/>
      </c>
      <c r="T212" s="30" t="str">
        <f aca="false">IF($A212="","",$A212&amp;"."&amp;$B212)</f>
        <v/>
      </c>
      <c r="U212" s="30" t="str">
        <f aca="false">IF($A212="","",SUMIFS(inventory!$G$2:$G$801,inventory!$C$2:$C$801,$A212,inventory!$D$2:$D$801,$B212,inventory!$E$2:$E$801,"delivered"))</f>
        <v/>
      </c>
      <c r="V212" s="37" t="str">
        <f aca="false">IF($A212="","",IFERROR(1/(1/SUMPRODUCT(MAX((inventory!$C$2:$C$801=$A212)*(inventory!$D$2:$D$801=$B212)*(inventory!$E$2:$E$801="delivered")*(inventory!$A$2:$A$801+inventory!$B$2:$B$801)))),""))</f>
        <v/>
      </c>
      <c r="W212" s="30" t="str">
        <f aca="false">IF($A212="","",IFERROR(IF(INDEX(inventory!$J$2:$J$801,MATCH($A212&amp;"|"&amp;$B212&amp;"|delivered",inventory!$R$2:$R$801,0))="","",INDEX(inventory!$J$2:$J$801,MATCH($A212&amp;"|"&amp;$B212&amp;"|delivered",inventory!$R$2:$R$801,0))),""))</f>
        <v/>
      </c>
      <c r="X212" s="30" t="str">
        <f aca="false">IF($A212="","",IFERROR(IF(INDEX(photos!$H$2:$H$701,MATCH($A212&amp;"|"&amp;$B212&amp;"|placement|Y",photos!$R$2:$R$701,0))="","",INDEX(photos!$H$2:$H$701,MATCH($A212&amp;"|"&amp;$B212&amp;"|placement|Y",photos!$R$2:$R$701,0))),""))</f>
        <v/>
      </c>
      <c r="Y212" s="31" t="str">
        <f aca="false">IF($A212="","",IFERROR(IF(INDEX(photos!$E$2:$E$701,MATCH($A212&amp;"|"&amp;$B212&amp;"|placement|Y",photos!$R$2:$R$701,0))="","",INDEX(photos!$E$2:$E$701,MATCH($A212&amp;"|"&amp;$B212&amp;"|placement|Y",photos!$R$2:$R$701,0))),""))</f>
        <v/>
      </c>
      <c r="Z212" s="30" t="str">
        <f aca="false">IF($A212="","",IF(COUNTIFS(counts!$C$2:$C$701,$A212,counts!$D$2:$D$701,$B212,counts!$E$2:$E$701,"placed")=0,"",SUMIFS(counts!$F$2:$F$701,counts!$C$2:$C$701,$A212,counts!$D$2:$D$701,$B212,counts!$E$2:$E$701,"placed")))</f>
        <v/>
      </c>
      <c r="AA212" s="30" t="str">
        <f aca="false">IF($A212="","",IF($Y212="",0,N($Z212)))</f>
        <v/>
      </c>
      <c r="AB212" s="30" t="str">
        <f aca="false">IF($A212="","",IF(OR($Y212="",$I212=""),"N",IF($Y212&lt;=WORKDAY(N($I212),1,calendar!$A$2:$A$80),"Y","N")))</f>
        <v/>
      </c>
      <c r="AC212" s="33" t="str">
        <f aca="false">IF(OR($A212="",$V212="",$Y212=""),"",ROUND(($Y212+N(IFERROR(IF(INDEX(photos!$F$2:$F$701,MATCH($A212&amp;"|"&amp;$B212&amp;"|placement|Y",photos!$R$2:$R$701,0))="","",INDEX(photos!$F$2:$F$701,MATCH($A212&amp;"|"&amp;$B212&amp;"|placement|Y",photos!$R$2:$R$701,0))),""))-$V212)*24,1))</f>
        <v/>
      </c>
      <c r="AD212" s="30" t="str">
        <f aca="false">IF($A212="","",SUMIFS(inventory!$G$2:$G$801,inventory!$C$2:$C$801,$A212,inventory!$D$2:$D$801,$B212,inventory!$E$2:$E$801,"topped_up"))</f>
        <v/>
      </c>
      <c r="AE212" s="30" t="str">
        <f aca="false">IF($A212="","",IF(COUNTIFS(counts!$C$2:$C$701,$A212,counts!$D$2:$D$701,$B212,counts!$E$2:$E$701,"remaining_day3")=0,"",SUMIFS(counts!$F$2:$F$701,counts!$C$2:$C$701,$A212,counts!$D$2:$D$701,$B212,counts!$E$2:$E$701,"remaining_day3")))</f>
        <v/>
      </c>
      <c r="AF212" s="30" t="str">
        <f aca="false">IF($A212="","",IF(COUNTIFS(counts!$C$2:$C$701,$A212,counts!$D$2:$D$701,$B212,counts!$E$2:$E$701,"remaining_day5")=0,"",SUMIFS(counts!$F$2:$F$701,counts!$C$2:$C$701,$A212,counts!$D$2:$D$701,$B212,counts!$E$2:$E$701,"remaining_day5")))</f>
        <v/>
      </c>
      <c r="AG212" s="30" t="str">
        <f aca="false">IF(OR($A212="",$AF212=""),"",MAX(0,$AA212+$AD212-$AF212))</f>
        <v/>
      </c>
      <c r="AH212" s="30" t="str">
        <f aca="false">IF(OR($A212="",$AI212=""),"",IFERROR(IF(INDEX(photos!$H$2:$H$701,MATCH($A212&amp;"|"&amp;$B212&amp;"|later|Y|"&amp;$AI212,photos!$S$2:$S$701,0))="","",INDEX(photos!$H$2:$H$701,MATCH($A212&amp;"|"&amp;$B212&amp;"|later|Y|"&amp;$AI212,photos!$S$2:$S$701,0))),""))</f>
        <v/>
      </c>
      <c r="AI212" s="31" t="str">
        <f aca="false">IF($A212="","",IFERROR(1/(1/SUMPRODUCT(MAX((photos!$B$2:$B$701=$A212)*(photos!$C$2:$C$701=$B212)*(photos!$D$2:$D$701="later")*(photos!$O$2:$O$701="Y")*photos!$E$2:$E$701))),""))</f>
        <v/>
      </c>
      <c r="AJ212" s="30" t="str">
        <f aca="false">IF(OR($A212="",$AI212="",$I212=""),"",NETWORKDAYS($I212,$AI212,calendar!$A$2:$A$80))</f>
        <v/>
      </c>
      <c r="AK212" s="30" t="str">
        <f aca="false">IF($A212="","",IF(AND($X212&lt;&gt;"",$AH212&lt;&gt;""),"Y","N"))</f>
        <v/>
      </c>
      <c r="AL212" s="30" t="str">
        <f aca="true">IF(OR($A212="",$I212=""),"",IF($BC212="Y",SUMIFS(survey_frozen!$C$2:$C$251,survey_frozen!$P$2:$P$251,$A212&amp;"|"&amp;$B212),IFERROR(COUNTIFS(INDIRECT("'"&amp;$A212&amp;"'!$B$2:$B$501"),$T212,INDIRECT("'"&amp;$A212&amp;"'!$A$2:$A$501"),"&gt;="&amp;$I212,INDIRECT("'"&amp;$A212&amp;"'!$A$2:$A$501"),"&lt;"&amp;($BA212+1)),0)))</f>
        <v/>
      </c>
      <c r="AM212" s="30" t="str">
        <f aca="true">IF(OR($A212="",$I212=""),"",IF($BC212="Y",SUMIFS(survey_frozen!$D$2:$D$251,survey_frozen!$P$2:$P$251,$A212&amp;"|"&amp;$B212),IFERROR(COUNTIFS(INDIRECT("'"&amp;$A212&amp;"'!$B$2:$B$501"),$T212,INDIRECT("'"&amp;$A212&amp;"'!$A$2:$A$501"),"&gt;="&amp;$I212,INDIRECT("'"&amp;$A212&amp;"'!$A$2:$A$501"),"&lt;"&amp;($BA212+1),INDIRECT("'"&amp;$A212&amp;"'!$C$2:$C$501"),"Yes"),0)))</f>
        <v/>
      </c>
      <c r="AN212" s="30" t="str">
        <f aca="false">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30" t="str">
        <f aca="false">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30" t="str">
        <f aca="true">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30" t="str">
        <f aca="true">IF(OR($A212="",$I212=""),"",IF($BC212="Y",SUMIFS(survey_frozen!$E$2:$E$251,survey_frozen!$P$2:$P$251,$A212&amp;"|"&amp;$B212),IFERROR(COUNTIFS(INDIRECT("'"&amp;$A212&amp;"'!$B$2:$B$501"),$T212,INDIRECT("'"&amp;$A212&amp;"'!$A$2:$A$501"),"&gt;="&amp;$I212,INDIRECT("'"&amp;$A212&amp;"'!$A$2:$A$501"),"&lt;"&amp;($BA212+1),INDIRECT("'"&amp;$A212&amp;"'!$F$2:$F$501"),"Didn't see it"),0)))</f>
        <v/>
      </c>
      <c r="AR212" s="30" t="str">
        <f aca="true">IF(OR($A212="",$I212=""),"",IF($BC212="Y",SUMIFS(survey_frozen!$F$2:$F$251,survey_frozen!$P$2:$P$251,$A212&amp;"|"&amp;$B212),IFERROR(COUNTIFS(INDIRECT("'"&amp;$A212&amp;"'!$B$2:$B$501"),$T212,INDIRECT("'"&amp;$A212&amp;"'!$A$2:$A$501"),"&gt;="&amp;$I212,INDIRECT("'"&amp;$A212&amp;"'!$A$2:$A$501"),"&lt;"&amp;($BA212+1),INDIRECT("'"&amp;$A212&amp;"'!$F$2:$F$501"),"Not for me"),0)))</f>
        <v/>
      </c>
      <c r="AS212" s="30" t="str">
        <f aca="true">IF(OR($A212="",$I212=""),"",IF($BC212="Y",SUMIFS(survey_frozen!$G$2:$G$251,survey_frozen!$P$2:$P$251,$A212&amp;"|"&amp;$B212),IFERROR(COUNTIFS(INDIRECT("'"&amp;$A212&amp;"'!$B$2:$B$501"),$T212,INDIRECT("'"&amp;$A212&amp;"'!$A$2:$A$501"),"&gt;="&amp;$I212,INDIRECT("'"&amp;$A212&amp;"'!$A$2:$A$501"),"&lt;"&amp;($BA212+1),INDIRECT("'"&amp;$A212&amp;"'!$F$2:$F$501"),"Gone by the time I looked"),0)))</f>
        <v/>
      </c>
      <c r="AT212" s="30" t="str">
        <f aca="true">IF(OR($A212="",$I212=""),"",IF($BC212="Y",SUMIFS(survey_frozen!$H$2:$H$251,survey_frozen!$P$2:$P$251,$A212&amp;"|"&amp;$B212),IFERROR(COUNTIFS(INDIRECT("'"&amp;$A212&amp;"'!$B$2:$B$501"),$T212,INDIRECT("'"&amp;$A212&amp;"'!$A$2:$A$501"),"&gt;="&amp;$I212,INDIRECT("'"&amp;$A212&amp;"'!$A$2:$A$501"),"&lt;"&amp;($BA212+1),INDIRECT("'"&amp;$A212&amp;"'!$D$2:$D$501"),"&gt;=1"),0)))</f>
        <v/>
      </c>
      <c r="AU212" s="30" t="str">
        <f aca="true">IF(OR($A212="",$I212=""),"",IF($BC212="Y",SUMIFS(survey_frozen!$I$2:$I$251,survey_frozen!$P$2:$P$251,$A212&amp;"|"&amp;$B212),IFERROR(SUMIFS(INDIRECT("'"&amp;$A212&amp;"'!$D$2:$D$501"),INDIRECT("'"&amp;$A212&amp;"'!$B$2:$B$501"),$T212,INDIRECT("'"&amp;$A212&amp;"'!$A$2:$A$501"),"&gt;="&amp;$I212,INDIRECT("'"&amp;$A212&amp;"'!$A$2:$A$501"),"&lt;"&amp;($BA212+1)),0)))</f>
        <v/>
      </c>
      <c r="AV212" s="30" t="str">
        <f aca="true">IF(OR($A212="",$I212=""),"",IF($BC212="Y",SUMIFS(survey_frozen!$J$2:$J$251,survey_frozen!$P$2:$P$251,$A212&amp;"|"&amp;$B212),IFERROR(COUNTIFS(INDIRECT("'"&amp;$A212&amp;"'!$B$2:$B$501"),$T212,INDIRECT("'"&amp;$A212&amp;"'!$A$2:$A$501"),"&gt;="&amp;$I212,INDIRECT("'"&amp;$A212&amp;"'!$A$2:$A$501"),"&lt;"&amp;($BA212+1),INDIRECT("'"&amp;$A212&amp;"'!$E$2:$E$501"),"Yes"),0)))</f>
        <v/>
      </c>
      <c r="AW212" s="30" t="str">
        <f aca="true">IF(OR($A212="",$I212=""),"",IF($BC212="Y",SUMIFS(survey_frozen!$K$2:$K$251,survey_frozen!$P$2:$P$251,$A212&amp;"|"&amp;$B212),IFERROR(COUNTIFS(INDIRECT("'"&amp;$A212&amp;"'!$B$2:$B$501"),$T212,INDIRECT("'"&amp;$A212&amp;"'!$A$2:$A$501"),"&gt;="&amp;$I212,INDIRECT("'"&amp;$A212&amp;"'!$A$2:$A$501"),"&lt;"&amp;($BA212+1),INDIRECT("'"&amp;$A212&amp;"'!$E$2:$E$501"),"Maybe"),0)))</f>
        <v/>
      </c>
      <c r="AX212" s="30" t="str">
        <f aca="true">IF(OR($A212="",$I212=""),"",IF($BC212="Y",SUMIFS(survey_frozen!$L$2:$L$251,survey_frozen!$P$2:$P$251,$A212&amp;"|"&amp;$B212),IFERROR(COUNTIFS(INDIRECT("'"&amp;$A212&amp;"'!$B$2:$B$501"),$T212,INDIRECT("'"&amp;$A212&amp;"'!$A$2:$A$501"),"&gt;="&amp;$I212,INDIRECT("'"&amp;$A212&amp;"'!$A$2:$A$501"),"&lt;"&amp;($BA212+1),INDIRECT("'"&amp;$A212&amp;"'!$E$2:$E$501"),"No"),0)))</f>
        <v/>
      </c>
      <c r="AY212" s="30" t="str">
        <f aca="true">IF(OR($A212="",$I212=""),"",IF($BC212="Y",SUMIFS(survey_frozen!$M$2:$M$251,survey_frozen!$P$2:$P$251,$A212&amp;"|"&amp;$B212),IFERROR(COUNTIFS(INDIRECT("'"&amp;$A212&amp;"'!$B$2:$B$501"),$T212,INDIRECT("'"&amp;$A212&amp;"'!$A$2:$A$501"),"&gt;="&amp;$I212,INDIRECT("'"&amp;$A212&amp;"'!$A$2:$A$501"),"&lt;"&amp;($BA212+1),INDIRECT("'"&amp;$A212&amp;"'!$G$2:$G$501"),"&lt;&gt;"),0)))</f>
        <v/>
      </c>
      <c r="AZ212" s="30" t="str">
        <f aca="false">IF($A212="","",$A212&amp;"|"&amp;$L212)</f>
        <v/>
      </c>
      <c r="BA212" s="31" t="str">
        <f aca="false">IF($A212="","",IFERROR(IF(INDEX(drops!$R$2:$R$21,MATCH($H212,drops!$A$2:$A$21,0))="","",INDEX(drops!$R$2:$R$21,MATCH($H212,drops!$A$2:$A$21,0))),""))</f>
        <v/>
      </c>
      <c r="BB212" s="30" t="n">
        <f aca="false">IF(OR($A212="",$Q212&lt;&gt;"Y"),1000000,N($AL212))</f>
        <v>1000000</v>
      </c>
      <c r="BC212" s="30" t="str">
        <f aca="false">IF($A212="","",IF(COUNTIF(survey_frozen!$P$2:$P$251,$A212&amp;"|"&amp;$B212)&gt;0,"Y",""))</f>
        <v/>
      </c>
      <c r="BD212" s="30" t="str">
        <f aca="false">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ustomFormat="false" ht="15" hidden="false" customHeight="false" outlineLevel="0" collapsed="false">
      <c r="C213" s="11"/>
      <c r="D213" s="10"/>
      <c r="E213" s="11"/>
      <c r="H213" s="30" t="str">
        <f aca="false">IF($A213="","",IFERROR(IF(INDEX(campaigns!$B$2:$B$51,MATCH($A213,campaigns!$A$2:$A$51,0))="","",INDEX(campaigns!$B$2:$B$51,MATCH($A213,campaigns!$A$2:$A$51,0))),""))</f>
        <v/>
      </c>
      <c r="I213" s="31" t="str">
        <f aca="false">IF($A213="","",IFERROR(IF(INDEX(campaigns!$BG$2:$BG$51,MATCH($A213,campaigns!$A$2:$A$51,0))="","",INDEX(campaigns!$BG$2:$BG$51,MATCH($A213,campaigns!$A$2:$A$51,0))),""))</f>
        <v/>
      </c>
      <c r="J213" s="30" t="str">
        <f aca="false">IF($A213="","",IFERROR(IF(INDEX(campaigns!$BE$2:$BE$51,MATCH($A213,campaigns!$A$2:$A$51,0))="","",INDEX(campaigns!$BE$2:$BE$51,MATCH($A213,campaigns!$A$2:$A$51,0))),""))</f>
        <v/>
      </c>
      <c r="K213" s="30" t="str">
        <f aca="false">IF($B213="","",IFERROR(IF(INDEX(offices!$O$2:$O$61,MATCH($B213,offices!$A$2:$A$61,0))="","",INDEX(offices!$O$2:$O$61,MATCH($B213,offices!$A$2:$A$61,0))),""))</f>
        <v/>
      </c>
      <c r="L213" s="30" t="str">
        <f aca="false">IF($A213="","",IF($Q213="N","",COUNTIFS($A$2:$A213,$A213,$Q$2:$Q213,"&lt;&gt;N")))</f>
        <v/>
      </c>
      <c r="M213" s="30" t="str">
        <f aca="false">IF(OR($A213="",$L213=""),"",IF(AND(config!$B$34="names_if_public",IFERROR(IF(INDEX(offices!$AG$2:$AG$61,MATCH($B213,offices!$A$2:$A$61,0))="","",INDEX(offices!$AG$2:$AG$61,MATCH($B213,offices!$A$2:$A$61,0))),"")="Y"),$K213,CHAR(64+$L213)))</f>
        <v/>
      </c>
      <c r="N213" s="30" t="str">
        <f aca="false">IF(OR($A213="",$I213=""),"",COUNTIFS(stops!$B$2:$B$151,$B213,stops!$P$2:$P$151,"&lt;"&amp;$I213,stops!$L$2:$L$151,"&lt;&gt;not_delivered")+1)</f>
        <v/>
      </c>
      <c r="O213" s="30" t="str">
        <f aca="false">IF($A213="","",IF(N($N213)&lt;=config!$B$29,"explicit","opt-out"))</f>
        <v/>
      </c>
      <c r="P213" s="30" t="str">
        <f aca="false">IF($A213="","",IF($O213="explicit",IF($D213="yes","Y",IF($D213="no","N","pending")),IF($D213="no","N",IF(AND($C213&lt;&gt;"",$I213&lt;&gt;"",$C213&lt;=WORKDAY(N($I213),-5,calendar!$A$2:$A$80)),"Y","pending"))))</f>
        <v/>
      </c>
      <c r="Q213" s="30" t="str">
        <f aca="false">IF($A213="","",IF($P213="N","N",IF($P213&lt;&gt;"Y","pending",IF(AND((COUNTIFS(stops!$A$2:$A$151,$H213,stops!$B$2:$B$151,$B213,stops!$L$2:$L$151,"declined")+COUNTIFS(stops!$A$2:$A$151,$H213,stops!$B$2:$B$151,$B213,stops!$L$2:$L$151,"building_refused")+COUNTIFS(stops!$A$2:$A$151,$H213,stops!$B$2:$B$151,$B213,stops!$L$2:$L$151,"not_delivered"))&gt;0,N($U213)=0),"N","Y"))))</f>
        <v/>
      </c>
      <c r="R213" s="30" t="str">
        <f aca="false">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30" t="str">
        <f aca="false">IF($A213="","",IF($G213&lt;&gt;"",$G213,IFERROR(IF(INDEX(offices!$AM$2:$AM$61,MATCH($B213,offices!$A$2:$A$61,0))="","",INDEX(offices!$AM$2:$AM$61,MATCH($B213,offices!$A$2:$A$61,0))),"")))</f>
        <v/>
      </c>
      <c r="T213" s="30" t="str">
        <f aca="false">IF($A213="","",$A213&amp;"."&amp;$B213)</f>
        <v/>
      </c>
      <c r="U213" s="30" t="str">
        <f aca="false">IF($A213="","",SUMIFS(inventory!$G$2:$G$801,inventory!$C$2:$C$801,$A213,inventory!$D$2:$D$801,$B213,inventory!$E$2:$E$801,"delivered"))</f>
        <v/>
      </c>
      <c r="V213" s="37" t="str">
        <f aca="false">IF($A213="","",IFERROR(1/(1/SUMPRODUCT(MAX((inventory!$C$2:$C$801=$A213)*(inventory!$D$2:$D$801=$B213)*(inventory!$E$2:$E$801="delivered")*(inventory!$A$2:$A$801+inventory!$B$2:$B$801)))),""))</f>
        <v/>
      </c>
      <c r="W213" s="30" t="str">
        <f aca="false">IF($A213="","",IFERROR(IF(INDEX(inventory!$J$2:$J$801,MATCH($A213&amp;"|"&amp;$B213&amp;"|delivered",inventory!$R$2:$R$801,0))="","",INDEX(inventory!$J$2:$J$801,MATCH($A213&amp;"|"&amp;$B213&amp;"|delivered",inventory!$R$2:$R$801,0))),""))</f>
        <v/>
      </c>
      <c r="X213" s="30" t="str">
        <f aca="false">IF($A213="","",IFERROR(IF(INDEX(photos!$H$2:$H$701,MATCH($A213&amp;"|"&amp;$B213&amp;"|placement|Y",photos!$R$2:$R$701,0))="","",INDEX(photos!$H$2:$H$701,MATCH($A213&amp;"|"&amp;$B213&amp;"|placement|Y",photos!$R$2:$R$701,0))),""))</f>
        <v/>
      </c>
      <c r="Y213" s="31" t="str">
        <f aca="false">IF($A213="","",IFERROR(IF(INDEX(photos!$E$2:$E$701,MATCH($A213&amp;"|"&amp;$B213&amp;"|placement|Y",photos!$R$2:$R$701,0))="","",INDEX(photos!$E$2:$E$701,MATCH($A213&amp;"|"&amp;$B213&amp;"|placement|Y",photos!$R$2:$R$701,0))),""))</f>
        <v/>
      </c>
      <c r="Z213" s="30" t="str">
        <f aca="false">IF($A213="","",IF(COUNTIFS(counts!$C$2:$C$701,$A213,counts!$D$2:$D$701,$B213,counts!$E$2:$E$701,"placed")=0,"",SUMIFS(counts!$F$2:$F$701,counts!$C$2:$C$701,$A213,counts!$D$2:$D$701,$B213,counts!$E$2:$E$701,"placed")))</f>
        <v/>
      </c>
      <c r="AA213" s="30" t="str">
        <f aca="false">IF($A213="","",IF($Y213="",0,N($Z213)))</f>
        <v/>
      </c>
      <c r="AB213" s="30" t="str">
        <f aca="false">IF($A213="","",IF(OR($Y213="",$I213=""),"N",IF($Y213&lt;=WORKDAY(N($I213),1,calendar!$A$2:$A$80),"Y","N")))</f>
        <v/>
      </c>
      <c r="AC213" s="33" t="str">
        <f aca="false">IF(OR($A213="",$V213="",$Y213=""),"",ROUND(($Y213+N(IFERROR(IF(INDEX(photos!$F$2:$F$701,MATCH($A213&amp;"|"&amp;$B213&amp;"|placement|Y",photos!$R$2:$R$701,0))="","",INDEX(photos!$F$2:$F$701,MATCH($A213&amp;"|"&amp;$B213&amp;"|placement|Y",photos!$R$2:$R$701,0))),""))-$V213)*24,1))</f>
        <v/>
      </c>
      <c r="AD213" s="30" t="str">
        <f aca="false">IF($A213="","",SUMIFS(inventory!$G$2:$G$801,inventory!$C$2:$C$801,$A213,inventory!$D$2:$D$801,$B213,inventory!$E$2:$E$801,"topped_up"))</f>
        <v/>
      </c>
      <c r="AE213" s="30" t="str">
        <f aca="false">IF($A213="","",IF(COUNTIFS(counts!$C$2:$C$701,$A213,counts!$D$2:$D$701,$B213,counts!$E$2:$E$701,"remaining_day3")=0,"",SUMIFS(counts!$F$2:$F$701,counts!$C$2:$C$701,$A213,counts!$D$2:$D$701,$B213,counts!$E$2:$E$701,"remaining_day3")))</f>
        <v/>
      </c>
      <c r="AF213" s="30" t="str">
        <f aca="false">IF($A213="","",IF(COUNTIFS(counts!$C$2:$C$701,$A213,counts!$D$2:$D$701,$B213,counts!$E$2:$E$701,"remaining_day5")=0,"",SUMIFS(counts!$F$2:$F$701,counts!$C$2:$C$701,$A213,counts!$D$2:$D$701,$B213,counts!$E$2:$E$701,"remaining_day5")))</f>
        <v/>
      </c>
      <c r="AG213" s="30" t="str">
        <f aca="false">IF(OR($A213="",$AF213=""),"",MAX(0,$AA213+$AD213-$AF213))</f>
        <v/>
      </c>
      <c r="AH213" s="30" t="str">
        <f aca="false">IF(OR($A213="",$AI213=""),"",IFERROR(IF(INDEX(photos!$H$2:$H$701,MATCH($A213&amp;"|"&amp;$B213&amp;"|later|Y|"&amp;$AI213,photos!$S$2:$S$701,0))="","",INDEX(photos!$H$2:$H$701,MATCH($A213&amp;"|"&amp;$B213&amp;"|later|Y|"&amp;$AI213,photos!$S$2:$S$701,0))),""))</f>
        <v/>
      </c>
      <c r="AI213" s="31" t="str">
        <f aca="false">IF($A213="","",IFERROR(1/(1/SUMPRODUCT(MAX((photos!$B$2:$B$701=$A213)*(photos!$C$2:$C$701=$B213)*(photos!$D$2:$D$701="later")*(photos!$O$2:$O$701="Y")*photos!$E$2:$E$701))),""))</f>
        <v/>
      </c>
      <c r="AJ213" s="30" t="str">
        <f aca="false">IF(OR($A213="",$AI213="",$I213=""),"",NETWORKDAYS($I213,$AI213,calendar!$A$2:$A$80))</f>
        <v/>
      </c>
      <c r="AK213" s="30" t="str">
        <f aca="false">IF($A213="","",IF(AND($X213&lt;&gt;"",$AH213&lt;&gt;""),"Y","N"))</f>
        <v/>
      </c>
      <c r="AL213" s="30" t="str">
        <f aca="true">IF(OR($A213="",$I213=""),"",IF($BC213="Y",SUMIFS(survey_frozen!$C$2:$C$251,survey_frozen!$P$2:$P$251,$A213&amp;"|"&amp;$B213),IFERROR(COUNTIFS(INDIRECT("'"&amp;$A213&amp;"'!$B$2:$B$501"),$T213,INDIRECT("'"&amp;$A213&amp;"'!$A$2:$A$501"),"&gt;="&amp;$I213,INDIRECT("'"&amp;$A213&amp;"'!$A$2:$A$501"),"&lt;"&amp;($BA213+1)),0)))</f>
        <v/>
      </c>
      <c r="AM213" s="30" t="str">
        <f aca="true">IF(OR($A213="",$I213=""),"",IF($BC213="Y",SUMIFS(survey_frozen!$D$2:$D$251,survey_frozen!$P$2:$P$251,$A213&amp;"|"&amp;$B213),IFERROR(COUNTIFS(INDIRECT("'"&amp;$A213&amp;"'!$B$2:$B$501"),$T213,INDIRECT("'"&amp;$A213&amp;"'!$A$2:$A$501"),"&gt;="&amp;$I213,INDIRECT("'"&amp;$A213&amp;"'!$A$2:$A$501"),"&lt;"&amp;($BA213+1),INDIRECT("'"&amp;$A213&amp;"'!$C$2:$C$501"),"Yes"),0)))</f>
        <v/>
      </c>
      <c r="AN213" s="30" t="str">
        <f aca="false">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30" t="str">
        <f aca="false">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30" t="str">
        <f aca="true">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30" t="str">
        <f aca="true">IF(OR($A213="",$I213=""),"",IF($BC213="Y",SUMIFS(survey_frozen!$E$2:$E$251,survey_frozen!$P$2:$P$251,$A213&amp;"|"&amp;$B213),IFERROR(COUNTIFS(INDIRECT("'"&amp;$A213&amp;"'!$B$2:$B$501"),$T213,INDIRECT("'"&amp;$A213&amp;"'!$A$2:$A$501"),"&gt;="&amp;$I213,INDIRECT("'"&amp;$A213&amp;"'!$A$2:$A$501"),"&lt;"&amp;($BA213+1),INDIRECT("'"&amp;$A213&amp;"'!$F$2:$F$501"),"Didn't see it"),0)))</f>
        <v/>
      </c>
      <c r="AR213" s="30" t="str">
        <f aca="true">IF(OR($A213="",$I213=""),"",IF($BC213="Y",SUMIFS(survey_frozen!$F$2:$F$251,survey_frozen!$P$2:$P$251,$A213&amp;"|"&amp;$B213),IFERROR(COUNTIFS(INDIRECT("'"&amp;$A213&amp;"'!$B$2:$B$501"),$T213,INDIRECT("'"&amp;$A213&amp;"'!$A$2:$A$501"),"&gt;="&amp;$I213,INDIRECT("'"&amp;$A213&amp;"'!$A$2:$A$501"),"&lt;"&amp;($BA213+1),INDIRECT("'"&amp;$A213&amp;"'!$F$2:$F$501"),"Not for me"),0)))</f>
        <v/>
      </c>
      <c r="AS213" s="30" t="str">
        <f aca="true">IF(OR($A213="",$I213=""),"",IF($BC213="Y",SUMIFS(survey_frozen!$G$2:$G$251,survey_frozen!$P$2:$P$251,$A213&amp;"|"&amp;$B213),IFERROR(COUNTIFS(INDIRECT("'"&amp;$A213&amp;"'!$B$2:$B$501"),$T213,INDIRECT("'"&amp;$A213&amp;"'!$A$2:$A$501"),"&gt;="&amp;$I213,INDIRECT("'"&amp;$A213&amp;"'!$A$2:$A$501"),"&lt;"&amp;($BA213+1),INDIRECT("'"&amp;$A213&amp;"'!$F$2:$F$501"),"Gone by the time I looked"),0)))</f>
        <v/>
      </c>
      <c r="AT213" s="30" t="str">
        <f aca="true">IF(OR($A213="",$I213=""),"",IF($BC213="Y",SUMIFS(survey_frozen!$H$2:$H$251,survey_frozen!$P$2:$P$251,$A213&amp;"|"&amp;$B213),IFERROR(COUNTIFS(INDIRECT("'"&amp;$A213&amp;"'!$B$2:$B$501"),$T213,INDIRECT("'"&amp;$A213&amp;"'!$A$2:$A$501"),"&gt;="&amp;$I213,INDIRECT("'"&amp;$A213&amp;"'!$A$2:$A$501"),"&lt;"&amp;($BA213+1),INDIRECT("'"&amp;$A213&amp;"'!$D$2:$D$501"),"&gt;=1"),0)))</f>
        <v/>
      </c>
      <c r="AU213" s="30" t="str">
        <f aca="true">IF(OR($A213="",$I213=""),"",IF($BC213="Y",SUMIFS(survey_frozen!$I$2:$I$251,survey_frozen!$P$2:$P$251,$A213&amp;"|"&amp;$B213),IFERROR(SUMIFS(INDIRECT("'"&amp;$A213&amp;"'!$D$2:$D$501"),INDIRECT("'"&amp;$A213&amp;"'!$B$2:$B$501"),$T213,INDIRECT("'"&amp;$A213&amp;"'!$A$2:$A$501"),"&gt;="&amp;$I213,INDIRECT("'"&amp;$A213&amp;"'!$A$2:$A$501"),"&lt;"&amp;($BA213+1)),0)))</f>
        <v/>
      </c>
      <c r="AV213" s="30" t="str">
        <f aca="true">IF(OR($A213="",$I213=""),"",IF($BC213="Y",SUMIFS(survey_frozen!$J$2:$J$251,survey_frozen!$P$2:$P$251,$A213&amp;"|"&amp;$B213),IFERROR(COUNTIFS(INDIRECT("'"&amp;$A213&amp;"'!$B$2:$B$501"),$T213,INDIRECT("'"&amp;$A213&amp;"'!$A$2:$A$501"),"&gt;="&amp;$I213,INDIRECT("'"&amp;$A213&amp;"'!$A$2:$A$501"),"&lt;"&amp;($BA213+1),INDIRECT("'"&amp;$A213&amp;"'!$E$2:$E$501"),"Yes"),0)))</f>
        <v/>
      </c>
      <c r="AW213" s="30" t="str">
        <f aca="true">IF(OR($A213="",$I213=""),"",IF($BC213="Y",SUMIFS(survey_frozen!$K$2:$K$251,survey_frozen!$P$2:$P$251,$A213&amp;"|"&amp;$B213),IFERROR(COUNTIFS(INDIRECT("'"&amp;$A213&amp;"'!$B$2:$B$501"),$T213,INDIRECT("'"&amp;$A213&amp;"'!$A$2:$A$501"),"&gt;="&amp;$I213,INDIRECT("'"&amp;$A213&amp;"'!$A$2:$A$501"),"&lt;"&amp;($BA213+1),INDIRECT("'"&amp;$A213&amp;"'!$E$2:$E$501"),"Maybe"),0)))</f>
        <v/>
      </c>
      <c r="AX213" s="30" t="str">
        <f aca="true">IF(OR($A213="",$I213=""),"",IF($BC213="Y",SUMIFS(survey_frozen!$L$2:$L$251,survey_frozen!$P$2:$P$251,$A213&amp;"|"&amp;$B213),IFERROR(COUNTIFS(INDIRECT("'"&amp;$A213&amp;"'!$B$2:$B$501"),$T213,INDIRECT("'"&amp;$A213&amp;"'!$A$2:$A$501"),"&gt;="&amp;$I213,INDIRECT("'"&amp;$A213&amp;"'!$A$2:$A$501"),"&lt;"&amp;($BA213+1),INDIRECT("'"&amp;$A213&amp;"'!$E$2:$E$501"),"No"),0)))</f>
        <v/>
      </c>
      <c r="AY213" s="30" t="str">
        <f aca="true">IF(OR($A213="",$I213=""),"",IF($BC213="Y",SUMIFS(survey_frozen!$M$2:$M$251,survey_frozen!$P$2:$P$251,$A213&amp;"|"&amp;$B213),IFERROR(COUNTIFS(INDIRECT("'"&amp;$A213&amp;"'!$B$2:$B$501"),$T213,INDIRECT("'"&amp;$A213&amp;"'!$A$2:$A$501"),"&gt;="&amp;$I213,INDIRECT("'"&amp;$A213&amp;"'!$A$2:$A$501"),"&lt;"&amp;($BA213+1),INDIRECT("'"&amp;$A213&amp;"'!$G$2:$G$501"),"&lt;&gt;"),0)))</f>
        <v/>
      </c>
      <c r="AZ213" s="30" t="str">
        <f aca="false">IF($A213="","",$A213&amp;"|"&amp;$L213)</f>
        <v/>
      </c>
      <c r="BA213" s="31" t="str">
        <f aca="false">IF($A213="","",IFERROR(IF(INDEX(drops!$R$2:$R$21,MATCH($H213,drops!$A$2:$A$21,0))="","",INDEX(drops!$R$2:$R$21,MATCH($H213,drops!$A$2:$A$21,0))),""))</f>
        <v/>
      </c>
      <c r="BB213" s="30" t="n">
        <f aca="false">IF(OR($A213="",$Q213&lt;&gt;"Y"),1000000,N($AL213))</f>
        <v>1000000</v>
      </c>
      <c r="BC213" s="30" t="str">
        <f aca="false">IF($A213="","",IF(COUNTIF(survey_frozen!$P$2:$P$251,$A213&amp;"|"&amp;$B213)&gt;0,"Y",""))</f>
        <v/>
      </c>
      <c r="BD213" s="30" t="str">
        <f aca="false">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ustomFormat="false" ht="15" hidden="false" customHeight="false" outlineLevel="0" collapsed="false">
      <c r="C214" s="11"/>
      <c r="D214" s="10"/>
      <c r="E214" s="11"/>
      <c r="H214" s="30" t="str">
        <f aca="false">IF($A214="","",IFERROR(IF(INDEX(campaigns!$B$2:$B$51,MATCH($A214,campaigns!$A$2:$A$51,0))="","",INDEX(campaigns!$B$2:$B$51,MATCH($A214,campaigns!$A$2:$A$51,0))),""))</f>
        <v/>
      </c>
      <c r="I214" s="31" t="str">
        <f aca="false">IF($A214="","",IFERROR(IF(INDEX(campaigns!$BG$2:$BG$51,MATCH($A214,campaigns!$A$2:$A$51,0))="","",INDEX(campaigns!$BG$2:$BG$51,MATCH($A214,campaigns!$A$2:$A$51,0))),""))</f>
        <v/>
      </c>
      <c r="J214" s="30" t="str">
        <f aca="false">IF($A214="","",IFERROR(IF(INDEX(campaigns!$BE$2:$BE$51,MATCH($A214,campaigns!$A$2:$A$51,0))="","",INDEX(campaigns!$BE$2:$BE$51,MATCH($A214,campaigns!$A$2:$A$51,0))),""))</f>
        <v/>
      </c>
      <c r="K214" s="30" t="str">
        <f aca="false">IF($B214="","",IFERROR(IF(INDEX(offices!$O$2:$O$61,MATCH($B214,offices!$A$2:$A$61,0))="","",INDEX(offices!$O$2:$O$61,MATCH($B214,offices!$A$2:$A$61,0))),""))</f>
        <v/>
      </c>
      <c r="L214" s="30" t="str">
        <f aca="false">IF($A214="","",IF($Q214="N","",COUNTIFS($A$2:$A214,$A214,$Q$2:$Q214,"&lt;&gt;N")))</f>
        <v/>
      </c>
      <c r="M214" s="30" t="str">
        <f aca="false">IF(OR($A214="",$L214=""),"",IF(AND(config!$B$34="names_if_public",IFERROR(IF(INDEX(offices!$AG$2:$AG$61,MATCH($B214,offices!$A$2:$A$61,0))="","",INDEX(offices!$AG$2:$AG$61,MATCH($B214,offices!$A$2:$A$61,0))),"")="Y"),$K214,CHAR(64+$L214)))</f>
        <v/>
      </c>
      <c r="N214" s="30" t="str">
        <f aca="false">IF(OR($A214="",$I214=""),"",COUNTIFS(stops!$B$2:$B$151,$B214,stops!$P$2:$P$151,"&lt;"&amp;$I214,stops!$L$2:$L$151,"&lt;&gt;not_delivered")+1)</f>
        <v/>
      </c>
      <c r="O214" s="30" t="str">
        <f aca="false">IF($A214="","",IF(N($N214)&lt;=config!$B$29,"explicit","opt-out"))</f>
        <v/>
      </c>
      <c r="P214" s="30" t="str">
        <f aca="false">IF($A214="","",IF($O214="explicit",IF($D214="yes","Y",IF($D214="no","N","pending")),IF($D214="no","N",IF(AND($C214&lt;&gt;"",$I214&lt;&gt;"",$C214&lt;=WORKDAY(N($I214),-5,calendar!$A$2:$A$80)),"Y","pending"))))</f>
        <v/>
      </c>
      <c r="Q214" s="30" t="str">
        <f aca="false">IF($A214="","",IF($P214="N","N",IF($P214&lt;&gt;"Y","pending",IF(AND((COUNTIFS(stops!$A$2:$A$151,$H214,stops!$B$2:$B$151,$B214,stops!$L$2:$L$151,"declined")+COUNTIFS(stops!$A$2:$A$151,$H214,stops!$B$2:$B$151,$B214,stops!$L$2:$L$151,"building_refused")+COUNTIFS(stops!$A$2:$A$151,$H214,stops!$B$2:$B$151,$B214,stops!$L$2:$L$151,"not_delivered"))&gt;0,N($U214)=0),"N","Y"))))</f>
        <v/>
      </c>
      <c r="R214" s="30" t="str">
        <f aca="false">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30" t="str">
        <f aca="false">IF($A214="","",IF($G214&lt;&gt;"",$G214,IFERROR(IF(INDEX(offices!$AM$2:$AM$61,MATCH($B214,offices!$A$2:$A$61,0))="","",INDEX(offices!$AM$2:$AM$61,MATCH($B214,offices!$A$2:$A$61,0))),"")))</f>
        <v/>
      </c>
      <c r="T214" s="30" t="str">
        <f aca="false">IF($A214="","",$A214&amp;"."&amp;$B214)</f>
        <v/>
      </c>
      <c r="U214" s="30" t="str">
        <f aca="false">IF($A214="","",SUMIFS(inventory!$G$2:$G$801,inventory!$C$2:$C$801,$A214,inventory!$D$2:$D$801,$B214,inventory!$E$2:$E$801,"delivered"))</f>
        <v/>
      </c>
      <c r="V214" s="37" t="str">
        <f aca="false">IF($A214="","",IFERROR(1/(1/SUMPRODUCT(MAX((inventory!$C$2:$C$801=$A214)*(inventory!$D$2:$D$801=$B214)*(inventory!$E$2:$E$801="delivered")*(inventory!$A$2:$A$801+inventory!$B$2:$B$801)))),""))</f>
        <v/>
      </c>
      <c r="W214" s="30" t="str">
        <f aca="false">IF($A214="","",IFERROR(IF(INDEX(inventory!$J$2:$J$801,MATCH($A214&amp;"|"&amp;$B214&amp;"|delivered",inventory!$R$2:$R$801,0))="","",INDEX(inventory!$J$2:$J$801,MATCH($A214&amp;"|"&amp;$B214&amp;"|delivered",inventory!$R$2:$R$801,0))),""))</f>
        <v/>
      </c>
      <c r="X214" s="30" t="str">
        <f aca="false">IF($A214="","",IFERROR(IF(INDEX(photos!$H$2:$H$701,MATCH($A214&amp;"|"&amp;$B214&amp;"|placement|Y",photos!$R$2:$R$701,0))="","",INDEX(photos!$H$2:$H$701,MATCH($A214&amp;"|"&amp;$B214&amp;"|placement|Y",photos!$R$2:$R$701,0))),""))</f>
        <v/>
      </c>
      <c r="Y214" s="31" t="str">
        <f aca="false">IF($A214="","",IFERROR(IF(INDEX(photos!$E$2:$E$701,MATCH($A214&amp;"|"&amp;$B214&amp;"|placement|Y",photos!$R$2:$R$701,0))="","",INDEX(photos!$E$2:$E$701,MATCH($A214&amp;"|"&amp;$B214&amp;"|placement|Y",photos!$R$2:$R$701,0))),""))</f>
        <v/>
      </c>
      <c r="Z214" s="30" t="str">
        <f aca="false">IF($A214="","",IF(COUNTIFS(counts!$C$2:$C$701,$A214,counts!$D$2:$D$701,$B214,counts!$E$2:$E$701,"placed")=0,"",SUMIFS(counts!$F$2:$F$701,counts!$C$2:$C$701,$A214,counts!$D$2:$D$701,$B214,counts!$E$2:$E$701,"placed")))</f>
        <v/>
      </c>
      <c r="AA214" s="30" t="str">
        <f aca="false">IF($A214="","",IF($Y214="",0,N($Z214)))</f>
        <v/>
      </c>
      <c r="AB214" s="30" t="str">
        <f aca="false">IF($A214="","",IF(OR($Y214="",$I214=""),"N",IF($Y214&lt;=WORKDAY(N($I214),1,calendar!$A$2:$A$80),"Y","N")))</f>
        <v/>
      </c>
      <c r="AC214" s="33" t="str">
        <f aca="false">IF(OR($A214="",$V214="",$Y214=""),"",ROUND(($Y214+N(IFERROR(IF(INDEX(photos!$F$2:$F$701,MATCH($A214&amp;"|"&amp;$B214&amp;"|placement|Y",photos!$R$2:$R$701,0))="","",INDEX(photos!$F$2:$F$701,MATCH($A214&amp;"|"&amp;$B214&amp;"|placement|Y",photos!$R$2:$R$701,0))),""))-$V214)*24,1))</f>
        <v/>
      </c>
      <c r="AD214" s="30" t="str">
        <f aca="false">IF($A214="","",SUMIFS(inventory!$G$2:$G$801,inventory!$C$2:$C$801,$A214,inventory!$D$2:$D$801,$B214,inventory!$E$2:$E$801,"topped_up"))</f>
        <v/>
      </c>
      <c r="AE214" s="30" t="str">
        <f aca="false">IF($A214="","",IF(COUNTIFS(counts!$C$2:$C$701,$A214,counts!$D$2:$D$701,$B214,counts!$E$2:$E$701,"remaining_day3")=0,"",SUMIFS(counts!$F$2:$F$701,counts!$C$2:$C$701,$A214,counts!$D$2:$D$701,$B214,counts!$E$2:$E$701,"remaining_day3")))</f>
        <v/>
      </c>
      <c r="AF214" s="30" t="str">
        <f aca="false">IF($A214="","",IF(COUNTIFS(counts!$C$2:$C$701,$A214,counts!$D$2:$D$701,$B214,counts!$E$2:$E$701,"remaining_day5")=0,"",SUMIFS(counts!$F$2:$F$701,counts!$C$2:$C$701,$A214,counts!$D$2:$D$701,$B214,counts!$E$2:$E$701,"remaining_day5")))</f>
        <v/>
      </c>
      <c r="AG214" s="30" t="str">
        <f aca="false">IF(OR($A214="",$AF214=""),"",MAX(0,$AA214+$AD214-$AF214))</f>
        <v/>
      </c>
      <c r="AH214" s="30" t="str">
        <f aca="false">IF(OR($A214="",$AI214=""),"",IFERROR(IF(INDEX(photos!$H$2:$H$701,MATCH($A214&amp;"|"&amp;$B214&amp;"|later|Y|"&amp;$AI214,photos!$S$2:$S$701,0))="","",INDEX(photos!$H$2:$H$701,MATCH($A214&amp;"|"&amp;$B214&amp;"|later|Y|"&amp;$AI214,photos!$S$2:$S$701,0))),""))</f>
        <v/>
      </c>
      <c r="AI214" s="31" t="str">
        <f aca="false">IF($A214="","",IFERROR(1/(1/SUMPRODUCT(MAX((photos!$B$2:$B$701=$A214)*(photos!$C$2:$C$701=$B214)*(photos!$D$2:$D$701="later")*(photos!$O$2:$O$701="Y")*photos!$E$2:$E$701))),""))</f>
        <v/>
      </c>
      <c r="AJ214" s="30" t="str">
        <f aca="false">IF(OR($A214="",$AI214="",$I214=""),"",NETWORKDAYS($I214,$AI214,calendar!$A$2:$A$80))</f>
        <v/>
      </c>
      <c r="AK214" s="30" t="str">
        <f aca="false">IF($A214="","",IF(AND($X214&lt;&gt;"",$AH214&lt;&gt;""),"Y","N"))</f>
        <v/>
      </c>
      <c r="AL214" s="30" t="str">
        <f aca="true">IF(OR($A214="",$I214=""),"",IF($BC214="Y",SUMIFS(survey_frozen!$C$2:$C$251,survey_frozen!$P$2:$P$251,$A214&amp;"|"&amp;$B214),IFERROR(COUNTIFS(INDIRECT("'"&amp;$A214&amp;"'!$B$2:$B$501"),$T214,INDIRECT("'"&amp;$A214&amp;"'!$A$2:$A$501"),"&gt;="&amp;$I214,INDIRECT("'"&amp;$A214&amp;"'!$A$2:$A$501"),"&lt;"&amp;($BA214+1)),0)))</f>
        <v/>
      </c>
      <c r="AM214" s="30" t="str">
        <f aca="true">IF(OR($A214="",$I214=""),"",IF($BC214="Y",SUMIFS(survey_frozen!$D$2:$D$251,survey_frozen!$P$2:$P$251,$A214&amp;"|"&amp;$B214),IFERROR(COUNTIFS(INDIRECT("'"&amp;$A214&amp;"'!$B$2:$B$501"),$T214,INDIRECT("'"&amp;$A214&amp;"'!$A$2:$A$501"),"&gt;="&amp;$I214,INDIRECT("'"&amp;$A214&amp;"'!$A$2:$A$501"),"&lt;"&amp;($BA214+1),INDIRECT("'"&amp;$A214&amp;"'!$C$2:$C$501"),"Yes"),0)))</f>
        <v/>
      </c>
      <c r="AN214" s="30" t="str">
        <f aca="false">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30" t="str">
        <f aca="false">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30" t="str">
        <f aca="true">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30" t="str">
        <f aca="true">IF(OR($A214="",$I214=""),"",IF($BC214="Y",SUMIFS(survey_frozen!$E$2:$E$251,survey_frozen!$P$2:$P$251,$A214&amp;"|"&amp;$B214),IFERROR(COUNTIFS(INDIRECT("'"&amp;$A214&amp;"'!$B$2:$B$501"),$T214,INDIRECT("'"&amp;$A214&amp;"'!$A$2:$A$501"),"&gt;="&amp;$I214,INDIRECT("'"&amp;$A214&amp;"'!$A$2:$A$501"),"&lt;"&amp;($BA214+1),INDIRECT("'"&amp;$A214&amp;"'!$F$2:$F$501"),"Didn't see it"),0)))</f>
        <v/>
      </c>
      <c r="AR214" s="30" t="str">
        <f aca="true">IF(OR($A214="",$I214=""),"",IF($BC214="Y",SUMIFS(survey_frozen!$F$2:$F$251,survey_frozen!$P$2:$P$251,$A214&amp;"|"&amp;$B214),IFERROR(COUNTIFS(INDIRECT("'"&amp;$A214&amp;"'!$B$2:$B$501"),$T214,INDIRECT("'"&amp;$A214&amp;"'!$A$2:$A$501"),"&gt;="&amp;$I214,INDIRECT("'"&amp;$A214&amp;"'!$A$2:$A$501"),"&lt;"&amp;($BA214+1),INDIRECT("'"&amp;$A214&amp;"'!$F$2:$F$501"),"Not for me"),0)))</f>
        <v/>
      </c>
      <c r="AS214" s="30" t="str">
        <f aca="true">IF(OR($A214="",$I214=""),"",IF($BC214="Y",SUMIFS(survey_frozen!$G$2:$G$251,survey_frozen!$P$2:$P$251,$A214&amp;"|"&amp;$B214),IFERROR(COUNTIFS(INDIRECT("'"&amp;$A214&amp;"'!$B$2:$B$501"),$T214,INDIRECT("'"&amp;$A214&amp;"'!$A$2:$A$501"),"&gt;="&amp;$I214,INDIRECT("'"&amp;$A214&amp;"'!$A$2:$A$501"),"&lt;"&amp;($BA214+1),INDIRECT("'"&amp;$A214&amp;"'!$F$2:$F$501"),"Gone by the time I looked"),0)))</f>
        <v/>
      </c>
      <c r="AT214" s="30" t="str">
        <f aca="true">IF(OR($A214="",$I214=""),"",IF($BC214="Y",SUMIFS(survey_frozen!$H$2:$H$251,survey_frozen!$P$2:$P$251,$A214&amp;"|"&amp;$B214),IFERROR(COUNTIFS(INDIRECT("'"&amp;$A214&amp;"'!$B$2:$B$501"),$T214,INDIRECT("'"&amp;$A214&amp;"'!$A$2:$A$501"),"&gt;="&amp;$I214,INDIRECT("'"&amp;$A214&amp;"'!$A$2:$A$501"),"&lt;"&amp;($BA214+1),INDIRECT("'"&amp;$A214&amp;"'!$D$2:$D$501"),"&gt;=1"),0)))</f>
        <v/>
      </c>
      <c r="AU214" s="30" t="str">
        <f aca="true">IF(OR($A214="",$I214=""),"",IF($BC214="Y",SUMIFS(survey_frozen!$I$2:$I$251,survey_frozen!$P$2:$P$251,$A214&amp;"|"&amp;$B214),IFERROR(SUMIFS(INDIRECT("'"&amp;$A214&amp;"'!$D$2:$D$501"),INDIRECT("'"&amp;$A214&amp;"'!$B$2:$B$501"),$T214,INDIRECT("'"&amp;$A214&amp;"'!$A$2:$A$501"),"&gt;="&amp;$I214,INDIRECT("'"&amp;$A214&amp;"'!$A$2:$A$501"),"&lt;"&amp;($BA214+1)),0)))</f>
        <v/>
      </c>
      <c r="AV214" s="30" t="str">
        <f aca="true">IF(OR($A214="",$I214=""),"",IF($BC214="Y",SUMIFS(survey_frozen!$J$2:$J$251,survey_frozen!$P$2:$P$251,$A214&amp;"|"&amp;$B214),IFERROR(COUNTIFS(INDIRECT("'"&amp;$A214&amp;"'!$B$2:$B$501"),$T214,INDIRECT("'"&amp;$A214&amp;"'!$A$2:$A$501"),"&gt;="&amp;$I214,INDIRECT("'"&amp;$A214&amp;"'!$A$2:$A$501"),"&lt;"&amp;($BA214+1),INDIRECT("'"&amp;$A214&amp;"'!$E$2:$E$501"),"Yes"),0)))</f>
        <v/>
      </c>
      <c r="AW214" s="30" t="str">
        <f aca="true">IF(OR($A214="",$I214=""),"",IF($BC214="Y",SUMIFS(survey_frozen!$K$2:$K$251,survey_frozen!$P$2:$P$251,$A214&amp;"|"&amp;$B214),IFERROR(COUNTIFS(INDIRECT("'"&amp;$A214&amp;"'!$B$2:$B$501"),$T214,INDIRECT("'"&amp;$A214&amp;"'!$A$2:$A$501"),"&gt;="&amp;$I214,INDIRECT("'"&amp;$A214&amp;"'!$A$2:$A$501"),"&lt;"&amp;($BA214+1),INDIRECT("'"&amp;$A214&amp;"'!$E$2:$E$501"),"Maybe"),0)))</f>
        <v/>
      </c>
      <c r="AX214" s="30" t="str">
        <f aca="true">IF(OR($A214="",$I214=""),"",IF($BC214="Y",SUMIFS(survey_frozen!$L$2:$L$251,survey_frozen!$P$2:$P$251,$A214&amp;"|"&amp;$B214),IFERROR(COUNTIFS(INDIRECT("'"&amp;$A214&amp;"'!$B$2:$B$501"),$T214,INDIRECT("'"&amp;$A214&amp;"'!$A$2:$A$501"),"&gt;="&amp;$I214,INDIRECT("'"&amp;$A214&amp;"'!$A$2:$A$501"),"&lt;"&amp;($BA214+1),INDIRECT("'"&amp;$A214&amp;"'!$E$2:$E$501"),"No"),0)))</f>
        <v/>
      </c>
      <c r="AY214" s="30" t="str">
        <f aca="true">IF(OR($A214="",$I214=""),"",IF($BC214="Y",SUMIFS(survey_frozen!$M$2:$M$251,survey_frozen!$P$2:$P$251,$A214&amp;"|"&amp;$B214),IFERROR(COUNTIFS(INDIRECT("'"&amp;$A214&amp;"'!$B$2:$B$501"),$T214,INDIRECT("'"&amp;$A214&amp;"'!$A$2:$A$501"),"&gt;="&amp;$I214,INDIRECT("'"&amp;$A214&amp;"'!$A$2:$A$501"),"&lt;"&amp;($BA214+1),INDIRECT("'"&amp;$A214&amp;"'!$G$2:$G$501"),"&lt;&gt;"),0)))</f>
        <v/>
      </c>
      <c r="AZ214" s="30" t="str">
        <f aca="false">IF($A214="","",$A214&amp;"|"&amp;$L214)</f>
        <v/>
      </c>
      <c r="BA214" s="31" t="str">
        <f aca="false">IF($A214="","",IFERROR(IF(INDEX(drops!$R$2:$R$21,MATCH($H214,drops!$A$2:$A$21,0))="","",INDEX(drops!$R$2:$R$21,MATCH($H214,drops!$A$2:$A$21,0))),""))</f>
        <v/>
      </c>
      <c r="BB214" s="30" t="n">
        <f aca="false">IF(OR($A214="",$Q214&lt;&gt;"Y"),1000000,N($AL214))</f>
        <v>1000000</v>
      </c>
      <c r="BC214" s="30" t="str">
        <f aca="false">IF($A214="","",IF(COUNTIF(survey_frozen!$P$2:$P$251,$A214&amp;"|"&amp;$B214)&gt;0,"Y",""))</f>
        <v/>
      </c>
      <c r="BD214" s="30" t="str">
        <f aca="false">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ustomFormat="false" ht="15" hidden="false" customHeight="false" outlineLevel="0" collapsed="false">
      <c r="C215" s="11"/>
      <c r="D215" s="10"/>
      <c r="E215" s="11"/>
      <c r="H215" s="30" t="str">
        <f aca="false">IF($A215="","",IFERROR(IF(INDEX(campaigns!$B$2:$B$51,MATCH($A215,campaigns!$A$2:$A$51,0))="","",INDEX(campaigns!$B$2:$B$51,MATCH($A215,campaigns!$A$2:$A$51,0))),""))</f>
        <v/>
      </c>
      <c r="I215" s="31" t="str">
        <f aca="false">IF($A215="","",IFERROR(IF(INDEX(campaigns!$BG$2:$BG$51,MATCH($A215,campaigns!$A$2:$A$51,0))="","",INDEX(campaigns!$BG$2:$BG$51,MATCH($A215,campaigns!$A$2:$A$51,0))),""))</f>
        <v/>
      </c>
      <c r="J215" s="30" t="str">
        <f aca="false">IF($A215="","",IFERROR(IF(INDEX(campaigns!$BE$2:$BE$51,MATCH($A215,campaigns!$A$2:$A$51,0))="","",INDEX(campaigns!$BE$2:$BE$51,MATCH($A215,campaigns!$A$2:$A$51,0))),""))</f>
        <v/>
      </c>
      <c r="K215" s="30" t="str">
        <f aca="false">IF($B215="","",IFERROR(IF(INDEX(offices!$O$2:$O$61,MATCH($B215,offices!$A$2:$A$61,0))="","",INDEX(offices!$O$2:$O$61,MATCH($B215,offices!$A$2:$A$61,0))),""))</f>
        <v/>
      </c>
      <c r="L215" s="30" t="str">
        <f aca="false">IF($A215="","",IF($Q215="N","",COUNTIFS($A$2:$A215,$A215,$Q$2:$Q215,"&lt;&gt;N")))</f>
        <v/>
      </c>
      <c r="M215" s="30" t="str">
        <f aca="false">IF(OR($A215="",$L215=""),"",IF(AND(config!$B$34="names_if_public",IFERROR(IF(INDEX(offices!$AG$2:$AG$61,MATCH($B215,offices!$A$2:$A$61,0))="","",INDEX(offices!$AG$2:$AG$61,MATCH($B215,offices!$A$2:$A$61,0))),"")="Y"),$K215,CHAR(64+$L215)))</f>
        <v/>
      </c>
      <c r="N215" s="30" t="str">
        <f aca="false">IF(OR($A215="",$I215=""),"",COUNTIFS(stops!$B$2:$B$151,$B215,stops!$P$2:$P$151,"&lt;"&amp;$I215,stops!$L$2:$L$151,"&lt;&gt;not_delivered")+1)</f>
        <v/>
      </c>
      <c r="O215" s="30" t="str">
        <f aca="false">IF($A215="","",IF(N($N215)&lt;=config!$B$29,"explicit","opt-out"))</f>
        <v/>
      </c>
      <c r="P215" s="30" t="str">
        <f aca="false">IF($A215="","",IF($O215="explicit",IF($D215="yes","Y",IF($D215="no","N","pending")),IF($D215="no","N",IF(AND($C215&lt;&gt;"",$I215&lt;&gt;"",$C215&lt;=WORKDAY(N($I215),-5,calendar!$A$2:$A$80)),"Y","pending"))))</f>
        <v/>
      </c>
      <c r="Q215" s="30" t="str">
        <f aca="false">IF($A215="","",IF($P215="N","N",IF($P215&lt;&gt;"Y","pending",IF(AND((COUNTIFS(stops!$A$2:$A$151,$H215,stops!$B$2:$B$151,$B215,stops!$L$2:$L$151,"declined")+COUNTIFS(stops!$A$2:$A$151,$H215,stops!$B$2:$B$151,$B215,stops!$L$2:$L$151,"building_refused")+COUNTIFS(stops!$A$2:$A$151,$H215,stops!$B$2:$B$151,$B215,stops!$L$2:$L$151,"not_delivered"))&gt;0,N($U215)=0),"N","Y"))))</f>
        <v/>
      </c>
      <c r="R215" s="30" t="str">
        <f aca="false">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30" t="str">
        <f aca="false">IF($A215="","",IF($G215&lt;&gt;"",$G215,IFERROR(IF(INDEX(offices!$AM$2:$AM$61,MATCH($B215,offices!$A$2:$A$61,0))="","",INDEX(offices!$AM$2:$AM$61,MATCH($B215,offices!$A$2:$A$61,0))),"")))</f>
        <v/>
      </c>
      <c r="T215" s="30" t="str">
        <f aca="false">IF($A215="","",$A215&amp;"."&amp;$B215)</f>
        <v/>
      </c>
      <c r="U215" s="30" t="str">
        <f aca="false">IF($A215="","",SUMIFS(inventory!$G$2:$G$801,inventory!$C$2:$C$801,$A215,inventory!$D$2:$D$801,$B215,inventory!$E$2:$E$801,"delivered"))</f>
        <v/>
      </c>
      <c r="V215" s="37" t="str">
        <f aca="false">IF($A215="","",IFERROR(1/(1/SUMPRODUCT(MAX((inventory!$C$2:$C$801=$A215)*(inventory!$D$2:$D$801=$B215)*(inventory!$E$2:$E$801="delivered")*(inventory!$A$2:$A$801+inventory!$B$2:$B$801)))),""))</f>
        <v/>
      </c>
      <c r="W215" s="30" t="str">
        <f aca="false">IF($A215="","",IFERROR(IF(INDEX(inventory!$J$2:$J$801,MATCH($A215&amp;"|"&amp;$B215&amp;"|delivered",inventory!$R$2:$R$801,0))="","",INDEX(inventory!$J$2:$J$801,MATCH($A215&amp;"|"&amp;$B215&amp;"|delivered",inventory!$R$2:$R$801,0))),""))</f>
        <v/>
      </c>
      <c r="X215" s="30" t="str">
        <f aca="false">IF($A215="","",IFERROR(IF(INDEX(photos!$H$2:$H$701,MATCH($A215&amp;"|"&amp;$B215&amp;"|placement|Y",photos!$R$2:$R$701,0))="","",INDEX(photos!$H$2:$H$701,MATCH($A215&amp;"|"&amp;$B215&amp;"|placement|Y",photos!$R$2:$R$701,0))),""))</f>
        <v/>
      </c>
      <c r="Y215" s="31" t="str">
        <f aca="false">IF($A215="","",IFERROR(IF(INDEX(photos!$E$2:$E$701,MATCH($A215&amp;"|"&amp;$B215&amp;"|placement|Y",photos!$R$2:$R$701,0))="","",INDEX(photos!$E$2:$E$701,MATCH($A215&amp;"|"&amp;$B215&amp;"|placement|Y",photos!$R$2:$R$701,0))),""))</f>
        <v/>
      </c>
      <c r="Z215" s="30" t="str">
        <f aca="false">IF($A215="","",IF(COUNTIFS(counts!$C$2:$C$701,$A215,counts!$D$2:$D$701,$B215,counts!$E$2:$E$701,"placed")=0,"",SUMIFS(counts!$F$2:$F$701,counts!$C$2:$C$701,$A215,counts!$D$2:$D$701,$B215,counts!$E$2:$E$701,"placed")))</f>
        <v/>
      </c>
      <c r="AA215" s="30" t="str">
        <f aca="false">IF($A215="","",IF($Y215="",0,N($Z215)))</f>
        <v/>
      </c>
      <c r="AB215" s="30" t="str">
        <f aca="false">IF($A215="","",IF(OR($Y215="",$I215=""),"N",IF($Y215&lt;=WORKDAY(N($I215),1,calendar!$A$2:$A$80),"Y","N")))</f>
        <v/>
      </c>
      <c r="AC215" s="33" t="str">
        <f aca="false">IF(OR($A215="",$V215="",$Y215=""),"",ROUND(($Y215+N(IFERROR(IF(INDEX(photos!$F$2:$F$701,MATCH($A215&amp;"|"&amp;$B215&amp;"|placement|Y",photos!$R$2:$R$701,0))="","",INDEX(photos!$F$2:$F$701,MATCH($A215&amp;"|"&amp;$B215&amp;"|placement|Y",photos!$R$2:$R$701,0))),""))-$V215)*24,1))</f>
        <v/>
      </c>
      <c r="AD215" s="30" t="str">
        <f aca="false">IF($A215="","",SUMIFS(inventory!$G$2:$G$801,inventory!$C$2:$C$801,$A215,inventory!$D$2:$D$801,$B215,inventory!$E$2:$E$801,"topped_up"))</f>
        <v/>
      </c>
      <c r="AE215" s="30" t="str">
        <f aca="false">IF($A215="","",IF(COUNTIFS(counts!$C$2:$C$701,$A215,counts!$D$2:$D$701,$B215,counts!$E$2:$E$701,"remaining_day3")=0,"",SUMIFS(counts!$F$2:$F$701,counts!$C$2:$C$701,$A215,counts!$D$2:$D$701,$B215,counts!$E$2:$E$701,"remaining_day3")))</f>
        <v/>
      </c>
      <c r="AF215" s="30" t="str">
        <f aca="false">IF($A215="","",IF(COUNTIFS(counts!$C$2:$C$701,$A215,counts!$D$2:$D$701,$B215,counts!$E$2:$E$701,"remaining_day5")=0,"",SUMIFS(counts!$F$2:$F$701,counts!$C$2:$C$701,$A215,counts!$D$2:$D$701,$B215,counts!$E$2:$E$701,"remaining_day5")))</f>
        <v/>
      </c>
      <c r="AG215" s="30" t="str">
        <f aca="false">IF(OR($A215="",$AF215=""),"",MAX(0,$AA215+$AD215-$AF215))</f>
        <v/>
      </c>
      <c r="AH215" s="30" t="str">
        <f aca="false">IF(OR($A215="",$AI215=""),"",IFERROR(IF(INDEX(photos!$H$2:$H$701,MATCH($A215&amp;"|"&amp;$B215&amp;"|later|Y|"&amp;$AI215,photos!$S$2:$S$701,0))="","",INDEX(photos!$H$2:$H$701,MATCH($A215&amp;"|"&amp;$B215&amp;"|later|Y|"&amp;$AI215,photos!$S$2:$S$701,0))),""))</f>
        <v/>
      </c>
      <c r="AI215" s="31" t="str">
        <f aca="false">IF($A215="","",IFERROR(1/(1/SUMPRODUCT(MAX((photos!$B$2:$B$701=$A215)*(photos!$C$2:$C$701=$B215)*(photos!$D$2:$D$701="later")*(photos!$O$2:$O$701="Y")*photos!$E$2:$E$701))),""))</f>
        <v/>
      </c>
      <c r="AJ215" s="30" t="str">
        <f aca="false">IF(OR($A215="",$AI215="",$I215=""),"",NETWORKDAYS($I215,$AI215,calendar!$A$2:$A$80))</f>
        <v/>
      </c>
      <c r="AK215" s="30" t="str">
        <f aca="false">IF($A215="","",IF(AND($X215&lt;&gt;"",$AH215&lt;&gt;""),"Y","N"))</f>
        <v/>
      </c>
      <c r="AL215" s="30" t="str">
        <f aca="true">IF(OR($A215="",$I215=""),"",IF($BC215="Y",SUMIFS(survey_frozen!$C$2:$C$251,survey_frozen!$P$2:$P$251,$A215&amp;"|"&amp;$B215),IFERROR(COUNTIFS(INDIRECT("'"&amp;$A215&amp;"'!$B$2:$B$501"),$T215,INDIRECT("'"&amp;$A215&amp;"'!$A$2:$A$501"),"&gt;="&amp;$I215,INDIRECT("'"&amp;$A215&amp;"'!$A$2:$A$501"),"&lt;"&amp;($BA215+1)),0)))</f>
        <v/>
      </c>
      <c r="AM215" s="30" t="str">
        <f aca="true">IF(OR($A215="",$I215=""),"",IF($BC215="Y",SUMIFS(survey_frozen!$D$2:$D$251,survey_frozen!$P$2:$P$251,$A215&amp;"|"&amp;$B215),IFERROR(COUNTIFS(INDIRECT("'"&amp;$A215&amp;"'!$B$2:$B$501"),$T215,INDIRECT("'"&amp;$A215&amp;"'!$A$2:$A$501"),"&gt;="&amp;$I215,INDIRECT("'"&amp;$A215&amp;"'!$A$2:$A$501"),"&lt;"&amp;($BA215+1),INDIRECT("'"&amp;$A215&amp;"'!$C$2:$C$501"),"Yes"),0)))</f>
        <v/>
      </c>
      <c r="AN215" s="30" t="str">
        <f aca="false">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30" t="str">
        <f aca="false">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30" t="str">
        <f aca="true">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30" t="str">
        <f aca="true">IF(OR($A215="",$I215=""),"",IF($BC215="Y",SUMIFS(survey_frozen!$E$2:$E$251,survey_frozen!$P$2:$P$251,$A215&amp;"|"&amp;$B215),IFERROR(COUNTIFS(INDIRECT("'"&amp;$A215&amp;"'!$B$2:$B$501"),$T215,INDIRECT("'"&amp;$A215&amp;"'!$A$2:$A$501"),"&gt;="&amp;$I215,INDIRECT("'"&amp;$A215&amp;"'!$A$2:$A$501"),"&lt;"&amp;($BA215+1),INDIRECT("'"&amp;$A215&amp;"'!$F$2:$F$501"),"Didn't see it"),0)))</f>
        <v/>
      </c>
      <c r="AR215" s="30" t="str">
        <f aca="true">IF(OR($A215="",$I215=""),"",IF($BC215="Y",SUMIFS(survey_frozen!$F$2:$F$251,survey_frozen!$P$2:$P$251,$A215&amp;"|"&amp;$B215),IFERROR(COUNTIFS(INDIRECT("'"&amp;$A215&amp;"'!$B$2:$B$501"),$T215,INDIRECT("'"&amp;$A215&amp;"'!$A$2:$A$501"),"&gt;="&amp;$I215,INDIRECT("'"&amp;$A215&amp;"'!$A$2:$A$501"),"&lt;"&amp;($BA215+1),INDIRECT("'"&amp;$A215&amp;"'!$F$2:$F$501"),"Not for me"),0)))</f>
        <v/>
      </c>
      <c r="AS215" s="30" t="str">
        <f aca="true">IF(OR($A215="",$I215=""),"",IF($BC215="Y",SUMIFS(survey_frozen!$G$2:$G$251,survey_frozen!$P$2:$P$251,$A215&amp;"|"&amp;$B215),IFERROR(COUNTIFS(INDIRECT("'"&amp;$A215&amp;"'!$B$2:$B$501"),$T215,INDIRECT("'"&amp;$A215&amp;"'!$A$2:$A$501"),"&gt;="&amp;$I215,INDIRECT("'"&amp;$A215&amp;"'!$A$2:$A$501"),"&lt;"&amp;($BA215+1),INDIRECT("'"&amp;$A215&amp;"'!$F$2:$F$501"),"Gone by the time I looked"),0)))</f>
        <v/>
      </c>
      <c r="AT215" s="30" t="str">
        <f aca="true">IF(OR($A215="",$I215=""),"",IF($BC215="Y",SUMIFS(survey_frozen!$H$2:$H$251,survey_frozen!$P$2:$P$251,$A215&amp;"|"&amp;$B215),IFERROR(COUNTIFS(INDIRECT("'"&amp;$A215&amp;"'!$B$2:$B$501"),$T215,INDIRECT("'"&amp;$A215&amp;"'!$A$2:$A$501"),"&gt;="&amp;$I215,INDIRECT("'"&amp;$A215&amp;"'!$A$2:$A$501"),"&lt;"&amp;($BA215+1),INDIRECT("'"&amp;$A215&amp;"'!$D$2:$D$501"),"&gt;=1"),0)))</f>
        <v/>
      </c>
      <c r="AU215" s="30" t="str">
        <f aca="true">IF(OR($A215="",$I215=""),"",IF($BC215="Y",SUMIFS(survey_frozen!$I$2:$I$251,survey_frozen!$P$2:$P$251,$A215&amp;"|"&amp;$B215),IFERROR(SUMIFS(INDIRECT("'"&amp;$A215&amp;"'!$D$2:$D$501"),INDIRECT("'"&amp;$A215&amp;"'!$B$2:$B$501"),$T215,INDIRECT("'"&amp;$A215&amp;"'!$A$2:$A$501"),"&gt;="&amp;$I215,INDIRECT("'"&amp;$A215&amp;"'!$A$2:$A$501"),"&lt;"&amp;($BA215+1)),0)))</f>
        <v/>
      </c>
      <c r="AV215" s="30" t="str">
        <f aca="true">IF(OR($A215="",$I215=""),"",IF($BC215="Y",SUMIFS(survey_frozen!$J$2:$J$251,survey_frozen!$P$2:$P$251,$A215&amp;"|"&amp;$B215),IFERROR(COUNTIFS(INDIRECT("'"&amp;$A215&amp;"'!$B$2:$B$501"),$T215,INDIRECT("'"&amp;$A215&amp;"'!$A$2:$A$501"),"&gt;="&amp;$I215,INDIRECT("'"&amp;$A215&amp;"'!$A$2:$A$501"),"&lt;"&amp;($BA215+1),INDIRECT("'"&amp;$A215&amp;"'!$E$2:$E$501"),"Yes"),0)))</f>
        <v/>
      </c>
      <c r="AW215" s="30" t="str">
        <f aca="true">IF(OR($A215="",$I215=""),"",IF($BC215="Y",SUMIFS(survey_frozen!$K$2:$K$251,survey_frozen!$P$2:$P$251,$A215&amp;"|"&amp;$B215),IFERROR(COUNTIFS(INDIRECT("'"&amp;$A215&amp;"'!$B$2:$B$501"),$T215,INDIRECT("'"&amp;$A215&amp;"'!$A$2:$A$501"),"&gt;="&amp;$I215,INDIRECT("'"&amp;$A215&amp;"'!$A$2:$A$501"),"&lt;"&amp;($BA215+1),INDIRECT("'"&amp;$A215&amp;"'!$E$2:$E$501"),"Maybe"),0)))</f>
        <v/>
      </c>
      <c r="AX215" s="30" t="str">
        <f aca="true">IF(OR($A215="",$I215=""),"",IF($BC215="Y",SUMIFS(survey_frozen!$L$2:$L$251,survey_frozen!$P$2:$P$251,$A215&amp;"|"&amp;$B215),IFERROR(COUNTIFS(INDIRECT("'"&amp;$A215&amp;"'!$B$2:$B$501"),$T215,INDIRECT("'"&amp;$A215&amp;"'!$A$2:$A$501"),"&gt;="&amp;$I215,INDIRECT("'"&amp;$A215&amp;"'!$A$2:$A$501"),"&lt;"&amp;($BA215+1),INDIRECT("'"&amp;$A215&amp;"'!$E$2:$E$501"),"No"),0)))</f>
        <v/>
      </c>
      <c r="AY215" s="30" t="str">
        <f aca="true">IF(OR($A215="",$I215=""),"",IF($BC215="Y",SUMIFS(survey_frozen!$M$2:$M$251,survey_frozen!$P$2:$P$251,$A215&amp;"|"&amp;$B215),IFERROR(COUNTIFS(INDIRECT("'"&amp;$A215&amp;"'!$B$2:$B$501"),$T215,INDIRECT("'"&amp;$A215&amp;"'!$A$2:$A$501"),"&gt;="&amp;$I215,INDIRECT("'"&amp;$A215&amp;"'!$A$2:$A$501"),"&lt;"&amp;($BA215+1),INDIRECT("'"&amp;$A215&amp;"'!$G$2:$G$501"),"&lt;&gt;"),0)))</f>
        <v/>
      </c>
      <c r="AZ215" s="30" t="str">
        <f aca="false">IF($A215="","",$A215&amp;"|"&amp;$L215)</f>
        <v/>
      </c>
      <c r="BA215" s="31" t="str">
        <f aca="false">IF($A215="","",IFERROR(IF(INDEX(drops!$R$2:$R$21,MATCH($H215,drops!$A$2:$A$21,0))="","",INDEX(drops!$R$2:$R$21,MATCH($H215,drops!$A$2:$A$21,0))),""))</f>
        <v/>
      </c>
      <c r="BB215" s="30" t="n">
        <f aca="false">IF(OR($A215="",$Q215&lt;&gt;"Y"),1000000,N($AL215))</f>
        <v>1000000</v>
      </c>
      <c r="BC215" s="30" t="str">
        <f aca="false">IF($A215="","",IF(COUNTIF(survey_frozen!$P$2:$P$251,$A215&amp;"|"&amp;$B215)&gt;0,"Y",""))</f>
        <v/>
      </c>
      <c r="BD215" s="30" t="str">
        <f aca="false">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ustomFormat="false" ht="15" hidden="false" customHeight="false" outlineLevel="0" collapsed="false">
      <c r="C216" s="11"/>
      <c r="D216" s="10"/>
      <c r="E216" s="11"/>
      <c r="H216" s="30" t="str">
        <f aca="false">IF($A216="","",IFERROR(IF(INDEX(campaigns!$B$2:$B$51,MATCH($A216,campaigns!$A$2:$A$51,0))="","",INDEX(campaigns!$B$2:$B$51,MATCH($A216,campaigns!$A$2:$A$51,0))),""))</f>
        <v/>
      </c>
      <c r="I216" s="31" t="str">
        <f aca="false">IF($A216="","",IFERROR(IF(INDEX(campaigns!$BG$2:$BG$51,MATCH($A216,campaigns!$A$2:$A$51,0))="","",INDEX(campaigns!$BG$2:$BG$51,MATCH($A216,campaigns!$A$2:$A$51,0))),""))</f>
        <v/>
      </c>
      <c r="J216" s="30" t="str">
        <f aca="false">IF($A216="","",IFERROR(IF(INDEX(campaigns!$BE$2:$BE$51,MATCH($A216,campaigns!$A$2:$A$51,0))="","",INDEX(campaigns!$BE$2:$BE$51,MATCH($A216,campaigns!$A$2:$A$51,0))),""))</f>
        <v/>
      </c>
      <c r="K216" s="30" t="str">
        <f aca="false">IF($B216="","",IFERROR(IF(INDEX(offices!$O$2:$O$61,MATCH($B216,offices!$A$2:$A$61,0))="","",INDEX(offices!$O$2:$O$61,MATCH($B216,offices!$A$2:$A$61,0))),""))</f>
        <v/>
      </c>
      <c r="L216" s="30" t="str">
        <f aca="false">IF($A216="","",IF($Q216="N","",COUNTIFS($A$2:$A216,$A216,$Q$2:$Q216,"&lt;&gt;N")))</f>
        <v/>
      </c>
      <c r="M216" s="30" t="str">
        <f aca="false">IF(OR($A216="",$L216=""),"",IF(AND(config!$B$34="names_if_public",IFERROR(IF(INDEX(offices!$AG$2:$AG$61,MATCH($B216,offices!$A$2:$A$61,0))="","",INDEX(offices!$AG$2:$AG$61,MATCH($B216,offices!$A$2:$A$61,0))),"")="Y"),$K216,CHAR(64+$L216)))</f>
        <v/>
      </c>
      <c r="N216" s="30" t="str">
        <f aca="false">IF(OR($A216="",$I216=""),"",COUNTIFS(stops!$B$2:$B$151,$B216,stops!$P$2:$P$151,"&lt;"&amp;$I216,stops!$L$2:$L$151,"&lt;&gt;not_delivered")+1)</f>
        <v/>
      </c>
      <c r="O216" s="30" t="str">
        <f aca="false">IF($A216="","",IF(N($N216)&lt;=config!$B$29,"explicit","opt-out"))</f>
        <v/>
      </c>
      <c r="P216" s="30" t="str">
        <f aca="false">IF($A216="","",IF($O216="explicit",IF($D216="yes","Y",IF($D216="no","N","pending")),IF($D216="no","N",IF(AND($C216&lt;&gt;"",$I216&lt;&gt;"",$C216&lt;=WORKDAY(N($I216),-5,calendar!$A$2:$A$80)),"Y","pending"))))</f>
        <v/>
      </c>
      <c r="Q216" s="30" t="str">
        <f aca="false">IF($A216="","",IF($P216="N","N",IF($P216&lt;&gt;"Y","pending",IF(AND((COUNTIFS(stops!$A$2:$A$151,$H216,stops!$B$2:$B$151,$B216,stops!$L$2:$L$151,"declined")+COUNTIFS(stops!$A$2:$A$151,$H216,stops!$B$2:$B$151,$B216,stops!$L$2:$L$151,"building_refused")+COUNTIFS(stops!$A$2:$A$151,$H216,stops!$B$2:$B$151,$B216,stops!$L$2:$L$151,"not_delivered"))&gt;0,N($U216)=0),"N","Y"))))</f>
        <v/>
      </c>
      <c r="R216" s="30" t="str">
        <f aca="false">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30" t="str">
        <f aca="false">IF($A216="","",IF($G216&lt;&gt;"",$G216,IFERROR(IF(INDEX(offices!$AM$2:$AM$61,MATCH($B216,offices!$A$2:$A$61,0))="","",INDEX(offices!$AM$2:$AM$61,MATCH($B216,offices!$A$2:$A$61,0))),"")))</f>
        <v/>
      </c>
      <c r="T216" s="30" t="str">
        <f aca="false">IF($A216="","",$A216&amp;"."&amp;$B216)</f>
        <v/>
      </c>
      <c r="U216" s="30" t="str">
        <f aca="false">IF($A216="","",SUMIFS(inventory!$G$2:$G$801,inventory!$C$2:$C$801,$A216,inventory!$D$2:$D$801,$B216,inventory!$E$2:$E$801,"delivered"))</f>
        <v/>
      </c>
      <c r="V216" s="37" t="str">
        <f aca="false">IF($A216="","",IFERROR(1/(1/SUMPRODUCT(MAX((inventory!$C$2:$C$801=$A216)*(inventory!$D$2:$D$801=$B216)*(inventory!$E$2:$E$801="delivered")*(inventory!$A$2:$A$801+inventory!$B$2:$B$801)))),""))</f>
        <v/>
      </c>
      <c r="W216" s="30" t="str">
        <f aca="false">IF($A216="","",IFERROR(IF(INDEX(inventory!$J$2:$J$801,MATCH($A216&amp;"|"&amp;$B216&amp;"|delivered",inventory!$R$2:$R$801,0))="","",INDEX(inventory!$J$2:$J$801,MATCH($A216&amp;"|"&amp;$B216&amp;"|delivered",inventory!$R$2:$R$801,0))),""))</f>
        <v/>
      </c>
      <c r="X216" s="30" t="str">
        <f aca="false">IF($A216="","",IFERROR(IF(INDEX(photos!$H$2:$H$701,MATCH($A216&amp;"|"&amp;$B216&amp;"|placement|Y",photos!$R$2:$R$701,0))="","",INDEX(photos!$H$2:$H$701,MATCH($A216&amp;"|"&amp;$B216&amp;"|placement|Y",photos!$R$2:$R$701,0))),""))</f>
        <v/>
      </c>
      <c r="Y216" s="31" t="str">
        <f aca="false">IF($A216="","",IFERROR(IF(INDEX(photos!$E$2:$E$701,MATCH($A216&amp;"|"&amp;$B216&amp;"|placement|Y",photos!$R$2:$R$701,0))="","",INDEX(photos!$E$2:$E$701,MATCH($A216&amp;"|"&amp;$B216&amp;"|placement|Y",photos!$R$2:$R$701,0))),""))</f>
        <v/>
      </c>
      <c r="Z216" s="30" t="str">
        <f aca="false">IF($A216="","",IF(COUNTIFS(counts!$C$2:$C$701,$A216,counts!$D$2:$D$701,$B216,counts!$E$2:$E$701,"placed")=0,"",SUMIFS(counts!$F$2:$F$701,counts!$C$2:$C$701,$A216,counts!$D$2:$D$701,$B216,counts!$E$2:$E$701,"placed")))</f>
        <v/>
      </c>
      <c r="AA216" s="30" t="str">
        <f aca="false">IF($A216="","",IF($Y216="",0,N($Z216)))</f>
        <v/>
      </c>
      <c r="AB216" s="30" t="str">
        <f aca="false">IF($A216="","",IF(OR($Y216="",$I216=""),"N",IF($Y216&lt;=WORKDAY(N($I216),1,calendar!$A$2:$A$80),"Y","N")))</f>
        <v/>
      </c>
      <c r="AC216" s="33" t="str">
        <f aca="false">IF(OR($A216="",$V216="",$Y216=""),"",ROUND(($Y216+N(IFERROR(IF(INDEX(photos!$F$2:$F$701,MATCH($A216&amp;"|"&amp;$B216&amp;"|placement|Y",photos!$R$2:$R$701,0))="","",INDEX(photos!$F$2:$F$701,MATCH($A216&amp;"|"&amp;$B216&amp;"|placement|Y",photos!$R$2:$R$701,0))),""))-$V216)*24,1))</f>
        <v/>
      </c>
      <c r="AD216" s="30" t="str">
        <f aca="false">IF($A216="","",SUMIFS(inventory!$G$2:$G$801,inventory!$C$2:$C$801,$A216,inventory!$D$2:$D$801,$B216,inventory!$E$2:$E$801,"topped_up"))</f>
        <v/>
      </c>
      <c r="AE216" s="30" t="str">
        <f aca="false">IF($A216="","",IF(COUNTIFS(counts!$C$2:$C$701,$A216,counts!$D$2:$D$701,$B216,counts!$E$2:$E$701,"remaining_day3")=0,"",SUMIFS(counts!$F$2:$F$701,counts!$C$2:$C$701,$A216,counts!$D$2:$D$701,$B216,counts!$E$2:$E$701,"remaining_day3")))</f>
        <v/>
      </c>
      <c r="AF216" s="30" t="str">
        <f aca="false">IF($A216="","",IF(COUNTIFS(counts!$C$2:$C$701,$A216,counts!$D$2:$D$701,$B216,counts!$E$2:$E$701,"remaining_day5")=0,"",SUMIFS(counts!$F$2:$F$701,counts!$C$2:$C$701,$A216,counts!$D$2:$D$701,$B216,counts!$E$2:$E$701,"remaining_day5")))</f>
        <v/>
      </c>
      <c r="AG216" s="30" t="str">
        <f aca="false">IF(OR($A216="",$AF216=""),"",MAX(0,$AA216+$AD216-$AF216))</f>
        <v/>
      </c>
      <c r="AH216" s="30" t="str">
        <f aca="false">IF(OR($A216="",$AI216=""),"",IFERROR(IF(INDEX(photos!$H$2:$H$701,MATCH($A216&amp;"|"&amp;$B216&amp;"|later|Y|"&amp;$AI216,photos!$S$2:$S$701,0))="","",INDEX(photos!$H$2:$H$701,MATCH($A216&amp;"|"&amp;$B216&amp;"|later|Y|"&amp;$AI216,photos!$S$2:$S$701,0))),""))</f>
        <v/>
      </c>
      <c r="AI216" s="31" t="str">
        <f aca="false">IF($A216="","",IFERROR(1/(1/SUMPRODUCT(MAX((photos!$B$2:$B$701=$A216)*(photos!$C$2:$C$701=$B216)*(photos!$D$2:$D$701="later")*(photos!$O$2:$O$701="Y")*photos!$E$2:$E$701))),""))</f>
        <v/>
      </c>
      <c r="AJ216" s="30" t="str">
        <f aca="false">IF(OR($A216="",$AI216="",$I216=""),"",NETWORKDAYS($I216,$AI216,calendar!$A$2:$A$80))</f>
        <v/>
      </c>
      <c r="AK216" s="30" t="str">
        <f aca="false">IF($A216="","",IF(AND($X216&lt;&gt;"",$AH216&lt;&gt;""),"Y","N"))</f>
        <v/>
      </c>
      <c r="AL216" s="30" t="str">
        <f aca="true">IF(OR($A216="",$I216=""),"",IF($BC216="Y",SUMIFS(survey_frozen!$C$2:$C$251,survey_frozen!$P$2:$P$251,$A216&amp;"|"&amp;$B216),IFERROR(COUNTIFS(INDIRECT("'"&amp;$A216&amp;"'!$B$2:$B$501"),$T216,INDIRECT("'"&amp;$A216&amp;"'!$A$2:$A$501"),"&gt;="&amp;$I216,INDIRECT("'"&amp;$A216&amp;"'!$A$2:$A$501"),"&lt;"&amp;($BA216+1)),0)))</f>
        <v/>
      </c>
      <c r="AM216" s="30" t="str">
        <f aca="true">IF(OR($A216="",$I216=""),"",IF($BC216="Y",SUMIFS(survey_frozen!$D$2:$D$251,survey_frozen!$P$2:$P$251,$A216&amp;"|"&amp;$B216),IFERROR(COUNTIFS(INDIRECT("'"&amp;$A216&amp;"'!$B$2:$B$501"),$T216,INDIRECT("'"&amp;$A216&amp;"'!$A$2:$A$501"),"&gt;="&amp;$I216,INDIRECT("'"&amp;$A216&amp;"'!$A$2:$A$501"),"&lt;"&amp;($BA216+1),INDIRECT("'"&amp;$A216&amp;"'!$C$2:$C$501"),"Yes"),0)))</f>
        <v/>
      </c>
      <c r="AN216" s="30" t="str">
        <f aca="false">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30" t="str">
        <f aca="false">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30" t="str">
        <f aca="true">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30" t="str">
        <f aca="true">IF(OR($A216="",$I216=""),"",IF($BC216="Y",SUMIFS(survey_frozen!$E$2:$E$251,survey_frozen!$P$2:$P$251,$A216&amp;"|"&amp;$B216),IFERROR(COUNTIFS(INDIRECT("'"&amp;$A216&amp;"'!$B$2:$B$501"),$T216,INDIRECT("'"&amp;$A216&amp;"'!$A$2:$A$501"),"&gt;="&amp;$I216,INDIRECT("'"&amp;$A216&amp;"'!$A$2:$A$501"),"&lt;"&amp;($BA216+1),INDIRECT("'"&amp;$A216&amp;"'!$F$2:$F$501"),"Didn't see it"),0)))</f>
        <v/>
      </c>
      <c r="AR216" s="30" t="str">
        <f aca="true">IF(OR($A216="",$I216=""),"",IF($BC216="Y",SUMIFS(survey_frozen!$F$2:$F$251,survey_frozen!$P$2:$P$251,$A216&amp;"|"&amp;$B216),IFERROR(COUNTIFS(INDIRECT("'"&amp;$A216&amp;"'!$B$2:$B$501"),$T216,INDIRECT("'"&amp;$A216&amp;"'!$A$2:$A$501"),"&gt;="&amp;$I216,INDIRECT("'"&amp;$A216&amp;"'!$A$2:$A$501"),"&lt;"&amp;($BA216+1),INDIRECT("'"&amp;$A216&amp;"'!$F$2:$F$501"),"Not for me"),0)))</f>
        <v/>
      </c>
      <c r="AS216" s="30" t="str">
        <f aca="true">IF(OR($A216="",$I216=""),"",IF($BC216="Y",SUMIFS(survey_frozen!$G$2:$G$251,survey_frozen!$P$2:$P$251,$A216&amp;"|"&amp;$B216),IFERROR(COUNTIFS(INDIRECT("'"&amp;$A216&amp;"'!$B$2:$B$501"),$T216,INDIRECT("'"&amp;$A216&amp;"'!$A$2:$A$501"),"&gt;="&amp;$I216,INDIRECT("'"&amp;$A216&amp;"'!$A$2:$A$501"),"&lt;"&amp;($BA216+1),INDIRECT("'"&amp;$A216&amp;"'!$F$2:$F$501"),"Gone by the time I looked"),0)))</f>
        <v/>
      </c>
      <c r="AT216" s="30" t="str">
        <f aca="true">IF(OR($A216="",$I216=""),"",IF($BC216="Y",SUMIFS(survey_frozen!$H$2:$H$251,survey_frozen!$P$2:$P$251,$A216&amp;"|"&amp;$B216),IFERROR(COUNTIFS(INDIRECT("'"&amp;$A216&amp;"'!$B$2:$B$501"),$T216,INDIRECT("'"&amp;$A216&amp;"'!$A$2:$A$501"),"&gt;="&amp;$I216,INDIRECT("'"&amp;$A216&amp;"'!$A$2:$A$501"),"&lt;"&amp;($BA216+1),INDIRECT("'"&amp;$A216&amp;"'!$D$2:$D$501"),"&gt;=1"),0)))</f>
        <v/>
      </c>
      <c r="AU216" s="30" t="str">
        <f aca="true">IF(OR($A216="",$I216=""),"",IF($BC216="Y",SUMIFS(survey_frozen!$I$2:$I$251,survey_frozen!$P$2:$P$251,$A216&amp;"|"&amp;$B216),IFERROR(SUMIFS(INDIRECT("'"&amp;$A216&amp;"'!$D$2:$D$501"),INDIRECT("'"&amp;$A216&amp;"'!$B$2:$B$501"),$T216,INDIRECT("'"&amp;$A216&amp;"'!$A$2:$A$501"),"&gt;="&amp;$I216,INDIRECT("'"&amp;$A216&amp;"'!$A$2:$A$501"),"&lt;"&amp;($BA216+1)),0)))</f>
        <v/>
      </c>
      <c r="AV216" s="30" t="str">
        <f aca="true">IF(OR($A216="",$I216=""),"",IF($BC216="Y",SUMIFS(survey_frozen!$J$2:$J$251,survey_frozen!$P$2:$P$251,$A216&amp;"|"&amp;$B216),IFERROR(COUNTIFS(INDIRECT("'"&amp;$A216&amp;"'!$B$2:$B$501"),$T216,INDIRECT("'"&amp;$A216&amp;"'!$A$2:$A$501"),"&gt;="&amp;$I216,INDIRECT("'"&amp;$A216&amp;"'!$A$2:$A$501"),"&lt;"&amp;($BA216+1),INDIRECT("'"&amp;$A216&amp;"'!$E$2:$E$501"),"Yes"),0)))</f>
        <v/>
      </c>
      <c r="AW216" s="30" t="str">
        <f aca="true">IF(OR($A216="",$I216=""),"",IF($BC216="Y",SUMIFS(survey_frozen!$K$2:$K$251,survey_frozen!$P$2:$P$251,$A216&amp;"|"&amp;$B216),IFERROR(COUNTIFS(INDIRECT("'"&amp;$A216&amp;"'!$B$2:$B$501"),$T216,INDIRECT("'"&amp;$A216&amp;"'!$A$2:$A$501"),"&gt;="&amp;$I216,INDIRECT("'"&amp;$A216&amp;"'!$A$2:$A$501"),"&lt;"&amp;($BA216+1),INDIRECT("'"&amp;$A216&amp;"'!$E$2:$E$501"),"Maybe"),0)))</f>
        <v/>
      </c>
      <c r="AX216" s="30" t="str">
        <f aca="true">IF(OR($A216="",$I216=""),"",IF($BC216="Y",SUMIFS(survey_frozen!$L$2:$L$251,survey_frozen!$P$2:$P$251,$A216&amp;"|"&amp;$B216),IFERROR(COUNTIFS(INDIRECT("'"&amp;$A216&amp;"'!$B$2:$B$501"),$T216,INDIRECT("'"&amp;$A216&amp;"'!$A$2:$A$501"),"&gt;="&amp;$I216,INDIRECT("'"&amp;$A216&amp;"'!$A$2:$A$501"),"&lt;"&amp;($BA216+1),INDIRECT("'"&amp;$A216&amp;"'!$E$2:$E$501"),"No"),0)))</f>
        <v/>
      </c>
      <c r="AY216" s="30" t="str">
        <f aca="true">IF(OR($A216="",$I216=""),"",IF($BC216="Y",SUMIFS(survey_frozen!$M$2:$M$251,survey_frozen!$P$2:$P$251,$A216&amp;"|"&amp;$B216),IFERROR(COUNTIFS(INDIRECT("'"&amp;$A216&amp;"'!$B$2:$B$501"),$T216,INDIRECT("'"&amp;$A216&amp;"'!$A$2:$A$501"),"&gt;="&amp;$I216,INDIRECT("'"&amp;$A216&amp;"'!$A$2:$A$501"),"&lt;"&amp;($BA216+1),INDIRECT("'"&amp;$A216&amp;"'!$G$2:$G$501"),"&lt;&gt;"),0)))</f>
        <v/>
      </c>
      <c r="AZ216" s="30" t="str">
        <f aca="false">IF($A216="","",$A216&amp;"|"&amp;$L216)</f>
        <v/>
      </c>
      <c r="BA216" s="31" t="str">
        <f aca="false">IF($A216="","",IFERROR(IF(INDEX(drops!$R$2:$R$21,MATCH($H216,drops!$A$2:$A$21,0))="","",INDEX(drops!$R$2:$R$21,MATCH($H216,drops!$A$2:$A$21,0))),""))</f>
        <v/>
      </c>
      <c r="BB216" s="30" t="n">
        <f aca="false">IF(OR($A216="",$Q216&lt;&gt;"Y"),1000000,N($AL216))</f>
        <v>1000000</v>
      </c>
      <c r="BC216" s="30" t="str">
        <f aca="false">IF($A216="","",IF(COUNTIF(survey_frozen!$P$2:$P$251,$A216&amp;"|"&amp;$B216)&gt;0,"Y",""))</f>
        <v/>
      </c>
      <c r="BD216" s="30" t="str">
        <f aca="false">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ustomFormat="false" ht="15" hidden="false" customHeight="false" outlineLevel="0" collapsed="false">
      <c r="C217" s="11"/>
      <c r="D217" s="10"/>
      <c r="E217" s="11"/>
      <c r="H217" s="30" t="str">
        <f aca="false">IF($A217="","",IFERROR(IF(INDEX(campaigns!$B$2:$B$51,MATCH($A217,campaigns!$A$2:$A$51,0))="","",INDEX(campaigns!$B$2:$B$51,MATCH($A217,campaigns!$A$2:$A$51,0))),""))</f>
        <v/>
      </c>
      <c r="I217" s="31" t="str">
        <f aca="false">IF($A217="","",IFERROR(IF(INDEX(campaigns!$BG$2:$BG$51,MATCH($A217,campaigns!$A$2:$A$51,0))="","",INDEX(campaigns!$BG$2:$BG$51,MATCH($A217,campaigns!$A$2:$A$51,0))),""))</f>
        <v/>
      </c>
      <c r="J217" s="30" t="str">
        <f aca="false">IF($A217="","",IFERROR(IF(INDEX(campaigns!$BE$2:$BE$51,MATCH($A217,campaigns!$A$2:$A$51,0))="","",INDEX(campaigns!$BE$2:$BE$51,MATCH($A217,campaigns!$A$2:$A$51,0))),""))</f>
        <v/>
      </c>
      <c r="K217" s="30" t="str">
        <f aca="false">IF($B217="","",IFERROR(IF(INDEX(offices!$O$2:$O$61,MATCH($B217,offices!$A$2:$A$61,0))="","",INDEX(offices!$O$2:$O$61,MATCH($B217,offices!$A$2:$A$61,0))),""))</f>
        <v/>
      </c>
      <c r="L217" s="30" t="str">
        <f aca="false">IF($A217="","",IF($Q217="N","",COUNTIFS($A$2:$A217,$A217,$Q$2:$Q217,"&lt;&gt;N")))</f>
        <v/>
      </c>
      <c r="M217" s="30" t="str">
        <f aca="false">IF(OR($A217="",$L217=""),"",IF(AND(config!$B$34="names_if_public",IFERROR(IF(INDEX(offices!$AG$2:$AG$61,MATCH($B217,offices!$A$2:$A$61,0))="","",INDEX(offices!$AG$2:$AG$61,MATCH($B217,offices!$A$2:$A$61,0))),"")="Y"),$K217,CHAR(64+$L217)))</f>
        <v/>
      </c>
      <c r="N217" s="30" t="str">
        <f aca="false">IF(OR($A217="",$I217=""),"",COUNTIFS(stops!$B$2:$B$151,$B217,stops!$P$2:$P$151,"&lt;"&amp;$I217,stops!$L$2:$L$151,"&lt;&gt;not_delivered")+1)</f>
        <v/>
      </c>
      <c r="O217" s="30" t="str">
        <f aca="false">IF($A217="","",IF(N($N217)&lt;=config!$B$29,"explicit","opt-out"))</f>
        <v/>
      </c>
      <c r="P217" s="30" t="str">
        <f aca="false">IF($A217="","",IF($O217="explicit",IF($D217="yes","Y",IF($D217="no","N","pending")),IF($D217="no","N",IF(AND($C217&lt;&gt;"",$I217&lt;&gt;"",$C217&lt;=WORKDAY(N($I217),-5,calendar!$A$2:$A$80)),"Y","pending"))))</f>
        <v/>
      </c>
      <c r="Q217" s="30" t="str">
        <f aca="false">IF($A217="","",IF($P217="N","N",IF($P217&lt;&gt;"Y","pending",IF(AND((COUNTIFS(stops!$A$2:$A$151,$H217,stops!$B$2:$B$151,$B217,stops!$L$2:$L$151,"declined")+COUNTIFS(stops!$A$2:$A$151,$H217,stops!$B$2:$B$151,$B217,stops!$L$2:$L$151,"building_refused")+COUNTIFS(stops!$A$2:$A$151,$H217,stops!$B$2:$B$151,$B217,stops!$L$2:$L$151,"not_delivered"))&gt;0,N($U217)=0),"N","Y"))))</f>
        <v/>
      </c>
      <c r="R217" s="30" t="str">
        <f aca="false">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30" t="str">
        <f aca="false">IF($A217="","",IF($G217&lt;&gt;"",$G217,IFERROR(IF(INDEX(offices!$AM$2:$AM$61,MATCH($B217,offices!$A$2:$A$61,0))="","",INDEX(offices!$AM$2:$AM$61,MATCH($B217,offices!$A$2:$A$61,0))),"")))</f>
        <v/>
      </c>
      <c r="T217" s="30" t="str">
        <f aca="false">IF($A217="","",$A217&amp;"."&amp;$B217)</f>
        <v/>
      </c>
      <c r="U217" s="30" t="str">
        <f aca="false">IF($A217="","",SUMIFS(inventory!$G$2:$G$801,inventory!$C$2:$C$801,$A217,inventory!$D$2:$D$801,$B217,inventory!$E$2:$E$801,"delivered"))</f>
        <v/>
      </c>
      <c r="V217" s="37" t="str">
        <f aca="false">IF($A217="","",IFERROR(1/(1/SUMPRODUCT(MAX((inventory!$C$2:$C$801=$A217)*(inventory!$D$2:$D$801=$B217)*(inventory!$E$2:$E$801="delivered")*(inventory!$A$2:$A$801+inventory!$B$2:$B$801)))),""))</f>
        <v/>
      </c>
      <c r="W217" s="30" t="str">
        <f aca="false">IF($A217="","",IFERROR(IF(INDEX(inventory!$J$2:$J$801,MATCH($A217&amp;"|"&amp;$B217&amp;"|delivered",inventory!$R$2:$R$801,0))="","",INDEX(inventory!$J$2:$J$801,MATCH($A217&amp;"|"&amp;$B217&amp;"|delivered",inventory!$R$2:$R$801,0))),""))</f>
        <v/>
      </c>
      <c r="X217" s="30" t="str">
        <f aca="false">IF($A217="","",IFERROR(IF(INDEX(photos!$H$2:$H$701,MATCH($A217&amp;"|"&amp;$B217&amp;"|placement|Y",photos!$R$2:$R$701,0))="","",INDEX(photos!$H$2:$H$701,MATCH($A217&amp;"|"&amp;$B217&amp;"|placement|Y",photos!$R$2:$R$701,0))),""))</f>
        <v/>
      </c>
      <c r="Y217" s="31" t="str">
        <f aca="false">IF($A217="","",IFERROR(IF(INDEX(photos!$E$2:$E$701,MATCH($A217&amp;"|"&amp;$B217&amp;"|placement|Y",photos!$R$2:$R$701,0))="","",INDEX(photos!$E$2:$E$701,MATCH($A217&amp;"|"&amp;$B217&amp;"|placement|Y",photos!$R$2:$R$701,0))),""))</f>
        <v/>
      </c>
      <c r="Z217" s="30" t="str">
        <f aca="false">IF($A217="","",IF(COUNTIFS(counts!$C$2:$C$701,$A217,counts!$D$2:$D$701,$B217,counts!$E$2:$E$701,"placed")=0,"",SUMIFS(counts!$F$2:$F$701,counts!$C$2:$C$701,$A217,counts!$D$2:$D$701,$B217,counts!$E$2:$E$701,"placed")))</f>
        <v/>
      </c>
      <c r="AA217" s="30" t="str">
        <f aca="false">IF($A217="","",IF($Y217="",0,N($Z217)))</f>
        <v/>
      </c>
      <c r="AB217" s="30" t="str">
        <f aca="false">IF($A217="","",IF(OR($Y217="",$I217=""),"N",IF($Y217&lt;=WORKDAY(N($I217),1,calendar!$A$2:$A$80),"Y","N")))</f>
        <v/>
      </c>
      <c r="AC217" s="33" t="str">
        <f aca="false">IF(OR($A217="",$V217="",$Y217=""),"",ROUND(($Y217+N(IFERROR(IF(INDEX(photos!$F$2:$F$701,MATCH($A217&amp;"|"&amp;$B217&amp;"|placement|Y",photos!$R$2:$R$701,0))="","",INDEX(photos!$F$2:$F$701,MATCH($A217&amp;"|"&amp;$B217&amp;"|placement|Y",photos!$R$2:$R$701,0))),""))-$V217)*24,1))</f>
        <v/>
      </c>
      <c r="AD217" s="30" t="str">
        <f aca="false">IF($A217="","",SUMIFS(inventory!$G$2:$G$801,inventory!$C$2:$C$801,$A217,inventory!$D$2:$D$801,$B217,inventory!$E$2:$E$801,"topped_up"))</f>
        <v/>
      </c>
      <c r="AE217" s="30" t="str">
        <f aca="false">IF($A217="","",IF(COUNTIFS(counts!$C$2:$C$701,$A217,counts!$D$2:$D$701,$B217,counts!$E$2:$E$701,"remaining_day3")=0,"",SUMIFS(counts!$F$2:$F$701,counts!$C$2:$C$701,$A217,counts!$D$2:$D$701,$B217,counts!$E$2:$E$701,"remaining_day3")))</f>
        <v/>
      </c>
      <c r="AF217" s="30" t="str">
        <f aca="false">IF($A217="","",IF(COUNTIFS(counts!$C$2:$C$701,$A217,counts!$D$2:$D$701,$B217,counts!$E$2:$E$701,"remaining_day5")=0,"",SUMIFS(counts!$F$2:$F$701,counts!$C$2:$C$701,$A217,counts!$D$2:$D$701,$B217,counts!$E$2:$E$701,"remaining_day5")))</f>
        <v/>
      </c>
      <c r="AG217" s="30" t="str">
        <f aca="false">IF(OR($A217="",$AF217=""),"",MAX(0,$AA217+$AD217-$AF217))</f>
        <v/>
      </c>
      <c r="AH217" s="30" t="str">
        <f aca="false">IF(OR($A217="",$AI217=""),"",IFERROR(IF(INDEX(photos!$H$2:$H$701,MATCH($A217&amp;"|"&amp;$B217&amp;"|later|Y|"&amp;$AI217,photos!$S$2:$S$701,0))="","",INDEX(photos!$H$2:$H$701,MATCH($A217&amp;"|"&amp;$B217&amp;"|later|Y|"&amp;$AI217,photos!$S$2:$S$701,0))),""))</f>
        <v/>
      </c>
      <c r="AI217" s="31" t="str">
        <f aca="false">IF($A217="","",IFERROR(1/(1/SUMPRODUCT(MAX((photos!$B$2:$B$701=$A217)*(photos!$C$2:$C$701=$B217)*(photos!$D$2:$D$701="later")*(photos!$O$2:$O$701="Y")*photos!$E$2:$E$701))),""))</f>
        <v/>
      </c>
      <c r="AJ217" s="30" t="str">
        <f aca="false">IF(OR($A217="",$AI217="",$I217=""),"",NETWORKDAYS($I217,$AI217,calendar!$A$2:$A$80))</f>
        <v/>
      </c>
      <c r="AK217" s="30" t="str">
        <f aca="false">IF($A217="","",IF(AND($X217&lt;&gt;"",$AH217&lt;&gt;""),"Y","N"))</f>
        <v/>
      </c>
      <c r="AL217" s="30" t="str">
        <f aca="true">IF(OR($A217="",$I217=""),"",IF($BC217="Y",SUMIFS(survey_frozen!$C$2:$C$251,survey_frozen!$P$2:$P$251,$A217&amp;"|"&amp;$B217),IFERROR(COUNTIFS(INDIRECT("'"&amp;$A217&amp;"'!$B$2:$B$501"),$T217,INDIRECT("'"&amp;$A217&amp;"'!$A$2:$A$501"),"&gt;="&amp;$I217,INDIRECT("'"&amp;$A217&amp;"'!$A$2:$A$501"),"&lt;"&amp;($BA217+1)),0)))</f>
        <v/>
      </c>
      <c r="AM217" s="30" t="str">
        <f aca="true">IF(OR($A217="",$I217=""),"",IF($BC217="Y",SUMIFS(survey_frozen!$D$2:$D$251,survey_frozen!$P$2:$P$251,$A217&amp;"|"&amp;$B217),IFERROR(COUNTIFS(INDIRECT("'"&amp;$A217&amp;"'!$B$2:$B$501"),$T217,INDIRECT("'"&amp;$A217&amp;"'!$A$2:$A$501"),"&gt;="&amp;$I217,INDIRECT("'"&amp;$A217&amp;"'!$A$2:$A$501"),"&lt;"&amp;($BA217+1),INDIRECT("'"&amp;$A217&amp;"'!$C$2:$C$501"),"Yes"),0)))</f>
        <v/>
      </c>
      <c r="AN217" s="30" t="str">
        <f aca="false">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30" t="str">
        <f aca="false">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30" t="str">
        <f aca="true">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30" t="str">
        <f aca="true">IF(OR($A217="",$I217=""),"",IF($BC217="Y",SUMIFS(survey_frozen!$E$2:$E$251,survey_frozen!$P$2:$P$251,$A217&amp;"|"&amp;$B217),IFERROR(COUNTIFS(INDIRECT("'"&amp;$A217&amp;"'!$B$2:$B$501"),$T217,INDIRECT("'"&amp;$A217&amp;"'!$A$2:$A$501"),"&gt;="&amp;$I217,INDIRECT("'"&amp;$A217&amp;"'!$A$2:$A$501"),"&lt;"&amp;($BA217+1),INDIRECT("'"&amp;$A217&amp;"'!$F$2:$F$501"),"Didn't see it"),0)))</f>
        <v/>
      </c>
      <c r="AR217" s="30" t="str">
        <f aca="true">IF(OR($A217="",$I217=""),"",IF($BC217="Y",SUMIFS(survey_frozen!$F$2:$F$251,survey_frozen!$P$2:$P$251,$A217&amp;"|"&amp;$B217),IFERROR(COUNTIFS(INDIRECT("'"&amp;$A217&amp;"'!$B$2:$B$501"),$T217,INDIRECT("'"&amp;$A217&amp;"'!$A$2:$A$501"),"&gt;="&amp;$I217,INDIRECT("'"&amp;$A217&amp;"'!$A$2:$A$501"),"&lt;"&amp;($BA217+1),INDIRECT("'"&amp;$A217&amp;"'!$F$2:$F$501"),"Not for me"),0)))</f>
        <v/>
      </c>
      <c r="AS217" s="30" t="str">
        <f aca="true">IF(OR($A217="",$I217=""),"",IF($BC217="Y",SUMIFS(survey_frozen!$G$2:$G$251,survey_frozen!$P$2:$P$251,$A217&amp;"|"&amp;$B217),IFERROR(COUNTIFS(INDIRECT("'"&amp;$A217&amp;"'!$B$2:$B$501"),$T217,INDIRECT("'"&amp;$A217&amp;"'!$A$2:$A$501"),"&gt;="&amp;$I217,INDIRECT("'"&amp;$A217&amp;"'!$A$2:$A$501"),"&lt;"&amp;($BA217+1),INDIRECT("'"&amp;$A217&amp;"'!$F$2:$F$501"),"Gone by the time I looked"),0)))</f>
        <v/>
      </c>
      <c r="AT217" s="30" t="str">
        <f aca="true">IF(OR($A217="",$I217=""),"",IF($BC217="Y",SUMIFS(survey_frozen!$H$2:$H$251,survey_frozen!$P$2:$P$251,$A217&amp;"|"&amp;$B217),IFERROR(COUNTIFS(INDIRECT("'"&amp;$A217&amp;"'!$B$2:$B$501"),$T217,INDIRECT("'"&amp;$A217&amp;"'!$A$2:$A$501"),"&gt;="&amp;$I217,INDIRECT("'"&amp;$A217&amp;"'!$A$2:$A$501"),"&lt;"&amp;($BA217+1),INDIRECT("'"&amp;$A217&amp;"'!$D$2:$D$501"),"&gt;=1"),0)))</f>
        <v/>
      </c>
      <c r="AU217" s="30" t="str">
        <f aca="true">IF(OR($A217="",$I217=""),"",IF($BC217="Y",SUMIFS(survey_frozen!$I$2:$I$251,survey_frozen!$P$2:$P$251,$A217&amp;"|"&amp;$B217),IFERROR(SUMIFS(INDIRECT("'"&amp;$A217&amp;"'!$D$2:$D$501"),INDIRECT("'"&amp;$A217&amp;"'!$B$2:$B$501"),$T217,INDIRECT("'"&amp;$A217&amp;"'!$A$2:$A$501"),"&gt;="&amp;$I217,INDIRECT("'"&amp;$A217&amp;"'!$A$2:$A$501"),"&lt;"&amp;($BA217+1)),0)))</f>
        <v/>
      </c>
      <c r="AV217" s="30" t="str">
        <f aca="true">IF(OR($A217="",$I217=""),"",IF($BC217="Y",SUMIFS(survey_frozen!$J$2:$J$251,survey_frozen!$P$2:$P$251,$A217&amp;"|"&amp;$B217),IFERROR(COUNTIFS(INDIRECT("'"&amp;$A217&amp;"'!$B$2:$B$501"),$T217,INDIRECT("'"&amp;$A217&amp;"'!$A$2:$A$501"),"&gt;="&amp;$I217,INDIRECT("'"&amp;$A217&amp;"'!$A$2:$A$501"),"&lt;"&amp;($BA217+1),INDIRECT("'"&amp;$A217&amp;"'!$E$2:$E$501"),"Yes"),0)))</f>
        <v/>
      </c>
      <c r="AW217" s="30" t="str">
        <f aca="true">IF(OR($A217="",$I217=""),"",IF($BC217="Y",SUMIFS(survey_frozen!$K$2:$K$251,survey_frozen!$P$2:$P$251,$A217&amp;"|"&amp;$B217),IFERROR(COUNTIFS(INDIRECT("'"&amp;$A217&amp;"'!$B$2:$B$501"),$T217,INDIRECT("'"&amp;$A217&amp;"'!$A$2:$A$501"),"&gt;="&amp;$I217,INDIRECT("'"&amp;$A217&amp;"'!$A$2:$A$501"),"&lt;"&amp;($BA217+1),INDIRECT("'"&amp;$A217&amp;"'!$E$2:$E$501"),"Maybe"),0)))</f>
        <v/>
      </c>
      <c r="AX217" s="30" t="str">
        <f aca="true">IF(OR($A217="",$I217=""),"",IF($BC217="Y",SUMIFS(survey_frozen!$L$2:$L$251,survey_frozen!$P$2:$P$251,$A217&amp;"|"&amp;$B217),IFERROR(COUNTIFS(INDIRECT("'"&amp;$A217&amp;"'!$B$2:$B$501"),$T217,INDIRECT("'"&amp;$A217&amp;"'!$A$2:$A$501"),"&gt;="&amp;$I217,INDIRECT("'"&amp;$A217&amp;"'!$A$2:$A$501"),"&lt;"&amp;($BA217+1),INDIRECT("'"&amp;$A217&amp;"'!$E$2:$E$501"),"No"),0)))</f>
        <v/>
      </c>
      <c r="AY217" s="30" t="str">
        <f aca="true">IF(OR($A217="",$I217=""),"",IF($BC217="Y",SUMIFS(survey_frozen!$M$2:$M$251,survey_frozen!$P$2:$P$251,$A217&amp;"|"&amp;$B217),IFERROR(COUNTIFS(INDIRECT("'"&amp;$A217&amp;"'!$B$2:$B$501"),$T217,INDIRECT("'"&amp;$A217&amp;"'!$A$2:$A$501"),"&gt;="&amp;$I217,INDIRECT("'"&amp;$A217&amp;"'!$A$2:$A$501"),"&lt;"&amp;($BA217+1),INDIRECT("'"&amp;$A217&amp;"'!$G$2:$G$501"),"&lt;&gt;"),0)))</f>
        <v/>
      </c>
      <c r="AZ217" s="30" t="str">
        <f aca="false">IF($A217="","",$A217&amp;"|"&amp;$L217)</f>
        <v/>
      </c>
      <c r="BA217" s="31" t="str">
        <f aca="false">IF($A217="","",IFERROR(IF(INDEX(drops!$R$2:$R$21,MATCH($H217,drops!$A$2:$A$21,0))="","",INDEX(drops!$R$2:$R$21,MATCH($H217,drops!$A$2:$A$21,0))),""))</f>
        <v/>
      </c>
      <c r="BB217" s="30" t="n">
        <f aca="false">IF(OR($A217="",$Q217&lt;&gt;"Y"),1000000,N($AL217))</f>
        <v>1000000</v>
      </c>
      <c r="BC217" s="30" t="str">
        <f aca="false">IF($A217="","",IF(COUNTIF(survey_frozen!$P$2:$P$251,$A217&amp;"|"&amp;$B217)&gt;0,"Y",""))</f>
        <v/>
      </c>
      <c r="BD217" s="30" t="str">
        <f aca="false">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ustomFormat="false" ht="15" hidden="false" customHeight="false" outlineLevel="0" collapsed="false">
      <c r="C218" s="11"/>
      <c r="D218" s="10"/>
      <c r="E218" s="11"/>
      <c r="H218" s="30" t="str">
        <f aca="false">IF($A218="","",IFERROR(IF(INDEX(campaigns!$B$2:$B$51,MATCH($A218,campaigns!$A$2:$A$51,0))="","",INDEX(campaigns!$B$2:$B$51,MATCH($A218,campaigns!$A$2:$A$51,0))),""))</f>
        <v/>
      </c>
      <c r="I218" s="31" t="str">
        <f aca="false">IF($A218="","",IFERROR(IF(INDEX(campaigns!$BG$2:$BG$51,MATCH($A218,campaigns!$A$2:$A$51,0))="","",INDEX(campaigns!$BG$2:$BG$51,MATCH($A218,campaigns!$A$2:$A$51,0))),""))</f>
        <v/>
      </c>
      <c r="J218" s="30" t="str">
        <f aca="false">IF($A218="","",IFERROR(IF(INDEX(campaigns!$BE$2:$BE$51,MATCH($A218,campaigns!$A$2:$A$51,0))="","",INDEX(campaigns!$BE$2:$BE$51,MATCH($A218,campaigns!$A$2:$A$51,0))),""))</f>
        <v/>
      </c>
      <c r="K218" s="30" t="str">
        <f aca="false">IF($B218="","",IFERROR(IF(INDEX(offices!$O$2:$O$61,MATCH($B218,offices!$A$2:$A$61,0))="","",INDEX(offices!$O$2:$O$61,MATCH($B218,offices!$A$2:$A$61,0))),""))</f>
        <v/>
      </c>
      <c r="L218" s="30" t="str">
        <f aca="false">IF($A218="","",IF($Q218="N","",COUNTIFS($A$2:$A218,$A218,$Q$2:$Q218,"&lt;&gt;N")))</f>
        <v/>
      </c>
      <c r="M218" s="30" t="str">
        <f aca="false">IF(OR($A218="",$L218=""),"",IF(AND(config!$B$34="names_if_public",IFERROR(IF(INDEX(offices!$AG$2:$AG$61,MATCH($B218,offices!$A$2:$A$61,0))="","",INDEX(offices!$AG$2:$AG$61,MATCH($B218,offices!$A$2:$A$61,0))),"")="Y"),$K218,CHAR(64+$L218)))</f>
        <v/>
      </c>
      <c r="N218" s="30" t="str">
        <f aca="false">IF(OR($A218="",$I218=""),"",COUNTIFS(stops!$B$2:$B$151,$B218,stops!$P$2:$P$151,"&lt;"&amp;$I218,stops!$L$2:$L$151,"&lt;&gt;not_delivered")+1)</f>
        <v/>
      </c>
      <c r="O218" s="30" t="str">
        <f aca="false">IF($A218="","",IF(N($N218)&lt;=config!$B$29,"explicit","opt-out"))</f>
        <v/>
      </c>
      <c r="P218" s="30" t="str">
        <f aca="false">IF($A218="","",IF($O218="explicit",IF($D218="yes","Y",IF($D218="no","N","pending")),IF($D218="no","N",IF(AND($C218&lt;&gt;"",$I218&lt;&gt;"",$C218&lt;=WORKDAY(N($I218),-5,calendar!$A$2:$A$80)),"Y","pending"))))</f>
        <v/>
      </c>
      <c r="Q218" s="30" t="str">
        <f aca="false">IF($A218="","",IF($P218="N","N",IF($P218&lt;&gt;"Y","pending",IF(AND((COUNTIFS(stops!$A$2:$A$151,$H218,stops!$B$2:$B$151,$B218,stops!$L$2:$L$151,"declined")+COUNTIFS(stops!$A$2:$A$151,$H218,stops!$B$2:$B$151,$B218,stops!$L$2:$L$151,"building_refused")+COUNTIFS(stops!$A$2:$A$151,$H218,stops!$B$2:$B$151,$B218,stops!$L$2:$L$151,"not_delivered"))&gt;0,N($U218)=0),"N","Y"))))</f>
        <v/>
      </c>
      <c r="R218" s="30" t="str">
        <f aca="false">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30" t="str">
        <f aca="false">IF($A218="","",IF($G218&lt;&gt;"",$G218,IFERROR(IF(INDEX(offices!$AM$2:$AM$61,MATCH($B218,offices!$A$2:$A$61,0))="","",INDEX(offices!$AM$2:$AM$61,MATCH($B218,offices!$A$2:$A$61,0))),"")))</f>
        <v/>
      </c>
      <c r="T218" s="30" t="str">
        <f aca="false">IF($A218="","",$A218&amp;"."&amp;$B218)</f>
        <v/>
      </c>
      <c r="U218" s="30" t="str">
        <f aca="false">IF($A218="","",SUMIFS(inventory!$G$2:$G$801,inventory!$C$2:$C$801,$A218,inventory!$D$2:$D$801,$B218,inventory!$E$2:$E$801,"delivered"))</f>
        <v/>
      </c>
      <c r="V218" s="37" t="str">
        <f aca="false">IF($A218="","",IFERROR(1/(1/SUMPRODUCT(MAX((inventory!$C$2:$C$801=$A218)*(inventory!$D$2:$D$801=$B218)*(inventory!$E$2:$E$801="delivered")*(inventory!$A$2:$A$801+inventory!$B$2:$B$801)))),""))</f>
        <v/>
      </c>
      <c r="W218" s="30" t="str">
        <f aca="false">IF($A218="","",IFERROR(IF(INDEX(inventory!$J$2:$J$801,MATCH($A218&amp;"|"&amp;$B218&amp;"|delivered",inventory!$R$2:$R$801,0))="","",INDEX(inventory!$J$2:$J$801,MATCH($A218&amp;"|"&amp;$B218&amp;"|delivered",inventory!$R$2:$R$801,0))),""))</f>
        <v/>
      </c>
      <c r="X218" s="30" t="str">
        <f aca="false">IF($A218="","",IFERROR(IF(INDEX(photos!$H$2:$H$701,MATCH($A218&amp;"|"&amp;$B218&amp;"|placement|Y",photos!$R$2:$R$701,0))="","",INDEX(photos!$H$2:$H$701,MATCH($A218&amp;"|"&amp;$B218&amp;"|placement|Y",photos!$R$2:$R$701,0))),""))</f>
        <v/>
      </c>
      <c r="Y218" s="31" t="str">
        <f aca="false">IF($A218="","",IFERROR(IF(INDEX(photos!$E$2:$E$701,MATCH($A218&amp;"|"&amp;$B218&amp;"|placement|Y",photos!$R$2:$R$701,0))="","",INDEX(photos!$E$2:$E$701,MATCH($A218&amp;"|"&amp;$B218&amp;"|placement|Y",photos!$R$2:$R$701,0))),""))</f>
        <v/>
      </c>
      <c r="Z218" s="30" t="str">
        <f aca="false">IF($A218="","",IF(COUNTIFS(counts!$C$2:$C$701,$A218,counts!$D$2:$D$701,$B218,counts!$E$2:$E$701,"placed")=0,"",SUMIFS(counts!$F$2:$F$701,counts!$C$2:$C$701,$A218,counts!$D$2:$D$701,$B218,counts!$E$2:$E$701,"placed")))</f>
        <v/>
      </c>
      <c r="AA218" s="30" t="str">
        <f aca="false">IF($A218="","",IF($Y218="",0,N($Z218)))</f>
        <v/>
      </c>
      <c r="AB218" s="30" t="str">
        <f aca="false">IF($A218="","",IF(OR($Y218="",$I218=""),"N",IF($Y218&lt;=WORKDAY(N($I218),1,calendar!$A$2:$A$80),"Y","N")))</f>
        <v/>
      </c>
      <c r="AC218" s="33" t="str">
        <f aca="false">IF(OR($A218="",$V218="",$Y218=""),"",ROUND(($Y218+N(IFERROR(IF(INDEX(photos!$F$2:$F$701,MATCH($A218&amp;"|"&amp;$B218&amp;"|placement|Y",photos!$R$2:$R$701,0))="","",INDEX(photos!$F$2:$F$701,MATCH($A218&amp;"|"&amp;$B218&amp;"|placement|Y",photos!$R$2:$R$701,0))),""))-$V218)*24,1))</f>
        <v/>
      </c>
      <c r="AD218" s="30" t="str">
        <f aca="false">IF($A218="","",SUMIFS(inventory!$G$2:$G$801,inventory!$C$2:$C$801,$A218,inventory!$D$2:$D$801,$B218,inventory!$E$2:$E$801,"topped_up"))</f>
        <v/>
      </c>
      <c r="AE218" s="30" t="str">
        <f aca="false">IF($A218="","",IF(COUNTIFS(counts!$C$2:$C$701,$A218,counts!$D$2:$D$701,$B218,counts!$E$2:$E$701,"remaining_day3")=0,"",SUMIFS(counts!$F$2:$F$701,counts!$C$2:$C$701,$A218,counts!$D$2:$D$701,$B218,counts!$E$2:$E$701,"remaining_day3")))</f>
        <v/>
      </c>
      <c r="AF218" s="30" t="str">
        <f aca="false">IF($A218="","",IF(COUNTIFS(counts!$C$2:$C$701,$A218,counts!$D$2:$D$701,$B218,counts!$E$2:$E$701,"remaining_day5")=0,"",SUMIFS(counts!$F$2:$F$701,counts!$C$2:$C$701,$A218,counts!$D$2:$D$701,$B218,counts!$E$2:$E$701,"remaining_day5")))</f>
        <v/>
      </c>
      <c r="AG218" s="30" t="str">
        <f aca="false">IF(OR($A218="",$AF218=""),"",MAX(0,$AA218+$AD218-$AF218))</f>
        <v/>
      </c>
      <c r="AH218" s="30" t="str">
        <f aca="false">IF(OR($A218="",$AI218=""),"",IFERROR(IF(INDEX(photos!$H$2:$H$701,MATCH($A218&amp;"|"&amp;$B218&amp;"|later|Y|"&amp;$AI218,photos!$S$2:$S$701,0))="","",INDEX(photos!$H$2:$H$701,MATCH($A218&amp;"|"&amp;$B218&amp;"|later|Y|"&amp;$AI218,photos!$S$2:$S$701,0))),""))</f>
        <v/>
      </c>
      <c r="AI218" s="31" t="str">
        <f aca="false">IF($A218="","",IFERROR(1/(1/SUMPRODUCT(MAX((photos!$B$2:$B$701=$A218)*(photos!$C$2:$C$701=$B218)*(photos!$D$2:$D$701="later")*(photos!$O$2:$O$701="Y")*photos!$E$2:$E$701))),""))</f>
        <v/>
      </c>
      <c r="AJ218" s="30" t="str">
        <f aca="false">IF(OR($A218="",$AI218="",$I218=""),"",NETWORKDAYS($I218,$AI218,calendar!$A$2:$A$80))</f>
        <v/>
      </c>
      <c r="AK218" s="30" t="str">
        <f aca="false">IF($A218="","",IF(AND($X218&lt;&gt;"",$AH218&lt;&gt;""),"Y","N"))</f>
        <v/>
      </c>
      <c r="AL218" s="30" t="str">
        <f aca="true">IF(OR($A218="",$I218=""),"",IF($BC218="Y",SUMIFS(survey_frozen!$C$2:$C$251,survey_frozen!$P$2:$P$251,$A218&amp;"|"&amp;$B218),IFERROR(COUNTIFS(INDIRECT("'"&amp;$A218&amp;"'!$B$2:$B$501"),$T218,INDIRECT("'"&amp;$A218&amp;"'!$A$2:$A$501"),"&gt;="&amp;$I218,INDIRECT("'"&amp;$A218&amp;"'!$A$2:$A$501"),"&lt;"&amp;($BA218+1)),0)))</f>
        <v/>
      </c>
      <c r="AM218" s="30" t="str">
        <f aca="true">IF(OR($A218="",$I218=""),"",IF($BC218="Y",SUMIFS(survey_frozen!$D$2:$D$251,survey_frozen!$P$2:$P$251,$A218&amp;"|"&amp;$B218),IFERROR(COUNTIFS(INDIRECT("'"&amp;$A218&amp;"'!$B$2:$B$501"),$T218,INDIRECT("'"&amp;$A218&amp;"'!$A$2:$A$501"),"&gt;="&amp;$I218,INDIRECT("'"&amp;$A218&amp;"'!$A$2:$A$501"),"&lt;"&amp;($BA218+1),INDIRECT("'"&amp;$A218&amp;"'!$C$2:$C$501"),"Yes"),0)))</f>
        <v/>
      </c>
      <c r="AN218" s="30" t="str">
        <f aca="false">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30" t="str">
        <f aca="false">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30" t="str">
        <f aca="true">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30" t="str">
        <f aca="true">IF(OR($A218="",$I218=""),"",IF($BC218="Y",SUMIFS(survey_frozen!$E$2:$E$251,survey_frozen!$P$2:$P$251,$A218&amp;"|"&amp;$B218),IFERROR(COUNTIFS(INDIRECT("'"&amp;$A218&amp;"'!$B$2:$B$501"),$T218,INDIRECT("'"&amp;$A218&amp;"'!$A$2:$A$501"),"&gt;="&amp;$I218,INDIRECT("'"&amp;$A218&amp;"'!$A$2:$A$501"),"&lt;"&amp;($BA218+1),INDIRECT("'"&amp;$A218&amp;"'!$F$2:$F$501"),"Didn't see it"),0)))</f>
        <v/>
      </c>
      <c r="AR218" s="30" t="str">
        <f aca="true">IF(OR($A218="",$I218=""),"",IF($BC218="Y",SUMIFS(survey_frozen!$F$2:$F$251,survey_frozen!$P$2:$P$251,$A218&amp;"|"&amp;$B218),IFERROR(COUNTIFS(INDIRECT("'"&amp;$A218&amp;"'!$B$2:$B$501"),$T218,INDIRECT("'"&amp;$A218&amp;"'!$A$2:$A$501"),"&gt;="&amp;$I218,INDIRECT("'"&amp;$A218&amp;"'!$A$2:$A$501"),"&lt;"&amp;($BA218+1),INDIRECT("'"&amp;$A218&amp;"'!$F$2:$F$501"),"Not for me"),0)))</f>
        <v/>
      </c>
      <c r="AS218" s="30" t="str">
        <f aca="true">IF(OR($A218="",$I218=""),"",IF($BC218="Y",SUMIFS(survey_frozen!$G$2:$G$251,survey_frozen!$P$2:$P$251,$A218&amp;"|"&amp;$B218),IFERROR(COUNTIFS(INDIRECT("'"&amp;$A218&amp;"'!$B$2:$B$501"),$T218,INDIRECT("'"&amp;$A218&amp;"'!$A$2:$A$501"),"&gt;="&amp;$I218,INDIRECT("'"&amp;$A218&amp;"'!$A$2:$A$501"),"&lt;"&amp;($BA218+1),INDIRECT("'"&amp;$A218&amp;"'!$F$2:$F$501"),"Gone by the time I looked"),0)))</f>
        <v/>
      </c>
      <c r="AT218" s="30" t="str">
        <f aca="true">IF(OR($A218="",$I218=""),"",IF($BC218="Y",SUMIFS(survey_frozen!$H$2:$H$251,survey_frozen!$P$2:$P$251,$A218&amp;"|"&amp;$B218),IFERROR(COUNTIFS(INDIRECT("'"&amp;$A218&amp;"'!$B$2:$B$501"),$T218,INDIRECT("'"&amp;$A218&amp;"'!$A$2:$A$501"),"&gt;="&amp;$I218,INDIRECT("'"&amp;$A218&amp;"'!$A$2:$A$501"),"&lt;"&amp;($BA218+1),INDIRECT("'"&amp;$A218&amp;"'!$D$2:$D$501"),"&gt;=1"),0)))</f>
        <v/>
      </c>
      <c r="AU218" s="30" t="str">
        <f aca="true">IF(OR($A218="",$I218=""),"",IF($BC218="Y",SUMIFS(survey_frozen!$I$2:$I$251,survey_frozen!$P$2:$P$251,$A218&amp;"|"&amp;$B218),IFERROR(SUMIFS(INDIRECT("'"&amp;$A218&amp;"'!$D$2:$D$501"),INDIRECT("'"&amp;$A218&amp;"'!$B$2:$B$501"),$T218,INDIRECT("'"&amp;$A218&amp;"'!$A$2:$A$501"),"&gt;="&amp;$I218,INDIRECT("'"&amp;$A218&amp;"'!$A$2:$A$501"),"&lt;"&amp;($BA218+1)),0)))</f>
        <v/>
      </c>
      <c r="AV218" s="30" t="str">
        <f aca="true">IF(OR($A218="",$I218=""),"",IF($BC218="Y",SUMIFS(survey_frozen!$J$2:$J$251,survey_frozen!$P$2:$P$251,$A218&amp;"|"&amp;$B218),IFERROR(COUNTIFS(INDIRECT("'"&amp;$A218&amp;"'!$B$2:$B$501"),$T218,INDIRECT("'"&amp;$A218&amp;"'!$A$2:$A$501"),"&gt;="&amp;$I218,INDIRECT("'"&amp;$A218&amp;"'!$A$2:$A$501"),"&lt;"&amp;($BA218+1),INDIRECT("'"&amp;$A218&amp;"'!$E$2:$E$501"),"Yes"),0)))</f>
        <v/>
      </c>
      <c r="AW218" s="30" t="str">
        <f aca="true">IF(OR($A218="",$I218=""),"",IF($BC218="Y",SUMIFS(survey_frozen!$K$2:$K$251,survey_frozen!$P$2:$P$251,$A218&amp;"|"&amp;$B218),IFERROR(COUNTIFS(INDIRECT("'"&amp;$A218&amp;"'!$B$2:$B$501"),$T218,INDIRECT("'"&amp;$A218&amp;"'!$A$2:$A$501"),"&gt;="&amp;$I218,INDIRECT("'"&amp;$A218&amp;"'!$A$2:$A$501"),"&lt;"&amp;($BA218+1),INDIRECT("'"&amp;$A218&amp;"'!$E$2:$E$501"),"Maybe"),0)))</f>
        <v/>
      </c>
      <c r="AX218" s="30" t="str">
        <f aca="true">IF(OR($A218="",$I218=""),"",IF($BC218="Y",SUMIFS(survey_frozen!$L$2:$L$251,survey_frozen!$P$2:$P$251,$A218&amp;"|"&amp;$B218),IFERROR(COUNTIFS(INDIRECT("'"&amp;$A218&amp;"'!$B$2:$B$501"),$T218,INDIRECT("'"&amp;$A218&amp;"'!$A$2:$A$501"),"&gt;="&amp;$I218,INDIRECT("'"&amp;$A218&amp;"'!$A$2:$A$501"),"&lt;"&amp;($BA218+1),INDIRECT("'"&amp;$A218&amp;"'!$E$2:$E$501"),"No"),0)))</f>
        <v/>
      </c>
      <c r="AY218" s="30" t="str">
        <f aca="true">IF(OR($A218="",$I218=""),"",IF($BC218="Y",SUMIFS(survey_frozen!$M$2:$M$251,survey_frozen!$P$2:$P$251,$A218&amp;"|"&amp;$B218),IFERROR(COUNTIFS(INDIRECT("'"&amp;$A218&amp;"'!$B$2:$B$501"),$T218,INDIRECT("'"&amp;$A218&amp;"'!$A$2:$A$501"),"&gt;="&amp;$I218,INDIRECT("'"&amp;$A218&amp;"'!$A$2:$A$501"),"&lt;"&amp;($BA218+1),INDIRECT("'"&amp;$A218&amp;"'!$G$2:$G$501"),"&lt;&gt;"),0)))</f>
        <v/>
      </c>
      <c r="AZ218" s="30" t="str">
        <f aca="false">IF($A218="","",$A218&amp;"|"&amp;$L218)</f>
        <v/>
      </c>
      <c r="BA218" s="31" t="str">
        <f aca="false">IF($A218="","",IFERROR(IF(INDEX(drops!$R$2:$R$21,MATCH($H218,drops!$A$2:$A$21,0))="","",INDEX(drops!$R$2:$R$21,MATCH($H218,drops!$A$2:$A$21,0))),""))</f>
        <v/>
      </c>
      <c r="BB218" s="30" t="n">
        <f aca="false">IF(OR($A218="",$Q218&lt;&gt;"Y"),1000000,N($AL218))</f>
        <v>1000000</v>
      </c>
      <c r="BC218" s="30" t="str">
        <f aca="false">IF($A218="","",IF(COUNTIF(survey_frozen!$P$2:$P$251,$A218&amp;"|"&amp;$B218)&gt;0,"Y",""))</f>
        <v/>
      </c>
      <c r="BD218" s="30" t="str">
        <f aca="false">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ustomFormat="false" ht="15" hidden="false" customHeight="false" outlineLevel="0" collapsed="false">
      <c r="C219" s="11"/>
      <c r="D219" s="10"/>
      <c r="E219" s="11"/>
      <c r="H219" s="30" t="str">
        <f aca="false">IF($A219="","",IFERROR(IF(INDEX(campaigns!$B$2:$B$51,MATCH($A219,campaigns!$A$2:$A$51,0))="","",INDEX(campaigns!$B$2:$B$51,MATCH($A219,campaigns!$A$2:$A$51,0))),""))</f>
        <v/>
      </c>
      <c r="I219" s="31" t="str">
        <f aca="false">IF($A219="","",IFERROR(IF(INDEX(campaigns!$BG$2:$BG$51,MATCH($A219,campaigns!$A$2:$A$51,0))="","",INDEX(campaigns!$BG$2:$BG$51,MATCH($A219,campaigns!$A$2:$A$51,0))),""))</f>
        <v/>
      </c>
      <c r="J219" s="30" t="str">
        <f aca="false">IF($A219="","",IFERROR(IF(INDEX(campaigns!$BE$2:$BE$51,MATCH($A219,campaigns!$A$2:$A$51,0))="","",INDEX(campaigns!$BE$2:$BE$51,MATCH($A219,campaigns!$A$2:$A$51,0))),""))</f>
        <v/>
      </c>
      <c r="K219" s="30" t="str">
        <f aca="false">IF($B219="","",IFERROR(IF(INDEX(offices!$O$2:$O$61,MATCH($B219,offices!$A$2:$A$61,0))="","",INDEX(offices!$O$2:$O$61,MATCH($B219,offices!$A$2:$A$61,0))),""))</f>
        <v/>
      </c>
      <c r="L219" s="30" t="str">
        <f aca="false">IF($A219="","",IF($Q219="N","",COUNTIFS($A$2:$A219,$A219,$Q$2:$Q219,"&lt;&gt;N")))</f>
        <v/>
      </c>
      <c r="M219" s="30" t="str">
        <f aca="false">IF(OR($A219="",$L219=""),"",IF(AND(config!$B$34="names_if_public",IFERROR(IF(INDEX(offices!$AG$2:$AG$61,MATCH($B219,offices!$A$2:$A$61,0))="","",INDEX(offices!$AG$2:$AG$61,MATCH($B219,offices!$A$2:$A$61,0))),"")="Y"),$K219,CHAR(64+$L219)))</f>
        <v/>
      </c>
      <c r="N219" s="30" t="str">
        <f aca="false">IF(OR($A219="",$I219=""),"",COUNTIFS(stops!$B$2:$B$151,$B219,stops!$P$2:$P$151,"&lt;"&amp;$I219,stops!$L$2:$L$151,"&lt;&gt;not_delivered")+1)</f>
        <v/>
      </c>
      <c r="O219" s="30" t="str">
        <f aca="false">IF($A219="","",IF(N($N219)&lt;=config!$B$29,"explicit","opt-out"))</f>
        <v/>
      </c>
      <c r="P219" s="30" t="str">
        <f aca="false">IF($A219="","",IF($O219="explicit",IF($D219="yes","Y",IF($D219="no","N","pending")),IF($D219="no","N",IF(AND($C219&lt;&gt;"",$I219&lt;&gt;"",$C219&lt;=WORKDAY(N($I219),-5,calendar!$A$2:$A$80)),"Y","pending"))))</f>
        <v/>
      </c>
      <c r="Q219" s="30" t="str">
        <f aca="false">IF($A219="","",IF($P219="N","N",IF($P219&lt;&gt;"Y","pending",IF(AND((COUNTIFS(stops!$A$2:$A$151,$H219,stops!$B$2:$B$151,$B219,stops!$L$2:$L$151,"declined")+COUNTIFS(stops!$A$2:$A$151,$H219,stops!$B$2:$B$151,$B219,stops!$L$2:$L$151,"building_refused")+COUNTIFS(stops!$A$2:$A$151,$H219,stops!$B$2:$B$151,$B219,stops!$L$2:$L$151,"not_delivered"))&gt;0,N($U219)=0),"N","Y"))))</f>
        <v/>
      </c>
      <c r="R219" s="30" t="str">
        <f aca="false">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30" t="str">
        <f aca="false">IF($A219="","",IF($G219&lt;&gt;"",$G219,IFERROR(IF(INDEX(offices!$AM$2:$AM$61,MATCH($B219,offices!$A$2:$A$61,0))="","",INDEX(offices!$AM$2:$AM$61,MATCH($B219,offices!$A$2:$A$61,0))),"")))</f>
        <v/>
      </c>
      <c r="T219" s="30" t="str">
        <f aca="false">IF($A219="","",$A219&amp;"."&amp;$B219)</f>
        <v/>
      </c>
      <c r="U219" s="30" t="str">
        <f aca="false">IF($A219="","",SUMIFS(inventory!$G$2:$G$801,inventory!$C$2:$C$801,$A219,inventory!$D$2:$D$801,$B219,inventory!$E$2:$E$801,"delivered"))</f>
        <v/>
      </c>
      <c r="V219" s="37" t="str">
        <f aca="false">IF($A219="","",IFERROR(1/(1/SUMPRODUCT(MAX((inventory!$C$2:$C$801=$A219)*(inventory!$D$2:$D$801=$B219)*(inventory!$E$2:$E$801="delivered")*(inventory!$A$2:$A$801+inventory!$B$2:$B$801)))),""))</f>
        <v/>
      </c>
      <c r="W219" s="30" t="str">
        <f aca="false">IF($A219="","",IFERROR(IF(INDEX(inventory!$J$2:$J$801,MATCH($A219&amp;"|"&amp;$B219&amp;"|delivered",inventory!$R$2:$R$801,0))="","",INDEX(inventory!$J$2:$J$801,MATCH($A219&amp;"|"&amp;$B219&amp;"|delivered",inventory!$R$2:$R$801,0))),""))</f>
        <v/>
      </c>
      <c r="X219" s="30" t="str">
        <f aca="false">IF($A219="","",IFERROR(IF(INDEX(photos!$H$2:$H$701,MATCH($A219&amp;"|"&amp;$B219&amp;"|placement|Y",photos!$R$2:$R$701,0))="","",INDEX(photos!$H$2:$H$701,MATCH($A219&amp;"|"&amp;$B219&amp;"|placement|Y",photos!$R$2:$R$701,0))),""))</f>
        <v/>
      </c>
      <c r="Y219" s="31" t="str">
        <f aca="false">IF($A219="","",IFERROR(IF(INDEX(photos!$E$2:$E$701,MATCH($A219&amp;"|"&amp;$B219&amp;"|placement|Y",photos!$R$2:$R$701,0))="","",INDEX(photos!$E$2:$E$701,MATCH($A219&amp;"|"&amp;$B219&amp;"|placement|Y",photos!$R$2:$R$701,0))),""))</f>
        <v/>
      </c>
      <c r="Z219" s="30" t="str">
        <f aca="false">IF($A219="","",IF(COUNTIFS(counts!$C$2:$C$701,$A219,counts!$D$2:$D$701,$B219,counts!$E$2:$E$701,"placed")=0,"",SUMIFS(counts!$F$2:$F$701,counts!$C$2:$C$701,$A219,counts!$D$2:$D$701,$B219,counts!$E$2:$E$701,"placed")))</f>
        <v/>
      </c>
      <c r="AA219" s="30" t="str">
        <f aca="false">IF($A219="","",IF($Y219="",0,N($Z219)))</f>
        <v/>
      </c>
      <c r="AB219" s="30" t="str">
        <f aca="false">IF($A219="","",IF(OR($Y219="",$I219=""),"N",IF($Y219&lt;=WORKDAY(N($I219),1,calendar!$A$2:$A$80),"Y","N")))</f>
        <v/>
      </c>
      <c r="AC219" s="33" t="str">
        <f aca="false">IF(OR($A219="",$V219="",$Y219=""),"",ROUND(($Y219+N(IFERROR(IF(INDEX(photos!$F$2:$F$701,MATCH($A219&amp;"|"&amp;$B219&amp;"|placement|Y",photos!$R$2:$R$701,0))="","",INDEX(photos!$F$2:$F$701,MATCH($A219&amp;"|"&amp;$B219&amp;"|placement|Y",photos!$R$2:$R$701,0))),""))-$V219)*24,1))</f>
        <v/>
      </c>
      <c r="AD219" s="30" t="str">
        <f aca="false">IF($A219="","",SUMIFS(inventory!$G$2:$G$801,inventory!$C$2:$C$801,$A219,inventory!$D$2:$D$801,$B219,inventory!$E$2:$E$801,"topped_up"))</f>
        <v/>
      </c>
      <c r="AE219" s="30" t="str">
        <f aca="false">IF($A219="","",IF(COUNTIFS(counts!$C$2:$C$701,$A219,counts!$D$2:$D$701,$B219,counts!$E$2:$E$701,"remaining_day3")=0,"",SUMIFS(counts!$F$2:$F$701,counts!$C$2:$C$701,$A219,counts!$D$2:$D$701,$B219,counts!$E$2:$E$701,"remaining_day3")))</f>
        <v/>
      </c>
      <c r="AF219" s="30" t="str">
        <f aca="false">IF($A219="","",IF(COUNTIFS(counts!$C$2:$C$701,$A219,counts!$D$2:$D$701,$B219,counts!$E$2:$E$701,"remaining_day5")=0,"",SUMIFS(counts!$F$2:$F$701,counts!$C$2:$C$701,$A219,counts!$D$2:$D$701,$B219,counts!$E$2:$E$701,"remaining_day5")))</f>
        <v/>
      </c>
      <c r="AG219" s="30" t="str">
        <f aca="false">IF(OR($A219="",$AF219=""),"",MAX(0,$AA219+$AD219-$AF219))</f>
        <v/>
      </c>
      <c r="AH219" s="30" t="str">
        <f aca="false">IF(OR($A219="",$AI219=""),"",IFERROR(IF(INDEX(photos!$H$2:$H$701,MATCH($A219&amp;"|"&amp;$B219&amp;"|later|Y|"&amp;$AI219,photos!$S$2:$S$701,0))="","",INDEX(photos!$H$2:$H$701,MATCH($A219&amp;"|"&amp;$B219&amp;"|later|Y|"&amp;$AI219,photos!$S$2:$S$701,0))),""))</f>
        <v/>
      </c>
      <c r="AI219" s="31" t="str">
        <f aca="false">IF($A219="","",IFERROR(1/(1/SUMPRODUCT(MAX((photos!$B$2:$B$701=$A219)*(photos!$C$2:$C$701=$B219)*(photos!$D$2:$D$701="later")*(photos!$O$2:$O$701="Y")*photos!$E$2:$E$701))),""))</f>
        <v/>
      </c>
      <c r="AJ219" s="30" t="str">
        <f aca="false">IF(OR($A219="",$AI219="",$I219=""),"",NETWORKDAYS($I219,$AI219,calendar!$A$2:$A$80))</f>
        <v/>
      </c>
      <c r="AK219" s="30" t="str">
        <f aca="false">IF($A219="","",IF(AND($X219&lt;&gt;"",$AH219&lt;&gt;""),"Y","N"))</f>
        <v/>
      </c>
      <c r="AL219" s="30" t="str">
        <f aca="true">IF(OR($A219="",$I219=""),"",IF($BC219="Y",SUMIFS(survey_frozen!$C$2:$C$251,survey_frozen!$P$2:$P$251,$A219&amp;"|"&amp;$B219),IFERROR(COUNTIFS(INDIRECT("'"&amp;$A219&amp;"'!$B$2:$B$501"),$T219,INDIRECT("'"&amp;$A219&amp;"'!$A$2:$A$501"),"&gt;="&amp;$I219,INDIRECT("'"&amp;$A219&amp;"'!$A$2:$A$501"),"&lt;"&amp;($BA219+1)),0)))</f>
        <v/>
      </c>
      <c r="AM219" s="30" t="str">
        <f aca="true">IF(OR($A219="",$I219=""),"",IF($BC219="Y",SUMIFS(survey_frozen!$D$2:$D$251,survey_frozen!$P$2:$P$251,$A219&amp;"|"&amp;$B219),IFERROR(COUNTIFS(INDIRECT("'"&amp;$A219&amp;"'!$B$2:$B$501"),$T219,INDIRECT("'"&amp;$A219&amp;"'!$A$2:$A$501"),"&gt;="&amp;$I219,INDIRECT("'"&amp;$A219&amp;"'!$A$2:$A$501"),"&lt;"&amp;($BA219+1),INDIRECT("'"&amp;$A219&amp;"'!$C$2:$C$501"),"Yes"),0)))</f>
        <v/>
      </c>
      <c r="AN219" s="30" t="str">
        <f aca="false">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30" t="str">
        <f aca="false">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30" t="str">
        <f aca="true">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30" t="str">
        <f aca="true">IF(OR($A219="",$I219=""),"",IF($BC219="Y",SUMIFS(survey_frozen!$E$2:$E$251,survey_frozen!$P$2:$P$251,$A219&amp;"|"&amp;$B219),IFERROR(COUNTIFS(INDIRECT("'"&amp;$A219&amp;"'!$B$2:$B$501"),$T219,INDIRECT("'"&amp;$A219&amp;"'!$A$2:$A$501"),"&gt;="&amp;$I219,INDIRECT("'"&amp;$A219&amp;"'!$A$2:$A$501"),"&lt;"&amp;($BA219+1),INDIRECT("'"&amp;$A219&amp;"'!$F$2:$F$501"),"Didn't see it"),0)))</f>
        <v/>
      </c>
      <c r="AR219" s="30" t="str">
        <f aca="true">IF(OR($A219="",$I219=""),"",IF($BC219="Y",SUMIFS(survey_frozen!$F$2:$F$251,survey_frozen!$P$2:$P$251,$A219&amp;"|"&amp;$B219),IFERROR(COUNTIFS(INDIRECT("'"&amp;$A219&amp;"'!$B$2:$B$501"),$T219,INDIRECT("'"&amp;$A219&amp;"'!$A$2:$A$501"),"&gt;="&amp;$I219,INDIRECT("'"&amp;$A219&amp;"'!$A$2:$A$501"),"&lt;"&amp;($BA219+1),INDIRECT("'"&amp;$A219&amp;"'!$F$2:$F$501"),"Not for me"),0)))</f>
        <v/>
      </c>
      <c r="AS219" s="30" t="str">
        <f aca="true">IF(OR($A219="",$I219=""),"",IF($BC219="Y",SUMIFS(survey_frozen!$G$2:$G$251,survey_frozen!$P$2:$P$251,$A219&amp;"|"&amp;$B219),IFERROR(COUNTIFS(INDIRECT("'"&amp;$A219&amp;"'!$B$2:$B$501"),$T219,INDIRECT("'"&amp;$A219&amp;"'!$A$2:$A$501"),"&gt;="&amp;$I219,INDIRECT("'"&amp;$A219&amp;"'!$A$2:$A$501"),"&lt;"&amp;($BA219+1),INDIRECT("'"&amp;$A219&amp;"'!$F$2:$F$501"),"Gone by the time I looked"),0)))</f>
        <v/>
      </c>
      <c r="AT219" s="30" t="str">
        <f aca="true">IF(OR($A219="",$I219=""),"",IF($BC219="Y",SUMIFS(survey_frozen!$H$2:$H$251,survey_frozen!$P$2:$P$251,$A219&amp;"|"&amp;$B219),IFERROR(COUNTIFS(INDIRECT("'"&amp;$A219&amp;"'!$B$2:$B$501"),$T219,INDIRECT("'"&amp;$A219&amp;"'!$A$2:$A$501"),"&gt;="&amp;$I219,INDIRECT("'"&amp;$A219&amp;"'!$A$2:$A$501"),"&lt;"&amp;($BA219+1),INDIRECT("'"&amp;$A219&amp;"'!$D$2:$D$501"),"&gt;=1"),0)))</f>
        <v/>
      </c>
      <c r="AU219" s="30" t="str">
        <f aca="true">IF(OR($A219="",$I219=""),"",IF($BC219="Y",SUMIFS(survey_frozen!$I$2:$I$251,survey_frozen!$P$2:$P$251,$A219&amp;"|"&amp;$B219),IFERROR(SUMIFS(INDIRECT("'"&amp;$A219&amp;"'!$D$2:$D$501"),INDIRECT("'"&amp;$A219&amp;"'!$B$2:$B$501"),$T219,INDIRECT("'"&amp;$A219&amp;"'!$A$2:$A$501"),"&gt;="&amp;$I219,INDIRECT("'"&amp;$A219&amp;"'!$A$2:$A$501"),"&lt;"&amp;($BA219+1)),0)))</f>
        <v/>
      </c>
      <c r="AV219" s="30" t="str">
        <f aca="true">IF(OR($A219="",$I219=""),"",IF($BC219="Y",SUMIFS(survey_frozen!$J$2:$J$251,survey_frozen!$P$2:$P$251,$A219&amp;"|"&amp;$B219),IFERROR(COUNTIFS(INDIRECT("'"&amp;$A219&amp;"'!$B$2:$B$501"),$T219,INDIRECT("'"&amp;$A219&amp;"'!$A$2:$A$501"),"&gt;="&amp;$I219,INDIRECT("'"&amp;$A219&amp;"'!$A$2:$A$501"),"&lt;"&amp;($BA219+1),INDIRECT("'"&amp;$A219&amp;"'!$E$2:$E$501"),"Yes"),0)))</f>
        <v/>
      </c>
      <c r="AW219" s="30" t="str">
        <f aca="true">IF(OR($A219="",$I219=""),"",IF($BC219="Y",SUMIFS(survey_frozen!$K$2:$K$251,survey_frozen!$P$2:$P$251,$A219&amp;"|"&amp;$B219),IFERROR(COUNTIFS(INDIRECT("'"&amp;$A219&amp;"'!$B$2:$B$501"),$T219,INDIRECT("'"&amp;$A219&amp;"'!$A$2:$A$501"),"&gt;="&amp;$I219,INDIRECT("'"&amp;$A219&amp;"'!$A$2:$A$501"),"&lt;"&amp;($BA219+1),INDIRECT("'"&amp;$A219&amp;"'!$E$2:$E$501"),"Maybe"),0)))</f>
        <v/>
      </c>
      <c r="AX219" s="30" t="str">
        <f aca="true">IF(OR($A219="",$I219=""),"",IF($BC219="Y",SUMIFS(survey_frozen!$L$2:$L$251,survey_frozen!$P$2:$P$251,$A219&amp;"|"&amp;$B219),IFERROR(COUNTIFS(INDIRECT("'"&amp;$A219&amp;"'!$B$2:$B$501"),$T219,INDIRECT("'"&amp;$A219&amp;"'!$A$2:$A$501"),"&gt;="&amp;$I219,INDIRECT("'"&amp;$A219&amp;"'!$A$2:$A$501"),"&lt;"&amp;($BA219+1),INDIRECT("'"&amp;$A219&amp;"'!$E$2:$E$501"),"No"),0)))</f>
        <v/>
      </c>
      <c r="AY219" s="30" t="str">
        <f aca="true">IF(OR($A219="",$I219=""),"",IF($BC219="Y",SUMIFS(survey_frozen!$M$2:$M$251,survey_frozen!$P$2:$P$251,$A219&amp;"|"&amp;$B219),IFERROR(COUNTIFS(INDIRECT("'"&amp;$A219&amp;"'!$B$2:$B$501"),$T219,INDIRECT("'"&amp;$A219&amp;"'!$A$2:$A$501"),"&gt;="&amp;$I219,INDIRECT("'"&amp;$A219&amp;"'!$A$2:$A$501"),"&lt;"&amp;($BA219+1),INDIRECT("'"&amp;$A219&amp;"'!$G$2:$G$501"),"&lt;&gt;"),0)))</f>
        <v/>
      </c>
      <c r="AZ219" s="30" t="str">
        <f aca="false">IF($A219="","",$A219&amp;"|"&amp;$L219)</f>
        <v/>
      </c>
      <c r="BA219" s="31" t="str">
        <f aca="false">IF($A219="","",IFERROR(IF(INDEX(drops!$R$2:$R$21,MATCH($H219,drops!$A$2:$A$21,0))="","",INDEX(drops!$R$2:$R$21,MATCH($H219,drops!$A$2:$A$21,0))),""))</f>
        <v/>
      </c>
      <c r="BB219" s="30" t="n">
        <f aca="false">IF(OR($A219="",$Q219&lt;&gt;"Y"),1000000,N($AL219))</f>
        <v>1000000</v>
      </c>
      <c r="BC219" s="30" t="str">
        <f aca="false">IF($A219="","",IF(COUNTIF(survey_frozen!$P$2:$P$251,$A219&amp;"|"&amp;$B219)&gt;0,"Y",""))</f>
        <v/>
      </c>
      <c r="BD219" s="30" t="str">
        <f aca="false">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ustomFormat="false" ht="15" hidden="false" customHeight="false" outlineLevel="0" collapsed="false">
      <c r="C220" s="11"/>
      <c r="D220" s="10"/>
      <c r="E220" s="11"/>
      <c r="H220" s="30" t="str">
        <f aca="false">IF($A220="","",IFERROR(IF(INDEX(campaigns!$B$2:$B$51,MATCH($A220,campaigns!$A$2:$A$51,0))="","",INDEX(campaigns!$B$2:$B$51,MATCH($A220,campaigns!$A$2:$A$51,0))),""))</f>
        <v/>
      </c>
      <c r="I220" s="31" t="str">
        <f aca="false">IF($A220="","",IFERROR(IF(INDEX(campaigns!$BG$2:$BG$51,MATCH($A220,campaigns!$A$2:$A$51,0))="","",INDEX(campaigns!$BG$2:$BG$51,MATCH($A220,campaigns!$A$2:$A$51,0))),""))</f>
        <v/>
      </c>
      <c r="J220" s="30" t="str">
        <f aca="false">IF($A220="","",IFERROR(IF(INDEX(campaigns!$BE$2:$BE$51,MATCH($A220,campaigns!$A$2:$A$51,0))="","",INDEX(campaigns!$BE$2:$BE$51,MATCH($A220,campaigns!$A$2:$A$51,0))),""))</f>
        <v/>
      </c>
      <c r="K220" s="30" t="str">
        <f aca="false">IF($B220="","",IFERROR(IF(INDEX(offices!$O$2:$O$61,MATCH($B220,offices!$A$2:$A$61,0))="","",INDEX(offices!$O$2:$O$61,MATCH($B220,offices!$A$2:$A$61,0))),""))</f>
        <v/>
      </c>
      <c r="L220" s="30" t="str">
        <f aca="false">IF($A220="","",IF($Q220="N","",COUNTIFS($A$2:$A220,$A220,$Q$2:$Q220,"&lt;&gt;N")))</f>
        <v/>
      </c>
      <c r="M220" s="30" t="str">
        <f aca="false">IF(OR($A220="",$L220=""),"",IF(AND(config!$B$34="names_if_public",IFERROR(IF(INDEX(offices!$AG$2:$AG$61,MATCH($B220,offices!$A$2:$A$61,0))="","",INDEX(offices!$AG$2:$AG$61,MATCH($B220,offices!$A$2:$A$61,0))),"")="Y"),$K220,CHAR(64+$L220)))</f>
        <v/>
      </c>
      <c r="N220" s="30" t="str">
        <f aca="false">IF(OR($A220="",$I220=""),"",COUNTIFS(stops!$B$2:$B$151,$B220,stops!$P$2:$P$151,"&lt;"&amp;$I220,stops!$L$2:$L$151,"&lt;&gt;not_delivered")+1)</f>
        <v/>
      </c>
      <c r="O220" s="30" t="str">
        <f aca="false">IF($A220="","",IF(N($N220)&lt;=config!$B$29,"explicit","opt-out"))</f>
        <v/>
      </c>
      <c r="P220" s="30" t="str">
        <f aca="false">IF($A220="","",IF($O220="explicit",IF($D220="yes","Y",IF($D220="no","N","pending")),IF($D220="no","N",IF(AND($C220&lt;&gt;"",$I220&lt;&gt;"",$C220&lt;=WORKDAY(N($I220),-5,calendar!$A$2:$A$80)),"Y","pending"))))</f>
        <v/>
      </c>
      <c r="Q220" s="30" t="str">
        <f aca="false">IF($A220="","",IF($P220="N","N",IF($P220&lt;&gt;"Y","pending",IF(AND((COUNTIFS(stops!$A$2:$A$151,$H220,stops!$B$2:$B$151,$B220,stops!$L$2:$L$151,"declined")+COUNTIFS(stops!$A$2:$A$151,$H220,stops!$B$2:$B$151,$B220,stops!$L$2:$L$151,"building_refused")+COUNTIFS(stops!$A$2:$A$151,$H220,stops!$B$2:$B$151,$B220,stops!$L$2:$L$151,"not_delivered"))&gt;0,N($U220)=0),"N","Y"))))</f>
        <v/>
      </c>
      <c r="R220" s="30" t="str">
        <f aca="false">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30" t="str">
        <f aca="false">IF($A220="","",IF($G220&lt;&gt;"",$G220,IFERROR(IF(INDEX(offices!$AM$2:$AM$61,MATCH($B220,offices!$A$2:$A$61,0))="","",INDEX(offices!$AM$2:$AM$61,MATCH($B220,offices!$A$2:$A$61,0))),"")))</f>
        <v/>
      </c>
      <c r="T220" s="30" t="str">
        <f aca="false">IF($A220="","",$A220&amp;"."&amp;$B220)</f>
        <v/>
      </c>
      <c r="U220" s="30" t="str">
        <f aca="false">IF($A220="","",SUMIFS(inventory!$G$2:$G$801,inventory!$C$2:$C$801,$A220,inventory!$D$2:$D$801,$B220,inventory!$E$2:$E$801,"delivered"))</f>
        <v/>
      </c>
      <c r="V220" s="37" t="str">
        <f aca="false">IF($A220="","",IFERROR(1/(1/SUMPRODUCT(MAX((inventory!$C$2:$C$801=$A220)*(inventory!$D$2:$D$801=$B220)*(inventory!$E$2:$E$801="delivered")*(inventory!$A$2:$A$801+inventory!$B$2:$B$801)))),""))</f>
        <v/>
      </c>
      <c r="W220" s="30" t="str">
        <f aca="false">IF($A220="","",IFERROR(IF(INDEX(inventory!$J$2:$J$801,MATCH($A220&amp;"|"&amp;$B220&amp;"|delivered",inventory!$R$2:$R$801,0))="","",INDEX(inventory!$J$2:$J$801,MATCH($A220&amp;"|"&amp;$B220&amp;"|delivered",inventory!$R$2:$R$801,0))),""))</f>
        <v/>
      </c>
      <c r="X220" s="30" t="str">
        <f aca="false">IF($A220="","",IFERROR(IF(INDEX(photos!$H$2:$H$701,MATCH($A220&amp;"|"&amp;$B220&amp;"|placement|Y",photos!$R$2:$R$701,0))="","",INDEX(photos!$H$2:$H$701,MATCH($A220&amp;"|"&amp;$B220&amp;"|placement|Y",photos!$R$2:$R$701,0))),""))</f>
        <v/>
      </c>
      <c r="Y220" s="31" t="str">
        <f aca="false">IF($A220="","",IFERROR(IF(INDEX(photos!$E$2:$E$701,MATCH($A220&amp;"|"&amp;$B220&amp;"|placement|Y",photos!$R$2:$R$701,0))="","",INDEX(photos!$E$2:$E$701,MATCH($A220&amp;"|"&amp;$B220&amp;"|placement|Y",photos!$R$2:$R$701,0))),""))</f>
        <v/>
      </c>
      <c r="Z220" s="30" t="str">
        <f aca="false">IF($A220="","",IF(COUNTIFS(counts!$C$2:$C$701,$A220,counts!$D$2:$D$701,$B220,counts!$E$2:$E$701,"placed")=0,"",SUMIFS(counts!$F$2:$F$701,counts!$C$2:$C$701,$A220,counts!$D$2:$D$701,$B220,counts!$E$2:$E$701,"placed")))</f>
        <v/>
      </c>
      <c r="AA220" s="30" t="str">
        <f aca="false">IF($A220="","",IF($Y220="",0,N($Z220)))</f>
        <v/>
      </c>
      <c r="AB220" s="30" t="str">
        <f aca="false">IF($A220="","",IF(OR($Y220="",$I220=""),"N",IF($Y220&lt;=WORKDAY(N($I220),1,calendar!$A$2:$A$80),"Y","N")))</f>
        <v/>
      </c>
      <c r="AC220" s="33" t="str">
        <f aca="false">IF(OR($A220="",$V220="",$Y220=""),"",ROUND(($Y220+N(IFERROR(IF(INDEX(photos!$F$2:$F$701,MATCH($A220&amp;"|"&amp;$B220&amp;"|placement|Y",photos!$R$2:$R$701,0))="","",INDEX(photos!$F$2:$F$701,MATCH($A220&amp;"|"&amp;$B220&amp;"|placement|Y",photos!$R$2:$R$701,0))),""))-$V220)*24,1))</f>
        <v/>
      </c>
      <c r="AD220" s="30" t="str">
        <f aca="false">IF($A220="","",SUMIFS(inventory!$G$2:$G$801,inventory!$C$2:$C$801,$A220,inventory!$D$2:$D$801,$B220,inventory!$E$2:$E$801,"topped_up"))</f>
        <v/>
      </c>
      <c r="AE220" s="30" t="str">
        <f aca="false">IF($A220="","",IF(COUNTIFS(counts!$C$2:$C$701,$A220,counts!$D$2:$D$701,$B220,counts!$E$2:$E$701,"remaining_day3")=0,"",SUMIFS(counts!$F$2:$F$701,counts!$C$2:$C$701,$A220,counts!$D$2:$D$701,$B220,counts!$E$2:$E$701,"remaining_day3")))</f>
        <v/>
      </c>
      <c r="AF220" s="30" t="str">
        <f aca="false">IF($A220="","",IF(COUNTIFS(counts!$C$2:$C$701,$A220,counts!$D$2:$D$701,$B220,counts!$E$2:$E$701,"remaining_day5")=0,"",SUMIFS(counts!$F$2:$F$701,counts!$C$2:$C$701,$A220,counts!$D$2:$D$701,$B220,counts!$E$2:$E$701,"remaining_day5")))</f>
        <v/>
      </c>
      <c r="AG220" s="30" t="str">
        <f aca="false">IF(OR($A220="",$AF220=""),"",MAX(0,$AA220+$AD220-$AF220))</f>
        <v/>
      </c>
      <c r="AH220" s="30" t="str">
        <f aca="false">IF(OR($A220="",$AI220=""),"",IFERROR(IF(INDEX(photos!$H$2:$H$701,MATCH($A220&amp;"|"&amp;$B220&amp;"|later|Y|"&amp;$AI220,photos!$S$2:$S$701,0))="","",INDEX(photos!$H$2:$H$701,MATCH($A220&amp;"|"&amp;$B220&amp;"|later|Y|"&amp;$AI220,photos!$S$2:$S$701,0))),""))</f>
        <v/>
      </c>
      <c r="AI220" s="31" t="str">
        <f aca="false">IF($A220="","",IFERROR(1/(1/SUMPRODUCT(MAX((photos!$B$2:$B$701=$A220)*(photos!$C$2:$C$701=$B220)*(photos!$D$2:$D$701="later")*(photos!$O$2:$O$701="Y")*photos!$E$2:$E$701))),""))</f>
        <v/>
      </c>
      <c r="AJ220" s="30" t="str">
        <f aca="false">IF(OR($A220="",$AI220="",$I220=""),"",NETWORKDAYS($I220,$AI220,calendar!$A$2:$A$80))</f>
        <v/>
      </c>
      <c r="AK220" s="30" t="str">
        <f aca="false">IF($A220="","",IF(AND($X220&lt;&gt;"",$AH220&lt;&gt;""),"Y","N"))</f>
        <v/>
      </c>
      <c r="AL220" s="30" t="str">
        <f aca="true">IF(OR($A220="",$I220=""),"",IF($BC220="Y",SUMIFS(survey_frozen!$C$2:$C$251,survey_frozen!$P$2:$P$251,$A220&amp;"|"&amp;$B220),IFERROR(COUNTIFS(INDIRECT("'"&amp;$A220&amp;"'!$B$2:$B$501"),$T220,INDIRECT("'"&amp;$A220&amp;"'!$A$2:$A$501"),"&gt;="&amp;$I220,INDIRECT("'"&amp;$A220&amp;"'!$A$2:$A$501"),"&lt;"&amp;($BA220+1)),0)))</f>
        <v/>
      </c>
      <c r="AM220" s="30" t="str">
        <f aca="true">IF(OR($A220="",$I220=""),"",IF($BC220="Y",SUMIFS(survey_frozen!$D$2:$D$251,survey_frozen!$P$2:$P$251,$A220&amp;"|"&amp;$B220),IFERROR(COUNTIFS(INDIRECT("'"&amp;$A220&amp;"'!$B$2:$B$501"),$T220,INDIRECT("'"&amp;$A220&amp;"'!$A$2:$A$501"),"&gt;="&amp;$I220,INDIRECT("'"&amp;$A220&amp;"'!$A$2:$A$501"),"&lt;"&amp;($BA220+1),INDIRECT("'"&amp;$A220&amp;"'!$C$2:$C$501"),"Yes"),0)))</f>
        <v/>
      </c>
      <c r="AN220" s="30" t="str">
        <f aca="false">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30" t="str">
        <f aca="false">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30" t="str">
        <f aca="true">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30" t="str">
        <f aca="true">IF(OR($A220="",$I220=""),"",IF($BC220="Y",SUMIFS(survey_frozen!$E$2:$E$251,survey_frozen!$P$2:$P$251,$A220&amp;"|"&amp;$B220),IFERROR(COUNTIFS(INDIRECT("'"&amp;$A220&amp;"'!$B$2:$B$501"),$T220,INDIRECT("'"&amp;$A220&amp;"'!$A$2:$A$501"),"&gt;="&amp;$I220,INDIRECT("'"&amp;$A220&amp;"'!$A$2:$A$501"),"&lt;"&amp;($BA220+1),INDIRECT("'"&amp;$A220&amp;"'!$F$2:$F$501"),"Didn't see it"),0)))</f>
        <v/>
      </c>
      <c r="AR220" s="30" t="str">
        <f aca="true">IF(OR($A220="",$I220=""),"",IF($BC220="Y",SUMIFS(survey_frozen!$F$2:$F$251,survey_frozen!$P$2:$P$251,$A220&amp;"|"&amp;$B220),IFERROR(COUNTIFS(INDIRECT("'"&amp;$A220&amp;"'!$B$2:$B$501"),$T220,INDIRECT("'"&amp;$A220&amp;"'!$A$2:$A$501"),"&gt;="&amp;$I220,INDIRECT("'"&amp;$A220&amp;"'!$A$2:$A$501"),"&lt;"&amp;($BA220+1),INDIRECT("'"&amp;$A220&amp;"'!$F$2:$F$501"),"Not for me"),0)))</f>
        <v/>
      </c>
      <c r="AS220" s="30" t="str">
        <f aca="true">IF(OR($A220="",$I220=""),"",IF($BC220="Y",SUMIFS(survey_frozen!$G$2:$G$251,survey_frozen!$P$2:$P$251,$A220&amp;"|"&amp;$B220),IFERROR(COUNTIFS(INDIRECT("'"&amp;$A220&amp;"'!$B$2:$B$501"),$T220,INDIRECT("'"&amp;$A220&amp;"'!$A$2:$A$501"),"&gt;="&amp;$I220,INDIRECT("'"&amp;$A220&amp;"'!$A$2:$A$501"),"&lt;"&amp;($BA220+1),INDIRECT("'"&amp;$A220&amp;"'!$F$2:$F$501"),"Gone by the time I looked"),0)))</f>
        <v/>
      </c>
      <c r="AT220" s="30" t="str">
        <f aca="true">IF(OR($A220="",$I220=""),"",IF($BC220="Y",SUMIFS(survey_frozen!$H$2:$H$251,survey_frozen!$P$2:$P$251,$A220&amp;"|"&amp;$B220),IFERROR(COUNTIFS(INDIRECT("'"&amp;$A220&amp;"'!$B$2:$B$501"),$T220,INDIRECT("'"&amp;$A220&amp;"'!$A$2:$A$501"),"&gt;="&amp;$I220,INDIRECT("'"&amp;$A220&amp;"'!$A$2:$A$501"),"&lt;"&amp;($BA220+1),INDIRECT("'"&amp;$A220&amp;"'!$D$2:$D$501"),"&gt;=1"),0)))</f>
        <v/>
      </c>
      <c r="AU220" s="30" t="str">
        <f aca="true">IF(OR($A220="",$I220=""),"",IF($BC220="Y",SUMIFS(survey_frozen!$I$2:$I$251,survey_frozen!$P$2:$P$251,$A220&amp;"|"&amp;$B220),IFERROR(SUMIFS(INDIRECT("'"&amp;$A220&amp;"'!$D$2:$D$501"),INDIRECT("'"&amp;$A220&amp;"'!$B$2:$B$501"),$T220,INDIRECT("'"&amp;$A220&amp;"'!$A$2:$A$501"),"&gt;="&amp;$I220,INDIRECT("'"&amp;$A220&amp;"'!$A$2:$A$501"),"&lt;"&amp;($BA220+1)),0)))</f>
        <v/>
      </c>
      <c r="AV220" s="30" t="str">
        <f aca="true">IF(OR($A220="",$I220=""),"",IF($BC220="Y",SUMIFS(survey_frozen!$J$2:$J$251,survey_frozen!$P$2:$P$251,$A220&amp;"|"&amp;$B220),IFERROR(COUNTIFS(INDIRECT("'"&amp;$A220&amp;"'!$B$2:$B$501"),$T220,INDIRECT("'"&amp;$A220&amp;"'!$A$2:$A$501"),"&gt;="&amp;$I220,INDIRECT("'"&amp;$A220&amp;"'!$A$2:$A$501"),"&lt;"&amp;($BA220+1),INDIRECT("'"&amp;$A220&amp;"'!$E$2:$E$501"),"Yes"),0)))</f>
        <v/>
      </c>
      <c r="AW220" s="30" t="str">
        <f aca="true">IF(OR($A220="",$I220=""),"",IF($BC220="Y",SUMIFS(survey_frozen!$K$2:$K$251,survey_frozen!$P$2:$P$251,$A220&amp;"|"&amp;$B220),IFERROR(COUNTIFS(INDIRECT("'"&amp;$A220&amp;"'!$B$2:$B$501"),$T220,INDIRECT("'"&amp;$A220&amp;"'!$A$2:$A$501"),"&gt;="&amp;$I220,INDIRECT("'"&amp;$A220&amp;"'!$A$2:$A$501"),"&lt;"&amp;($BA220+1),INDIRECT("'"&amp;$A220&amp;"'!$E$2:$E$501"),"Maybe"),0)))</f>
        <v/>
      </c>
      <c r="AX220" s="30" t="str">
        <f aca="true">IF(OR($A220="",$I220=""),"",IF($BC220="Y",SUMIFS(survey_frozen!$L$2:$L$251,survey_frozen!$P$2:$P$251,$A220&amp;"|"&amp;$B220),IFERROR(COUNTIFS(INDIRECT("'"&amp;$A220&amp;"'!$B$2:$B$501"),$T220,INDIRECT("'"&amp;$A220&amp;"'!$A$2:$A$501"),"&gt;="&amp;$I220,INDIRECT("'"&amp;$A220&amp;"'!$A$2:$A$501"),"&lt;"&amp;($BA220+1),INDIRECT("'"&amp;$A220&amp;"'!$E$2:$E$501"),"No"),0)))</f>
        <v/>
      </c>
      <c r="AY220" s="30" t="str">
        <f aca="true">IF(OR($A220="",$I220=""),"",IF($BC220="Y",SUMIFS(survey_frozen!$M$2:$M$251,survey_frozen!$P$2:$P$251,$A220&amp;"|"&amp;$B220),IFERROR(COUNTIFS(INDIRECT("'"&amp;$A220&amp;"'!$B$2:$B$501"),$T220,INDIRECT("'"&amp;$A220&amp;"'!$A$2:$A$501"),"&gt;="&amp;$I220,INDIRECT("'"&amp;$A220&amp;"'!$A$2:$A$501"),"&lt;"&amp;($BA220+1),INDIRECT("'"&amp;$A220&amp;"'!$G$2:$G$501"),"&lt;&gt;"),0)))</f>
        <v/>
      </c>
      <c r="AZ220" s="30" t="str">
        <f aca="false">IF($A220="","",$A220&amp;"|"&amp;$L220)</f>
        <v/>
      </c>
      <c r="BA220" s="31" t="str">
        <f aca="false">IF($A220="","",IFERROR(IF(INDEX(drops!$R$2:$R$21,MATCH($H220,drops!$A$2:$A$21,0))="","",INDEX(drops!$R$2:$R$21,MATCH($H220,drops!$A$2:$A$21,0))),""))</f>
        <v/>
      </c>
      <c r="BB220" s="30" t="n">
        <f aca="false">IF(OR($A220="",$Q220&lt;&gt;"Y"),1000000,N($AL220))</f>
        <v>1000000</v>
      </c>
      <c r="BC220" s="30" t="str">
        <f aca="false">IF($A220="","",IF(COUNTIF(survey_frozen!$P$2:$P$251,$A220&amp;"|"&amp;$B220)&gt;0,"Y",""))</f>
        <v/>
      </c>
      <c r="BD220" s="30" t="str">
        <f aca="false">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ustomFormat="false" ht="15" hidden="false" customHeight="false" outlineLevel="0" collapsed="false">
      <c r="C221" s="11"/>
      <c r="D221" s="10"/>
      <c r="E221" s="11"/>
      <c r="H221" s="30" t="str">
        <f aca="false">IF($A221="","",IFERROR(IF(INDEX(campaigns!$B$2:$B$51,MATCH($A221,campaigns!$A$2:$A$51,0))="","",INDEX(campaigns!$B$2:$B$51,MATCH($A221,campaigns!$A$2:$A$51,0))),""))</f>
        <v/>
      </c>
      <c r="I221" s="31" t="str">
        <f aca="false">IF($A221="","",IFERROR(IF(INDEX(campaigns!$BG$2:$BG$51,MATCH($A221,campaigns!$A$2:$A$51,0))="","",INDEX(campaigns!$BG$2:$BG$51,MATCH($A221,campaigns!$A$2:$A$51,0))),""))</f>
        <v/>
      </c>
      <c r="J221" s="30" t="str">
        <f aca="false">IF($A221="","",IFERROR(IF(INDEX(campaigns!$BE$2:$BE$51,MATCH($A221,campaigns!$A$2:$A$51,0))="","",INDEX(campaigns!$BE$2:$BE$51,MATCH($A221,campaigns!$A$2:$A$51,0))),""))</f>
        <v/>
      </c>
      <c r="K221" s="30" t="str">
        <f aca="false">IF($B221="","",IFERROR(IF(INDEX(offices!$O$2:$O$61,MATCH($B221,offices!$A$2:$A$61,0))="","",INDEX(offices!$O$2:$O$61,MATCH($B221,offices!$A$2:$A$61,0))),""))</f>
        <v/>
      </c>
      <c r="L221" s="30" t="str">
        <f aca="false">IF($A221="","",IF($Q221="N","",COUNTIFS($A$2:$A221,$A221,$Q$2:$Q221,"&lt;&gt;N")))</f>
        <v/>
      </c>
      <c r="M221" s="30" t="str">
        <f aca="false">IF(OR($A221="",$L221=""),"",IF(AND(config!$B$34="names_if_public",IFERROR(IF(INDEX(offices!$AG$2:$AG$61,MATCH($B221,offices!$A$2:$A$61,0))="","",INDEX(offices!$AG$2:$AG$61,MATCH($B221,offices!$A$2:$A$61,0))),"")="Y"),$K221,CHAR(64+$L221)))</f>
        <v/>
      </c>
      <c r="N221" s="30" t="str">
        <f aca="false">IF(OR($A221="",$I221=""),"",COUNTIFS(stops!$B$2:$B$151,$B221,stops!$P$2:$P$151,"&lt;"&amp;$I221,stops!$L$2:$L$151,"&lt;&gt;not_delivered")+1)</f>
        <v/>
      </c>
      <c r="O221" s="30" t="str">
        <f aca="false">IF($A221="","",IF(N($N221)&lt;=config!$B$29,"explicit","opt-out"))</f>
        <v/>
      </c>
      <c r="P221" s="30" t="str">
        <f aca="false">IF($A221="","",IF($O221="explicit",IF($D221="yes","Y",IF($D221="no","N","pending")),IF($D221="no","N",IF(AND($C221&lt;&gt;"",$I221&lt;&gt;"",$C221&lt;=WORKDAY(N($I221),-5,calendar!$A$2:$A$80)),"Y","pending"))))</f>
        <v/>
      </c>
      <c r="Q221" s="30" t="str">
        <f aca="false">IF($A221="","",IF($P221="N","N",IF($P221&lt;&gt;"Y","pending",IF(AND((COUNTIFS(stops!$A$2:$A$151,$H221,stops!$B$2:$B$151,$B221,stops!$L$2:$L$151,"declined")+COUNTIFS(stops!$A$2:$A$151,$H221,stops!$B$2:$B$151,$B221,stops!$L$2:$L$151,"building_refused")+COUNTIFS(stops!$A$2:$A$151,$H221,stops!$B$2:$B$151,$B221,stops!$L$2:$L$151,"not_delivered"))&gt;0,N($U221)=0),"N","Y"))))</f>
        <v/>
      </c>
      <c r="R221" s="30" t="str">
        <f aca="false">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30" t="str">
        <f aca="false">IF($A221="","",IF($G221&lt;&gt;"",$G221,IFERROR(IF(INDEX(offices!$AM$2:$AM$61,MATCH($B221,offices!$A$2:$A$61,0))="","",INDEX(offices!$AM$2:$AM$61,MATCH($B221,offices!$A$2:$A$61,0))),"")))</f>
        <v/>
      </c>
      <c r="T221" s="30" t="str">
        <f aca="false">IF($A221="","",$A221&amp;"."&amp;$B221)</f>
        <v/>
      </c>
      <c r="U221" s="30" t="str">
        <f aca="false">IF($A221="","",SUMIFS(inventory!$G$2:$G$801,inventory!$C$2:$C$801,$A221,inventory!$D$2:$D$801,$B221,inventory!$E$2:$E$801,"delivered"))</f>
        <v/>
      </c>
      <c r="V221" s="37" t="str">
        <f aca="false">IF($A221="","",IFERROR(1/(1/SUMPRODUCT(MAX((inventory!$C$2:$C$801=$A221)*(inventory!$D$2:$D$801=$B221)*(inventory!$E$2:$E$801="delivered")*(inventory!$A$2:$A$801+inventory!$B$2:$B$801)))),""))</f>
        <v/>
      </c>
      <c r="W221" s="30" t="str">
        <f aca="false">IF($A221="","",IFERROR(IF(INDEX(inventory!$J$2:$J$801,MATCH($A221&amp;"|"&amp;$B221&amp;"|delivered",inventory!$R$2:$R$801,0))="","",INDEX(inventory!$J$2:$J$801,MATCH($A221&amp;"|"&amp;$B221&amp;"|delivered",inventory!$R$2:$R$801,0))),""))</f>
        <v/>
      </c>
      <c r="X221" s="30" t="str">
        <f aca="false">IF($A221="","",IFERROR(IF(INDEX(photos!$H$2:$H$701,MATCH($A221&amp;"|"&amp;$B221&amp;"|placement|Y",photos!$R$2:$R$701,0))="","",INDEX(photos!$H$2:$H$701,MATCH($A221&amp;"|"&amp;$B221&amp;"|placement|Y",photos!$R$2:$R$701,0))),""))</f>
        <v/>
      </c>
      <c r="Y221" s="31" t="str">
        <f aca="false">IF($A221="","",IFERROR(IF(INDEX(photos!$E$2:$E$701,MATCH($A221&amp;"|"&amp;$B221&amp;"|placement|Y",photos!$R$2:$R$701,0))="","",INDEX(photos!$E$2:$E$701,MATCH($A221&amp;"|"&amp;$B221&amp;"|placement|Y",photos!$R$2:$R$701,0))),""))</f>
        <v/>
      </c>
      <c r="Z221" s="30" t="str">
        <f aca="false">IF($A221="","",IF(COUNTIFS(counts!$C$2:$C$701,$A221,counts!$D$2:$D$701,$B221,counts!$E$2:$E$701,"placed")=0,"",SUMIFS(counts!$F$2:$F$701,counts!$C$2:$C$701,$A221,counts!$D$2:$D$701,$B221,counts!$E$2:$E$701,"placed")))</f>
        <v/>
      </c>
      <c r="AA221" s="30" t="str">
        <f aca="false">IF($A221="","",IF($Y221="",0,N($Z221)))</f>
        <v/>
      </c>
      <c r="AB221" s="30" t="str">
        <f aca="false">IF($A221="","",IF(OR($Y221="",$I221=""),"N",IF($Y221&lt;=WORKDAY(N($I221),1,calendar!$A$2:$A$80),"Y","N")))</f>
        <v/>
      </c>
      <c r="AC221" s="33" t="str">
        <f aca="false">IF(OR($A221="",$V221="",$Y221=""),"",ROUND(($Y221+N(IFERROR(IF(INDEX(photos!$F$2:$F$701,MATCH($A221&amp;"|"&amp;$B221&amp;"|placement|Y",photos!$R$2:$R$701,0))="","",INDEX(photos!$F$2:$F$701,MATCH($A221&amp;"|"&amp;$B221&amp;"|placement|Y",photos!$R$2:$R$701,0))),""))-$V221)*24,1))</f>
        <v/>
      </c>
      <c r="AD221" s="30" t="str">
        <f aca="false">IF($A221="","",SUMIFS(inventory!$G$2:$G$801,inventory!$C$2:$C$801,$A221,inventory!$D$2:$D$801,$B221,inventory!$E$2:$E$801,"topped_up"))</f>
        <v/>
      </c>
      <c r="AE221" s="30" t="str">
        <f aca="false">IF($A221="","",IF(COUNTIFS(counts!$C$2:$C$701,$A221,counts!$D$2:$D$701,$B221,counts!$E$2:$E$701,"remaining_day3")=0,"",SUMIFS(counts!$F$2:$F$701,counts!$C$2:$C$701,$A221,counts!$D$2:$D$701,$B221,counts!$E$2:$E$701,"remaining_day3")))</f>
        <v/>
      </c>
      <c r="AF221" s="30" t="str">
        <f aca="false">IF($A221="","",IF(COUNTIFS(counts!$C$2:$C$701,$A221,counts!$D$2:$D$701,$B221,counts!$E$2:$E$701,"remaining_day5")=0,"",SUMIFS(counts!$F$2:$F$701,counts!$C$2:$C$701,$A221,counts!$D$2:$D$701,$B221,counts!$E$2:$E$701,"remaining_day5")))</f>
        <v/>
      </c>
      <c r="AG221" s="30" t="str">
        <f aca="false">IF(OR($A221="",$AF221=""),"",MAX(0,$AA221+$AD221-$AF221))</f>
        <v/>
      </c>
      <c r="AH221" s="30" t="str">
        <f aca="false">IF(OR($A221="",$AI221=""),"",IFERROR(IF(INDEX(photos!$H$2:$H$701,MATCH($A221&amp;"|"&amp;$B221&amp;"|later|Y|"&amp;$AI221,photos!$S$2:$S$701,0))="","",INDEX(photos!$H$2:$H$701,MATCH($A221&amp;"|"&amp;$B221&amp;"|later|Y|"&amp;$AI221,photos!$S$2:$S$701,0))),""))</f>
        <v/>
      </c>
      <c r="AI221" s="31" t="str">
        <f aca="false">IF($A221="","",IFERROR(1/(1/SUMPRODUCT(MAX((photos!$B$2:$B$701=$A221)*(photos!$C$2:$C$701=$B221)*(photos!$D$2:$D$701="later")*(photos!$O$2:$O$701="Y")*photos!$E$2:$E$701))),""))</f>
        <v/>
      </c>
      <c r="AJ221" s="30" t="str">
        <f aca="false">IF(OR($A221="",$AI221="",$I221=""),"",NETWORKDAYS($I221,$AI221,calendar!$A$2:$A$80))</f>
        <v/>
      </c>
      <c r="AK221" s="30" t="str">
        <f aca="false">IF($A221="","",IF(AND($X221&lt;&gt;"",$AH221&lt;&gt;""),"Y","N"))</f>
        <v/>
      </c>
      <c r="AL221" s="30" t="str">
        <f aca="true">IF(OR($A221="",$I221=""),"",IF($BC221="Y",SUMIFS(survey_frozen!$C$2:$C$251,survey_frozen!$P$2:$P$251,$A221&amp;"|"&amp;$B221),IFERROR(COUNTIFS(INDIRECT("'"&amp;$A221&amp;"'!$B$2:$B$501"),$T221,INDIRECT("'"&amp;$A221&amp;"'!$A$2:$A$501"),"&gt;="&amp;$I221,INDIRECT("'"&amp;$A221&amp;"'!$A$2:$A$501"),"&lt;"&amp;($BA221+1)),0)))</f>
        <v/>
      </c>
      <c r="AM221" s="30" t="str">
        <f aca="true">IF(OR($A221="",$I221=""),"",IF($BC221="Y",SUMIFS(survey_frozen!$D$2:$D$251,survey_frozen!$P$2:$P$251,$A221&amp;"|"&amp;$B221),IFERROR(COUNTIFS(INDIRECT("'"&amp;$A221&amp;"'!$B$2:$B$501"),$T221,INDIRECT("'"&amp;$A221&amp;"'!$A$2:$A$501"),"&gt;="&amp;$I221,INDIRECT("'"&amp;$A221&amp;"'!$A$2:$A$501"),"&lt;"&amp;($BA221+1),INDIRECT("'"&amp;$A221&amp;"'!$C$2:$C$501"),"Yes"),0)))</f>
        <v/>
      </c>
      <c r="AN221" s="30" t="str">
        <f aca="false">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30" t="str">
        <f aca="false">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30" t="str">
        <f aca="true">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30" t="str">
        <f aca="true">IF(OR($A221="",$I221=""),"",IF($BC221="Y",SUMIFS(survey_frozen!$E$2:$E$251,survey_frozen!$P$2:$P$251,$A221&amp;"|"&amp;$B221),IFERROR(COUNTIFS(INDIRECT("'"&amp;$A221&amp;"'!$B$2:$B$501"),$T221,INDIRECT("'"&amp;$A221&amp;"'!$A$2:$A$501"),"&gt;="&amp;$I221,INDIRECT("'"&amp;$A221&amp;"'!$A$2:$A$501"),"&lt;"&amp;($BA221+1),INDIRECT("'"&amp;$A221&amp;"'!$F$2:$F$501"),"Didn't see it"),0)))</f>
        <v/>
      </c>
      <c r="AR221" s="30" t="str">
        <f aca="true">IF(OR($A221="",$I221=""),"",IF($BC221="Y",SUMIFS(survey_frozen!$F$2:$F$251,survey_frozen!$P$2:$P$251,$A221&amp;"|"&amp;$B221),IFERROR(COUNTIFS(INDIRECT("'"&amp;$A221&amp;"'!$B$2:$B$501"),$T221,INDIRECT("'"&amp;$A221&amp;"'!$A$2:$A$501"),"&gt;="&amp;$I221,INDIRECT("'"&amp;$A221&amp;"'!$A$2:$A$501"),"&lt;"&amp;($BA221+1),INDIRECT("'"&amp;$A221&amp;"'!$F$2:$F$501"),"Not for me"),0)))</f>
        <v/>
      </c>
      <c r="AS221" s="30" t="str">
        <f aca="true">IF(OR($A221="",$I221=""),"",IF($BC221="Y",SUMIFS(survey_frozen!$G$2:$G$251,survey_frozen!$P$2:$P$251,$A221&amp;"|"&amp;$B221),IFERROR(COUNTIFS(INDIRECT("'"&amp;$A221&amp;"'!$B$2:$B$501"),$T221,INDIRECT("'"&amp;$A221&amp;"'!$A$2:$A$501"),"&gt;="&amp;$I221,INDIRECT("'"&amp;$A221&amp;"'!$A$2:$A$501"),"&lt;"&amp;($BA221+1),INDIRECT("'"&amp;$A221&amp;"'!$F$2:$F$501"),"Gone by the time I looked"),0)))</f>
        <v/>
      </c>
      <c r="AT221" s="30" t="str">
        <f aca="true">IF(OR($A221="",$I221=""),"",IF($BC221="Y",SUMIFS(survey_frozen!$H$2:$H$251,survey_frozen!$P$2:$P$251,$A221&amp;"|"&amp;$B221),IFERROR(COUNTIFS(INDIRECT("'"&amp;$A221&amp;"'!$B$2:$B$501"),$T221,INDIRECT("'"&amp;$A221&amp;"'!$A$2:$A$501"),"&gt;="&amp;$I221,INDIRECT("'"&amp;$A221&amp;"'!$A$2:$A$501"),"&lt;"&amp;($BA221+1),INDIRECT("'"&amp;$A221&amp;"'!$D$2:$D$501"),"&gt;=1"),0)))</f>
        <v/>
      </c>
      <c r="AU221" s="30" t="str">
        <f aca="true">IF(OR($A221="",$I221=""),"",IF($BC221="Y",SUMIFS(survey_frozen!$I$2:$I$251,survey_frozen!$P$2:$P$251,$A221&amp;"|"&amp;$B221),IFERROR(SUMIFS(INDIRECT("'"&amp;$A221&amp;"'!$D$2:$D$501"),INDIRECT("'"&amp;$A221&amp;"'!$B$2:$B$501"),$T221,INDIRECT("'"&amp;$A221&amp;"'!$A$2:$A$501"),"&gt;="&amp;$I221,INDIRECT("'"&amp;$A221&amp;"'!$A$2:$A$501"),"&lt;"&amp;($BA221+1)),0)))</f>
        <v/>
      </c>
      <c r="AV221" s="30" t="str">
        <f aca="true">IF(OR($A221="",$I221=""),"",IF($BC221="Y",SUMIFS(survey_frozen!$J$2:$J$251,survey_frozen!$P$2:$P$251,$A221&amp;"|"&amp;$B221),IFERROR(COUNTIFS(INDIRECT("'"&amp;$A221&amp;"'!$B$2:$B$501"),$T221,INDIRECT("'"&amp;$A221&amp;"'!$A$2:$A$501"),"&gt;="&amp;$I221,INDIRECT("'"&amp;$A221&amp;"'!$A$2:$A$501"),"&lt;"&amp;($BA221+1),INDIRECT("'"&amp;$A221&amp;"'!$E$2:$E$501"),"Yes"),0)))</f>
        <v/>
      </c>
      <c r="AW221" s="30" t="str">
        <f aca="true">IF(OR($A221="",$I221=""),"",IF($BC221="Y",SUMIFS(survey_frozen!$K$2:$K$251,survey_frozen!$P$2:$P$251,$A221&amp;"|"&amp;$B221),IFERROR(COUNTIFS(INDIRECT("'"&amp;$A221&amp;"'!$B$2:$B$501"),$T221,INDIRECT("'"&amp;$A221&amp;"'!$A$2:$A$501"),"&gt;="&amp;$I221,INDIRECT("'"&amp;$A221&amp;"'!$A$2:$A$501"),"&lt;"&amp;($BA221+1),INDIRECT("'"&amp;$A221&amp;"'!$E$2:$E$501"),"Maybe"),0)))</f>
        <v/>
      </c>
      <c r="AX221" s="30" t="str">
        <f aca="true">IF(OR($A221="",$I221=""),"",IF($BC221="Y",SUMIFS(survey_frozen!$L$2:$L$251,survey_frozen!$P$2:$P$251,$A221&amp;"|"&amp;$B221),IFERROR(COUNTIFS(INDIRECT("'"&amp;$A221&amp;"'!$B$2:$B$501"),$T221,INDIRECT("'"&amp;$A221&amp;"'!$A$2:$A$501"),"&gt;="&amp;$I221,INDIRECT("'"&amp;$A221&amp;"'!$A$2:$A$501"),"&lt;"&amp;($BA221+1),INDIRECT("'"&amp;$A221&amp;"'!$E$2:$E$501"),"No"),0)))</f>
        <v/>
      </c>
      <c r="AY221" s="30" t="str">
        <f aca="true">IF(OR($A221="",$I221=""),"",IF($BC221="Y",SUMIFS(survey_frozen!$M$2:$M$251,survey_frozen!$P$2:$P$251,$A221&amp;"|"&amp;$B221),IFERROR(COUNTIFS(INDIRECT("'"&amp;$A221&amp;"'!$B$2:$B$501"),$T221,INDIRECT("'"&amp;$A221&amp;"'!$A$2:$A$501"),"&gt;="&amp;$I221,INDIRECT("'"&amp;$A221&amp;"'!$A$2:$A$501"),"&lt;"&amp;($BA221+1),INDIRECT("'"&amp;$A221&amp;"'!$G$2:$G$501"),"&lt;&gt;"),0)))</f>
        <v/>
      </c>
      <c r="AZ221" s="30" t="str">
        <f aca="false">IF($A221="","",$A221&amp;"|"&amp;$L221)</f>
        <v/>
      </c>
      <c r="BA221" s="31" t="str">
        <f aca="false">IF($A221="","",IFERROR(IF(INDEX(drops!$R$2:$R$21,MATCH($H221,drops!$A$2:$A$21,0))="","",INDEX(drops!$R$2:$R$21,MATCH($H221,drops!$A$2:$A$21,0))),""))</f>
        <v/>
      </c>
      <c r="BB221" s="30" t="n">
        <f aca="false">IF(OR($A221="",$Q221&lt;&gt;"Y"),1000000,N($AL221))</f>
        <v>1000000</v>
      </c>
      <c r="BC221" s="30" t="str">
        <f aca="false">IF($A221="","",IF(COUNTIF(survey_frozen!$P$2:$P$251,$A221&amp;"|"&amp;$B221)&gt;0,"Y",""))</f>
        <v/>
      </c>
      <c r="BD221" s="30" t="str">
        <f aca="false">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ustomFormat="false" ht="15" hidden="false" customHeight="false" outlineLevel="0" collapsed="false">
      <c r="C222" s="11"/>
      <c r="D222" s="10"/>
      <c r="E222" s="11"/>
      <c r="H222" s="30" t="str">
        <f aca="false">IF($A222="","",IFERROR(IF(INDEX(campaigns!$B$2:$B$51,MATCH($A222,campaigns!$A$2:$A$51,0))="","",INDEX(campaigns!$B$2:$B$51,MATCH($A222,campaigns!$A$2:$A$51,0))),""))</f>
        <v/>
      </c>
      <c r="I222" s="31" t="str">
        <f aca="false">IF($A222="","",IFERROR(IF(INDEX(campaigns!$BG$2:$BG$51,MATCH($A222,campaigns!$A$2:$A$51,0))="","",INDEX(campaigns!$BG$2:$BG$51,MATCH($A222,campaigns!$A$2:$A$51,0))),""))</f>
        <v/>
      </c>
      <c r="J222" s="30" t="str">
        <f aca="false">IF($A222="","",IFERROR(IF(INDEX(campaigns!$BE$2:$BE$51,MATCH($A222,campaigns!$A$2:$A$51,0))="","",INDEX(campaigns!$BE$2:$BE$51,MATCH($A222,campaigns!$A$2:$A$51,0))),""))</f>
        <v/>
      </c>
      <c r="K222" s="30" t="str">
        <f aca="false">IF($B222="","",IFERROR(IF(INDEX(offices!$O$2:$O$61,MATCH($B222,offices!$A$2:$A$61,0))="","",INDEX(offices!$O$2:$O$61,MATCH($B222,offices!$A$2:$A$61,0))),""))</f>
        <v/>
      </c>
      <c r="L222" s="30" t="str">
        <f aca="false">IF($A222="","",IF($Q222="N","",COUNTIFS($A$2:$A222,$A222,$Q$2:$Q222,"&lt;&gt;N")))</f>
        <v/>
      </c>
      <c r="M222" s="30" t="str">
        <f aca="false">IF(OR($A222="",$L222=""),"",IF(AND(config!$B$34="names_if_public",IFERROR(IF(INDEX(offices!$AG$2:$AG$61,MATCH($B222,offices!$A$2:$A$61,0))="","",INDEX(offices!$AG$2:$AG$61,MATCH($B222,offices!$A$2:$A$61,0))),"")="Y"),$K222,CHAR(64+$L222)))</f>
        <v/>
      </c>
      <c r="N222" s="30" t="str">
        <f aca="false">IF(OR($A222="",$I222=""),"",COUNTIFS(stops!$B$2:$B$151,$B222,stops!$P$2:$P$151,"&lt;"&amp;$I222,stops!$L$2:$L$151,"&lt;&gt;not_delivered")+1)</f>
        <v/>
      </c>
      <c r="O222" s="30" t="str">
        <f aca="false">IF($A222="","",IF(N($N222)&lt;=config!$B$29,"explicit","opt-out"))</f>
        <v/>
      </c>
      <c r="P222" s="30" t="str">
        <f aca="false">IF($A222="","",IF($O222="explicit",IF($D222="yes","Y",IF($D222="no","N","pending")),IF($D222="no","N",IF(AND($C222&lt;&gt;"",$I222&lt;&gt;"",$C222&lt;=WORKDAY(N($I222),-5,calendar!$A$2:$A$80)),"Y","pending"))))</f>
        <v/>
      </c>
      <c r="Q222" s="30" t="str">
        <f aca="false">IF($A222="","",IF($P222="N","N",IF($P222&lt;&gt;"Y","pending",IF(AND((COUNTIFS(stops!$A$2:$A$151,$H222,stops!$B$2:$B$151,$B222,stops!$L$2:$L$151,"declined")+COUNTIFS(stops!$A$2:$A$151,$H222,stops!$B$2:$B$151,$B222,stops!$L$2:$L$151,"building_refused")+COUNTIFS(stops!$A$2:$A$151,$H222,stops!$B$2:$B$151,$B222,stops!$L$2:$L$151,"not_delivered"))&gt;0,N($U222)=0),"N","Y"))))</f>
        <v/>
      </c>
      <c r="R222" s="30" t="str">
        <f aca="false">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30" t="str">
        <f aca="false">IF($A222="","",IF($G222&lt;&gt;"",$G222,IFERROR(IF(INDEX(offices!$AM$2:$AM$61,MATCH($B222,offices!$A$2:$A$61,0))="","",INDEX(offices!$AM$2:$AM$61,MATCH($B222,offices!$A$2:$A$61,0))),"")))</f>
        <v/>
      </c>
      <c r="T222" s="30" t="str">
        <f aca="false">IF($A222="","",$A222&amp;"."&amp;$B222)</f>
        <v/>
      </c>
      <c r="U222" s="30" t="str">
        <f aca="false">IF($A222="","",SUMIFS(inventory!$G$2:$G$801,inventory!$C$2:$C$801,$A222,inventory!$D$2:$D$801,$B222,inventory!$E$2:$E$801,"delivered"))</f>
        <v/>
      </c>
      <c r="V222" s="37" t="str">
        <f aca="false">IF($A222="","",IFERROR(1/(1/SUMPRODUCT(MAX((inventory!$C$2:$C$801=$A222)*(inventory!$D$2:$D$801=$B222)*(inventory!$E$2:$E$801="delivered")*(inventory!$A$2:$A$801+inventory!$B$2:$B$801)))),""))</f>
        <v/>
      </c>
      <c r="W222" s="30" t="str">
        <f aca="false">IF($A222="","",IFERROR(IF(INDEX(inventory!$J$2:$J$801,MATCH($A222&amp;"|"&amp;$B222&amp;"|delivered",inventory!$R$2:$R$801,0))="","",INDEX(inventory!$J$2:$J$801,MATCH($A222&amp;"|"&amp;$B222&amp;"|delivered",inventory!$R$2:$R$801,0))),""))</f>
        <v/>
      </c>
      <c r="X222" s="30" t="str">
        <f aca="false">IF($A222="","",IFERROR(IF(INDEX(photos!$H$2:$H$701,MATCH($A222&amp;"|"&amp;$B222&amp;"|placement|Y",photos!$R$2:$R$701,0))="","",INDEX(photos!$H$2:$H$701,MATCH($A222&amp;"|"&amp;$B222&amp;"|placement|Y",photos!$R$2:$R$701,0))),""))</f>
        <v/>
      </c>
      <c r="Y222" s="31" t="str">
        <f aca="false">IF($A222="","",IFERROR(IF(INDEX(photos!$E$2:$E$701,MATCH($A222&amp;"|"&amp;$B222&amp;"|placement|Y",photos!$R$2:$R$701,0))="","",INDEX(photos!$E$2:$E$701,MATCH($A222&amp;"|"&amp;$B222&amp;"|placement|Y",photos!$R$2:$R$701,0))),""))</f>
        <v/>
      </c>
      <c r="Z222" s="30" t="str">
        <f aca="false">IF($A222="","",IF(COUNTIFS(counts!$C$2:$C$701,$A222,counts!$D$2:$D$701,$B222,counts!$E$2:$E$701,"placed")=0,"",SUMIFS(counts!$F$2:$F$701,counts!$C$2:$C$701,$A222,counts!$D$2:$D$701,$B222,counts!$E$2:$E$701,"placed")))</f>
        <v/>
      </c>
      <c r="AA222" s="30" t="str">
        <f aca="false">IF($A222="","",IF($Y222="",0,N($Z222)))</f>
        <v/>
      </c>
      <c r="AB222" s="30" t="str">
        <f aca="false">IF($A222="","",IF(OR($Y222="",$I222=""),"N",IF($Y222&lt;=WORKDAY(N($I222),1,calendar!$A$2:$A$80),"Y","N")))</f>
        <v/>
      </c>
      <c r="AC222" s="33" t="str">
        <f aca="false">IF(OR($A222="",$V222="",$Y222=""),"",ROUND(($Y222+N(IFERROR(IF(INDEX(photos!$F$2:$F$701,MATCH($A222&amp;"|"&amp;$B222&amp;"|placement|Y",photos!$R$2:$R$701,0))="","",INDEX(photos!$F$2:$F$701,MATCH($A222&amp;"|"&amp;$B222&amp;"|placement|Y",photos!$R$2:$R$701,0))),""))-$V222)*24,1))</f>
        <v/>
      </c>
      <c r="AD222" s="30" t="str">
        <f aca="false">IF($A222="","",SUMIFS(inventory!$G$2:$G$801,inventory!$C$2:$C$801,$A222,inventory!$D$2:$D$801,$B222,inventory!$E$2:$E$801,"topped_up"))</f>
        <v/>
      </c>
      <c r="AE222" s="30" t="str">
        <f aca="false">IF($A222="","",IF(COUNTIFS(counts!$C$2:$C$701,$A222,counts!$D$2:$D$701,$B222,counts!$E$2:$E$701,"remaining_day3")=0,"",SUMIFS(counts!$F$2:$F$701,counts!$C$2:$C$701,$A222,counts!$D$2:$D$701,$B222,counts!$E$2:$E$701,"remaining_day3")))</f>
        <v/>
      </c>
      <c r="AF222" s="30" t="str">
        <f aca="false">IF($A222="","",IF(COUNTIFS(counts!$C$2:$C$701,$A222,counts!$D$2:$D$701,$B222,counts!$E$2:$E$701,"remaining_day5")=0,"",SUMIFS(counts!$F$2:$F$701,counts!$C$2:$C$701,$A222,counts!$D$2:$D$701,$B222,counts!$E$2:$E$701,"remaining_day5")))</f>
        <v/>
      </c>
      <c r="AG222" s="30" t="str">
        <f aca="false">IF(OR($A222="",$AF222=""),"",MAX(0,$AA222+$AD222-$AF222))</f>
        <v/>
      </c>
      <c r="AH222" s="30" t="str">
        <f aca="false">IF(OR($A222="",$AI222=""),"",IFERROR(IF(INDEX(photos!$H$2:$H$701,MATCH($A222&amp;"|"&amp;$B222&amp;"|later|Y|"&amp;$AI222,photos!$S$2:$S$701,0))="","",INDEX(photos!$H$2:$H$701,MATCH($A222&amp;"|"&amp;$B222&amp;"|later|Y|"&amp;$AI222,photos!$S$2:$S$701,0))),""))</f>
        <v/>
      </c>
      <c r="AI222" s="31" t="str">
        <f aca="false">IF($A222="","",IFERROR(1/(1/SUMPRODUCT(MAX((photos!$B$2:$B$701=$A222)*(photos!$C$2:$C$701=$B222)*(photos!$D$2:$D$701="later")*(photos!$O$2:$O$701="Y")*photos!$E$2:$E$701))),""))</f>
        <v/>
      </c>
      <c r="AJ222" s="30" t="str">
        <f aca="false">IF(OR($A222="",$AI222="",$I222=""),"",NETWORKDAYS($I222,$AI222,calendar!$A$2:$A$80))</f>
        <v/>
      </c>
      <c r="AK222" s="30" t="str">
        <f aca="false">IF($A222="","",IF(AND($X222&lt;&gt;"",$AH222&lt;&gt;""),"Y","N"))</f>
        <v/>
      </c>
      <c r="AL222" s="30" t="str">
        <f aca="true">IF(OR($A222="",$I222=""),"",IF($BC222="Y",SUMIFS(survey_frozen!$C$2:$C$251,survey_frozen!$P$2:$P$251,$A222&amp;"|"&amp;$B222),IFERROR(COUNTIFS(INDIRECT("'"&amp;$A222&amp;"'!$B$2:$B$501"),$T222,INDIRECT("'"&amp;$A222&amp;"'!$A$2:$A$501"),"&gt;="&amp;$I222,INDIRECT("'"&amp;$A222&amp;"'!$A$2:$A$501"),"&lt;"&amp;($BA222+1)),0)))</f>
        <v/>
      </c>
      <c r="AM222" s="30" t="str">
        <f aca="true">IF(OR($A222="",$I222=""),"",IF($BC222="Y",SUMIFS(survey_frozen!$D$2:$D$251,survey_frozen!$P$2:$P$251,$A222&amp;"|"&amp;$B222),IFERROR(COUNTIFS(INDIRECT("'"&amp;$A222&amp;"'!$B$2:$B$501"),$T222,INDIRECT("'"&amp;$A222&amp;"'!$A$2:$A$501"),"&gt;="&amp;$I222,INDIRECT("'"&amp;$A222&amp;"'!$A$2:$A$501"),"&lt;"&amp;($BA222+1),INDIRECT("'"&amp;$A222&amp;"'!$C$2:$C$501"),"Yes"),0)))</f>
        <v/>
      </c>
      <c r="AN222" s="30" t="str">
        <f aca="false">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30" t="str">
        <f aca="false">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30" t="str">
        <f aca="true">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30" t="str">
        <f aca="true">IF(OR($A222="",$I222=""),"",IF($BC222="Y",SUMIFS(survey_frozen!$E$2:$E$251,survey_frozen!$P$2:$P$251,$A222&amp;"|"&amp;$B222),IFERROR(COUNTIFS(INDIRECT("'"&amp;$A222&amp;"'!$B$2:$B$501"),$T222,INDIRECT("'"&amp;$A222&amp;"'!$A$2:$A$501"),"&gt;="&amp;$I222,INDIRECT("'"&amp;$A222&amp;"'!$A$2:$A$501"),"&lt;"&amp;($BA222+1),INDIRECT("'"&amp;$A222&amp;"'!$F$2:$F$501"),"Didn't see it"),0)))</f>
        <v/>
      </c>
      <c r="AR222" s="30" t="str">
        <f aca="true">IF(OR($A222="",$I222=""),"",IF($BC222="Y",SUMIFS(survey_frozen!$F$2:$F$251,survey_frozen!$P$2:$P$251,$A222&amp;"|"&amp;$B222),IFERROR(COUNTIFS(INDIRECT("'"&amp;$A222&amp;"'!$B$2:$B$501"),$T222,INDIRECT("'"&amp;$A222&amp;"'!$A$2:$A$501"),"&gt;="&amp;$I222,INDIRECT("'"&amp;$A222&amp;"'!$A$2:$A$501"),"&lt;"&amp;($BA222+1),INDIRECT("'"&amp;$A222&amp;"'!$F$2:$F$501"),"Not for me"),0)))</f>
        <v/>
      </c>
      <c r="AS222" s="30" t="str">
        <f aca="true">IF(OR($A222="",$I222=""),"",IF($BC222="Y",SUMIFS(survey_frozen!$G$2:$G$251,survey_frozen!$P$2:$P$251,$A222&amp;"|"&amp;$B222),IFERROR(COUNTIFS(INDIRECT("'"&amp;$A222&amp;"'!$B$2:$B$501"),$T222,INDIRECT("'"&amp;$A222&amp;"'!$A$2:$A$501"),"&gt;="&amp;$I222,INDIRECT("'"&amp;$A222&amp;"'!$A$2:$A$501"),"&lt;"&amp;($BA222+1),INDIRECT("'"&amp;$A222&amp;"'!$F$2:$F$501"),"Gone by the time I looked"),0)))</f>
        <v/>
      </c>
      <c r="AT222" s="30" t="str">
        <f aca="true">IF(OR($A222="",$I222=""),"",IF($BC222="Y",SUMIFS(survey_frozen!$H$2:$H$251,survey_frozen!$P$2:$P$251,$A222&amp;"|"&amp;$B222),IFERROR(COUNTIFS(INDIRECT("'"&amp;$A222&amp;"'!$B$2:$B$501"),$T222,INDIRECT("'"&amp;$A222&amp;"'!$A$2:$A$501"),"&gt;="&amp;$I222,INDIRECT("'"&amp;$A222&amp;"'!$A$2:$A$501"),"&lt;"&amp;($BA222+1),INDIRECT("'"&amp;$A222&amp;"'!$D$2:$D$501"),"&gt;=1"),0)))</f>
        <v/>
      </c>
      <c r="AU222" s="30" t="str">
        <f aca="true">IF(OR($A222="",$I222=""),"",IF($BC222="Y",SUMIFS(survey_frozen!$I$2:$I$251,survey_frozen!$P$2:$P$251,$A222&amp;"|"&amp;$B222),IFERROR(SUMIFS(INDIRECT("'"&amp;$A222&amp;"'!$D$2:$D$501"),INDIRECT("'"&amp;$A222&amp;"'!$B$2:$B$501"),$T222,INDIRECT("'"&amp;$A222&amp;"'!$A$2:$A$501"),"&gt;="&amp;$I222,INDIRECT("'"&amp;$A222&amp;"'!$A$2:$A$501"),"&lt;"&amp;($BA222+1)),0)))</f>
        <v/>
      </c>
      <c r="AV222" s="30" t="str">
        <f aca="true">IF(OR($A222="",$I222=""),"",IF($BC222="Y",SUMIFS(survey_frozen!$J$2:$J$251,survey_frozen!$P$2:$P$251,$A222&amp;"|"&amp;$B222),IFERROR(COUNTIFS(INDIRECT("'"&amp;$A222&amp;"'!$B$2:$B$501"),$T222,INDIRECT("'"&amp;$A222&amp;"'!$A$2:$A$501"),"&gt;="&amp;$I222,INDIRECT("'"&amp;$A222&amp;"'!$A$2:$A$501"),"&lt;"&amp;($BA222+1),INDIRECT("'"&amp;$A222&amp;"'!$E$2:$E$501"),"Yes"),0)))</f>
        <v/>
      </c>
      <c r="AW222" s="30" t="str">
        <f aca="true">IF(OR($A222="",$I222=""),"",IF($BC222="Y",SUMIFS(survey_frozen!$K$2:$K$251,survey_frozen!$P$2:$P$251,$A222&amp;"|"&amp;$B222),IFERROR(COUNTIFS(INDIRECT("'"&amp;$A222&amp;"'!$B$2:$B$501"),$T222,INDIRECT("'"&amp;$A222&amp;"'!$A$2:$A$501"),"&gt;="&amp;$I222,INDIRECT("'"&amp;$A222&amp;"'!$A$2:$A$501"),"&lt;"&amp;($BA222+1),INDIRECT("'"&amp;$A222&amp;"'!$E$2:$E$501"),"Maybe"),0)))</f>
        <v/>
      </c>
      <c r="AX222" s="30" t="str">
        <f aca="true">IF(OR($A222="",$I222=""),"",IF($BC222="Y",SUMIFS(survey_frozen!$L$2:$L$251,survey_frozen!$P$2:$P$251,$A222&amp;"|"&amp;$B222),IFERROR(COUNTIFS(INDIRECT("'"&amp;$A222&amp;"'!$B$2:$B$501"),$T222,INDIRECT("'"&amp;$A222&amp;"'!$A$2:$A$501"),"&gt;="&amp;$I222,INDIRECT("'"&amp;$A222&amp;"'!$A$2:$A$501"),"&lt;"&amp;($BA222+1),INDIRECT("'"&amp;$A222&amp;"'!$E$2:$E$501"),"No"),0)))</f>
        <v/>
      </c>
      <c r="AY222" s="30" t="str">
        <f aca="true">IF(OR($A222="",$I222=""),"",IF($BC222="Y",SUMIFS(survey_frozen!$M$2:$M$251,survey_frozen!$P$2:$P$251,$A222&amp;"|"&amp;$B222),IFERROR(COUNTIFS(INDIRECT("'"&amp;$A222&amp;"'!$B$2:$B$501"),$T222,INDIRECT("'"&amp;$A222&amp;"'!$A$2:$A$501"),"&gt;="&amp;$I222,INDIRECT("'"&amp;$A222&amp;"'!$A$2:$A$501"),"&lt;"&amp;($BA222+1),INDIRECT("'"&amp;$A222&amp;"'!$G$2:$G$501"),"&lt;&gt;"),0)))</f>
        <v/>
      </c>
      <c r="AZ222" s="30" t="str">
        <f aca="false">IF($A222="","",$A222&amp;"|"&amp;$L222)</f>
        <v/>
      </c>
      <c r="BA222" s="31" t="str">
        <f aca="false">IF($A222="","",IFERROR(IF(INDEX(drops!$R$2:$R$21,MATCH($H222,drops!$A$2:$A$21,0))="","",INDEX(drops!$R$2:$R$21,MATCH($H222,drops!$A$2:$A$21,0))),""))</f>
        <v/>
      </c>
      <c r="BB222" s="30" t="n">
        <f aca="false">IF(OR($A222="",$Q222&lt;&gt;"Y"),1000000,N($AL222))</f>
        <v>1000000</v>
      </c>
      <c r="BC222" s="30" t="str">
        <f aca="false">IF($A222="","",IF(COUNTIF(survey_frozen!$P$2:$P$251,$A222&amp;"|"&amp;$B222)&gt;0,"Y",""))</f>
        <v/>
      </c>
      <c r="BD222" s="30" t="str">
        <f aca="false">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ustomFormat="false" ht="15" hidden="false" customHeight="false" outlineLevel="0" collapsed="false">
      <c r="C223" s="11"/>
      <c r="D223" s="10"/>
      <c r="E223" s="11"/>
      <c r="H223" s="30" t="str">
        <f aca="false">IF($A223="","",IFERROR(IF(INDEX(campaigns!$B$2:$B$51,MATCH($A223,campaigns!$A$2:$A$51,0))="","",INDEX(campaigns!$B$2:$B$51,MATCH($A223,campaigns!$A$2:$A$51,0))),""))</f>
        <v/>
      </c>
      <c r="I223" s="31" t="str">
        <f aca="false">IF($A223="","",IFERROR(IF(INDEX(campaigns!$BG$2:$BG$51,MATCH($A223,campaigns!$A$2:$A$51,0))="","",INDEX(campaigns!$BG$2:$BG$51,MATCH($A223,campaigns!$A$2:$A$51,0))),""))</f>
        <v/>
      </c>
      <c r="J223" s="30" t="str">
        <f aca="false">IF($A223="","",IFERROR(IF(INDEX(campaigns!$BE$2:$BE$51,MATCH($A223,campaigns!$A$2:$A$51,0))="","",INDEX(campaigns!$BE$2:$BE$51,MATCH($A223,campaigns!$A$2:$A$51,0))),""))</f>
        <v/>
      </c>
      <c r="K223" s="30" t="str">
        <f aca="false">IF($B223="","",IFERROR(IF(INDEX(offices!$O$2:$O$61,MATCH($B223,offices!$A$2:$A$61,0))="","",INDEX(offices!$O$2:$O$61,MATCH($B223,offices!$A$2:$A$61,0))),""))</f>
        <v/>
      </c>
      <c r="L223" s="30" t="str">
        <f aca="false">IF($A223="","",IF($Q223="N","",COUNTIFS($A$2:$A223,$A223,$Q$2:$Q223,"&lt;&gt;N")))</f>
        <v/>
      </c>
      <c r="M223" s="30" t="str">
        <f aca="false">IF(OR($A223="",$L223=""),"",IF(AND(config!$B$34="names_if_public",IFERROR(IF(INDEX(offices!$AG$2:$AG$61,MATCH($B223,offices!$A$2:$A$61,0))="","",INDEX(offices!$AG$2:$AG$61,MATCH($B223,offices!$A$2:$A$61,0))),"")="Y"),$K223,CHAR(64+$L223)))</f>
        <v/>
      </c>
      <c r="N223" s="30" t="str">
        <f aca="false">IF(OR($A223="",$I223=""),"",COUNTIFS(stops!$B$2:$B$151,$B223,stops!$P$2:$P$151,"&lt;"&amp;$I223,stops!$L$2:$L$151,"&lt;&gt;not_delivered")+1)</f>
        <v/>
      </c>
      <c r="O223" s="30" t="str">
        <f aca="false">IF($A223="","",IF(N($N223)&lt;=config!$B$29,"explicit","opt-out"))</f>
        <v/>
      </c>
      <c r="P223" s="30" t="str">
        <f aca="false">IF($A223="","",IF($O223="explicit",IF($D223="yes","Y",IF($D223="no","N","pending")),IF($D223="no","N",IF(AND($C223&lt;&gt;"",$I223&lt;&gt;"",$C223&lt;=WORKDAY(N($I223),-5,calendar!$A$2:$A$80)),"Y","pending"))))</f>
        <v/>
      </c>
      <c r="Q223" s="30" t="str">
        <f aca="false">IF($A223="","",IF($P223="N","N",IF($P223&lt;&gt;"Y","pending",IF(AND((COUNTIFS(stops!$A$2:$A$151,$H223,stops!$B$2:$B$151,$B223,stops!$L$2:$L$151,"declined")+COUNTIFS(stops!$A$2:$A$151,$H223,stops!$B$2:$B$151,$B223,stops!$L$2:$L$151,"building_refused")+COUNTIFS(stops!$A$2:$A$151,$H223,stops!$B$2:$B$151,$B223,stops!$L$2:$L$151,"not_delivered"))&gt;0,N($U223)=0),"N","Y"))))</f>
        <v/>
      </c>
      <c r="R223" s="30" t="str">
        <f aca="false">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30" t="str">
        <f aca="false">IF($A223="","",IF($G223&lt;&gt;"",$G223,IFERROR(IF(INDEX(offices!$AM$2:$AM$61,MATCH($B223,offices!$A$2:$A$61,0))="","",INDEX(offices!$AM$2:$AM$61,MATCH($B223,offices!$A$2:$A$61,0))),"")))</f>
        <v/>
      </c>
      <c r="T223" s="30" t="str">
        <f aca="false">IF($A223="","",$A223&amp;"."&amp;$B223)</f>
        <v/>
      </c>
      <c r="U223" s="30" t="str">
        <f aca="false">IF($A223="","",SUMIFS(inventory!$G$2:$G$801,inventory!$C$2:$C$801,$A223,inventory!$D$2:$D$801,$B223,inventory!$E$2:$E$801,"delivered"))</f>
        <v/>
      </c>
      <c r="V223" s="37" t="str">
        <f aca="false">IF($A223="","",IFERROR(1/(1/SUMPRODUCT(MAX((inventory!$C$2:$C$801=$A223)*(inventory!$D$2:$D$801=$B223)*(inventory!$E$2:$E$801="delivered")*(inventory!$A$2:$A$801+inventory!$B$2:$B$801)))),""))</f>
        <v/>
      </c>
      <c r="W223" s="30" t="str">
        <f aca="false">IF($A223="","",IFERROR(IF(INDEX(inventory!$J$2:$J$801,MATCH($A223&amp;"|"&amp;$B223&amp;"|delivered",inventory!$R$2:$R$801,0))="","",INDEX(inventory!$J$2:$J$801,MATCH($A223&amp;"|"&amp;$B223&amp;"|delivered",inventory!$R$2:$R$801,0))),""))</f>
        <v/>
      </c>
      <c r="X223" s="30" t="str">
        <f aca="false">IF($A223="","",IFERROR(IF(INDEX(photos!$H$2:$H$701,MATCH($A223&amp;"|"&amp;$B223&amp;"|placement|Y",photos!$R$2:$R$701,0))="","",INDEX(photos!$H$2:$H$701,MATCH($A223&amp;"|"&amp;$B223&amp;"|placement|Y",photos!$R$2:$R$701,0))),""))</f>
        <v/>
      </c>
      <c r="Y223" s="31" t="str">
        <f aca="false">IF($A223="","",IFERROR(IF(INDEX(photos!$E$2:$E$701,MATCH($A223&amp;"|"&amp;$B223&amp;"|placement|Y",photos!$R$2:$R$701,0))="","",INDEX(photos!$E$2:$E$701,MATCH($A223&amp;"|"&amp;$B223&amp;"|placement|Y",photos!$R$2:$R$701,0))),""))</f>
        <v/>
      </c>
      <c r="Z223" s="30" t="str">
        <f aca="false">IF($A223="","",IF(COUNTIFS(counts!$C$2:$C$701,$A223,counts!$D$2:$D$701,$B223,counts!$E$2:$E$701,"placed")=0,"",SUMIFS(counts!$F$2:$F$701,counts!$C$2:$C$701,$A223,counts!$D$2:$D$701,$B223,counts!$E$2:$E$701,"placed")))</f>
        <v/>
      </c>
      <c r="AA223" s="30" t="str">
        <f aca="false">IF($A223="","",IF($Y223="",0,N($Z223)))</f>
        <v/>
      </c>
      <c r="AB223" s="30" t="str">
        <f aca="false">IF($A223="","",IF(OR($Y223="",$I223=""),"N",IF($Y223&lt;=WORKDAY(N($I223),1,calendar!$A$2:$A$80),"Y","N")))</f>
        <v/>
      </c>
      <c r="AC223" s="33" t="str">
        <f aca="false">IF(OR($A223="",$V223="",$Y223=""),"",ROUND(($Y223+N(IFERROR(IF(INDEX(photos!$F$2:$F$701,MATCH($A223&amp;"|"&amp;$B223&amp;"|placement|Y",photos!$R$2:$R$701,0))="","",INDEX(photos!$F$2:$F$701,MATCH($A223&amp;"|"&amp;$B223&amp;"|placement|Y",photos!$R$2:$R$701,0))),""))-$V223)*24,1))</f>
        <v/>
      </c>
      <c r="AD223" s="30" t="str">
        <f aca="false">IF($A223="","",SUMIFS(inventory!$G$2:$G$801,inventory!$C$2:$C$801,$A223,inventory!$D$2:$D$801,$B223,inventory!$E$2:$E$801,"topped_up"))</f>
        <v/>
      </c>
      <c r="AE223" s="30" t="str">
        <f aca="false">IF($A223="","",IF(COUNTIFS(counts!$C$2:$C$701,$A223,counts!$D$2:$D$701,$B223,counts!$E$2:$E$701,"remaining_day3")=0,"",SUMIFS(counts!$F$2:$F$701,counts!$C$2:$C$701,$A223,counts!$D$2:$D$701,$B223,counts!$E$2:$E$701,"remaining_day3")))</f>
        <v/>
      </c>
      <c r="AF223" s="30" t="str">
        <f aca="false">IF($A223="","",IF(COUNTIFS(counts!$C$2:$C$701,$A223,counts!$D$2:$D$701,$B223,counts!$E$2:$E$701,"remaining_day5")=0,"",SUMIFS(counts!$F$2:$F$701,counts!$C$2:$C$701,$A223,counts!$D$2:$D$701,$B223,counts!$E$2:$E$701,"remaining_day5")))</f>
        <v/>
      </c>
      <c r="AG223" s="30" t="str">
        <f aca="false">IF(OR($A223="",$AF223=""),"",MAX(0,$AA223+$AD223-$AF223))</f>
        <v/>
      </c>
      <c r="AH223" s="30" t="str">
        <f aca="false">IF(OR($A223="",$AI223=""),"",IFERROR(IF(INDEX(photos!$H$2:$H$701,MATCH($A223&amp;"|"&amp;$B223&amp;"|later|Y|"&amp;$AI223,photos!$S$2:$S$701,0))="","",INDEX(photos!$H$2:$H$701,MATCH($A223&amp;"|"&amp;$B223&amp;"|later|Y|"&amp;$AI223,photos!$S$2:$S$701,0))),""))</f>
        <v/>
      </c>
      <c r="AI223" s="31" t="str">
        <f aca="false">IF($A223="","",IFERROR(1/(1/SUMPRODUCT(MAX((photos!$B$2:$B$701=$A223)*(photos!$C$2:$C$701=$B223)*(photos!$D$2:$D$701="later")*(photos!$O$2:$O$701="Y")*photos!$E$2:$E$701))),""))</f>
        <v/>
      </c>
      <c r="AJ223" s="30" t="str">
        <f aca="false">IF(OR($A223="",$AI223="",$I223=""),"",NETWORKDAYS($I223,$AI223,calendar!$A$2:$A$80))</f>
        <v/>
      </c>
      <c r="AK223" s="30" t="str">
        <f aca="false">IF($A223="","",IF(AND($X223&lt;&gt;"",$AH223&lt;&gt;""),"Y","N"))</f>
        <v/>
      </c>
      <c r="AL223" s="30" t="str">
        <f aca="true">IF(OR($A223="",$I223=""),"",IF($BC223="Y",SUMIFS(survey_frozen!$C$2:$C$251,survey_frozen!$P$2:$P$251,$A223&amp;"|"&amp;$B223),IFERROR(COUNTIFS(INDIRECT("'"&amp;$A223&amp;"'!$B$2:$B$501"),$T223,INDIRECT("'"&amp;$A223&amp;"'!$A$2:$A$501"),"&gt;="&amp;$I223,INDIRECT("'"&amp;$A223&amp;"'!$A$2:$A$501"),"&lt;"&amp;($BA223+1)),0)))</f>
        <v/>
      </c>
      <c r="AM223" s="30" t="str">
        <f aca="true">IF(OR($A223="",$I223=""),"",IF($BC223="Y",SUMIFS(survey_frozen!$D$2:$D$251,survey_frozen!$P$2:$P$251,$A223&amp;"|"&amp;$B223),IFERROR(COUNTIFS(INDIRECT("'"&amp;$A223&amp;"'!$B$2:$B$501"),$T223,INDIRECT("'"&amp;$A223&amp;"'!$A$2:$A$501"),"&gt;="&amp;$I223,INDIRECT("'"&amp;$A223&amp;"'!$A$2:$A$501"),"&lt;"&amp;($BA223+1),INDIRECT("'"&amp;$A223&amp;"'!$C$2:$C$501"),"Yes"),0)))</f>
        <v/>
      </c>
      <c r="AN223" s="30" t="str">
        <f aca="false">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30" t="str">
        <f aca="false">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30" t="str">
        <f aca="true">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30" t="str">
        <f aca="true">IF(OR($A223="",$I223=""),"",IF($BC223="Y",SUMIFS(survey_frozen!$E$2:$E$251,survey_frozen!$P$2:$P$251,$A223&amp;"|"&amp;$B223),IFERROR(COUNTIFS(INDIRECT("'"&amp;$A223&amp;"'!$B$2:$B$501"),$T223,INDIRECT("'"&amp;$A223&amp;"'!$A$2:$A$501"),"&gt;="&amp;$I223,INDIRECT("'"&amp;$A223&amp;"'!$A$2:$A$501"),"&lt;"&amp;($BA223+1),INDIRECT("'"&amp;$A223&amp;"'!$F$2:$F$501"),"Didn't see it"),0)))</f>
        <v/>
      </c>
      <c r="AR223" s="30" t="str">
        <f aca="true">IF(OR($A223="",$I223=""),"",IF($BC223="Y",SUMIFS(survey_frozen!$F$2:$F$251,survey_frozen!$P$2:$P$251,$A223&amp;"|"&amp;$B223),IFERROR(COUNTIFS(INDIRECT("'"&amp;$A223&amp;"'!$B$2:$B$501"),$T223,INDIRECT("'"&amp;$A223&amp;"'!$A$2:$A$501"),"&gt;="&amp;$I223,INDIRECT("'"&amp;$A223&amp;"'!$A$2:$A$501"),"&lt;"&amp;($BA223+1),INDIRECT("'"&amp;$A223&amp;"'!$F$2:$F$501"),"Not for me"),0)))</f>
        <v/>
      </c>
      <c r="AS223" s="30" t="str">
        <f aca="true">IF(OR($A223="",$I223=""),"",IF($BC223="Y",SUMIFS(survey_frozen!$G$2:$G$251,survey_frozen!$P$2:$P$251,$A223&amp;"|"&amp;$B223),IFERROR(COUNTIFS(INDIRECT("'"&amp;$A223&amp;"'!$B$2:$B$501"),$T223,INDIRECT("'"&amp;$A223&amp;"'!$A$2:$A$501"),"&gt;="&amp;$I223,INDIRECT("'"&amp;$A223&amp;"'!$A$2:$A$501"),"&lt;"&amp;($BA223+1),INDIRECT("'"&amp;$A223&amp;"'!$F$2:$F$501"),"Gone by the time I looked"),0)))</f>
        <v/>
      </c>
      <c r="AT223" s="30" t="str">
        <f aca="true">IF(OR($A223="",$I223=""),"",IF($BC223="Y",SUMIFS(survey_frozen!$H$2:$H$251,survey_frozen!$P$2:$P$251,$A223&amp;"|"&amp;$B223),IFERROR(COUNTIFS(INDIRECT("'"&amp;$A223&amp;"'!$B$2:$B$501"),$T223,INDIRECT("'"&amp;$A223&amp;"'!$A$2:$A$501"),"&gt;="&amp;$I223,INDIRECT("'"&amp;$A223&amp;"'!$A$2:$A$501"),"&lt;"&amp;($BA223+1),INDIRECT("'"&amp;$A223&amp;"'!$D$2:$D$501"),"&gt;=1"),0)))</f>
        <v/>
      </c>
      <c r="AU223" s="30" t="str">
        <f aca="true">IF(OR($A223="",$I223=""),"",IF($BC223="Y",SUMIFS(survey_frozen!$I$2:$I$251,survey_frozen!$P$2:$P$251,$A223&amp;"|"&amp;$B223),IFERROR(SUMIFS(INDIRECT("'"&amp;$A223&amp;"'!$D$2:$D$501"),INDIRECT("'"&amp;$A223&amp;"'!$B$2:$B$501"),$T223,INDIRECT("'"&amp;$A223&amp;"'!$A$2:$A$501"),"&gt;="&amp;$I223,INDIRECT("'"&amp;$A223&amp;"'!$A$2:$A$501"),"&lt;"&amp;($BA223+1)),0)))</f>
        <v/>
      </c>
      <c r="AV223" s="30" t="str">
        <f aca="true">IF(OR($A223="",$I223=""),"",IF($BC223="Y",SUMIFS(survey_frozen!$J$2:$J$251,survey_frozen!$P$2:$P$251,$A223&amp;"|"&amp;$B223),IFERROR(COUNTIFS(INDIRECT("'"&amp;$A223&amp;"'!$B$2:$B$501"),$T223,INDIRECT("'"&amp;$A223&amp;"'!$A$2:$A$501"),"&gt;="&amp;$I223,INDIRECT("'"&amp;$A223&amp;"'!$A$2:$A$501"),"&lt;"&amp;($BA223+1),INDIRECT("'"&amp;$A223&amp;"'!$E$2:$E$501"),"Yes"),0)))</f>
        <v/>
      </c>
      <c r="AW223" s="30" t="str">
        <f aca="true">IF(OR($A223="",$I223=""),"",IF($BC223="Y",SUMIFS(survey_frozen!$K$2:$K$251,survey_frozen!$P$2:$P$251,$A223&amp;"|"&amp;$B223),IFERROR(COUNTIFS(INDIRECT("'"&amp;$A223&amp;"'!$B$2:$B$501"),$T223,INDIRECT("'"&amp;$A223&amp;"'!$A$2:$A$501"),"&gt;="&amp;$I223,INDIRECT("'"&amp;$A223&amp;"'!$A$2:$A$501"),"&lt;"&amp;($BA223+1),INDIRECT("'"&amp;$A223&amp;"'!$E$2:$E$501"),"Maybe"),0)))</f>
        <v/>
      </c>
      <c r="AX223" s="30" t="str">
        <f aca="true">IF(OR($A223="",$I223=""),"",IF($BC223="Y",SUMIFS(survey_frozen!$L$2:$L$251,survey_frozen!$P$2:$P$251,$A223&amp;"|"&amp;$B223),IFERROR(COUNTIFS(INDIRECT("'"&amp;$A223&amp;"'!$B$2:$B$501"),$T223,INDIRECT("'"&amp;$A223&amp;"'!$A$2:$A$501"),"&gt;="&amp;$I223,INDIRECT("'"&amp;$A223&amp;"'!$A$2:$A$501"),"&lt;"&amp;($BA223+1),INDIRECT("'"&amp;$A223&amp;"'!$E$2:$E$501"),"No"),0)))</f>
        <v/>
      </c>
      <c r="AY223" s="30" t="str">
        <f aca="true">IF(OR($A223="",$I223=""),"",IF($BC223="Y",SUMIFS(survey_frozen!$M$2:$M$251,survey_frozen!$P$2:$P$251,$A223&amp;"|"&amp;$B223),IFERROR(COUNTIFS(INDIRECT("'"&amp;$A223&amp;"'!$B$2:$B$501"),$T223,INDIRECT("'"&amp;$A223&amp;"'!$A$2:$A$501"),"&gt;="&amp;$I223,INDIRECT("'"&amp;$A223&amp;"'!$A$2:$A$501"),"&lt;"&amp;($BA223+1),INDIRECT("'"&amp;$A223&amp;"'!$G$2:$G$501"),"&lt;&gt;"),0)))</f>
        <v/>
      </c>
      <c r="AZ223" s="30" t="str">
        <f aca="false">IF($A223="","",$A223&amp;"|"&amp;$L223)</f>
        <v/>
      </c>
      <c r="BA223" s="31" t="str">
        <f aca="false">IF($A223="","",IFERROR(IF(INDEX(drops!$R$2:$R$21,MATCH($H223,drops!$A$2:$A$21,0))="","",INDEX(drops!$R$2:$R$21,MATCH($H223,drops!$A$2:$A$21,0))),""))</f>
        <v/>
      </c>
      <c r="BB223" s="30" t="n">
        <f aca="false">IF(OR($A223="",$Q223&lt;&gt;"Y"),1000000,N($AL223))</f>
        <v>1000000</v>
      </c>
      <c r="BC223" s="30" t="str">
        <f aca="false">IF($A223="","",IF(COUNTIF(survey_frozen!$P$2:$P$251,$A223&amp;"|"&amp;$B223)&gt;0,"Y",""))</f>
        <v/>
      </c>
      <c r="BD223" s="30" t="str">
        <f aca="false">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ustomFormat="false" ht="15" hidden="false" customHeight="false" outlineLevel="0" collapsed="false">
      <c r="C224" s="11"/>
      <c r="D224" s="10"/>
      <c r="E224" s="11"/>
      <c r="H224" s="30" t="str">
        <f aca="false">IF($A224="","",IFERROR(IF(INDEX(campaigns!$B$2:$B$51,MATCH($A224,campaigns!$A$2:$A$51,0))="","",INDEX(campaigns!$B$2:$B$51,MATCH($A224,campaigns!$A$2:$A$51,0))),""))</f>
        <v/>
      </c>
      <c r="I224" s="31" t="str">
        <f aca="false">IF($A224="","",IFERROR(IF(INDEX(campaigns!$BG$2:$BG$51,MATCH($A224,campaigns!$A$2:$A$51,0))="","",INDEX(campaigns!$BG$2:$BG$51,MATCH($A224,campaigns!$A$2:$A$51,0))),""))</f>
        <v/>
      </c>
      <c r="J224" s="30" t="str">
        <f aca="false">IF($A224="","",IFERROR(IF(INDEX(campaigns!$BE$2:$BE$51,MATCH($A224,campaigns!$A$2:$A$51,0))="","",INDEX(campaigns!$BE$2:$BE$51,MATCH($A224,campaigns!$A$2:$A$51,0))),""))</f>
        <v/>
      </c>
      <c r="K224" s="30" t="str">
        <f aca="false">IF($B224="","",IFERROR(IF(INDEX(offices!$O$2:$O$61,MATCH($B224,offices!$A$2:$A$61,0))="","",INDEX(offices!$O$2:$O$61,MATCH($B224,offices!$A$2:$A$61,0))),""))</f>
        <v/>
      </c>
      <c r="L224" s="30" t="str">
        <f aca="false">IF($A224="","",IF($Q224="N","",COUNTIFS($A$2:$A224,$A224,$Q$2:$Q224,"&lt;&gt;N")))</f>
        <v/>
      </c>
      <c r="M224" s="30" t="str">
        <f aca="false">IF(OR($A224="",$L224=""),"",IF(AND(config!$B$34="names_if_public",IFERROR(IF(INDEX(offices!$AG$2:$AG$61,MATCH($B224,offices!$A$2:$A$61,0))="","",INDEX(offices!$AG$2:$AG$61,MATCH($B224,offices!$A$2:$A$61,0))),"")="Y"),$K224,CHAR(64+$L224)))</f>
        <v/>
      </c>
      <c r="N224" s="30" t="str">
        <f aca="false">IF(OR($A224="",$I224=""),"",COUNTIFS(stops!$B$2:$B$151,$B224,stops!$P$2:$P$151,"&lt;"&amp;$I224,stops!$L$2:$L$151,"&lt;&gt;not_delivered")+1)</f>
        <v/>
      </c>
      <c r="O224" s="30" t="str">
        <f aca="false">IF($A224="","",IF(N($N224)&lt;=config!$B$29,"explicit","opt-out"))</f>
        <v/>
      </c>
      <c r="P224" s="30" t="str">
        <f aca="false">IF($A224="","",IF($O224="explicit",IF($D224="yes","Y",IF($D224="no","N","pending")),IF($D224="no","N",IF(AND($C224&lt;&gt;"",$I224&lt;&gt;"",$C224&lt;=WORKDAY(N($I224),-5,calendar!$A$2:$A$80)),"Y","pending"))))</f>
        <v/>
      </c>
      <c r="Q224" s="30" t="str">
        <f aca="false">IF($A224="","",IF($P224="N","N",IF($P224&lt;&gt;"Y","pending",IF(AND((COUNTIFS(stops!$A$2:$A$151,$H224,stops!$B$2:$B$151,$B224,stops!$L$2:$L$151,"declined")+COUNTIFS(stops!$A$2:$A$151,$H224,stops!$B$2:$B$151,$B224,stops!$L$2:$L$151,"building_refused")+COUNTIFS(stops!$A$2:$A$151,$H224,stops!$B$2:$B$151,$B224,stops!$L$2:$L$151,"not_delivered"))&gt;0,N($U224)=0),"N","Y"))))</f>
        <v/>
      </c>
      <c r="R224" s="30" t="str">
        <f aca="false">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30" t="str">
        <f aca="false">IF($A224="","",IF($G224&lt;&gt;"",$G224,IFERROR(IF(INDEX(offices!$AM$2:$AM$61,MATCH($B224,offices!$A$2:$A$61,0))="","",INDEX(offices!$AM$2:$AM$61,MATCH($B224,offices!$A$2:$A$61,0))),"")))</f>
        <v/>
      </c>
      <c r="T224" s="30" t="str">
        <f aca="false">IF($A224="","",$A224&amp;"."&amp;$B224)</f>
        <v/>
      </c>
      <c r="U224" s="30" t="str">
        <f aca="false">IF($A224="","",SUMIFS(inventory!$G$2:$G$801,inventory!$C$2:$C$801,$A224,inventory!$D$2:$D$801,$B224,inventory!$E$2:$E$801,"delivered"))</f>
        <v/>
      </c>
      <c r="V224" s="37" t="str">
        <f aca="false">IF($A224="","",IFERROR(1/(1/SUMPRODUCT(MAX((inventory!$C$2:$C$801=$A224)*(inventory!$D$2:$D$801=$B224)*(inventory!$E$2:$E$801="delivered")*(inventory!$A$2:$A$801+inventory!$B$2:$B$801)))),""))</f>
        <v/>
      </c>
      <c r="W224" s="30" t="str">
        <f aca="false">IF($A224="","",IFERROR(IF(INDEX(inventory!$J$2:$J$801,MATCH($A224&amp;"|"&amp;$B224&amp;"|delivered",inventory!$R$2:$R$801,0))="","",INDEX(inventory!$J$2:$J$801,MATCH($A224&amp;"|"&amp;$B224&amp;"|delivered",inventory!$R$2:$R$801,0))),""))</f>
        <v/>
      </c>
      <c r="X224" s="30" t="str">
        <f aca="false">IF($A224="","",IFERROR(IF(INDEX(photos!$H$2:$H$701,MATCH($A224&amp;"|"&amp;$B224&amp;"|placement|Y",photos!$R$2:$R$701,0))="","",INDEX(photos!$H$2:$H$701,MATCH($A224&amp;"|"&amp;$B224&amp;"|placement|Y",photos!$R$2:$R$701,0))),""))</f>
        <v/>
      </c>
      <c r="Y224" s="31" t="str">
        <f aca="false">IF($A224="","",IFERROR(IF(INDEX(photos!$E$2:$E$701,MATCH($A224&amp;"|"&amp;$B224&amp;"|placement|Y",photos!$R$2:$R$701,0))="","",INDEX(photos!$E$2:$E$701,MATCH($A224&amp;"|"&amp;$B224&amp;"|placement|Y",photos!$R$2:$R$701,0))),""))</f>
        <v/>
      </c>
      <c r="Z224" s="30" t="str">
        <f aca="false">IF($A224="","",IF(COUNTIFS(counts!$C$2:$C$701,$A224,counts!$D$2:$D$701,$B224,counts!$E$2:$E$701,"placed")=0,"",SUMIFS(counts!$F$2:$F$701,counts!$C$2:$C$701,$A224,counts!$D$2:$D$701,$B224,counts!$E$2:$E$701,"placed")))</f>
        <v/>
      </c>
      <c r="AA224" s="30" t="str">
        <f aca="false">IF($A224="","",IF($Y224="",0,N($Z224)))</f>
        <v/>
      </c>
      <c r="AB224" s="30" t="str">
        <f aca="false">IF($A224="","",IF(OR($Y224="",$I224=""),"N",IF($Y224&lt;=WORKDAY(N($I224),1,calendar!$A$2:$A$80),"Y","N")))</f>
        <v/>
      </c>
      <c r="AC224" s="33" t="str">
        <f aca="false">IF(OR($A224="",$V224="",$Y224=""),"",ROUND(($Y224+N(IFERROR(IF(INDEX(photos!$F$2:$F$701,MATCH($A224&amp;"|"&amp;$B224&amp;"|placement|Y",photos!$R$2:$R$701,0))="","",INDEX(photos!$F$2:$F$701,MATCH($A224&amp;"|"&amp;$B224&amp;"|placement|Y",photos!$R$2:$R$701,0))),""))-$V224)*24,1))</f>
        <v/>
      </c>
      <c r="AD224" s="30" t="str">
        <f aca="false">IF($A224="","",SUMIFS(inventory!$G$2:$G$801,inventory!$C$2:$C$801,$A224,inventory!$D$2:$D$801,$B224,inventory!$E$2:$E$801,"topped_up"))</f>
        <v/>
      </c>
      <c r="AE224" s="30" t="str">
        <f aca="false">IF($A224="","",IF(COUNTIFS(counts!$C$2:$C$701,$A224,counts!$D$2:$D$701,$B224,counts!$E$2:$E$701,"remaining_day3")=0,"",SUMIFS(counts!$F$2:$F$701,counts!$C$2:$C$701,$A224,counts!$D$2:$D$701,$B224,counts!$E$2:$E$701,"remaining_day3")))</f>
        <v/>
      </c>
      <c r="AF224" s="30" t="str">
        <f aca="false">IF($A224="","",IF(COUNTIFS(counts!$C$2:$C$701,$A224,counts!$D$2:$D$701,$B224,counts!$E$2:$E$701,"remaining_day5")=0,"",SUMIFS(counts!$F$2:$F$701,counts!$C$2:$C$701,$A224,counts!$D$2:$D$701,$B224,counts!$E$2:$E$701,"remaining_day5")))</f>
        <v/>
      </c>
      <c r="AG224" s="30" t="str">
        <f aca="false">IF(OR($A224="",$AF224=""),"",MAX(0,$AA224+$AD224-$AF224))</f>
        <v/>
      </c>
      <c r="AH224" s="30" t="str">
        <f aca="false">IF(OR($A224="",$AI224=""),"",IFERROR(IF(INDEX(photos!$H$2:$H$701,MATCH($A224&amp;"|"&amp;$B224&amp;"|later|Y|"&amp;$AI224,photos!$S$2:$S$701,0))="","",INDEX(photos!$H$2:$H$701,MATCH($A224&amp;"|"&amp;$B224&amp;"|later|Y|"&amp;$AI224,photos!$S$2:$S$701,0))),""))</f>
        <v/>
      </c>
      <c r="AI224" s="31" t="str">
        <f aca="false">IF($A224="","",IFERROR(1/(1/SUMPRODUCT(MAX((photos!$B$2:$B$701=$A224)*(photos!$C$2:$C$701=$B224)*(photos!$D$2:$D$701="later")*(photos!$O$2:$O$701="Y")*photos!$E$2:$E$701))),""))</f>
        <v/>
      </c>
      <c r="AJ224" s="30" t="str">
        <f aca="false">IF(OR($A224="",$AI224="",$I224=""),"",NETWORKDAYS($I224,$AI224,calendar!$A$2:$A$80))</f>
        <v/>
      </c>
      <c r="AK224" s="30" t="str">
        <f aca="false">IF($A224="","",IF(AND($X224&lt;&gt;"",$AH224&lt;&gt;""),"Y","N"))</f>
        <v/>
      </c>
      <c r="AL224" s="30" t="str">
        <f aca="true">IF(OR($A224="",$I224=""),"",IF($BC224="Y",SUMIFS(survey_frozen!$C$2:$C$251,survey_frozen!$P$2:$P$251,$A224&amp;"|"&amp;$B224),IFERROR(COUNTIFS(INDIRECT("'"&amp;$A224&amp;"'!$B$2:$B$501"),$T224,INDIRECT("'"&amp;$A224&amp;"'!$A$2:$A$501"),"&gt;="&amp;$I224,INDIRECT("'"&amp;$A224&amp;"'!$A$2:$A$501"),"&lt;"&amp;($BA224+1)),0)))</f>
        <v/>
      </c>
      <c r="AM224" s="30" t="str">
        <f aca="true">IF(OR($A224="",$I224=""),"",IF($BC224="Y",SUMIFS(survey_frozen!$D$2:$D$251,survey_frozen!$P$2:$P$251,$A224&amp;"|"&amp;$B224),IFERROR(COUNTIFS(INDIRECT("'"&amp;$A224&amp;"'!$B$2:$B$501"),$T224,INDIRECT("'"&amp;$A224&amp;"'!$A$2:$A$501"),"&gt;="&amp;$I224,INDIRECT("'"&amp;$A224&amp;"'!$A$2:$A$501"),"&lt;"&amp;($BA224+1),INDIRECT("'"&amp;$A224&amp;"'!$C$2:$C$501"),"Yes"),0)))</f>
        <v/>
      </c>
      <c r="AN224" s="30" t="str">
        <f aca="false">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30" t="str">
        <f aca="false">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30" t="str">
        <f aca="true">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30" t="str">
        <f aca="true">IF(OR($A224="",$I224=""),"",IF($BC224="Y",SUMIFS(survey_frozen!$E$2:$E$251,survey_frozen!$P$2:$P$251,$A224&amp;"|"&amp;$B224),IFERROR(COUNTIFS(INDIRECT("'"&amp;$A224&amp;"'!$B$2:$B$501"),$T224,INDIRECT("'"&amp;$A224&amp;"'!$A$2:$A$501"),"&gt;="&amp;$I224,INDIRECT("'"&amp;$A224&amp;"'!$A$2:$A$501"),"&lt;"&amp;($BA224+1),INDIRECT("'"&amp;$A224&amp;"'!$F$2:$F$501"),"Didn't see it"),0)))</f>
        <v/>
      </c>
      <c r="AR224" s="30" t="str">
        <f aca="true">IF(OR($A224="",$I224=""),"",IF($BC224="Y",SUMIFS(survey_frozen!$F$2:$F$251,survey_frozen!$P$2:$P$251,$A224&amp;"|"&amp;$B224),IFERROR(COUNTIFS(INDIRECT("'"&amp;$A224&amp;"'!$B$2:$B$501"),$T224,INDIRECT("'"&amp;$A224&amp;"'!$A$2:$A$501"),"&gt;="&amp;$I224,INDIRECT("'"&amp;$A224&amp;"'!$A$2:$A$501"),"&lt;"&amp;($BA224+1),INDIRECT("'"&amp;$A224&amp;"'!$F$2:$F$501"),"Not for me"),0)))</f>
        <v/>
      </c>
      <c r="AS224" s="30" t="str">
        <f aca="true">IF(OR($A224="",$I224=""),"",IF($BC224="Y",SUMIFS(survey_frozen!$G$2:$G$251,survey_frozen!$P$2:$P$251,$A224&amp;"|"&amp;$B224),IFERROR(COUNTIFS(INDIRECT("'"&amp;$A224&amp;"'!$B$2:$B$501"),$T224,INDIRECT("'"&amp;$A224&amp;"'!$A$2:$A$501"),"&gt;="&amp;$I224,INDIRECT("'"&amp;$A224&amp;"'!$A$2:$A$501"),"&lt;"&amp;($BA224+1),INDIRECT("'"&amp;$A224&amp;"'!$F$2:$F$501"),"Gone by the time I looked"),0)))</f>
        <v/>
      </c>
      <c r="AT224" s="30" t="str">
        <f aca="true">IF(OR($A224="",$I224=""),"",IF($BC224="Y",SUMIFS(survey_frozen!$H$2:$H$251,survey_frozen!$P$2:$P$251,$A224&amp;"|"&amp;$B224),IFERROR(COUNTIFS(INDIRECT("'"&amp;$A224&amp;"'!$B$2:$B$501"),$T224,INDIRECT("'"&amp;$A224&amp;"'!$A$2:$A$501"),"&gt;="&amp;$I224,INDIRECT("'"&amp;$A224&amp;"'!$A$2:$A$501"),"&lt;"&amp;($BA224+1),INDIRECT("'"&amp;$A224&amp;"'!$D$2:$D$501"),"&gt;=1"),0)))</f>
        <v/>
      </c>
      <c r="AU224" s="30" t="str">
        <f aca="true">IF(OR($A224="",$I224=""),"",IF($BC224="Y",SUMIFS(survey_frozen!$I$2:$I$251,survey_frozen!$P$2:$P$251,$A224&amp;"|"&amp;$B224),IFERROR(SUMIFS(INDIRECT("'"&amp;$A224&amp;"'!$D$2:$D$501"),INDIRECT("'"&amp;$A224&amp;"'!$B$2:$B$501"),$T224,INDIRECT("'"&amp;$A224&amp;"'!$A$2:$A$501"),"&gt;="&amp;$I224,INDIRECT("'"&amp;$A224&amp;"'!$A$2:$A$501"),"&lt;"&amp;($BA224+1)),0)))</f>
        <v/>
      </c>
      <c r="AV224" s="30" t="str">
        <f aca="true">IF(OR($A224="",$I224=""),"",IF($BC224="Y",SUMIFS(survey_frozen!$J$2:$J$251,survey_frozen!$P$2:$P$251,$A224&amp;"|"&amp;$B224),IFERROR(COUNTIFS(INDIRECT("'"&amp;$A224&amp;"'!$B$2:$B$501"),$T224,INDIRECT("'"&amp;$A224&amp;"'!$A$2:$A$501"),"&gt;="&amp;$I224,INDIRECT("'"&amp;$A224&amp;"'!$A$2:$A$501"),"&lt;"&amp;($BA224+1),INDIRECT("'"&amp;$A224&amp;"'!$E$2:$E$501"),"Yes"),0)))</f>
        <v/>
      </c>
      <c r="AW224" s="30" t="str">
        <f aca="true">IF(OR($A224="",$I224=""),"",IF($BC224="Y",SUMIFS(survey_frozen!$K$2:$K$251,survey_frozen!$P$2:$P$251,$A224&amp;"|"&amp;$B224),IFERROR(COUNTIFS(INDIRECT("'"&amp;$A224&amp;"'!$B$2:$B$501"),$T224,INDIRECT("'"&amp;$A224&amp;"'!$A$2:$A$501"),"&gt;="&amp;$I224,INDIRECT("'"&amp;$A224&amp;"'!$A$2:$A$501"),"&lt;"&amp;($BA224+1),INDIRECT("'"&amp;$A224&amp;"'!$E$2:$E$501"),"Maybe"),0)))</f>
        <v/>
      </c>
      <c r="AX224" s="30" t="str">
        <f aca="true">IF(OR($A224="",$I224=""),"",IF($BC224="Y",SUMIFS(survey_frozen!$L$2:$L$251,survey_frozen!$P$2:$P$251,$A224&amp;"|"&amp;$B224),IFERROR(COUNTIFS(INDIRECT("'"&amp;$A224&amp;"'!$B$2:$B$501"),$T224,INDIRECT("'"&amp;$A224&amp;"'!$A$2:$A$501"),"&gt;="&amp;$I224,INDIRECT("'"&amp;$A224&amp;"'!$A$2:$A$501"),"&lt;"&amp;($BA224+1),INDIRECT("'"&amp;$A224&amp;"'!$E$2:$E$501"),"No"),0)))</f>
        <v/>
      </c>
      <c r="AY224" s="30" t="str">
        <f aca="true">IF(OR($A224="",$I224=""),"",IF($BC224="Y",SUMIFS(survey_frozen!$M$2:$M$251,survey_frozen!$P$2:$P$251,$A224&amp;"|"&amp;$B224),IFERROR(COUNTIFS(INDIRECT("'"&amp;$A224&amp;"'!$B$2:$B$501"),$T224,INDIRECT("'"&amp;$A224&amp;"'!$A$2:$A$501"),"&gt;="&amp;$I224,INDIRECT("'"&amp;$A224&amp;"'!$A$2:$A$501"),"&lt;"&amp;($BA224+1),INDIRECT("'"&amp;$A224&amp;"'!$G$2:$G$501"),"&lt;&gt;"),0)))</f>
        <v/>
      </c>
      <c r="AZ224" s="30" t="str">
        <f aca="false">IF($A224="","",$A224&amp;"|"&amp;$L224)</f>
        <v/>
      </c>
      <c r="BA224" s="31" t="str">
        <f aca="false">IF($A224="","",IFERROR(IF(INDEX(drops!$R$2:$R$21,MATCH($H224,drops!$A$2:$A$21,0))="","",INDEX(drops!$R$2:$R$21,MATCH($H224,drops!$A$2:$A$21,0))),""))</f>
        <v/>
      </c>
      <c r="BB224" s="30" t="n">
        <f aca="false">IF(OR($A224="",$Q224&lt;&gt;"Y"),1000000,N($AL224))</f>
        <v>1000000</v>
      </c>
      <c r="BC224" s="30" t="str">
        <f aca="false">IF($A224="","",IF(COUNTIF(survey_frozen!$P$2:$P$251,$A224&amp;"|"&amp;$B224)&gt;0,"Y",""))</f>
        <v/>
      </c>
      <c r="BD224" s="30" t="str">
        <f aca="false">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ustomFormat="false" ht="15" hidden="false" customHeight="false" outlineLevel="0" collapsed="false">
      <c r="C225" s="11"/>
      <c r="D225" s="10"/>
      <c r="E225" s="11"/>
      <c r="H225" s="30" t="str">
        <f aca="false">IF($A225="","",IFERROR(IF(INDEX(campaigns!$B$2:$B$51,MATCH($A225,campaigns!$A$2:$A$51,0))="","",INDEX(campaigns!$B$2:$B$51,MATCH($A225,campaigns!$A$2:$A$51,0))),""))</f>
        <v/>
      </c>
      <c r="I225" s="31" t="str">
        <f aca="false">IF($A225="","",IFERROR(IF(INDEX(campaigns!$BG$2:$BG$51,MATCH($A225,campaigns!$A$2:$A$51,0))="","",INDEX(campaigns!$BG$2:$BG$51,MATCH($A225,campaigns!$A$2:$A$51,0))),""))</f>
        <v/>
      </c>
      <c r="J225" s="30" t="str">
        <f aca="false">IF($A225="","",IFERROR(IF(INDEX(campaigns!$BE$2:$BE$51,MATCH($A225,campaigns!$A$2:$A$51,0))="","",INDEX(campaigns!$BE$2:$BE$51,MATCH($A225,campaigns!$A$2:$A$51,0))),""))</f>
        <v/>
      </c>
      <c r="K225" s="30" t="str">
        <f aca="false">IF($B225="","",IFERROR(IF(INDEX(offices!$O$2:$O$61,MATCH($B225,offices!$A$2:$A$61,0))="","",INDEX(offices!$O$2:$O$61,MATCH($B225,offices!$A$2:$A$61,0))),""))</f>
        <v/>
      </c>
      <c r="L225" s="30" t="str">
        <f aca="false">IF($A225="","",IF($Q225="N","",COUNTIFS($A$2:$A225,$A225,$Q$2:$Q225,"&lt;&gt;N")))</f>
        <v/>
      </c>
      <c r="M225" s="30" t="str">
        <f aca="false">IF(OR($A225="",$L225=""),"",IF(AND(config!$B$34="names_if_public",IFERROR(IF(INDEX(offices!$AG$2:$AG$61,MATCH($B225,offices!$A$2:$A$61,0))="","",INDEX(offices!$AG$2:$AG$61,MATCH($B225,offices!$A$2:$A$61,0))),"")="Y"),$K225,CHAR(64+$L225)))</f>
        <v/>
      </c>
      <c r="N225" s="30" t="str">
        <f aca="false">IF(OR($A225="",$I225=""),"",COUNTIFS(stops!$B$2:$B$151,$B225,stops!$P$2:$P$151,"&lt;"&amp;$I225,stops!$L$2:$L$151,"&lt;&gt;not_delivered")+1)</f>
        <v/>
      </c>
      <c r="O225" s="30" t="str">
        <f aca="false">IF($A225="","",IF(N($N225)&lt;=config!$B$29,"explicit","opt-out"))</f>
        <v/>
      </c>
      <c r="P225" s="30" t="str">
        <f aca="false">IF($A225="","",IF($O225="explicit",IF($D225="yes","Y",IF($D225="no","N","pending")),IF($D225="no","N",IF(AND($C225&lt;&gt;"",$I225&lt;&gt;"",$C225&lt;=WORKDAY(N($I225),-5,calendar!$A$2:$A$80)),"Y","pending"))))</f>
        <v/>
      </c>
      <c r="Q225" s="30" t="str">
        <f aca="false">IF($A225="","",IF($P225="N","N",IF($P225&lt;&gt;"Y","pending",IF(AND((COUNTIFS(stops!$A$2:$A$151,$H225,stops!$B$2:$B$151,$B225,stops!$L$2:$L$151,"declined")+COUNTIFS(stops!$A$2:$A$151,$H225,stops!$B$2:$B$151,$B225,stops!$L$2:$L$151,"building_refused")+COUNTIFS(stops!$A$2:$A$151,$H225,stops!$B$2:$B$151,$B225,stops!$L$2:$L$151,"not_delivered"))&gt;0,N($U225)=0),"N","Y"))))</f>
        <v/>
      </c>
      <c r="R225" s="30" t="str">
        <f aca="false">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30" t="str">
        <f aca="false">IF($A225="","",IF($G225&lt;&gt;"",$G225,IFERROR(IF(INDEX(offices!$AM$2:$AM$61,MATCH($B225,offices!$A$2:$A$61,0))="","",INDEX(offices!$AM$2:$AM$61,MATCH($B225,offices!$A$2:$A$61,0))),"")))</f>
        <v/>
      </c>
      <c r="T225" s="30" t="str">
        <f aca="false">IF($A225="","",$A225&amp;"."&amp;$B225)</f>
        <v/>
      </c>
      <c r="U225" s="30" t="str">
        <f aca="false">IF($A225="","",SUMIFS(inventory!$G$2:$G$801,inventory!$C$2:$C$801,$A225,inventory!$D$2:$D$801,$B225,inventory!$E$2:$E$801,"delivered"))</f>
        <v/>
      </c>
      <c r="V225" s="37" t="str">
        <f aca="false">IF($A225="","",IFERROR(1/(1/SUMPRODUCT(MAX((inventory!$C$2:$C$801=$A225)*(inventory!$D$2:$D$801=$B225)*(inventory!$E$2:$E$801="delivered")*(inventory!$A$2:$A$801+inventory!$B$2:$B$801)))),""))</f>
        <v/>
      </c>
      <c r="W225" s="30" t="str">
        <f aca="false">IF($A225="","",IFERROR(IF(INDEX(inventory!$J$2:$J$801,MATCH($A225&amp;"|"&amp;$B225&amp;"|delivered",inventory!$R$2:$R$801,0))="","",INDEX(inventory!$J$2:$J$801,MATCH($A225&amp;"|"&amp;$B225&amp;"|delivered",inventory!$R$2:$R$801,0))),""))</f>
        <v/>
      </c>
      <c r="X225" s="30" t="str">
        <f aca="false">IF($A225="","",IFERROR(IF(INDEX(photos!$H$2:$H$701,MATCH($A225&amp;"|"&amp;$B225&amp;"|placement|Y",photos!$R$2:$R$701,0))="","",INDEX(photos!$H$2:$H$701,MATCH($A225&amp;"|"&amp;$B225&amp;"|placement|Y",photos!$R$2:$R$701,0))),""))</f>
        <v/>
      </c>
      <c r="Y225" s="31" t="str">
        <f aca="false">IF($A225="","",IFERROR(IF(INDEX(photos!$E$2:$E$701,MATCH($A225&amp;"|"&amp;$B225&amp;"|placement|Y",photos!$R$2:$R$701,0))="","",INDEX(photos!$E$2:$E$701,MATCH($A225&amp;"|"&amp;$B225&amp;"|placement|Y",photos!$R$2:$R$701,0))),""))</f>
        <v/>
      </c>
      <c r="Z225" s="30" t="str">
        <f aca="false">IF($A225="","",IF(COUNTIFS(counts!$C$2:$C$701,$A225,counts!$D$2:$D$701,$B225,counts!$E$2:$E$701,"placed")=0,"",SUMIFS(counts!$F$2:$F$701,counts!$C$2:$C$701,$A225,counts!$D$2:$D$701,$B225,counts!$E$2:$E$701,"placed")))</f>
        <v/>
      </c>
      <c r="AA225" s="30" t="str">
        <f aca="false">IF($A225="","",IF($Y225="",0,N($Z225)))</f>
        <v/>
      </c>
      <c r="AB225" s="30" t="str">
        <f aca="false">IF($A225="","",IF(OR($Y225="",$I225=""),"N",IF($Y225&lt;=WORKDAY(N($I225),1,calendar!$A$2:$A$80),"Y","N")))</f>
        <v/>
      </c>
      <c r="AC225" s="33" t="str">
        <f aca="false">IF(OR($A225="",$V225="",$Y225=""),"",ROUND(($Y225+N(IFERROR(IF(INDEX(photos!$F$2:$F$701,MATCH($A225&amp;"|"&amp;$B225&amp;"|placement|Y",photos!$R$2:$R$701,0))="","",INDEX(photos!$F$2:$F$701,MATCH($A225&amp;"|"&amp;$B225&amp;"|placement|Y",photos!$R$2:$R$701,0))),""))-$V225)*24,1))</f>
        <v/>
      </c>
      <c r="AD225" s="30" t="str">
        <f aca="false">IF($A225="","",SUMIFS(inventory!$G$2:$G$801,inventory!$C$2:$C$801,$A225,inventory!$D$2:$D$801,$B225,inventory!$E$2:$E$801,"topped_up"))</f>
        <v/>
      </c>
      <c r="AE225" s="30" t="str">
        <f aca="false">IF($A225="","",IF(COUNTIFS(counts!$C$2:$C$701,$A225,counts!$D$2:$D$701,$B225,counts!$E$2:$E$701,"remaining_day3")=0,"",SUMIFS(counts!$F$2:$F$701,counts!$C$2:$C$701,$A225,counts!$D$2:$D$701,$B225,counts!$E$2:$E$701,"remaining_day3")))</f>
        <v/>
      </c>
      <c r="AF225" s="30" t="str">
        <f aca="false">IF($A225="","",IF(COUNTIFS(counts!$C$2:$C$701,$A225,counts!$D$2:$D$701,$B225,counts!$E$2:$E$701,"remaining_day5")=0,"",SUMIFS(counts!$F$2:$F$701,counts!$C$2:$C$701,$A225,counts!$D$2:$D$701,$B225,counts!$E$2:$E$701,"remaining_day5")))</f>
        <v/>
      </c>
      <c r="AG225" s="30" t="str">
        <f aca="false">IF(OR($A225="",$AF225=""),"",MAX(0,$AA225+$AD225-$AF225))</f>
        <v/>
      </c>
      <c r="AH225" s="30" t="str">
        <f aca="false">IF(OR($A225="",$AI225=""),"",IFERROR(IF(INDEX(photos!$H$2:$H$701,MATCH($A225&amp;"|"&amp;$B225&amp;"|later|Y|"&amp;$AI225,photos!$S$2:$S$701,0))="","",INDEX(photos!$H$2:$H$701,MATCH($A225&amp;"|"&amp;$B225&amp;"|later|Y|"&amp;$AI225,photos!$S$2:$S$701,0))),""))</f>
        <v/>
      </c>
      <c r="AI225" s="31" t="str">
        <f aca="false">IF($A225="","",IFERROR(1/(1/SUMPRODUCT(MAX((photos!$B$2:$B$701=$A225)*(photos!$C$2:$C$701=$B225)*(photos!$D$2:$D$701="later")*(photos!$O$2:$O$701="Y")*photos!$E$2:$E$701))),""))</f>
        <v/>
      </c>
      <c r="AJ225" s="30" t="str">
        <f aca="false">IF(OR($A225="",$AI225="",$I225=""),"",NETWORKDAYS($I225,$AI225,calendar!$A$2:$A$80))</f>
        <v/>
      </c>
      <c r="AK225" s="30" t="str">
        <f aca="false">IF($A225="","",IF(AND($X225&lt;&gt;"",$AH225&lt;&gt;""),"Y","N"))</f>
        <v/>
      </c>
      <c r="AL225" s="30" t="str">
        <f aca="true">IF(OR($A225="",$I225=""),"",IF($BC225="Y",SUMIFS(survey_frozen!$C$2:$C$251,survey_frozen!$P$2:$P$251,$A225&amp;"|"&amp;$B225),IFERROR(COUNTIFS(INDIRECT("'"&amp;$A225&amp;"'!$B$2:$B$501"),$T225,INDIRECT("'"&amp;$A225&amp;"'!$A$2:$A$501"),"&gt;="&amp;$I225,INDIRECT("'"&amp;$A225&amp;"'!$A$2:$A$501"),"&lt;"&amp;($BA225+1)),0)))</f>
        <v/>
      </c>
      <c r="AM225" s="30" t="str">
        <f aca="true">IF(OR($A225="",$I225=""),"",IF($BC225="Y",SUMIFS(survey_frozen!$D$2:$D$251,survey_frozen!$P$2:$P$251,$A225&amp;"|"&amp;$B225),IFERROR(COUNTIFS(INDIRECT("'"&amp;$A225&amp;"'!$B$2:$B$501"),$T225,INDIRECT("'"&amp;$A225&amp;"'!$A$2:$A$501"),"&gt;="&amp;$I225,INDIRECT("'"&amp;$A225&amp;"'!$A$2:$A$501"),"&lt;"&amp;($BA225+1),INDIRECT("'"&amp;$A225&amp;"'!$C$2:$C$501"),"Yes"),0)))</f>
        <v/>
      </c>
      <c r="AN225" s="30" t="str">
        <f aca="false">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30" t="str">
        <f aca="false">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30" t="str">
        <f aca="true">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30" t="str">
        <f aca="true">IF(OR($A225="",$I225=""),"",IF($BC225="Y",SUMIFS(survey_frozen!$E$2:$E$251,survey_frozen!$P$2:$P$251,$A225&amp;"|"&amp;$B225),IFERROR(COUNTIFS(INDIRECT("'"&amp;$A225&amp;"'!$B$2:$B$501"),$T225,INDIRECT("'"&amp;$A225&amp;"'!$A$2:$A$501"),"&gt;="&amp;$I225,INDIRECT("'"&amp;$A225&amp;"'!$A$2:$A$501"),"&lt;"&amp;($BA225+1),INDIRECT("'"&amp;$A225&amp;"'!$F$2:$F$501"),"Didn't see it"),0)))</f>
        <v/>
      </c>
      <c r="AR225" s="30" t="str">
        <f aca="true">IF(OR($A225="",$I225=""),"",IF($BC225="Y",SUMIFS(survey_frozen!$F$2:$F$251,survey_frozen!$P$2:$P$251,$A225&amp;"|"&amp;$B225),IFERROR(COUNTIFS(INDIRECT("'"&amp;$A225&amp;"'!$B$2:$B$501"),$T225,INDIRECT("'"&amp;$A225&amp;"'!$A$2:$A$501"),"&gt;="&amp;$I225,INDIRECT("'"&amp;$A225&amp;"'!$A$2:$A$501"),"&lt;"&amp;($BA225+1),INDIRECT("'"&amp;$A225&amp;"'!$F$2:$F$501"),"Not for me"),0)))</f>
        <v/>
      </c>
      <c r="AS225" s="30" t="str">
        <f aca="true">IF(OR($A225="",$I225=""),"",IF($BC225="Y",SUMIFS(survey_frozen!$G$2:$G$251,survey_frozen!$P$2:$P$251,$A225&amp;"|"&amp;$B225),IFERROR(COUNTIFS(INDIRECT("'"&amp;$A225&amp;"'!$B$2:$B$501"),$T225,INDIRECT("'"&amp;$A225&amp;"'!$A$2:$A$501"),"&gt;="&amp;$I225,INDIRECT("'"&amp;$A225&amp;"'!$A$2:$A$501"),"&lt;"&amp;($BA225+1),INDIRECT("'"&amp;$A225&amp;"'!$F$2:$F$501"),"Gone by the time I looked"),0)))</f>
        <v/>
      </c>
      <c r="AT225" s="30" t="str">
        <f aca="true">IF(OR($A225="",$I225=""),"",IF($BC225="Y",SUMIFS(survey_frozen!$H$2:$H$251,survey_frozen!$P$2:$P$251,$A225&amp;"|"&amp;$B225),IFERROR(COUNTIFS(INDIRECT("'"&amp;$A225&amp;"'!$B$2:$B$501"),$T225,INDIRECT("'"&amp;$A225&amp;"'!$A$2:$A$501"),"&gt;="&amp;$I225,INDIRECT("'"&amp;$A225&amp;"'!$A$2:$A$501"),"&lt;"&amp;($BA225+1),INDIRECT("'"&amp;$A225&amp;"'!$D$2:$D$501"),"&gt;=1"),0)))</f>
        <v/>
      </c>
      <c r="AU225" s="30" t="str">
        <f aca="true">IF(OR($A225="",$I225=""),"",IF($BC225="Y",SUMIFS(survey_frozen!$I$2:$I$251,survey_frozen!$P$2:$P$251,$A225&amp;"|"&amp;$B225),IFERROR(SUMIFS(INDIRECT("'"&amp;$A225&amp;"'!$D$2:$D$501"),INDIRECT("'"&amp;$A225&amp;"'!$B$2:$B$501"),$T225,INDIRECT("'"&amp;$A225&amp;"'!$A$2:$A$501"),"&gt;="&amp;$I225,INDIRECT("'"&amp;$A225&amp;"'!$A$2:$A$501"),"&lt;"&amp;($BA225+1)),0)))</f>
        <v/>
      </c>
      <c r="AV225" s="30" t="str">
        <f aca="true">IF(OR($A225="",$I225=""),"",IF($BC225="Y",SUMIFS(survey_frozen!$J$2:$J$251,survey_frozen!$P$2:$P$251,$A225&amp;"|"&amp;$B225),IFERROR(COUNTIFS(INDIRECT("'"&amp;$A225&amp;"'!$B$2:$B$501"),$T225,INDIRECT("'"&amp;$A225&amp;"'!$A$2:$A$501"),"&gt;="&amp;$I225,INDIRECT("'"&amp;$A225&amp;"'!$A$2:$A$501"),"&lt;"&amp;($BA225+1),INDIRECT("'"&amp;$A225&amp;"'!$E$2:$E$501"),"Yes"),0)))</f>
        <v/>
      </c>
      <c r="AW225" s="30" t="str">
        <f aca="true">IF(OR($A225="",$I225=""),"",IF($BC225="Y",SUMIFS(survey_frozen!$K$2:$K$251,survey_frozen!$P$2:$P$251,$A225&amp;"|"&amp;$B225),IFERROR(COUNTIFS(INDIRECT("'"&amp;$A225&amp;"'!$B$2:$B$501"),$T225,INDIRECT("'"&amp;$A225&amp;"'!$A$2:$A$501"),"&gt;="&amp;$I225,INDIRECT("'"&amp;$A225&amp;"'!$A$2:$A$501"),"&lt;"&amp;($BA225+1),INDIRECT("'"&amp;$A225&amp;"'!$E$2:$E$501"),"Maybe"),0)))</f>
        <v/>
      </c>
      <c r="AX225" s="30" t="str">
        <f aca="true">IF(OR($A225="",$I225=""),"",IF($BC225="Y",SUMIFS(survey_frozen!$L$2:$L$251,survey_frozen!$P$2:$P$251,$A225&amp;"|"&amp;$B225),IFERROR(COUNTIFS(INDIRECT("'"&amp;$A225&amp;"'!$B$2:$B$501"),$T225,INDIRECT("'"&amp;$A225&amp;"'!$A$2:$A$501"),"&gt;="&amp;$I225,INDIRECT("'"&amp;$A225&amp;"'!$A$2:$A$501"),"&lt;"&amp;($BA225+1),INDIRECT("'"&amp;$A225&amp;"'!$E$2:$E$501"),"No"),0)))</f>
        <v/>
      </c>
      <c r="AY225" s="30" t="str">
        <f aca="true">IF(OR($A225="",$I225=""),"",IF($BC225="Y",SUMIFS(survey_frozen!$M$2:$M$251,survey_frozen!$P$2:$P$251,$A225&amp;"|"&amp;$B225),IFERROR(COUNTIFS(INDIRECT("'"&amp;$A225&amp;"'!$B$2:$B$501"),$T225,INDIRECT("'"&amp;$A225&amp;"'!$A$2:$A$501"),"&gt;="&amp;$I225,INDIRECT("'"&amp;$A225&amp;"'!$A$2:$A$501"),"&lt;"&amp;($BA225+1),INDIRECT("'"&amp;$A225&amp;"'!$G$2:$G$501"),"&lt;&gt;"),0)))</f>
        <v/>
      </c>
      <c r="AZ225" s="30" t="str">
        <f aca="false">IF($A225="","",$A225&amp;"|"&amp;$L225)</f>
        <v/>
      </c>
      <c r="BA225" s="31" t="str">
        <f aca="false">IF($A225="","",IFERROR(IF(INDEX(drops!$R$2:$R$21,MATCH($H225,drops!$A$2:$A$21,0))="","",INDEX(drops!$R$2:$R$21,MATCH($H225,drops!$A$2:$A$21,0))),""))</f>
        <v/>
      </c>
      <c r="BB225" s="30" t="n">
        <f aca="false">IF(OR($A225="",$Q225&lt;&gt;"Y"),1000000,N($AL225))</f>
        <v>1000000</v>
      </c>
      <c r="BC225" s="30" t="str">
        <f aca="false">IF($A225="","",IF(COUNTIF(survey_frozen!$P$2:$P$251,$A225&amp;"|"&amp;$B225)&gt;0,"Y",""))</f>
        <v/>
      </c>
      <c r="BD225" s="30" t="str">
        <f aca="false">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ustomFormat="false" ht="15" hidden="false" customHeight="false" outlineLevel="0" collapsed="false">
      <c r="C226" s="11"/>
      <c r="D226" s="10"/>
      <c r="E226" s="11"/>
      <c r="H226" s="30" t="str">
        <f aca="false">IF($A226="","",IFERROR(IF(INDEX(campaigns!$B$2:$B$51,MATCH($A226,campaigns!$A$2:$A$51,0))="","",INDEX(campaigns!$B$2:$B$51,MATCH($A226,campaigns!$A$2:$A$51,0))),""))</f>
        <v/>
      </c>
      <c r="I226" s="31" t="str">
        <f aca="false">IF($A226="","",IFERROR(IF(INDEX(campaigns!$BG$2:$BG$51,MATCH($A226,campaigns!$A$2:$A$51,0))="","",INDEX(campaigns!$BG$2:$BG$51,MATCH($A226,campaigns!$A$2:$A$51,0))),""))</f>
        <v/>
      </c>
      <c r="J226" s="30" t="str">
        <f aca="false">IF($A226="","",IFERROR(IF(INDEX(campaigns!$BE$2:$BE$51,MATCH($A226,campaigns!$A$2:$A$51,0))="","",INDEX(campaigns!$BE$2:$BE$51,MATCH($A226,campaigns!$A$2:$A$51,0))),""))</f>
        <v/>
      </c>
      <c r="K226" s="30" t="str">
        <f aca="false">IF($B226="","",IFERROR(IF(INDEX(offices!$O$2:$O$61,MATCH($B226,offices!$A$2:$A$61,0))="","",INDEX(offices!$O$2:$O$61,MATCH($B226,offices!$A$2:$A$61,0))),""))</f>
        <v/>
      </c>
      <c r="L226" s="30" t="str">
        <f aca="false">IF($A226="","",IF($Q226="N","",COUNTIFS($A$2:$A226,$A226,$Q$2:$Q226,"&lt;&gt;N")))</f>
        <v/>
      </c>
      <c r="M226" s="30" t="str">
        <f aca="false">IF(OR($A226="",$L226=""),"",IF(AND(config!$B$34="names_if_public",IFERROR(IF(INDEX(offices!$AG$2:$AG$61,MATCH($B226,offices!$A$2:$A$61,0))="","",INDEX(offices!$AG$2:$AG$61,MATCH($B226,offices!$A$2:$A$61,0))),"")="Y"),$K226,CHAR(64+$L226)))</f>
        <v/>
      </c>
      <c r="N226" s="30" t="str">
        <f aca="false">IF(OR($A226="",$I226=""),"",COUNTIFS(stops!$B$2:$B$151,$B226,stops!$P$2:$P$151,"&lt;"&amp;$I226,stops!$L$2:$L$151,"&lt;&gt;not_delivered")+1)</f>
        <v/>
      </c>
      <c r="O226" s="30" t="str">
        <f aca="false">IF($A226="","",IF(N($N226)&lt;=config!$B$29,"explicit","opt-out"))</f>
        <v/>
      </c>
      <c r="P226" s="30" t="str">
        <f aca="false">IF($A226="","",IF($O226="explicit",IF($D226="yes","Y",IF($D226="no","N","pending")),IF($D226="no","N",IF(AND($C226&lt;&gt;"",$I226&lt;&gt;"",$C226&lt;=WORKDAY(N($I226),-5,calendar!$A$2:$A$80)),"Y","pending"))))</f>
        <v/>
      </c>
      <c r="Q226" s="30" t="str">
        <f aca="false">IF($A226="","",IF($P226="N","N",IF($P226&lt;&gt;"Y","pending",IF(AND((COUNTIFS(stops!$A$2:$A$151,$H226,stops!$B$2:$B$151,$B226,stops!$L$2:$L$151,"declined")+COUNTIFS(stops!$A$2:$A$151,$H226,stops!$B$2:$B$151,$B226,stops!$L$2:$L$151,"building_refused")+COUNTIFS(stops!$A$2:$A$151,$H226,stops!$B$2:$B$151,$B226,stops!$L$2:$L$151,"not_delivered"))&gt;0,N($U226)=0),"N","Y"))))</f>
        <v/>
      </c>
      <c r="R226" s="30" t="str">
        <f aca="false">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30" t="str">
        <f aca="false">IF($A226="","",IF($G226&lt;&gt;"",$G226,IFERROR(IF(INDEX(offices!$AM$2:$AM$61,MATCH($B226,offices!$A$2:$A$61,0))="","",INDEX(offices!$AM$2:$AM$61,MATCH($B226,offices!$A$2:$A$61,0))),"")))</f>
        <v/>
      </c>
      <c r="T226" s="30" t="str">
        <f aca="false">IF($A226="","",$A226&amp;"."&amp;$B226)</f>
        <v/>
      </c>
      <c r="U226" s="30" t="str">
        <f aca="false">IF($A226="","",SUMIFS(inventory!$G$2:$G$801,inventory!$C$2:$C$801,$A226,inventory!$D$2:$D$801,$B226,inventory!$E$2:$E$801,"delivered"))</f>
        <v/>
      </c>
      <c r="V226" s="37" t="str">
        <f aca="false">IF($A226="","",IFERROR(1/(1/SUMPRODUCT(MAX((inventory!$C$2:$C$801=$A226)*(inventory!$D$2:$D$801=$B226)*(inventory!$E$2:$E$801="delivered")*(inventory!$A$2:$A$801+inventory!$B$2:$B$801)))),""))</f>
        <v/>
      </c>
      <c r="W226" s="30" t="str">
        <f aca="false">IF($A226="","",IFERROR(IF(INDEX(inventory!$J$2:$J$801,MATCH($A226&amp;"|"&amp;$B226&amp;"|delivered",inventory!$R$2:$R$801,0))="","",INDEX(inventory!$J$2:$J$801,MATCH($A226&amp;"|"&amp;$B226&amp;"|delivered",inventory!$R$2:$R$801,0))),""))</f>
        <v/>
      </c>
      <c r="X226" s="30" t="str">
        <f aca="false">IF($A226="","",IFERROR(IF(INDEX(photos!$H$2:$H$701,MATCH($A226&amp;"|"&amp;$B226&amp;"|placement|Y",photos!$R$2:$R$701,0))="","",INDEX(photos!$H$2:$H$701,MATCH($A226&amp;"|"&amp;$B226&amp;"|placement|Y",photos!$R$2:$R$701,0))),""))</f>
        <v/>
      </c>
      <c r="Y226" s="31" t="str">
        <f aca="false">IF($A226="","",IFERROR(IF(INDEX(photos!$E$2:$E$701,MATCH($A226&amp;"|"&amp;$B226&amp;"|placement|Y",photos!$R$2:$R$701,0))="","",INDEX(photos!$E$2:$E$701,MATCH($A226&amp;"|"&amp;$B226&amp;"|placement|Y",photos!$R$2:$R$701,0))),""))</f>
        <v/>
      </c>
      <c r="Z226" s="30" t="str">
        <f aca="false">IF($A226="","",IF(COUNTIFS(counts!$C$2:$C$701,$A226,counts!$D$2:$D$701,$B226,counts!$E$2:$E$701,"placed")=0,"",SUMIFS(counts!$F$2:$F$701,counts!$C$2:$C$701,$A226,counts!$D$2:$D$701,$B226,counts!$E$2:$E$701,"placed")))</f>
        <v/>
      </c>
      <c r="AA226" s="30" t="str">
        <f aca="false">IF($A226="","",IF($Y226="",0,N($Z226)))</f>
        <v/>
      </c>
      <c r="AB226" s="30" t="str">
        <f aca="false">IF($A226="","",IF(OR($Y226="",$I226=""),"N",IF($Y226&lt;=WORKDAY(N($I226),1,calendar!$A$2:$A$80),"Y","N")))</f>
        <v/>
      </c>
      <c r="AC226" s="33" t="str">
        <f aca="false">IF(OR($A226="",$V226="",$Y226=""),"",ROUND(($Y226+N(IFERROR(IF(INDEX(photos!$F$2:$F$701,MATCH($A226&amp;"|"&amp;$B226&amp;"|placement|Y",photos!$R$2:$R$701,0))="","",INDEX(photos!$F$2:$F$701,MATCH($A226&amp;"|"&amp;$B226&amp;"|placement|Y",photos!$R$2:$R$701,0))),""))-$V226)*24,1))</f>
        <v/>
      </c>
      <c r="AD226" s="30" t="str">
        <f aca="false">IF($A226="","",SUMIFS(inventory!$G$2:$G$801,inventory!$C$2:$C$801,$A226,inventory!$D$2:$D$801,$B226,inventory!$E$2:$E$801,"topped_up"))</f>
        <v/>
      </c>
      <c r="AE226" s="30" t="str">
        <f aca="false">IF($A226="","",IF(COUNTIFS(counts!$C$2:$C$701,$A226,counts!$D$2:$D$701,$B226,counts!$E$2:$E$701,"remaining_day3")=0,"",SUMIFS(counts!$F$2:$F$701,counts!$C$2:$C$701,$A226,counts!$D$2:$D$701,$B226,counts!$E$2:$E$701,"remaining_day3")))</f>
        <v/>
      </c>
      <c r="AF226" s="30" t="str">
        <f aca="false">IF($A226="","",IF(COUNTIFS(counts!$C$2:$C$701,$A226,counts!$D$2:$D$701,$B226,counts!$E$2:$E$701,"remaining_day5")=0,"",SUMIFS(counts!$F$2:$F$701,counts!$C$2:$C$701,$A226,counts!$D$2:$D$701,$B226,counts!$E$2:$E$701,"remaining_day5")))</f>
        <v/>
      </c>
      <c r="AG226" s="30" t="str">
        <f aca="false">IF(OR($A226="",$AF226=""),"",MAX(0,$AA226+$AD226-$AF226))</f>
        <v/>
      </c>
      <c r="AH226" s="30" t="str">
        <f aca="false">IF(OR($A226="",$AI226=""),"",IFERROR(IF(INDEX(photos!$H$2:$H$701,MATCH($A226&amp;"|"&amp;$B226&amp;"|later|Y|"&amp;$AI226,photos!$S$2:$S$701,0))="","",INDEX(photos!$H$2:$H$701,MATCH($A226&amp;"|"&amp;$B226&amp;"|later|Y|"&amp;$AI226,photos!$S$2:$S$701,0))),""))</f>
        <v/>
      </c>
      <c r="AI226" s="31" t="str">
        <f aca="false">IF($A226="","",IFERROR(1/(1/SUMPRODUCT(MAX((photos!$B$2:$B$701=$A226)*(photos!$C$2:$C$701=$B226)*(photos!$D$2:$D$701="later")*(photos!$O$2:$O$701="Y")*photos!$E$2:$E$701))),""))</f>
        <v/>
      </c>
      <c r="AJ226" s="30" t="str">
        <f aca="false">IF(OR($A226="",$AI226="",$I226=""),"",NETWORKDAYS($I226,$AI226,calendar!$A$2:$A$80))</f>
        <v/>
      </c>
      <c r="AK226" s="30" t="str">
        <f aca="false">IF($A226="","",IF(AND($X226&lt;&gt;"",$AH226&lt;&gt;""),"Y","N"))</f>
        <v/>
      </c>
      <c r="AL226" s="30" t="str">
        <f aca="true">IF(OR($A226="",$I226=""),"",IF($BC226="Y",SUMIFS(survey_frozen!$C$2:$C$251,survey_frozen!$P$2:$P$251,$A226&amp;"|"&amp;$B226),IFERROR(COUNTIFS(INDIRECT("'"&amp;$A226&amp;"'!$B$2:$B$501"),$T226,INDIRECT("'"&amp;$A226&amp;"'!$A$2:$A$501"),"&gt;="&amp;$I226,INDIRECT("'"&amp;$A226&amp;"'!$A$2:$A$501"),"&lt;"&amp;($BA226+1)),0)))</f>
        <v/>
      </c>
      <c r="AM226" s="30" t="str">
        <f aca="true">IF(OR($A226="",$I226=""),"",IF($BC226="Y",SUMIFS(survey_frozen!$D$2:$D$251,survey_frozen!$P$2:$P$251,$A226&amp;"|"&amp;$B226),IFERROR(COUNTIFS(INDIRECT("'"&amp;$A226&amp;"'!$B$2:$B$501"),$T226,INDIRECT("'"&amp;$A226&amp;"'!$A$2:$A$501"),"&gt;="&amp;$I226,INDIRECT("'"&amp;$A226&amp;"'!$A$2:$A$501"),"&lt;"&amp;($BA226+1),INDIRECT("'"&amp;$A226&amp;"'!$C$2:$C$501"),"Yes"),0)))</f>
        <v/>
      </c>
      <c r="AN226" s="30" t="str">
        <f aca="false">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30" t="str">
        <f aca="false">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30" t="str">
        <f aca="true">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30" t="str">
        <f aca="true">IF(OR($A226="",$I226=""),"",IF($BC226="Y",SUMIFS(survey_frozen!$E$2:$E$251,survey_frozen!$P$2:$P$251,$A226&amp;"|"&amp;$B226),IFERROR(COUNTIFS(INDIRECT("'"&amp;$A226&amp;"'!$B$2:$B$501"),$T226,INDIRECT("'"&amp;$A226&amp;"'!$A$2:$A$501"),"&gt;="&amp;$I226,INDIRECT("'"&amp;$A226&amp;"'!$A$2:$A$501"),"&lt;"&amp;($BA226+1),INDIRECT("'"&amp;$A226&amp;"'!$F$2:$F$501"),"Didn't see it"),0)))</f>
        <v/>
      </c>
      <c r="AR226" s="30" t="str">
        <f aca="true">IF(OR($A226="",$I226=""),"",IF($BC226="Y",SUMIFS(survey_frozen!$F$2:$F$251,survey_frozen!$P$2:$P$251,$A226&amp;"|"&amp;$B226),IFERROR(COUNTIFS(INDIRECT("'"&amp;$A226&amp;"'!$B$2:$B$501"),$T226,INDIRECT("'"&amp;$A226&amp;"'!$A$2:$A$501"),"&gt;="&amp;$I226,INDIRECT("'"&amp;$A226&amp;"'!$A$2:$A$501"),"&lt;"&amp;($BA226+1),INDIRECT("'"&amp;$A226&amp;"'!$F$2:$F$501"),"Not for me"),0)))</f>
        <v/>
      </c>
      <c r="AS226" s="30" t="str">
        <f aca="true">IF(OR($A226="",$I226=""),"",IF($BC226="Y",SUMIFS(survey_frozen!$G$2:$G$251,survey_frozen!$P$2:$P$251,$A226&amp;"|"&amp;$B226),IFERROR(COUNTIFS(INDIRECT("'"&amp;$A226&amp;"'!$B$2:$B$501"),$T226,INDIRECT("'"&amp;$A226&amp;"'!$A$2:$A$501"),"&gt;="&amp;$I226,INDIRECT("'"&amp;$A226&amp;"'!$A$2:$A$501"),"&lt;"&amp;($BA226+1),INDIRECT("'"&amp;$A226&amp;"'!$F$2:$F$501"),"Gone by the time I looked"),0)))</f>
        <v/>
      </c>
      <c r="AT226" s="30" t="str">
        <f aca="true">IF(OR($A226="",$I226=""),"",IF($BC226="Y",SUMIFS(survey_frozen!$H$2:$H$251,survey_frozen!$P$2:$P$251,$A226&amp;"|"&amp;$B226),IFERROR(COUNTIFS(INDIRECT("'"&amp;$A226&amp;"'!$B$2:$B$501"),$T226,INDIRECT("'"&amp;$A226&amp;"'!$A$2:$A$501"),"&gt;="&amp;$I226,INDIRECT("'"&amp;$A226&amp;"'!$A$2:$A$501"),"&lt;"&amp;($BA226+1),INDIRECT("'"&amp;$A226&amp;"'!$D$2:$D$501"),"&gt;=1"),0)))</f>
        <v/>
      </c>
      <c r="AU226" s="30" t="str">
        <f aca="true">IF(OR($A226="",$I226=""),"",IF($BC226="Y",SUMIFS(survey_frozen!$I$2:$I$251,survey_frozen!$P$2:$P$251,$A226&amp;"|"&amp;$B226),IFERROR(SUMIFS(INDIRECT("'"&amp;$A226&amp;"'!$D$2:$D$501"),INDIRECT("'"&amp;$A226&amp;"'!$B$2:$B$501"),$T226,INDIRECT("'"&amp;$A226&amp;"'!$A$2:$A$501"),"&gt;="&amp;$I226,INDIRECT("'"&amp;$A226&amp;"'!$A$2:$A$501"),"&lt;"&amp;($BA226+1)),0)))</f>
        <v/>
      </c>
      <c r="AV226" s="30" t="str">
        <f aca="true">IF(OR($A226="",$I226=""),"",IF($BC226="Y",SUMIFS(survey_frozen!$J$2:$J$251,survey_frozen!$P$2:$P$251,$A226&amp;"|"&amp;$B226),IFERROR(COUNTIFS(INDIRECT("'"&amp;$A226&amp;"'!$B$2:$B$501"),$T226,INDIRECT("'"&amp;$A226&amp;"'!$A$2:$A$501"),"&gt;="&amp;$I226,INDIRECT("'"&amp;$A226&amp;"'!$A$2:$A$501"),"&lt;"&amp;($BA226+1),INDIRECT("'"&amp;$A226&amp;"'!$E$2:$E$501"),"Yes"),0)))</f>
        <v/>
      </c>
      <c r="AW226" s="30" t="str">
        <f aca="true">IF(OR($A226="",$I226=""),"",IF($BC226="Y",SUMIFS(survey_frozen!$K$2:$K$251,survey_frozen!$P$2:$P$251,$A226&amp;"|"&amp;$B226),IFERROR(COUNTIFS(INDIRECT("'"&amp;$A226&amp;"'!$B$2:$B$501"),$T226,INDIRECT("'"&amp;$A226&amp;"'!$A$2:$A$501"),"&gt;="&amp;$I226,INDIRECT("'"&amp;$A226&amp;"'!$A$2:$A$501"),"&lt;"&amp;($BA226+1),INDIRECT("'"&amp;$A226&amp;"'!$E$2:$E$501"),"Maybe"),0)))</f>
        <v/>
      </c>
      <c r="AX226" s="30" t="str">
        <f aca="true">IF(OR($A226="",$I226=""),"",IF($BC226="Y",SUMIFS(survey_frozen!$L$2:$L$251,survey_frozen!$P$2:$P$251,$A226&amp;"|"&amp;$B226),IFERROR(COUNTIFS(INDIRECT("'"&amp;$A226&amp;"'!$B$2:$B$501"),$T226,INDIRECT("'"&amp;$A226&amp;"'!$A$2:$A$501"),"&gt;="&amp;$I226,INDIRECT("'"&amp;$A226&amp;"'!$A$2:$A$501"),"&lt;"&amp;($BA226+1),INDIRECT("'"&amp;$A226&amp;"'!$E$2:$E$501"),"No"),0)))</f>
        <v/>
      </c>
      <c r="AY226" s="30" t="str">
        <f aca="true">IF(OR($A226="",$I226=""),"",IF($BC226="Y",SUMIFS(survey_frozen!$M$2:$M$251,survey_frozen!$P$2:$P$251,$A226&amp;"|"&amp;$B226),IFERROR(COUNTIFS(INDIRECT("'"&amp;$A226&amp;"'!$B$2:$B$501"),$T226,INDIRECT("'"&amp;$A226&amp;"'!$A$2:$A$501"),"&gt;="&amp;$I226,INDIRECT("'"&amp;$A226&amp;"'!$A$2:$A$501"),"&lt;"&amp;($BA226+1),INDIRECT("'"&amp;$A226&amp;"'!$G$2:$G$501"),"&lt;&gt;"),0)))</f>
        <v/>
      </c>
      <c r="AZ226" s="30" t="str">
        <f aca="false">IF($A226="","",$A226&amp;"|"&amp;$L226)</f>
        <v/>
      </c>
      <c r="BA226" s="31" t="str">
        <f aca="false">IF($A226="","",IFERROR(IF(INDEX(drops!$R$2:$R$21,MATCH($H226,drops!$A$2:$A$21,0))="","",INDEX(drops!$R$2:$R$21,MATCH($H226,drops!$A$2:$A$21,0))),""))</f>
        <v/>
      </c>
      <c r="BB226" s="30" t="n">
        <f aca="false">IF(OR($A226="",$Q226&lt;&gt;"Y"),1000000,N($AL226))</f>
        <v>1000000</v>
      </c>
      <c r="BC226" s="30" t="str">
        <f aca="false">IF($A226="","",IF(COUNTIF(survey_frozen!$P$2:$P$251,$A226&amp;"|"&amp;$B226)&gt;0,"Y",""))</f>
        <v/>
      </c>
      <c r="BD226" s="30" t="str">
        <f aca="false">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ustomFormat="false" ht="15" hidden="false" customHeight="false" outlineLevel="0" collapsed="false">
      <c r="C227" s="11"/>
      <c r="D227" s="10"/>
      <c r="E227" s="11"/>
      <c r="H227" s="30" t="str">
        <f aca="false">IF($A227="","",IFERROR(IF(INDEX(campaigns!$B$2:$B$51,MATCH($A227,campaigns!$A$2:$A$51,0))="","",INDEX(campaigns!$B$2:$B$51,MATCH($A227,campaigns!$A$2:$A$51,0))),""))</f>
        <v/>
      </c>
      <c r="I227" s="31" t="str">
        <f aca="false">IF($A227="","",IFERROR(IF(INDEX(campaigns!$BG$2:$BG$51,MATCH($A227,campaigns!$A$2:$A$51,0))="","",INDEX(campaigns!$BG$2:$BG$51,MATCH($A227,campaigns!$A$2:$A$51,0))),""))</f>
        <v/>
      </c>
      <c r="J227" s="30" t="str">
        <f aca="false">IF($A227="","",IFERROR(IF(INDEX(campaigns!$BE$2:$BE$51,MATCH($A227,campaigns!$A$2:$A$51,0))="","",INDEX(campaigns!$BE$2:$BE$51,MATCH($A227,campaigns!$A$2:$A$51,0))),""))</f>
        <v/>
      </c>
      <c r="K227" s="30" t="str">
        <f aca="false">IF($B227="","",IFERROR(IF(INDEX(offices!$O$2:$O$61,MATCH($B227,offices!$A$2:$A$61,0))="","",INDEX(offices!$O$2:$O$61,MATCH($B227,offices!$A$2:$A$61,0))),""))</f>
        <v/>
      </c>
      <c r="L227" s="30" t="str">
        <f aca="false">IF($A227="","",IF($Q227="N","",COUNTIFS($A$2:$A227,$A227,$Q$2:$Q227,"&lt;&gt;N")))</f>
        <v/>
      </c>
      <c r="M227" s="30" t="str">
        <f aca="false">IF(OR($A227="",$L227=""),"",IF(AND(config!$B$34="names_if_public",IFERROR(IF(INDEX(offices!$AG$2:$AG$61,MATCH($B227,offices!$A$2:$A$61,0))="","",INDEX(offices!$AG$2:$AG$61,MATCH($B227,offices!$A$2:$A$61,0))),"")="Y"),$K227,CHAR(64+$L227)))</f>
        <v/>
      </c>
      <c r="N227" s="30" t="str">
        <f aca="false">IF(OR($A227="",$I227=""),"",COUNTIFS(stops!$B$2:$B$151,$B227,stops!$P$2:$P$151,"&lt;"&amp;$I227,stops!$L$2:$L$151,"&lt;&gt;not_delivered")+1)</f>
        <v/>
      </c>
      <c r="O227" s="30" t="str">
        <f aca="false">IF($A227="","",IF(N($N227)&lt;=config!$B$29,"explicit","opt-out"))</f>
        <v/>
      </c>
      <c r="P227" s="30" t="str">
        <f aca="false">IF($A227="","",IF($O227="explicit",IF($D227="yes","Y",IF($D227="no","N","pending")),IF($D227="no","N",IF(AND($C227&lt;&gt;"",$I227&lt;&gt;"",$C227&lt;=WORKDAY(N($I227),-5,calendar!$A$2:$A$80)),"Y","pending"))))</f>
        <v/>
      </c>
      <c r="Q227" s="30" t="str">
        <f aca="false">IF($A227="","",IF($P227="N","N",IF($P227&lt;&gt;"Y","pending",IF(AND((COUNTIFS(stops!$A$2:$A$151,$H227,stops!$B$2:$B$151,$B227,stops!$L$2:$L$151,"declined")+COUNTIFS(stops!$A$2:$A$151,$H227,stops!$B$2:$B$151,$B227,stops!$L$2:$L$151,"building_refused")+COUNTIFS(stops!$A$2:$A$151,$H227,stops!$B$2:$B$151,$B227,stops!$L$2:$L$151,"not_delivered"))&gt;0,N($U227)=0),"N","Y"))))</f>
        <v/>
      </c>
      <c r="R227" s="30" t="str">
        <f aca="false">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30" t="str">
        <f aca="false">IF($A227="","",IF($G227&lt;&gt;"",$G227,IFERROR(IF(INDEX(offices!$AM$2:$AM$61,MATCH($B227,offices!$A$2:$A$61,0))="","",INDEX(offices!$AM$2:$AM$61,MATCH($B227,offices!$A$2:$A$61,0))),"")))</f>
        <v/>
      </c>
      <c r="T227" s="30" t="str">
        <f aca="false">IF($A227="","",$A227&amp;"."&amp;$B227)</f>
        <v/>
      </c>
      <c r="U227" s="30" t="str">
        <f aca="false">IF($A227="","",SUMIFS(inventory!$G$2:$G$801,inventory!$C$2:$C$801,$A227,inventory!$D$2:$D$801,$B227,inventory!$E$2:$E$801,"delivered"))</f>
        <v/>
      </c>
      <c r="V227" s="37" t="str">
        <f aca="false">IF($A227="","",IFERROR(1/(1/SUMPRODUCT(MAX((inventory!$C$2:$C$801=$A227)*(inventory!$D$2:$D$801=$B227)*(inventory!$E$2:$E$801="delivered")*(inventory!$A$2:$A$801+inventory!$B$2:$B$801)))),""))</f>
        <v/>
      </c>
      <c r="W227" s="30" t="str">
        <f aca="false">IF($A227="","",IFERROR(IF(INDEX(inventory!$J$2:$J$801,MATCH($A227&amp;"|"&amp;$B227&amp;"|delivered",inventory!$R$2:$R$801,0))="","",INDEX(inventory!$J$2:$J$801,MATCH($A227&amp;"|"&amp;$B227&amp;"|delivered",inventory!$R$2:$R$801,0))),""))</f>
        <v/>
      </c>
      <c r="X227" s="30" t="str">
        <f aca="false">IF($A227="","",IFERROR(IF(INDEX(photos!$H$2:$H$701,MATCH($A227&amp;"|"&amp;$B227&amp;"|placement|Y",photos!$R$2:$R$701,0))="","",INDEX(photos!$H$2:$H$701,MATCH($A227&amp;"|"&amp;$B227&amp;"|placement|Y",photos!$R$2:$R$701,0))),""))</f>
        <v/>
      </c>
      <c r="Y227" s="31" t="str">
        <f aca="false">IF($A227="","",IFERROR(IF(INDEX(photos!$E$2:$E$701,MATCH($A227&amp;"|"&amp;$B227&amp;"|placement|Y",photos!$R$2:$R$701,0))="","",INDEX(photos!$E$2:$E$701,MATCH($A227&amp;"|"&amp;$B227&amp;"|placement|Y",photos!$R$2:$R$701,0))),""))</f>
        <v/>
      </c>
      <c r="Z227" s="30" t="str">
        <f aca="false">IF($A227="","",IF(COUNTIFS(counts!$C$2:$C$701,$A227,counts!$D$2:$D$701,$B227,counts!$E$2:$E$701,"placed")=0,"",SUMIFS(counts!$F$2:$F$701,counts!$C$2:$C$701,$A227,counts!$D$2:$D$701,$B227,counts!$E$2:$E$701,"placed")))</f>
        <v/>
      </c>
      <c r="AA227" s="30" t="str">
        <f aca="false">IF($A227="","",IF($Y227="",0,N($Z227)))</f>
        <v/>
      </c>
      <c r="AB227" s="30" t="str">
        <f aca="false">IF($A227="","",IF(OR($Y227="",$I227=""),"N",IF($Y227&lt;=WORKDAY(N($I227),1,calendar!$A$2:$A$80),"Y","N")))</f>
        <v/>
      </c>
      <c r="AC227" s="33" t="str">
        <f aca="false">IF(OR($A227="",$V227="",$Y227=""),"",ROUND(($Y227+N(IFERROR(IF(INDEX(photos!$F$2:$F$701,MATCH($A227&amp;"|"&amp;$B227&amp;"|placement|Y",photos!$R$2:$R$701,0))="","",INDEX(photos!$F$2:$F$701,MATCH($A227&amp;"|"&amp;$B227&amp;"|placement|Y",photos!$R$2:$R$701,0))),""))-$V227)*24,1))</f>
        <v/>
      </c>
      <c r="AD227" s="30" t="str">
        <f aca="false">IF($A227="","",SUMIFS(inventory!$G$2:$G$801,inventory!$C$2:$C$801,$A227,inventory!$D$2:$D$801,$B227,inventory!$E$2:$E$801,"topped_up"))</f>
        <v/>
      </c>
      <c r="AE227" s="30" t="str">
        <f aca="false">IF($A227="","",IF(COUNTIFS(counts!$C$2:$C$701,$A227,counts!$D$2:$D$701,$B227,counts!$E$2:$E$701,"remaining_day3")=0,"",SUMIFS(counts!$F$2:$F$701,counts!$C$2:$C$701,$A227,counts!$D$2:$D$701,$B227,counts!$E$2:$E$701,"remaining_day3")))</f>
        <v/>
      </c>
      <c r="AF227" s="30" t="str">
        <f aca="false">IF($A227="","",IF(COUNTIFS(counts!$C$2:$C$701,$A227,counts!$D$2:$D$701,$B227,counts!$E$2:$E$701,"remaining_day5")=0,"",SUMIFS(counts!$F$2:$F$701,counts!$C$2:$C$701,$A227,counts!$D$2:$D$701,$B227,counts!$E$2:$E$701,"remaining_day5")))</f>
        <v/>
      </c>
      <c r="AG227" s="30" t="str">
        <f aca="false">IF(OR($A227="",$AF227=""),"",MAX(0,$AA227+$AD227-$AF227))</f>
        <v/>
      </c>
      <c r="AH227" s="30" t="str">
        <f aca="false">IF(OR($A227="",$AI227=""),"",IFERROR(IF(INDEX(photos!$H$2:$H$701,MATCH($A227&amp;"|"&amp;$B227&amp;"|later|Y|"&amp;$AI227,photos!$S$2:$S$701,0))="","",INDEX(photos!$H$2:$H$701,MATCH($A227&amp;"|"&amp;$B227&amp;"|later|Y|"&amp;$AI227,photos!$S$2:$S$701,0))),""))</f>
        <v/>
      </c>
      <c r="AI227" s="31" t="str">
        <f aca="false">IF($A227="","",IFERROR(1/(1/SUMPRODUCT(MAX((photos!$B$2:$B$701=$A227)*(photos!$C$2:$C$701=$B227)*(photos!$D$2:$D$701="later")*(photos!$O$2:$O$701="Y")*photos!$E$2:$E$701))),""))</f>
        <v/>
      </c>
      <c r="AJ227" s="30" t="str">
        <f aca="false">IF(OR($A227="",$AI227="",$I227=""),"",NETWORKDAYS($I227,$AI227,calendar!$A$2:$A$80))</f>
        <v/>
      </c>
      <c r="AK227" s="30" t="str">
        <f aca="false">IF($A227="","",IF(AND($X227&lt;&gt;"",$AH227&lt;&gt;""),"Y","N"))</f>
        <v/>
      </c>
      <c r="AL227" s="30" t="str">
        <f aca="true">IF(OR($A227="",$I227=""),"",IF($BC227="Y",SUMIFS(survey_frozen!$C$2:$C$251,survey_frozen!$P$2:$P$251,$A227&amp;"|"&amp;$B227),IFERROR(COUNTIFS(INDIRECT("'"&amp;$A227&amp;"'!$B$2:$B$501"),$T227,INDIRECT("'"&amp;$A227&amp;"'!$A$2:$A$501"),"&gt;="&amp;$I227,INDIRECT("'"&amp;$A227&amp;"'!$A$2:$A$501"),"&lt;"&amp;($BA227+1)),0)))</f>
        <v/>
      </c>
      <c r="AM227" s="30" t="str">
        <f aca="true">IF(OR($A227="",$I227=""),"",IF($BC227="Y",SUMIFS(survey_frozen!$D$2:$D$251,survey_frozen!$P$2:$P$251,$A227&amp;"|"&amp;$B227),IFERROR(COUNTIFS(INDIRECT("'"&amp;$A227&amp;"'!$B$2:$B$501"),$T227,INDIRECT("'"&amp;$A227&amp;"'!$A$2:$A$501"),"&gt;="&amp;$I227,INDIRECT("'"&amp;$A227&amp;"'!$A$2:$A$501"),"&lt;"&amp;($BA227+1),INDIRECT("'"&amp;$A227&amp;"'!$C$2:$C$501"),"Yes"),0)))</f>
        <v/>
      </c>
      <c r="AN227" s="30" t="str">
        <f aca="false">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30" t="str">
        <f aca="false">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30" t="str">
        <f aca="true">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30" t="str">
        <f aca="true">IF(OR($A227="",$I227=""),"",IF($BC227="Y",SUMIFS(survey_frozen!$E$2:$E$251,survey_frozen!$P$2:$P$251,$A227&amp;"|"&amp;$B227),IFERROR(COUNTIFS(INDIRECT("'"&amp;$A227&amp;"'!$B$2:$B$501"),$T227,INDIRECT("'"&amp;$A227&amp;"'!$A$2:$A$501"),"&gt;="&amp;$I227,INDIRECT("'"&amp;$A227&amp;"'!$A$2:$A$501"),"&lt;"&amp;($BA227+1),INDIRECT("'"&amp;$A227&amp;"'!$F$2:$F$501"),"Didn't see it"),0)))</f>
        <v/>
      </c>
      <c r="AR227" s="30" t="str">
        <f aca="true">IF(OR($A227="",$I227=""),"",IF($BC227="Y",SUMIFS(survey_frozen!$F$2:$F$251,survey_frozen!$P$2:$P$251,$A227&amp;"|"&amp;$B227),IFERROR(COUNTIFS(INDIRECT("'"&amp;$A227&amp;"'!$B$2:$B$501"),$T227,INDIRECT("'"&amp;$A227&amp;"'!$A$2:$A$501"),"&gt;="&amp;$I227,INDIRECT("'"&amp;$A227&amp;"'!$A$2:$A$501"),"&lt;"&amp;($BA227+1),INDIRECT("'"&amp;$A227&amp;"'!$F$2:$F$501"),"Not for me"),0)))</f>
        <v/>
      </c>
      <c r="AS227" s="30" t="str">
        <f aca="true">IF(OR($A227="",$I227=""),"",IF($BC227="Y",SUMIFS(survey_frozen!$G$2:$G$251,survey_frozen!$P$2:$P$251,$A227&amp;"|"&amp;$B227),IFERROR(COUNTIFS(INDIRECT("'"&amp;$A227&amp;"'!$B$2:$B$501"),$T227,INDIRECT("'"&amp;$A227&amp;"'!$A$2:$A$501"),"&gt;="&amp;$I227,INDIRECT("'"&amp;$A227&amp;"'!$A$2:$A$501"),"&lt;"&amp;($BA227+1),INDIRECT("'"&amp;$A227&amp;"'!$F$2:$F$501"),"Gone by the time I looked"),0)))</f>
        <v/>
      </c>
      <c r="AT227" s="30" t="str">
        <f aca="true">IF(OR($A227="",$I227=""),"",IF($BC227="Y",SUMIFS(survey_frozen!$H$2:$H$251,survey_frozen!$P$2:$P$251,$A227&amp;"|"&amp;$B227),IFERROR(COUNTIFS(INDIRECT("'"&amp;$A227&amp;"'!$B$2:$B$501"),$T227,INDIRECT("'"&amp;$A227&amp;"'!$A$2:$A$501"),"&gt;="&amp;$I227,INDIRECT("'"&amp;$A227&amp;"'!$A$2:$A$501"),"&lt;"&amp;($BA227+1),INDIRECT("'"&amp;$A227&amp;"'!$D$2:$D$501"),"&gt;=1"),0)))</f>
        <v/>
      </c>
      <c r="AU227" s="30" t="str">
        <f aca="true">IF(OR($A227="",$I227=""),"",IF($BC227="Y",SUMIFS(survey_frozen!$I$2:$I$251,survey_frozen!$P$2:$P$251,$A227&amp;"|"&amp;$B227),IFERROR(SUMIFS(INDIRECT("'"&amp;$A227&amp;"'!$D$2:$D$501"),INDIRECT("'"&amp;$A227&amp;"'!$B$2:$B$501"),$T227,INDIRECT("'"&amp;$A227&amp;"'!$A$2:$A$501"),"&gt;="&amp;$I227,INDIRECT("'"&amp;$A227&amp;"'!$A$2:$A$501"),"&lt;"&amp;($BA227+1)),0)))</f>
        <v/>
      </c>
      <c r="AV227" s="30" t="str">
        <f aca="true">IF(OR($A227="",$I227=""),"",IF($BC227="Y",SUMIFS(survey_frozen!$J$2:$J$251,survey_frozen!$P$2:$P$251,$A227&amp;"|"&amp;$B227),IFERROR(COUNTIFS(INDIRECT("'"&amp;$A227&amp;"'!$B$2:$B$501"),$T227,INDIRECT("'"&amp;$A227&amp;"'!$A$2:$A$501"),"&gt;="&amp;$I227,INDIRECT("'"&amp;$A227&amp;"'!$A$2:$A$501"),"&lt;"&amp;($BA227+1),INDIRECT("'"&amp;$A227&amp;"'!$E$2:$E$501"),"Yes"),0)))</f>
        <v/>
      </c>
      <c r="AW227" s="30" t="str">
        <f aca="true">IF(OR($A227="",$I227=""),"",IF($BC227="Y",SUMIFS(survey_frozen!$K$2:$K$251,survey_frozen!$P$2:$P$251,$A227&amp;"|"&amp;$B227),IFERROR(COUNTIFS(INDIRECT("'"&amp;$A227&amp;"'!$B$2:$B$501"),$T227,INDIRECT("'"&amp;$A227&amp;"'!$A$2:$A$501"),"&gt;="&amp;$I227,INDIRECT("'"&amp;$A227&amp;"'!$A$2:$A$501"),"&lt;"&amp;($BA227+1),INDIRECT("'"&amp;$A227&amp;"'!$E$2:$E$501"),"Maybe"),0)))</f>
        <v/>
      </c>
      <c r="AX227" s="30" t="str">
        <f aca="true">IF(OR($A227="",$I227=""),"",IF($BC227="Y",SUMIFS(survey_frozen!$L$2:$L$251,survey_frozen!$P$2:$P$251,$A227&amp;"|"&amp;$B227),IFERROR(COUNTIFS(INDIRECT("'"&amp;$A227&amp;"'!$B$2:$B$501"),$T227,INDIRECT("'"&amp;$A227&amp;"'!$A$2:$A$501"),"&gt;="&amp;$I227,INDIRECT("'"&amp;$A227&amp;"'!$A$2:$A$501"),"&lt;"&amp;($BA227+1),INDIRECT("'"&amp;$A227&amp;"'!$E$2:$E$501"),"No"),0)))</f>
        <v/>
      </c>
      <c r="AY227" s="30" t="str">
        <f aca="true">IF(OR($A227="",$I227=""),"",IF($BC227="Y",SUMIFS(survey_frozen!$M$2:$M$251,survey_frozen!$P$2:$P$251,$A227&amp;"|"&amp;$B227),IFERROR(COUNTIFS(INDIRECT("'"&amp;$A227&amp;"'!$B$2:$B$501"),$T227,INDIRECT("'"&amp;$A227&amp;"'!$A$2:$A$501"),"&gt;="&amp;$I227,INDIRECT("'"&amp;$A227&amp;"'!$A$2:$A$501"),"&lt;"&amp;($BA227+1),INDIRECT("'"&amp;$A227&amp;"'!$G$2:$G$501"),"&lt;&gt;"),0)))</f>
        <v/>
      </c>
      <c r="AZ227" s="30" t="str">
        <f aca="false">IF($A227="","",$A227&amp;"|"&amp;$L227)</f>
        <v/>
      </c>
      <c r="BA227" s="31" t="str">
        <f aca="false">IF($A227="","",IFERROR(IF(INDEX(drops!$R$2:$R$21,MATCH($H227,drops!$A$2:$A$21,0))="","",INDEX(drops!$R$2:$R$21,MATCH($H227,drops!$A$2:$A$21,0))),""))</f>
        <v/>
      </c>
      <c r="BB227" s="30" t="n">
        <f aca="false">IF(OR($A227="",$Q227&lt;&gt;"Y"),1000000,N($AL227))</f>
        <v>1000000</v>
      </c>
      <c r="BC227" s="30" t="str">
        <f aca="false">IF($A227="","",IF(COUNTIF(survey_frozen!$P$2:$P$251,$A227&amp;"|"&amp;$B227)&gt;0,"Y",""))</f>
        <v/>
      </c>
      <c r="BD227" s="30" t="str">
        <f aca="false">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ustomFormat="false" ht="15" hidden="false" customHeight="false" outlineLevel="0" collapsed="false">
      <c r="C228" s="11"/>
      <c r="D228" s="10"/>
      <c r="E228" s="11"/>
      <c r="H228" s="30" t="str">
        <f aca="false">IF($A228="","",IFERROR(IF(INDEX(campaigns!$B$2:$B$51,MATCH($A228,campaigns!$A$2:$A$51,0))="","",INDEX(campaigns!$B$2:$B$51,MATCH($A228,campaigns!$A$2:$A$51,0))),""))</f>
        <v/>
      </c>
      <c r="I228" s="31" t="str">
        <f aca="false">IF($A228="","",IFERROR(IF(INDEX(campaigns!$BG$2:$BG$51,MATCH($A228,campaigns!$A$2:$A$51,0))="","",INDEX(campaigns!$BG$2:$BG$51,MATCH($A228,campaigns!$A$2:$A$51,0))),""))</f>
        <v/>
      </c>
      <c r="J228" s="30" t="str">
        <f aca="false">IF($A228="","",IFERROR(IF(INDEX(campaigns!$BE$2:$BE$51,MATCH($A228,campaigns!$A$2:$A$51,0))="","",INDEX(campaigns!$BE$2:$BE$51,MATCH($A228,campaigns!$A$2:$A$51,0))),""))</f>
        <v/>
      </c>
      <c r="K228" s="30" t="str">
        <f aca="false">IF($B228="","",IFERROR(IF(INDEX(offices!$O$2:$O$61,MATCH($B228,offices!$A$2:$A$61,0))="","",INDEX(offices!$O$2:$O$61,MATCH($B228,offices!$A$2:$A$61,0))),""))</f>
        <v/>
      </c>
      <c r="L228" s="30" t="str">
        <f aca="false">IF($A228="","",IF($Q228="N","",COUNTIFS($A$2:$A228,$A228,$Q$2:$Q228,"&lt;&gt;N")))</f>
        <v/>
      </c>
      <c r="M228" s="30" t="str">
        <f aca="false">IF(OR($A228="",$L228=""),"",IF(AND(config!$B$34="names_if_public",IFERROR(IF(INDEX(offices!$AG$2:$AG$61,MATCH($B228,offices!$A$2:$A$61,0))="","",INDEX(offices!$AG$2:$AG$61,MATCH($B228,offices!$A$2:$A$61,0))),"")="Y"),$K228,CHAR(64+$L228)))</f>
        <v/>
      </c>
      <c r="N228" s="30" t="str">
        <f aca="false">IF(OR($A228="",$I228=""),"",COUNTIFS(stops!$B$2:$B$151,$B228,stops!$P$2:$P$151,"&lt;"&amp;$I228,stops!$L$2:$L$151,"&lt;&gt;not_delivered")+1)</f>
        <v/>
      </c>
      <c r="O228" s="30" t="str">
        <f aca="false">IF($A228="","",IF(N($N228)&lt;=config!$B$29,"explicit","opt-out"))</f>
        <v/>
      </c>
      <c r="P228" s="30" t="str">
        <f aca="false">IF($A228="","",IF($O228="explicit",IF($D228="yes","Y",IF($D228="no","N","pending")),IF($D228="no","N",IF(AND($C228&lt;&gt;"",$I228&lt;&gt;"",$C228&lt;=WORKDAY(N($I228),-5,calendar!$A$2:$A$80)),"Y","pending"))))</f>
        <v/>
      </c>
      <c r="Q228" s="30" t="str">
        <f aca="false">IF($A228="","",IF($P228="N","N",IF($P228&lt;&gt;"Y","pending",IF(AND((COUNTIFS(stops!$A$2:$A$151,$H228,stops!$B$2:$B$151,$B228,stops!$L$2:$L$151,"declined")+COUNTIFS(stops!$A$2:$A$151,$H228,stops!$B$2:$B$151,$B228,stops!$L$2:$L$151,"building_refused")+COUNTIFS(stops!$A$2:$A$151,$H228,stops!$B$2:$B$151,$B228,stops!$L$2:$L$151,"not_delivered"))&gt;0,N($U228)=0),"N","Y"))))</f>
        <v/>
      </c>
      <c r="R228" s="30" t="str">
        <f aca="false">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30" t="str">
        <f aca="false">IF($A228="","",IF($G228&lt;&gt;"",$G228,IFERROR(IF(INDEX(offices!$AM$2:$AM$61,MATCH($B228,offices!$A$2:$A$61,0))="","",INDEX(offices!$AM$2:$AM$61,MATCH($B228,offices!$A$2:$A$61,0))),"")))</f>
        <v/>
      </c>
      <c r="T228" s="30" t="str">
        <f aca="false">IF($A228="","",$A228&amp;"."&amp;$B228)</f>
        <v/>
      </c>
      <c r="U228" s="30" t="str">
        <f aca="false">IF($A228="","",SUMIFS(inventory!$G$2:$G$801,inventory!$C$2:$C$801,$A228,inventory!$D$2:$D$801,$B228,inventory!$E$2:$E$801,"delivered"))</f>
        <v/>
      </c>
      <c r="V228" s="37" t="str">
        <f aca="false">IF($A228="","",IFERROR(1/(1/SUMPRODUCT(MAX((inventory!$C$2:$C$801=$A228)*(inventory!$D$2:$D$801=$B228)*(inventory!$E$2:$E$801="delivered")*(inventory!$A$2:$A$801+inventory!$B$2:$B$801)))),""))</f>
        <v/>
      </c>
      <c r="W228" s="30" t="str">
        <f aca="false">IF($A228="","",IFERROR(IF(INDEX(inventory!$J$2:$J$801,MATCH($A228&amp;"|"&amp;$B228&amp;"|delivered",inventory!$R$2:$R$801,0))="","",INDEX(inventory!$J$2:$J$801,MATCH($A228&amp;"|"&amp;$B228&amp;"|delivered",inventory!$R$2:$R$801,0))),""))</f>
        <v/>
      </c>
      <c r="X228" s="30" t="str">
        <f aca="false">IF($A228="","",IFERROR(IF(INDEX(photos!$H$2:$H$701,MATCH($A228&amp;"|"&amp;$B228&amp;"|placement|Y",photos!$R$2:$R$701,0))="","",INDEX(photos!$H$2:$H$701,MATCH($A228&amp;"|"&amp;$B228&amp;"|placement|Y",photos!$R$2:$R$701,0))),""))</f>
        <v/>
      </c>
      <c r="Y228" s="31" t="str">
        <f aca="false">IF($A228="","",IFERROR(IF(INDEX(photos!$E$2:$E$701,MATCH($A228&amp;"|"&amp;$B228&amp;"|placement|Y",photos!$R$2:$R$701,0))="","",INDEX(photos!$E$2:$E$701,MATCH($A228&amp;"|"&amp;$B228&amp;"|placement|Y",photos!$R$2:$R$701,0))),""))</f>
        <v/>
      </c>
      <c r="Z228" s="30" t="str">
        <f aca="false">IF($A228="","",IF(COUNTIFS(counts!$C$2:$C$701,$A228,counts!$D$2:$D$701,$B228,counts!$E$2:$E$701,"placed")=0,"",SUMIFS(counts!$F$2:$F$701,counts!$C$2:$C$701,$A228,counts!$D$2:$D$701,$B228,counts!$E$2:$E$701,"placed")))</f>
        <v/>
      </c>
      <c r="AA228" s="30" t="str">
        <f aca="false">IF($A228="","",IF($Y228="",0,N($Z228)))</f>
        <v/>
      </c>
      <c r="AB228" s="30" t="str">
        <f aca="false">IF($A228="","",IF(OR($Y228="",$I228=""),"N",IF($Y228&lt;=WORKDAY(N($I228),1,calendar!$A$2:$A$80),"Y","N")))</f>
        <v/>
      </c>
      <c r="AC228" s="33" t="str">
        <f aca="false">IF(OR($A228="",$V228="",$Y228=""),"",ROUND(($Y228+N(IFERROR(IF(INDEX(photos!$F$2:$F$701,MATCH($A228&amp;"|"&amp;$B228&amp;"|placement|Y",photos!$R$2:$R$701,0))="","",INDEX(photos!$F$2:$F$701,MATCH($A228&amp;"|"&amp;$B228&amp;"|placement|Y",photos!$R$2:$R$701,0))),""))-$V228)*24,1))</f>
        <v/>
      </c>
      <c r="AD228" s="30" t="str">
        <f aca="false">IF($A228="","",SUMIFS(inventory!$G$2:$G$801,inventory!$C$2:$C$801,$A228,inventory!$D$2:$D$801,$B228,inventory!$E$2:$E$801,"topped_up"))</f>
        <v/>
      </c>
      <c r="AE228" s="30" t="str">
        <f aca="false">IF($A228="","",IF(COUNTIFS(counts!$C$2:$C$701,$A228,counts!$D$2:$D$701,$B228,counts!$E$2:$E$701,"remaining_day3")=0,"",SUMIFS(counts!$F$2:$F$701,counts!$C$2:$C$701,$A228,counts!$D$2:$D$701,$B228,counts!$E$2:$E$701,"remaining_day3")))</f>
        <v/>
      </c>
      <c r="AF228" s="30" t="str">
        <f aca="false">IF($A228="","",IF(COUNTIFS(counts!$C$2:$C$701,$A228,counts!$D$2:$D$701,$B228,counts!$E$2:$E$701,"remaining_day5")=0,"",SUMIFS(counts!$F$2:$F$701,counts!$C$2:$C$701,$A228,counts!$D$2:$D$701,$B228,counts!$E$2:$E$701,"remaining_day5")))</f>
        <v/>
      </c>
      <c r="AG228" s="30" t="str">
        <f aca="false">IF(OR($A228="",$AF228=""),"",MAX(0,$AA228+$AD228-$AF228))</f>
        <v/>
      </c>
      <c r="AH228" s="30" t="str">
        <f aca="false">IF(OR($A228="",$AI228=""),"",IFERROR(IF(INDEX(photos!$H$2:$H$701,MATCH($A228&amp;"|"&amp;$B228&amp;"|later|Y|"&amp;$AI228,photos!$S$2:$S$701,0))="","",INDEX(photos!$H$2:$H$701,MATCH($A228&amp;"|"&amp;$B228&amp;"|later|Y|"&amp;$AI228,photos!$S$2:$S$701,0))),""))</f>
        <v/>
      </c>
      <c r="AI228" s="31" t="str">
        <f aca="false">IF($A228="","",IFERROR(1/(1/SUMPRODUCT(MAX((photos!$B$2:$B$701=$A228)*(photos!$C$2:$C$701=$B228)*(photos!$D$2:$D$701="later")*(photos!$O$2:$O$701="Y")*photos!$E$2:$E$701))),""))</f>
        <v/>
      </c>
      <c r="AJ228" s="30" t="str">
        <f aca="false">IF(OR($A228="",$AI228="",$I228=""),"",NETWORKDAYS($I228,$AI228,calendar!$A$2:$A$80))</f>
        <v/>
      </c>
      <c r="AK228" s="30" t="str">
        <f aca="false">IF($A228="","",IF(AND($X228&lt;&gt;"",$AH228&lt;&gt;""),"Y","N"))</f>
        <v/>
      </c>
      <c r="AL228" s="30" t="str">
        <f aca="true">IF(OR($A228="",$I228=""),"",IF($BC228="Y",SUMIFS(survey_frozen!$C$2:$C$251,survey_frozen!$P$2:$P$251,$A228&amp;"|"&amp;$B228),IFERROR(COUNTIFS(INDIRECT("'"&amp;$A228&amp;"'!$B$2:$B$501"),$T228,INDIRECT("'"&amp;$A228&amp;"'!$A$2:$A$501"),"&gt;="&amp;$I228,INDIRECT("'"&amp;$A228&amp;"'!$A$2:$A$501"),"&lt;"&amp;($BA228+1)),0)))</f>
        <v/>
      </c>
      <c r="AM228" s="30" t="str">
        <f aca="true">IF(OR($A228="",$I228=""),"",IF($BC228="Y",SUMIFS(survey_frozen!$D$2:$D$251,survey_frozen!$P$2:$P$251,$A228&amp;"|"&amp;$B228),IFERROR(COUNTIFS(INDIRECT("'"&amp;$A228&amp;"'!$B$2:$B$501"),$T228,INDIRECT("'"&amp;$A228&amp;"'!$A$2:$A$501"),"&gt;="&amp;$I228,INDIRECT("'"&amp;$A228&amp;"'!$A$2:$A$501"),"&lt;"&amp;($BA228+1),INDIRECT("'"&amp;$A228&amp;"'!$C$2:$C$501"),"Yes"),0)))</f>
        <v/>
      </c>
      <c r="AN228" s="30" t="str">
        <f aca="false">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30" t="str">
        <f aca="false">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30" t="str">
        <f aca="true">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30" t="str">
        <f aca="true">IF(OR($A228="",$I228=""),"",IF($BC228="Y",SUMIFS(survey_frozen!$E$2:$E$251,survey_frozen!$P$2:$P$251,$A228&amp;"|"&amp;$B228),IFERROR(COUNTIFS(INDIRECT("'"&amp;$A228&amp;"'!$B$2:$B$501"),$T228,INDIRECT("'"&amp;$A228&amp;"'!$A$2:$A$501"),"&gt;="&amp;$I228,INDIRECT("'"&amp;$A228&amp;"'!$A$2:$A$501"),"&lt;"&amp;($BA228+1),INDIRECT("'"&amp;$A228&amp;"'!$F$2:$F$501"),"Didn't see it"),0)))</f>
        <v/>
      </c>
      <c r="AR228" s="30" t="str">
        <f aca="true">IF(OR($A228="",$I228=""),"",IF($BC228="Y",SUMIFS(survey_frozen!$F$2:$F$251,survey_frozen!$P$2:$P$251,$A228&amp;"|"&amp;$B228),IFERROR(COUNTIFS(INDIRECT("'"&amp;$A228&amp;"'!$B$2:$B$501"),$T228,INDIRECT("'"&amp;$A228&amp;"'!$A$2:$A$501"),"&gt;="&amp;$I228,INDIRECT("'"&amp;$A228&amp;"'!$A$2:$A$501"),"&lt;"&amp;($BA228+1),INDIRECT("'"&amp;$A228&amp;"'!$F$2:$F$501"),"Not for me"),0)))</f>
        <v/>
      </c>
      <c r="AS228" s="30" t="str">
        <f aca="true">IF(OR($A228="",$I228=""),"",IF($BC228="Y",SUMIFS(survey_frozen!$G$2:$G$251,survey_frozen!$P$2:$P$251,$A228&amp;"|"&amp;$B228),IFERROR(COUNTIFS(INDIRECT("'"&amp;$A228&amp;"'!$B$2:$B$501"),$T228,INDIRECT("'"&amp;$A228&amp;"'!$A$2:$A$501"),"&gt;="&amp;$I228,INDIRECT("'"&amp;$A228&amp;"'!$A$2:$A$501"),"&lt;"&amp;($BA228+1),INDIRECT("'"&amp;$A228&amp;"'!$F$2:$F$501"),"Gone by the time I looked"),0)))</f>
        <v/>
      </c>
      <c r="AT228" s="30" t="str">
        <f aca="true">IF(OR($A228="",$I228=""),"",IF($BC228="Y",SUMIFS(survey_frozen!$H$2:$H$251,survey_frozen!$P$2:$P$251,$A228&amp;"|"&amp;$B228),IFERROR(COUNTIFS(INDIRECT("'"&amp;$A228&amp;"'!$B$2:$B$501"),$T228,INDIRECT("'"&amp;$A228&amp;"'!$A$2:$A$501"),"&gt;="&amp;$I228,INDIRECT("'"&amp;$A228&amp;"'!$A$2:$A$501"),"&lt;"&amp;($BA228+1),INDIRECT("'"&amp;$A228&amp;"'!$D$2:$D$501"),"&gt;=1"),0)))</f>
        <v/>
      </c>
      <c r="AU228" s="30" t="str">
        <f aca="true">IF(OR($A228="",$I228=""),"",IF($BC228="Y",SUMIFS(survey_frozen!$I$2:$I$251,survey_frozen!$P$2:$P$251,$A228&amp;"|"&amp;$B228),IFERROR(SUMIFS(INDIRECT("'"&amp;$A228&amp;"'!$D$2:$D$501"),INDIRECT("'"&amp;$A228&amp;"'!$B$2:$B$501"),$T228,INDIRECT("'"&amp;$A228&amp;"'!$A$2:$A$501"),"&gt;="&amp;$I228,INDIRECT("'"&amp;$A228&amp;"'!$A$2:$A$501"),"&lt;"&amp;($BA228+1)),0)))</f>
        <v/>
      </c>
      <c r="AV228" s="30" t="str">
        <f aca="true">IF(OR($A228="",$I228=""),"",IF($BC228="Y",SUMIFS(survey_frozen!$J$2:$J$251,survey_frozen!$P$2:$P$251,$A228&amp;"|"&amp;$B228),IFERROR(COUNTIFS(INDIRECT("'"&amp;$A228&amp;"'!$B$2:$B$501"),$T228,INDIRECT("'"&amp;$A228&amp;"'!$A$2:$A$501"),"&gt;="&amp;$I228,INDIRECT("'"&amp;$A228&amp;"'!$A$2:$A$501"),"&lt;"&amp;($BA228+1),INDIRECT("'"&amp;$A228&amp;"'!$E$2:$E$501"),"Yes"),0)))</f>
        <v/>
      </c>
      <c r="AW228" s="30" t="str">
        <f aca="true">IF(OR($A228="",$I228=""),"",IF($BC228="Y",SUMIFS(survey_frozen!$K$2:$K$251,survey_frozen!$P$2:$P$251,$A228&amp;"|"&amp;$B228),IFERROR(COUNTIFS(INDIRECT("'"&amp;$A228&amp;"'!$B$2:$B$501"),$T228,INDIRECT("'"&amp;$A228&amp;"'!$A$2:$A$501"),"&gt;="&amp;$I228,INDIRECT("'"&amp;$A228&amp;"'!$A$2:$A$501"),"&lt;"&amp;($BA228+1),INDIRECT("'"&amp;$A228&amp;"'!$E$2:$E$501"),"Maybe"),0)))</f>
        <v/>
      </c>
      <c r="AX228" s="30" t="str">
        <f aca="true">IF(OR($A228="",$I228=""),"",IF($BC228="Y",SUMIFS(survey_frozen!$L$2:$L$251,survey_frozen!$P$2:$P$251,$A228&amp;"|"&amp;$B228),IFERROR(COUNTIFS(INDIRECT("'"&amp;$A228&amp;"'!$B$2:$B$501"),$T228,INDIRECT("'"&amp;$A228&amp;"'!$A$2:$A$501"),"&gt;="&amp;$I228,INDIRECT("'"&amp;$A228&amp;"'!$A$2:$A$501"),"&lt;"&amp;($BA228+1),INDIRECT("'"&amp;$A228&amp;"'!$E$2:$E$501"),"No"),0)))</f>
        <v/>
      </c>
      <c r="AY228" s="30" t="str">
        <f aca="true">IF(OR($A228="",$I228=""),"",IF($BC228="Y",SUMIFS(survey_frozen!$M$2:$M$251,survey_frozen!$P$2:$P$251,$A228&amp;"|"&amp;$B228),IFERROR(COUNTIFS(INDIRECT("'"&amp;$A228&amp;"'!$B$2:$B$501"),$T228,INDIRECT("'"&amp;$A228&amp;"'!$A$2:$A$501"),"&gt;="&amp;$I228,INDIRECT("'"&amp;$A228&amp;"'!$A$2:$A$501"),"&lt;"&amp;($BA228+1),INDIRECT("'"&amp;$A228&amp;"'!$G$2:$G$501"),"&lt;&gt;"),0)))</f>
        <v/>
      </c>
      <c r="AZ228" s="30" t="str">
        <f aca="false">IF($A228="","",$A228&amp;"|"&amp;$L228)</f>
        <v/>
      </c>
      <c r="BA228" s="31" t="str">
        <f aca="false">IF($A228="","",IFERROR(IF(INDEX(drops!$R$2:$R$21,MATCH($H228,drops!$A$2:$A$21,0))="","",INDEX(drops!$R$2:$R$21,MATCH($H228,drops!$A$2:$A$21,0))),""))</f>
        <v/>
      </c>
      <c r="BB228" s="30" t="n">
        <f aca="false">IF(OR($A228="",$Q228&lt;&gt;"Y"),1000000,N($AL228))</f>
        <v>1000000</v>
      </c>
      <c r="BC228" s="30" t="str">
        <f aca="false">IF($A228="","",IF(COUNTIF(survey_frozen!$P$2:$P$251,$A228&amp;"|"&amp;$B228)&gt;0,"Y",""))</f>
        <v/>
      </c>
      <c r="BD228" s="30" t="str">
        <f aca="false">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ustomFormat="false" ht="15" hidden="false" customHeight="false" outlineLevel="0" collapsed="false">
      <c r="C229" s="11"/>
      <c r="D229" s="10"/>
      <c r="E229" s="11"/>
      <c r="H229" s="30" t="str">
        <f aca="false">IF($A229="","",IFERROR(IF(INDEX(campaigns!$B$2:$B$51,MATCH($A229,campaigns!$A$2:$A$51,0))="","",INDEX(campaigns!$B$2:$B$51,MATCH($A229,campaigns!$A$2:$A$51,0))),""))</f>
        <v/>
      </c>
      <c r="I229" s="31" t="str">
        <f aca="false">IF($A229="","",IFERROR(IF(INDEX(campaigns!$BG$2:$BG$51,MATCH($A229,campaigns!$A$2:$A$51,0))="","",INDEX(campaigns!$BG$2:$BG$51,MATCH($A229,campaigns!$A$2:$A$51,0))),""))</f>
        <v/>
      </c>
      <c r="J229" s="30" t="str">
        <f aca="false">IF($A229="","",IFERROR(IF(INDEX(campaigns!$BE$2:$BE$51,MATCH($A229,campaigns!$A$2:$A$51,0))="","",INDEX(campaigns!$BE$2:$BE$51,MATCH($A229,campaigns!$A$2:$A$51,0))),""))</f>
        <v/>
      </c>
      <c r="K229" s="30" t="str">
        <f aca="false">IF($B229="","",IFERROR(IF(INDEX(offices!$O$2:$O$61,MATCH($B229,offices!$A$2:$A$61,0))="","",INDEX(offices!$O$2:$O$61,MATCH($B229,offices!$A$2:$A$61,0))),""))</f>
        <v/>
      </c>
      <c r="L229" s="30" t="str">
        <f aca="false">IF($A229="","",IF($Q229="N","",COUNTIFS($A$2:$A229,$A229,$Q$2:$Q229,"&lt;&gt;N")))</f>
        <v/>
      </c>
      <c r="M229" s="30" t="str">
        <f aca="false">IF(OR($A229="",$L229=""),"",IF(AND(config!$B$34="names_if_public",IFERROR(IF(INDEX(offices!$AG$2:$AG$61,MATCH($B229,offices!$A$2:$A$61,0))="","",INDEX(offices!$AG$2:$AG$61,MATCH($B229,offices!$A$2:$A$61,0))),"")="Y"),$K229,CHAR(64+$L229)))</f>
        <v/>
      </c>
      <c r="N229" s="30" t="str">
        <f aca="false">IF(OR($A229="",$I229=""),"",COUNTIFS(stops!$B$2:$B$151,$B229,stops!$P$2:$P$151,"&lt;"&amp;$I229,stops!$L$2:$L$151,"&lt;&gt;not_delivered")+1)</f>
        <v/>
      </c>
      <c r="O229" s="30" t="str">
        <f aca="false">IF($A229="","",IF(N($N229)&lt;=config!$B$29,"explicit","opt-out"))</f>
        <v/>
      </c>
      <c r="P229" s="30" t="str">
        <f aca="false">IF($A229="","",IF($O229="explicit",IF($D229="yes","Y",IF($D229="no","N","pending")),IF($D229="no","N",IF(AND($C229&lt;&gt;"",$I229&lt;&gt;"",$C229&lt;=WORKDAY(N($I229),-5,calendar!$A$2:$A$80)),"Y","pending"))))</f>
        <v/>
      </c>
      <c r="Q229" s="30" t="str">
        <f aca="false">IF($A229="","",IF($P229="N","N",IF($P229&lt;&gt;"Y","pending",IF(AND((COUNTIFS(stops!$A$2:$A$151,$H229,stops!$B$2:$B$151,$B229,stops!$L$2:$L$151,"declined")+COUNTIFS(stops!$A$2:$A$151,$H229,stops!$B$2:$B$151,$B229,stops!$L$2:$L$151,"building_refused")+COUNTIFS(stops!$A$2:$A$151,$H229,stops!$B$2:$B$151,$B229,stops!$L$2:$L$151,"not_delivered"))&gt;0,N($U229)=0),"N","Y"))))</f>
        <v/>
      </c>
      <c r="R229" s="30" t="str">
        <f aca="false">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30" t="str">
        <f aca="false">IF($A229="","",IF($G229&lt;&gt;"",$G229,IFERROR(IF(INDEX(offices!$AM$2:$AM$61,MATCH($B229,offices!$A$2:$A$61,0))="","",INDEX(offices!$AM$2:$AM$61,MATCH($B229,offices!$A$2:$A$61,0))),"")))</f>
        <v/>
      </c>
      <c r="T229" s="30" t="str">
        <f aca="false">IF($A229="","",$A229&amp;"."&amp;$B229)</f>
        <v/>
      </c>
      <c r="U229" s="30" t="str">
        <f aca="false">IF($A229="","",SUMIFS(inventory!$G$2:$G$801,inventory!$C$2:$C$801,$A229,inventory!$D$2:$D$801,$B229,inventory!$E$2:$E$801,"delivered"))</f>
        <v/>
      </c>
      <c r="V229" s="37" t="str">
        <f aca="false">IF($A229="","",IFERROR(1/(1/SUMPRODUCT(MAX((inventory!$C$2:$C$801=$A229)*(inventory!$D$2:$D$801=$B229)*(inventory!$E$2:$E$801="delivered")*(inventory!$A$2:$A$801+inventory!$B$2:$B$801)))),""))</f>
        <v/>
      </c>
      <c r="W229" s="30" t="str">
        <f aca="false">IF($A229="","",IFERROR(IF(INDEX(inventory!$J$2:$J$801,MATCH($A229&amp;"|"&amp;$B229&amp;"|delivered",inventory!$R$2:$R$801,0))="","",INDEX(inventory!$J$2:$J$801,MATCH($A229&amp;"|"&amp;$B229&amp;"|delivered",inventory!$R$2:$R$801,0))),""))</f>
        <v/>
      </c>
      <c r="X229" s="30" t="str">
        <f aca="false">IF($A229="","",IFERROR(IF(INDEX(photos!$H$2:$H$701,MATCH($A229&amp;"|"&amp;$B229&amp;"|placement|Y",photos!$R$2:$R$701,0))="","",INDEX(photos!$H$2:$H$701,MATCH($A229&amp;"|"&amp;$B229&amp;"|placement|Y",photos!$R$2:$R$701,0))),""))</f>
        <v/>
      </c>
      <c r="Y229" s="31" t="str">
        <f aca="false">IF($A229="","",IFERROR(IF(INDEX(photos!$E$2:$E$701,MATCH($A229&amp;"|"&amp;$B229&amp;"|placement|Y",photos!$R$2:$R$701,0))="","",INDEX(photos!$E$2:$E$701,MATCH($A229&amp;"|"&amp;$B229&amp;"|placement|Y",photos!$R$2:$R$701,0))),""))</f>
        <v/>
      </c>
      <c r="Z229" s="30" t="str">
        <f aca="false">IF($A229="","",IF(COUNTIFS(counts!$C$2:$C$701,$A229,counts!$D$2:$D$701,$B229,counts!$E$2:$E$701,"placed")=0,"",SUMIFS(counts!$F$2:$F$701,counts!$C$2:$C$701,$A229,counts!$D$2:$D$701,$B229,counts!$E$2:$E$701,"placed")))</f>
        <v/>
      </c>
      <c r="AA229" s="30" t="str">
        <f aca="false">IF($A229="","",IF($Y229="",0,N($Z229)))</f>
        <v/>
      </c>
      <c r="AB229" s="30" t="str">
        <f aca="false">IF($A229="","",IF(OR($Y229="",$I229=""),"N",IF($Y229&lt;=WORKDAY(N($I229),1,calendar!$A$2:$A$80),"Y","N")))</f>
        <v/>
      </c>
      <c r="AC229" s="33" t="str">
        <f aca="false">IF(OR($A229="",$V229="",$Y229=""),"",ROUND(($Y229+N(IFERROR(IF(INDEX(photos!$F$2:$F$701,MATCH($A229&amp;"|"&amp;$B229&amp;"|placement|Y",photos!$R$2:$R$701,0))="","",INDEX(photos!$F$2:$F$701,MATCH($A229&amp;"|"&amp;$B229&amp;"|placement|Y",photos!$R$2:$R$701,0))),""))-$V229)*24,1))</f>
        <v/>
      </c>
      <c r="AD229" s="30" t="str">
        <f aca="false">IF($A229="","",SUMIFS(inventory!$G$2:$G$801,inventory!$C$2:$C$801,$A229,inventory!$D$2:$D$801,$B229,inventory!$E$2:$E$801,"topped_up"))</f>
        <v/>
      </c>
      <c r="AE229" s="30" t="str">
        <f aca="false">IF($A229="","",IF(COUNTIFS(counts!$C$2:$C$701,$A229,counts!$D$2:$D$701,$B229,counts!$E$2:$E$701,"remaining_day3")=0,"",SUMIFS(counts!$F$2:$F$701,counts!$C$2:$C$701,$A229,counts!$D$2:$D$701,$B229,counts!$E$2:$E$701,"remaining_day3")))</f>
        <v/>
      </c>
      <c r="AF229" s="30" t="str">
        <f aca="false">IF($A229="","",IF(COUNTIFS(counts!$C$2:$C$701,$A229,counts!$D$2:$D$701,$B229,counts!$E$2:$E$701,"remaining_day5")=0,"",SUMIFS(counts!$F$2:$F$701,counts!$C$2:$C$701,$A229,counts!$D$2:$D$701,$B229,counts!$E$2:$E$701,"remaining_day5")))</f>
        <v/>
      </c>
      <c r="AG229" s="30" t="str">
        <f aca="false">IF(OR($A229="",$AF229=""),"",MAX(0,$AA229+$AD229-$AF229))</f>
        <v/>
      </c>
      <c r="AH229" s="30" t="str">
        <f aca="false">IF(OR($A229="",$AI229=""),"",IFERROR(IF(INDEX(photos!$H$2:$H$701,MATCH($A229&amp;"|"&amp;$B229&amp;"|later|Y|"&amp;$AI229,photos!$S$2:$S$701,0))="","",INDEX(photos!$H$2:$H$701,MATCH($A229&amp;"|"&amp;$B229&amp;"|later|Y|"&amp;$AI229,photos!$S$2:$S$701,0))),""))</f>
        <v/>
      </c>
      <c r="AI229" s="31" t="str">
        <f aca="false">IF($A229="","",IFERROR(1/(1/SUMPRODUCT(MAX((photos!$B$2:$B$701=$A229)*(photos!$C$2:$C$701=$B229)*(photos!$D$2:$D$701="later")*(photos!$O$2:$O$701="Y")*photos!$E$2:$E$701))),""))</f>
        <v/>
      </c>
      <c r="AJ229" s="30" t="str">
        <f aca="false">IF(OR($A229="",$AI229="",$I229=""),"",NETWORKDAYS($I229,$AI229,calendar!$A$2:$A$80))</f>
        <v/>
      </c>
      <c r="AK229" s="30" t="str">
        <f aca="false">IF($A229="","",IF(AND($X229&lt;&gt;"",$AH229&lt;&gt;""),"Y","N"))</f>
        <v/>
      </c>
      <c r="AL229" s="30" t="str">
        <f aca="true">IF(OR($A229="",$I229=""),"",IF($BC229="Y",SUMIFS(survey_frozen!$C$2:$C$251,survey_frozen!$P$2:$P$251,$A229&amp;"|"&amp;$B229),IFERROR(COUNTIFS(INDIRECT("'"&amp;$A229&amp;"'!$B$2:$B$501"),$T229,INDIRECT("'"&amp;$A229&amp;"'!$A$2:$A$501"),"&gt;="&amp;$I229,INDIRECT("'"&amp;$A229&amp;"'!$A$2:$A$501"),"&lt;"&amp;($BA229+1)),0)))</f>
        <v/>
      </c>
      <c r="AM229" s="30" t="str">
        <f aca="true">IF(OR($A229="",$I229=""),"",IF($BC229="Y",SUMIFS(survey_frozen!$D$2:$D$251,survey_frozen!$P$2:$P$251,$A229&amp;"|"&amp;$B229),IFERROR(COUNTIFS(INDIRECT("'"&amp;$A229&amp;"'!$B$2:$B$501"),$T229,INDIRECT("'"&amp;$A229&amp;"'!$A$2:$A$501"),"&gt;="&amp;$I229,INDIRECT("'"&amp;$A229&amp;"'!$A$2:$A$501"),"&lt;"&amp;($BA229+1),INDIRECT("'"&amp;$A229&amp;"'!$C$2:$C$501"),"Yes"),0)))</f>
        <v/>
      </c>
      <c r="AN229" s="30" t="str">
        <f aca="false">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30" t="str">
        <f aca="false">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30" t="str">
        <f aca="true">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30" t="str">
        <f aca="true">IF(OR($A229="",$I229=""),"",IF($BC229="Y",SUMIFS(survey_frozen!$E$2:$E$251,survey_frozen!$P$2:$P$251,$A229&amp;"|"&amp;$B229),IFERROR(COUNTIFS(INDIRECT("'"&amp;$A229&amp;"'!$B$2:$B$501"),$T229,INDIRECT("'"&amp;$A229&amp;"'!$A$2:$A$501"),"&gt;="&amp;$I229,INDIRECT("'"&amp;$A229&amp;"'!$A$2:$A$501"),"&lt;"&amp;($BA229+1),INDIRECT("'"&amp;$A229&amp;"'!$F$2:$F$501"),"Didn't see it"),0)))</f>
        <v/>
      </c>
      <c r="AR229" s="30" t="str">
        <f aca="true">IF(OR($A229="",$I229=""),"",IF($BC229="Y",SUMIFS(survey_frozen!$F$2:$F$251,survey_frozen!$P$2:$P$251,$A229&amp;"|"&amp;$B229),IFERROR(COUNTIFS(INDIRECT("'"&amp;$A229&amp;"'!$B$2:$B$501"),$T229,INDIRECT("'"&amp;$A229&amp;"'!$A$2:$A$501"),"&gt;="&amp;$I229,INDIRECT("'"&amp;$A229&amp;"'!$A$2:$A$501"),"&lt;"&amp;($BA229+1),INDIRECT("'"&amp;$A229&amp;"'!$F$2:$F$501"),"Not for me"),0)))</f>
        <v/>
      </c>
      <c r="AS229" s="30" t="str">
        <f aca="true">IF(OR($A229="",$I229=""),"",IF($BC229="Y",SUMIFS(survey_frozen!$G$2:$G$251,survey_frozen!$P$2:$P$251,$A229&amp;"|"&amp;$B229),IFERROR(COUNTIFS(INDIRECT("'"&amp;$A229&amp;"'!$B$2:$B$501"),$T229,INDIRECT("'"&amp;$A229&amp;"'!$A$2:$A$501"),"&gt;="&amp;$I229,INDIRECT("'"&amp;$A229&amp;"'!$A$2:$A$501"),"&lt;"&amp;($BA229+1),INDIRECT("'"&amp;$A229&amp;"'!$F$2:$F$501"),"Gone by the time I looked"),0)))</f>
        <v/>
      </c>
      <c r="AT229" s="30" t="str">
        <f aca="true">IF(OR($A229="",$I229=""),"",IF($BC229="Y",SUMIFS(survey_frozen!$H$2:$H$251,survey_frozen!$P$2:$P$251,$A229&amp;"|"&amp;$B229),IFERROR(COUNTIFS(INDIRECT("'"&amp;$A229&amp;"'!$B$2:$B$501"),$T229,INDIRECT("'"&amp;$A229&amp;"'!$A$2:$A$501"),"&gt;="&amp;$I229,INDIRECT("'"&amp;$A229&amp;"'!$A$2:$A$501"),"&lt;"&amp;($BA229+1),INDIRECT("'"&amp;$A229&amp;"'!$D$2:$D$501"),"&gt;=1"),0)))</f>
        <v/>
      </c>
      <c r="AU229" s="30" t="str">
        <f aca="true">IF(OR($A229="",$I229=""),"",IF($BC229="Y",SUMIFS(survey_frozen!$I$2:$I$251,survey_frozen!$P$2:$P$251,$A229&amp;"|"&amp;$B229),IFERROR(SUMIFS(INDIRECT("'"&amp;$A229&amp;"'!$D$2:$D$501"),INDIRECT("'"&amp;$A229&amp;"'!$B$2:$B$501"),$T229,INDIRECT("'"&amp;$A229&amp;"'!$A$2:$A$501"),"&gt;="&amp;$I229,INDIRECT("'"&amp;$A229&amp;"'!$A$2:$A$501"),"&lt;"&amp;($BA229+1)),0)))</f>
        <v/>
      </c>
      <c r="AV229" s="30" t="str">
        <f aca="true">IF(OR($A229="",$I229=""),"",IF($BC229="Y",SUMIFS(survey_frozen!$J$2:$J$251,survey_frozen!$P$2:$P$251,$A229&amp;"|"&amp;$B229),IFERROR(COUNTIFS(INDIRECT("'"&amp;$A229&amp;"'!$B$2:$B$501"),$T229,INDIRECT("'"&amp;$A229&amp;"'!$A$2:$A$501"),"&gt;="&amp;$I229,INDIRECT("'"&amp;$A229&amp;"'!$A$2:$A$501"),"&lt;"&amp;($BA229+1),INDIRECT("'"&amp;$A229&amp;"'!$E$2:$E$501"),"Yes"),0)))</f>
        <v/>
      </c>
      <c r="AW229" s="30" t="str">
        <f aca="true">IF(OR($A229="",$I229=""),"",IF($BC229="Y",SUMIFS(survey_frozen!$K$2:$K$251,survey_frozen!$P$2:$P$251,$A229&amp;"|"&amp;$B229),IFERROR(COUNTIFS(INDIRECT("'"&amp;$A229&amp;"'!$B$2:$B$501"),$T229,INDIRECT("'"&amp;$A229&amp;"'!$A$2:$A$501"),"&gt;="&amp;$I229,INDIRECT("'"&amp;$A229&amp;"'!$A$2:$A$501"),"&lt;"&amp;($BA229+1),INDIRECT("'"&amp;$A229&amp;"'!$E$2:$E$501"),"Maybe"),0)))</f>
        <v/>
      </c>
      <c r="AX229" s="30" t="str">
        <f aca="true">IF(OR($A229="",$I229=""),"",IF($BC229="Y",SUMIFS(survey_frozen!$L$2:$L$251,survey_frozen!$P$2:$P$251,$A229&amp;"|"&amp;$B229),IFERROR(COUNTIFS(INDIRECT("'"&amp;$A229&amp;"'!$B$2:$B$501"),$T229,INDIRECT("'"&amp;$A229&amp;"'!$A$2:$A$501"),"&gt;="&amp;$I229,INDIRECT("'"&amp;$A229&amp;"'!$A$2:$A$501"),"&lt;"&amp;($BA229+1),INDIRECT("'"&amp;$A229&amp;"'!$E$2:$E$501"),"No"),0)))</f>
        <v/>
      </c>
      <c r="AY229" s="30" t="str">
        <f aca="true">IF(OR($A229="",$I229=""),"",IF($BC229="Y",SUMIFS(survey_frozen!$M$2:$M$251,survey_frozen!$P$2:$P$251,$A229&amp;"|"&amp;$B229),IFERROR(COUNTIFS(INDIRECT("'"&amp;$A229&amp;"'!$B$2:$B$501"),$T229,INDIRECT("'"&amp;$A229&amp;"'!$A$2:$A$501"),"&gt;="&amp;$I229,INDIRECT("'"&amp;$A229&amp;"'!$A$2:$A$501"),"&lt;"&amp;($BA229+1),INDIRECT("'"&amp;$A229&amp;"'!$G$2:$G$501"),"&lt;&gt;"),0)))</f>
        <v/>
      </c>
      <c r="AZ229" s="30" t="str">
        <f aca="false">IF($A229="","",$A229&amp;"|"&amp;$L229)</f>
        <v/>
      </c>
      <c r="BA229" s="31" t="str">
        <f aca="false">IF($A229="","",IFERROR(IF(INDEX(drops!$R$2:$R$21,MATCH($H229,drops!$A$2:$A$21,0))="","",INDEX(drops!$R$2:$R$21,MATCH($H229,drops!$A$2:$A$21,0))),""))</f>
        <v/>
      </c>
      <c r="BB229" s="30" t="n">
        <f aca="false">IF(OR($A229="",$Q229&lt;&gt;"Y"),1000000,N($AL229))</f>
        <v>1000000</v>
      </c>
      <c r="BC229" s="30" t="str">
        <f aca="false">IF($A229="","",IF(COUNTIF(survey_frozen!$P$2:$P$251,$A229&amp;"|"&amp;$B229)&gt;0,"Y",""))</f>
        <v/>
      </c>
      <c r="BD229" s="30" t="str">
        <f aca="false">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ustomFormat="false" ht="15" hidden="false" customHeight="false" outlineLevel="0" collapsed="false">
      <c r="C230" s="11"/>
      <c r="D230" s="10"/>
      <c r="E230" s="11"/>
      <c r="H230" s="30" t="str">
        <f aca="false">IF($A230="","",IFERROR(IF(INDEX(campaigns!$B$2:$B$51,MATCH($A230,campaigns!$A$2:$A$51,0))="","",INDEX(campaigns!$B$2:$B$51,MATCH($A230,campaigns!$A$2:$A$51,0))),""))</f>
        <v/>
      </c>
      <c r="I230" s="31" t="str">
        <f aca="false">IF($A230="","",IFERROR(IF(INDEX(campaigns!$BG$2:$BG$51,MATCH($A230,campaigns!$A$2:$A$51,0))="","",INDEX(campaigns!$BG$2:$BG$51,MATCH($A230,campaigns!$A$2:$A$51,0))),""))</f>
        <v/>
      </c>
      <c r="J230" s="30" t="str">
        <f aca="false">IF($A230="","",IFERROR(IF(INDEX(campaigns!$BE$2:$BE$51,MATCH($A230,campaigns!$A$2:$A$51,0))="","",INDEX(campaigns!$BE$2:$BE$51,MATCH($A230,campaigns!$A$2:$A$51,0))),""))</f>
        <v/>
      </c>
      <c r="K230" s="30" t="str">
        <f aca="false">IF($B230="","",IFERROR(IF(INDEX(offices!$O$2:$O$61,MATCH($B230,offices!$A$2:$A$61,0))="","",INDEX(offices!$O$2:$O$61,MATCH($B230,offices!$A$2:$A$61,0))),""))</f>
        <v/>
      </c>
      <c r="L230" s="30" t="str">
        <f aca="false">IF($A230="","",IF($Q230="N","",COUNTIFS($A$2:$A230,$A230,$Q$2:$Q230,"&lt;&gt;N")))</f>
        <v/>
      </c>
      <c r="M230" s="30" t="str">
        <f aca="false">IF(OR($A230="",$L230=""),"",IF(AND(config!$B$34="names_if_public",IFERROR(IF(INDEX(offices!$AG$2:$AG$61,MATCH($B230,offices!$A$2:$A$61,0))="","",INDEX(offices!$AG$2:$AG$61,MATCH($B230,offices!$A$2:$A$61,0))),"")="Y"),$K230,CHAR(64+$L230)))</f>
        <v/>
      </c>
      <c r="N230" s="30" t="str">
        <f aca="false">IF(OR($A230="",$I230=""),"",COUNTIFS(stops!$B$2:$B$151,$B230,stops!$P$2:$P$151,"&lt;"&amp;$I230,stops!$L$2:$L$151,"&lt;&gt;not_delivered")+1)</f>
        <v/>
      </c>
      <c r="O230" s="30" t="str">
        <f aca="false">IF($A230="","",IF(N($N230)&lt;=config!$B$29,"explicit","opt-out"))</f>
        <v/>
      </c>
      <c r="P230" s="30" t="str">
        <f aca="false">IF($A230="","",IF($O230="explicit",IF($D230="yes","Y",IF($D230="no","N","pending")),IF($D230="no","N",IF(AND($C230&lt;&gt;"",$I230&lt;&gt;"",$C230&lt;=WORKDAY(N($I230),-5,calendar!$A$2:$A$80)),"Y","pending"))))</f>
        <v/>
      </c>
      <c r="Q230" s="30" t="str">
        <f aca="false">IF($A230="","",IF($P230="N","N",IF($P230&lt;&gt;"Y","pending",IF(AND((COUNTIFS(stops!$A$2:$A$151,$H230,stops!$B$2:$B$151,$B230,stops!$L$2:$L$151,"declined")+COUNTIFS(stops!$A$2:$A$151,$H230,stops!$B$2:$B$151,$B230,stops!$L$2:$L$151,"building_refused")+COUNTIFS(stops!$A$2:$A$151,$H230,stops!$B$2:$B$151,$B230,stops!$L$2:$L$151,"not_delivered"))&gt;0,N($U230)=0),"N","Y"))))</f>
        <v/>
      </c>
      <c r="R230" s="30" t="str">
        <f aca="false">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30" t="str">
        <f aca="false">IF($A230="","",IF($G230&lt;&gt;"",$G230,IFERROR(IF(INDEX(offices!$AM$2:$AM$61,MATCH($B230,offices!$A$2:$A$61,0))="","",INDEX(offices!$AM$2:$AM$61,MATCH($B230,offices!$A$2:$A$61,0))),"")))</f>
        <v/>
      </c>
      <c r="T230" s="30" t="str">
        <f aca="false">IF($A230="","",$A230&amp;"."&amp;$B230)</f>
        <v/>
      </c>
      <c r="U230" s="30" t="str">
        <f aca="false">IF($A230="","",SUMIFS(inventory!$G$2:$G$801,inventory!$C$2:$C$801,$A230,inventory!$D$2:$D$801,$B230,inventory!$E$2:$E$801,"delivered"))</f>
        <v/>
      </c>
      <c r="V230" s="37" t="str">
        <f aca="false">IF($A230="","",IFERROR(1/(1/SUMPRODUCT(MAX((inventory!$C$2:$C$801=$A230)*(inventory!$D$2:$D$801=$B230)*(inventory!$E$2:$E$801="delivered")*(inventory!$A$2:$A$801+inventory!$B$2:$B$801)))),""))</f>
        <v/>
      </c>
      <c r="W230" s="30" t="str">
        <f aca="false">IF($A230="","",IFERROR(IF(INDEX(inventory!$J$2:$J$801,MATCH($A230&amp;"|"&amp;$B230&amp;"|delivered",inventory!$R$2:$R$801,0))="","",INDEX(inventory!$J$2:$J$801,MATCH($A230&amp;"|"&amp;$B230&amp;"|delivered",inventory!$R$2:$R$801,0))),""))</f>
        <v/>
      </c>
      <c r="X230" s="30" t="str">
        <f aca="false">IF($A230="","",IFERROR(IF(INDEX(photos!$H$2:$H$701,MATCH($A230&amp;"|"&amp;$B230&amp;"|placement|Y",photos!$R$2:$R$701,0))="","",INDEX(photos!$H$2:$H$701,MATCH($A230&amp;"|"&amp;$B230&amp;"|placement|Y",photos!$R$2:$R$701,0))),""))</f>
        <v/>
      </c>
      <c r="Y230" s="31" t="str">
        <f aca="false">IF($A230="","",IFERROR(IF(INDEX(photos!$E$2:$E$701,MATCH($A230&amp;"|"&amp;$B230&amp;"|placement|Y",photos!$R$2:$R$701,0))="","",INDEX(photos!$E$2:$E$701,MATCH($A230&amp;"|"&amp;$B230&amp;"|placement|Y",photos!$R$2:$R$701,0))),""))</f>
        <v/>
      </c>
      <c r="Z230" s="30" t="str">
        <f aca="false">IF($A230="","",IF(COUNTIFS(counts!$C$2:$C$701,$A230,counts!$D$2:$D$701,$B230,counts!$E$2:$E$701,"placed")=0,"",SUMIFS(counts!$F$2:$F$701,counts!$C$2:$C$701,$A230,counts!$D$2:$D$701,$B230,counts!$E$2:$E$701,"placed")))</f>
        <v/>
      </c>
      <c r="AA230" s="30" t="str">
        <f aca="false">IF($A230="","",IF($Y230="",0,N($Z230)))</f>
        <v/>
      </c>
      <c r="AB230" s="30" t="str">
        <f aca="false">IF($A230="","",IF(OR($Y230="",$I230=""),"N",IF($Y230&lt;=WORKDAY(N($I230),1,calendar!$A$2:$A$80),"Y","N")))</f>
        <v/>
      </c>
      <c r="AC230" s="33" t="str">
        <f aca="false">IF(OR($A230="",$V230="",$Y230=""),"",ROUND(($Y230+N(IFERROR(IF(INDEX(photos!$F$2:$F$701,MATCH($A230&amp;"|"&amp;$B230&amp;"|placement|Y",photos!$R$2:$R$701,0))="","",INDEX(photos!$F$2:$F$701,MATCH($A230&amp;"|"&amp;$B230&amp;"|placement|Y",photos!$R$2:$R$701,0))),""))-$V230)*24,1))</f>
        <v/>
      </c>
      <c r="AD230" s="30" t="str">
        <f aca="false">IF($A230="","",SUMIFS(inventory!$G$2:$G$801,inventory!$C$2:$C$801,$A230,inventory!$D$2:$D$801,$B230,inventory!$E$2:$E$801,"topped_up"))</f>
        <v/>
      </c>
      <c r="AE230" s="30" t="str">
        <f aca="false">IF($A230="","",IF(COUNTIFS(counts!$C$2:$C$701,$A230,counts!$D$2:$D$701,$B230,counts!$E$2:$E$701,"remaining_day3")=0,"",SUMIFS(counts!$F$2:$F$701,counts!$C$2:$C$701,$A230,counts!$D$2:$D$701,$B230,counts!$E$2:$E$701,"remaining_day3")))</f>
        <v/>
      </c>
      <c r="AF230" s="30" t="str">
        <f aca="false">IF($A230="","",IF(COUNTIFS(counts!$C$2:$C$701,$A230,counts!$D$2:$D$701,$B230,counts!$E$2:$E$701,"remaining_day5")=0,"",SUMIFS(counts!$F$2:$F$701,counts!$C$2:$C$701,$A230,counts!$D$2:$D$701,$B230,counts!$E$2:$E$701,"remaining_day5")))</f>
        <v/>
      </c>
      <c r="AG230" s="30" t="str">
        <f aca="false">IF(OR($A230="",$AF230=""),"",MAX(0,$AA230+$AD230-$AF230))</f>
        <v/>
      </c>
      <c r="AH230" s="30" t="str">
        <f aca="false">IF(OR($A230="",$AI230=""),"",IFERROR(IF(INDEX(photos!$H$2:$H$701,MATCH($A230&amp;"|"&amp;$B230&amp;"|later|Y|"&amp;$AI230,photos!$S$2:$S$701,0))="","",INDEX(photos!$H$2:$H$701,MATCH($A230&amp;"|"&amp;$B230&amp;"|later|Y|"&amp;$AI230,photos!$S$2:$S$701,0))),""))</f>
        <v/>
      </c>
      <c r="AI230" s="31" t="str">
        <f aca="false">IF($A230="","",IFERROR(1/(1/SUMPRODUCT(MAX((photos!$B$2:$B$701=$A230)*(photos!$C$2:$C$701=$B230)*(photos!$D$2:$D$701="later")*(photos!$O$2:$O$701="Y")*photos!$E$2:$E$701))),""))</f>
        <v/>
      </c>
      <c r="AJ230" s="30" t="str">
        <f aca="false">IF(OR($A230="",$AI230="",$I230=""),"",NETWORKDAYS($I230,$AI230,calendar!$A$2:$A$80))</f>
        <v/>
      </c>
      <c r="AK230" s="30" t="str">
        <f aca="false">IF($A230="","",IF(AND($X230&lt;&gt;"",$AH230&lt;&gt;""),"Y","N"))</f>
        <v/>
      </c>
      <c r="AL230" s="30" t="str">
        <f aca="true">IF(OR($A230="",$I230=""),"",IF($BC230="Y",SUMIFS(survey_frozen!$C$2:$C$251,survey_frozen!$P$2:$P$251,$A230&amp;"|"&amp;$B230),IFERROR(COUNTIFS(INDIRECT("'"&amp;$A230&amp;"'!$B$2:$B$501"),$T230,INDIRECT("'"&amp;$A230&amp;"'!$A$2:$A$501"),"&gt;="&amp;$I230,INDIRECT("'"&amp;$A230&amp;"'!$A$2:$A$501"),"&lt;"&amp;($BA230+1)),0)))</f>
        <v/>
      </c>
      <c r="AM230" s="30" t="str">
        <f aca="true">IF(OR($A230="",$I230=""),"",IF($BC230="Y",SUMIFS(survey_frozen!$D$2:$D$251,survey_frozen!$P$2:$P$251,$A230&amp;"|"&amp;$B230),IFERROR(COUNTIFS(INDIRECT("'"&amp;$A230&amp;"'!$B$2:$B$501"),$T230,INDIRECT("'"&amp;$A230&amp;"'!$A$2:$A$501"),"&gt;="&amp;$I230,INDIRECT("'"&amp;$A230&amp;"'!$A$2:$A$501"),"&lt;"&amp;($BA230+1),INDIRECT("'"&amp;$A230&amp;"'!$C$2:$C$501"),"Yes"),0)))</f>
        <v/>
      </c>
      <c r="AN230" s="30" t="str">
        <f aca="false">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30" t="str">
        <f aca="false">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30" t="str">
        <f aca="true">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30" t="str">
        <f aca="true">IF(OR($A230="",$I230=""),"",IF($BC230="Y",SUMIFS(survey_frozen!$E$2:$E$251,survey_frozen!$P$2:$P$251,$A230&amp;"|"&amp;$B230),IFERROR(COUNTIFS(INDIRECT("'"&amp;$A230&amp;"'!$B$2:$B$501"),$T230,INDIRECT("'"&amp;$A230&amp;"'!$A$2:$A$501"),"&gt;="&amp;$I230,INDIRECT("'"&amp;$A230&amp;"'!$A$2:$A$501"),"&lt;"&amp;($BA230+1),INDIRECT("'"&amp;$A230&amp;"'!$F$2:$F$501"),"Didn't see it"),0)))</f>
        <v/>
      </c>
      <c r="AR230" s="30" t="str">
        <f aca="true">IF(OR($A230="",$I230=""),"",IF($BC230="Y",SUMIFS(survey_frozen!$F$2:$F$251,survey_frozen!$P$2:$P$251,$A230&amp;"|"&amp;$B230),IFERROR(COUNTIFS(INDIRECT("'"&amp;$A230&amp;"'!$B$2:$B$501"),$T230,INDIRECT("'"&amp;$A230&amp;"'!$A$2:$A$501"),"&gt;="&amp;$I230,INDIRECT("'"&amp;$A230&amp;"'!$A$2:$A$501"),"&lt;"&amp;($BA230+1),INDIRECT("'"&amp;$A230&amp;"'!$F$2:$F$501"),"Not for me"),0)))</f>
        <v/>
      </c>
      <c r="AS230" s="30" t="str">
        <f aca="true">IF(OR($A230="",$I230=""),"",IF($BC230="Y",SUMIFS(survey_frozen!$G$2:$G$251,survey_frozen!$P$2:$P$251,$A230&amp;"|"&amp;$B230),IFERROR(COUNTIFS(INDIRECT("'"&amp;$A230&amp;"'!$B$2:$B$501"),$T230,INDIRECT("'"&amp;$A230&amp;"'!$A$2:$A$501"),"&gt;="&amp;$I230,INDIRECT("'"&amp;$A230&amp;"'!$A$2:$A$501"),"&lt;"&amp;($BA230+1),INDIRECT("'"&amp;$A230&amp;"'!$F$2:$F$501"),"Gone by the time I looked"),0)))</f>
        <v/>
      </c>
      <c r="AT230" s="30" t="str">
        <f aca="true">IF(OR($A230="",$I230=""),"",IF($BC230="Y",SUMIFS(survey_frozen!$H$2:$H$251,survey_frozen!$P$2:$P$251,$A230&amp;"|"&amp;$B230),IFERROR(COUNTIFS(INDIRECT("'"&amp;$A230&amp;"'!$B$2:$B$501"),$T230,INDIRECT("'"&amp;$A230&amp;"'!$A$2:$A$501"),"&gt;="&amp;$I230,INDIRECT("'"&amp;$A230&amp;"'!$A$2:$A$501"),"&lt;"&amp;($BA230+1),INDIRECT("'"&amp;$A230&amp;"'!$D$2:$D$501"),"&gt;=1"),0)))</f>
        <v/>
      </c>
      <c r="AU230" s="30" t="str">
        <f aca="true">IF(OR($A230="",$I230=""),"",IF($BC230="Y",SUMIFS(survey_frozen!$I$2:$I$251,survey_frozen!$P$2:$P$251,$A230&amp;"|"&amp;$B230),IFERROR(SUMIFS(INDIRECT("'"&amp;$A230&amp;"'!$D$2:$D$501"),INDIRECT("'"&amp;$A230&amp;"'!$B$2:$B$501"),$T230,INDIRECT("'"&amp;$A230&amp;"'!$A$2:$A$501"),"&gt;="&amp;$I230,INDIRECT("'"&amp;$A230&amp;"'!$A$2:$A$501"),"&lt;"&amp;($BA230+1)),0)))</f>
        <v/>
      </c>
      <c r="AV230" s="30" t="str">
        <f aca="true">IF(OR($A230="",$I230=""),"",IF($BC230="Y",SUMIFS(survey_frozen!$J$2:$J$251,survey_frozen!$P$2:$P$251,$A230&amp;"|"&amp;$B230),IFERROR(COUNTIFS(INDIRECT("'"&amp;$A230&amp;"'!$B$2:$B$501"),$T230,INDIRECT("'"&amp;$A230&amp;"'!$A$2:$A$501"),"&gt;="&amp;$I230,INDIRECT("'"&amp;$A230&amp;"'!$A$2:$A$501"),"&lt;"&amp;($BA230+1),INDIRECT("'"&amp;$A230&amp;"'!$E$2:$E$501"),"Yes"),0)))</f>
        <v/>
      </c>
      <c r="AW230" s="30" t="str">
        <f aca="true">IF(OR($A230="",$I230=""),"",IF($BC230="Y",SUMIFS(survey_frozen!$K$2:$K$251,survey_frozen!$P$2:$P$251,$A230&amp;"|"&amp;$B230),IFERROR(COUNTIFS(INDIRECT("'"&amp;$A230&amp;"'!$B$2:$B$501"),$T230,INDIRECT("'"&amp;$A230&amp;"'!$A$2:$A$501"),"&gt;="&amp;$I230,INDIRECT("'"&amp;$A230&amp;"'!$A$2:$A$501"),"&lt;"&amp;($BA230+1),INDIRECT("'"&amp;$A230&amp;"'!$E$2:$E$501"),"Maybe"),0)))</f>
        <v/>
      </c>
      <c r="AX230" s="30" t="str">
        <f aca="true">IF(OR($A230="",$I230=""),"",IF($BC230="Y",SUMIFS(survey_frozen!$L$2:$L$251,survey_frozen!$P$2:$P$251,$A230&amp;"|"&amp;$B230),IFERROR(COUNTIFS(INDIRECT("'"&amp;$A230&amp;"'!$B$2:$B$501"),$T230,INDIRECT("'"&amp;$A230&amp;"'!$A$2:$A$501"),"&gt;="&amp;$I230,INDIRECT("'"&amp;$A230&amp;"'!$A$2:$A$501"),"&lt;"&amp;($BA230+1),INDIRECT("'"&amp;$A230&amp;"'!$E$2:$E$501"),"No"),0)))</f>
        <v/>
      </c>
      <c r="AY230" s="30" t="str">
        <f aca="true">IF(OR($A230="",$I230=""),"",IF($BC230="Y",SUMIFS(survey_frozen!$M$2:$M$251,survey_frozen!$P$2:$P$251,$A230&amp;"|"&amp;$B230),IFERROR(COUNTIFS(INDIRECT("'"&amp;$A230&amp;"'!$B$2:$B$501"),$T230,INDIRECT("'"&amp;$A230&amp;"'!$A$2:$A$501"),"&gt;="&amp;$I230,INDIRECT("'"&amp;$A230&amp;"'!$A$2:$A$501"),"&lt;"&amp;($BA230+1),INDIRECT("'"&amp;$A230&amp;"'!$G$2:$G$501"),"&lt;&gt;"),0)))</f>
        <v/>
      </c>
      <c r="AZ230" s="30" t="str">
        <f aca="false">IF($A230="","",$A230&amp;"|"&amp;$L230)</f>
        <v/>
      </c>
      <c r="BA230" s="31" t="str">
        <f aca="false">IF($A230="","",IFERROR(IF(INDEX(drops!$R$2:$R$21,MATCH($H230,drops!$A$2:$A$21,0))="","",INDEX(drops!$R$2:$R$21,MATCH($H230,drops!$A$2:$A$21,0))),""))</f>
        <v/>
      </c>
      <c r="BB230" s="30" t="n">
        <f aca="false">IF(OR($A230="",$Q230&lt;&gt;"Y"),1000000,N($AL230))</f>
        <v>1000000</v>
      </c>
      <c r="BC230" s="30" t="str">
        <f aca="false">IF($A230="","",IF(COUNTIF(survey_frozen!$P$2:$P$251,$A230&amp;"|"&amp;$B230)&gt;0,"Y",""))</f>
        <v/>
      </c>
      <c r="BD230" s="30" t="str">
        <f aca="false">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ustomFormat="false" ht="15" hidden="false" customHeight="false" outlineLevel="0" collapsed="false">
      <c r="C231" s="11"/>
      <c r="D231" s="10"/>
      <c r="E231" s="11"/>
      <c r="H231" s="30" t="str">
        <f aca="false">IF($A231="","",IFERROR(IF(INDEX(campaigns!$B$2:$B$51,MATCH($A231,campaigns!$A$2:$A$51,0))="","",INDEX(campaigns!$B$2:$B$51,MATCH($A231,campaigns!$A$2:$A$51,0))),""))</f>
        <v/>
      </c>
      <c r="I231" s="31" t="str">
        <f aca="false">IF($A231="","",IFERROR(IF(INDEX(campaigns!$BG$2:$BG$51,MATCH($A231,campaigns!$A$2:$A$51,0))="","",INDEX(campaigns!$BG$2:$BG$51,MATCH($A231,campaigns!$A$2:$A$51,0))),""))</f>
        <v/>
      </c>
      <c r="J231" s="30" t="str">
        <f aca="false">IF($A231="","",IFERROR(IF(INDEX(campaigns!$BE$2:$BE$51,MATCH($A231,campaigns!$A$2:$A$51,0))="","",INDEX(campaigns!$BE$2:$BE$51,MATCH($A231,campaigns!$A$2:$A$51,0))),""))</f>
        <v/>
      </c>
      <c r="K231" s="30" t="str">
        <f aca="false">IF($B231="","",IFERROR(IF(INDEX(offices!$O$2:$O$61,MATCH($B231,offices!$A$2:$A$61,0))="","",INDEX(offices!$O$2:$O$61,MATCH($B231,offices!$A$2:$A$61,0))),""))</f>
        <v/>
      </c>
      <c r="L231" s="30" t="str">
        <f aca="false">IF($A231="","",IF($Q231="N","",COUNTIFS($A$2:$A231,$A231,$Q$2:$Q231,"&lt;&gt;N")))</f>
        <v/>
      </c>
      <c r="M231" s="30" t="str">
        <f aca="false">IF(OR($A231="",$L231=""),"",IF(AND(config!$B$34="names_if_public",IFERROR(IF(INDEX(offices!$AG$2:$AG$61,MATCH($B231,offices!$A$2:$A$61,0))="","",INDEX(offices!$AG$2:$AG$61,MATCH($B231,offices!$A$2:$A$61,0))),"")="Y"),$K231,CHAR(64+$L231)))</f>
        <v/>
      </c>
      <c r="N231" s="30" t="str">
        <f aca="false">IF(OR($A231="",$I231=""),"",COUNTIFS(stops!$B$2:$B$151,$B231,stops!$P$2:$P$151,"&lt;"&amp;$I231,stops!$L$2:$L$151,"&lt;&gt;not_delivered")+1)</f>
        <v/>
      </c>
      <c r="O231" s="30" t="str">
        <f aca="false">IF($A231="","",IF(N($N231)&lt;=config!$B$29,"explicit","opt-out"))</f>
        <v/>
      </c>
      <c r="P231" s="30" t="str">
        <f aca="false">IF($A231="","",IF($O231="explicit",IF($D231="yes","Y",IF($D231="no","N","pending")),IF($D231="no","N",IF(AND($C231&lt;&gt;"",$I231&lt;&gt;"",$C231&lt;=WORKDAY(N($I231),-5,calendar!$A$2:$A$80)),"Y","pending"))))</f>
        <v/>
      </c>
      <c r="Q231" s="30" t="str">
        <f aca="false">IF($A231="","",IF($P231="N","N",IF($P231&lt;&gt;"Y","pending",IF(AND((COUNTIFS(stops!$A$2:$A$151,$H231,stops!$B$2:$B$151,$B231,stops!$L$2:$L$151,"declined")+COUNTIFS(stops!$A$2:$A$151,$H231,stops!$B$2:$B$151,$B231,stops!$L$2:$L$151,"building_refused")+COUNTIFS(stops!$A$2:$A$151,$H231,stops!$B$2:$B$151,$B231,stops!$L$2:$L$151,"not_delivered"))&gt;0,N($U231)=0),"N","Y"))))</f>
        <v/>
      </c>
      <c r="R231" s="30" t="str">
        <f aca="false">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30" t="str">
        <f aca="false">IF($A231="","",IF($G231&lt;&gt;"",$G231,IFERROR(IF(INDEX(offices!$AM$2:$AM$61,MATCH($B231,offices!$A$2:$A$61,0))="","",INDEX(offices!$AM$2:$AM$61,MATCH($B231,offices!$A$2:$A$61,0))),"")))</f>
        <v/>
      </c>
      <c r="T231" s="30" t="str">
        <f aca="false">IF($A231="","",$A231&amp;"."&amp;$B231)</f>
        <v/>
      </c>
      <c r="U231" s="30" t="str">
        <f aca="false">IF($A231="","",SUMIFS(inventory!$G$2:$G$801,inventory!$C$2:$C$801,$A231,inventory!$D$2:$D$801,$B231,inventory!$E$2:$E$801,"delivered"))</f>
        <v/>
      </c>
      <c r="V231" s="37" t="str">
        <f aca="false">IF($A231="","",IFERROR(1/(1/SUMPRODUCT(MAX((inventory!$C$2:$C$801=$A231)*(inventory!$D$2:$D$801=$B231)*(inventory!$E$2:$E$801="delivered")*(inventory!$A$2:$A$801+inventory!$B$2:$B$801)))),""))</f>
        <v/>
      </c>
      <c r="W231" s="30" t="str">
        <f aca="false">IF($A231="","",IFERROR(IF(INDEX(inventory!$J$2:$J$801,MATCH($A231&amp;"|"&amp;$B231&amp;"|delivered",inventory!$R$2:$R$801,0))="","",INDEX(inventory!$J$2:$J$801,MATCH($A231&amp;"|"&amp;$B231&amp;"|delivered",inventory!$R$2:$R$801,0))),""))</f>
        <v/>
      </c>
      <c r="X231" s="30" t="str">
        <f aca="false">IF($A231="","",IFERROR(IF(INDEX(photos!$H$2:$H$701,MATCH($A231&amp;"|"&amp;$B231&amp;"|placement|Y",photos!$R$2:$R$701,0))="","",INDEX(photos!$H$2:$H$701,MATCH($A231&amp;"|"&amp;$B231&amp;"|placement|Y",photos!$R$2:$R$701,0))),""))</f>
        <v/>
      </c>
      <c r="Y231" s="31" t="str">
        <f aca="false">IF($A231="","",IFERROR(IF(INDEX(photos!$E$2:$E$701,MATCH($A231&amp;"|"&amp;$B231&amp;"|placement|Y",photos!$R$2:$R$701,0))="","",INDEX(photos!$E$2:$E$701,MATCH($A231&amp;"|"&amp;$B231&amp;"|placement|Y",photos!$R$2:$R$701,0))),""))</f>
        <v/>
      </c>
      <c r="Z231" s="30" t="str">
        <f aca="false">IF($A231="","",IF(COUNTIFS(counts!$C$2:$C$701,$A231,counts!$D$2:$D$701,$B231,counts!$E$2:$E$701,"placed")=0,"",SUMIFS(counts!$F$2:$F$701,counts!$C$2:$C$701,$A231,counts!$D$2:$D$701,$B231,counts!$E$2:$E$701,"placed")))</f>
        <v/>
      </c>
      <c r="AA231" s="30" t="str">
        <f aca="false">IF($A231="","",IF($Y231="",0,N($Z231)))</f>
        <v/>
      </c>
      <c r="AB231" s="30" t="str">
        <f aca="false">IF($A231="","",IF(OR($Y231="",$I231=""),"N",IF($Y231&lt;=WORKDAY(N($I231),1,calendar!$A$2:$A$80),"Y","N")))</f>
        <v/>
      </c>
      <c r="AC231" s="33" t="str">
        <f aca="false">IF(OR($A231="",$V231="",$Y231=""),"",ROUND(($Y231+N(IFERROR(IF(INDEX(photos!$F$2:$F$701,MATCH($A231&amp;"|"&amp;$B231&amp;"|placement|Y",photos!$R$2:$R$701,0))="","",INDEX(photos!$F$2:$F$701,MATCH($A231&amp;"|"&amp;$B231&amp;"|placement|Y",photos!$R$2:$R$701,0))),""))-$V231)*24,1))</f>
        <v/>
      </c>
      <c r="AD231" s="30" t="str">
        <f aca="false">IF($A231="","",SUMIFS(inventory!$G$2:$G$801,inventory!$C$2:$C$801,$A231,inventory!$D$2:$D$801,$B231,inventory!$E$2:$E$801,"topped_up"))</f>
        <v/>
      </c>
      <c r="AE231" s="30" t="str">
        <f aca="false">IF($A231="","",IF(COUNTIFS(counts!$C$2:$C$701,$A231,counts!$D$2:$D$701,$B231,counts!$E$2:$E$701,"remaining_day3")=0,"",SUMIFS(counts!$F$2:$F$701,counts!$C$2:$C$701,$A231,counts!$D$2:$D$701,$B231,counts!$E$2:$E$701,"remaining_day3")))</f>
        <v/>
      </c>
      <c r="AF231" s="30" t="str">
        <f aca="false">IF($A231="","",IF(COUNTIFS(counts!$C$2:$C$701,$A231,counts!$D$2:$D$701,$B231,counts!$E$2:$E$701,"remaining_day5")=0,"",SUMIFS(counts!$F$2:$F$701,counts!$C$2:$C$701,$A231,counts!$D$2:$D$701,$B231,counts!$E$2:$E$701,"remaining_day5")))</f>
        <v/>
      </c>
      <c r="AG231" s="30" t="str">
        <f aca="false">IF(OR($A231="",$AF231=""),"",MAX(0,$AA231+$AD231-$AF231))</f>
        <v/>
      </c>
      <c r="AH231" s="30" t="str">
        <f aca="false">IF(OR($A231="",$AI231=""),"",IFERROR(IF(INDEX(photos!$H$2:$H$701,MATCH($A231&amp;"|"&amp;$B231&amp;"|later|Y|"&amp;$AI231,photos!$S$2:$S$701,0))="","",INDEX(photos!$H$2:$H$701,MATCH($A231&amp;"|"&amp;$B231&amp;"|later|Y|"&amp;$AI231,photos!$S$2:$S$701,0))),""))</f>
        <v/>
      </c>
      <c r="AI231" s="31" t="str">
        <f aca="false">IF($A231="","",IFERROR(1/(1/SUMPRODUCT(MAX((photos!$B$2:$B$701=$A231)*(photos!$C$2:$C$701=$B231)*(photos!$D$2:$D$701="later")*(photos!$O$2:$O$701="Y")*photos!$E$2:$E$701))),""))</f>
        <v/>
      </c>
      <c r="AJ231" s="30" t="str">
        <f aca="false">IF(OR($A231="",$AI231="",$I231=""),"",NETWORKDAYS($I231,$AI231,calendar!$A$2:$A$80))</f>
        <v/>
      </c>
      <c r="AK231" s="30" t="str">
        <f aca="false">IF($A231="","",IF(AND($X231&lt;&gt;"",$AH231&lt;&gt;""),"Y","N"))</f>
        <v/>
      </c>
      <c r="AL231" s="30" t="str">
        <f aca="true">IF(OR($A231="",$I231=""),"",IF($BC231="Y",SUMIFS(survey_frozen!$C$2:$C$251,survey_frozen!$P$2:$P$251,$A231&amp;"|"&amp;$B231),IFERROR(COUNTIFS(INDIRECT("'"&amp;$A231&amp;"'!$B$2:$B$501"),$T231,INDIRECT("'"&amp;$A231&amp;"'!$A$2:$A$501"),"&gt;="&amp;$I231,INDIRECT("'"&amp;$A231&amp;"'!$A$2:$A$501"),"&lt;"&amp;($BA231+1)),0)))</f>
        <v/>
      </c>
      <c r="AM231" s="30" t="str">
        <f aca="true">IF(OR($A231="",$I231=""),"",IF($BC231="Y",SUMIFS(survey_frozen!$D$2:$D$251,survey_frozen!$P$2:$P$251,$A231&amp;"|"&amp;$B231),IFERROR(COUNTIFS(INDIRECT("'"&amp;$A231&amp;"'!$B$2:$B$501"),$T231,INDIRECT("'"&amp;$A231&amp;"'!$A$2:$A$501"),"&gt;="&amp;$I231,INDIRECT("'"&amp;$A231&amp;"'!$A$2:$A$501"),"&lt;"&amp;($BA231+1),INDIRECT("'"&amp;$A231&amp;"'!$C$2:$C$501"),"Yes"),0)))</f>
        <v/>
      </c>
      <c r="AN231" s="30" t="str">
        <f aca="false">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30" t="str">
        <f aca="false">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30" t="str">
        <f aca="true">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30" t="str">
        <f aca="true">IF(OR($A231="",$I231=""),"",IF($BC231="Y",SUMIFS(survey_frozen!$E$2:$E$251,survey_frozen!$P$2:$P$251,$A231&amp;"|"&amp;$B231),IFERROR(COUNTIFS(INDIRECT("'"&amp;$A231&amp;"'!$B$2:$B$501"),$T231,INDIRECT("'"&amp;$A231&amp;"'!$A$2:$A$501"),"&gt;="&amp;$I231,INDIRECT("'"&amp;$A231&amp;"'!$A$2:$A$501"),"&lt;"&amp;($BA231+1),INDIRECT("'"&amp;$A231&amp;"'!$F$2:$F$501"),"Didn't see it"),0)))</f>
        <v/>
      </c>
      <c r="AR231" s="30" t="str">
        <f aca="true">IF(OR($A231="",$I231=""),"",IF($BC231="Y",SUMIFS(survey_frozen!$F$2:$F$251,survey_frozen!$P$2:$P$251,$A231&amp;"|"&amp;$B231),IFERROR(COUNTIFS(INDIRECT("'"&amp;$A231&amp;"'!$B$2:$B$501"),$T231,INDIRECT("'"&amp;$A231&amp;"'!$A$2:$A$501"),"&gt;="&amp;$I231,INDIRECT("'"&amp;$A231&amp;"'!$A$2:$A$501"),"&lt;"&amp;($BA231+1),INDIRECT("'"&amp;$A231&amp;"'!$F$2:$F$501"),"Not for me"),0)))</f>
        <v/>
      </c>
      <c r="AS231" s="30" t="str">
        <f aca="true">IF(OR($A231="",$I231=""),"",IF($BC231="Y",SUMIFS(survey_frozen!$G$2:$G$251,survey_frozen!$P$2:$P$251,$A231&amp;"|"&amp;$B231),IFERROR(COUNTIFS(INDIRECT("'"&amp;$A231&amp;"'!$B$2:$B$501"),$T231,INDIRECT("'"&amp;$A231&amp;"'!$A$2:$A$501"),"&gt;="&amp;$I231,INDIRECT("'"&amp;$A231&amp;"'!$A$2:$A$501"),"&lt;"&amp;($BA231+1),INDIRECT("'"&amp;$A231&amp;"'!$F$2:$F$501"),"Gone by the time I looked"),0)))</f>
        <v/>
      </c>
      <c r="AT231" s="30" t="str">
        <f aca="true">IF(OR($A231="",$I231=""),"",IF($BC231="Y",SUMIFS(survey_frozen!$H$2:$H$251,survey_frozen!$P$2:$P$251,$A231&amp;"|"&amp;$B231),IFERROR(COUNTIFS(INDIRECT("'"&amp;$A231&amp;"'!$B$2:$B$501"),$T231,INDIRECT("'"&amp;$A231&amp;"'!$A$2:$A$501"),"&gt;="&amp;$I231,INDIRECT("'"&amp;$A231&amp;"'!$A$2:$A$501"),"&lt;"&amp;($BA231+1),INDIRECT("'"&amp;$A231&amp;"'!$D$2:$D$501"),"&gt;=1"),0)))</f>
        <v/>
      </c>
      <c r="AU231" s="30" t="str">
        <f aca="true">IF(OR($A231="",$I231=""),"",IF($BC231="Y",SUMIFS(survey_frozen!$I$2:$I$251,survey_frozen!$P$2:$P$251,$A231&amp;"|"&amp;$B231),IFERROR(SUMIFS(INDIRECT("'"&amp;$A231&amp;"'!$D$2:$D$501"),INDIRECT("'"&amp;$A231&amp;"'!$B$2:$B$501"),$T231,INDIRECT("'"&amp;$A231&amp;"'!$A$2:$A$501"),"&gt;="&amp;$I231,INDIRECT("'"&amp;$A231&amp;"'!$A$2:$A$501"),"&lt;"&amp;($BA231+1)),0)))</f>
        <v/>
      </c>
      <c r="AV231" s="30" t="str">
        <f aca="true">IF(OR($A231="",$I231=""),"",IF($BC231="Y",SUMIFS(survey_frozen!$J$2:$J$251,survey_frozen!$P$2:$P$251,$A231&amp;"|"&amp;$B231),IFERROR(COUNTIFS(INDIRECT("'"&amp;$A231&amp;"'!$B$2:$B$501"),$T231,INDIRECT("'"&amp;$A231&amp;"'!$A$2:$A$501"),"&gt;="&amp;$I231,INDIRECT("'"&amp;$A231&amp;"'!$A$2:$A$501"),"&lt;"&amp;($BA231+1),INDIRECT("'"&amp;$A231&amp;"'!$E$2:$E$501"),"Yes"),0)))</f>
        <v/>
      </c>
      <c r="AW231" s="30" t="str">
        <f aca="true">IF(OR($A231="",$I231=""),"",IF($BC231="Y",SUMIFS(survey_frozen!$K$2:$K$251,survey_frozen!$P$2:$P$251,$A231&amp;"|"&amp;$B231),IFERROR(COUNTIFS(INDIRECT("'"&amp;$A231&amp;"'!$B$2:$B$501"),$T231,INDIRECT("'"&amp;$A231&amp;"'!$A$2:$A$501"),"&gt;="&amp;$I231,INDIRECT("'"&amp;$A231&amp;"'!$A$2:$A$501"),"&lt;"&amp;($BA231+1),INDIRECT("'"&amp;$A231&amp;"'!$E$2:$E$501"),"Maybe"),0)))</f>
        <v/>
      </c>
      <c r="AX231" s="30" t="str">
        <f aca="true">IF(OR($A231="",$I231=""),"",IF($BC231="Y",SUMIFS(survey_frozen!$L$2:$L$251,survey_frozen!$P$2:$P$251,$A231&amp;"|"&amp;$B231),IFERROR(COUNTIFS(INDIRECT("'"&amp;$A231&amp;"'!$B$2:$B$501"),$T231,INDIRECT("'"&amp;$A231&amp;"'!$A$2:$A$501"),"&gt;="&amp;$I231,INDIRECT("'"&amp;$A231&amp;"'!$A$2:$A$501"),"&lt;"&amp;($BA231+1),INDIRECT("'"&amp;$A231&amp;"'!$E$2:$E$501"),"No"),0)))</f>
        <v/>
      </c>
      <c r="AY231" s="30" t="str">
        <f aca="true">IF(OR($A231="",$I231=""),"",IF($BC231="Y",SUMIFS(survey_frozen!$M$2:$M$251,survey_frozen!$P$2:$P$251,$A231&amp;"|"&amp;$B231),IFERROR(COUNTIFS(INDIRECT("'"&amp;$A231&amp;"'!$B$2:$B$501"),$T231,INDIRECT("'"&amp;$A231&amp;"'!$A$2:$A$501"),"&gt;="&amp;$I231,INDIRECT("'"&amp;$A231&amp;"'!$A$2:$A$501"),"&lt;"&amp;($BA231+1),INDIRECT("'"&amp;$A231&amp;"'!$G$2:$G$501"),"&lt;&gt;"),0)))</f>
        <v/>
      </c>
      <c r="AZ231" s="30" t="str">
        <f aca="false">IF($A231="","",$A231&amp;"|"&amp;$L231)</f>
        <v/>
      </c>
      <c r="BA231" s="31" t="str">
        <f aca="false">IF($A231="","",IFERROR(IF(INDEX(drops!$R$2:$R$21,MATCH($H231,drops!$A$2:$A$21,0))="","",INDEX(drops!$R$2:$R$21,MATCH($H231,drops!$A$2:$A$21,0))),""))</f>
        <v/>
      </c>
      <c r="BB231" s="30" t="n">
        <f aca="false">IF(OR($A231="",$Q231&lt;&gt;"Y"),1000000,N($AL231))</f>
        <v>1000000</v>
      </c>
      <c r="BC231" s="30" t="str">
        <f aca="false">IF($A231="","",IF(COUNTIF(survey_frozen!$P$2:$P$251,$A231&amp;"|"&amp;$B231)&gt;0,"Y",""))</f>
        <v/>
      </c>
      <c r="BD231" s="30" t="str">
        <f aca="false">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ustomFormat="false" ht="15" hidden="false" customHeight="false" outlineLevel="0" collapsed="false">
      <c r="C232" s="11"/>
      <c r="D232" s="10"/>
      <c r="E232" s="11"/>
      <c r="H232" s="30" t="str">
        <f aca="false">IF($A232="","",IFERROR(IF(INDEX(campaigns!$B$2:$B$51,MATCH($A232,campaigns!$A$2:$A$51,0))="","",INDEX(campaigns!$B$2:$B$51,MATCH($A232,campaigns!$A$2:$A$51,0))),""))</f>
        <v/>
      </c>
      <c r="I232" s="31" t="str">
        <f aca="false">IF($A232="","",IFERROR(IF(INDEX(campaigns!$BG$2:$BG$51,MATCH($A232,campaigns!$A$2:$A$51,0))="","",INDEX(campaigns!$BG$2:$BG$51,MATCH($A232,campaigns!$A$2:$A$51,0))),""))</f>
        <v/>
      </c>
      <c r="J232" s="30" t="str">
        <f aca="false">IF($A232="","",IFERROR(IF(INDEX(campaigns!$BE$2:$BE$51,MATCH($A232,campaigns!$A$2:$A$51,0))="","",INDEX(campaigns!$BE$2:$BE$51,MATCH($A232,campaigns!$A$2:$A$51,0))),""))</f>
        <v/>
      </c>
      <c r="K232" s="30" t="str">
        <f aca="false">IF($B232="","",IFERROR(IF(INDEX(offices!$O$2:$O$61,MATCH($B232,offices!$A$2:$A$61,0))="","",INDEX(offices!$O$2:$O$61,MATCH($B232,offices!$A$2:$A$61,0))),""))</f>
        <v/>
      </c>
      <c r="L232" s="30" t="str">
        <f aca="false">IF($A232="","",IF($Q232="N","",COUNTIFS($A$2:$A232,$A232,$Q$2:$Q232,"&lt;&gt;N")))</f>
        <v/>
      </c>
      <c r="M232" s="30" t="str">
        <f aca="false">IF(OR($A232="",$L232=""),"",IF(AND(config!$B$34="names_if_public",IFERROR(IF(INDEX(offices!$AG$2:$AG$61,MATCH($B232,offices!$A$2:$A$61,0))="","",INDEX(offices!$AG$2:$AG$61,MATCH($B232,offices!$A$2:$A$61,0))),"")="Y"),$K232,CHAR(64+$L232)))</f>
        <v/>
      </c>
      <c r="N232" s="30" t="str">
        <f aca="false">IF(OR($A232="",$I232=""),"",COUNTIFS(stops!$B$2:$B$151,$B232,stops!$P$2:$P$151,"&lt;"&amp;$I232,stops!$L$2:$L$151,"&lt;&gt;not_delivered")+1)</f>
        <v/>
      </c>
      <c r="O232" s="30" t="str">
        <f aca="false">IF($A232="","",IF(N($N232)&lt;=config!$B$29,"explicit","opt-out"))</f>
        <v/>
      </c>
      <c r="P232" s="30" t="str">
        <f aca="false">IF($A232="","",IF($O232="explicit",IF($D232="yes","Y",IF($D232="no","N","pending")),IF($D232="no","N",IF(AND($C232&lt;&gt;"",$I232&lt;&gt;"",$C232&lt;=WORKDAY(N($I232),-5,calendar!$A$2:$A$80)),"Y","pending"))))</f>
        <v/>
      </c>
      <c r="Q232" s="30" t="str">
        <f aca="false">IF($A232="","",IF($P232="N","N",IF($P232&lt;&gt;"Y","pending",IF(AND((COUNTIFS(stops!$A$2:$A$151,$H232,stops!$B$2:$B$151,$B232,stops!$L$2:$L$151,"declined")+COUNTIFS(stops!$A$2:$A$151,$H232,stops!$B$2:$B$151,$B232,stops!$L$2:$L$151,"building_refused")+COUNTIFS(stops!$A$2:$A$151,$H232,stops!$B$2:$B$151,$B232,stops!$L$2:$L$151,"not_delivered"))&gt;0,N($U232)=0),"N","Y"))))</f>
        <v/>
      </c>
      <c r="R232" s="30" t="str">
        <f aca="false">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30" t="str">
        <f aca="false">IF($A232="","",IF($G232&lt;&gt;"",$G232,IFERROR(IF(INDEX(offices!$AM$2:$AM$61,MATCH($B232,offices!$A$2:$A$61,0))="","",INDEX(offices!$AM$2:$AM$61,MATCH($B232,offices!$A$2:$A$61,0))),"")))</f>
        <v/>
      </c>
      <c r="T232" s="30" t="str">
        <f aca="false">IF($A232="","",$A232&amp;"."&amp;$B232)</f>
        <v/>
      </c>
      <c r="U232" s="30" t="str">
        <f aca="false">IF($A232="","",SUMIFS(inventory!$G$2:$G$801,inventory!$C$2:$C$801,$A232,inventory!$D$2:$D$801,$B232,inventory!$E$2:$E$801,"delivered"))</f>
        <v/>
      </c>
      <c r="V232" s="37" t="str">
        <f aca="false">IF($A232="","",IFERROR(1/(1/SUMPRODUCT(MAX((inventory!$C$2:$C$801=$A232)*(inventory!$D$2:$D$801=$B232)*(inventory!$E$2:$E$801="delivered")*(inventory!$A$2:$A$801+inventory!$B$2:$B$801)))),""))</f>
        <v/>
      </c>
      <c r="W232" s="30" t="str">
        <f aca="false">IF($A232="","",IFERROR(IF(INDEX(inventory!$J$2:$J$801,MATCH($A232&amp;"|"&amp;$B232&amp;"|delivered",inventory!$R$2:$R$801,0))="","",INDEX(inventory!$J$2:$J$801,MATCH($A232&amp;"|"&amp;$B232&amp;"|delivered",inventory!$R$2:$R$801,0))),""))</f>
        <v/>
      </c>
      <c r="X232" s="30" t="str">
        <f aca="false">IF($A232="","",IFERROR(IF(INDEX(photos!$H$2:$H$701,MATCH($A232&amp;"|"&amp;$B232&amp;"|placement|Y",photos!$R$2:$R$701,0))="","",INDEX(photos!$H$2:$H$701,MATCH($A232&amp;"|"&amp;$B232&amp;"|placement|Y",photos!$R$2:$R$701,0))),""))</f>
        <v/>
      </c>
      <c r="Y232" s="31" t="str">
        <f aca="false">IF($A232="","",IFERROR(IF(INDEX(photos!$E$2:$E$701,MATCH($A232&amp;"|"&amp;$B232&amp;"|placement|Y",photos!$R$2:$R$701,0))="","",INDEX(photos!$E$2:$E$701,MATCH($A232&amp;"|"&amp;$B232&amp;"|placement|Y",photos!$R$2:$R$701,0))),""))</f>
        <v/>
      </c>
      <c r="Z232" s="30" t="str">
        <f aca="false">IF($A232="","",IF(COUNTIFS(counts!$C$2:$C$701,$A232,counts!$D$2:$D$701,$B232,counts!$E$2:$E$701,"placed")=0,"",SUMIFS(counts!$F$2:$F$701,counts!$C$2:$C$701,$A232,counts!$D$2:$D$701,$B232,counts!$E$2:$E$701,"placed")))</f>
        <v/>
      </c>
      <c r="AA232" s="30" t="str">
        <f aca="false">IF($A232="","",IF($Y232="",0,N($Z232)))</f>
        <v/>
      </c>
      <c r="AB232" s="30" t="str">
        <f aca="false">IF($A232="","",IF(OR($Y232="",$I232=""),"N",IF($Y232&lt;=WORKDAY(N($I232),1,calendar!$A$2:$A$80),"Y","N")))</f>
        <v/>
      </c>
      <c r="AC232" s="33" t="str">
        <f aca="false">IF(OR($A232="",$V232="",$Y232=""),"",ROUND(($Y232+N(IFERROR(IF(INDEX(photos!$F$2:$F$701,MATCH($A232&amp;"|"&amp;$B232&amp;"|placement|Y",photos!$R$2:$R$701,0))="","",INDEX(photos!$F$2:$F$701,MATCH($A232&amp;"|"&amp;$B232&amp;"|placement|Y",photos!$R$2:$R$701,0))),""))-$V232)*24,1))</f>
        <v/>
      </c>
      <c r="AD232" s="30" t="str">
        <f aca="false">IF($A232="","",SUMIFS(inventory!$G$2:$G$801,inventory!$C$2:$C$801,$A232,inventory!$D$2:$D$801,$B232,inventory!$E$2:$E$801,"topped_up"))</f>
        <v/>
      </c>
      <c r="AE232" s="30" t="str">
        <f aca="false">IF($A232="","",IF(COUNTIFS(counts!$C$2:$C$701,$A232,counts!$D$2:$D$701,$B232,counts!$E$2:$E$701,"remaining_day3")=0,"",SUMIFS(counts!$F$2:$F$701,counts!$C$2:$C$701,$A232,counts!$D$2:$D$701,$B232,counts!$E$2:$E$701,"remaining_day3")))</f>
        <v/>
      </c>
      <c r="AF232" s="30" t="str">
        <f aca="false">IF($A232="","",IF(COUNTIFS(counts!$C$2:$C$701,$A232,counts!$D$2:$D$701,$B232,counts!$E$2:$E$701,"remaining_day5")=0,"",SUMIFS(counts!$F$2:$F$701,counts!$C$2:$C$701,$A232,counts!$D$2:$D$701,$B232,counts!$E$2:$E$701,"remaining_day5")))</f>
        <v/>
      </c>
      <c r="AG232" s="30" t="str">
        <f aca="false">IF(OR($A232="",$AF232=""),"",MAX(0,$AA232+$AD232-$AF232))</f>
        <v/>
      </c>
      <c r="AH232" s="30" t="str">
        <f aca="false">IF(OR($A232="",$AI232=""),"",IFERROR(IF(INDEX(photos!$H$2:$H$701,MATCH($A232&amp;"|"&amp;$B232&amp;"|later|Y|"&amp;$AI232,photos!$S$2:$S$701,0))="","",INDEX(photos!$H$2:$H$701,MATCH($A232&amp;"|"&amp;$B232&amp;"|later|Y|"&amp;$AI232,photos!$S$2:$S$701,0))),""))</f>
        <v/>
      </c>
      <c r="AI232" s="31" t="str">
        <f aca="false">IF($A232="","",IFERROR(1/(1/SUMPRODUCT(MAX((photos!$B$2:$B$701=$A232)*(photos!$C$2:$C$701=$B232)*(photos!$D$2:$D$701="later")*(photos!$O$2:$O$701="Y")*photos!$E$2:$E$701))),""))</f>
        <v/>
      </c>
      <c r="AJ232" s="30" t="str">
        <f aca="false">IF(OR($A232="",$AI232="",$I232=""),"",NETWORKDAYS($I232,$AI232,calendar!$A$2:$A$80))</f>
        <v/>
      </c>
      <c r="AK232" s="30" t="str">
        <f aca="false">IF($A232="","",IF(AND($X232&lt;&gt;"",$AH232&lt;&gt;""),"Y","N"))</f>
        <v/>
      </c>
      <c r="AL232" s="30" t="str">
        <f aca="true">IF(OR($A232="",$I232=""),"",IF($BC232="Y",SUMIFS(survey_frozen!$C$2:$C$251,survey_frozen!$P$2:$P$251,$A232&amp;"|"&amp;$B232),IFERROR(COUNTIFS(INDIRECT("'"&amp;$A232&amp;"'!$B$2:$B$501"),$T232,INDIRECT("'"&amp;$A232&amp;"'!$A$2:$A$501"),"&gt;="&amp;$I232,INDIRECT("'"&amp;$A232&amp;"'!$A$2:$A$501"),"&lt;"&amp;($BA232+1)),0)))</f>
        <v/>
      </c>
      <c r="AM232" s="30" t="str">
        <f aca="true">IF(OR($A232="",$I232=""),"",IF($BC232="Y",SUMIFS(survey_frozen!$D$2:$D$251,survey_frozen!$P$2:$P$251,$A232&amp;"|"&amp;$B232),IFERROR(COUNTIFS(INDIRECT("'"&amp;$A232&amp;"'!$B$2:$B$501"),$T232,INDIRECT("'"&amp;$A232&amp;"'!$A$2:$A$501"),"&gt;="&amp;$I232,INDIRECT("'"&amp;$A232&amp;"'!$A$2:$A$501"),"&lt;"&amp;($BA232+1),INDIRECT("'"&amp;$A232&amp;"'!$C$2:$C$501"),"Yes"),0)))</f>
        <v/>
      </c>
      <c r="AN232" s="30" t="str">
        <f aca="false">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30" t="str">
        <f aca="false">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30" t="str">
        <f aca="true">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30" t="str">
        <f aca="true">IF(OR($A232="",$I232=""),"",IF($BC232="Y",SUMIFS(survey_frozen!$E$2:$E$251,survey_frozen!$P$2:$P$251,$A232&amp;"|"&amp;$B232),IFERROR(COUNTIFS(INDIRECT("'"&amp;$A232&amp;"'!$B$2:$B$501"),$T232,INDIRECT("'"&amp;$A232&amp;"'!$A$2:$A$501"),"&gt;="&amp;$I232,INDIRECT("'"&amp;$A232&amp;"'!$A$2:$A$501"),"&lt;"&amp;($BA232+1),INDIRECT("'"&amp;$A232&amp;"'!$F$2:$F$501"),"Didn't see it"),0)))</f>
        <v/>
      </c>
      <c r="AR232" s="30" t="str">
        <f aca="true">IF(OR($A232="",$I232=""),"",IF($BC232="Y",SUMIFS(survey_frozen!$F$2:$F$251,survey_frozen!$P$2:$P$251,$A232&amp;"|"&amp;$B232),IFERROR(COUNTIFS(INDIRECT("'"&amp;$A232&amp;"'!$B$2:$B$501"),$T232,INDIRECT("'"&amp;$A232&amp;"'!$A$2:$A$501"),"&gt;="&amp;$I232,INDIRECT("'"&amp;$A232&amp;"'!$A$2:$A$501"),"&lt;"&amp;($BA232+1),INDIRECT("'"&amp;$A232&amp;"'!$F$2:$F$501"),"Not for me"),0)))</f>
        <v/>
      </c>
      <c r="AS232" s="30" t="str">
        <f aca="true">IF(OR($A232="",$I232=""),"",IF($BC232="Y",SUMIFS(survey_frozen!$G$2:$G$251,survey_frozen!$P$2:$P$251,$A232&amp;"|"&amp;$B232),IFERROR(COUNTIFS(INDIRECT("'"&amp;$A232&amp;"'!$B$2:$B$501"),$T232,INDIRECT("'"&amp;$A232&amp;"'!$A$2:$A$501"),"&gt;="&amp;$I232,INDIRECT("'"&amp;$A232&amp;"'!$A$2:$A$501"),"&lt;"&amp;($BA232+1),INDIRECT("'"&amp;$A232&amp;"'!$F$2:$F$501"),"Gone by the time I looked"),0)))</f>
        <v/>
      </c>
      <c r="AT232" s="30" t="str">
        <f aca="true">IF(OR($A232="",$I232=""),"",IF($BC232="Y",SUMIFS(survey_frozen!$H$2:$H$251,survey_frozen!$P$2:$P$251,$A232&amp;"|"&amp;$B232),IFERROR(COUNTIFS(INDIRECT("'"&amp;$A232&amp;"'!$B$2:$B$501"),$T232,INDIRECT("'"&amp;$A232&amp;"'!$A$2:$A$501"),"&gt;="&amp;$I232,INDIRECT("'"&amp;$A232&amp;"'!$A$2:$A$501"),"&lt;"&amp;($BA232+1),INDIRECT("'"&amp;$A232&amp;"'!$D$2:$D$501"),"&gt;=1"),0)))</f>
        <v/>
      </c>
      <c r="AU232" s="30" t="str">
        <f aca="true">IF(OR($A232="",$I232=""),"",IF($BC232="Y",SUMIFS(survey_frozen!$I$2:$I$251,survey_frozen!$P$2:$P$251,$A232&amp;"|"&amp;$B232),IFERROR(SUMIFS(INDIRECT("'"&amp;$A232&amp;"'!$D$2:$D$501"),INDIRECT("'"&amp;$A232&amp;"'!$B$2:$B$501"),$T232,INDIRECT("'"&amp;$A232&amp;"'!$A$2:$A$501"),"&gt;="&amp;$I232,INDIRECT("'"&amp;$A232&amp;"'!$A$2:$A$501"),"&lt;"&amp;($BA232+1)),0)))</f>
        <v/>
      </c>
      <c r="AV232" s="30" t="str">
        <f aca="true">IF(OR($A232="",$I232=""),"",IF($BC232="Y",SUMIFS(survey_frozen!$J$2:$J$251,survey_frozen!$P$2:$P$251,$A232&amp;"|"&amp;$B232),IFERROR(COUNTIFS(INDIRECT("'"&amp;$A232&amp;"'!$B$2:$B$501"),$T232,INDIRECT("'"&amp;$A232&amp;"'!$A$2:$A$501"),"&gt;="&amp;$I232,INDIRECT("'"&amp;$A232&amp;"'!$A$2:$A$501"),"&lt;"&amp;($BA232+1),INDIRECT("'"&amp;$A232&amp;"'!$E$2:$E$501"),"Yes"),0)))</f>
        <v/>
      </c>
      <c r="AW232" s="30" t="str">
        <f aca="true">IF(OR($A232="",$I232=""),"",IF($BC232="Y",SUMIFS(survey_frozen!$K$2:$K$251,survey_frozen!$P$2:$P$251,$A232&amp;"|"&amp;$B232),IFERROR(COUNTIFS(INDIRECT("'"&amp;$A232&amp;"'!$B$2:$B$501"),$T232,INDIRECT("'"&amp;$A232&amp;"'!$A$2:$A$501"),"&gt;="&amp;$I232,INDIRECT("'"&amp;$A232&amp;"'!$A$2:$A$501"),"&lt;"&amp;($BA232+1),INDIRECT("'"&amp;$A232&amp;"'!$E$2:$E$501"),"Maybe"),0)))</f>
        <v/>
      </c>
      <c r="AX232" s="30" t="str">
        <f aca="true">IF(OR($A232="",$I232=""),"",IF($BC232="Y",SUMIFS(survey_frozen!$L$2:$L$251,survey_frozen!$P$2:$P$251,$A232&amp;"|"&amp;$B232),IFERROR(COUNTIFS(INDIRECT("'"&amp;$A232&amp;"'!$B$2:$B$501"),$T232,INDIRECT("'"&amp;$A232&amp;"'!$A$2:$A$501"),"&gt;="&amp;$I232,INDIRECT("'"&amp;$A232&amp;"'!$A$2:$A$501"),"&lt;"&amp;($BA232+1),INDIRECT("'"&amp;$A232&amp;"'!$E$2:$E$501"),"No"),0)))</f>
        <v/>
      </c>
      <c r="AY232" s="30" t="str">
        <f aca="true">IF(OR($A232="",$I232=""),"",IF($BC232="Y",SUMIFS(survey_frozen!$M$2:$M$251,survey_frozen!$P$2:$P$251,$A232&amp;"|"&amp;$B232),IFERROR(COUNTIFS(INDIRECT("'"&amp;$A232&amp;"'!$B$2:$B$501"),$T232,INDIRECT("'"&amp;$A232&amp;"'!$A$2:$A$501"),"&gt;="&amp;$I232,INDIRECT("'"&amp;$A232&amp;"'!$A$2:$A$501"),"&lt;"&amp;($BA232+1),INDIRECT("'"&amp;$A232&amp;"'!$G$2:$G$501"),"&lt;&gt;"),0)))</f>
        <v/>
      </c>
      <c r="AZ232" s="30" t="str">
        <f aca="false">IF($A232="","",$A232&amp;"|"&amp;$L232)</f>
        <v/>
      </c>
      <c r="BA232" s="31" t="str">
        <f aca="false">IF($A232="","",IFERROR(IF(INDEX(drops!$R$2:$R$21,MATCH($H232,drops!$A$2:$A$21,0))="","",INDEX(drops!$R$2:$R$21,MATCH($H232,drops!$A$2:$A$21,0))),""))</f>
        <v/>
      </c>
      <c r="BB232" s="30" t="n">
        <f aca="false">IF(OR($A232="",$Q232&lt;&gt;"Y"),1000000,N($AL232))</f>
        <v>1000000</v>
      </c>
      <c r="BC232" s="30" t="str">
        <f aca="false">IF($A232="","",IF(COUNTIF(survey_frozen!$P$2:$P$251,$A232&amp;"|"&amp;$B232)&gt;0,"Y",""))</f>
        <v/>
      </c>
      <c r="BD232" s="30" t="str">
        <f aca="false">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ustomFormat="false" ht="15" hidden="false" customHeight="false" outlineLevel="0" collapsed="false">
      <c r="C233" s="11"/>
      <c r="D233" s="10"/>
      <c r="E233" s="11"/>
      <c r="H233" s="30" t="str">
        <f aca="false">IF($A233="","",IFERROR(IF(INDEX(campaigns!$B$2:$B$51,MATCH($A233,campaigns!$A$2:$A$51,0))="","",INDEX(campaigns!$B$2:$B$51,MATCH($A233,campaigns!$A$2:$A$51,0))),""))</f>
        <v/>
      </c>
      <c r="I233" s="31" t="str">
        <f aca="false">IF($A233="","",IFERROR(IF(INDEX(campaigns!$BG$2:$BG$51,MATCH($A233,campaigns!$A$2:$A$51,0))="","",INDEX(campaigns!$BG$2:$BG$51,MATCH($A233,campaigns!$A$2:$A$51,0))),""))</f>
        <v/>
      </c>
      <c r="J233" s="30" t="str">
        <f aca="false">IF($A233="","",IFERROR(IF(INDEX(campaigns!$BE$2:$BE$51,MATCH($A233,campaigns!$A$2:$A$51,0))="","",INDEX(campaigns!$BE$2:$BE$51,MATCH($A233,campaigns!$A$2:$A$51,0))),""))</f>
        <v/>
      </c>
      <c r="K233" s="30" t="str">
        <f aca="false">IF($B233="","",IFERROR(IF(INDEX(offices!$O$2:$O$61,MATCH($B233,offices!$A$2:$A$61,0))="","",INDEX(offices!$O$2:$O$61,MATCH($B233,offices!$A$2:$A$61,0))),""))</f>
        <v/>
      </c>
      <c r="L233" s="30" t="str">
        <f aca="false">IF($A233="","",IF($Q233="N","",COUNTIFS($A$2:$A233,$A233,$Q$2:$Q233,"&lt;&gt;N")))</f>
        <v/>
      </c>
      <c r="M233" s="30" t="str">
        <f aca="false">IF(OR($A233="",$L233=""),"",IF(AND(config!$B$34="names_if_public",IFERROR(IF(INDEX(offices!$AG$2:$AG$61,MATCH($B233,offices!$A$2:$A$61,0))="","",INDEX(offices!$AG$2:$AG$61,MATCH($B233,offices!$A$2:$A$61,0))),"")="Y"),$K233,CHAR(64+$L233)))</f>
        <v/>
      </c>
      <c r="N233" s="30" t="str">
        <f aca="false">IF(OR($A233="",$I233=""),"",COUNTIFS(stops!$B$2:$B$151,$B233,stops!$P$2:$P$151,"&lt;"&amp;$I233,stops!$L$2:$L$151,"&lt;&gt;not_delivered")+1)</f>
        <v/>
      </c>
      <c r="O233" s="30" t="str">
        <f aca="false">IF($A233="","",IF(N($N233)&lt;=config!$B$29,"explicit","opt-out"))</f>
        <v/>
      </c>
      <c r="P233" s="30" t="str">
        <f aca="false">IF($A233="","",IF($O233="explicit",IF($D233="yes","Y",IF($D233="no","N","pending")),IF($D233="no","N",IF(AND($C233&lt;&gt;"",$I233&lt;&gt;"",$C233&lt;=WORKDAY(N($I233),-5,calendar!$A$2:$A$80)),"Y","pending"))))</f>
        <v/>
      </c>
      <c r="Q233" s="30" t="str">
        <f aca="false">IF($A233="","",IF($P233="N","N",IF($P233&lt;&gt;"Y","pending",IF(AND((COUNTIFS(stops!$A$2:$A$151,$H233,stops!$B$2:$B$151,$B233,stops!$L$2:$L$151,"declined")+COUNTIFS(stops!$A$2:$A$151,$H233,stops!$B$2:$B$151,$B233,stops!$L$2:$L$151,"building_refused")+COUNTIFS(stops!$A$2:$A$151,$H233,stops!$B$2:$B$151,$B233,stops!$L$2:$L$151,"not_delivered"))&gt;0,N($U233)=0),"N","Y"))))</f>
        <v/>
      </c>
      <c r="R233" s="30" t="str">
        <f aca="false">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30" t="str">
        <f aca="false">IF($A233="","",IF($G233&lt;&gt;"",$G233,IFERROR(IF(INDEX(offices!$AM$2:$AM$61,MATCH($B233,offices!$A$2:$A$61,0))="","",INDEX(offices!$AM$2:$AM$61,MATCH($B233,offices!$A$2:$A$61,0))),"")))</f>
        <v/>
      </c>
      <c r="T233" s="30" t="str">
        <f aca="false">IF($A233="","",$A233&amp;"."&amp;$B233)</f>
        <v/>
      </c>
      <c r="U233" s="30" t="str">
        <f aca="false">IF($A233="","",SUMIFS(inventory!$G$2:$G$801,inventory!$C$2:$C$801,$A233,inventory!$D$2:$D$801,$B233,inventory!$E$2:$E$801,"delivered"))</f>
        <v/>
      </c>
      <c r="V233" s="37" t="str">
        <f aca="false">IF($A233="","",IFERROR(1/(1/SUMPRODUCT(MAX((inventory!$C$2:$C$801=$A233)*(inventory!$D$2:$D$801=$B233)*(inventory!$E$2:$E$801="delivered")*(inventory!$A$2:$A$801+inventory!$B$2:$B$801)))),""))</f>
        <v/>
      </c>
      <c r="W233" s="30" t="str">
        <f aca="false">IF($A233="","",IFERROR(IF(INDEX(inventory!$J$2:$J$801,MATCH($A233&amp;"|"&amp;$B233&amp;"|delivered",inventory!$R$2:$R$801,0))="","",INDEX(inventory!$J$2:$J$801,MATCH($A233&amp;"|"&amp;$B233&amp;"|delivered",inventory!$R$2:$R$801,0))),""))</f>
        <v/>
      </c>
      <c r="X233" s="30" t="str">
        <f aca="false">IF($A233="","",IFERROR(IF(INDEX(photos!$H$2:$H$701,MATCH($A233&amp;"|"&amp;$B233&amp;"|placement|Y",photos!$R$2:$R$701,0))="","",INDEX(photos!$H$2:$H$701,MATCH($A233&amp;"|"&amp;$B233&amp;"|placement|Y",photos!$R$2:$R$701,0))),""))</f>
        <v/>
      </c>
      <c r="Y233" s="31" t="str">
        <f aca="false">IF($A233="","",IFERROR(IF(INDEX(photos!$E$2:$E$701,MATCH($A233&amp;"|"&amp;$B233&amp;"|placement|Y",photos!$R$2:$R$701,0))="","",INDEX(photos!$E$2:$E$701,MATCH($A233&amp;"|"&amp;$B233&amp;"|placement|Y",photos!$R$2:$R$701,0))),""))</f>
        <v/>
      </c>
      <c r="Z233" s="30" t="str">
        <f aca="false">IF($A233="","",IF(COUNTIFS(counts!$C$2:$C$701,$A233,counts!$D$2:$D$701,$B233,counts!$E$2:$E$701,"placed")=0,"",SUMIFS(counts!$F$2:$F$701,counts!$C$2:$C$701,$A233,counts!$D$2:$D$701,$B233,counts!$E$2:$E$701,"placed")))</f>
        <v/>
      </c>
      <c r="AA233" s="30" t="str">
        <f aca="false">IF($A233="","",IF($Y233="",0,N($Z233)))</f>
        <v/>
      </c>
      <c r="AB233" s="30" t="str">
        <f aca="false">IF($A233="","",IF(OR($Y233="",$I233=""),"N",IF($Y233&lt;=WORKDAY(N($I233),1,calendar!$A$2:$A$80),"Y","N")))</f>
        <v/>
      </c>
      <c r="AC233" s="33" t="str">
        <f aca="false">IF(OR($A233="",$V233="",$Y233=""),"",ROUND(($Y233+N(IFERROR(IF(INDEX(photos!$F$2:$F$701,MATCH($A233&amp;"|"&amp;$B233&amp;"|placement|Y",photos!$R$2:$R$701,0))="","",INDEX(photos!$F$2:$F$701,MATCH($A233&amp;"|"&amp;$B233&amp;"|placement|Y",photos!$R$2:$R$701,0))),""))-$V233)*24,1))</f>
        <v/>
      </c>
      <c r="AD233" s="30" t="str">
        <f aca="false">IF($A233="","",SUMIFS(inventory!$G$2:$G$801,inventory!$C$2:$C$801,$A233,inventory!$D$2:$D$801,$B233,inventory!$E$2:$E$801,"topped_up"))</f>
        <v/>
      </c>
      <c r="AE233" s="30" t="str">
        <f aca="false">IF($A233="","",IF(COUNTIFS(counts!$C$2:$C$701,$A233,counts!$D$2:$D$701,$B233,counts!$E$2:$E$701,"remaining_day3")=0,"",SUMIFS(counts!$F$2:$F$701,counts!$C$2:$C$701,$A233,counts!$D$2:$D$701,$B233,counts!$E$2:$E$701,"remaining_day3")))</f>
        <v/>
      </c>
      <c r="AF233" s="30" t="str">
        <f aca="false">IF($A233="","",IF(COUNTIFS(counts!$C$2:$C$701,$A233,counts!$D$2:$D$701,$B233,counts!$E$2:$E$701,"remaining_day5")=0,"",SUMIFS(counts!$F$2:$F$701,counts!$C$2:$C$701,$A233,counts!$D$2:$D$701,$B233,counts!$E$2:$E$701,"remaining_day5")))</f>
        <v/>
      </c>
      <c r="AG233" s="30" t="str">
        <f aca="false">IF(OR($A233="",$AF233=""),"",MAX(0,$AA233+$AD233-$AF233))</f>
        <v/>
      </c>
      <c r="AH233" s="30" t="str">
        <f aca="false">IF(OR($A233="",$AI233=""),"",IFERROR(IF(INDEX(photos!$H$2:$H$701,MATCH($A233&amp;"|"&amp;$B233&amp;"|later|Y|"&amp;$AI233,photos!$S$2:$S$701,0))="","",INDEX(photos!$H$2:$H$701,MATCH($A233&amp;"|"&amp;$B233&amp;"|later|Y|"&amp;$AI233,photos!$S$2:$S$701,0))),""))</f>
        <v/>
      </c>
      <c r="AI233" s="31" t="str">
        <f aca="false">IF($A233="","",IFERROR(1/(1/SUMPRODUCT(MAX((photos!$B$2:$B$701=$A233)*(photos!$C$2:$C$701=$B233)*(photos!$D$2:$D$701="later")*(photos!$O$2:$O$701="Y")*photos!$E$2:$E$701))),""))</f>
        <v/>
      </c>
      <c r="AJ233" s="30" t="str">
        <f aca="false">IF(OR($A233="",$AI233="",$I233=""),"",NETWORKDAYS($I233,$AI233,calendar!$A$2:$A$80))</f>
        <v/>
      </c>
      <c r="AK233" s="30" t="str">
        <f aca="false">IF($A233="","",IF(AND($X233&lt;&gt;"",$AH233&lt;&gt;""),"Y","N"))</f>
        <v/>
      </c>
      <c r="AL233" s="30" t="str">
        <f aca="true">IF(OR($A233="",$I233=""),"",IF($BC233="Y",SUMIFS(survey_frozen!$C$2:$C$251,survey_frozen!$P$2:$P$251,$A233&amp;"|"&amp;$B233),IFERROR(COUNTIFS(INDIRECT("'"&amp;$A233&amp;"'!$B$2:$B$501"),$T233,INDIRECT("'"&amp;$A233&amp;"'!$A$2:$A$501"),"&gt;="&amp;$I233,INDIRECT("'"&amp;$A233&amp;"'!$A$2:$A$501"),"&lt;"&amp;($BA233+1)),0)))</f>
        <v/>
      </c>
      <c r="AM233" s="30" t="str">
        <f aca="true">IF(OR($A233="",$I233=""),"",IF($BC233="Y",SUMIFS(survey_frozen!$D$2:$D$251,survey_frozen!$P$2:$P$251,$A233&amp;"|"&amp;$B233),IFERROR(COUNTIFS(INDIRECT("'"&amp;$A233&amp;"'!$B$2:$B$501"),$T233,INDIRECT("'"&amp;$A233&amp;"'!$A$2:$A$501"),"&gt;="&amp;$I233,INDIRECT("'"&amp;$A233&amp;"'!$A$2:$A$501"),"&lt;"&amp;($BA233+1),INDIRECT("'"&amp;$A233&amp;"'!$C$2:$C$501"),"Yes"),0)))</f>
        <v/>
      </c>
      <c r="AN233" s="30" t="str">
        <f aca="false">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30" t="str">
        <f aca="false">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30" t="str">
        <f aca="true">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30" t="str">
        <f aca="true">IF(OR($A233="",$I233=""),"",IF($BC233="Y",SUMIFS(survey_frozen!$E$2:$E$251,survey_frozen!$P$2:$P$251,$A233&amp;"|"&amp;$B233),IFERROR(COUNTIFS(INDIRECT("'"&amp;$A233&amp;"'!$B$2:$B$501"),$T233,INDIRECT("'"&amp;$A233&amp;"'!$A$2:$A$501"),"&gt;="&amp;$I233,INDIRECT("'"&amp;$A233&amp;"'!$A$2:$A$501"),"&lt;"&amp;($BA233+1),INDIRECT("'"&amp;$A233&amp;"'!$F$2:$F$501"),"Didn't see it"),0)))</f>
        <v/>
      </c>
      <c r="AR233" s="30" t="str">
        <f aca="true">IF(OR($A233="",$I233=""),"",IF($BC233="Y",SUMIFS(survey_frozen!$F$2:$F$251,survey_frozen!$P$2:$P$251,$A233&amp;"|"&amp;$B233),IFERROR(COUNTIFS(INDIRECT("'"&amp;$A233&amp;"'!$B$2:$B$501"),$T233,INDIRECT("'"&amp;$A233&amp;"'!$A$2:$A$501"),"&gt;="&amp;$I233,INDIRECT("'"&amp;$A233&amp;"'!$A$2:$A$501"),"&lt;"&amp;($BA233+1),INDIRECT("'"&amp;$A233&amp;"'!$F$2:$F$501"),"Not for me"),0)))</f>
        <v/>
      </c>
      <c r="AS233" s="30" t="str">
        <f aca="true">IF(OR($A233="",$I233=""),"",IF($BC233="Y",SUMIFS(survey_frozen!$G$2:$G$251,survey_frozen!$P$2:$P$251,$A233&amp;"|"&amp;$B233),IFERROR(COUNTIFS(INDIRECT("'"&amp;$A233&amp;"'!$B$2:$B$501"),$T233,INDIRECT("'"&amp;$A233&amp;"'!$A$2:$A$501"),"&gt;="&amp;$I233,INDIRECT("'"&amp;$A233&amp;"'!$A$2:$A$501"),"&lt;"&amp;($BA233+1),INDIRECT("'"&amp;$A233&amp;"'!$F$2:$F$501"),"Gone by the time I looked"),0)))</f>
        <v/>
      </c>
      <c r="AT233" s="30" t="str">
        <f aca="true">IF(OR($A233="",$I233=""),"",IF($BC233="Y",SUMIFS(survey_frozen!$H$2:$H$251,survey_frozen!$P$2:$P$251,$A233&amp;"|"&amp;$B233),IFERROR(COUNTIFS(INDIRECT("'"&amp;$A233&amp;"'!$B$2:$B$501"),$T233,INDIRECT("'"&amp;$A233&amp;"'!$A$2:$A$501"),"&gt;="&amp;$I233,INDIRECT("'"&amp;$A233&amp;"'!$A$2:$A$501"),"&lt;"&amp;($BA233+1),INDIRECT("'"&amp;$A233&amp;"'!$D$2:$D$501"),"&gt;=1"),0)))</f>
        <v/>
      </c>
      <c r="AU233" s="30" t="str">
        <f aca="true">IF(OR($A233="",$I233=""),"",IF($BC233="Y",SUMIFS(survey_frozen!$I$2:$I$251,survey_frozen!$P$2:$P$251,$A233&amp;"|"&amp;$B233),IFERROR(SUMIFS(INDIRECT("'"&amp;$A233&amp;"'!$D$2:$D$501"),INDIRECT("'"&amp;$A233&amp;"'!$B$2:$B$501"),$T233,INDIRECT("'"&amp;$A233&amp;"'!$A$2:$A$501"),"&gt;="&amp;$I233,INDIRECT("'"&amp;$A233&amp;"'!$A$2:$A$501"),"&lt;"&amp;($BA233+1)),0)))</f>
        <v/>
      </c>
      <c r="AV233" s="30" t="str">
        <f aca="true">IF(OR($A233="",$I233=""),"",IF($BC233="Y",SUMIFS(survey_frozen!$J$2:$J$251,survey_frozen!$P$2:$P$251,$A233&amp;"|"&amp;$B233),IFERROR(COUNTIFS(INDIRECT("'"&amp;$A233&amp;"'!$B$2:$B$501"),$T233,INDIRECT("'"&amp;$A233&amp;"'!$A$2:$A$501"),"&gt;="&amp;$I233,INDIRECT("'"&amp;$A233&amp;"'!$A$2:$A$501"),"&lt;"&amp;($BA233+1),INDIRECT("'"&amp;$A233&amp;"'!$E$2:$E$501"),"Yes"),0)))</f>
        <v/>
      </c>
      <c r="AW233" s="30" t="str">
        <f aca="true">IF(OR($A233="",$I233=""),"",IF($BC233="Y",SUMIFS(survey_frozen!$K$2:$K$251,survey_frozen!$P$2:$P$251,$A233&amp;"|"&amp;$B233),IFERROR(COUNTIFS(INDIRECT("'"&amp;$A233&amp;"'!$B$2:$B$501"),$T233,INDIRECT("'"&amp;$A233&amp;"'!$A$2:$A$501"),"&gt;="&amp;$I233,INDIRECT("'"&amp;$A233&amp;"'!$A$2:$A$501"),"&lt;"&amp;($BA233+1),INDIRECT("'"&amp;$A233&amp;"'!$E$2:$E$501"),"Maybe"),0)))</f>
        <v/>
      </c>
      <c r="AX233" s="30" t="str">
        <f aca="true">IF(OR($A233="",$I233=""),"",IF($BC233="Y",SUMIFS(survey_frozen!$L$2:$L$251,survey_frozen!$P$2:$P$251,$A233&amp;"|"&amp;$B233),IFERROR(COUNTIFS(INDIRECT("'"&amp;$A233&amp;"'!$B$2:$B$501"),$T233,INDIRECT("'"&amp;$A233&amp;"'!$A$2:$A$501"),"&gt;="&amp;$I233,INDIRECT("'"&amp;$A233&amp;"'!$A$2:$A$501"),"&lt;"&amp;($BA233+1),INDIRECT("'"&amp;$A233&amp;"'!$E$2:$E$501"),"No"),0)))</f>
        <v/>
      </c>
      <c r="AY233" s="30" t="str">
        <f aca="true">IF(OR($A233="",$I233=""),"",IF($BC233="Y",SUMIFS(survey_frozen!$M$2:$M$251,survey_frozen!$P$2:$P$251,$A233&amp;"|"&amp;$B233),IFERROR(COUNTIFS(INDIRECT("'"&amp;$A233&amp;"'!$B$2:$B$501"),$T233,INDIRECT("'"&amp;$A233&amp;"'!$A$2:$A$501"),"&gt;="&amp;$I233,INDIRECT("'"&amp;$A233&amp;"'!$A$2:$A$501"),"&lt;"&amp;($BA233+1),INDIRECT("'"&amp;$A233&amp;"'!$G$2:$G$501"),"&lt;&gt;"),0)))</f>
        <v/>
      </c>
      <c r="AZ233" s="30" t="str">
        <f aca="false">IF($A233="","",$A233&amp;"|"&amp;$L233)</f>
        <v/>
      </c>
      <c r="BA233" s="31" t="str">
        <f aca="false">IF($A233="","",IFERROR(IF(INDEX(drops!$R$2:$R$21,MATCH($H233,drops!$A$2:$A$21,0))="","",INDEX(drops!$R$2:$R$21,MATCH($H233,drops!$A$2:$A$21,0))),""))</f>
        <v/>
      </c>
      <c r="BB233" s="30" t="n">
        <f aca="false">IF(OR($A233="",$Q233&lt;&gt;"Y"),1000000,N($AL233))</f>
        <v>1000000</v>
      </c>
      <c r="BC233" s="30" t="str">
        <f aca="false">IF($A233="","",IF(COUNTIF(survey_frozen!$P$2:$P$251,$A233&amp;"|"&amp;$B233)&gt;0,"Y",""))</f>
        <v/>
      </c>
      <c r="BD233" s="30" t="str">
        <f aca="false">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ustomFormat="false" ht="15" hidden="false" customHeight="false" outlineLevel="0" collapsed="false">
      <c r="C234" s="11"/>
      <c r="D234" s="10"/>
      <c r="E234" s="11"/>
      <c r="H234" s="30" t="str">
        <f aca="false">IF($A234="","",IFERROR(IF(INDEX(campaigns!$B$2:$B$51,MATCH($A234,campaigns!$A$2:$A$51,0))="","",INDEX(campaigns!$B$2:$B$51,MATCH($A234,campaigns!$A$2:$A$51,0))),""))</f>
        <v/>
      </c>
      <c r="I234" s="31" t="str">
        <f aca="false">IF($A234="","",IFERROR(IF(INDEX(campaigns!$BG$2:$BG$51,MATCH($A234,campaigns!$A$2:$A$51,0))="","",INDEX(campaigns!$BG$2:$BG$51,MATCH($A234,campaigns!$A$2:$A$51,0))),""))</f>
        <v/>
      </c>
      <c r="J234" s="30" t="str">
        <f aca="false">IF($A234="","",IFERROR(IF(INDEX(campaigns!$BE$2:$BE$51,MATCH($A234,campaigns!$A$2:$A$51,0))="","",INDEX(campaigns!$BE$2:$BE$51,MATCH($A234,campaigns!$A$2:$A$51,0))),""))</f>
        <v/>
      </c>
      <c r="K234" s="30" t="str">
        <f aca="false">IF($B234="","",IFERROR(IF(INDEX(offices!$O$2:$O$61,MATCH($B234,offices!$A$2:$A$61,0))="","",INDEX(offices!$O$2:$O$61,MATCH($B234,offices!$A$2:$A$61,0))),""))</f>
        <v/>
      </c>
      <c r="L234" s="30" t="str">
        <f aca="false">IF($A234="","",IF($Q234="N","",COUNTIFS($A$2:$A234,$A234,$Q$2:$Q234,"&lt;&gt;N")))</f>
        <v/>
      </c>
      <c r="M234" s="30" t="str">
        <f aca="false">IF(OR($A234="",$L234=""),"",IF(AND(config!$B$34="names_if_public",IFERROR(IF(INDEX(offices!$AG$2:$AG$61,MATCH($B234,offices!$A$2:$A$61,0))="","",INDEX(offices!$AG$2:$AG$61,MATCH($B234,offices!$A$2:$A$61,0))),"")="Y"),$K234,CHAR(64+$L234)))</f>
        <v/>
      </c>
      <c r="N234" s="30" t="str">
        <f aca="false">IF(OR($A234="",$I234=""),"",COUNTIFS(stops!$B$2:$B$151,$B234,stops!$P$2:$P$151,"&lt;"&amp;$I234,stops!$L$2:$L$151,"&lt;&gt;not_delivered")+1)</f>
        <v/>
      </c>
      <c r="O234" s="30" t="str">
        <f aca="false">IF($A234="","",IF(N($N234)&lt;=config!$B$29,"explicit","opt-out"))</f>
        <v/>
      </c>
      <c r="P234" s="30" t="str">
        <f aca="false">IF($A234="","",IF($O234="explicit",IF($D234="yes","Y",IF($D234="no","N","pending")),IF($D234="no","N",IF(AND($C234&lt;&gt;"",$I234&lt;&gt;"",$C234&lt;=WORKDAY(N($I234),-5,calendar!$A$2:$A$80)),"Y","pending"))))</f>
        <v/>
      </c>
      <c r="Q234" s="30" t="str">
        <f aca="false">IF($A234="","",IF($P234="N","N",IF($P234&lt;&gt;"Y","pending",IF(AND((COUNTIFS(stops!$A$2:$A$151,$H234,stops!$B$2:$B$151,$B234,stops!$L$2:$L$151,"declined")+COUNTIFS(stops!$A$2:$A$151,$H234,stops!$B$2:$B$151,$B234,stops!$L$2:$L$151,"building_refused")+COUNTIFS(stops!$A$2:$A$151,$H234,stops!$B$2:$B$151,$B234,stops!$L$2:$L$151,"not_delivered"))&gt;0,N($U234)=0),"N","Y"))))</f>
        <v/>
      </c>
      <c r="R234" s="30" t="str">
        <f aca="false">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30" t="str">
        <f aca="false">IF($A234="","",IF($G234&lt;&gt;"",$G234,IFERROR(IF(INDEX(offices!$AM$2:$AM$61,MATCH($B234,offices!$A$2:$A$61,0))="","",INDEX(offices!$AM$2:$AM$61,MATCH($B234,offices!$A$2:$A$61,0))),"")))</f>
        <v/>
      </c>
      <c r="T234" s="30" t="str">
        <f aca="false">IF($A234="","",$A234&amp;"."&amp;$B234)</f>
        <v/>
      </c>
      <c r="U234" s="30" t="str">
        <f aca="false">IF($A234="","",SUMIFS(inventory!$G$2:$G$801,inventory!$C$2:$C$801,$A234,inventory!$D$2:$D$801,$B234,inventory!$E$2:$E$801,"delivered"))</f>
        <v/>
      </c>
      <c r="V234" s="37" t="str">
        <f aca="false">IF($A234="","",IFERROR(1/(1/SUMPRODUCT(MAX((inventory!$C$2:$C$801=$A234)*(inventory!$D$2:$D$801=$B234)*(inventory!$E$2:$E$801="delivered")*(inventory!$A$2:$A$801+inventory!$B$2:$B$801)))),""))</f>
        <v/>
      </c>
      <c r="W234" s="30" t="str">
        <f aca="false">IF($A234="","",IFERROR(IF(INDEX(inventory!$J$2:$J$801,MATCH($A234&amp;"|"&amp;$B234&amp;"|delivered",inventory!$R$2:$R$801,0))="","",INDEX(inventory!$J$2:$J$801,MATCH($A234&amp;"|"&amp;$B234&amp;"|delivered",inventory!$R$2:$R$801,0))),""))</f>
        <v/>
      </c>
      <c r="X234" s="30" t="str">
        <f aca="false">IF($A234="","",IFERROR(IF(INDEX(photos!$H$2:$H$701,MATCH($A234&amp;"|"&amp;$B234&amp;"|placement|Y",photos!$R$2:$R$701,0))="","",INDEX(photos!$H$2:$H$701,MATCH($A234&amp;"|"&amp;$B234&amp;"|placement|Y",photos!$R$2:$R$701,0))),""))</f>
        <v/>
      </c>
      <c r="Y234" s="31" t="str">
        <f aca="false">IF($A234="","",IFERROR(IF(INDEX(photos!$E$2:$E$701,MATCH($A234&amp;"|"&amp;$B234&amp;"|placement|Y",photos!$R$2:$R$701,0))="","",INDEX(photos!$E$2:$E$701,MATCH($A234&amp;"|"&amp;$B234&amp;"|placement|Y",photos!$R$2:$R$701,0))),""))</f>
        <v/>
      </c>
      <c r="Z234" s="30" t="str">
        <f aca="false">IF($A234="","",IF(COUNTIFS(counts!$C$2:$C$701,$A234,counts!$D$2:$D$701,$B234,counts!$E$2:$E$701,"placed")=0,"",SUMIFS(counts!$F$2:$F$701,counts!$C$2:$C$701,$A234,counts!$D$2:$D$701,$B234,counts!$E$2:$E$701,"placed")))</f>
        <v/>
      </c>
      <c r="AA234" s="30" t="str">
        <f aca="false">IF($A234="","",IF($Y234="",0,N($Z234)))</f>
        <v/>
      </c>
      <c r="AB234" s="30" t="str">
        <f aca="false">IF($A234="","",IF(OR($Y234="",$I234=""),"N",IF($Y234&lt;=WORKDAY(N($I234),1,calendar!$A$2:$A$80),"Y","N")))</f>
        <v/>
      </c>
      <c r="AC234" s="33" t="str">
        <f aca="false">IF(OR($A234="",$V234="",$Y234=""),"",ROUND(($Y234+N(IFERROR(IF(INDEX(photos!$F$2:$F$701,MATCH($A234&amp;"|"&amp;$B234&amp;"|placement|Y",photos!$R$2:$R$701,0))="","",INDEX(photos!$F$2:$F$701,MATCH($A234&amp;"|"&amp;$B234&amp;"|placement|Y",photos!$R$2:$R$701,0))),""))-$V234)*24,1))</f>
        <v/>
      </c>
      <c r="AD234" s="30" t="str">
        <f aca="false">IF($A234="","",SUMIFS(inventory!$G$2:$G$801,inventory!$C$2:$C$801,$A234,inventory!$D$2:$D$801,$B234,inventory!$E$2:$E$801,"topped_up"))</f>
        <v/>
      </c>
      <c r="AE234" s="30" t="str">
        <f aca="false">IF($A234="","",IF(COUNTIFS(counts!$C$2:$C$701,$A234,counts!$D$2:$D$701,$B234,counts!$E$2:$E$701,"remaining_day3")=0,"",SUMIFS(counts!$F$2:$F$701,counts!$C$2:$C$701,$A234,counts!$D$2:$D$701,$B234,counts!$E$2:$E$701,"remaining_day3")))</f>
        <v/>
      </c>
      <c r="AF234" s="30" t="str">
        <f aca="false">IF($A234="","",IF(COUNTIFS(counts!$C$2:$C$701,$A234,counts!$D$2:$D$701,$B234,counts!$E$2:$E$701,"remaining_day5")=0,"",SUMIFS(counts!$F$2:$F$701,counts!$C$2:$C$701,$A234,counts!$D$2:$D$701,$B234,counts!$E$2:$E$701,"remaining_day5")))</f>
        <v/>
      </c>
      <c r="AG234" s="30" t="str">
        <f aca="false">IF(OR($A234="",$AF234=""),"",MAX(0,$AA234+$AD234-$AF234))</f>
        <v/>
      </c>
      <c r="AH234" s="30" t="str">
        <f aca="false">IF(OR($A234="",$AI234=""),"",IFERROR(IF(INDEX(photos!$H$2:$H$701,MATCH($A234&amp;"|"&amp;$B234&amp;"|later|Y|"&amp;$AI234,photos!$S$2:$S$701,0))="","",INDEX(photos!$H$2:$H$701,MATCH($A234&amp;"|"&amp;$B234&amp;"|later|Y|"&amp;$AI234,photos!$S$2:$S$701,0))),""))</f>
        <v/>
      </c>
      <c r="AI234" s="31" t="str">
        <f aca="false">IF($A234="","",IFERROR(1/(1/SUMPRODUCT(MAX((photos!$B$2:$B$701=$A234)*(photos!$C$2:$C$701=$B234)*(photos!$D$2:$D$701="later")*(photos!$O$2:$O$701="Y")*photos!$E$2:$E$701))),""))</f>
        <v/>
      </c>
      <c r="AJ234" s="30" t="str">
        <f aca="false">IF(OR($A234="",$AI234="",$I234=""),"",NETWORKDAYS($I234,$AI234,calendar!$A$2:$A$80))</f>
        <v/>
      </c>
      <c r="AK234" s="30" t="str">
        <f aca="false">IF($A234="","",IF(AND($X234&lt;&gt;"",$AH234&lt;&gt;""),"Y","N"))</f>
        <v/>
      </c>
      <c r="AL234" s="30" t="str">
        <f aca="true">IF(OR($A234="",$I234=""),"",IF($BC234="Y",SUMIFS(survey_frozen!$C$2:$C$251,survey_frozen!$P$2:$P$251,$A234&amp;"|"&amp;$B234),IFERROR(COUNTIFS(INDIRECT("'"&amp;$A234&amp;"'!$B$2:$B$501"),$T234,INDIRECT("'"&amp;$A234&amp;"'!$A$2:$A$501"),"&gt;="&amp;$I234,INDIRECT("'"&amp;$A234&amp;"'!$A$2:$A$501"),"&lt;"&amp;($BA234+1)),0)))</f>
        <v/>
      </c>
      <c r="AM234" s="30" t="str">
        <f aca="true">IF(OR($A234="",$I234=""),"",IF($BC234="Y",SUMIFS(survey_frozen!$D$2:$D$251,survey_frozen!$P$2:$P$251,$A234&amp;"|"&amp;$B234),IFERROR(COUNTIFS(INDIRECT("'"&amp;$A234&amp;"'!$B$2:$B$501"),$T234,INDIRECT("'"&amp;$A234&amp;"'!$A$2:$A$501"),"&gt;="&amp;$I234,INDIRECT("'"&amp;$A234&amp;"'!$A$2:$A$501"),"&lt;"&amp;($BA234+1),INDIRECT("'"&amp;$A234&amp;"'!$C$2:$C$501"),"Yes"),0)))</f>
        <v/>
      </c>
      <c r="AN234" s="30" t="str">
        <f aca="false">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30" t="str">
        <f aca="false">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30" t="str">
        <f aca="true">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30" t="str">
        <f aca="true">IF(OR($A234="",$I234=""),"",IF($BC234="Y",SUMIFS(survey_frozen!$E$2:$E$251,survey_frozen!$P$2:$P$251,$A234&amp;"|"&amp;$B234),IFERROR(COUNTIFS(INDIRECT("'"&amp;$A234&amp;"'!$B$2:$B$501"),$T234,INDIRECT("'"&amp;$A234&amp;"'!$A$2:$A$501"),"&gt;="&amp;$I234,INDIRECT("'"&amp;$A234&amp;"'!$A$2:$A$501"),"&lt;"&amp;($BA234+1),INDIRECT("'"&amp;$A234&amp;"'!$F$2:$F$501"),"Didn't see it"),0)))</f>
        <v/>
      </c>
      <c r="AR234" s="30" t="str">
        <f aca="true">IF(OR($A234="",$I234=""),"",IF($BC234="Y",SUMIFS(survey_frozen!$F$2:$F$251,survey_frozen!$P$2:$P$251,$A234&amp;"|"&amp;$B234),IFERROR(COUNTIFS(INDIRECT("'"&amp;$A234&amp;"'!$B$2:$B$501"),$T234,INDIRECT("'"&amp;$A234&amp;"'!$A$2:$A$501"),"&gt;="&amp;$I234,INDIRECT("'"&amp;$A234&amp;"'!$A$2:$A$501"),"&lt;"&amp;($BA234+1),INDIRECT("'"&amp;$A234&amp;"'!$F$2:$F$501"),"Not for me"),0)))</f>
        <v/>
      </c>
      <c r="AS234" s="30" t="str">
        <f aca="true">IF(OR($A234="",$I234=""),"",IF($BC234="Y",SUMIFS(survey_frozen!$G$2:$G$251,survey_frozen!$P$2:$P$251,$A234&amp;"|"&amp;$B234),IFERROR(COUNTIFS(INDIRECT("'"&amp;$A234&amp;"'!$B$2:$B$501"),$T234,INDIRECT("'"&amp;$A234&amp;"'!$A$2:$A$501"),"&gt;="&amp;$I234,INDIRECT("'"&amp;$A234&amp;"'!$A$2:$A$501"),"&lt;"&amp;($BA234+1),INDIRECT("'"&amp;$A234&amp;"'!$F$2:$F$501"),"Gone by the time I looked"),0)))</f>
        <v/>
      </c>
      <c r="AT234" s="30" t="str">
        <f aca="true">IF(OR($A234="",$I234=""),"",IF($BC234="Y",SUMIFS(survey_frozen!$H$2:$H$251,survey_frozen!$P$2:$P$251,$A234&amp;"|"&amp;$B234),IFERROR(COUNTIFS(INDIRECT("'"&amp;$A234&amp;"'!$B$2:$B$501"),$T234,INDIRECT("'"&amp;$A234&amp;"'!$A$2:$A$501"),"&gt;="&amp;$I234,INDIRECT("'"&amp;$A234&amp;"'!$A$2:$A$501"),"&lt;"&amp;($BA234+1),INDIRECT("'"&amp;$A234&amp;"'!$D$2:$D$501"),"&gt;=1"),0)))</f>
        <v/>
      </c>
      <c r="AU234" s="30" t="str">
        <f aca="true">IF(OR($A234="",$I234=""),"",IF($BC234="Y",SUMIFS(survey_frozen!$I$2:$I$251,survey_frozen!$P$2:$P$251,$A234&amp;"|"&amp;$B234),IFERROR(SUMIFS(INDIRECT("'"&amp;$A234&amp;"'!$D$2:$D$501"),INDIRECT("'"&amp;$A234&amp;"'!$B$2:$B$501"),$T234,INDIRECT("'"&amp;$A234&amp;"'!$A$2:$A$501"),"&gt;="&amp;$I234,INDIRECT("'"&amp;$A234&amp;"'!$A$2:$A$501"),"&lt;"&amp;($BA234+1)),0)))</f>
        <v/>
      </c>
      <c r="AV234" s="30" t="str">
        <f aca="true">IF(OR($A234="",$I234=""),"",IF($BC234="Y",SUMIFS(survey_frozen!$J$2:$J$251,survey_frozen!$P$2:$P$251,$A234&amp;"|"&amp;$B234),IFERROR(COUNTIFS(INDIRECT("'"&amp;$A234&amp;"'!$B$2:$B$501"),$T234,INDIRECT("'"&amp;$A234&amp;"'!$A$2:$A$501"),"&gt;="&amp;$I234,INDIRECT("'"&amp;$A234&amp;"'!$A$2:$A$501"),"&lt;"&amp;($BA234+1),INDIRECT("'"&amp;$A234&amp;"'!$E$2:$E$501"),"Yes"),0)))</f>
        <v/>
      </c>
      <c r="AW234" s="30" t="str">
        <f aca="true">IF(OR($A234="",$I234=""),"",IF($BC234="Y",SUMIFS(survey_frozen!$K$2:$K$251,survey_frozen!$P$2:$P$251,$A234&amp;"|"&amp;$B234),IFERROR(COUNTIFS(INDIRECT("'"&amp;$A234&amp;"'!$B$2:$B$501"),$T234,INDIRECT("'"&amp;$A234&amp;"'!$A$2:$A$501"),"&gt;="&amp;$I234,INDIRECT("'"&amp;$A234&amp;"'!$A$2:$A$501"),"&lt;"&amp;($BA234+1),INDIRECT("'"&amp;$A234&amp;"'!$E$2:$E$501"),"Maybe"),0)))</f>
        <v/>
      </c>
      <c r="AX234" s="30" t="str">
        <f aca="true">IF(OR($A234="",$I234=""),"",IF($BC234="Y",SUMIFS(survey_frozen!$L$2:$L$251,survey_frozen!$P$2:$P$251,$A234&amp;"|"&amp;$B234),IFERROR(COUNTIFS(INDIRECT("'"&amp;$A234&amp;"'!$B$2:$B$501"),$T234,INDIRECT("'"&amp;$A234&amp;"'!$A$2:$A$501"),"&gt;="&amp;$I234,INDIRECT("'"&amp;$A234&amp;"'!$A$2:$A$501"),"&lt;"&amp;($BA234+1),INDIRECT("'"&amp;$A234&amp;"'!$E$2:$E$501"),"No"),0)))</f>
        <v/>
      </c>
      <c r="AY234" s="30" t="str">
        <f aca="true">IF(OR($A234="",$I234=""),"",IF($BC234="Y",SUMIFS(survey_frozen!$M$2:$M$251,survey_frozen!$P$2:$P$251,$A234&amp;"|"&amp;$B234),IFERROR(COUNTIFS(INDIRECT("'"&amp;$A234&amp;"'!$B$2:$B$501"),$T234,INDIRECT("'"&amp;$A234&amp;"'!$A$2:$A$501"),"&gt;="&amp;$I234,INDIRECT("'"&amp;$A234&amp;"'!$A$2:$A$501"),"&lt;"&amp;($BA234+1),INDIRECT("'"&amp;$A234&amp;"'!$G$2:$G$501"),"&lt;&gt;"),0)))</f>
        <v/>
      </c>
      <c r="AZ234" s="30" t="str">
        <f aca="false">IF($A234="","",$A234&amp;"|"&amp;$L234)</f>
        <v/>
      </c>
      <c r="BA234" s="31" t="str">
        <f aca="false">IF($A234="","",IFERROR(IF(INDEX(drops!$R$2:$R$21,MATCH($H234,drops!$A$2:$A$21,0))="","",INDEX(drops!$R$2:$R$21,MATCH($H234,drops!$A$2:$A$21,0))),""))</f>
        <v/>
      </c>
      <c r="BB234" s="30" t="n">
        <f aca="false">IF(OR($A234="",$Q234&lt;&gt;"Y"),1000000,N($AL234))</f>
        <v>1000000</v>
      </c>
      <c r="BC234" s="30" t="str">
        <f aca="false">IF($A234="","",IF(COUNTIF(survey_frozen!$P$2:$P$251,$A234&amp;"|"&amp;$B234)&gt;0,"Y",""))</f>
        <v/>
      </c>
      <c r="BD234" s="30" t="str">
        <f aca="false">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ustomFormat="false" ht="15" hidden="false" customHeight="false" outlineLevel="0" collapsed="false">
      <c r="C235" s="11"/>
      <c r="D235" s="10"/>
      <c r="E235" s="11"/>
      <c r="H235" s="30" t="str">
        <f aca="false">IF($A235="","",IFERROR(IF(INDEX(campaigns!$B$2:$B$51,MATCH($A235,campaigns!$A$2:$A$51,0))="","",INDEX(campaigns!$B$2:$B$51,MATCH($A235,campaigns!$A$2:$A$51,0))),""))</f>
        <v/>
      </c>
      <c r="I235" s="31" t="str">
        <f aca="false">IF($A235="","",IFERROR(IF(INDEX(campaigns!$BG$2:$BG$51,MATCH($A235,campaigns!$A$2:$A$51,0))="","",INDEX(campaigns!$BG$2:$BG$51,MATCH($A235,campaigns!$A$2:$A$51,0))),""))</f>
        <v/>
      </c>
      <c r="J235" s="30" t="str">
        <f aca="false">IF($A235="","",IFERROR(IF(INDEX(campaigns!$BE$2:$BE$51,MATCH($A235,campaigns!$A$2:$A$51,0))="","",INDEX(campaigns!$BE$2:$BE$51,MATCH($A235,campaigns!$A$2:$A$51,0))),""))</f>
        <v/>
      </c>
      <c r="K235" s="30" t="str">
        <f aca="false">IF($B235="","",IFERROR(IF(INDEX(offices!$O$2:$O$61,MATCH($B235,offices!$A$2:$A$61,0))="","",INDEX(offices!$O$2:$O$61,MATCH($B235,offices!$A$2:$A$61,0))),""))</f>
        <v/>
      </c>
      <c r="L235" s="30" t="str">
        <f aca="false">IF($A235="","",IF($Q235="N","",COUNTIFS($A$2:$A235,$A235,$Q$2:$Q235,"&lt;&gt;N")))</f>
        <v/>
      </c>
      <c r="M235" s="30" t="str">
        <f aca="false">IF(OR($A235="",$L235=""),"",IF(AND(config!$B$34="names_if_public",IFERROR(IF(INDEX(offices!$AG$2:$AG$61,MATCH($B235,offices!$A$2:$A$61,0))="","",INDEX(offices!$AG$2:$AG$61,MATCH($B235,offices!$A$2:$A$61,0))),"")="Y"),$K235,CHAR(64+$L235)))</f>
        <v/>
      </c>
      <c r="N235" s="30" t="str">
        <f aca="false">IF(OR($A235="",$I235=""),"",COUNTIFS(stops!$B$2:$B$151,$B235,stops!$P$2:$P$151,"&lt;"&amp;$I235,stops!$L$2:$L$151,"&lt;&gt;not_delivered")+1)</f>
        <v/>
      </c>
      <c r="O235" s="30" t="str">
        <f aca="false">IF($A235="","",IF(N($N235)&lt;=config!$B$29,"explicit","opt-out"))</f>
        <v/>
      </c>
      <c r="P235" s="30" t="str">
        <f aca="false">IF($A235="","",IF($O235="explicit",IF($D235="yes","Y",IF($D235="no","N","pending")),IF($D235="no","N",IF(AND($C235&lt;&gt;"",$I235&lt;&gt;"",$C235&lt;=WORKDAY(N($I235),-5,calendar!$A$2:$A$80)),"Y","pending"))))</f>
        <v/>
      </c>
      <c r="Q235" s="30" t="str">
        <f aca="false">IF($A235="","",IF($P235="N","N",IF($P235&lt;&gt;"Y","pending",IF(AND((COUNTIFS(stops!$A$2:$A$151,$H235,stops!$B$2:$B$151,$B235,stops!$L$2:$L$151,"declined")+COUNTIFS(stops!$A$2:$A$151,$H235,stops!$B$2:$B$151,$B235,stops!$L$2:$L$151,"building_refused")+COUNTIFS(stops!$A$2:$A$151,$H235,stops!$B$2:$B$151,$B235,stops!$L$2:$L$151,"not_delivered"))&gt;0,N($U235)=0),"N","Y"))))</f>
        <v/>
      </c>
      <c r="R235" s="30" t="str">
        <f aca="false">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30" t="str">
        <f aca="false">IF($A235="","",IF($G235&lt;&gt;"",$G235,IFERROR(IF(INDEX(offices!$AM$2:$AM$61,MATCH($B235,offices!$A$2:$A$61,0))="","",INDEX(offices!$AM$2:$AM$61,MATCH($B235,offices!$A$2:$A$61,0))),"")))</f>
        <v/>
      </c>
      <c r="T235" s="30" t="str">
        <f aca="false">IF($A235="","",$A235&amp;"."&amp;$B235)</f>
        <v/>
      </c>
      <c r="U235" s="30" t="str">
        <f aca="false">IF($A235="","",SUMIFS(inventory!$G$2:$G$801,inventory!$C$2:$C$801,$A235,inventory!$D$2:$D$801,$B235,inventory!$E$2:$E$801,"delivered"))</f>
        <v/>
      </c>
      <c r="V235" s="37" t="str">
        <f aca="false">IF($A235="","",IFERROR(1/(1/SUMPRODUCT(MAX((inventory!$C$2:$C$801=$A235)*(inventory!$D$2:$D$801=$B235)*(inventory!$E$2:$E$801="delivered")*(inventory!$A$2:$A$801+inventory!$B$2:$B$801)))),""))</f>
        <v/>
      </c>
      <c r="W235" s="30" t="str">
        <f aca="false">IF($A235="","",IFERROR(IF(INDEX(inventory!$J$2:$J$801,MATCH($A235&amp;"|"&amp;$B235&amp;"|delivered",inventory!$R$2:$R$801,0))="","",INDEX(inventory!$J$2:$J$801,MATCH($A235&amp;"|"&amp;$B235&amp;"|delivered",inventory!$R$2:$R$801,0))),""))</f>
        <v/>
      </c>
      <c r="X235" s="30" t="str">
        <f aca="false">IF($A235="","",IFERROR(IF(INDEX(photos!$H$2:$H$701,MATCH($A235&amp;"|"&amp;$B235&amp;"|placement|Y",photos!$R$2:$R$701,0))="","",INDEX(photos!$H$2:$H$701,MATCH($A235&amp;"|"&amp;$B235&amp;"|placement|Y",photos!$R$2:$R$701,0))),""))</f>
        <v/>
      </c>
      <c r="Y235" s="31" t="str">
        <f aca="false">IF($A235="","",IFERROR(IF(INDEX(photos!$E$2:$E$701,MATCH($A235&amp;"|"&amp;$B235&amp;"|placement|Y",photos!$R$2:$R$701,0))="","",INDEX(photos!$E$2:$E$701,MATCH($A235&amp;"|"&amp;$B235&amp;"|placement|Y",photos!$R$2:$R$701,0))),""))</f>
        <v/>
      </c>
      <c r="Z235" s="30" t="str">
        <f aca="false">IF($A235="","",IF(COUNTIFS(counts!$C$2:$C$701,$A235,counts!$D$2:$D$701,$B235,counts!$E$2:$E$701,"placed")=0,"",SUMIFS(counts!$F$2:$F$701,counts!$C$2:$C$701,$A235,counts!$D$2:$D$701,$B235,counts!$E$2:$E$701,"placed")))</f>
        <v/>
      </c>
      <c r="AA235" s="30" t="str">
        <f aca="false">IF($A235="","",IF($Y235="",0,N($Z235)))</f>
        <v/>
      </c>
      <c r="AB235" s="30" t="str">
        <f aca="false">IF($A235="","",IF(OR($Y235="",$I235=""),"N",IF($Y235&lt;=WORKDAY(N($I235),1,calendar!$A$2:$A$80),"Y","N")))</f>
        <v/>
      </c>
      <c r="AC235" s="33" t="str">
        <f aca="false">IF(OR($A235="",$V235="",$Y235=""),"",ROUND(($Y235+N(IFERROR(IF(INDEX(photos!$F$2:$F$701,MATCH($A235&amp;"|"&amp;$B235&amp;"|placement|Y",photos!$R$2:$R$701,0))="","",INDEX(photos!$F$2:$F$701,MATCH($A235&amp;"|"&amp;$B235&amp;"|placement|Y",photos!$R$2:$R$701,0))),""))-$V235)*24,1))</f>
        <v/>
      </c>
      <c r="AD235" s="30" t="str">
        <f aca="false">IF($A235="","",SUMIFS(inventory!$G$2:$G$801,inventory!$C$2:$C$801,$A235,inventory!$D$2:$D$801,$B235,inventory!$E$2:$E$801,"topped_up"))</f>
        <v/>
      </c>
      <c r="AE235" s="30" t="str">
        <f aca="false">IF($A235="","",IF(COUNTIFS(counts!$C$2:$C$701,$A235,counts!$D$2:$D$701,$B235,counts!$E$2:$E$701,"remaining_day3")=0,"",SUMIFS(counts!$F$2:$F$701,counts!$C$2:$C$701,$A235,counts!$D$2:$D$701,$B235,counts!$E$2:$E$701,"remaining_day3")))</f>
        <v/>
      </c>
      <c r="AF235" s="30" t="str">
        <f aca="false">IF($A235="","",IF(COUNTIFS(counts!$C$2:$C$701,$A235,counts!$D$2:$D$701,$B235,counts!$E$2:$E$701,"remaining_day5")=0,"",SUMIFS(counts!$F$2:$F$701,counts!$C$2:$C$701,$A235,counts!$D$2:$D$701,$B235,counts!$E$2:$E$701,"remaining_day5")))</f>
        <v/>
      </c>
      <c r="AG235" s="30" t="str">
        <f aca="false">IF(OR($A235="",$AF235=""),"",MAX(0,$AA235+$AD235-$AF235))</f>
        <v/>
      </c>
      <c r="AH235" s="30" t="str">
        <f aca="false">IF(OR($A235="",$AI235=""),"",IFERROR(IF(INDEX(photos!$H$2:$H$701,MATCH($A235&amp;"|"&amp;$B235&amp;"|later|Y|"&amp;$AI235,photos!$S$2:$S$701,0))="","",INDEX(photos!$H$2:$H$701,MATCH($A235&amp;"|"&amp;$B235&amp;"|later|Y|"&amp;$AI235,photos!$S$2:$S$701,0))),""))</f>
        <v/>
      </c>
      <c r="AI235" s="31" t="str">
        <f aca="false">IF($A235="","",IFERROR(1/(1/SUMPRODUCT(MAX((photos!$B$2:$B$701=$A235)*(photos!$C$2:$C$701=$B235)*(photos!$D$2:$D$701="later")*(photos!$O$2:$O$701="Y")*photos!$E$2:$E$701))),""))</f>
        <v/>
      </c>
      <c r="AJ235" s="30" t="str">
        <f aca="false">IF(OR($A235="",$AI235="",$I235=""),"",NETWORKDAYS($I235,$AI235,calendar!$A$2:$A$80))</f>
        <v/>
      </c>
      <c r="AK235" s="30" t="str">
        <f aca="false">IF($A235="","",IF(AND($X235&lt;&gt;"",$AH235&lt;&gt;""),"Y","N"))</f>
        <v/>
      </c>
      <c r="AL235" s="30" t="str">
        <f aca="true">IF(OR($A235="",$I235=""),"",IF($BC235="Y",SUMIFS(survey_frozen!$C$2:$C$251,survey_frozen!$P$2:$P$251,$A235&amp;"|"&amp;$B235),IFERROR(COUNTIFS(INDIRECT("'"&amp;$A235&amp;"'!$B$2:$B$501"),$T235,INDIRECT("'"&amp;$A235&amp;"'!$A$2:$A$501"),"&gt;="&amp;$I235,INDIRECT("'"&amp;$A235&amp;"'!$A$2:$A$501"),"&lt;"&amp;($BA235+1)),0)))</f>
        <v/>
      </c>
      <c r="AM235" s="30" t="str">
        <f aca="true">IF(OR($A235="",$I235=""),"",IF($BC235="Y",SUMIFS(survey_frozen!$D$2:$D$251,survey_frozen!$P$2:$P$251,$A235&amp;"|"&amp;$B235),IFERROR(COUNTIFS(INDIRECT("'"&amp;$A235&amp;"'!$B$2:$B$501"),$T235,INDIRECT("'"&amp;$A235&amp;"'!$A$2:$A$501"),"&gt;="&amp;$I235,INDIRECT("'"&amp;$A235&amp;"'!$A$2:$A$501"),"&lt;"&amp;($BA235+1),INDIRECT("'"&amp;$A235&amp;"'!$C$2:$C$501"),"Yes"),0)))</f>
        <v/>
      </c>
      <c r="AN235" s="30" t="str">
        <f aca="false">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30" t="str">
        <f aca="false">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30" t="str">
        <f aca="true">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30" t="str">
        <f aca="true">IF(OR($A235="",$I235=""),"",IF($BC235="Y",SUMIFS(survey_frozen!$E$2:$E$251,survey_frozen!$P$2:$P$251,$A235&amp;"|"&amp;$B235),IFERROR(COUNTIFS(INDIRECT("'"&amp;$A235&amp;"'!$B$2:$B$501"),$T235,INDIRECT("'"&amp;$A235&amp;"'!$A$2:$A$501"),"&gt;="&amp;$I235,INDIRECT("'"&amp;$A235&amp;"'!$A$2:$A$501"),"&lt;"&amp;($BA235+1),INDIRECT("'"&amp;$A235&amp;"'!$F$2:$F$501"),"Didn't see it"),0)))</f>
        <v/>
      </c>
      <c r="AR235" s="30" t="str">
        <f aca="true">IF(OR($A235="",$I235=""),"",IF($BC235="Y",SUMIFS(survey_frozen!$F$2:$F$251,survey_frozen!$P$2:$P$251,$A235&amp;"|"&amp;$B235),IFERROR(COUNTIFS(INDIRECT("'"&amp;$A235&amp;"'!$B$2:$B$501"),$T235,INDIRECT("'"&amp;$A235&amp;"'!$A$2:$A$501"),"&gt;="&amp;$I235,INDIRECT("'"&amp;$A235&amp;"'!$A$2:$A$501"),"&lt;"&amp;($BA235+1),INDIRECT("'"&amp;$A235&amp;"'!$F$2:$F$501"),"Not for me"),0)))</f>
        <v/>
      </c>
      <c r="AS235" s="30" t="str">
        <f aca="true">IF(OR($A235="",$I235=""),"",IF($BC235="Y",SUMIFS(survey_frozen!$G$2:$G$251,survey_frozen!$P$2:$P$251,$A235&amp;"|"&amp;$B235),IFERROR(COUNTIFS(INDIRECT("'"&amp;$A235&amp;"'!$B$2:$B$501"),$T235,INDIRECT("'"&amp;$A235&amp;"'!$A$2:$A$501"),"&gt;="&amp;$I235,INDIRECT("'"&amp;$A235&amp;"'!$A$2:$A$501"),"&lt;"&amp;($BA235+1),INDIRECT("'"&amp;$A235&amp;"'!$F$2:$F$501"),"Gone by the time I looked"),0)))</f>
        <v/>
      </c>
      <c r="AT235" s="30" t="str">
        <f aca="true">IF(OR($A235="",$I235=""),"",IF($BC235="Y",SUMIFS(survey_frozen!$H$2:$H$251,survey_frozen!$P$2:$P$251,$A235&amp;"|"&amp;$B235),IFERROR(COUNTIFS(INDIRECT("'"&amp;$A235&amp;"'!$B$2:$B$501"),$T235,INDIRECT("'"&amp;$A235&amp;"'!$A$2:$A$501"),"&gt;="&amp;$I235,INDIRECT("'"&amp;$A235&amp;"'!$A$2:$A$501"),"&lt;"&amp;($BA235+1),INDIRECT("'"&amp;$A235&amp;"'!$D$2:$D$501"),"&gt;=1"),0)))</f>
        <v/>
      </c>
      <c r="AU235" s="30" t="str">
        <f aca="true">IF(OR($A235="",$I235=""),"",IF($BC235="Y",SUMIFS(survey_frozen!$I$2:$I$251,survey_frozen!$P$2:$P$251,$A235&amp;"|"&amp;$B235),IFERROR(SUMIFS(INDIRECT("'"&amp;$A235&amp;"'!$D$2:$D$501"),INDIRECT("'"&amp;$A235&amp;"'!$B$2:$B$501"),$T235,INDIRECT("'"&amp;$A235&amp;"'!$A$2:$A$501"),"&gt;="&amp;$I235,INDIRECT("'"&amp;$A235&amp;"'!$A$2:$A$501"),"&lt;"&amp;($BA235+1)),0)))</f>
        <v/>
      </c>
      <c r="AV235" s="30" t="str">
        <f aca="true">IF(OR($A235="",$I235=""),"",IF($BC235="Y",SUMIFS(survey_frozen!$J$2:$J$251,survey_frozen!$P$2:$P$251,$A235&amp;"|"&amp;$B235),IFERROR(COUNTIFS(INDIRECT("'"&amp;$A235&amp;"'!$B$2:$B$501"),$T235,INDIRECT("'"&amp;$A235&amp;"'!$A$2:$A$501"),"&gt;="&amp;$I235,INDIRECT("'"&amp;$A235&amp;"'!$A$2:$A$501"),"&lt;"&amp;($BA235+1),INDIRECT("'"&amp;$A235&amp;"'!$E$2:$E$501"),"Yes"),0)))</f>
        <v/>
      </c>
      <c r="AW235" s="30" t="str">
        <f aca="true">IF(OR($A235="",$I235=""),"",IF($BC235="Y",SUMIFS(survey_frozen!$K$2:$K$251,survey_frozen!$P$2:$P$251,$A235&amp;"|"&amp;$B235),IFERROR(COUNTIFS(INDIRECT("'"&amp;$A235&amp;"'!$B$2:$B$501"),$T235,INDIRECT("'"&amp;$A235&amp;"'!$A$2:$A$501"),"&gt;="&amp;$I235,INDIRECT("'"&amp;$A235&amp;"'!$A$2:$A$501"),"&lt;"&amp;($BA235+1),INDIRECT("'"&amp;$A235&amp;"'!$E$2:$E$501"),"Maybe"),0)))</f>
        <v/>
      </c>
      <c r="AX235" s="30" t="str">
        <f aca="true">IF(OR($A235="",$I235=""),"",IF($BC235="Y",SUMIFS(survey_frozen!$L$2:$L$251,survey_frozen!$P$2:$P$251,$A235&amp;"|"&amp;$B235),IFERROR(COUNTIFS(INDIRECT("'"&amp;$A235&amp;"'!$B$2:$B$501"),$T235,INDIRECT("'"&amp;$A235&amp;"'!$A$2:$A$501"),"&gt;="&amp;$I235,INDIRECT("'"&amp;$A235&amp;"'!$A$2:$A$501"),"&lt;"&amp;($BA235+1),INDIRECT("'"&amp;$A235&amp;"'!$E$2:$E$501"),"No"),0)))</f>
        <v/>
      </c>
      <c r="AY235" s="30" t="str">
        <f aca="true">IF(OR($A235="",$I235=""),"",IF($BC235="Y",SUMIFS(survey_frozen!$M$2:$M$251,survey_frozen!$P$2:$P$251,$A235&amp;"|"&amp;$B235),IFERROR(COUNTIFS(INDIRECT("'"&amp;$A235&amp;"'!$B$2:$B$501"),$T235,INDIRECT("'"&amp;$A235&amp;"'!$A$2:$A$501"),"&gt;="&amp;$I235,INDIRECT("'"&amp;$A235&amp;"'!$A$2:$A$501"),"&lt;"&amp;($BA235+1),INDIRECT("'"&amp;$A235&amp;"'!$G$2:$G$501"),"&lt;&gt;"),0)))</f>
        <v/>
      </c>
      <c r="AZ235" s="30" t="str">
        <f aca="false">IF($A235="","",$A235&amp;"|"&amp;$L235)</f>
        <v/>
      </c>
      <c r="BA235" s="31" t="str">
        <f aca="false">IF($A235="","",IFERROR(IF(INDEX(drops!$R$2:$R$21,MATCH($H235,drops!$A$2:$A$21,0))="","",INDEX(drops!$R$2:$R$21,MATCH($H235,drops!$A$2:$A$21,0))),""))</f>
        <v/>
      </c>
      <c r="BB235" s="30" t="n">
        <f aca="false">IF(OR($A235="",$Q235&lt;&gt;"Y"),1000000,N($AL235))</f>
        <v>1000000</v>
      </c>
      <c r="BC235" s="30" t="str">
        <f aca="false">IF($A235="","",IF(COUNTIF(survey_frozen!$P$2:$P$251,$A235&amp;"|"&amp;$B235)&gt;0,"Y",""))</f>
        <v/>
      </c>
      <c r="BD235" s="30" t="str">
        <f aca="false">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ustomFormat="false" ht="15" hidden="false" customHeight="false" outlineLevel="0" collapsed="false">
      <c r="C236" s="11"/>
      <c r="D236" s="10"/>
      <c r="E236" s="11"/>
      <c r="H236" s="30" t="str">
        <f aca="false">IF($A236="","",IFERROR(IF(INDEX(campaigns!$B$2:$B$51,MATCH($A236,campaigns!$A$2:$A$51,0))="","",INDEX(campaigns!$B$2:$B$51,MATCH($A236,campaigns!$A$2:$A$51,0))),""))</f>
        <v/>
      </c>
      <c r="I236" s="31" t="str">
        <f aca="false">IF($A236="","",IFERROR(IF(INDEX(campaigns!$BG$2:$BG$51,MATCH($A236,campaigns!$A$2:$A$51,0))="","",INDEX(campaigns!$BG$2:$BG$51,MATCH($A236,campaigns!$A$2:$A$51,0))),""))</f>
        <v/>
      </c>
      <c r="J236" s="30" t="str">
        <f aca="false">IF($A236="","",IFERROR(IF(INDEX(campaigns!$BE$2:$BE$51,MATCH($A236,campaigns!$A$2:$A$51,0))="","",INDEX(campaigns!$BE$2:$BE$51,MATCH($A236,campaigns!$A$2:$A$51,0))),""))</f>
        <v/>
      </c>
      <c r="K236" s="30" t="str">
        <f aca="false">IF($B236="","",IFERROR(IF(INDEX(offices!$O$2:$O$61,MATCH($B236,offices!$A$2:$A$61,0))="","",INDEX(offices!$O$2:$O$61,MATCH($B236,offices!$A$2:$A$61,0))),""))</f>
        <v/>
      </c>
      <c r="L236" s="30" t="str">
        <f aca="false">IF($A236="","",IF($Q236="N","",COUNTIFS($A$2:$A236,$A236,$Q$2:$Q236,"&lt;&gt;N")))</f>
        <v/>
      </c>
      <c r="M236" s="30" t="str">
        <f aca="false">IF(OR($A236="",$L236=""),"",IF(AND(config!$B$34="names_if_public",IFERROR(IF(INDEX(offices!$AG$2:$AG$61,MATCH($B236,offices!$A$2:$A$61,0))="","",INDEX(offices!$AG$2:$AG$61,MATCH($B236,offices!$A$2:$A$61,0))),"")="Y"),$K236,CHAR(64+$L236)))</f>
        <v/>
      </c>
      <c r="N236" s="30" t="str">
        <f aca="false">IF(OR($A236="",$I236=""),"",COUNTIFS(stops!$B$2:$B$151,$B236,stops!$P$2:$P$151,"&lt;"&amp;$I236,stops!$L$2:$L$151,"&lt;&gt;not_delivered")+1)</f>
        <v/>
      </c>
      <c r="O236" s="30" t="str">
        <f aca="false">IF($A236="","",IF(N($N236)&lt;=config!$B$29,"explicit","opt-out"))</f>
        <v/>
      </c>
      <c r="P236" s="30" t="str">
        <f aca="false">IF($A236="","",IF($O236="explicit",IF($D236="yes","Y",IF($D236="no","N","pending")),IF($D236="no","N",IF(AND($C236&lt;&gt;"",$I236&lt;&gt;"",$C236&lt;=WORKDAY(N($I236),-5,calendar!$A$2:$A$80)),"Y","pending"))))</f>
        <v/>
      </c>
      <c r="Q236" s="30" t="str">
        <f aca="false">IF($A236="","",IF($P236="N","N",IF($P236&lt;&gt;"Y","pending",IF(AND((COUNTIFS(stops!$A$2:$A$151,$H236,stops!$B$2:$B$151,$B236,stops!$L$2:$L$151,"declined")+COUNTIFS(stops!$A$2:$A$151,$H236,stops!$B$2:$B$151,$B236,stops!$L$2:$L$151,"building_refused")+COUNTIFS(stops!$A$2:$A$151,$H236,stops!$B$2:$B$151,$B236,stops!$L$2:$L$151,"not_delivered"))&gt;0,N($U236)=0),"N","Y"))))</f>
        <v/>
      </c>
      <c r="R236" s="30" t="str">
        <f aca="false">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30" t="str">
        <f aca="false">IF($A236="","",IF($G236&lt;&gt;"",$G236,IFERROR(IF(INDEX(offices!$AM$2:$AM$61,MATCH($B236,offices!$A$2:$A$61,0))="","",INDEX(offices!$AM$2:$AM$61,MATCH($B236,offices!$A$2:$A$61,0))),"")))</f>
        <v/>
      </c>
      <c r="T236" s="30" t="str">
        <f aca="false">IF($A236="","",$A236&amp;"."&amp;$B236)</f>
        <v/>
      </c>
      <c r="U236" s="30" t="str">
        <f aca="false">IF($A236="","",SUMIFS(inventory!$G$2:$G$801,inventory!$C$2:$C$801,$A236,inventory!$D$2:$D$801,$B236,inventory!$E$2:$E$801,"delivered"))</f>
        <v/>
      </c>
      <c r="V236" s="37" t="str">
        <f aca="false">IF($A236="","",IFERROR(1/(1/SUMPRODUCT(MAX((inventory!$C$2:$C$801=$A236)*(inventory!$D$2:$D$801=$B236)*(inventory!$E$2:$E$801="delivered")*(inventory!$A$2:$A$801+inventory!$B$2:$B$801)))),""))</f>
        <v/>
      </c>
      <c r="W236" s="30" t="str">
        <f aca="false">IF($A236="","",IFERROR(IF(INDEX(inventory!$J$2:$J$801,MATCH($A236&amp;"|"&amp;$B236&amp;"|delivered",inventory!$R$2:$R$801,0))="","",INDEX(inventory!$J$2:$J$801,MATCH($A236&amp;"|"&amp;$B236&amp;"|delivered",inventory!$R$2:$R$801,0))),""))</f>
        <v/>
      </c>
      <c r="X236" s="30" t="str">
        <f aca="false">IF($A236="","",IFERROR(IF(INDEX(photos!$H$2:$H$701,MATCH($A236&amp;"|"&amp;$B236&amp;"|placement|Y",photos!$R$2:$R$701,0))="","",INDEX(photos!$H$2:$H$701,MATCH($A236&amp;"|"&amp;$B236&amp;"|placement|Y",photos!$R$2:$R$701,0))),""))</f>
        <v/>
      </c>
      <c r="Y236" s="31" t="str">
        <f aca="false">IF($A236="","",IFERROR(IF(INDEX(photos!$E$2:$E$701,MATCH($A236&amp;"|"&amp;$B236&amp;"|placement|Y",photos!$R$2:$R$701,0))="","",INDEX(photos!$E$2:$E$701,MATCH($A236&amp;"|"&amp;$B236&amp;"|placement|Y",photos!$R$2:$R$701,0))),""))</f>
        <v/>
      </c>
      <c r="Z236" s="30" t="str">
        <f aca="false">IF($A236="","",IF(COUNTIFS(counts!$C$2:$C$701,$A236,counts!$D$2:$D$701,$B236,counts!$E$2:$E$701,"placed")=0,"",SUMIFS(counts!$F$2:$F$701,counts!$C$2:$C$701,$A236,counts!$D$2:$D$701,$B236,counts!$E$2:$E$701,"placed")))</f>
        <v/>
      </c>
      <c r="AA236" s="30" t="str">
        <f aca="false">IF($A236="","",IF($Y236="",0,N($Z236)))</f>
        <v/>
      </c>
      <c r="AB236" s="30" t="str">
        <f aca="false">IF($A236="","",IF(OR($Y236="",$I236=""),"N",IF($Y236&lt;=WORKDAY(N($I236),1,calendar!$A$2:$A$80),"Y","N")))</f>
        <v/>
      </c>
      <c r="AC236" s="33" t="str">
        <f aca="false">IF(OR($A236="",$V236="",$Y236=""),"",ROUND(($Y236+N(IFERROR(IF(INDEX(photos!$F$2:$F$701,MATCH($A236&amp;"|"&amp;$B236&amp;"|placement|Y",photos!$R$2:$R$701,0))="","",INDEX(photos!$F$2:$F$701,MATCH($A236&amp;"|"&amp;$B236&amp;"|placement|Y",photos!$R$2:$R$701,0))),""))-$V236)*24,1))</f>
        <v/>
      </c>
      <c r="AD236" s="30" t="str">
        <f aca="false">IF($A236="","",SUMIFS(inventory!$G$2:$G$801,inventory!$C$2:$C$801,$A236,inventory!$D$2:$D$801,$B236,inventory!$E$2:$E$801,"topped_up"))</f>
        <v/>
      </c>
      <c r="AE236" s="30" t="str">
        <f aca="false">IF($A236="","",IF(COUNTIFS(counts!$C$2:$C$701,$A236,counts!$D$2:$D$701,$B236,counts!$E$2:$E$701,"remaining_day3")=0,"",SUMIFS(counts!$F$2:$F$701,counts!$C$2:$C$701,$A236,counts!$D$2:$D$701,$B236,counts!$E$2:$E$701,"remaining_day3")))</f>
        <v/>
      </c>
      <c r="AF236" s="30" t="str">
        <f aca="false">IF($A236="","",IF(COUNTIFS(counts!$C$2:$C$701,$A236,counts!$D$2:$D$701,$B236,counts!$E$2:$E$701,"remaining_day5")=0,"",SUMIFS(counts!$F$2:$F$701,counts!$C$2:$C$701,$A236,counts!$D$2:$D$701,$B236,counts!$E$2:$E$701,"remaining_day5")))</f>
        <v/>
      </c>
      <c r="AG236" s="30" t="str">
        <f aca="false">IF(OR($A236="",$AF236=""),"",MAX(0,$AA236+$AD236-$AF236))</f>
        <v/>
      </c>
      <c r="AH236" s="30" t="str">
        <f aca="false">IF(OR($A236="",$AI236=""),"",IFERROR(IF(INDEX(photos!$H$2:$H$701,MATCH($A236&amp;"|"&amp;$B236&amp;"|later|Y|"&amp;$AI236,photos!$S$2:$S$701,0))="","",INDEX(photos!$H$2:$H$701,MATCH($A236&amp;"|"&amp;$B236&amp;"|later|Y|"&amp;$AI236,photos!$S$2:$S$701,0))),""))</f>
        <v/>
      </c>
      <c r="AI236" s="31" t="str">
        <f aca="false">IF($A236="","",IFERROR(1/(1/SUMPRODUCT(MAX((photos!$B$2:$B$701=$A236)*(photos!$C$2:$C$701=$B236)*(photos!$D$2:$D$701="later")*(photos!$O$2:$O$701="Y")*photos!$E$2:$E$701))),""))</f>
        <v/>
      </c>
      <c r="AJ236" s="30" t="str">
        <f aca="false">IF(OR($A236="",$AI236="",$I236=""),"",NETWORKDAYS($I236,$AI236,calendar!$A$2:$A$80))</f>
        <v/>
      </c>
      <c r="AK236" s="30" t="str">
        <f aca="false">IF($A236="","",IF(AND($X236&lt;&gt;"",$AH236&lt;&gt;""),"Y","N"))</f>
        <v/>
      </c>
      <c r="AL236" s="30" t="str">
        <f aca="true">IF(OR($A236="",$I236=""),"",IF($BC236="Y",SUMIFS(survey_frozen!$C$2:$C$251,survey_frozen!$P$2:$P$251,$A236&amp;"|"&amp;$B236),IFERROR(COUNTIFS(INDIRECT("'"&amp;$A236&amp;"'!$B$2:$B$501"),$T236,INDIRECT("'"&amp;$A236&amp;"'!$A$2:$A$501"),"&gt;="&amp;$I236,INDIRECT("'"&amp;$A236&amp;"'!$A$2:$A$501"),"&lt;"&amp;($BA236+1)),0)))</f>
        <v/>
      </c>
      <c r="AM236" s="30" t="str">
        <f aca="true">IF(OR($A236="",$I236=""),"",IF($BC236="Y",SUMIFS(survey_frozen!$D$2:$D$251,survey_frozen!$P$2:$P$251,$A236&amp;"|"&amp;$B236),IFERROR(COUNTIFS(INDIRECT("'"&amp;$A236&amp;"'!$B$2:$B$501"),$T236,INDIRECT("'"&amp;$A236&amp;"'!$A$2:$A$501"),"&gt;="&amp;$I236,INDIRECT("'"&amp;$A236&amp;"'!$A$2:$A$501"),"&lt;"&amp;($BA236+1),INDIRECT("'"&amp;$A236&amp;"'!$C$2:$C$501"),"Yes"),0)))</f>
        <v/>
      </c>
      <c r="AN236" s="30" t="str">
        <f aca="false">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30" t="str">
        <f aca="false">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30" t="str">
        <f aca="true">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30" t="str">
        <f aca="true">IF(OR($A236="",$I236=""),"",IF($BC236="Y",SUMIFS(survey_frozen!$E$2:$E$251,survey_frozen!$P$2:$P$251,$A236&amp;"|"&amp;$B236),IFERROR(COUNTIFS(INDIRECT("'"&amp;$A236&amp;"'!$B$2:$B$501"),$T236,INDIRECT("'"&amp;$A236&amp;"'!$A$2:$A$501"),"&gt;="&amp;$I236,INDIRECT("'"&amp;$A236&amp;"'!$A$2:$A$501"),"&lt;"&amp;($BA236+1),INDIRECT("'"&amp;$A236&amp;"'!$F$2:$F$501"),"Didn't see it"),0)))</f>
        <v/>
      </c>
      <c r="AR236" s="30" t="str">
        <f aca="true">IF(OR($A236="",$I236=""),"",IF($BC236="Y",SUMIFS(survey_frozen!$F$2:$F$251,survey_frozen!$P$2:$P$251,$A236&amp;"|"&amp;$B236),IFERROR(COUNTIFS(INDIRECT("'"&amp;$A236&amp;"'!$B$2:$B$501"),$T236,INDIRECT("'"&amp;$A236&amp;"'!$A$2:$A$501"),"&gt;="&amp;$I236,INDIRECT("'"&amp;$A236&amp;"'!$A$2:$A$501"),"&lt;"&amp;($BA236+1),INDIRECT("'"&amp;$A236&amp;"'!$F$2:$F$501"),"Not for me"),0)))</f>
        <v/>
      </c>
      <c r="AS236" s="30" t="str">
        <f aca="true">IF(OR($A236="",$I236=""),"",IF($BC236="Y",SUMIFS(survey_frozen!$G$2:$G$251,survey_frozen!$P$2:$P$251,$A236&amp;"|"&amp;$B236),IFERROR(COUNTIFS(INDIRECT("'"&amp;$A236&amp;"'!$B$2:$B$501"),$T236,INDIRECT("'"&amp;$A236&amp;"'!$A$2:$A$501"),"&gt;="&amp;$I236,INDIRECT("'"&amp;$A236&amp;"'!$A$2:$A$501"),"&lt;"&amp;($BA236+1),INDIRECT("'"&amp;$A236&amp;"'!$F$2:$F$501"),"Gone by the time I looked"),0)))</f>
        <v/>
      </c>
      <c r="AT236" s="30" t="str">
        <f aca="true">IF(OR($A236="",$I236=""),"",IF($BC236="Y",SUMIFS(survey_frozen!$H$2:$H$251,survey_frozen!$P$2:$P$251,$A236&amp;"|"&amp;$B236),IFERROR(COUNTIFS(INDIRECT("'"&amp;$A236&amp;"'!$B$2:$B$501"),$T236,INDIRECT("'"&amp;$A236&amp;"'!$A$2:$A$501"),"&gt;="&amp;$I236,INDIRECT("'"&amp;$A236&amp;"'!$A$2:$A$501"),"&lt;"&amp;($BA236+1),INDIRECT("'"&amp;$A236&amp;"'!$D$2:$D$501"),"&gt;=1"),0)))</f>
        <v/>
      </c>
      <c r="AU236" s="30" t="str">
        <f aca="true">IF(OR($A236="",$I236=""),"",IF($BC236="Y",SUMIFS(survey_frozen!$I$2:$I$251,survey_frozen!$P$2:$P$251,$A236&amp;"|"&amp;$B236),IFERROR(SUMIFS(INDIRECT("'"&amp;$A236&amp;"'!$D$2:$D$501"),INDIRECT("'"&amp;$A236&amp;"'!$B$2:$B$501"),$T236,INDIRECT("'"&amp;$A236&amp;"'!$A$2:$A$501"),"&gt;="&amp;$I236,INDIRECT("'"&amp;$A236&amp;"'!$A$2:$A$501"),"&lt;"&amp;($BA236+1)),0)))</f>
        <v/>
      </c>
      <c r="AV236" s="30" t="str">
        <f aca="true">IF(OR($A236="",$I236=""),"",IF($BC236="Y",SUMIFS(survey_frozen!$J$2:$J$251,survey_frozen!$P$2:$P$251,$A236&amp;"|"&amp;$B236),IFERROR(COUNTIFS(INDIRECT("'"&amp;$A236&amp;"'!$B$2:$B$501"),$T236,INDIRECT("'"&amp;$A236&amp;"'!$A$2:$A$501"),"&gt;="&amp;$I236,INDIRECT("'"&amp;$A236&amp;"'!$A$2:$A$501"),"&lt;"&amp;($BA236+1),INDIRECT("'"&amp;$A236&amp;"'!$E$2:$E$501"),"Yes"),0)))</f>
        <v/>
      </c>
      <c r="AW236" s="30" t="str">
        <f aca="true">IF(OR($A236="",$I236=""),"",IF($BC236="Y",SUMIFS(survey_frozen!$K$2:$K$251,survey_frozen!$P$2:$P$251,$A236&amp;"|"&amp;$B236),IFERROR(COUNTIFS(INDIRECT("'"&amp;$A236&amp;"'!$B$2:$B$501"),$T236,INDIRECT("'"&amp;$A236&amp;"'!$A$2:$A$501"),"&gt;="&amp;$I236,INDIRECT("'"&amp;$A236&amp;"'!$A$2:$A$501"),"&lt;"&amp;($BA236+1),INDIRECT("'"&amp;$A236&amp;"'!$E$2:$E$501"),"Maybe"),0)))</f>
        <v/>
      </c>
      <c r="AX236" s="30" t="str">
        <f aca="true">IF(OR($A236="",$I236=""),"",IF($BC236="Y",SUMIFS(survey_frozen!$L$2:$L$251,survey_frozen!$P$2:$P$251,$A236&amp;"|"&amp;$B236),IFERROR(COUNTIFS(INDIRECT("'"&amp;$A236&amp;"'!$B$2:$B$501"),$T236,INDIRECT("'"&amp;$A236&amp;"'!$A$2:$A$501"),"&gt;="&amp;$I236,INDIRECT("'"&amp;$A236&amp;"'!$A$2:$A$501"),"&lt;"&amp;($BA236+1),INDIRECT("'"&amp;$A236&amp;"'!$E$2:$E$501"),"No"),0)))</f>
        <v/>
      </c>
      <c r="AY236" s="30" t="str">
        <f aca="true">IF(OR($A236="",$I236=""),"",IF($BC236="Y",SUMIFS(survey_frozen!$M$2:$M$251,survey_frozen!$P$2:$P$251,$A236&amp;"|"&amp;$B236),IFERROR(COUNTIFS(INDIRECT("'"&amp;$A236&amp;"'!$B$2:$B$501"),$T236,INDIRECT("'"&amp;$A236&amp;"'!$A$2:$A$501"),"&gt;="&amp;$I236,INDIRECT("'"&amp;$A236&amp;"'!$A$2:$A$501"),"&lt;"&amp;($BA236+1),INDIRECT("'"&amp;$A236&amp;"'!$G$2:$G$501"),"&lt;&gt;"),0)))</f>
        <v/>
      </c>
      <c r="AZ236" s="30" t="str">
        <f aca="false">IF($A236="","",$A236&amp;"|"&amp;$L236)</f>
        <v/>
      </c>
      <c r="BA236" s="31" t="str">
        <f aca="false">IF($A236="","",IFERROR(IF(INDEX(drops!$R$2:$R$21,MATCH($H236,drops!$A$2:$A$21,0))="","",INDEX(drops!$R$2:$R$21,MATCH($H236,drops!$A$2:$A$21,0))),""))</f>
        <v/>
      </c>
      <c r="BB236" s="30" t="n">
        <f aca="false">IF(OR($A236="",$Q236&lt;&gt;"Y"),1000000,N($AL236))</f>
        <v>1000000</v>
      </c>
      <c r="BC236" s="30" t="str">
        <f aca="false">IF($A236="","",IF(COUNTIF(survey_frozen!$P$2:$P$251,$A236&amp;"|"&amp;$B236)&gt;0,"Y",""))</f>
        <v/>
      </c>
      <c r="BD236" s="30" t="str">
        <f aca="false">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ustomFormat="false" ht="15" hidden="false" customHeight="false" outlineLevel="0" collapsed="false">
      <c r="C237" s="11"/>
      <c r="D237" s="10"/>
      <c r="E237" s="11"/>
      <c r="H237" s="30" t="str">
        <f aca="false">IF($A237="","",IFERROR(IF(INDEX(campaigns!$B$2:$B$51,MATCH($A237,campaigns!$A$2:$A$51,0))="","",INDEX(campaigns!$B$2:$B$51,MATCH($A237,campaigns!$A$2:$A$51,0))),""))</f>
        <v/>
      </c>
      <c r="I237" s="31" t="str">
        <f aca="false">IF($A237="","",IFERROR(IF(INDEX(campaigns!$BG$2:$BG$51,MATCH($A237,campaigns!$A$2:$A$51,0))="","",INDEX(campaigns!$BG$2:$BG$51,MATCH($A237,campaigns!$A$2:$A$51,0))),""))</f>
        <v/>
      </c>
      <c r="J237" s="30" t="str">
        <f aca="false">IF($A237="","",IFERROR(IF(INDEX(campaigns!$BE$2:$BE$51,MATCH($A237,campaigns!$A$2:$A$51,0))="","",INDEX(campaigns!$BE$2:$BE$51,MATCH($A237,campaigns!$A$2:$A$51,0))),""))</f>
        <v/>
      </c>
      <c r="K237" s="30" t="str">
        <f aca="false">IF($B237="","",IFERROR(IF(INDEX(offices!$O$2:$O$61,MATCH($B237,offices!$A$2:$A$61,0))="","",INDEX(offices!$O$2:$O$61,MATCH($B237,offices!$A$2:$A$61,0))),""))</f>
        <v/>
      </c>
      <c r="L237" s="30" t="str">
        <f aca="false">IF($A237="","",IF($Q237="N","",COUNTIFS($A$2:$A237,$A237,$Q$2:$Q237,"&lt;&gt;N")))</f>
        <v/>
      </c>
      <c r="M237" s="30" t="str">
        <f aca="false">IF(OR($A237="",$L237=""),"",IF(AND(config!$B$34="names_if_public",IFERROR(IF(INDEX(offices!$AG$2:$AG$61,MATCH($B237,offices!$A$2:$A$61,0))="","",INDEX(offices!$AG$2:$AG$61,MATCH($B237,offices!$A$2:$A$61,0))),"")="Y"),$K237,CHAR(64+$L237)))</f>
        <v/>
      </c>
      <c r="N237" s="30" t="str">
        <f aca="false">IF(OR($A237="",$I237=""),"",COUNTIFS(stops!$B$2:$B$151,$B237,stops!$P$2:$P$151,"&lt;"&amp;$I237,stops!$L$2:$L$151,"&lt;&gt;not_delivered")+1)</f>
        <v/>
      </c>
      <c r="O237" s="30" t="str">
        <f aca="false">IF($A237="","",IF(N($N237)&lt;=config!$B$29,"explicit","opt-out"))</f>
        <v/>
      </c>
      <c r="P237" s="30" t="str">
        <f aca="false">IF($A237="","",IF($O237="explicit",IF($D237="yes","Y",IF($D237="no","N","pending")),IF($D237="no","N",IF(AND($C237&lt;&gt;"",$I237&lt;&gt;"",$C237&lt;=WORKDAY(N($I237),-5,calendar!$A$2:$A$80)),"Y","pending"))))</f>
        <v/>
      </c>
      <c r="Q237" s="30" t="str">
        <f aca="false">IF($A237="","",IF($P237="N","N",IF($P237&lt;&gt;"Y","pending",IF(AND((COUNTIFS(stops!$A$2:$A$151,$H237,stops!$B$2:$B$151,$B237,stops!$L$2:$L$151,"declined")+COUNTIFS(stops!$A$2:$A$151,$H237,stops!$B$2:$B$151,$B237,stops!$L$2:$L$151,"building_refused")+COUNTIFS(stops!$A$2:$A$151,$H237,stops!$B$2:$B$151,$B237,stops!$L$2:$L$151,"not_delivered"))&gt;0,N($U237)=0),"N","Y"))))</f>
        <v/>
      </c>
      <c r="R237" s="30" t="str">
        <f aca="false">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30" t="str">
        <f aca="false">IF($A237="","",IF($G237&lt;&gt;"",$G237,IFERROR(IF(INDEX(offices!$AM$2:$AM$61,MATCH($B237,offices!$A$2:$A$61,0))="","",INDEX(offices!$AM$2:$AM$61,MATCH($B237,offices!$A$2:$A$61,0))),"")))</f>
        <v/>
      </c>
      <c r="T237" s="30" t="str">
        <f aca="false">IF($A237="","",$A237&amp;"."&amp;$B237)</f>
        <v/>
      </c>
      <c r="U237" s="30" t="str">
        <f aca="false">IF($A237="","",SUMIFS(inventory!$G$2:$G$801,inventory!$C$2:$C$801,$A237,inventory!$D$2:$D$801,$B237,inventory!$E$2:$E$801,"delivered"))</f>
        <v/>
      </c>
      <c r="V237" s="37" t="str">
        <f aca="false">IF($A237="","",IFERROR(1/(1/SUMPRODUCT(MAX((inventory!$C$2:$C$801=$A237)*(inventory!$D$2:$D$801=$B237)*(inventory!$E$2:$E$801="delivered")*(inventory!$A$2:$A$801+inventory!$B$2:$B$801)))),""))</f>
        <v/>
      </c>
      <c r="W237" s="30" t="str">
        <f aca="false">IF($A237="","",IFERROR(IF(INDEX(inventory!$J$2:$J$801,MATCH($A237&amp;"|"&amp;$B237&amp;"|delivered",inventory!$R$2:$R$801,0))="","",INDEX(inventory!$J$2:$J$801,MATCH($A237&amp;"|"&amp;$B237&amp;"|delivered",inventory!$R$2:$R$801,0))),""))</f>
        <v/>
      </c>
      <c r="X237" s="30" t="str">
        <f aca="false">IF($A237="","",IFERROR(IF(INDEX(photos!$H$2:$H$701,MATCH($A237&amp;"|"&amp;$B237&amp;"|placement|Y",photos!$R$2:$R$701,0))="","",INDEX(photos!$H$2:$H$701,MATCH($A237&amp;"|"&amp;$B237&amp;"|placement|Y",photos!$R$2:$R$701,0))),""))</f>
        <v/>
      </c>
      <c r="Y237" s="31" t="str">
        <f aca="false">IF($A237="","",IFERROR(IF(INDEX(photos!$E$2:$E$701,MATCH($A237&amp;"|"&amp;$B237&amp;"|placement|Y",photos!$R$2:$R$701,0))="","",INDEX(photos!$E$2:$E$701,MATCH($A237&amp;"|"&amp;$B237&amp;"|placement|Y",photos!$R$2:$R$701,0))),""))</f>
        <v/>
      </c>
      <c r="Z237" s="30" t="str">
        <f aca="false">IF($A237="","",IF(COUNTIFS(counts!$C$2:$C$701,$A237,counts!$D$2:$D$701,$B237,counts!$E$2:$E$701,"placed")=0,"",SUMIFS(counts!$F$2:$F$701,counts!$C$2:$C$701,$A237,counts!$D$2:$D$701,$B237,counts!$E$2:$E$701,"placed")))</f>
        <v/>
      </c>
      <c r="AA237" s="30" t="str">
        <f aca="false">IF($A237="","",IF($Y237="",0,N($Z237)))</f>
        <v/>
      </c>
      <c r="AB237" s="30" t="str">
        <f aca="false">IF($A237="","",IF(OR($Y237="",$I237=""),"N",IF($Y237&lt;=WORKDAY(N($I237),1,calendar!$A$2:$A$80),"Y","N")))</f>
        <v/>
      </c>
      <c r="AC237" s="33" t="str">
        <f aca="false">IF(OR($A237="",$V237="",$Y237=""),"",ROUND(($Y237+N(IFERROR(IF(INDEX(photos!$F$2:$F$701,MATCH($A237&amp;"|"&amp;$B237&amp;"|placement|Y",photos!$R$2:$R$701,0))="","",INDEX(photos!$F$2:$F$701,MATCH($A237&amp;"|"&amp;$B237&amp;"|placement|Y",photos!$R$2:$R$701,0))),""))-$V237)*24,1))</f>
        <v/>
      </c>
      <c r="AD237" s="30" t="str">
        <f aca="false">IF($A237="","",SUMIFS(inventory!$G$2:$G$801,inventory!$C$2:$C$801,$A237,inventory!$D$2:$D$801,$B237,inventory!$E$2:$E$801,"topped_up"))</f>
        <v/>
      </c>
      <c r="AE237" s="30" t="str">
        <f aca="false">IF($A237="","",IF(COUNTIFS(counts!$C$2:$C$701,$A237,counts!$D$2:$D$701,$B237,counts!$E$2:$E$701,"remaining_day3")=0,"",SUMIFS(counts!$F$2:$F$701,counts!$C$2:$C$701,$A237,counts!$D$2:$D$701,$B237,counts!$E$2:$E$701,"remaining_day3")))</f>
        <v/>
      </c>
      <c r="AF237" s="30" t="str">
        <f aca="false">IF($A237="","",IF(COUNTIFS(counts!$C$2:$C$701,$A237,counts!$D$2:$D$701,$B237,counts!$E$2:$E$701,"remaining_day5")=0,"",SUMIFS(counts!$F$2:$F$701,counts!$C$2:$C$701,$A237,counts!$D$2:$D$701,$B237,counts!$E$2:$E$701,"remaining_day5")))</f>
        <v/>
      </c>
      <c r="AG237" s="30" t="str">
        <f aca="false">IF(OR($A237="",$AF237=""),"",MAX(0,$AA237+$AD237-$AF237))</f>
        <v/>
      </c>
      <c r="AH237" s="30" t="str">
        <f aca="false">IF(OR($A237="",$AI237=""),"",IFERROR(IF(INDEX(photos!$H$2:$H$701,MATCH($A237&amp;"|"&amp;$B237&amp;"|later|Y|"&amp;$AI237,photos!$S$2:$S$701,0))="","",INDEX(photos!$H$2:$H$701,MATCH($A237&amp;"|"&amp;$B237&amp;"|later|Y|"&amp;$AI237,photos!$S$2:$S$701,0))),""))</f>
        <v/>
      </c>
      <c r="AI237" s="31" t="str">
        <f aca="false">IF($A237="","",IFERROR(1/(1/SUMPRODUCT(MAX((photos!$B$2:$B$701=$A237)*(photos!$C$2:$C$701=$B237)*(photos!$D$2:$D$701="later")*(photos!$O$2:$O$701="Y")*photos!$E$2:$E$701))),""))</f>
        <v/>
      </c>
      <c r="AJ237" s="30" t="str">
        <f aca="false">IF(OR($A237="",$AI237="",$I237=""),"",NETWORKDAYS($I237,$AI237,calendar!$A$2:$A$80))</f>
        <v/>
      </c>
      <c r="AK237" s="30" t="str">
        <f aca="false">IF($A237="","",IF(AND($X237&lt;&gt;"",$AH237&lt;&gt;""),"Y","N"))</f>
        <v/>
      </c>
      <c r="AL237" s="30" t="str">
        <f aca="true">IF(OR($A237="",$I237=""),"",IF($BC237="Y",SUMIFS(survey_frozen!$C$2:$C$251,survey_frozen!$P$2:$P$251,$A237&amp;"|"&amp;$B237),IFERROR(COUNTIFS(INDIRECT("'"&amp;$A237&amp;"'!$B$2:$B$501"),$T237,INDIRECT("'"&amp;$A237&amp;"'!$A$2:$A$501"),"&gt;="&amp;$I237,INDIRECT("'"&amp;$A237&amp;"'!$A$2:$A$501"),"&lt;"&amp;($BA237+1)),0)))</f>
        <v/>
      </c>
      <c r="AM237" s="30" t="str">
        <f aca="true">IF(OR($A237="",$I237=""),"",IF($BC237="Y",SUMIFS(survey_frozen!$D$2:$D$251,survey_frozen!$P$2:$P$251,$A237&amp;"|"&amp;$B237),IFERROR(COUNTIFS(INDIRECT("'"&amp;$A237&amp;"'!$B$2:$B$501"),$T237,INDIRECT("'"&amp;$A237&amp;"'!$A$2:$A$501"),"&gt;="&amp;$I237,INDIRECT("'"&amp;$A237&amp;"'!$A$2:$A$501"),"&lt;"&amp;($BA237+1),INDIRECT("'"&amp;$A237&amp;"'!$C$2:$C$501"),"Yes"),0)))</f>
        <v/>
      </c>
      <c r="AN237" s="30" t="str">
        <f aca="false">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30" t="str">
        <f aca="false">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30" t="str">
        <f aca="true">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30" t="str">
        <f aca="true">IF(OR($A237="",$I237=""),"",IF($BC237="Y",SUMIFS(survey_frozen!$E$2:$E$251,survey_frozen!$P$2:$P$251,$A237&amp;"|"&amp;$B237),IFERROR(COUNTIFS(INDIRECT("'"&amp;$A237&amp;"'!$B$2:$B$501"),$T237,INDIRECT("'"&amp;$A237&amp;"'!$A$2:$A$501"),"&gt;="&amp;$I237,INDIRECT("'"&amp;$A237&amp;"'!$A$2:$A$501"),"&lt;"&amp;($BA237+1),INDIRECT("'"&amp;$A237&amp;"'!$F$2:$F$501"),"Didn't see it"),0)))</f>
        <v/>
      </c>
      <c r="AR237" s="30" t="str">
        <f aca="true">IF(OR($A237="",$I237=""),"",IF($BC237="Y",SUMIFS(survey_frozen!$F$2:$F$251,survey_frozen!$P$2:$P$251,$A237&amp;"|"&amp;$B237),IFERROR(COUNTIFS(INDIRECT("'"&amp;$A237&amp;"'!$B$2:$B$501"),$T237,INDIRECT("'"&amp;$A237&amp;"'!$A$2:$A$501"),"&gt;="&amp;$I237,INDIRECT("'"&amp;$A237&amp;"'!$A$2:$A$501"),"&lt;"&amp;($BA237+1),INDIRECT("'"&amp;$A237&amp;"'!$F$2:$F$501"),"Not for me"),0)))</f>
        <v/>
      </c>
      <c r="AS237" s="30" t="str">
        <f aca="true">IF(OR($A237="",$I237=""),"",IF($BC237="Y",SUMIFS(survey_frozen!$G$2:$G$251,survey_frozen!$P$2:$P$251,$A237&amp;"|"&amp;$B237),IFERROR(COUNTIFS(INDIRECT("'"&amp;$A237&amp;"'!$B$2:$B$501"),$T237,INDIRECT("'"&amp;$A237&amp;"'!$A$2:$A$501"),"&gt;="&amp;$I237,INDIRECT("'"&amp;$A237&amp;"'!$A$2:$A$501"),"&lt;"&amp;($BA237+1),INDIRECT("'"&amp;$A237&amp;"'!$F$2:$F$501"),"Gone by the time I looked"),0)))</f>
        <v/>
      </c>
      <c r="AT237" s="30" t="str">
        <f aca="true">IF(OR($A237="",$I237=""),"",IF($BC237="Y",SUMIFS(survey_frozen!$H$2:$H$251,survey_frozen!$P$2:$P$251,$A237&amp;"|"&amp;$B237),IFERROR(COUNTIFS(INDIRECT("'"&amp;$A237&amp;"'!$B$2:$B$501"),$T237,INDIRECT("'"&amp;$A237&amp;"'!$A$2:$A$501"),"&gt;="&amp;$I237,INDIRECT("'"&amp;$A237&amp;"'!$A$2:$A$501"),"&lt;"&amp;($BA237+1),INDIRECT("'"&amp;$A237&amp;"'!$D$2:$D$501"),"&gt;=1"),0)))</f>
        <v/>
      </c>
      <c r="AU237" s="30" t="str">
        <f aca="true">IF(OR($A237="",$I237=""),"",IF($BC237="Y",SUMIFS(survey_frozen!$I$2:$I$251,survey_frozen!$P$2:$P$251,$A237&amp;"|"&amp;$B237),IFERROR(SUMIFS(INDIRECT("'"&amp;$A237&amp;"'!$D$2:$D$501"),INDIRECT("'"&amp;$A237&amp;"'!$B$2:$B$501"),$T237,INDIRECT("'"&amp;$A237&amp;"'!$A$2:$A$501"),"&gt;="&amp;$I237,INDIRECT("'"&amp;$A237&amp;"'!$A$2:$A$501"),"&lt;"&amp;($BA237+1)),0)))</f>
        <v/>
      </c>
      <c r="AV237" s="30" t="str">
        <f aca="true">IF(OR($A237="",$I237=""),"",IF($BC237="Y",SUMIFS(survey_frozen!$J$2:$J$251,survey_frozen!$P$2:$P$251,$A237&amp;"|"&amp;$B237),IFERROR(COUNTIFS(INDIRECT("'"&amp;$A237&amp;"'!$B$2:$B$501"),$T237,INDIRECT("'"&amp;$A237&amp;"'!$A$2:$A$501"),"&gt;="&amp;$I237,INDIRECT("'"&amp;$A237&amp;"'!$A$2:$A$501"),"&lt;"&amp;($BA237+1),INDIRECT("'"&amp;$A237&amp;"'!$E$2:$E$501"),"Yes"),0)))</f>
        <v/>
      </c>
      <c r="AW237" s="30" t="str">
        <f aca="true">IF(OR($A237="",$I237=""),"",IF($BC237="Y",SUMIFS(survey_frozen!$K$2:$K$251,survey_frozen!$P$2:$P$251,$A237&amp;"|"&amp;$B237),IFERROR(COUNTIFS(INDIRECT("'"&amp;$A237&amp;"'!$B$2:$B$501"),$T237,INDIRECT("'"&amp;$A237&amp;"'!$A$2:$A$501"),"&gt;="&amp;$I237,INDIRECT("'"&amp;$A237&amp;"'!$A$2:$A$501"),"&lt;"&amp;($BA237+1),INDIRECT("'"&amp;$A237&amp;"'!$E$2:$E$501"),"Maybe"),0)))</f>
        <v/>
      </c>
      <c r="AX237" s="30" t="str">
        <f aca="true">IF(OR($A237="",$I237=""),"",IF($BC237="Y",SUMIFS(survey_frozen!$L$2:$L$251,survey_frozen!$P$2:$P$251,$A237&amp;"|"&amp;$B237),IFERROR(COUNTIFS(INDIRECT("'"&amp;$A237&amp;"'!$B$2:$B$501"),$T237,INDIRECT("'"&amp;$A237&amp;"'!$A$2:$A$501"),"&gt;="&amp;$I237,INDIRECT("'"&amp;$A237&amp;"'!$A$2:$A$501"),"&lt;"&amp;($BA237+1),INDIRECT("'"&amp;$A237&amp;"'!$E$2:$E$501"),"No"),0)))</f>
        <v/>
      </c>
      <c r="AY237" s="30" t="str">
        <f aca="true">IF(OR($A237="",$I237=""),"",IF($BC237="Y",SUMIFS(survey_frozen!$M$2:$M$251,survey_frozen!$P$2:$P$251,$A237&amp;"|"&amp;$B237),IFERROR(COUNTIFS(INDIRECT("'"&amp;$A237&amp;"'!$B$2:$B$501"),$T237,INDIRECT("'"&amp;$A237&amp;"'!$A$2:$A$501"),"&gt;="&amp;$I237,INDIRECT("'"&amp;$A237&amp;"'!$A$2:$A$501"),"&lt;"&amp;($BA237+1),INDIRECT("'"&amp;$A237&amp;"'!$G$2:$G$501"),"&lt;&gt;"),0)))</f>
        <v/>
      </c>
      <c r="AZ237" s="30" t="str">
        <f aca="false">IF($A237="","",$A237&amp;"|"&amp;$L237)</f>
        <v/>
      </c>
      <c r="BA237" s="31" t="str">
        <f aca="false">IF($A237="","",IFERROR(IF(INDEX(drops!$R$2:$R$21,MATCH($H237,drops!$A$2:$A$21,0))="","",INDEX(drops!$R$2:$R$21,MATCH($H237,drops!$A$2:$A$21,0))),""))</f>
        <v/>
      </c>
      <c r="BB237" s="30" t="n">
        <f aca="false">IF(OR($A237="",$Q237&lt;&gt;"Y"),1000000,N($AL237))</f>
        <v>1000000</v>
      </c>
      <c r="BC237" s="30" t="str">
        <f aca="false">IF($A237="","",IF(COUNTIF(survey_frozen!$P$2:$P$251,$A237&amp;"|"&amp;$B237)&gt;0,"Y",""))</f>
        <v/>
      </c>
      <c r="BD237" s="30" t="str">
        <f aca="false">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ustomFormat="false" ht="15" hidden="false" customHeight="false" outlineLevel="0" collapsed="false">
      <c r="C238" s="11"/>
      <c r="D238" s="10"/>
      <c r="E238" s="11"/>
      <c r="H238" s="30" t="str">
        <f aca="false">IF($A238="","",IFERROR(IF(INDEX(campaigns!$B$2:$B$51,MATCH($A238,campaigns!$A$2:$A$51,0))="","",INDEX(campaigns!$B$2:$B$51,MATCH($A238,campaigns!$A$2:$A$51,0))),""))</f>
        <v/>
      </c>
      <c r="I238" s="31" t="str">
        <f aca="false">IF($A238="","",IFERROR(IF(INDEX(campaigns!$BG$2:$BG$51,MATCH($A238,campaigns!$A$2:$A$51,0))="","",INDEX(campaigns!$BG$2:$BG$51,MATCH($A238,campaigns!$A$2:$A$51,0))),""))</f>
        <v/>
      </c>
      <c r="J238" s="30" t="str">
        <f aca="false">IF($A238="","",IFERROR(IF(INDEX(campaigns!$BE$2:$BE$51,MATCH($A238,campaigns!$A$2:$A$51,0))="","",INDEX(campaigns!$BE$2:$BE$51,MATCH($A238,campaigns!$A$2:$A$51,0))),""))</f>
        <v/>
      </c>
      <c r="K238" s="30" t="str">
        <f aca="false">IF($B238="","",IFERROR(IF(INDEX(offices!$O$2:$O$61,MATCH($B238,offices!$A$2:$A$61,0))="","",INDEX(offices!$O$2:$O$61,MATCH($B238,offices!$A$2:$A$61,0))),""))</f>
        <v/>
      </c>
      <c r="L238" s="30" t="str">
        <f aca="false">IF($A238="","",IF($Q238="N","",COUNTIFS($A$2:$A238,$A238,$Q$2:$Q238,"&lt;&gt;N")))</f>
        <v/>
      </c>
      <c r="M238" s="30" t="str">
        <f aca="false">IF(OR($A238="",$L238=""),"",IF(AND(config!$B$34="names_if_public",IFERROR(IF(INDEX(offices!$AG$2:$AG$61,MATCH($B238,offices!$A$2:$A$61,0))="","",INDEX(offices!$AG$2:$AG$61,MATCH($B238,offices!$A$2:$A$61,0))),"")="Y"),$K238,CHAR(64+$L238)))</f>
        <v/>
      </c>
      <c r="N238" s="30" t="str">
        <f aca="false">IF(OR($A238="",$I238=""),"",COUNTIFS(stops!$B$2:$B$151,$B238,stops!$P$2:$P$151,"&lt;"&amp;$I238,stops!$L$2:$L$151,"&lt;&gt;not_delivered")+1)</f>
        <v/>
      </c>
      <c r="O238" s="30" t="str">
        <f aca="false">IF($A238="","",IF(N($N238)&lt;=config!$B$29,"explicit","opt-out"))</f>
        <v/>
      </c>
      <c r="P238" s="30" t="str">
        <f aca="false">IF($A238="","",IF($O238="explicit",IF($D238="yes","Y",IF($D238="no","N","pending")),IF($D238="no","N",IF(AND($C238&lt;&gt;"",$I238&lt;&gt;"",$C238&lt;=WORKDAY(N($I238),-5,calendar!$A$2:$A$80)),"Y","pending"))))</f>
        <v/>
      </c>
      <c r="Q238" s="30" t="str">
        <f aca="false">IF($A238="","",IF($P238="N","N",IF($P238&lt;&gt;"Y","pending",IF(AND((COUNTIFS(stops!$A$2:$A$151,$H238,stops!$B$2:$B$151,$B238,stops!$L$2:$L$151,"declined")+COUNTIFS(stops!$A$2:$A$151,$H238,stops!$B$2:$B$151,$B238,stops!$L$2:$L$151,"building_refused")+COUNTIFS(stops!$A$2:$A$151,$H238,stops!$B$2:$B$151,$B238,stops!$L$2:$L$151,"not_delivered"))&gt;0,N($U238)=0),"N","Y"))))</f>
        <v/>
      </c>
      <c r="R238" s="30" t="str">
        <f aca="false">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30" t="str">
        <f aca="false">IF($A238="","",IF($G238&lt;&gt;"",$G238,IFERROR(IF(INDEX(offices!$AM$2:$AM$61,MATCH($B238,offices!$A$2:$A$61,0))="","",INDEX(offices!$AM$2:$AM$61,MATCH($B238,offices!$A$2:$A$61,0))),"")))</f>
        <v/>
      </c>
      <c r="T238" s="30" t="str">
        <f aca="false">IF($A238="","",$A238&amp;"."&amp;$B238)</f>
        <v/>
      </c>
      <c r="U238" s="30" t="str">
        <f aca="false">IF($A238="","",SUMIFS(inventory!$G$2:$G$801,inventory!$C$2:$C$801,$A238,inventory!$D$2:$D$801,$B238,inventory!$E$2:$E$801,"delivered"))</f>
        <v/>
      </c>
      <c r="V238" s="37" t="str">
        <f aca="false">IF($A238="","",IFERROR(1/(1/SUMPRODUCT(MAX((inventory!$C$2:$C$801=$A238)*(inventory!$D$2:$D$801=$B238)*(inventory!$E$2:$E$801="delivered")*(inventory!$A$2:$A$801+inventory!$B$2:$B$801)))),""))</f>
        <v/>
      </c>
      <c r="W238" s="30" t="str">
        <f aca="false">IF($A238="","",IFERROR(IF(INDEX(inventory!$J$2:$J$801,MATCH($A238&amp;"|"&amp;$B238&amp;"|delivered",inventory!$R$2:$R$801,0))="","",INDEX(inventory!$J$2:$J$801,MATCH($A238&amp;"|"&amp;$B238&amp;"|delivered",inventory!$R$2:$R$801,0))),""))</f>
        <v/>
      </c>
      <c r="X238" s="30" t="str">
        <f aca="false">IF($A238="","",IFERROR(IF(INDEX(photos!$H$2:$H$701,MATCH($A238&amp;"|"&amp;$B238&amp;"|placement|Y",photos!$R$2:$R$701,0))="","",INDEX(photos!$H$2:$H$701,MATCH($A238&amp;"|"&amp;$B238&amp;"|placement|Y",photos!$R$2:$R$701,0))),""))</f>
        <v/>
      </c>
      <c r="Y238" s="31" t="str">
        <f aca="false">IF($A238="","",IFERROR(IF(INDEX(photos!$E$2:$E$701,MATCH($A238&amp;"|"&amp;$B238&amp;"|placement|Y",photos!$R$2:$R$701,0))="","",INDEX(photos!$E$2:$E$701,MATCH($A238&amp;"|"&amp;$B238&amp;"|placement|Y",photos!$R$2:$R$701,0))),""))</f>
        <v/>
      </c>
      <c r="Z238" s="30" t="str">
        <f aca="false">IF($A238="","",IF(COUNTIFS(counts!$C$2:$C$701,$A238,counts!$D$2:$D$701,$B238,counts!$E$2:$E$701,"placed")=0,"",SUMIFS(counts!$F$2:$F$701,counts!$C$2:$C$701,$A238,counts!$D$2:$D$701,$B238,counts!$E$2:$E$701,"placed")))</f>
        <v/>
      </c>
      <c r="AA238" s="30" t="str">
        <f aca="false">IF($A238="","",IF($Y238="",0,N($Z238)))</f>
        <v/>
      </c>
      <c r="AB238" s="30" t="str">
        <f aca="false">IF($A238="","",IF(OR($Y238="",$I238=""),"N",IF($Y238&lt;=WORKDAY(N($I238),1,calendar!$A$2:$A$80),"Y","N")))</f>
        <v/>
      </c>
      <c r="AC238" s="33" t="str">
        <f aca="false">IF(OR($A238="",$V238="",$Y238=""),"",ROUND(($Y238+N(IFERROR(IF(INDEX(photos!$F$2:$F$701,MATCH($A238&amp;"|"&amp;$B238&amp;"|placement|Y",photos!$R$2:$R$701,0))="","",INDEX(photos!$F$2:$F$701,MATCH($A238&amp;"|"&amp;$B238&amp;"|placement|Y",photos!$R$2:$R$701,0))),""))-$V238)*24,1))</f>
        <v/>
      </c>
      <c r="AD238" s="30" t="str">
        <f aca="false">IF($A238="","",SUMIFS(inventory!$G$2:$G$801,inventory!$C$2:$C$801,$A238,inventory!$D$2:$D$801,$B238,inventory!$E$2:$E$801,"topped_up"))</f>
        <v/>
      </c>
      <c r="AE238" s="30" t="str">
        <f aca="false">IF($A238="","",IF(COUNTIFS(counts!$C$2:$C$701,$A238,counts!$D$2:$D$701,$B238,counts!$E$2:$E$701,"remaining_day3")=0,"",SUMIFS(counts!$F$2:$F$701,counts!$C$2:$C$701,$A238,counts!$D$2:$D$701,$B238,counts!$E$2:$E$701,"remaining_day3")))</f>
        <v/>
      </c>
      <c r="AF238" s="30" t="str">
        <f aca="false">IF($A238="","",IF(COUNTIFS(counts!$C$2:$C$701,$A238,counts!$D$2:$D$701,$B238,counts!$E$2:$E$701,"remaining_day5")=0,"",SUMIFS(counts!$F$2:$F$701,counts!$C$2:$C$701,$A238,counts!$D$2:$D$701,$B238,counts!$E$2:$E$701,"remaining_day5")))</f>
        <v/>
      </c>
      <c r="AG238" s="30" t="str">
        <f aca="false">IF(OR($A238="",$AF238=""),"",MAX(0,$AA238+$AD238-$AF238))</f>
        <v/>
      </c>
      <c r="AH238" s="30" t="str">
        <f aca="false">IF(OR($A238="",$AI238=""),"",IFERROR(IF(INDEX(photos!$H$2:$H$701,MATCH($A238&amp;"|"&amp;$B238&amp;"|later|Y|"&amp;$AI238,photos!$S$2:$S$701,0))="","",INDEX(photos!$H$2:$H$701,MATCH($A238&amp;"|"&amp;$B238&amp;"|later|Y|"&amp;$AI238,photos!$S$2:$S$701,0))),""))</f>
        <v/>
      </c>
      <c r="AI238" s="31" t="str">
        <f aca="false">IF($A238="","",IFERROR(1/(1/SUMPRODUCT(MAX((photos!$B$2:$B$701=$A238)*(photos!$C$2:$C$701=$B238)*(photos!$D$2:$D$701="later")*(photos!$O$2:$O$701="Y")*photos!$E$2:$E$701))),""))</f>
        <v/>
      </c>
      <c r="AJ238" s="30" t="str">
        <f aca="false">IF(OR($A238="",$AI238="",$I238=""),"",NETWORKDAYS($I238,$AI238,calendar!$A$2:$A$80))</f>
        <v/>
      </c>
      <c r="AK238" s="30" t="str">
        <f aca="false">IF($A238="","",IF(AND($X238&lt;&gt;"",$AH238&lt;&gt;""),"Y","N"))</f>
        <v/>
      </c>
      <c r="AL238" s="30" t="str">
        <f aca="true">IF(OR($A238="",$I238=""),"",IF($BC238="Y",SUMIFS(survey_frozen!$C$2:$C$251,survey_frozen!$P$2:$P$251,$A238&amp;"|"&amp;$B238),IFERROR(COUNTIFS(INDIRECT("'"&amp;$A238&amp;"'!$B$2:$B$501"),$T238,INDIRECT("'"&amp;$A238&amp;"'!$A$2:$A$501"),"&gt;="&amp;$I238,INDIRECT("'"&amp;$A238&amp;"'!$A$2:$A$501"),"&lt;"&amp;($BA238+1)),0)))</f>
        <v/>
      </c>
      <c r="AM238" s="30" t="str">
        <f aca="true">IF(OR($A238="",$I238=""),"",IF($BC238="Y",SUMIFS(survey_frozen!$D$2:$D$251,survey_frozen!$P$2:$P$251,$A238&amp;"|"&amp;$B238),IFERROR(COUNTIFS(INDIRECT("'"&amp;$A238&amp;"'!$B$2:$B$501"),$T238,INDIRECT("'"&amp;$A238&amp;"'!$A$2:$A$501"),"&gt;="&amp;$I238,INDIRECT("'"&amp;$A238&amp;"'!$A$2:$A$501"),"&lt;"&amp;($BA238+1),INDIRECT("'"&amp;$A238&amp;"'!$C$2:$C$501"),"Yes"),0)))</f>
        <v/>
      </c>
      <c r="AN238" s="30" t="str">
        <f aca="false">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30" t="str">
        <f aca="false">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30" t="str">
        <f aca="true">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30" t="str">
        <f aca="true">IF(OR($A238="",$I238=""),"",IF($BC238="Y",SUMIFS(survey_frozen!$E$2:$E$251,survey_frozen!$P$2:$P$251,$A238&amp;"|"&amp;$B238),IFERROR(COUNTIFS(INDIRECT("'"&amp;$A238&amp;"'!$B$2:$B$501"),$T238,INDIRECT("'"&amp;$A238&amp;"'!$A$2:$A$501"),"&gt;="&amp;$I238,INDIRECT("'"&amp;$A238&amp;"'!$A$2:$A$501"),"&lt;"&amp;($BA238+1),INDIRECT("'"&amp;$A238&amp;"'!$F$2:$F$501"),"Didn't see it"),0)))</f>
        <v/>
      </c>
      <c r="AR238" s="30" t="str">
        <f aca="true">IF(OR($A238="",$I238=""),"",IF($BC238="Y",SUMIFS(survey_frozen!$F$2:$F$251,survey_frozen!$P$2:$P$251,$A238&amp;"|"&amp;$B238),IFERROR(COUNTIFS(INDIRECT("'"&amp;$A238&amp;"'!$B$2:$B$501"),$T238,INDIRECT("'"&amp;$A238&amp;"'!$A$2:$A$501"),"&gt;="&amp;$I238,INDIRECT("'"&amp;$A238&amp;"'!$A$2:$A$501"),"&lt;"&amp;($BA238+1),INDIRECT("'"&amp;$A238&amp;"'!$F$2:$F$501"),"Not for me"),0)))</f>
        <v/>
      </c>
      <c r="AS238" s="30" t="str">
        <f aca="true">IF(OR($A238="",$I238=""),"",IF($BC238="Y",SUMIFS(survey_frozen!$G$2:$G$251,survey_frozen!$P$2:$P$251,$A238&amp;"|"&amp;$B238),IFERROR(COUNTIFS(INDIRECT("'"&amp;$A238&amp;"'!$B$2:$B$501"),$T238,INDIRECT("'"&amp;$A238&amp;"'!$A$2:$A$501"),"&gt;="&amp;$I238,INDIRECT("'"&amp;$A238&amp;"'!$A$2:$A$501"),"&lt;"&amp;($BA238+1),INDIRECT("'"&amp;$A238&amp;"'!$F$2:$F$501"),"Gone by the time I looked"),0)))</f>
        <v/>
      </c>
      <c r="AT238" s="30" t="str">
        <f aca="true">IF(OR($A238="",$I238=""),"",IF($BC238="Y",SUMIFS(survey_frozen!$H$2:$H$251,survey_frozen!$P$2:$P$251,$A238&amp;"|"&amp;$B238),IFERROR(COUNTIFS(INDIRECT("'"&amp;$A238&amp;"'!$B$2:$B$501"),$T238,INDIRECT("'"&amp;$A238&amp;"'!$A$2:$A$501"),"&gt;="&amp;$I238,INDIRECT("'"&amp;$A238&amp;"'!$A$2:$A$501"),"&lt;"&amp;($BA238+1),INDIRECT("'"&amp;$A238&amp;"'!$D$2:$D$501"),"&gt;=1"),0)))</f>
        <v/>
      </c>
      <c r="AU238" s="30" t="str">
        <f aca="true">IF(OR($A238="",$I238=""),"",IF($BC238="Y",SUMIFS(survey_frozen!$I$2:$I$251,survey_frozen!$P$2:$P$251,$A238&amp;"|"&amp;$B238),IFERROR(SUMIFS(INDIRECT("'"&amp;$A238&amp;"'!$D$2:$D$501"),INDIRECT("'"&amp;$A238&amp;"'!$B$2:$B$501"),$T238,INDIRECT("'"&amp;$A238&amp;"'!$A$2:$A$501"),"&gt;="&amp;$I238,INDIRECT("'"&amp;$A238&amp;"'!$A$2:$A$501"),"&lt;"&amp;($BA238+1)),0)))</f>
        <v/>
      </c>
      <c r="AV238" s="30" t="str">
        <f aca="true">IF(OR($A238="",$I238=""),"",IF($BC238="Y",SUMIFS(survey_frozen!$J$2:$J$251,survey_frozen!$P$2:$P$251,$A238&amp;"|"&amp;$B238),IFERROR(COUNTIFS(INDIRECT("'"&amp;$A238&amp;"'!$B$2:$B$501"),$T238,INDIRECT("'"&amp;$A238&amp;"'!$A$2:$A$501"),"&gt;="&amp;$I238,INDIRECT("'"&amp;$A238&amp;"'!$A$2:$A$501"),"&lt;"&amp;($BA238+1),INDIRECT("'"&amp;$A238&amp;"'!$E$2:$E$501"),"Yes"),0)))</f>
        <v/>
      </c>
      <c r="AW238" s="30" t="str">
        <f aca="true">IF(OR($A238="",$I238=""),"",IF($BC238="Y",SUMIFS(survey_frozen!$K$2:$K$251,survey_frozen!$P$2:$P$251,$A238&amp;"|"&amp;$B238),IFERROR(COUNTIFS(INDIRECT("'"&amp;$A238&amp;"'!$B$2:$B$501"),$T238,INDIRECT("'"&amp;$A238&amp;"'!$A$2:$A$501"),"&gt;="&amp;$I238,INDIRECT("'"&amp;$A238&amp;"'!$A$2:$A$501"),"&lt;"&amp;($BA238+1),INDIRECT("'"&amp;$A238&amp;"'!$E$2:$E$501"),"Maybe"),0)))</f>
        <v/>
      </c>
      <c r="AX238" s="30" t="str">
        <f aca="true">IF(OR($A238="",$I238=""),"",IF($BC238="Y",SUMIFS(survey_frozen!$L$2:$L$251,survey_frozen!$P$2:$P$251,$A238&amp;"|"&amp;$B238),IFERROR(COUNTIFS(INDIRECT("'"&amp;$A238&amp;"'!$B$2:$B$501"),$T238,INDIRECT("'"&amp;$A238&amp;"'!$A$2:$A$501"),"&gt;="&amp;$I238,INDIRECT("'"&amp;$A238&amp;"'!$A$2:$A$501"),"&lt;"&amp;($BA238+1),INDIRECT("'"&amp;$A238&amp;"'!$E$2:$E$501"),"No"),0)))</f>
        <v/>
      </c>
      <c r="AY238" s="30" t="str">
        <f aca="true">IF(OR($A238="",$I238=""),"",IF($BC238="Y",SUMIFS(survey_frozen!$M$2:$M$251,survey_frozen!$P$2:$P$251,$A238&amp;"|"&amp;$B238),IFERROR(COUNTIFS(INDIRECT("'"&amp;$A238&amp;"'!$B$2:$B$501"),$T238,INDIRECT("'"&amp;$A238&amp;"'!$A$2:$A$501"),"&gt;="&amp;$I238,INDIRECT("'"&amp;$A238&amp;"'!$A$2:$A$501"),"&lt;"&amp;($BA238+1),INDIRECT("'"&amp;$A238&amp;"'!$G$2:$G$501"),"&lt;&gt;"),0)))</f>
        <v/>
      </c>
      <c r="AZ238" s="30" t="str">
        <f aca="false">IF($A238="","",$A238&amp;"|"&amp;$L238)</f>
        <v/>
      </c>
      <c r="BA238" s="31" t="str">
        <f aca="false">IF($A238="","",IFERROR(IF(INDEX(drops!$R$2:$R$21,MATCH($H238,drops!$A$2:$A$21,0))="","",INDEX(drops!$R$2:$R$21,MATCH($H238,drops!$A$2:$A$21,0))),""))</f>
        <v/>
      </c>
      <c r="BB238" s="30" t="n">
        <f aca="false">IF(OR($A238="",$Q238&lt;&gt;"Y"),1000000,N($AL238))</f>
        <v>1000000</v>
      </c>
      <c r="BC238" s="30" t="str">
        <f aca="false">IF($A238="","",IF(COUNTIF(survey_frozen!$P$2:$P$251,$A238&amp;"|"&amp;$B238)&gt;0,"Y",""))</f>
        <v/>
      </c>
      <c r="BD238" s="30" t="str">
        <f aca="false">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ustomFormat="false" ht="15" hidden="false" customHeight="false" outlineLevel="0" collapsed="false">
      <c r="C239" s="11"/>
      <c r="D239" s="10"/>
      <c r="E239" s="11"/>
      <c r="H239" s="30" t="str">
        <f aca="false">IF($A239="","",IFERROR(IF(INDEX(campaigns!$B$2:$B$51,MATCH($A239,campaigns!$A$2:$A$51,0))="","",INDEX(campaigns!$B$2:$B$51,MATCH($A239,campaigns!$A$2:$A$51,0))),""))</f>
        <v/>
      </c>
      <c r="I239" s="31" t="str">
        <f aca="false">IF($A239="","",IFERROR(IF(INDEX(campaigns!$BG$2:$BG$51,MATCH($A239,campaigns!$A$2:$A$51,0))="","",INDEX(campaigns!$BG$2:$BG$51,MATCH($A239,campaigns!$A$2:$A$51,0))),""))</f>
        <v/>
      </c>
      <c r="J239" s="30" t="str">
        <f aca="false">IF($A239="","",IFERROR(IF(INDEX(campaigns!$BE$2:$BE$51,MATCH($A239,campaigns!$A$2:$A$51,0))="","",INDEX(campaigns!$BE$2:$BE$51,MATCH($A239,campaigns!$A$2:$A$51,0))),""))</f>
        <v/>
      </c>
      <c r="K239" s="30" t="str">
        <f aca="false">IF($B239="","",IFERROR(IF(INDEX(offices!$O$2:$O$61,MATCH($B239,offices!$A$2:$A$61,0))="","",INDEX(offices!$O$2:$O$61,MATCH($B239,offices!$A$2:$A$61,0))),""))</f>
        <v/>
      </c>
      <c r="L239" s="30" t="str">
        <f aca="false">IF($A239="","",IF($Q239="N","",COUNTIFS($A$2:$A239,$A239,$Q$2:$Q239,"&lt;&gt;N")))</f>
        <v/>
      </c>
      <c r="M239" s="30" t="str">
        <f aca="false">IF(OR($A239="",$L239=""),"",IF(AND(config!$B$34="names_if_public",IFERROR(IF(INDEX(offices!$AG$2:$AG$61,MATCH($B239,offices!$A$2:$A$61,0))="","",INDEX(offices!$AG$2:$AG$61,MATCH($B239,offices!$A$2:$A$61,0))),"")="Y"),$K239,CHAR(64+$L239)))</f>
        <v/>
      </c>
      <c r="N239" s="30" t="str">
        <f aca="false">IF(OR($A239="",$I239=""),"",COUNTIFS(stops!$B$2:$B$151,$B239,stops!$P$2:$P$151,"&lt;"&amp;$I239,stops!$L$2:$L$151,"&lt;&gt;not_delivered")+1)</f>
        <v/>
      </c>
      <c r="O239" s="30" t="str">
        <f aca="false">IF($A239="","",IF(N($N239)&lt;=config!$B$29,"explicit","opt-out"))</f>
        <v/>
      </c>
      <c r="P239" s="30" t="str">
        <f aca="false">IF($A239="","",IF($O239="explicit",IF($D239="yes","Y",IF($D239="no","N","pending")),IF($D239="no","N",IF(AND($C239&lt;&gt;"",$I239&lt;&gt;"",$C239&lt;=WORKDAY(N($I239),-5,calendar!$A$2:$A$80)),"Y","pending"))))</f>
        <v/>
      </c>
      <c r="Q239" s="30" t="str">
        <f aca="false">IF($A239="","",IF($P239="N","N",IF($P239&lt;&gt;"Y","pending",IF(AND((COUNTIFS(stops!$A$2:$A$151,$H239,stops!$B$2:$B$151,$B239,stops!$L$2:$L$151,"declined")+COUNTIFS(stops!$A$2:$A$151,$H239,stops!$B$2:$B$151,$B239,stops!$L$2:$L$151,"building_refused")+COUNTIFS(stops!$A$2:$A$151,$H239,stops!$B$2:$B$151,$B239,stops!$L$2:$L$151,"not_delivered"))&gt;0,N($U239)=0),"N","Y"))))</f>
        <v/>
      </c>
      <c r="R239" s="30" t="str">
        <f aca="false">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30" t="str">
        <f aca="false">IF($A239="","",IF($G239&lt;&gt;"",$G239,IFERROR(IF(INDEX(offices!$AM$2:$AM$61,MATCH($B239,offices!$A$2:$A$61,0))="","",INDEX(offices!$AM$2:$AM$61,MATCH($B239,offices!$A$2:$A$61,0))),"")))</f>
        <v/>
      </c>
      <c r="T239" s="30" t="str">
        <f aca="false">IF($A239="","",$A239&amp;"."&amp;$B239)</f>
        <v/>
      </c>
      <c r="U239" s="30" t="str">
        <f aca="false">IF($A239="","",SUMIFS(inventory!$G$2:$G$801,inventory!$C$2:$C$801,$A239,inventory!$D$2:$D$801,$B239,inventory!$E$2:$E$801,"delivered"))</f>
        <v/>
      </c>
      <c r="V239" s="37" t="str">
        <f aca="false">IF($A239="","",IFERROR(1/(1/SUMPRODUCT(MAX((inventory!$C$2:$C$801=$A239)*(inventory!$D$2:$D$801=$B239)*(inventory!$E$2:$E$801="delivered")*(inventory!$A$2:$A$801+inventory!$B$2:$B$801)))),""))</f>
        <v/>
      </c>
      <c r="W239" s="30" t="str">
        <f aca="false">IF($A239="","",IFERROR(IF(INDEX(inventory!$J$2:$J$801,MATCH($A239&amp;"|"&amp;$B239&amp;"|delivered",inventory!$R$2:$R$801,0))="","",INDEX(inventory!$J$2:$J$801,MATCH($A239&amp;"|"&amp;$B239&amp;"|delivered",inventory!$R$2:$R$801,0))),""))</f>
        <v/>
      </c>
      <c r="X239" s="30" t="str">
        <f aca="false">IF($A239="","",IFERROR(IF(INDEX(photos!$H$2:$H$701,MATCH($A239&amp;"|"&amp;$B239&amp;"|placement|Y",photos!$R$2:$R$701,0))="","",INDEX(photos!$H$2:$H$701,MATCH($A239&amp;"|"&amp;$B239&amp;"|placement|Y",photos!$R$2:$R$701,0))),""))</f>
        <v/>
      </c>
      <c r="Y239" s="31" t="str">
        <f aca="false">IF($A239="","",IFERROR(IF(INDEX(photos!$E$2:$E$701,MATCH($A239&amp;"|"&amp;$B239&amp;"|placement|Y",photos!$R$2:$R$701,0))="","",INDEX(photos!$E$2:$E$701,MATCH($A239&amp;"|"&amp;$B239&amp;"|placement|Y",photos!$R$2:$R$701,0))),""))</f>
        <v/>
      </c>
      <c r="Z239" s="30" t="str">
        <f aca="false">IF($A239="","",IF(COUNTIFS(counts!$C$2:$C$701,$A239,counts!$D$2:$D$701,$B239,counts!$E$2:$E$701,"placed")=0,"",SUMIFS(counts!$F$2:$F$701,counts!$C$2:$C$701,$A239,counts!$D$2:$D$701,$B239,counts!$E$2:$E$701,"placed")))</f>
        <v/>
      </c>
      <c r="AA239" s="30" t="str">
        <f aca="false">IF($A239="","",IF($Y239="",0,N($Z239)))</f>
        <v/>
      </c>
      <c r="AB239" s="30" t="str">
        <f aca="false">IF($A239="","",IF(OR($Y239="",$I239=""),"N",IF($Y239&lt;=WORKDAY(N($I239),1,calendar!$A$2:$A$80),"Y","N")))</f>
        <v/>
      </c>
      <c r="AC239" s="33" t="str">
        <f aca="false">IF(OR($A239="",$V239="",$Y239=""),"",ROUND(($Y239+N(IFERROR(IF(INDEX(photos!$F$2:$F$701,MATCH($A239&amp;"|"&amp;$B239&amp;"|placement|Y",photos!$R$2:$R$701,0))="","",INDEX(photos!$F$2:$F$701,MATCH($A239&amp;"|"&amp;$B239&amp;"|placement|Y",photos!$R$2:$R$701,0))),""))-$V239)*24,1))</f>
        <v/>
      </c>
      <c r="AD239" s="30" t="str">
        <f aca="false">IF($A239="","",SUMIFS(inventory!$G$2:$G$801,inventory!$C$2:$C$801,$A239,inventory!$D$2:$D$801,$B239,inventory!$E$2:$E$801,"topped_up"))</f>
        <v/>
      </c>
      <c r="AE239" s="30" t="str">
        <f aca="false">IF($A239="","",IF(COUNTIFS(counts!$C$2:$C$701,$A239,counts!$D$2:$D$701,$B239,counts!$E$2:$E$701,"remaining_day3")=0,"",SUMIFS(counts!$F$2:$F$701,counts!$C$2:$C$701,$A239,counts!$D$2:$D$701,$B239,counts!$E$2:$E$701,"remaining_day3")))</f>
        <v/>
      </c>
      <c r="AF239" s="30" t="str">
        <f aca="false">IF($A239="","",IF(COUNTIFS(counts!$C$2:$C$701,$A239,counts!$D$2:$D$701,$B239,counts!$E$2:$E$701,"remaining_day5")=0,"",SUMIFS(counts!$F$2:$F$701,counts!$C$2:$C$701,$A239,counts!$D$2:$D$701,$B239,counts!$E$2:$E$701,"remaining_day5")))</f>
        <v/>
      </c>
      <c r="AG239" s="30" t="str">
        <f aca="false">IF(OR($A239="",$AF239=""),"",MAX(0,$AA239+$AD239-$AF239))</f>
        <v/>
      </c>
      <c r="AH239" s="30" t="str">
        <f aca="false">IF(OR($A239="",$AI239=""),"",IFERROR(IF(INDEX(photos!$H$2:$H$701,MATCH($A239&amp;"|"&amp;$B239&amp;"|later|Y|"&amp;$AI239,photos!$S$2:$S$701,0))="","",INDEX(photos!$H$2:$H$701,MATCH($A239&amp;"|"&amp;$B239&amp;"|later|Y|"&amp;$AI239,photos!$S$2:$S$701,0))),""))</f>
        <v/>
      </c>
      <c r="AI239" s="31" t="str">
        <f aca="false">IF($A239="","",IFERROR(1/(1/SUMPRODUCT(MAX((photos!$B$2:$B$701=$A239)*(photos!$C$2:$C$701=$B239)*(photos!$D$2:$D$701="later")*(photos!$O$2:$O$701="Y")*photos!$E$2:$E$701))),""))</f>
        <v/>
      </c>
      <c r="AJ239" s="30" t="str">
        <f aca="false">IF(OR($A239="",$AI239="",$I239=""),"",NETWORKDAYS($I239,$AI239,calendar!$A$2:$A$80))</f>
        <v/>
      </c>
      <c r="AK239" s="30" t="str">
        <f aca="false">IF($A239="","",IF(AND($X239&lt;&gt;"",$AH239&lt;&gt;""),"Y","N"))</f>
        <v/>
      </c>
      <c r="AL239" s="30" t="str">
        <f aca="true">IF(OR($A239="",$I239=""),"",IF($BC239="Y",SUMIFS(survey_frozen!$C$2:$C$251,survey_frozen!$P$2:$P$251,$A239&amp;"|"&amp;$B239),IFERROR(COUNTIFS(INDIRECT("'"&amp;$A239&amp;"'!$B$2:$B$501"),$T239,INDIRECT("'"&amp;$A239&amp;"'!$A$2:$A$501"),"&gt;="&amp;$I239,INDIRECT("'"&amp;$A239&amp;"'!$A$2:$A$501"),"&lt;"&amp;($BA239+1)),0)))</f>
        <v/>
      </c>
      <c r="AM239" s="30" t="str">
        <f aca="true">IF(OR($A239="",$I239=""),"",IF($BC239="Y",SUMIFS(survey_frozen!$D$2:$D$251,survey_frozen!$P$2:$P$251,$A239&amp;"|"&amp;$B239),IFERROR(COUNTIFS(INDIRECT("'"&amp;$A239&amp;"'!$B$2:$B$501"),$T239,INDIRECT("'"&amp;$A239&amp;"'!$A$2:$A$501"),"&gt;="&amp;$I239,INDIRECT("'"&amp;$A239&amp;"'!$A$2:$A$501"),"&lt;"&amp;($BA239+1),INDIRECT("'"&amp;$A239&amp;"'!$C$2:$C$501"),"Yes"),0)))</f>
        <v/>
      </c>
      <c r="AN239" s="30" t="str">
        <f aca="false">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30" t="str">
        <f aca="false">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30" t="str">
        <f aca="true">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30" t="str">
        <f aca="true">IF(OR($A239="",$I239=""),"",IF($BC239="Y",SUMIFS(survey_frozen!$E$2:$E$251,survey_frozen!$P$2:$P$251,$A239&amp;"|"&amp;$B239),IFERROR(COUNTIFS(INDIRECT("'"&amp;$A239&amp;"'!$B$2:$B$501"),$T239,INDIRECT("'"&amp;$A239&amp;"'!$A$2:$A$501"),"&gt;="&amp;$I239,INDIRECT("'"&amp;$A239&amp;"'!$A$2:$A$501"),"&lt;"&amp;($BA239+1),INDIRECT("'"&amp;$A239&amp;"'!$F$2:$F$501"),"Didn't see it"),0)))</f>
        <v/>
      </c>
      <c r="AR239" s="30" t="str">
        <f aca="true">IF(OR($A239="",$I239=""),"",IF($BC239="Y",SUMIFS(survey_frozen!$F$2:$F$251,survey_frozen!$P$2:$P$251,$A239&amp;"|"&amp;$B239),IFERROR(COUNTIFS(INDIRECT("'"&amp;$A239&amp;"'!$B$2:$B$501"),$T239,INDIRECT("'"&amp;$A239&amp;"'!$A$2:$A$501"),"&gt;="&amp;$I239,INDIRECT("'"&amp;$A239&amp;"'!$A$2:$A$501"),"&lt;"&amp;($BA239+1),INDIRECT("'"&amp;$A239&amp;"'!$F$2:$F$501"),"Not for me"),0)))</f>
        <v/>
      </c>
      <c r="AS239" s="30" t="str">
        <f aca="true">IF(OR($A239="",$I239=""),"",IF($BC239="Y",SUMIFS(survey_frozen!$G$2:$G$251,survey_frozen!$P$2:$P$251,$A239&amp;"|"&amp;$B239),IFERROR(COUNTIFS(INDIRECT("'"&amp;$A239&amp;"'!$B$2:$B$501"),$T239,INDIRECT("'"&amp;$A239&amp;"'!$A$2:$A$501"),"&gt;="&amp;$I239,INDIRECT("'"&amp;$A239&amp;"'!$A$2:$A$501"),"&lt;"&amp;($BA239+1),INDIRECT("'"&amp;$A239&amp;"'!$F$2:$F$501"),"Gone by the time I looked"),0)))</f>
        <v/>
      </c>
      <c r="AT239" s="30" t="str">
        <f aca="true">IF(OR($A239="",$I239=""),"",IF($BC239="Y",SUMIFS(survey_frozen!$H$2:$H$251,survey_frozen!$P$2:$P$251,$A239&amp;"|"&amp;$B239),IFERROR(COUNTIFS(INDIRECT("'"&amp;$A239&amp;"'!$B$2:$B$501"),$T239,INDIRECT("'"&amp;$A239&amp;"'!$A$2:$A$501"),"&gt;="&amp;$I239,INDIRECT("'"&amp;$A239&amp;"'!$A$2:$A$501"),"&lt;"&amp;($BA239+1),INDIRECT("'"&amp;$A239&amp;"'!$D$2:$D$501"),"&gt;=1"),0)))</f>
        <v/>
      </c>
      <c r="AU239" s="30" t="str">
        <f aca="true">IF(OR($A239="",$I239=""),"",IF($BC239="Y",SUMIFS(survey_frozen!$I$2:$I$251,survey_frozen!$P$2:$P$251,$A239&amp;"|"&amp;$B239),IFERROR(SUMIFS(INDIRECT("'"&amp;$A239&amp;"'!$D$2:$D$501"),INDIRECT("'"&amp;$A239&amp;"'!$B$2:$B$501"),$T239,INDIRECT("'"&amp;$A239&amp;"'!$A$2:$A$501"),"&gt;="&amp;$I239,INDIRECT("'"&amp;$A239&amp;"'!$A$2:$A$501"),"&lt;"&amp;($BA239+1)),0)))</f>
        <v/>
      </c>
      <c r="AV239" s="30" t="str">
        <f aca="true">IF(OR($A239="",$I239=""),"",IF($BC239="Y",SUMIFS(survey_frozen!$J$2:$J$251,survey_frozen!$P$2:$P$251,$A239&amp;"|"&amp;$B239),IFERROR(COUNTIFS(INDIRECT("'"&amp;$A239&amp;"'!$B$2:$B$501"),$T239,INDIRECT("'"&amp;$A239&amp;"'!$A$2:$A$501"),"&gt;="&amp;$I239,INDIRECT("'"&amp;$A239&amp;"'!$A$2:$A$501"),"&lt;"&amp;($BA239+1),INDIRECT("'"&amp;$A239&amp;"'!$E$2:$E$501"),"Yes"),0)))</f>
        <v/>
      </c>
      <c r="AW239" s="30" t="str">
        <f aca="true">IF(OR($A239="",$I239=""),"",IF($BC239="Y",SUMIFS(survey_frozen!$K$2:$K$251,survey_frozen!$P$2:$P$251,$A239&amp;"|"&amp;$B239),IFERROR(COUNTIFS(INDIRECT("'"&amp;$A239&amp;"'!$B$2:$B$501"),$T239,INDIRECT("'"&amp;$A239&amp;"'!$A$2:$A$501"),"&gt;="&amp;$I239,INDIRECT("'"&amp;$A239&amp;"'!$A$2:$A$501"),"&lt;"&amp;($BA239+1),INDIRECT("'"&amp;$A239&amp;"'!$E$2:$E$501"),"Maybe"),0)))</f>
        <v/>
      </c>
      <c r="AX239" s="30" t="str">
        <f aca="true">IF(OR($A239="",$I239=""),"",IF($BC239="Y",SUMIFS(survey_frozen!$L$2:$L$251,survey_frozen!$P$2:$P$251,$A239&amp;"|"&amp;$B239),IFERROR(COUNTIFS(INDIRECT("'"&amp;$A239&amp;"'!$B$2:$B$501"),$T239,INDIRECT("'"&amp;$A239&amp;"'!$A$2:$A$501"),"&gt;="&amp;$I239,INDIRECT("'"&amp;$A239&amp;"'!$A$2:$A$501"),"&lt;"&amp;($BA239+1),INDIRECT("'"&amp;$A239&amp;"'!$E$2:$E$501"),"No"),0)))</f>
        <v/>
      </c>
      <c r="AY239" s="30" t="str">
        <f aca="true">IF(OR($A239="",$I239=""),"",IF($BC239="Y",SUMIFS(survey_frozen!$M$2:$M$251,survey_frozen!$P$2:$P$251,$A239&amp;"|"&amp;$B239),IFERROR(COUNTIFS(INDIRECT("'"&amp;$A239&amp;"'!$B$2:$B$501"),$T239,INDIRECT("'"&amp;$A239&amp;"'!$A$2:$A$501"),"&gt;="&amp;$I239,INDIRECT("'"&amp;$A239&amp;"'!$A$2:$A$501"),"&lt;"&amp;($BA239+1),INDIRECT("'"&amp;$A239&amp;"'!$G$2:$G$501"),"&lt;&gt;"),0)))</f>
        <v/>
      </c>
      <c r="AZ239" s="30" t="str">
        <f aca="false">IF($A239="","",$A239&amp;"|"&amp;$L239)</f>
        <v/>
      </c>
      <c r="BA239" s="31" t="str">
        <f aca="false">IF($A239="","",IFERROR(IF(INDEX(drops!$R$2:$R$21,MATCH($H239,drops!$A$2:$A$21,0))="","",INDEX(drops!$R$2:$R$21,MATCH($H239,drops!$A$2:$A$21,0))),""))</f>
        <v/>
      </c>
      <c r="BB239" s="30" t="n">
        <f aca="false">IF(OR($A239="",$Q239&lt;&gt;"Y"),1000000,N($AL239))</f>
        <v>1000000</v>
      </c>
      <c r="BC239" s="30" t="str">
        <f aca="false">IF($A239="","",IF(COUNTIF(survey_frozen!$P$2:$P$251,$A239&amp;"|"&amp;$B239)&gt;0,"Y",""))</f>
        <v/>
      </c>
      <c r="BD239" s="30" t="str">
        <f aca="false">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ustomFormat="false" ht="15" hidden="false" customHeight="false" outlineLevel="0" collapsed="false">
      <c r="C240" s="11"/>
      <c r="D240" s="10"/>
      <c r="E240" s="11"/>
      <c r="H240" s="30" t="str">
        <f aca="false">IF($A240="","",IFERROR(IF(INDEX(campaigns!$B$2:$B$51,MATCH($A240,campaigns!$A$2:$A$51,0))="","",INDEX(campaigns!$B$2:$B$51,MATCH($A240,campaigns!$A$2:$A$51,0))),""))</f>
        <v/>
      </c>
      <c r="I240" s="31" t="str">
        <f aca="false">IF($A240="","",IFERROR(IF(INDEX(campaigns!$BG$2:$BG$51,MATCH($A240,campaigns!$A$2:$A$51,0))="","",INDEX(campaigns!$BG$2:$BG$51,MATCH($A240,campaigns!$A$2:$A$51,0))),""))</f>
        <v/>
      </c>
      <c r="J240" s="30" t="str">
        <f aca="false">IF($A240="","",IFERROR(IF(INDEX(campaigns!$BE$2:$BE$51,MATCH($A240,campaigns!$A$2:$A$51,0))="","",INDEX(campaigns!$BE$2:$BE$51,MATCH($A240,campaigns!$A$2:$A$51,0))),""))</f>
        <v/>
      </c>
      <c r="K240" s="30" t="str">
        <f aca="false">IF($B240="","",IFERROR(IF(INDEX(offices!$O$2:$O$61,MATCH($B240,offices!$A$2:$A$61,0))="","",INDEX(offices!$O$2:$O$61,MATCH($B240,offices!$A$2:$A$61,0))),""))</f>
        <v/>
      </c>
      <c r="L240" s="30" t="str">
        <f aca="false">IF($A240="","",IF($Q240="N","",COUNTIFS($A$2:$A240,$A240,$Q$2:$Q240,"&lt;&gt;N")))</f>
        <v/>
      </c>
      <c r="M240" s="30" t="str">
        <f aca="false">IF(OR($A240="",$L240=""),"",IF(AND(config!$B$34="names_if_public",IFERROR(IF(INDEX(offices!$AG$2:$AG$61,MATCH($B240,offices!$A$2:$A$61,0))="","",INDEX(offices!$AG$2:$AG$61,MATCH($B240,offices!$A$2:$A$61,0))),"")="Y"),$K240,CHAR(64+$L240)))</f>
        <v/>
      </c>
      <c r="N240" s="30" t="str">
        <f aca="false">IF(OR($A240="",$I240=""),"",COUNTIFS(stops!$B$2:$B$151,$B240,stops!$P$2:$P$151,"&lt;"&amp;$I240,stops!$L$2:$L$151,"&lt;&gt;not_delivered")+1)</f>
        <v/>
      </c>
      <c r="O240" s="30" t="str">
        <f aca="false">IF($A240="","",IF(N($N240)&lt;=config!$B$29,"explicit","opt-out"))</f>
        <v/>
      </c>
      <c r="P240" s="30" t="str">
        <f aca="false">IF($A240="","",IF($O240="explicit",IF($D240="yes","Y",IF($D240="no","N","pending")),IF($D240="no","N",IF(AND($C240&lt;&gt;"",$I240&lt;&gt;"",$C240&lt;=WORKDAY(N($I240),-5,calendar!$A$2:$A$80)),"Y","pending"))))</f>
        <v/>
      </c>
      <c r="Q240" s="30" t="str">
        <f aca="false">IF($A240="","",IF($P240="N","N",IF($P240&lt;&gt;"Y","pending",IF(AND((COUNTIFS(stops!$A$2:$A$151,$H240,stops!$B$2:$B$151,$B240,stops!$L$2:$L$151,"declined")+COUNTIFS(stops!$A$2:$A$151,$H240,stops!$B$2:$B$151,$B240,stops!$L$2:$L$151,"building_refused")+COUNTIFS(stops!$A$2:$A$151,$H240,stops!$B$2:$B$151,$B240,stops!$L$2:$L$151,"not_delivered"))&gt;0,N($U240)=0),"N","Y"))))</f>
        <v/>
      </c>
      <c r="R240" s="30" t="str">
        <f aca="false">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30" t="str">
        <f aca="false">IF($A240="","",IF($G240&lt;&gt;"",$G240,IFERROR(IF(INDEX(offices!$AM$2:$AM$61,MATCH($B240,offices!$A$2:$A$61,0))="","",INDEX(offices!$AM$2:$AM$61,MATCH($B240,offices!$A$2:$A$61,0))),"")))</f>
        <v/>
      </c>
      <c r="T240" s="30" t="str">
        <f aca="false">IF($A240="","",$A240&amp;"."&amp;$B240)</f>
        <v/>
      </c>
      <c r="U240" s="30" t="str">
        <f aca="false">IF($A240="","",SUMIFS(inventory!$G$2:$G$801,inventory!$C$2:$C$801,$A240,inventory!$D$2:$D$801,$B240,inventory!$E$2:$E$801,"delivered"))</f>
        <v/>
      </c>
      <c r="V240" s="37" t="str">
        <f aca="false">IF($A240="","",IFERROR(1/(1/SUMPRODUCT(MAX((inventory!$C$2:$C$801=$A240)*(inventory!$D$2:$D$801=$B240)*(inventory!$E$2:$E$801="delivered")*(inventory!$A$2:$A$801+inventory!$B$2:$B$801)))),""))</f>
        <v/>
      </c>
      <c r="W240" s="30" t="str">
        <f aca="false">IF($A240="","",IFERROR(IF(INDEX(inventory!$J$2:$J$801,MATCH($A240&amp;"|"&amp;$B240&amp;"|delivered",inventory!$R$2:$R$801,0))="","",INDEX(inventory!$J$2:$J$801,MATCH($A240&amp;"|"&amp;$B240&amp;"|delivered",inventory!$R$2:$R$801,0))),""))</f>
        <v/>
      </c>
      <c r="X240" s="30" t="str">
        <f aca="false">IF($A240="","",IFERROR(IF(INDEX(photos!$H$2:$H$701,MATCH($A240&amp;"|"&amp;$B240&amp;"|placement|Y",photos!$R$2:$R$701,0))="","",INDEX(photos!$H$2:$H$701,MATCH($A240&amp;"|"&amp;$B240&amp;"|placement|Y",photos!$R$2:$R$701,0))),""))</f>
        <v/>
      </c>
      <c r="Y240" s="31" t="str">
        <f aca="false">IF($A240="","",IFERROR(IF(INDEX(photos!$E$2:$E$701,MATCH($A240&amp;"|"&amp;$B240&amp;"|placement|Y",photos!$R$2:$R$701,0))="","",INDEX(photos!$E$2:$E$701,MATCH($A240&amp;"|"&amp;$B240&amp;"|placement|Y",photos!$R$2:$R$701,0))),""))</f>
        <v/>
      </c>
      <c r="Z240" s="30" t="str">
        <f aca="false">IF($A240="","",IF(COUNTIFS(counts!$C$2:$C$701,$A240,counts!$D$2:$D$701,$B240,counts!$E$2:$E$701,"placed")=0,"",SUMIFS(counts!$F$2:$F$701,counts!$C$2:$C$701,$A240,counts!$D$2:$D$701,$B240,counts!$E$2:$E$701,"placed")))</f>
        <v/>
      </c>
      <c r="AA240" s="30" t="str">
        <f aca="false">IF($A240="","",IF($Y240="",0,N($Z240)))</f>
        <v/>
      </c>
      <c r="AB240" s="30" t="str">
        <f aca="false">IF($A240="","",IF(OR($Y240="",$I240=""),"N",IF($Y240&lt;=WORKDAY(N($I240),1,calendar!$A$2:$A$80),"Y","N")))</f>
        <v/>
      </c>
      <c r="AC240" s="33" t="str">
        <f aca="false">IF(OR($A240="",$V240="",$Y240=""),"",ROUND(($Y240+N(IFERROR(IF(INDEX(photos!$F$2:$F$701,MATCH($A240&amp;"|"&amp;$B240&amp;"|placement|Y",photos!$R$2:$R$701,0))="","",INDEX(photos!$F$2:$F$701,MATCH($A240&amp;"|"&amp;$B240&amp;"|placement|Y",photos!$R$2:$R$701,0))),""))-$V240)*24,1))</f>
        <v/>
      </c>
      <c r="AD240" s="30" t="str">
        <f aca="false">IF($A240="","",SUMIFS(inventory!$G$2:$G$801,inventory!$C$2:$C$801,$A240,inventory!$D$2:$D$801,$B240,inventory!$E$2:$E$801,"topped_up"))</f>
        <v/>
      </c>
      <c r="AE240" s="30" t="str">
        <f aca="false">IF($A240="","",IF(COUNTIFS(counts!$C$2:$C$701,$A240,counts!$D$2:$D$701,$B240,counts!$E$2:$E$701,"remaining_day3")=0,"",SUMIFS(counts!$F$2:$F$701,counts!$C$2:$C$701,$A240,counts!$D$2:$D$701,$B240,counts!$E$2:$E$701,"remaining_day3")))</f>
        <v/>
      </c>
      <c r="AF240" s="30" t="str">
        <f aca="false">IF($A240="","",IF(COUNTIFS(counts!$C$2:$C$701,$A240,counts!$D$2:$D$701,$B240,counts!$E$2:$E$701,"remaining_day5")=0,"",SUMIFS(counts!$F$2:$F$701,counts!$C$2:$C$701,$A240,counts!$D$2:$D$701,$B240,counts!$E$2:$E$701,"remaining_day5")))</f>
        <v/>
      </c>
      <c r="AG240" s="30" t="str">
        <f aca="false">IF(OR($A240="",$AF240=""),"",MAX(0,$AA240+$AD240-$AF240))</f>
        <v/>
      </c>
      <c r="AH240" s="30" t="str">
        <f aca="false">IF(OR($A240="",$AI240=""),"",IFERROR(IF(INDEX(photos!$H$2:$H$701,MATCH($A240&amp;"|"&amp;$B240&amp;"|later|Y|"&amp;$AI240,photos!$S$2:$S$701,0))="","",INDEX(photos!$H$2:$H$701,MATCH($A240&amp;"|"&amp;$B240&amp;"|later|Y|"&amp;$AI240,photos!$S$2:$S$701,0))),""))</f>
        <v/>
      </c>
      <c r="AI240" s="31" t="str">
        <f aca="false">IF($A240="","",IFERROR(1/(1/SUMPRODUCT(MAX((photos!$B$2:$B$701=$A240)*(photos!$C$2:$C$701=$B240)*(photos!$D$2:$D$701="later")*(photos!$O$2:$O$701="Y")*photos!$E$2:$E$701))),""))</f>
        <v/>
      </c>
      <c r="AJ240" s="30" t="str">
        <f aca="false">IF(OR($A240="",$AI240="",$I240=""),"",NETWORKDAYS($I240,$AI240,calendar!$A$2:$A$80))</f>
        <v/>
      </c>
      <c r="AK240" s="30" t="str">
        <f aca="false">IF($A240="","",IF(AND($X240&lt;&gt;"",$AH240&lt;&gt;""),"Y","N"))</f>
        <v/>
      </c>
      <c r="AL240" s="30" t="str">
        <f aca="true">IF(OR($A240="",$I240=""),"",IF($BC240="Y",SUMIFS(survey_frozen!$C$2:$C$251,survey_frozen!$P$2:$P$251,$A240&amp;"|"&amp;$B240),IFERROR(COUNTIFS(INDIRECT("'"&amp;$A240&amp;"'!$B$2:$B$501"),$T240,INDIRECT("'"&amp;$A240&amp;"'!$A$2:$A$501"),"&gt;="&amp;$I240,INDIRECT("'"&amp;$A240&amp;"'!$A$2:$A$501"),"&lt;"&amp;($BA240+1)),0)))</f>
        <v/>
      </c>
      <c r="AM240" s="30" t="str">
        <f aca="true">IF(OR($A240="",$I240=""),"",IF($BC240="Y",SUMIFS(survey_frozen!$D$2:$D$251,survey_frozen!$P$2:$P$251,$A240&amp;"|"&amp;$B240),IFERROR(COUNTIFS(INDIRECT("'"&amp;$A240&amp;"'!$B$2:$B$501"),$T240,INDIRECT("'"&amp;$A240&amp;"'!$A$2:$A$501"),"&gt;="&amp;$I240,INDIRECT("'"&amp;$A240&amp;"'!$A$2:$A$501"),"&lt;"&amp;($BA240+1),INDIRECT("'"&amp;$A240&amp;"'!$C$2:$C$501"),"Yes"),0)))</f>
        <v/>
      </c>
      <c r="AN240" s="30" t="str">
        <f aca="false">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30" t="str">
        <f aca="false">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30" t="str">
        <f aca="true">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30" t="str">
        <f aca="true">IF(OR($A240="",$I240=""),"",IF($BC240="Y",SUMIFS(survey_frozen!$E$2:$E$251,survey_frozen!$P$2:$P$251,$A240&amp;"|"&amp;$B240),IFERROR(COUNTIFS(INDIRECT("'"&amp;$A240&amp;"'!$B$2:$B$501"),$T240,INDIRECT("'"&amp;$A240&amp;"'!$A$2:$A$501"),"&gt;="&amp;$I240,INDIRECT("'"&amp;$A240&amp;"'!$A$2:$A$501"),"&lt;"&amp;($BA240+1),INDIRECT("'"&amp;$A240&amp;"'!$F$2:$F$501"),"Didn't see it"),0)))</f>
        <v/>
      </c>
      <c r="AR240" s="30" t="str">
        <f aca="true">IF(OR($A240="",$I240=""),"",IF($BC240="Y",SUMIFS(survey_frozen!$F$2:$F$251,survey_frozen!$P$2:$P$251,$A240&amp;"|"&amp;$B240),IFERROR(COUNTIFS(INDIRECT("'"&amp;$A240&amp;"'!$B$2:$B$501"),$T240,INDIRECT("'"&amp;$A240&amp;"'!$A$2:$A$501"),"&gt;="&amp;$I240,INDIRECT("'"&amp;$A240&amp;"'!$A$2:$A$501"),"&lt;"&amp;($BA240+1),INDIRECT("'"&amp;$A240&amp;"'!$F$2:$F$501"),"Not for me"),0)))</f>
        <v/>
      </c>
      <c r="AS240" s="30" t="str">
        <f aca="true">IF(OR($A240="",$I240=""),"",IF($BC240="Y",SUMIFS(survey_frozen!$G$2:$G$251,survey_frozen!$P$2:$P$251,$A240&amp;"|"&amp;$B240),IFERROR(COUNTIFS(INDIRECT("'"&amp;$A240&amp;"'!$B$2:$B$501"),$T240,INDIRECT("'"&amp;$A240&amp;"'!$A$2:$A$501"),"&gt;="&amp;$I240,INDIRECT("'"&amp;$A240&amp;"'!$A$2:$A$501"),"&lt;"&amp;($BA240+1),INDIRECT("'"&amp;$A240&amp;"'!$F$2:$F$501"),"Gone by the time I looked"),0)))</f>
        <v/>
      </c>
      <c r="AT240" s="30" t="str">
        <f aca="true">IF(OR($A240="",$I240=""),"",IF($BC240="Y",SUMIFS(survey_frozen!$H$2:$H$251,survey_frozen!$P$2:$P$251,$A240&amp;"|"&amp;$B240),IFERROR(COUNTIFS(INDIRECT("'"&amp;$A240&amp;"'!$B$2:$B$501"),$T240,INDIRECT("'"&amp;$A240&amp;"'!$A$2:$A$501"),"&gt;="&amp;$I240,INDIRECT("'"&amp;$A240&amp;"'!$A$2:$A$501"),"&lt;"&amp;($BA240+1),INDIRECT("'"&amp;$A240&amp;"'!$D$2:$D$501"),"&gt;=1"),0)))</f>
        <v/>
      </c>
      <c r="AU240" s="30" t="str">
        <f aca="true">IF(OR($A240="",$I240=""),"",IF($BC240="Y",SUMIFS(survey_frozen!$I$2:$I$251,survey_frozen!$P$2:$P$251,$A240&amp;"|"&amp;$B240),IFERROR(SUMIFS(INDIRECT("'"&amp;$A240&amp;"'!$D$2:$D$501"),INDIRECT("'"&amp;$A240&amp;"'!$B$2:$B$501"),$T240,INDIRECT("'"&amp;$A240&amp;"'!$A$2:$A$501"),"&gt;="&amp;$I240,INDIRECT("'"&amp;$A240&amp;"'!$A$2:$A$501"),"&lt;"&amp;($BA240+1)),0)))</f>
        <v/>
      </c>
      <c r="AV240" s="30" t="str">
        <f aca="true">IF(OR($A240="",$I240=""),"",IF($BC240="Y",SUMIFS(survey_frozen!$J$2:$J$251,survey_frozen!$P$2:$P$251,$A240&amp;"|"&amp;$B240),IFERROR(COUNTIFS(INDIRECT("'"&amp;$A240&amp;"'!$B$2:$B$501"),$T240,INDIRECT("'"&amp;$A240&amp;"'!$A$2:$A$501"),"&gt;="&amp;$I240,INDIRECT("'"&amp;$A240&amp;"'!$A$2:$A$501"),"&lt;"&amp;($BA240+1),INDIRECT("'"&amp;$A240&amp;"'!$E$2:$E$501"),"Yes"),0)))</f>
        <v/>
      </c>
      <c r="AW240" s="30" t="str">
        <f aca="true">IF(OR($A240="",$I240=""),"",IF($BC240="Y",SUMIFS(survey_frozen!$K$2:$K$251,survey_frozen!$P$2:$P$251,$A240&amp;"|"&amp;$B240),IFERROR(COUNTIFS(INDIRECT("'"&amp;$A240&amp;"'!$B$2:$B$501"),$T240,INDIRECT("'"&amp;$A240&amp;"'!$A$2:$A$501"),"&gt;="&amp;$I240,INDIRECT("'"&amp;$A240&amp;"'!$A$2:$A$501"),"&lt;"&amp;($BA240+1),INDIRECT("'"&amp;$A240&amp;"'!$E$2:$E$501"),"Maybe"),0)))</f>
        <v/>
      </c>
      <c r="AX240" s="30" t="str">
        <f aca="true">IF(OR($A240="",$I240=""),"",IF($BC240="Y",SUMIFS(survey_frozen!$L$2:$L$251,survey_frozen!$P$2:$P$251,$A240&amp;"|"&amp;$B240),IFERROR(COUNTIFS(INDIRECT("'"&amp;$A240&amp;"'!$B$2:$B$501"),$T240,INDIRECT("'"&amp;$A240&amp;"'!$A$2:$A$501"),"&gt;="&amp;$I240,INDIRECT("'"&amp;$A240&amp;"'!$A$2:$A$501"),"&lt;"&amp;($BA240+1),INDIRECT("'"&amp;$A240&amp;"'!$E$2:$E$501"),"No"),0)))</f>
        <v/>
      </c>
      <c r="AY240" s="30" t="str">
        <f aca="true">IF(OR($A240="",$I240=""),"",IF($BC240="Y",SUMIFS(survey_frozen!$M$2:$M$251,survey_frozen!$P$2:$P$251,$A240&amp;"|"&amp;$B240),IFERROR(COUNTIFS(INDIRECT("'"&amp;$A240&amp;"'!$B$2:$B$501"),$T240,INDIRECT("'"&amp;$A240&amp;"'!$A$2:$A$501"),"&gt;="&amp;$I240,INDIRECT("'"&amp;$A240&amp;"'!$A$2:$A$501"),"&lt;"&amp;($BA240+1),INDIRECT("'"&amp;$A240&amp;"'!$G$2:$G$501"),"&lt;&gt;"),0)))</f>
        <v/>
      </c>
      <c r="AZ240" s="30" t="str">
        <f aca="false">IF($A240="","",$A240&amp;"|"&amp;$L240)</f>
        <v/>
      </c>
      <c r="BA240" s="31" t="str">
        <f aca="false">IF($A240="","",IFERROR(IF(INDEX(drops!$R$2:$R$21,MATCH($H240,drops!$A$2:$A$21,0))="","",INDEX(drops!$R$2:$R$21,MATCH($H240,drops!$A$2:$A$21,0))),""))</f>
        <v/>
      </c>
      <c r="BB240" s="30" t="n">
        <f aca="false">IF(OR($A240="",$Q240&lt;&gt;"Y"),1000000,N($AL240))</f>
        <v>1000000</v>
      </c>
      <c r="BC240" s="30" t="str">
        <f aca="false">IF($A240="","",IF(COUNTIF(survey_frozen!$P$2:$P$251,$A240&amp;"|"&amp;$B240)&gt;0,"Y",""))</f>
        <v/>
      </c>
      <c r="BD240" s="30" t="str">
        <f aca="false">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ustomFormat="false" ht="15" hidden="false" customHeight="false" outlineLevel="0" collapsed="false">
      <c r="C241" s="11"/>
      <c r="D241" s="10"/>
      <c r="E241" s="11"/>
      <c r="H241" s="30" t="str">
        <f aca="false">IF($A241="","",IFERROR(IF(INDEX(campaigns!$B$2:$B$51,MATCH($A241,campaigns!$A$2:$A$51,0))="","",INDEX(campaigns!$B$2:$B$51,MATCH($A241,campaigns!$A$2:$A$51,0))),""))</f>
        <v/>
      </c>
      <c r="I241" s="31" t="str">
        <f aca="false">IF($A241="","",IFERROR(IF(INDEX(campaigns!$BG$2:$BG$51,MATCH($A241,campaigns!$A$2:$A$51,0))="","",INDEX(campaigns!$BG$2:$BG$51,MATCH($A241,campaigns!$A$2:$A$51,0))),""))</f>
        <v/>
      </c>
      <c r="J241" s="30" t="str">
        <f aca="false">IF($A241="","",IFERROR(IF(INDEX(campaigns!$BE$2:$BE$51,MATCH($A241,campaigns!$A$2:$A$51,0))="","",INDEX(campaigns!$BE$2:$BE$51,MATCH($A241,campaigns!$A$2:$A$51,0))),""))</f>
        <v/>
      </c>
      <c r="K241" s="30" t="str">
        <f aca="false">IF($B241="","",IFERROR(IF(INDEX(offices!$O$2:$O$61,MATCH($B241,offices!$A$2:$A$61,0))="","",INDEX(offices!$O$2:$O$61,MATCH($B241,offices!$A$2:$A$61,0))),""))</f>
        <v/>
      </c>
      <c r="L241" s="30" t="str">
        <f aca="false">IF($A241="","",IF($Q241="N","",COUNTIFS($A$2:$A241,$A241,$Q$2:$Q241,"&lt;&gt;N")))</f>
        <v/>
      </c>
      <c r="M241" s="30" t="str">
        <f aca="false">IF(OR($A241="",$L241=""),"",IF(AND(config!$B$34="names_if_public",IFERROR(IF(INDEX(offices!$AG$2:$AG$61,MATCH($B241,offices!$A$2:$A$61,0))="","",INDEX(offices!$AG$2:$AG$61,MATCH($B241,offices!$A$2:$A$61,0))),"")="Y"),$K241,CHAR(64+$L241)))</f>
        <v/>
      </c>
      <c r="N241" s="30" t="str">
        <f aca="false">IF(OR($A241="",$I241=""),"",COUNTIFS(stops!$B$2:$B$151,$B241,stops!$P$2:$P$151,"&lt;"&amp;$I241,stops!$L$2:$L$151,"&lt;&gt;not_delivered")+1)</f>
        <v/>
      </c>
      <c r="O241" s="30" t="str">
        <f aca="false">IF($A241="","",IF(N($N241)&lt;=config!$B$29,"explicit","opt-out"))</f>
        <v/>
      </c>
      <c r="P241" s="30" t="str">
        <f aca="false">IF($A241="","",IF($O241="explicit",IF($D241="yes","Y",IF($D241="no","N","pending")),IF($D241="no","N",IF(AND($C241&lt;&gt;"",$I241&lt;&gt;"",$C241&lt;=WORKDAY(N($I241),-5,calendar!$A$2:$A$80)),"Y","pending"))))</f>
        <v/>
      </c>
      <c r="Q241" s="30" t="str">
        <f aca="false">IF($A241="","",IF($P241="N","N",IF($P241&lt;&gt;"Y","pending",IF(AND((COUNTIFS(stops!$A$2:$A$151,$H241,stops!$B$2:$B$151,$B241,stops!$L$2:$L$151,"declined")+COUNTIFS(stops!$A$2:$A$151,$H241,stops!$B$2:$B$151,$B241,stops!$L$2:$L$151,"building_refused")+COUNTIFS(stops!$A$2:$A$151,$H241,stops!$B$2:$B$151,$B241,stops!$L$2:$L$151,"not_delivered"))&gt;0,N($U241)=0),"N","Y"))))</f>
        <v/>
      </c>
      <c r="R241" s="30" t="str">
        <f aca="false">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30" t="str">
        <f aca="false">IF($A241="","",IF($G241&lt;&gt;"",$G241,IFERROR(IF(INDEX(offices!$AM$2:$AM$61,MATCH($B241,offices!$A$2:$A$61,0))="","",INDEX(offices!$AM$2:$AM$61,MATCH($B241,offices!$A$2:$A$61,0))),"")))</f>
        <v/>
      </c>
      <c r="T241" s="30" t="str">
        <f aca="false">IF($A241="","",$A241&amp;"."&amp;$B241)</f>
        <v/>
      </c>
      <c r="U241" s="30" t="str">
        <f aca="false">IF($A241="","",SUMIFS(inventory!$G$2:$G$801,inventory!$C$2:$C$801,$A241,inventory!$D$2:$D$801,$B241,inventory!$E$2:$E$801,"delivered"))</f>
        <v/>
      </c>
      <c r="V241" s="37" t="str">
        <f aca="false">IF($A241="","",IFERROR(1/(1/SUMPRODUCT(MAX((inventory!$C$2:$C$801=$A241)*(inventory!$D$2:$D$801=$B241)*(inventory!$E$2:$E$801="delivered")*(inventory!$A$2:$A$801+inventory!$B$2:$B$801)))),""))</f>
        <v/>
      </c>
      <c r="W241" s="30" t="str">
        <f aca="false">IF($A241="","",IFERROR(IF(INDEX(inventory!$J$2:$J$801,MATCH($A241&amp;"|"&amp;$B241&amp;"|delivered",inventory!$R$2:$R$801,0))="","",INDEX(inventory!$J$2:$J$801,MATCH($A241&amp;"|"&amp;$B241&amp;"|delivered",inventory!$R$2:$R$801,0))),""))</f>
        <v/>
      </c>
      <c r="X241" s="30" t="str">
        <f aca="false">IF($A241="","",IFERROR(IF(INDEX(photos!$H$2:$H$701,MATCH($A241&amp;"|"&amp;$B241&amp;"|placement|Y",photos!$R$2:$R$701,0))="","",INDEX(photos!$H$2:$H$701,MATCH($A241&amp;"|"&amp;$B241&amp;"|placement|Y",photos!$R$2:$R$701,0))),""))</f>
        <v/>
      </c>
      <c r="Y241" s="31" t="str">
        <f aca="false">IF($A241="","",IFERROR(IF(INDEX(photos!$E$2:$E$701,MATCH($A241&amp;"|"&amp;$B241&amp;"|placement|Y",photos!$R$2:$R$701,0))="","",INDEX(photos!$E$2:$E$701,MATCH($A241&amp;"|"&amp;$B241&amp;"|placement|Y",photos!$R$2:$R$701,0))),""))</f>
        <v/>
      </c>
      <c r="Z241" s="30" t="str">
        <f aca="false">IF($A241="","",IF(COUNTIFS(counts!$C$2:$C$701,$A241,counts!$D$2:$D$701,$B241,counts!$E$2:$E$701,"placed")=0,"",SUMIFS(counts!$F$2:$F$701,counts!$C$2:$C$701,$A241,counts!$D$2:$D$701,$B241,counts!$E$2:$E$701,"placed")))</f>
        <v/>
      </c>
      <c r="AA241" s="30" t="str">
        <f aca="false">IF($A241="","",IF($Y241="",0,N($Z241)))</f>
        <v/>
      </c>
      <c r="AB241" s="30" t="str">
        <f aca="false">IF($A241="","",IF(OR($Y241="",$I241=""),"N",IF($Y241&lt;=WORKDAY(N($I241),1,calendar!$A$2:$A$80),"Y","N")))</f>
        <v/>
      </c>
      <c r="AC241" s="33" t="str">
        <f aca="false">IF(OR($A241="",$V241="",$Y241=""),"",ROUND(($Y241+N(IFERROR(IF(INDEX(photos!$F$2:$F$701,MATCH($A241&amp;"|"&amp;$B241&amp;"|placement|Y",photos!$R$2:$R$701,0))="","",INDEX(photos!$F$2:$F$701,MATCH($A241&amp;"|"&amp;$B241&amp;"|placement|Y",photos!$R$2:$R$701,0))),""))-$V241)*24,1))</f>
        <v/>
      </c>
      <c r="AD241" s="30" t="str">
        <f aca="false">IF($A241="","",SUMIFS(inventory!$G$2:$G$801,inventory!$C$2:$C$801,$A241,inventory!$D$2:$D$801,$B241,inventory!$E$2:$E$801,"topped_up"))</f>
        <v/>
      </c>
      <c r="AE241" s="30" t="str">
        <f aca="false">IF($A241="","",IF(COUNTIFS(counts!$C$2:$C$701,$A241,counts!$D$2:$D$701,$B241,counts!$E$2:$E$701,"remaining_day3")=0,"",SUMIFS(counts!$F$2:$F$701,counts!$C$2:$C$701,$A241,counts!$D$2:$D$701,$B241,counts!$E$2:$E$701,"remaining_day3")))</f>
        <v/>
      </c>
      <c r="AF241" s="30" t="str">
        <f aca="false">IF($A241="","",IF(COUNTIFS(counts!$C$2:$C$701,$A241,counts!$D$2:$D$701,$B241,counts!$E$2:$E$701,"remaining_day5")=0,"",SUMIFS(counts!$F$2:$F$701,counts!$C$2:$C$701,$A241,counts!$D$2:$D$701,$B241,counts!$E$2:$E$701,"remaining_day5")))</f>
        <v/>
      </c>
      <c r="AG241" s="30" t="str">
        <f aca="false">IF(OR($A241="",$AF241=""),"",MAX(0,$AA241+$AD241-$AF241))</f>
        <v/>
      </c>
      <c r="AH241" s="30" t="str">
        <f aca="false">IF(OR($A241="",$AI241=""),"",IFERROR(IF(INDEX(photos!$H$2:$H$701,MATCH($A241&amp;"|"&amp;$B241&amp;"|later|Y|"&amp;$AI241,photos!$S$2:$S$701,0))="","",INDEX(photos!$H$2:$H$701,MATCH($A241&amp;"|"&amp;$B241&amp;"|later|Y|"&amp;$AI241,photos!$S$2:$S$701,0))),""))</f>
        <v/>
      </c>
      <c r="AI241" s="31" t="str">
        <f aca="false">IF($A241="","",IFERROR(1/(1/SUMPRODUCT(MAX((photos!$B$2:$B$701=$A241)*(photos!$C$2:$C$701=$B241)*(photos!$D$2:$D$701="later")*(photos!$O$2:$O$701="Y")*photos!$E$2:$E$701))),""))</f>
        <v/>
      </c>
      <c r="AJ241" s="30" t="str">
        <f aca="false">IF(OR($A241="",$AI241="",$I241=""),"",NETWORKDAYS($I241,$AI241,calendar!$A$2:$A$80))</f>
        <v/>
      </c>
      <c r="AK241" s="30" t="str">
        <f aca="false">IF($A241="","",IF(AND($X241&lt;&gt;"",$AH241&lt;&gt;""),"Y","N"))</f>
        <v/>
      </c>
      <c r="AL241" s="30" t="str">
        <f aca="true">IF(OR($A241="",$I241=""),"",IF($BC241="Y",SUMIFS(survey_frozen!$C$2:$C$251,survey_frozen!$P$2:$P$251,$A241&amp;"|"&amp;$B241),IFERROR(COUNTIFS(INDIRECT("'"&amp;$A241&amp;"'!$B$2:$B$501"),$T241,INDIRECT("'"&amp;$A241&amp;"'!$A$2:$A$501"),"&gt;="&amp;$I241,INDIRECT("'"&amp;$A241&amp;"'!$A$2:$A$501"),"&lt;"&amp;($BA241+1)),0)))</f>
        <v/>
      </c>
      <c r="AM241" s="30" t="str">
        <f aca="true">IF(OR($A241="",$I241=""),"",IF($BC241="Y",SUMIFS(survey_frozen!$D$2:$D$251,survey_frozen!$P$2:$P$251,$A241&amp;"|"&amp;$B241),IFERROR(COUNTIFS(INDIRECT("'"&amp;$A241&amp;"'!$B$2:$B$501"),$T241,INDIRECT("'"&amp;$A241&amp;"'!$A$2:$A$501"),"&gt;="&amp;$I241,INDIRECT("'"&amp;$A241&amp;"'!$A$2:$A$501"),"&lt;"&amp;($BA241+1),INDIRECT("'"&amp;$A241&amp;"'!$C$2:$C$501"),"Yes"),0)))</f>
        <v/>
      </c>
      <c r="AN241" s="30" t="str">
        <f aca="false">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30" t="str">
        <f aca="false">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30" t="str">
        <f aca="true">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30" t="str">
        <f aca="true">IF(OR($A241="",$I241=""),"",IF($BC241="Y",SUMIFS(survey_frozen!$E$2:$E$251,survey_frozen!$P$2:$P$251,$A241&amp;"|"&amp;$B241),IFERROR(COUNTIFS(INDIRECT("'"&amp;$A241&amp;"'!$B$2:$B$501"),$T241,INDIRECT("'"&amp;$A241&amp;"'!$A$2:$A$501"),"&gt;="&amp;$I241,INDIRECT("'"&amp;$A241&amp;"'!$A$2:$A$501"),"&lt;"&amp;($BA241+1),INDIRECT("'"&amp;$A241&amp;"'!$F$2:$F$501"),"Didn't see it"),0)))</f>
        <v/>
      </c>
      <c r="AR241" s="30" t="str">
        <f aca="true">IF(OR($A241="",$I241=""),"",IF($BC241="Y",SUMIFS(survey_frozen!$F$2:$F$251,survey_frozen!$P$2:$P$251,$A241&amp;"|"&amp;$B241),IFERROR(COUNTIFS(INDIRECT("'"&amp;$A241&amp;"'!$B$2:$B$501"),$T241,INDIRECT("'"&amp;$A241&amp;"'!$A$2:$A$501"),"&gt;="&amp;$I241,INDIRECT("'"&amp;$A241&amp;"'!$A$2:$A$501"),"&lt;"&amp;($BA241+1),INDIRECT("'"&amp;$A241&amp;"'!$F$2:$F$501"),"Not for me"),0)))</f>
        <v/>
      </c>
      <c r="AS241" s="30" t="str">
        <f aca="true">IF(OR($A241="",$I241=""),"",IF($BC241="Y",SUMIFS(survey_frozen!$G$2:$G$251,survey_frozen!$P$2:$P$251,$A241&amp;"|"&amp;$B241),IFERROR(COUNTIFS(INDIRECT("'"&amp;$A241&amp;"'!$B$2:$B$501"),$T241,INDIRECT("'"&amp;$A241&amp;"'!$A$2:$A$501"),"&gt;="&amp;$I241,INDIRECT("'"&amp;$A241&amp;"'!$A$2:$A$501"),"&lt;"&amp;($BA241+1),INDIRECT("'"&amp;$A241&amp;"'!$F$2:$F$501"),"Gone by the time I looked"),0)))</f>
        <v/>
      </c>
      <c r="AT241" s="30" t="str">
        <f aca="true">IF(OR($A241="",$I241=""),"",IF($BC241="Y",SUMIFS(survey_frozen!$H$2:$H$251,survey_frozen!$P$2:$P$251,$A241&amp;"|"&amp;$B241),IFERROR(COUNTIFS(INDIRECT("'"&amp;$A241&amp;"'!$B$2:$B$501"),$T241,INDIRECT("'"&amp;$A241&amp;"'!$A$2:$A$501"),"&gt;="&amp;$I241,INDIRECT("'"&amp;$A241&amp;"'!$A$2:$A$501"),"&lt;"&amp;($BA241+1),INDIRECT("'"&amp;$A241&amp;"'!$D$2:$D$501"),"&gt;=1"),0)))</f>
        <v/>
      </c>
      <c r="AU241" s="30" t="str">
        <f aca="true">IF(OR($A241="",$I241=""),"",IF($BC241="Y",SUMIFS(survey_frozen!$I$2:$I$251,survey_frozen!$P$2:$P$251,$A241&amp;"|"&amp;$B241),IFERROR(SUMIFS(INDIRECT("'"&amp;$A241&amp;"'!$D$2:$D$501"),INDIRECT("'"&amp;$A241&amp;"'!$B$2:$B$501"),$T241,INDIRECT("'"&amp;$A241&amp;"'!$A$2:$A$501"),"&gt;="&amp;$I241,INDIRECT("'"&amp;$A241&amp;"'!$A$2:$A$501"),"&lt;"&amp;($BA241+1)),0)))</f>
        <v/>
      </c>
      <c r="AV241" s="30" t="str">
        <f aca="true">IF(OR($A241="",$I241=""),"",IF($BC241="Y",SUMIFS(survey_frozen!$J$2:$J$251,survey_frozen!$P$2:$P$251,$A241&amp;"|"&amp;$B241),IFERROR(COUNTIFS(INDIRECT("'"&amp;$A241&amp;"'!$B$2:$B$501"),$T241,INDIRECT("'"&amp;$A241&amp;"'!$A$2:$A$501"),"&gt;="&amp;$I241,INDIRECT("'"&amp;$A241&amp;"'!$A$2:$A$501"),"&lt;"&amp;($BA241+1),INDIRECT("'"&amp;$A241&amp;"'!$E$2:$E$501"),"Yes"),0)))</f>
        <v/>
      </c>
      <c r="AW241" s="30" t="str">
        <f aca="true">IF(OR($A241="",$I241=""),"",IF($BC241="Y",SUMIFS(survey_frozen!$K$2:$K$251,survey_frozen!$P$2:$P$251,$A241&amp;"|"&amp;$B241),IFERROR(COUNTIFS(INDIRECT("'"&amp;$A241&amp;"'!$B$2:$B$501"),$T241,INDIRECT("'"&amp;$A241&amp;"'!$A$2:$A$501"),"&gt;="&amp;$I241,INDIRECT("'"&amp;$A241&amp;"'!$A$2:$A$501"),"&lt;"&amp;($BA241+1),INDIRECT("'"&amp;$A241&amp;"'!$E$2:$E$501"),"Maybe"),0)))</f>
        <v/>
      </c>
      <c r="AX241" s="30" t="str">
        <f aca="true">IF(OR($A241="",$I241=""),"",IF($BC241="Y",SUMIFS(survey_frozen!$L$2:$L$251,survey_frozen!$P$2:$P$251,$A241&amp;"|"&amp;$B241),IFERROR(COUNTIFS(INDIRECT("'"&amp;$A241&amp;"'!$B$2:$B$501"),$T241,INDIRECT("'"&amp;$A241&amp;"'!$A$2:$A$501"),"&gt;="&amp;$I241,INDIRECT("'"&amp;$A241&amp;"'!$A$2:$A$501"),"&lt;"&amp;($BA241+1),INDIRECT("'"&amp;$A241&amp;"'!$E$2:$E$501"),"No"),0)))</f>
        <v/>
      </c>
      <c r="AY241" s="30" t="str">
        <f aca="true">IF(OR($A241="",$I241=""),"",IF($BC241="Y",SUMIFS(survey_frozen!$M$2:$M$251,survey_frozen!$P$2:$P$251,$A241&amp;"|"&amp;$B241),IFERROR(COUNTIFS(INDIRECT("'"&amp;$A241&amp;"'!$B$2:$B$501"),$T241,INDIRECT("'"&amp;$A241&amp;"'!$A$2:$A$501"),"&gt;="&amp;$I241,INDIRECT("'"&amp;$A241&amp;"'!$A$2:$A$501"),"&lt;"&amp;($BA241+1),INDIRECT("'"&amp;$A241&amp;"'!$G$2:$G$501"),"&lt;&gt;"),0)))</f>
        <v/>
      </c>
      <c r="AZ241" s="30" t="str">
        <f aca="false">IF($A241="","",$A241&amp;"|"&amp;$L241)</f>
        <v/>
      </c>
      <c r="BA241" s="31" t="str">
        <f aca="false">IF($A241="","",IFERROR(IF(INDEX(drops!$R$2:$R$21,MATCH($H241,drops!$A$2:$A$21,0))="","",INDEX(drops!$R$2:$R$21,MATCH($H241,drops!$A$2:$A$21,0))),""))</f>
        <v/>
      </c>
      <c r="BB241" s="30" t="n">
        <f aca="false">IF(OR($A241="",$Q241&lt;&gt;"Y"),1000000,N($AL241))</f>
        <v>1000000</v>
      </c>
      <c r="BC241" s="30" t="str">
        <f aca="false">IF($A241="","",IF(COUNTIF(survey_frozen!$P$2:$P$251,$A241&amp;"|"&amp;$B241)&gt;0,"Y",""))</f>
        <v/>
      </c>
      <c r="BD241" s="30" t="str">
        <f aca="false">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ustomFormat="false" ht="15" hidden="false" customHeight="false" outlineLevel="0" collapsed="false">
      <c r="C242" s="11"/>
      <c r="D242" s="10"/>
      <c r="E242" s="11"/>
      <c r="H242" s="30" t="str">
        <f aca="false">IF($A242="","",IFERROR(IF(INDEX(campaigns!$B$2:$B$51,MATCH($A242,campaigns!$A$2:$A$51,0))="","",INDEX(campaigns!$B$2:$B$51,MATCH($A242,campaigns!$A$2:$A$51,0))),""))</f>
        <v/>
      </c>
      <c r="I242" s="31" t="str">
        <f aca="false">IF($A242="","",IFERROR(IF(INDEX(campaigns!$BG$2:$BG$51,MATCH($A242,campaigns!$A$2:$A$51,0))="","",INDEX(campaigns!$BG$2:$BG$51,MATCH($A242,campaigns!$A$2:$A$51,0))),""))</f>
        <v/>
      </c>
      <c r="J242" s="30" t="str">
        <f aca="false">IF($A242="","",IFERROR(IF(INDEX(campaigns!$BE$2:$BE$51,MATCH($A242,campaigns!$A$2:$A$51,0))="","",INDEX(campaigns!$BE$2:$BE$51,MATCH($A242,campaigns!$A$2:$A$51,0))),""))</f>
        <v/>
      </c>
      <c r="K242" s="30" t="str">
        <f aca="false">IF($B242="","",IFERROR(IF(INDEX(offices!$O$2:$O$61,MATCH($B242,offices!$A$2:$A$61,0))="","",INDEX(offices!$O$2:$O$61,MATCH($B242,offices!$A$2:$A$61,0))),""))</f>
        <v/>
      </c>
      <c r="L242" s="30" t="str">
        <f aca="false">IF($A242="","",IF($Q242="N","",COUNTIFS($A$2:$A242,$A242,$Q$2:$Q242,"&lt;&gt;N")))</f>
        <v/>
      </c>
      <c r="M242" s="30" t="str">
        <f aca="false">IF(OR($A242="",$L242=""),"",IF(AND(config!$B$34="names_if_public",IFERROR(IF(INDEX(offices!$AG$2:$AG$61,MATCH($B242,offices!$A$2:$A$61,0))="","",INDEX(offices!$AG$2:$AG$61,MATCH($B242,offices!$A$2:$A$61,0))),"")="Y"),$K242,CHAR(64+$L242)))</f>
        <v/>
      </c>
      <c r="N242" s="30" t="str">
        <f aca="false">IF(OR($A242="",$I242=""),"",COUNTIFS(stops!$B$2:$B$151,$B242,stops!$P$2:$P$151,"&lt;"&amp;$I242,stops!$L$2:$L$151,"&lt;&gt;not_delivered")+1)</f>
        <v/>
      </c>
      <c r="O242" s="30" t="str">
        <f aca="false">IF($A242="","",IF(N($N242)&lt;=config!$B$29,"explicit","opt-out"))</f>
        <v/>
      </c>
      <c r="P242" s="30" t="str">
        <f aca="false">IF($A242="","",IF($O242="explicit",IF($D242="yes","Y",IF($D242="no","N","pending")),IF($D242="no","N",IF(AND($C242&lt;&gt;"",$I242&lt;&gt;"",$C242&lt;=WORKDAY(N($I242),-5,calendar!$A$2:$A$80)),"Y","pending"))))</f>
        <v/>
      </c>
      <c r="Q242" s="30" t="str">
        <f aca="false">IF($A242="","",IF($P242="N","N",IF($P242&lt;&gt;"Y","pending",IF(AND((COUNTIFS(stops!$A$2:$A$151,$H242,stops!$B$2:$B$151,$B242,stops!$L$2:$L$151,"declined")+COUNTIFS(stops!$A$2:$A$151,$H242,stops!$B$2:$B$151,$B242,stops!$L$2:$L$151,"building_refused")+COUNTIFS(stops!$A$2:$A$151,$H242,stops!$B$2:$B$151,$B242,stops!$L$2:$L$151,"not_delivered"))&gt;0,N($U242)=0),"N","Y"))))</f>
        <v/>
      </c>
      <c r="R242" s="30" t="str">
        <f aca="false">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30" t="str">
        <f aca="false">IF($A242="","",IF($G242&lt;&gt;"",$G242,IFERROR(IF(INDEX(offices!$AM$2:$AM$61,MATCH($B242,offices!$A$2:$A$61,0))="","",INDEX(offices!$AM$2:$AM$61,MATCH($B242,offices!$A$2:$A$61,0))),"")))</f>
        <v/>
      </c>
      <c r="T242" s="30" t="str">
        <f aca="false">IF($A242="","",$A242&amp;"."&amp;$B242)</f>
        <v/>
      </c>
      <c r="U242" s="30" t="str">
        <f aca="false">IF($A242="","",SUMIFS(inventory!$G$2:$G$801,inventory!$C$2:$C$801,$A242,inventory!$D$2:$D$801,$B242,inventory!$E$2:$E$801,"delivered"))</f>
        <v/>
      </c>
      <c r="V242" s="37" t="str">
        <f aca="false">IF($A242="","",IFERROR(1/(1/SUMPRODUCT(MAX((inventory!$C$2:$C$801=$A242)*(inventory!$D$2:$D$801=$B242)*(inventory!$E$2:$E$801="delivered")*(inventory!$A$2:$A$801+inventory!$B$2:$B$801)))),""))</f>
        <v/>
      </c>
      <c r="W242" s="30" t="str">
        <f aca="false">IF($A242="","",IFERROR(IF(INDEX(inventory!$J$2:$J$801,MATCH($A242&amp;"|"&amp;$B242&amp;"|delivered",inventory!$R$2:$R$801,0))="","",INDEX(inventory!$J$2:$J$801,MATCH($A242&amp;"|"&amp;$B242&amp;"|delivered",inventory!$R$2:$R$801,0))),""))</f>
        <v/>
      </c>
      <c r="X242" s="30" t="str">
        <f aca="false">IF($A242="","",IFERROR(IF(INDEX(photos!$H$2:$H$701,MATCH($A242&amp;"|"&amp;$B242&amp;"|placement|Y",photos!$R$2:$R$701,0))="","",INDEX(photos!$H$2:$H$701,MATCH($A242&amp;"|"&amp;$B242&amp;"|placement|Y",photos!$R$2:$R$701,0))),""))</f>
        <v/>
      </c>
      <c r="Y242" s="31" t="str">
        <f aca="false">IF($A242="","",IFERROR(IF(INDEX(photos!$E$2:$E$701,MATCH($A242&amp;"|"&amp;$B242&amp;"|placement|Y",photos!$R$2:$R$701,0))="","",INDEX(photos!$E$2:$E$701,MATCH($A242&amp;"|"&amp;$B242&amp;"|placement|Y",photos!$R$2:$R$701,0))),""))</f>
        <v/>
      </c>
      <c r="Z242" s="30" t="str">
        <f aca="false">IF($A242="","",IF(COUNTIFS(counts!$C$2:$C$701,$A242,counts!$D$2:$D$701,$B242,counts!$E$2:$E$701,"placed")=0,"",SUMIFS(counts!$F$2:$F$701,counts!$C$2:$C$701,$A242,counts!$D$2:$D$701,$B242,counts!$E$2:$E$701,"placed")))</f>
        <v/>
      </c>
      <c r="AA242" s="30" t="str">
        <f aca="false">IF($A242="","",IF($Y242="",0,N($Z242)))</f>
        <v/>
      </c>
      <c r="AB242" s="30" t="str">
        <f aca="false">IF($A242="","",IF(OR($Y242="",$I242=""),"N",IF($Y242&lt;=WORKDAY(N($I242),1,calendar!$A$2:$A$80),"Y","N")))</f>
        <v/>
      </c>
      <c r="AC242" s="33" t="str">
        <f aca="false">IF(OR($A242="",$V242="",$Y242=""),"",ROUND(($Y242+N(IFERROR(IF(INDEX(photos!$F$2:$F$701,MATCH($A242&amp;"|"&amp;$B242&amp;"|placement|Y",photos!$R$2:$R$701,0))="","",INDEX(photos!$F$2:$F$701,MATCH($A242&amp;"|"&amp;$B242&amp;"|placement|Y",photos!$R$2:$R$701,0))),""))-$V242)*24,1))</f>
        <v/>
      </c>
      <c r="AD242" s="30" t="str">
        <f aca="false">IF($A242="","",SUMIFS(inventory!$G$2:$G$801,inventory!$C$2:$C$801,$A242,inventory!$D$2:$D$801,$B242,inventory!$E$2:$E$801,"topped_up"))</f>
        <v/>
      </c>
      <c r="AE242" s="30" t="str">
        <f aca="false">IF($A242="","",IF(COUNTIFS(counts!$C$2:$C$701,$A242,counts!$D$2:$D$701,$B242,counts!$E$2:$E$701,"remaining_day3")=0,"",SUMIFS(counts!$F$2:$F$701,counts!$C$2:$C$701,$A242,counts!$D$2:$D$701,$B242,counts!$E$2:$E$701,"remaining_day3")))</f>
        <v/>
      </c>
      <c r="AF242" s="30" t="str">
        <f aca="false">IF($A242="","",IF(COUNTIFS(counts!$C$2:$C$701,$A242,counts!$D$2:$D$701,$B242,counts!$E$2:$E$701,"remaining_day5")=0,"",SUMIFS(counts!$F$2:$F$701,counts!$C$2:$C$701,$A242,counts!$D$2:$D$701,$B242,counts!$E$2:$E$701,"remaining_day5")))</f>
        <v/>
      </c>
      <c r="AG242" s="30" t="str">
        <f aca="false">IF(OR($A242="",$AF242=""),"",MAX(0,$AA242+$AD242-$AF242))</f>
        <v/>
      </c>
      <c r="AH242" s="30" t="str">
        <f aca="false">IF(OR($A242="",$AI242=""),"",IFERROR(IF(INDEX(photos!$H$2:$H$701,MATCH($A242&amp;"|"&amp;$B242&amp;"|later|Y|"&amp;$AI242,photos!$S$2:$S$701,0))="","",INDEX(photos!$H$2:$H$701,MATCH($A242&amp;"|"&amp;$B242&amp;"|later|Y|"&amp;$AI242,photos!$S$2:$S$701,0))),""))</f>
        <v/>
      </c>
      <c r="AI242" s="31" t="str">
        <f aca="false">IF($A242="","",IFERROR(1/(1/SUMPRODUCT(MAX((photos!$B$2:$B$701=$A242)*(photos!$C$2:$C$701=$B242)*(photos!$D$2:$D$701="later")*(photos!$O$2:$O$701="Y")*photos!$E$2:$E$701))),""))</f>
        <v/>
      </c>
      <c r="AJ242" s="30" t="str">
        <f aca="false">IF(OR($A242="",$AI242="",$I242=""),"",NETWORKDAYS($I242,$AI242,calendar!$A$2:$A$80))</f>
        <v/>
      </c>
      <c r="AK242" s="30" t="str">
        <f aca="false">IF($A242="","",IF(AND($X242&lt;&gt;"",$AH242&lt;&gt;""),"Y","N"))</f>
        <v/>
      </c>
      <c r="AL242" s="30" t="str">
        <f aca="true">IF(OR($A242="",$I242=""),"",IF($BC242="Y",SUMIFS(survey_frozen!$C$2:$C$251,survey_frozen!$P$2:$P$251,$A242&amp;"|"&amp;$B242),IFERROR(COUNTIFS(INDIRECT("'"&amp;$A242&amp;"'!$B$2:$B$501"),$T242,INDIRECT("'"&amp;$A242&amp;"'!$A$2:$A$501"),"&gt;="&amp;$I242,INDIRECT("'"&amp;$A242&amp;"'!$A$2:$A$501"),"&lt;"&amp;($BA242+1)),0)))</f>
        <v/>
      </c>
      <c r="AM242" s="30" t="str">
        <f aca="true">IF(OR($A242="",$I242=""),"",IF($BC242="Y",SUMIFS(survey_frozen!$D$2:$D$251,survey_frozen!$P$2:$P$251,$A242&amp;"|"&amp;$B242),IFERROR(COUNTIFS(INDIRECT("'"&amp;$A242&amp;"'!$B$2:$B$501"),$T242,INDIRECT("'"&amp;$A242&amp;"'!$A$2:$A$501"),"&gt;="&amp;$I242,INDIRECT("'"&amp;$A242&amp;"'!$A$2:$A$501"),"&lt;"&amp;($BA242+1),INDIRECT("'"&amp;$A242&amp;"'!$C$2:$C$501"),"Yes"),0)))</f>
        <v/>
      </c>
      <c r="AN242" s="30" t="str">
        <f aca="false">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30" t="str">
        <f aca="false">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30" t="str">
        <f aca="true">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30" t="str">
        <f aca="true">IF(OR($A242="",$I242=""),"",IF($BC242="Y",SUMIFS(survey_frozen!$E$2:$E$251,survey_frozen!$P$2:$P$251,$A242&amp;"|"&amp;$B242),IFERROR(COUNTIFS(INDIRECT("'"&amp;$A242&amp;"'!$B$2:$B$501"),$T242,INDIRECT("'"&amp;$A242&amp;"'!$A$2:$A$501"),"&gt;="&amp;$I242,INDIRECT("'"&amp;$A242&amp;"'!$A$2:$A$501"),"&lt;"&amp;($BA242+1),INDIRECT("'"&amp;$A242&amp;"'!$F$2:$F$501"),"Didn't see it"),0)))</f>
        <v/>
      </c>
      <c r="AR242" s="30" t="str">
        <f aca="true">IF(OR($A242="",$I242=""),"",IF($BC242="Y",SUMIFS(survey_frozen!$F$2:$F$251,survey_frozen!$P$2:$P$251,$A242&amp;"|"&amp;$B242),IFERROR(COUNTIFS(INDIRECT("'"&amp;$A242&amp;"'!$B$2:$B$501"),$T242,INDIRECT("'"&amp;$A242&amp;"'!$A$2:$A$501"),"&gt;="&amp;$I242,INDIRECT("'"&amp;$A242&amp;"'!$A$2:$A$501"),"&lt;"&amp;($BA242+1),INDIRECT("'"&amp;$A242&amp;"'!$F$2:$F$501"),"Not for me"),0)))</f>
        <v/>
      </c>
      <c r="AS242" s="30" t="str">
        <f aca="true">IF(OR($A242="",$I242=""),"",IF($BC242="Y",SUMIFS(survey_frozen!$G$2:$G$251,survey_frozen!$P$2:$P$251,$A242&amp;"|"&amp;$B242),IFERROR(COUNTIFS(INDIRECT("'"&amp;$A242&amp;"'!$B$2:$B$501"),$T242,INDIRECT("'"&amp;$A242&amp;"'!$A$2:$A$501"),"&gt;="&amp;$I242,INDIRECT("'"&amp;$A242&amp;"'!$A$2:$A$501"),"&lt;"&amp;($BA242+1),INDIRECT("'"&amp;$A242&amp;"'!$F$2:$F$501"),"Gone by the time I looked"),0)))</f>
        <v/>
      </c>
      <c r="AT242" s="30" t="str">
        <f aca="true">IF(OR($A242="",$I242=""),"",IF($BC242="Y",SUMIFS(survey_frozen!$H$2:$H$251,survey_frozen!$P$2:$P$251,$A242&amp;"|"&amp;$B242),IFERROR(COUNTIFS(INDIRECT("'"&amp;$A242&amp;"'!$B$2:$B$501"),$T242,INDIRECT("'"&amp;$A242&amp;"'!$A$2:$A$501"),"&gt;="&amp;$I242,INDIRECT("'"&amp;$A242&amp;"'!$A$2:$A$501"),"&lt;"&amp;($BA242+1),INDIRECT("'"&amp;$A242&amp;"'!$D$2:$D$501"),"&gt;=1"),0)))</f>
        <v/>
      </c>
      <c r="AU242" s="30" t="str">
        <f aca="true">IF(OR($A242="",$I242=""),"",IF($BC242="Y",SUMIFS(survey_frozen!$I$2:$I$251,survey_frozen!$P$2:$P$251,$A242&amp;"|"&amp;$B242),IFERROR(SUMIFS(INDIRECT("'"&amp;$A242&amp;"'!$D$2:$D$501"),INDIRECT("'"&amp;$A242&amp;"'!$B$2:$B$501"),$T242,INDIRECT("'"&amp;$A242&amp;"'!$A$2:$A$501"),"&gt;="&amp;$I242,INDIRECT("'"&amp;$A242&amp;"'!$A$2:$A$501"),"&lt;"&amp;($BA242+1)),0)))</f>
        <v/>
      </c>
      <c r="AV242" s="30" t="str">
        <f aca="true">IF(OR($A242="",$I242=""),"",IF($BC242="Y",SUMIFS(survey_frozen!$J$2:$J$251,survey_frozen!$P$2:$P$251,$A242&amp;"|"&amp;$B242),IFERROR(COUNTIFS(INDIRECT("'"&amp;$A242&amp;"'!$B$2:$B$501"),$T242,INDIRECT("'"&amp;$A242&amp;"'!$A$2:$A$501"),"&gt;="&amp;$I242,INDIRECT("'"&amp;$A242&amp;"'!$A$2:$A$501"),"&lt;"&amp;($BA242+1),INDIRECT("'"&amp;$A242&amp;"'!$E$2:$E$501"),"Yes"),0)))</f>
        <v/>
      </c>
      <c r="AW242" s="30" t="str">
        <f aca="true">IF(OR($A242="",$I242=""),"",IF($BC242="Y",SUMIFS(survey_frozen!$K$2:$K$251,survey_frozen!$P$2:$P$251,$A242&amp;"|"&amp;$B242),IFERROR(COUNTIFS(INDIRECT("'"&amp;$A242&amp;"'!$B$2:$B$501"),$T242,INDIRECT("'"&amp;$A242&amp;"'!$A$2:$A$501"),"&gt;="&amp;$I242,INDIRECT("'"&amp;$A242&amp;"'!$A$2:$A$501"),"&lt;"&amp;($BA242+1),INDIRECT("'"&amp;$A242&amp;"'!$E$2:$E$501"),"Maybe"),0)))</f>
        <v/>
      </c>
      <c r="AX242" s="30" t="str">
        <f aca="true">IF(OR($A242="",$I242=""),"",IF($BC242="Y",SUMIFS(survey_frozen!$L$2:$L$251,survey_frozen!$P$2:$P$251,$A242&amp;"|"&amp;$B242),IFERROR(COUNTIFS(INDIRECT("'"&amp;$A242&amp;"'!$B$2:$B$501"),$T242,INDIRECT("'"&amp;$A242&amp;"'!$A$2:$A$501"),"&gt;="&amp;$I242,INDIRECT("'"&amp;$A242&amp;"'!$A$2:$A$501"),"&lt;"&amp;($BA242+1),INDIRECT("'"&amp;$A242&amp;"'!$E$2:$E$501"),"No"),0)))</f>
        <v/>
      </c>
      <c r="AY242" s="30" t="str">
        <f aca="true">IF(OR($A242="",$I242=""),"",IF($BC242="Y",SUMIFS(survey_frozen!$M$2:$M$251,survey_frozen!$P$2:$P$251,$A242&amp;"|"&amp;$B242),IFERROR(COUNTIFS(INDIRECT("'"&amp;$A242&amp;"'!$B$2:$B$501"),$T242,INDIRECT("'"&amp;$A242&amp;"'!$A$2:$A$501"),"&gt;="&amp;$I242,INDIRECT("'"&amp;$A242&amp;"'!$A$2:$A$501"),"&lt;"&amp;($BA242+1),INDIRECT("'"&amp;$A242&amp;"'!$G$2:$G$501"),"&lt;&gt;"),0)))</f>
        <v/>
      </c>
      <c r="AZ242" s="30" t="str">
        <f aca="false">IF($A242="","",$A242&amp;"|"&amp;$L242)</f>
        <v/>
      </c>
      <c r="BA242" s="31" t="str">
        <f aca="false">IF($A242="","",IFERROR(IF(INDEX(drops!$R$2:$R$21,MATCH($H242,drops!$A$2:$A$21,0))="","",INDEX(drops!$R$2:$R$21,MATCH($H242,drops!$A$2:$A$21,0))),""))</f>
        <v/>
      </c>
      <c r="BB242" s="30" t="n">
        <f aca="false">IF(OR($A242="",$Q242&lt;&gt;"Y"),1000000,N($AL242))</f>
        <v>1000000</v>
      </c>
      <c r="BC242" s="30" t="str">
        <f aca="false">IF($A242="","",IF(COUNTIF(survey_frozen!$P$2:$P$251,$A242&amp;"|"&amp;$B242)&gt;0,"Y",""))</f>
        <v/>
      </c>
      <c r="BD242" s="30" t="str">
        <f aca="false">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ustomFormat="false" ht="15" hidden="false" customHeight="false" outlineLevel="0" collapsed="false">
      <c r="C243" s="11"/>
      <c r="D243" s="10"/>
      <c r="E243" s="11"/>
      <c r="H243" s="30" t="str">
        <f aca="false">IF($A243="","",IFERROR(IF(INDEX(campaigns!$B$2:$B$51,MATCH($A243,campaigns!$A$2:$A$51,0))="","",INDEX(campaigns!$B$2:$B$51,MATCH($A243,campaigns!$A$2:$A$51,0))),""))</f>
        <v/>
      </c>
      <c r="I243" s="31" t="str">
        <f aca="false">IF($A243="","",IFERROR(IF(INDEX(campaigns!$BG$2:$BG$51,MATCH($A243,campaigns!$A$2:$A$51,0))="","",INDEX(campaigns!$BG$2:$BG$51,MATCH($A243,campaigns!$A$2:$A$51,0))),""))</f>
        <v/>
      </c>
      <c r="J243" s="30" t="str">
        <f aca="false">IF($A243="","",IFERROR(IF(INDEX(campaigns!$BE$2:$BE$51,MATCH($A243,campaigns!$A$2:$A$51,0))="","",INDEX(campaigns!$BE$2:$BE$51,MATCH($A243,campaigns!$A$2:$A$51,0))),""))</f>
        <v/>
      </c>
      <c r="K243" s="30" t="str">
        <f aca="false">IF($B243="","",IFERROR(IF(INDEX(offices!$O$2:$O$61,MATCH($B243,offices!$A$2:$A$61,0))="","",INDEX(offices!$O$2:$O$61,MATCH($B243,offices!$A$2:$A$61,0))),""))</f>
        <v/>
      </c>
      <c r="L243" s="30" t="str">
        <f aca="false">IF($A243="","",IF($Q243="N","",COUNTIFS($A$2:$A243,$A243,$Q$2:$Q243,"&lt;&gt;N")))</f>
        <v/>
      </c>
      <c r="M243" s="30" t="str">
        <f aca="false">IF(OR($A243="",$L243=""),"",IF(AND(config!$B$34="names_if_public",IFERROR(IF(INDEX(offices!$AG$2:$AG$61,MATCH($B243,offices!$A$2:$A$61,0))="","",INDEX(offices!$AG$2:$AG$61,MATCH($B243,offices!$A$2:$A$61,0))),"")="Y"),$K243,CHAR(64+$L243)))</f>
        <v/>
      </c>
      <c r="N243" s="30" t="str">
        <f aca="false">IF(OR($A243="",$I243=""),"",COUNTIFS(stops!$B$2:$B$151,$B243,stops!$P$2:$P$151,"&lt;"&amp;$I243,stops!$L$2:$L$151,"&lt;&gt;not_delivered")+1)</f>
        <v/>
      </c>
      <c r="O243" s="30" t="str">
        <f aca="false">IF($A243="","",IF(N($N243)&lt;=config!$B$29,"explicit","opt-out"))</f>
        <v/>
      </c>
      <c r="P243" s="30" t="str">
        <f aca="false">IF($A243="","",IF($O243="explicit",IF($D243="yes","Y",IF($D243="no","N","pending")),IF($D243="no","N",IF(AND($C243&lt;&gt;"",$I243&lt;&gt;"",$C243&lt;=WORKDAY(N($I243),-5,calendar!$A$2:$A$80)),"Y","pending"))))</f>
        <v/>
      </c>
      <c r="Q243" s="30" t="str">
        <f aca="false">IF($A243="","",IF($P243="N","N",IF($P243&lt;&gt;"Y","pending",IF(AND((COUNTIFS(stops!$A$2:$A$151,$H243,stops!$B$2:$B$151,$B243,stops!$L$2:$L$151,"declined")+COUNTIFS(stops!$A$2:$A$151,$H243,stops!$B$2:$B$151,$B243,stops!$L$2:$L$151,"building_refused")+COUNTIFS(stops!$A$2:$A$151,$H243,stops!$B$2:$B$151,$B243,stops!$L$2:$L$151,"not_delivered"))&gt;0,N($U243)=0),"N","Y"))))</f>
        <v/>
      </c>
      <c r="R243" s="30" t="str">
        <f aca="false">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30" t="str">
        <f aca="false">IF($A243="","",IF($G243&lt;&gt;"",$G243,IFERROR(IF(INDEX(offices!$AM$2:$AM$61,MATCH($B243,offices!$A$2:$A$61,0))="","",INDEX(offices!$AM$2:$AM$61,MATCH($B243,offices!$A$2:$A$61,0))),"")))</f>
        <v/>
      </c>
      <c r="T243" s="30" t="str">
        <f aca="false">IF($A243="","",$A243&amp;"."&amp;$B243)</f>
        <v/>
      </c>
      <c r="U243" s="30" t="str">
        <f aca="false">IF($A243="","",SUMIFS(inventory!$G$2:$G$801,inventory!$C$2:$C$801,$A243,inventory!$D$2:$D$801,$B243,inventory!$E$2:$E$801,"delivered"))</f>
        <v/>
      </c>
      <c r="V243" s="37" t="str">
        <f aca="false">IF($A243="","",IFERROR(1/(1/SUMPRODUCT(MAX((inventory!$C$2:$C$801=$A243)*(inventory!$D$2:$D$801=$B243)*(inventory!$E$2:$E$801="delivered")*(inventory!$A$2:$A$801+inventory!$B$2:$B$801)))),""))</f>
        <v/>
      </c>
      <c r="W243" s="30" t="str">
        <f aca="false">IF($A243="","",IFERROR(IF(INDEX(inventory!$J$2:$J$801,MATCH($A243&amp;"|"&amp;$B243&amp;"|delivered",inventory!$R$2:$R$801,0))="","",INDEX(inventory!$J$2:$J$801,MATCH($A243&amp;"|"&amp;$B243&amp;"|delivered",inventory!$R$2:$R$801,0))),""))</f>
        <v/>
      </c>
      <c r="X243" s="30" t="str">
        <f aca="false">IF($A243="","",IFERROR(IF(INDEX(photos!$H$2:$H$701,MATCH($A243&amp;"|"&amp;$B243&amp;"|placement|Y",photos!$R$2:$R$701,0))="","",INDEX(photos!$H$2:$H$701,MATCH($A243&amp;"|"&amp;$B243&amp;"|placement|Y",photos!$R$2:$R$701,0))),""))</f>
        <v/>
      </c>
      <c r="Y243" s="31" t="str">
        <f aca="false">IF($A243="","",IFERROR(IF(INDEX(photos!$E$2:$E$701,MATCH($A243&amp;"|"&amp;$B243&amp;"|placement|Y",photos!$R$2:$R$701,0))="","",INDEX(photos!$E$2:$E$701,MATCH($A243&amp;"|"&amp;$B243&amp;"|placement|Y",photos!$R$2:$R$701,0))),""))</f>
        <v/>
      </c>
      <c r="Z243" s="30" t="str">
        <f aca="false">IF($A243="","",IF(COUNTIFS(counts!$C$2:$C$701,$A243,counts!$D$2:$D$701,$B243,counts!$E$2:$E$701,"placed")=0,"",SUMIFS(counts!$F$2:$F$701,counts!$C$2:$C$701,$A243,counts!$D$2:$D$701,$B243,counts!$E$2:$E$701,"placed")))</f>
        <v/>
      </c>
      <c r="AA243" s="30" t="str">
        <f aca="false">IF($A243="","",IF($Y243="",0,N($Z243)))</f>
        <v/>
      </c>
      <c r="AB243" s="30" t="str">
        <f aca="false">IF($A243="","",IF(OR($Y243="",$I243=""),"N",IF($Y243&lt;=WORKDAY(N($I243),1,calendar!$A$2:$A$80),"Y","N")))</f>
        <v/>
      </c>
      <c r="AC243" s="33" t="str">
        <f aca="false">IF(OR($A243="",$V243="",$Y243=""),"",ROUND(($Y243+N(IFERROR(IF(INDEX(photos!$F$2:$F$701,MATCH($A243&amp;"|"&amp;$B243&amp;"|placement|Y",photos!$R$2:$R$701,0))="","",INDEX(photos!$F$2:$F$701,MATCH($A243&amp;"|"&amp;$B243&amp;"|placement|Y",photos!$R$2:$R$701,0))),""))-$V243)*24,1))</f>
        <v/>
      </c>
      <c r="AD243" s="30" t="str">
        <f aca="false">IF($A243="","",SUMIFS(inventory!$G$2:$G$801,inventory!$C$2:$C$801,$A243,inventory!$D$2:$D$801,$B243,inventory!$E$2:$E$801,"topped_up"))</f>
        <v/>
      </c>
      <c r="AE243" s="30" t="str">
        <f aca="false">IF($A243="","",IF(COUNTIFS(counts!$C$2:$C$701,$A243,counts!$D$2:$D$701,$B243,counts!$E$2:$E$701,"remaining_day3")=0,"",SUMIFS(counts!$F$2:$F$701,counts!$C$2:$C$701,$A243,counts!$D$2:$D$701,$B243,counts!$E$2:$E$701,"remaining_day3")))</f>
        <v/>
      </c>
      <c r="AF243" s="30" t="str">
        <f aca="false">IF($A243="","",IF(COUNTIFS(counts!$C$2:$C$701,$A243,counts!$D$2:$D$701,$B243,counts!$E$2:$E$701,"remaining_day5")=0,"",SUMIFS(counts!$F$2:$F$701,counts!$C$2:$C$701,$A243,counts!$D$2:$D$701,$B243,counts!$E$2:$E$701,"remaining_day5")))</f>
        <v/>
      </c>
      <c r="AG243" s="30" t="str">
        <f aca="false">IF(OR($A243="",$AF243=""),"",MAX(0,$AA243+$AD243-$AF243))</f>
        <v/>
      </c>
      <c r="AH243" s="30" t="str">
        <f aca="false">IF(OR($A243="",$AI243=""),"",IFERROR(IF(INDEX(photos!$H$2:$H$701,MATCH($A243&amp;"|"&amp;$B243&amp;"|later|Y|"&amp;$AI243,photos!$S$2:$S$701,0))="","",INDEX(photos!$H$2:$H$701,MATCH($A243&amp;"|"&amp;$B243&amp;"|later|Y|"&amp;$AI243,photos!$S$2:$S$701,0))),""))</f>
        <v/>
      </c>
      <c r="AI243" s="31" t="str">
        <f aca="false">IF($A243="","",IFERROR(1/(1/SUMPRODUCT(MAX((photos!$B$2:$B$701=$A243)*(photos!$C$2:$C$701=$B243)*(photos!$D$2:$D$701="later")*(photos!$O$2:$O$701="Y")*photos!$E$2:$E$701))),""))</f>
        <v/>
      </c>
      <c r="AJ243" s="30" t="str">
        <f aca="false">IF(OR($A243="",$AI243="",$I243=""),"",NETWORKDAYS($I243,$AI243,calendar!$A$2:$A$80))</f>
        <v/>
      </c>
      <c r="AK243" s="30" t="str">
        <f aca="false">IF($A243="","",IF(AND($X243&lt;&gt;"",$AH243&lt;&gt;""),"Y","N"))</f>
        <v/>
      </c>
      <c r="AL243" s="30" t="str">
        <f aca="true">IF(OR($A243="",$I243=""),"",IF($BC243="Y",SUMIFS(survey_frozen!$C$2:$C$251,survey_frozen!$P$2:$P$251,$A243&amp;"|"&amp;$B243),IFERROR(COUNTIFS(INDIRECT("'"&amp;$A243&amp;"'!$B$2:$B$501"),$T243,INDIRECT("'"&amp;$A243&amp;"'!$A$2:$A$501"),"&gt;="&amp;$I243,INDIRECT("'"&amp;$A243&amp;"'!$A$2:$A$501"),"&lt;"&amp;($BA243+1)),0)))</f>
        <v/>
      </c>
      <c r="AM243" s="30" t="str">
        <f aca="true">IF(OR($A243="",$I243=""),"",IF($BC243="Y",SUMIFS(survey_frozen!$D$2:$D$251,survey_frozen!$P$2:$P$251,$A243&amp;"|"&amp;$B243),IFERROR(COUNTIFS(INDIRECT("'"&amp;$A243&amp;"'!$B$2:$B$501"),$T243,INDIRECT("'"&amp;$A243&amp;"'!$A$2:$A$501"),"&gt;="&amp;$I243,INDIRECT("'"&amp;$A243&amp;"'!$A$2:$A$501"),"&lt;"&amp;($BA243+1),INDIRECT("'"&amp;$A243&amp;"'!$C$2:$C$501"),"Yes"),0)))</f>
        <v/>
      </c>
      <c r="AN243" s="30" t="str">
        <f aca="false">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30" t="str">
        <f aca="false">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30" t="str">
        <f aca="true">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30" t="str">
        <f aca="true">IF(OR($A243="",$I243=""),"",IF($BC243="Y",SUMIFS(survey_frozen!$E$2:$E$251,survey_frozen!$P$2:$P$251,$A243&amp;"|"&amp;$B243),IFERROR(COUNTIFS(INDIRECT("'"&amp;$A243&amp;"'!$B$2:$B$501"),$T243,INDIRECT("'"&amp;$A243&amp;"'!$A$2:$A$501"),"&gt;="&amp;$I243,INDIRECT("'"&amp;$A243&amp;"'!$A$2:$A$501"),"&lt;"&amp;($BA243+1),INDIRECT("'"&amp;$A243&amp;"'!$F$2:$F$501"),"Didn't see it"),0)))</f>
        <v/>
      </c>
      <c r="AR243" s="30" t="str">
        <f aca="true">IF(OR($A243="",$I243=""),"",IF($BC243="Y",SUMIFS(survey_frozen!$F$2:$F$251,survey_frozen!$P$2:$P$251,$A243&amp;"|"&amp;$B243),IFERROR(COUNTIFS(INDIRECT("'"&amp;$A243&amp;"'!$B$2:$B$501"),$T243,INDIRECT("'"&amp;$A243&amp;"'!$A$2:$A$501"),"&gt;="&amp;$I243,INDIRECT("'"&amp;$A243&amp;"'!$A$2:$A$501"),"&lt;"&amp;($BA243+1),INDIRECT("'"&amp;$A243&amp;"'!$F$2:$F$501"),"Not for me"),0)))</f>
        <v/>
      </c>
      <c r="AS243" s="30" t="str">
        <f aca="true">IF(OR($A243="",$I243=""),"",IF($BC243="Y",SUMIFS(survey_frozen!$G$2:$G$251,survey_frozen!$P$2:$P$251,$A243&amp;"|"&amp;$B243),IFERROR(COUNTIFS(INDIRECT("'"&amp;$A243&amp;"'!$B$2:$B$501"),$T243,INDIRECT("'"&amp;$A243&amp;"'!$A$2:$A$501"),"&gt;="&amp;$I243,INDIRECT("'"&amp;$A243&amp;"'!$A$2:$A$501"),"&lt;"&amp;($BA243+1),INDIRECT("'"&amp;$A243&amp;"'!$F$2:$F$501"),"Gone by the time I looked"),0)))</f>
        <v/>
      </c>
      <c r="AT243" s="30" t="str">
        <f aca="true">IF(OR($A243="",$I243=""),"",IF($BC243="Y",SUMIFS(survey_frozen!$H$2:$H$251,survey_frozen!$P$2:$P$251,$A243&amp;"|"&amp;$B243),IFERROR(COUNTIFS(INDIRECT("'"&amp;$A243&amp;"'!$B$2:$B$501"),$T243,INDIRECT("'"&amp;$A243&amp;"'!$A$2:$A$501"),"&gt;="&amp;$I243,INDIRECT("'"&amp;$A243&amp;"'!$A$2:$A$501"),"&lt;"&amp;($BA243+1),INDIRECT("'"&amp;$A243&amp;"'!$D$2:$D$501"),"&gt;=1"),0)))</f>
        <v/>
      </c>
      <c r="AU243" s="30" t="str">
        <f aca="true">IF(OR($A243="",$I243=""),"",IF($BC243="Y",SUMIFS(survey_frozen!$I$2:$I$251,survey_frozen!$P$2:$P$251,$A243&amp;"|"&amp;$B243),IFERROR(SUMIFS(INDIRECT("'"&amp;$A243&amp;"'!$D$2:$D$501"),INDIRECT("'"&amp;$A243&amp;"'!$B$2:$B$501"),$T243,INDIRECT("'"&amp;$A243&amp;"'!$A$2:$A$501"),"&gt;="&amp;$I243,INDIRECT("'"&amp;$A243&amp;"'!$A$2:$A$501"),"&lt;"&amp;($BA243+1)),0)))</f>
        <v/>
      </c>
      <c r="AV243" s="30" t="str">
        <f aca="true">IF(OR($A243="",$I243=""),"",IF($BC243="Y",SUMIFS(survey_frozen!$J$2:$J$251,survey_frozen!$P$2:$P$251,$A243&amp;"|"&amp;$B243),IFERROR(COUNTIFS(INDIRECT("'"&amp;$A243&amp;"'!$B$2:$B$501"),$T243,INDIRECT("'"&amp;$A243&amp;"'!$A$2:$A$501"),"&gt;="&amp;$I243,INDIRECT("'"&amp;$A243&amp;"'!$A$2:$A$501"),"&lt;"&amp;($BA243+1),INDIRECT("'"&amp;$A243&amp;"'!$E$2:$E$501"),"Yes"),0)))</f>
        <v/>
      </c>
      <c r="AW243" s="30" t="str">
        <f aca="true">IF(OR($A243="",$I243=""),"",IF($BC243="Y",SUMIFS(survey_frozen!$K$2:$K$251,survey_frozen!$P$2:$P$251,$A243&amp;"|"&amp;$B243),IFERROR(COUNTIFS(INDIRECT("'"&amp;$A243&amp;"'!$B$2:$B$501"),$T243,INDIRECT("'"&amp;$A243&amp;"'!$A$2:$A$501"),"&gt;="&amp;$I243,INDIRECT("'"&amp;$A243&amp;"'!$A$2:$A$501"),"&lt;"&amp;($BA243+1),INDIRECT("'"&amp;$A243&amp;"'!$E$2:$E$501"),"Maybe"),0)))</f>
        <v/>
      </c>
      <c r="AX243" s="30" t="str">
        <f aca="true">IF(OR($A243="",$I243=""),"",IF($BC243="Y",SUMIFS(survey_frozen!$L$2:$L$251,survey_frozen!$P$2:$P$251,$A243&amp;"|"&amp;$B243),IFERROR(COUNTIFS(INDIRECT("'"&amp;$A243&amp;"'!$B$2:$B$501"),$T243,INDIRECT("'"&amp;$A243&amp;"'!$A$2:$A$501"),"&gt;="&amp;$I243,INDIRECT("'"&amp;$A243&amp;"'!$A$2:$A$501"),"&lt;"&amp;($BA243+1),INDIRECT("'"&amp;$A243&amp;"'!$E$2:$E$501"),"No"),0)))</f>
        <v/>
      </c>
      <c r="AY243" s="30" t="str">
        <f aca="true">IF(OR($A243="",$I243=""),"",IF($BC243="Y",SUMIFS(survey_frozen!$M$2:$M$251,survey_frozen!$P$2:$P$251,$A243&amp;"|"&amp;$B243),IFERROR(COUNTIFS(INDIRECT("'"&amp;$A243&amp;"'!$B$2:$B$501"),$T243,INDIRECT("'"&amp;$A243&amp;"'!$A$2:$A$501"),"&gt;="&amp;$I243,INDIRECT("'"&amp;$A243&amp;"'!$A$2:$A$501"),"&lt;"&amp;($BA243+1),INDIRECT("'"&amp;$A243&amp;"'!$G$2:$G$501"),"&lt;&gt;"),0)))</f>
        <v/>
      </c>
      <c r="AZ243" s="30" t="str">
        <f aca="false">IF($A243="","",$A243&amp;"|"&amp;$L243)</f>
        <v/>
      </c>
      <c r="BA243" s="31" t="str">
        <f aca="false">IF($A243="","",IFERROR(IF(INDEX(drops!$R$2:$R$21,MATCH($H243,drops!$A$2:$A$21,0))="","",INDEX(drops!$R$2:$R$21,MATCH($H243,drops!$A$2:$A$21,0))),""))</f>
        <v/>
      </c>
      <c r="BB243" s="30" t="n">
        <f aca="false">IF(OR($A243="",$Q243&lt;&gt;"Y"),1000000,N($AL243))</f>
        <v>1000000</v>
      </c>
      <c r="BC243" s="30" t="str">
        <f aca="false">IF($A243="","",IF(COUNTIF(survey_frozen!$P$2:$P$251,$A243&amp;"|"&amp;$B243)&gt;0,"Y",""))</f>
        <v/>
      </c>
      <c r="BD243" s="30" t="str">
        <f aca="false">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ustomFormat="false" ht="15" hidden="false" customHeight="false" outlineLevel="0" collapsed="false">
      <c r="C244" s="11"/>
      <c r="D244" s="10"/>
      <c r="E244" s="11"/>
      <c r="H244" s="30" t="str">
        <f aca="false">IF($A244="","",IFERROR(IF(INDEX(campaigns!$B$2:$B$51,MATCH($A244,campaigns!$A$2:$A$51,0))="","",INDEX(campaigns!$B$2:$B$51,MATCH($A244,campaigns!$A$2:$A$51,0))),""))</f>
        <v/>
      </c>
      <c r="I244" s="31" t="str">
        <f aca="false">IF($A244="","",IFERROR(IF(INDEX(campaigns!$BG$2:$BG$51,MATCH($A244,campaigns!$A$2:$A$51,0))="","",INDEX(campaigns!$BG$2:$BG$51,MATCH($A244,campaigns!$A$2:$A$51,0))),""))</f>
        <v/>
      </c>
      <c r="J244" s="30" t="str">
        <f aca="false">IF($A244="","",IFERROR(IF(INDEX(campaigns!$BE$2:$BE$51,MATCH($A244,campaigns!$A$2:$A$51,0))="","",INDEX(campaigns!$BE$2:$BE$51,MATCH($A244,campaigns!$A$2:$A$51,0))),""))</f>
        <v/>
      </c>
      <c r="K244" s="30" t="str">
        <f aca="false">IF($B244="","",IFERROR(IF(INDEX(offices!$O$2:$O$61,MATCH($B244,offices!$A$2:$A$61,0))="","",INDEX(offices!$O$2:$O$61,MATCH($B244,offices!$A$2:$A$61,0))),""))</f>
        <v/>
      </c>
      <c r="L244" s="30" t="str">
        <f aca="false">IF($A244="","",IF($Q244="N","",COUNTIFS($A$2:$A244,$A244,$Q$2:$Q244,"&lt;&gt;N")))</f>
        <v/>
      </c>
      <c r="M244" s="30" t="str">
        <f aca="false">IF(OR($A244="",$L244=""),"",IF(AND(config!$B$34="names_if_public",IFERROR(IF(INDEX(offices!$AG$2:$AG$61,MATCH($B244,offices!$A$2:$A$61,0))="","",INDEX(offices!$AG$2:$AG$61,MATCH($B244,offices!$A$2:$A$61,0))),"")="Y"),$K244,CHAR(64+$L244)))</f>
        <v/>
      </c>
      <c r="N244" s="30" t="str">
        <f aca="false">IF(OR($A244="",$I244=""),"",COUNTIFS(stops!$B$2:$B$151,$B244,stops!$P$2:$P$151,"&lt;"&amp;$I244,stops!$L$2:$L$151,"&lt;&gt;not_delivered")+1)</f>
        <v/>
      </c>
      <c r="O244" s="30" t="str">
        <f aca="false">IF($A244="","",IF(N($N244)&lt;=config!$B$29,"explicit","opt-out"))</f>
        <v/>
      </c>
      <c r="P244" s="30" t="str">
        <f aca="false">IF($A244="","",IF($O244="explicit",IF($D244="yes","Y",IF($D244="no","N","pending")),IF($D244="no","N",IF(AND($C244&lt;&gt;"",$I244&lt;&gt;"",$C244&lt;=WORKDAY(N($I244),-5,calendar!$A$2:$A$80)),"Y","pending"))))</f>
        <v/>
      </c>
      <c r="Q244" s="30" t="str">
        <f aca="false">IF($A244="","",IF($P244="N","N",IF($P244&lt;&gt;"Y","pending",IF(AND((COUNTIFS(stops!$A$2:$A$151,$H244,stops!$B$2:$B$151,$B244,stops!$L$2:$L$151,"declined")+COUNTIFS(stops!$A$2:$A$151,$H244,stops!$B$2:$B$151,$B244,stops!$L$2:$L$151,"building_refused")+COUNTIFS(stops!$A$2:$A$151,$H244,stops!$B$2:$B$151,$B244,stops!$L$2:$L$151,"not_delivered"))&gt;0,N($U244)=0),"N","Y"))))</f>
        <v/>
      </c>
      <c r="R244" s="30" t="str">
        <f aca="false">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30" t="str">
        <f aca="false">IF($A244="","",IF($G244&lt;&gt;"",$G244,IFERROR(IF(INDEX(offices!$AM$2:$AM$61,MATCH($B244,offices!$A$2:$A$61,0))="","",INDEX(offices!$AM$2:$AM$61,MATCH($B244,offices!$A$2:$A$61,0))),"")))</f>
        <v/>
      </c>
      <c r="T244" s="30" t="str">
        <f aca="false">IF($A244="","",$A244&amp;"."&amp;$B244)</f>
        <v/>
      </c>
      <c r="U244" s="30" t="str">
        <f aca="false">IF($A244="","",SUMIFS(inventory!$G$2:$G$801,inventory!$C$2:$C$801,$A244,inventory!$D$2:$D$801,$B244,inventory!$E$2:$E$801,"delivered"))</f>
        <v/>
      </c>
      <c r="V244" s="37" t="str">
        <f aca="false">IF($A244="","",IFERROR(1/(1/SUMPRODUCT(MAX((inventory!$C$2:$C$801=$A244)*(inventory!$D$2:$D$801=$B244)*(inventory!$E$2:$E$801="delivered")*(inventory!$A$2:$A$801+inventory!$B$2:$B$801)))),""))</f>
        <v/>
      </c>
      <c r="W244" s="30" t="str">
        <f aca="false">IF($A244="","",IFERROR(IF(INDEX(inventory!$J$2:$J$801,MATCH($A244&amp;"|"&amp;$B244&amp;"|delivered",inventory!$R$2:$R$801,0))="","",INDEX(inventory!$J$2:$J$801,MATCH($A244&amp;"|"&amp;$B244&amp;"|delivered",inventory!$R$2:$R$801,0))),""))</f>
        <v/>
      </c>
      <c r="X244" s="30" t="str">
        <f aca="false">IF($A244="","",IFERROR(IF(INDEX(photos!$H$2:$H$701,MATCH($A244&amp;"|"&amp;$B244&amp;"|placement|Y",photos!$R$2:$R$701,0))="","",INDEX(photos!$H$2:$H$701,MATCH($A244&amp;"|"&amp;$B244&amp;"|placement|Y",photos!$R$2:$R$701,0))),""))</f>
        <v/>
      </c>
      <c r="Y244" s="31" t="str">
        <f aca="false">IF($A244="","",IFERROR(IF(INDEX(photos!$E$2:$E$701,MATCH($A244&amp;"|"&amp;$B244&amp;"|placement|Y",photos!$R$2:$R$701,0))="","",INDEX(photos!$E$2:$E$701,MATCH($A244&amp;"|"&amp;$B244&amp;"|placement|Y",photos!$R$2:$R$701,0))),""))</f>
        <v/>
      </c>
      <c r="Z244" s="30" t="str">
        <f aca="false">IF($A244="","",IF(COUNTIFS(counts!$C$2:$C$701,$A244,counts!$D$2:$D$701,$B244,counts!$E$2:$E$701,"placed")=0,"",SUMIFS(counts!$F$2:$F$701,counts!$C$2:$C$701,$A244,counts!$D$2:$D$701,$B244,counts!$E$2:$E$701,"placed")))</f>
        <v/>
      </c>
      <c r="AA244" s="30" t="str">
        <f aca="false">IF($A244="","",IF($Y244="",0,N($Z244)))</f>
        <v/>
      </c>
      <c r="AB244" s="30" t="str">
        <f aca="false">IF($A244="","",IF(OR($Y244="",$I244=""),"N",IF($Y244&lt;=WORKDAY(N($I244),1,calendar!$A$2:$A$80),"Y","N")))</f>
        <v/>
      </c>
      <c r="AC244" s="33" t="str">
        <f aca="false">IF(OR($A244="",$V244="",$Y244=""),"",ROUND(($Y244+N(IFERROR(IF(INDEX(photos!$F$2:$F$701,MATCH($A244&amp;"|"&amp;$B244&amp;"|placement|Y",photos!$R$2:$R$701,0))="","",INDEX(photos!$F$2:$F$701,MATCH($A244&amp;"|"&amp;$B244&amp;"|placement|Y",photos!$R$2:$R$701,0))),""))-$V244)*24,1))</f>
        <v/>
      </c>
      <c r="AD244" s="30" t="str">
        <f aca="false">IF($A244="","",SUMIFS(inventory!$G$2:$G$801,inventory!$C$2:$C$801,$A244,inventory!$D$2:$D$801,$B244,inventory!$E$2:$E$801,"topped_up"))</f>
        <v/>
      </c>
      <c r="AE244" s="30" t="str">
        <f aca="false">IF($A244="","",IF(COUNTIFS(counts!$C$2:$C$701,$A244,counts!$D$2:$D$701,$B244,counts!$E$2:$E$701,"remaining_day3")=0,"",SUMIFS(counts!$F$2:$F$701,counts!$C$2:$C$701,$A244,counts!$D$2:$D$701,$B244,counts!$E$2:$E$701,"remaining_day3")))</f>
        <v/>
      </c>
      <c r="AF244" s="30" t="str">
        <f aca="false">IF($A244="","",IF(COUNTIFS(counts!$C$2:$C$701,$A244,counts!$D$2:$D$701,$B244,counts!$E$2:$E$701,"remaining_day5")=0,"",SUMIFS(counts!$F$2:$F$701,counts!$C$2:$C$701,$A244,counts!$D$2:$D$701,$B244,counts!$E$2:$E$701,"remaining_day5")))</f>
        <v/>
      </c>
      <c r="AG244" s="30" t="str">
        <f aca="false">IF(OR($A244="",$AF244=""),"",MAX(0,$AA244+$AD244-$AF244))</f>
        <v/>
      </c>
      <c r="AH244" s="30" t="str">
        <f aca="false">IF(OR($A244="",$AI244=""),"",IFERROR(IF(INDEX(photos!$H$2:$H$701,MATCH($A244&amp;"|"&amp;$B244&amp;"|later|Y|"&amp;$AI244,photos!$S$2:$S$701,0))="","",INDEX(photos!$H$2:$H$701,MATCH($A244&amp;"|"&amp;$B244&amp;"|later|Y|"&amp;$AI244,photos!$S$2:$S$701,0))),""))</f>
        <v/>
      </c>
      <c r="AI244" s="31" t="str">
        <f aca="false">IF($A244="","",IFERROR(1/(1/SUMPRODUCT(MAX((photos!$B$2:$B$701=$A244)*(photos!$C$2:$C$701=$B244)*(photos!$D$2:$D$701="later")*(photos!$O$2:$O$701="Y")*photos!$E$2:$E$701))),""))</f>
        <v/>
      </c>
      <c r="AJ244" s="30" t="str">
        <f aca="false">IF(OR($A244="",$AI244="",$I244=""),"",NETWORKDAYS($I244,$AI244,calendar!$A$2:$A$80))</f>
        <v/>
      </c>
      <c r="AK244" s="30" t="str">
        <f aca="false">IF($A244="","",IF(AND($X244&lt;&gt;"",$AH244&lt;&gt;""),"Y","N"))</f>
        <v/>
      </c>
      <c r="AL244" s="30" t="str">
        <f aca="true">IF(OR($A244="",$I244=""),"",IF($BC244="Y",SUMIFS(survey_frozen!$C$2:$C$251,survey_frozen!$P$2:$P$251,$A244&amp;"|"&amp;$B244),IFERROR(COUNTIFS(INDIRECT("'"&amp;$A244&amp;"'!$B$2:$B$501"),$T244,INDIRECT("'"&amp;$A244&amp;"'!$A$2:$A$501"),"&gt;="&amp;$I244,INDIRECT("'"&amp;$A244&amp;"'!$A$2:$A$501"),"&lt;"&amp;($BA244+1)),0)))</f>
        <v/>
      </c>
      <c r="AM244" s="30" t="str">
        <f aca="true">IF(OR($A244="",$I244=""),"",IF($BC244="Y",SUMIFS(survey_frozen!$D$2:$D$251,survey_frozen!$P$2:$P$251,$A244&amp;"|"&amp;$B244),IFERROR(COUNTIFS(INDIRECT("'"&amp;$A244&amp;"'!$B$2:$B$501"),$T244,INDIRECT("'"&amp;$A244&amp;"'!$A$2:$A$501"),"&gt;="&amp;$I244,INDIRECT("'"&amp;$A244&amp;"'!$A$2:$A$501"),"&lt;"&amp;($BA244+1),INDIRECT("'"&amp;$A244&amp;"'!$C$2:$C$501"),"Yes"),0)))</f>
        <v/>
      </c>
      <c r="AN244" s="30" t="str">
        <f aca="false">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30" t="str">
        <f aca="false">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30" t="str">
        <f aca="true">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30" t="str">
        <f aca="true">IF(OR($A244="",$I244=""),"",IF($BC244="Y",SUMIFS(survey_frozen!$E$2:$E$251,survey_frozen!$P$2:$P$251,$A244&amp;"|"&amp;$B244),IFERROR(COUNTIFS(INDIRECT("'"&amp;$A244&amp;"'!$B$2:$B$501"),$T244,INDIRECT("'"&amp;$A244&amp;"'!$A$2:$A$501"),"&gt;="&amp;$I244,INDIRECT("'"&amp;$A244&amp;"'!$A$2:$A$501"),"&lt;"&amp;($BA244+1),INDIRECT("'"&amp;$A244&amp;"'!$F$2:$F$501"),"Didn't see it"),0)))</f>
        <v/>
      </c>
      <c r="AR244" s="30" t="str">
        <f aca="true">IF(OR($A244="",$I244=""),"",IF($BC244="Y",SUMIFS(survey_frozen!$F$2:$F$251,survey_frozen!$P$2:$P$251,$A244&amp;"|"&amp;$B244),IFERROR(COUNTIFS(INDIRECT("'"&amp;$A244&amp;"'!$B$2:$B$501"),$T244,INDIRECT("'"&amp;$A244&amp;"'!$A$2:$A$501"),"&gt;="&amp;$I244,INDIRECT("'"&amp;$A244&amp;"'!$A$2:$A$501"),"&lt;"&amp;($BA244+1),INDIRECT("'"&amp;$A244&amp;"'!$F$2:$F$501"),"Not for me"),0)))</f>
        <v/>
      </c>
      <c r="AS244" s="30" t="str">
        <f aca="true">IF(OR($A244="",$I244=""),"",IF($BC244="Y",SUMIFS(survey_frozen!$G$2:$G$251,survey_frozen!$P$2:$P$251,$A244&amp;"|"&amp;$B244),IFERROR(COUNTIFS(INDIRECT("'"&amp;$A244&amp;"'!$B$2:$B$501"),$T244,INDIRECT("'"&amp;$A244&amp;"'!$A$2:$A$501"),"&gt;="&amp;$I244,INDIRECT("'"&amp;$A244&amp;"'!$A$2:$A$501"),"&lt;"&amp;($BA244+1),INDIRECT("'"&amp;$A244&amp;"'!$F$2:$F$501"),"Gone by the time I looked"),0)))</f>
        <v/>
      </c>
      <c r="AT244" s="30" t="str">
        <f aca="true">IF(OR($A244="",$I244=""),"",IF($BC244="Y",SUMIFS(survey_frozen!$H$2:$H$251,survey_frozen!$P$2:$P$251,$A244&amp;"|"&amp;$B244),IFERROR(COUNTIFS(INDIRECT("'"&amp;$A244&amp;"'!$B$2:$B$501"),$T244,INDIRECT("'"&amp;$A244&amp;"'!$A$2:$A$501"),"&gt;="&amp;$I244,INDIRECT("'"&amp;$A244&amp;"'!$A$2:$A$501"),"&lt;"&amp;($BA244+1),INDIRECT("'"&amp;$A244&amp;"'!$D$2:$D$501"),"&gt;=1"),0)))</f>
        <v/>
      </c>
      <c r="AU244" s="30" t="str">
        <f aca="true">IF(OR($A244="",$I244=""),"",IF($BC244="Y",SUMIFS(survey_frozen!$I$2:$I$251,survey_frozen!$P$2:$P$251,$A244&amp;"|"&amp;$B244),IFERROR(SUMIFS(INDIRECT("'"&amp;$A244&amp;"'!$D$2:$D$501"),INDIRECT("'"&amp;$A244&amp;"'!$B$2:$B$501"),$T244,INDIRECT("'"&amp;$A244&amp;"'!$A$2:$A$501"),"&gt;="&amp;$I244,INDIRECT("'"&amp;$A244&amp;"'!$A$2:$A$501"),"&lt;"&amp;($BA244+1)),0)))</f>
        <v/>
      </c>
      <c r="AV244" s="30" t="str">
        <f aca="true">IF(OR($A244="",$I244=""),"",IF($BC244="Y",SUMIFS(survey_frozen!$J$2:$J$251,survey_frozen!$P$2:$P$251,$A244&amp;"|"&amp;$B244),IFERROR(COUNTIFS(INDIRECT("'"&amp;$A244&amp;"'!$B$2:$B$501"),$T244,INDIRECT("'"&amp;$A244&amp;"'!$A$2:$A$501"),"&gt;="&amp;$I244,INDIRECT("'"&amp;$A244&amp;"'!$A$2:$A$501"),"&lt;"&amp;($BA244+1),INDIRECT("'"&amp;$A244&amp;"'!$E$2:$E$501"),"Yes"),0)))</f>
        <v/>
      </c>
      <c r="AW244" s="30" t="str">
        <f aca="true">IF(OR($A244="",$I244=""),"",IF($BC244="Y",SUMIFS(survey_frozen!$K$2:$K$251,survey_frozen!$P$2:$P$251,$A244&amp;"|"&amp;$B244),IFERROR(COUNTIFS(INDIRECT("'"&amp;$A244&amp;"'!$B$2:$B$501"),$T244,INDIRECT("'"&amp;$A244&amp;"'!$A$2:$A$501"),"&gt;="&amp;$I244,INDIRECT("'"&amp;$A244&amp;"'!$A$2:$A$501"),"&lt;"&amp;($BA244+1),INDIRECT("'"&amp;$A244&amp;"'!$E$2:$E$501"),"Maybe"),0)))</f>
        <v/>
      </c>
      <c r="AX244" s="30" t="str">
        <f aca="true">IF(OR($A244="",$I244=""),"",IF($BC244="Y",SUMIFS(survey_frozen!$L$2:$L$251,survey_frozen!$P$2:$P$251,$A244&amp;"|"&amp;$B244),IFERROR(COUNTIFS(INDIRECT("'"&amp;$A244&amp;"'!$B$2:$B$501"),$T244,INDIRECT("'"&amp;$A244&amp;"'!$A$2:$A$501"),"&gt;="&amp;$I244,INDIRECT("'"&amp;$A244&amp;"'!$A$2:$A$501"),"&lt;"&amp;($BA244+1),INDIRECT("'"&amp;$A244&amp;"'!$E$2:$E$501"),"No"),0)))</f>
        <v/>
      </c>
      <c r="AY244" s="30" t="str">
        <f aca="true">IF(OR($A244="",$I244=""),"",IF($BC244="Y",SUMIFS(survey_frozen!$M$2:$M$251,survey_frozen!$P$2:$P$251,$A244&amp;"|"&amp;$B244),IFERROR(COUNTIFS(INDIRECT("'"&amp;$A244&amp;"'!$B$2:$B$501"),$T244,INDIRECT("'"&amp;$A244&amp;"'!$A$2:$A$501"),"&gt;="&amp;$I244,INDIRECT("'"&amp;$A244&amp;"'!$A$2:$A$501"),"&lt;"&amp;($BA244+1),INDIRECT("'"&amp;$A244&amp;"'!$G$2:$G$501"),"&lt;&gt;"),0)))</f>
        <v/>
      </c>
      <c r="AZ244" s="30" t="str">
        <f aca="false">IF($A244="","",$A244&amp;"|"&amp;$L244)</f>
        <v/>
      </c>
      <c r="BA244" s="31" t="str">
        <f aca="false">IF($A244="","",IFERROR(IF(INDEX(drops!$R$2:$R$21,MATCH($H244,drops!$A$2:$A$21,0))="","",INDEX(drops!$R$2:$R$21,MATCH($H244,drops!$A$2:$A$21,0))),""))</f>
        <v/>
      </c>
      <c r="BB244" s="30" t="n">
        <f aca="false">IF(OR($A244="",$Q244&lt;&gt;"Y"),1000000,N($AL244))</f>
        <v>1000000</v>
      </c>
      <c r="BC244" s="30" t="str">
        <f aca="false">IF($A244="","",IF(COUNTIF(survey_frozen!$P$2:$P$251,$A244&amp;"|"&amp;$B244)&gt;0,"Y",""))</f>
        <v/>
      </c>
      <c r="BD244" s="30" t="str">
        <f aca="false">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ustomFormat="false" ht="15" hidden="false" customHeight="false" outlineLevel="0" collapsed="false">
      <c r="C245" s="11"/>
      <c r="D245" s="10"/>
      <c r="E245" s="11"/>
      <c r="H245" s="30" t="str">
        <f aca="false">IF($A245="","",IFERROR(IF(INDEX(campaigns!$B$2:$B$51,MATCH($A245,campaigns!$A$2:$A$51,0))="","",INDEX(campaigns!$B$2:$B$51,MATCH($A245,campaigns!$A$2:$A$51,0))),""))</f>
        <v/>
      </c>
      <c r="I245" s="31" t="str">
        <f aca="false">IF($A245="","",IFERROR(IF(INDEX(campaigns!$BG$2:$BG$51,MATCH($A245,campaigns!$A$2:$A$51,0))="","",INDEX(campaigns!$BG$2:$BG$51,MATCH($A245,campaigns!$A$2:$A$51,0))),""))</f>
        <v/>
      </c>
      <c r="J245" s="30" t="str">
        <f aca="false">IF($A245="","",IFERROR(IF(INDEX(campaigns!$BE$2:$BE$51,MATCH($A245,campaigns!$A$2:$A$51,0))="","",INDEX(campaigns!$BE$2:$BE$51,MATCH($A245,campaigns!$A$2:$A$51,0))),""))</f>
        <v/>
      </c>
      <c r="K245" s="30" t="str">
        <f aca="false">IF($B245="","",IFERROR(IF(INDEX(offices!$O$2:$O$61,MATCH($B245,offices!$A$2:$A$61,0))="","",INDEX(offices!$O$2:$O$61,MATCH($B245,offices!$A$2:$A$61,0))),""))</f>
        <v/>
      </c>
      <c r="L245" s="30" t="str">
        <f aca="false">IF($A245="","",IF($Q245="N","",COUNTIFS($A$2:$A245,$A245,$Q$2:$Q245,"&lt;&gt;N")))</f>
        <v/>
      </c>
      <c r="M245" s="30" t="str">
        <f aca="false">IF(OR($A245="",$L245=""),"",IF(AND(config!$B$34="names_if_public",IFERROR(IF(INDEX(offices!$AG$2:$AG$61,MATCH($B245,offices!$A$2:$A$61,0))="","",INDEX(offices!$AG$2:$AG$61,MATCH($B245,offices!$A$2:$A$61,0))),"")="Y"),$K245,CHAR(64+$L245)))</f>
        <v/>
      </c>
      <c r="N245" s="30" t="str">
        <f aca="false">IF(OR($A245="",$I245=""),"",COUNTIFS(stops!$B$2:$B$151,$B245,stops!$P$2:$P$151,"&lt;"&amp;$I245,stops!$L$2:$L$151,"&lt;&gt;not_delivered")+1)</f>
        <v/>
      </c>
      <c r="O245" s="30" t="str">
        <f aca="false">IF($A245="","",IF(N($N245)&lt;=config!$B$29,"explicit","opt-out"))</f>
        <v/>
      </c>
      <c r="P245" s="30" t="str">
        <f aca="false">IF($A245="","",IF($O245="explicit",IF($D245="yes","Y",IF($D245="no","N","pending")),IF($D245="no","N",IF(AND($C245&lt;&gt;"",$I245&lt;&gt;"",$C245&lt;=WORKDAY(N($I245),-5,calendar!$A$2:$A$80)),"Y","pending"))))</f>
        <v/>
      </c>
      <c r="Q245" s="30" t="str">
        <f aca="false">IF($A245="","",IF($P245="N","N",IF($P245&lt;&gt;"Y","pending",IF(AND((COUNTIFS(stops!$A$2:$A$151,$H245,stops!$B$2:$B$151,$B245,stops!$L$2:$L$151,"declined")+COUNTIFS(stops!$A$2:$A$151,$H245,stops!$B$2:$B$151,$B245,stops!$L$2:$L$151,"building_refused")+COUNTIFS(stops!$A$2:$A$151,$H245,stops!$B$2:$B$151,$B245,stops!$L$2:$L$151,"not_delivered"))&gt;0,N($U245)=0),"N","Y"))))</f>
        <v/>
      </c>
      <c r="R245" s="30" t="str">
        <f aca="false">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30" t="str">
        <f aca="false">IF($A245="","",IF($G245&lt;&gt;"",$G245,IFERROR(IF(INDEX(offices!$AM$2:$AM$61,MATCH($B245,offices!$A$2:$A$61,0))="","",INDEX(offices!$AM$2:$AM$61,MATCH($B245,offices!$A$2:$A$61,0))),"")))</f>
        <v/>
      </c>
      <c r="T245" s="30" t="str">
        <f aca="false">IF($A245="","",$A245&amp;"."&amp;$B245)</f>
        <v/>
      </c>
      <c r="U245" s="30" t="str">
        <f aca="false">IF($A245="","",SUMIFS(inventory!$G$2:$G$801,inventory!$C$2:$C$801,$A245,inventory!$D$2:$D$801,$B245,inventory!$E$2:$E$801,"delivered"))</f>
        <v/>
      </c>
      <c r="V245" s="37" t="str">
        <f aca="false">IF($A245="","",IFERROR(1/(1/SUMPRODUCT(MAX((inventory!$C$2:$C$801=$A245)*(inventory!$D$2:$D$801=$B245)*(inventory!$E$2:$E$801="delivered")*(inventory!$A$2:$A$801+inventory!$B$2:$B$801)))),""))</f>
        <v/>
      </c>
      <c r="W245" s="30" t="str">
        <f aca="false">IF($A245="","",IFERROR(IF(INDEX(inventory!$J$2:$J$801,MATCH($A245&amp;"|"&amp;$B245&amp;"|delivered",inventory!$R$2:$R$801,0))="","",INDEX(inventory!$J$2:$J$801,MATCH($A245&amp;"|"&amp;$B245&amp;"|delivered",inventory!$R$2:$R$801,0))),""))</f>
        <v/>
      </c>
      <c r="X245" s="30" t="str">
        <f aca="false">IF($A245="","",IFERROR(IF(INDEX(photos!$H$2:$H$701,MATCH($A245&amp;"|"&amp;$B245&amp;"|placement|Y",photos!$R$2:$R$701,0))="","",INDEX(photos!$H$2:$H$701,MATCH($A245&amp;"|"&amp;$B245&amp;"|placement|Y",photos!$R$2:$R$701,0))),""))</f>
        <v/>
      </c>
      <c r="Y245" s="31" t="str">
        <f aca="false">IF($A245="","",IFERROR(IF(INDEX(photos!$E$2:$E$701,MATCH($A245&amp;"|"&amp;$B245&amp;"|placement|Y",photos!$R$2:$R$701,0))="","",INDEX(photos!$E$2:$E$701,MATCH($A245&amp;"|"&amp;$B245&amp;"|placement|Y",photos!$R$2:$R$701,0))),""))</f>
        <v/>
      </c>
      <c r="Z245" s="30" t="str">
        <f aca="false">IF($A245="","",IF(COUNTIFS(counts!$C$2:$C$701,$A245,counts!$D$2:$D$701,$B245,counts!$E$2:$E$701,"placed")=0,"",SUMIFS(counts!$F$2:$F$701,counts!$C$2:$C$701,$A245,counts!$D$2:$D$701,$B245,counts!$E$2:$E$701,"placed")))</f>
        <v/>
      </c>
      <c r="AA245" s="30" t="str">
        <f aca="false">IF($A245="","",IF($Y245="",0,N($Z245)))</f>
        <v/>
      </c>
      <c r="AB245" s="30" t="str">
        <f aca="false">IF($A245="","",IF(OR($Y245="",$I245=""),"N",IF($Y245&lt;=WORKDAY(N($I245),1,calendar!$A$2:$A$80),"Y","N")))</f>
        <v/>
      </c>
      <c r="AC245" s="33" t="str">
        <f aca="false">IF(OR($A245="",$V245="",$Y245=""),"",ROUND(($Y245+N(IFERROR(IF(INDEX(photos!$F$2:$F$701,MATCH($A245&amp;"|"&amp;$B245&amp;"|placement|Y",photos!$R$2:$R$701,0))="","",INDEX(photos!$F$2:$F$701,MATCH($A245&amp;"|"&amp;$B245&amp;"|placement|Y",photos!$R$2:$R$701,0))),""))-$V245)*24,1))</f>
        <v/>
      </c>
      <c r="AD245" s="30" t="str">
        <f aca="false">IF($A245="","",SUMIFS(inventory!$G$2:$G$801,inventory!$C$2:$C$801,$A245,inventory!$D$2:$D$801,$B245,inventory!$E$2:$E$801,"topped_up"))</f>
        <v/>
      </c>
      <c r="AE245" s="30" t="str">
        <f aca="false">IF($A245="","",IF(COUNTIFS(counts!$C$2:$C$701,$A245,counts!$D$2:$D$701,$B245,counts!$E$2:$E$701,"remaining_day3")=0,"",SUMIFS(counts!$F$2:$F$701,counts!$C$2:$C$701,$A245,counts!$D$2:$D$701,$B245,counts!$E$2:$E$701,"remaining_day3")))</f>
        <v/>
      </c>
      <c r="AF245" s="30" t="str">
        <f aca="false">IF($A245="","",IF(COUNTIFS(counts!$C$2:$C$701,$A245,counts!$D$2:$D$701,$B245,counts!$E$2:$E$701,"remaining_day5")=0,"",SUMIFS(counts!$F$2:$F$701,counts!$C$2:$C$701,$A245,counts!$D$2:$D$701,$B245,counts!$E$2:$E$701,"remaining_day5")))</f>
        <v/>
      </c>
      <c r="AG245" s="30" t="str">
        <f aca="false">IF(OR($A245="",$AF245=""),"",MAX(0,$AA245+$AD245-$AF245))</f>
        <v/>
      </c>
      <c r="AH245" s="30" t="str">
        <f aca="false">IF(OR($A245="",$AI245=""),"",IFERROR(IF(INDEX(photos!$H$2:$H$701,MATCH($A245&amp;"|"&amp;$B245&amp;"|later|Y|"&amp;$AI245,photos!$S$2:$S$701,0))="","",INDEX(photos!$H$2:$H$701,MATCH($A245&amp;"|"&amp;$B245&amp;"|later|Y|"&amp;$AI245,photos!$S$2:$S$701,0))),""))</f>
        <v/>
      </c>
      <c r="AI245" s="31" t="str">
        <f aca="false">IF($A245="","",IFERROR(1/(1/SUMPRODUCT(MAX((photos!$B$2:$B$701=$A245)*(photos!$C$2:$C$701=$B245)*(photos!$D$2:$D$701="later")*(photos!$O$2:$O$701="Y")*photos!$E$2:$E$701))),""))</f>
        <v/>
      </c>
      <c r="AJ245" s="30" t="str">
        <f aca="false">IF(OR($A245="",$AI245="",$I245=""),"",NETWORKDAYS($I245,$AI245,calendar!$A$2:$A$80))</f>
        <v/>
      </c>
      <c r="AK245" s="30" t="str">
        <f aca="false">IF($A245="","",IF(AND($X245&lt;&gt;"",$AH245&lt;&gt;""),"Y","N"))</f>
        <v/>
      </c>
      <c r="AL245" s="30" t="str">
        <f aca="true">IF(OR($A245="",$I245=""),"",IF($BC245="Y",SUMIFS(survey_frozen!$C$2:$C$251,survey_frozen!$P$2:$P$251,$A245&amp;"|"&amp;$B245),IFERROR(COUNTIFS(INDIRECT("'"&amp;$A245&amp;"'!$B$2:$B$501"),$T245,INDIRECT("'"&amp;$A245&amp;"'!$A$2:$A$501"),"&gt;="&amp;$I245,INDIRECT("'"&amp;$A245&amp;"'!$A$2:$A$501"),"&lt;"&amp;($BA245+1)),0)))</f>
        <v/>
      </c>
      <c r="AM245" s="30" t="str">
        <f aca="true">IF(OR($A245="",$I245=""),"",IF($BC245="Y",SUMIFS(survey_frozen!$D$2:$D$251,survey_frozen!$P$2:$P$251,$A245&amp;"|"&amp;$B245),IFERROR(COUNTIFS(INDIRECT("'"&amp;$A245&amp;"'!$B$2:$B$501"),$T245,INDIRECT("'"&amp;$A245&amp;"'!$A$2:$A$501"),"&gt;="&amp;$I245,INDIRECT("'"&amp;$A245&amp;"'!$A$2:$A$501"),"&lt;"&amp;($BA245+1),INDIRECT("'"&amp;$A245&amp;"'!$C$2:$C$501"),"Yes"),0)))</f>
        <v/>
      </c>
      <c r="AN245" s="30" t="str">
        <f aca="false">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30" t="str">
        <f aca="false">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30" t="str">
        <f aca="true">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30" t="str">
        <f aca="true">IF(OR($A245="",$I245=""),"",IF($BC245="Y",SUMIFS(survey_frozen!$E$2:$E$251,survey_frozen!$P$2:$P$251,$A245&amp;"|"&amp;$B245),IFERROR(COUNTIFS(INDIRECT("'"&amp;$A245&amp;"'!$B$2:$B$501"),$T245,INDIRECT("'"&amp;$A245&amp;"'!$A$2:$A$501"),"&gt;="&amp;$I245,INDIRECT("'"&amp;$A245&amp;"'!$A$2:$A$501"),"&lt;"&amp;($BA245+1),INDIRECT("'"&amp;$A245&amp;"'!$F$2:$F$501"),"Didn't see it"),0)))</f>
        <v/>
      </c>
      <c r="AR245" s="30" t="str">
        <f aca="true">IF(OR($A245="",$I245=""),"",IF($BC245="Y",SUMIFS(survey_frozen!$F$2:$F$251,survey_frozen!$P$2:$P$251,$A245&amp;"|"&amp;$B245),IFERROR(COUNTIFS(INDIRECT("'"&amp;$A245&amp;"'!$B$2:$B$501"),$T245,INDIRECT("'"&amp;$A245&amp;"'!$A$2:$A$501"),"&gt;="&amp;$I245,INDIRECT("'"&amp;$A245&amp;"'!$A$2:$A$501"),"&lt;"&amp;($BA245+1),INDIRECT("'"&amp;$A245&amp;"'!$F$2:$F$501"),"Not for me"),0)))</f>
        <v/>
      </c>
      <c r="AS245" s="30" t="str">
        <f aca="true">IF(OR($A245="",$I245=""),"",IF($BC245="Y",SUMIFS(survey_frozen!$G$2:$G$251,survey_frozen!$P$2:$P$251,$A245&amp;"|"&amp;$B245),IFERROR(COUNTIFS(INDIRECT("'"&amp;$A245&amp;"'!$B$2:$B$501"),$T245,INDIRECT("'"&amp;$A245&amp;"'!$A$2:$A$501"),"&gt;="&amp;$I245,INDIRECT("'"&amp;$A245&amp;"'!$A$2:$A$501"),"&lt;"&amp;($BA245+1),INDIRECT("'"&amp;$A245&amp;"'!$F$2:$F$501"),"Gone by the time I looked"),0)))</f>
        <v/>
      </c>
      <c r="AT245" s="30" t="str">
        <f aca="true">IF(OR($A245="",$I245=""),"",IF($BC245="Y",SUMIFS(survey_frozen!$H$2:$H$251,survey_frozen!$P$2:$P$251,$A245&amp;"|"&amp;$B245),IFERROR(COUNTIFS(INDIRECT("'"&amp;$A245&amp;"'!$B$2:$B$501"),$T245,INDIRECT("'"&amp;$A245&amp;"'!$A$2:$A$501"),"&gt;="&amp;$I245,INDIRECT("'"&amp;$A245&amp;"'!$A$2:$A$501"),"&lt;"&amp;($BA245+1),INDIRECT("'"&amp;$A245&amp;"'!$D$2:$D$501"),"&gt;=1"),0)))</f>
        <v/>
      </c>
      <c r="AU245" s="30" t="str">
        <f aca="true">IF(OR($A245="",$I245=""),"",IF($BC245="Y",SUMIFS(survey_frozen!$I$2:$I$251,survey_frozen!$P$2:$P$251,$A245&amp;"|"&amp;$B245),IFERROR(SUMIFS(INDIRECT("'"&amp;$A245&amp;"'!$D$2:$D$501"),INDIRECT("'"&amp;$A245&amp;"'!$B$2:$B$501"),$T245,INDIRECT("'"&amp;$A245&amp;"'!$A$2:$A$501"),"&gt;="&amp;$I245,INDIRECT("'"&amp;$A245&amp;"'!$A$2:$A$501"),"&lt;"&amp;($BA245+1)),0)))</f>
        <v/>
      </c>
      <c r="AV245" s="30" t="str">
        <f aca="true">IF(OR($A245="",$I245=""),"",IF($BC245="Y",SUMIFS(survey_frozen!$J$2:$J$251,survey_frozen!$P$2:$P$251,$A245&amp;"|"&amp;$B245),IFERROR(COUNTIFS(INDIRECT("'"&amp;$A245&amp;"'!$B$2:$B$501"),$T245,INDIRECT("'"&amp;$A245&amp;"'!$A$2:$A$501"),"&gt;="&amp;$I245,INDIRECT("'"&amp;$A245&amp;"'!$A$2:$A$501"),"&lt;"&amp;($BA245+1),INDIRECT("'"&amp;$A245&amp;"'!$E$2:$E$501"),"Yes"),0)))</f>
        <v/>
      </c>
      <c r="AW245" s="30" t="str">
        <f aca="true">IF(OR($A245="",$I245=""),"",IF($BC245="Y",SUMIFS(survey_frozen!$K$2:$K$251,survey_frozen!$P$2:$P$251,$A245&amp;"|"&amp;$B245),IFERROR(COUNTIFS(INDIRECT("'"&amp;$A245&amp;"'!$B$2:$B$501"),$T245,INDIRECT("'"&amp;$A245&amp;"'!$A$2:$A$501"),"&gt;="&amp;$I245,INDIRECT("'"&amp;$A245&amp;"'!$A$2:$A$501"),"&lt;"&amp;($BA245+1),INDIRECT("'"&amp;$A245&amp;"'!$E$2:$E$501"),"Maybe"),0)))</f>
        <v/>
      </c>
      <c r="AX245" s="30" t="str">
        <f aca="true">IF(OR($A245="",$I245=""),"",IF($BC245="Y",SUMIFS(survey_frozen!$L$2:$L$251,survey_frozen!$P$2:$P$251,$A245&amp;"|"&amp;$B245),IFERROR(COUNTIFS(INDIRECT("'"&amp;$A245&amp;"'!$B$2:$B$501"),$T245,INDIRECT("'"&amp;$A245&amp;"'!$A$2:$A$501"),"&gt;="&amp;$I245,INDIRECT("'"&amp;$A245&amp;"'!$A$2:$A$501"),"&lt;"&amp;($BA245+1),INDIRECT("'"&amp;$A245&amp;"'!$E$2:$E$501"),"No"),0)))</f>
        <v/>
      </c>
      <c r="AY245" s="30" t="str">
        <f aca="true">IF(OR($A245="",$I245=""),"",IF($BC245="Y",SUMIFS(survey_frozen!$M$2:$M$251,survey_frozen!$P$2:$P$251,$A245&amp;"|"&amp;$B245),IFERROR(COUNTIFS(INDIRECT("'"&amp;$A245&amp;"'!$B$2:$B$501"),$T245,INDIRECT("'"&amp;$A245&amp;"'!$A$2:$A$501"),"&gt;="&amp;$I245,INDIRECT("'"&amp;$A245&amp;"'!$A$2:$A$501"),"&lt;"&amp;($BA245+1),INDIRECT("'"&amp;$A245&amp;"'!$G$2:$G$501"),"&lt;&gt;"),0)))</f>
        <v/>
      </c>
      <c r="AZ245" s="30" t="str">
        <f aca="false">IF($A245="","",$A245&amp;"|"&amp;$L245)</f>
        <v/>
      </c>
      <c r="BA245" s="31" t="str">
        <f aca="false">IF($A245="","",IFERROR(IF(INDEX(drops!$R$2:$R$21,MATCH($H245,drops!$A$2:$A$21,0))="","",INDEX(drops!$R$2:$R$21,MATCH($H245,drops!$A$2:$A$21,0))),""))</f>
        <v/>
      </c>
      <c r="BB245" s="30" t="n">
        <f aca="false">IF(OR($A245="",$Q245&lt;&gt;"Y"),1000000,N($AL245))</f>
        <v>1000000</v>
      </c>
      <c r="BC245" s="30" t="str">
        <f aca="false">IF($A245="","",IF(COUNTIF(survey_frozen!$P$2:$P$251,$A245&amp;"|"&amp;$B245)&gt;0,"Y",""))</f>
        <v/>
      </c>
      <c r="BD245" s="30" t="str">
        <f aca="false">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ustomFormat="false" ht="15" hidden="false" customHeight="false" outlineLevel="0" collapsed="false">
      <c r="C246" s="11"/>
      <c r="D246" s="10"/>
      <c r="E246" s="11"/>
      <c r="H246" s="30" t="str">
        <f aca="false">IF($A246="","",IFERROR(IF(INDEX(campaigns!$B$2:$B$51,MATCH($A246,campaigns!$A$2:$A$51,0))="","",INDEX(campaigns!$B$2:$B$51,MATCH($A246,campaigns!$A$2:$A$51,0))),""))</f>
        <v/>
      </c>
      <c r="I246" s="31" t="str">
        <f aca="false">IF($A246="","",IFERROR(IF(INDEX(campaigns!$BG$2:$BG$51,MATCH($A246,campaigns!$A$2:$A$51,0))="","",INDEX(campaigns!$BG$2:$BG$51,MATCH($A246,campaigns!$A$2:$A$51,0))),""))</f>
        <v/>
      </c>
      <c r="J246" s="30" t="str">
        <f aca="false">IF($A246="","",IFERROR(IF(INDEX(campaigns!$BE$2:$BE$51,MATCH($A246,campaigns!$A$2:$A$51,0))="","",INDEX(campaigns!$BE$2:$BE$51,MATCH($A246,campaigns!$A$2:$A$51,0))),""))</f>
        <v/>
      </c>
      <c r="K246" s="30" t="str">
        <f aca="false">IF($B246="","",IFERROR(IF(INDEX(offices!$O$2:$O$61,MATCH($B246,offices!$A$2:$A$61,0))="","",INDEX(offices!$O$2:$O$61,MATCH($B246,offices!$A$2:$A$61,0))),""))</f>
        <v/>
      </c>
      <c r="L246" s="30" t="str">
        <f aca="false">IF($A246="","",IF($Q246="N","",COUNTIFS($A$2:$A246,$A246,$Q$2:$Q246,"&lt;&gt;N")))</f>
        <v/>
      </c>
      <c r="M246" s="30" t="str">
        <f aca="false">IF(OR($A246="",$L246=""),"",IF(AND(config!$B$34="names_if_public",IFERROR(IF(INDEX(offices!$AG$2:$AG$61,MATCH($B246,offices!$A$2:$A$61,0))="","",INDEX(offices!$AG$2:$AG$61,MATCH($B246,offices!$A$2:$A$61,0))),"")="Y"),$K246,CHAR(64+$L246)))</f>
        <v/>
      </c>
      <c r="N246" s="30" t="str">
        <f aca="false">IF(OR($A246="",$I246=""),"",COUNTIFS(stops!$B$2:$B$151,$B246,stops!$P$2:$P$151,"&lt;"&amp;$I246,stops!$L$2:$L$151,"&lt;&gt;not_delivered")+1)</f>
        <v/>
      </c>
      <c r="O246" s="30" t="str">
        <f aca="false">IF($A246="","",IF(N($N246)&lt;=config!$B$29,"explicit","opt-out"))</f>
        <v/>
      </c>
      <c r="P246" s="30" t="str">
        <f aca="false">IF($A246="","",IF($O246="explicit",IF($D246="yes","Y",IF($D246="no","N","pending")),IF($D246="no","N",IF(AND($C246&lt;&gt;"",$I246&lt;&gt;"",$C246&lt;=WORKDAY(N($I246),-5,calendar!$A$2:$A$80)),"Y","pending"))))</f>
        <v/>
      </c>
      <c r="Q246" s="30" t="str">
        <f aca="false">IF($A246="","",IF($P246="N","N",IF($P246&lt;&gt;"Y","pending",IF(AND((COUNTIFS(stops!$A$2:$A$151,$H246,stops!$B$2:$B$151,$B246,stops!$L$2:$L$151,"declined")+COUNTIFS(stops!$A$2:$A$151,$H246,stops!$B$2:$B$151,$B246,stops!$L$2:$L$151,"building_refused")+COUNTIFS(stops!$A$2:$A$151,$H246,stops!$B$2:$B$151,$B246,stops!$L$2:$L$151,"not_delivered"))&gt;0,N($U246)=0),"N","Y"))))</f>
        <v/>
      </c>
      <c r="R246" s="30" t="str">
        <f aca="false">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30" t="str">
        <f aca="false">IF($A246="","",IF($G246&lt;&gt;"",$G246,IFERROR(IF(INDEX(offices!$AM$2:$AM$61,MATCH($B246,offices!$A$2:$A$61,0))="","",INDEX(offices!$AM$2:$AM$61,MATCH($B246,offices!$A$2:$A$61,0))),"")))</f>
        <v/>
      </c>
      <c r="T246" s="30" t="str">
        <f aca="false">IF($A246="","",$A246&amp;"."&amp;$B246)</f>
        <v/>
      </c>
      <c r="U246" s="30" t="str">
        <f aca="false">IF($A246="","",SUMIFS(inventory!$G$2:$G$801,inventory!$C$2:$C$801,$A246,inventory!$D$2:$D$801,$B246,inventory!$E$2:$E$801,"delivered"))</f>
        <v/>
      </c>
      <c r="V246" s="37" t="str">
        <f aca="false">IF($A246="","",IFERROR(1/(1/SUMPRODUCT(MAX((inventory!$C$2:$C$801=$A246)*(inventory!$D$2:$D$801=$B246)*(inventory!$E$2:$E$801="delivered")*(inventory!$A$2:$A$801+inventory!$B$2:$B$801)))),""))</f>
        <v/>
      </c>
      <c r="W246" s="30" t="str">
        <f aca="false">IF($A246="","",IFERROR(IF(INDEX(inventory!$J$2:$J$801,MATCH($A246&amp;"|"&amp;$B246&amp;"|delivered",inventory!$R$2:$R$801,0))="","",INDEX(inventory!$J$2:$J$801,MATCH($A246&amp;"|"&amp;$B246&amp;"|delivered",inventory!$R$2:$R$801,0))),""))</f>
        <v/>
      </c>
      <c r="X246" s="30" t="str">
        <f aca="false">IF($A246="","",IFERROR(IF(INDEX(photos!$H$2:$H$701,MATCH($A246&amp;"|"&amp;$B246&amp;"|placement|Y",photos!$R$2:$R$701,0))="","",INDEX(photos!$H$2:$H$701,MATCH($A246&amp;"|"&amp;$B246&amp;"|placement|Y",photos!$R$2:$R$701,0))),""))</f>
        <v/>
      </c>
      <c r="Y246" s="31" t="str">
        <f aca="false">IF($A246="","",IFERROR(IF(INDEX(photos!$E$2:$E$701,MATCH($A246&amp;"|"&amp;$B246&amp;"|placement|Y",photos!$R$2:$R$701,0))="","",INDEX(photos!$E$2:$E$701,MATCH($A246&amp;"|"&amp;$B246&amp;"|placement|Y",photos!$R$2:$R$701,0))),""))</f>
        <v/>
      </c>
      <c r="Z246" s="30" t="str">
        <f aca="false">IF($A246="","",IF(COUNTIFS(counts!$C$2:$C$701,$A246,counts!$D$2:$D$701,$B246,counts!$E$2:$E$701,"placed")=0,"",SUMIFS(counts!$F$2:$F$701,counts!$C$2:$C$701,$A246,counts!$D$2:$D$701,$B246,counts!$E$2:$E$701,"placed")))</f>
        <v/>
      </c>
      <c r="AA246" s="30" t="str">
        <f aca="false">IF($A246="","",IF($Y246="",0,N($Z246)))</f>
        <v/>
      </c>
      <c r="AB246" s="30" t="str">
        <f aca="false">IF($A246="","",IF(OR($Y246="",$I246=""),"N",IF($Y246&lt;=WORKDAY(N($I246),1,calendar!$A$2:$A$80),"Y","N")))</f>
        <v/>
      </c>
      <c r="AC246" s="33" t="str">
        <f aca="false">IF(OR($A246="",$V246="",$Y246=""),"",ROUND(($Y246+N(IFERROR(IF(INDEX(photos!$F$2:$F$701,MATCH($A246&amp;"|"&amp;$B246&amp;"|placement|Y",photos!$R$2:$R$701,0))="","",INDEX(photos!$F$2:$F$701,MATCH($A246&amp;"|"&amp;$B246&amp;"|placement|Y",photos!$R$2:$R$701,0))),""))-$V246)*24,1))</f>
        <v/>
      </c>
      <c r="AD246" s="30" t="str">
        <f aca="false">IF($A246="","",SUMIFS(inventory!$G$2:$G$801,inventory!$C$2:$C$801,$A246,inventory!$D$2:$D$801,$B246,inventory!$E$2:$E$801,"topped_up"))</f>
        <v/>
      </c>
      <c r="AE246" s="30" t="str">
        <f aca="false">IF($A246="","",IF(COUNTIFS(counts!$C$2:$C$701,$A246,counts!$D$2:$D$701,$B246,counts!$E$2:$E$701,"remaining_day3")=0,"",SUMIFS(counts!$F$2:$F$701,counts!$C$2:$C$701,$A246,counts!$D$2:$D$701,$B246,counts!$E$2:$E$701,"remaining_day3")))</f>
        <v/>
      </c>
      <c r="AF246" s="30" t="str">
        <f aca="false">IF($A246="","",IF(COUNTIFS(counts!$C$2:$C$701,$A246,counts!$D$2:$D$701,$B246,counts!$E$2:$E$701,"remaining_day5")=0,"",SUMIFS(counts!$F$2:$F$701,counts!$C$2:$C$701,$A246,counts!$D$2:$D$701,$B246,counts!$E$2:$E$701,"remaining_day5")))</f>
        <v/>
      </c>
      <c r="AG246" s="30" t="str">
        <f aca="false">IF(OR($A246="",$AF246=""),"",MAX(0,$AA246+$AD246-$AF246))</f>
        <v/>
      </c>
      <c r="AH246" s="30" t="str">
        <f aca="false">IF(OR($A246="",$AI246=""),"",IFERROR(IF(INDEX(photos!$H$2:$H$701,MATCH($A246&amp;"|"&amp;$B246&amp;"|later|Y|"&amp;$AI246,photos!$S$2:$S$701,0))="","",INDEX(photos!$H$2:$H$701,MATCH($A246&amp;"|"&amp;$B246&amp;"|later|Y|"&amp;$AI246,photos!$S$2:$S$701,0))),""))</f>
        <v/>
      </c>
      <c r="AI246" s="31" t="str">
        <f aca="false">IF($A246="","",IFERROR(1/(1/SUMPRODUCT(MAX((photos!$B$2:$B$701=$A246)*(photos!$C$2:$C$701=$B246)*(photos!$D$2:$D$701="later")*(photos!$O$2:$O$701="Y")*photos!$E$2:$E$701))),""))</f>
        <v/>
      </c>
      <c r="AJ246" s="30" t="str">
        <f aca="false">IF(OR($A246="",$AI246="",$I246=""),"",NETWORKDAYS($I246,$AI246,calendar!$A$2:$A$80))</f>
        <v/>
      </c>
      <c r="AK246" s="30" t="str">
        <f aca="false">IF($A246="","",IF(AND($X246&lt;&gt;"",$AH246&lt;&gt;""),"Y","N"))</f>
        <v/>
      </c>
      <c r="AL246" s="30" t="str">
        <f aca="true">IF(OR($A246="",$I246=""),"",IF($BC246="Y",SUMIFS(survey_frozen!$C$2:$C$251,survey_frozen!$P$2:$P$251,$A246&amp;"|"&amp;$B246),IFERROR(COUNTIFS(INDIRECT("'"&amp;$A246&amp;"'!$B$2:$B$501"),$T246,INDIRECT("'"&amp;$A246&amp;"'!$A$2:$A$501"),"&gt;="&amp;$I246,INDIRECT("'"&amp;$A246&amp;"'!$A$2:$A$501"),"&lt;"&amp;($BA246+1)),0)))</f>
        <v/>
      </c>
      <c r="AM246" s="30" t="str">
        <f aca="true">IF(OR($A246="",$I246=""),"",IF($BC246="Y",SUMIFS(survey_frozen!$D$2:$D$251,survey_frozen!$P$2:$P$251,$A246&amp;"|"&amp;$B246),IFERROR(COUNTIFS(INDIRECT("'"&amp;$A246&amp;"'!$B$2:$B$501"),$T246,INDIRECT("'"&amp;$A246&amp;"'!$A$2:$A$501"),"&gt;="&amp;$I246,INDIRECT("'"&amp;$A246&amp;"'!$A$2:$A$501"),"&lt;"&amp;($BA246+1),INDIRECT("'"&amp;$A246&amp;"'!$C$2:$C$501"),"Yes"),0)))</f>
        <v/>
      </c>
      <c r="AN246" s="30" t="str">
        <f aca="false">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30" t="str">
        <f aca="false">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30" t="str">
        <f aca="true">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30" t="str">
        <f aca="true">IF(OR($A246="",$I246=""),"",IF($BC246="Y",SUMIFS(survey_frozen!$E$2:$E$251,survey_frozen!$P$2:$P$251,$A246&amp;"|"&amp;$B246),IFERROR(COUNTIFS(INDIRECT("'"&amp;$A246&amp;"'!$B$2:$B$501"),$T246,INDIRECT("'"&amp;$A246&amp;"'!$A$2:$A$501"),"&gt;="&amp;$I246,INDIRECT("'"&amp;$A246&amp;"'!$A$2:$A$501"),"&lt;"&amp;($BA246+1),INDIRECT("'"&amp;$A246&amp;"'!$F$2:$F$501"),"Didn't see it"),0)))</f>
        <v/>
      </c>
      <c r="AR246" s="30" t="str">
        <f aca="true">IF(OR($A246="",$I246=""),"",IF($BC246="Y",SUMIFS(survey_frozen!$F$2:$F$251,survey_frozen!$P$2:$P$251,$A246&amp;"|"&amp;$B246),IFERROR(COUNTIFS(INDIRECT("'"&amp;$A246&amp;"'!$B$2:$B$501"),$T246,INDIRECT("'"&amp;$A246&amp;"'!$A$2:$A$501"),"&gt;="&amp;$I246,INDIRECT("'"&amp;$A246&amp;"'!$A$2:$A$501"),"&lt;"&amp;($BA246+1),INDIRECT("'"&amp;$A246&amp;"'!$F$2:$F$501"),"Not for me"),0)))</f>
        <v/>
      </c>
      <c r="AS246" s="30" t="str">
        <f aca="true">IF(OR($A246="",$I246=""),"",IF($BC246="Y",SUMIFS(survey_frozen!$G$2:$G$251,survey_frozen!$P$2:$P$251,$A246&amp;"|"&amp;$B246),IFERROR(COUNTIFS(INDIRECT("'"&amp;$A246&amp;"'!$B$2:$B$501"),$T246,INDIRECT("'"&amp;$A246&amp;"'!$A$2:$A$501"),"&gt;="&amp;$I246,INDIRECT("'"&amp;$A246&amp;"'!$A$2:$A$501"),"&lt;"&amp;($BA246+1),INDIRECT("'"&amp;$A246&amp;"'!$F$2:$F$501"),"Gone by the time I looked"),0)))</f>
        <v/>
      </c>
      <c r="AT246" s="30" t="str">
        <f aca="true">IF(OR($A246="",$I246=""),"",IF($BC246="Y",SUMIFS(survey_frozen!$H$2:$H$251,survey_frozen!$P$2:$P$251,$A246&amp;"|"&amp;$B246),IFERROR(COUNTIFS(INDIRECT("'"&amp;$A246&amp;"'!$B$2:$B$501"),$T246,INDIRECT("'"&amp;$A246&amp;"'!$A$2:$A$501"),"&gt;="&amp;$I246,INDIRECT("'"&amp;$A246&amp;"'!$A$2:$A$501"),"&lt;"&amp;($BA246+1),INDIRECT("'"&amp;$A246&amp;"'!$D$2:$D$501"),"&gt;=1"),0)))</f>
        <v/>
      </c>
      <c r="AU246" s="30" t="str">
        <f aca="true">IF(OR($A246="",$I246=""),"",IF($BC246="Y",SUMIFS(survey_frozen!$I$2:$I$251,survey_frozen!$P$2:$P$251,$A246&amp;"|"&amp;$B246),IFERROR(SUMIFS(INDIRECT("'"&amp;$A246&amp;"'!$D$2:$D$501"),INDIRECT("'"&amp;$A246&amp;"'!$B$2:$B$501"),$T246,INDIRECT("'"&amp;$A246&amp;"'!$A$2:$A$501"),"&gt;="&amp;$I246,INDIRECT("'"&amp;$A246&amp;"'!$A$2:$A$501"),"&lt;"&amp;($BA246+1)),0)))</f>
        <v/>
      </c>
      <c r="AV246" s="30" t="str">
        <f aca="true">IF(OR($A246="",$I246=""),"",IF($BC246="Y",SUMIFS(survey_frozen!$J$2:$J$251,survey_frozen!$P$2:$P$251,$A246&amp;"|"&amp;$B246),IFERROR(COUNTIFS(INDIRECT("'"&amp;$A246&amp;"'!$B$2:$B$501"),$T246,INDIRECT("'"&amp;$A246&amp;"'!$A$2:$A$501"),"&gt;="&amp;$I246,INDIRECT("'"&amp;$A246&amp;"'!$A$2:$A$501"),"&lt;"&amp;($BA246+1),INDIRECT("'"&amp;$A246&amp;"'!$E$2:$E$501"),"Yes"),0)))</f>
        <v/>
      </c>
      <c r="AW246" s="30" t="str">
        <f aca="true">IF(OR($A246="",$I246=""),"",IF($BC246="Y",SUMIFS(survey_frozen!$K$2:$K$251,survey_frozen!$P$2:$P$251,$A246&amp;"|"&amp;$B246),IFERROR(COUNTIFS(INDIRECT("'"&amp;$A246&amp;"'!$B$2:$B$501"),$T246,INDIRECT("'"&amp;$A246&amp;"'!$A$2:$A$501"),"&gt;="&amp;$I246,INDIRECT("'"&amp;$A246&amp;"'!$A$2:$A$501"),"&lt;"&amp;($BA246+1),INDIRECT("'"&amp;$A246&amp;"'!$E$2:$E$501"),"Maybe"),0)))</f>
        <v/>
      </c>
      <c r="AX246" s="30" t="str">
        <f aca="true">IF(OR($A246="",$I246=""),"",IF($BC246="Y",SUMIFS(survey_frozen!$L$2:$L$251,survey_frozen!$P$2:$P$251,$A246&amp;"|"&amp;$B246),IFERROR(COUNTIFS(INDIRECT("'"&amp;$A246&amp;"'!$B$2:$B$501"),$T246,INDIRECT("'"&amp;$A246&amp;"'!$A$2:$A$501"),"&gt;="&amp;$I246,INDIRECT("'"&amp;$A246&amp;"'!$A$2:$A$501"),"&lt;"&amp;($BA246+1),INDIRECT("'"&amp;$A246&amp;"'!$E$2:$E$501"),"No"),0)))</f>
        <v/>
      </c>
      <c r="AY246" s="30" t="str">
        <f aca="true">IF(OR($A246="",$I246=""),"",IF($BC246="Y",SUMIFS(survey_frozen!$M$2:$M$251,survey_frozen!$P$2:$P$251,$A246&amp;"|"&amp;$B246),IFERROR(COUNTIFS(INDIRECT("'"&amp;$A246&amp;"'!$B$2:$B$501"),$T246,INDIRECT("'"&amp;$A246&amp;"'!$A$2:$A$501"),"&gt;="&amp;$I246,INDIRECT("'"&amp;$A246&amp;"'!$A$2:$A$501"),"&lt;"&amp;($BA246+1),INDIRECT("'"&amp;$A246&amp;"'!$G$2:$G$501"),"&lt;&gt;"),0)))</f>
        <v/>
      </c>
      <c r="AZ246" s="30" t="str">
        <f aca="false">IF($A246="","",$A246&amp;"|"&amp;$L246)</f>
        <v/>
      </c>
      <c r="BA246" s="31" t="str">
        <f aca="false">IF($A246="","",IFERROR(IF(INDEX(drops!$R$2:$R$21,MATCH($H246,drops!$A$2:$A$21,0))="","",INDEX(drops!$R$2:$R$21,MATCH($H246,drops!$A$2:$A$21,0))),""))</f>
        <v/>
      </c>
      <c r="BB246" s="30" t="n">
        <f aca="false">IF(OR($A246="",$Q246&lt;&gt;"Y"),1000000,N($AL246))</f>
        <v>1000000</v>
      </c>
      <c r="BC246" s="30" t="str">
        <f aca="false">IF($A246="","",IF(COUNTIF(survey_frozen!$P$2:$P$251,$A246&amp;"|"&amp;$B246)&gt;0,"Y",""))</f>
        <v/>
      </c>
      <c r="BD246" s="30" t="str">
        <f aca="false">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ustomFormat="false" ht="15" hidden="false" customHeight="false" outlineLevel="0" collapsed="false">
      <c r="C247" s="11"/>
      <c r="D247" s="10"/>
      <c r="E247" s="11"/>
      <c r="H247" s="30" t="str">
        <f aca="false">IF($A247="","",IFERROR(IF(INDEX(campaigns!$B$2:$B$51,MATCH($A247,campaigns!$A$2:$A$51,0))="","",INDEX(campaigns!$B$2:$B$51,MATCH($A247,campaigns!$A$2:$A$51,0))),""))</f>
        <v/>
      </c>
      <c r="I247" s="31" t="str">
        <f aca="false">IF($A247="","",IFERROR(IF(INDEX(campaigns!$BG$2:$BG$51,MATCH($A247,campaigns!$A$2:$A$51,0))="","",INDEX(campaigns!$BG$2:$BG$51,MATCH($A247,campaigns!$A$2:$A$51,0))),""))</f>
        <v/>
      </c>
      <c r="J247" s="30" t="str">
        <f aca="false">IF($A247="","",IFERROR(IF(INDEX(campaigns!$BE$2:$BE$51,MATCH($A247,campaigns!$A$2:$A$51,0))="","",INDEX(campaigns!$BE$2:$BE$51,MATCH($A247,campaigns!$A$2:$A$51,0))),""))</f>
        <v/>
      </c>
      <c r="K247" s="30" t="str">
        <f aca="false">IF($B247="","",IFERROR(IF(INDEX(offices!$O$2:$O$61,MATCH($B247,offices!$A$2:$A$61,0))="","",INDEX(offices!$O$2:$O$61,MATCH($B247,offices!$A$2:$A$61,0))),""))</f>
        <v/>
      </c>
      <c r="L247" s="30" t="str">
        <f aca="false">IF($A247="","",IF($Q247="N","",COUNTIFS($A$2:$A247,$A247,$Q$2:$Q247,"&lt;&gt;N")))</f>
        <v/>
      </c>
      <c r="M247" s="30" t="str">
        <f aca="false">IF(OR($A247="",$L247=""),"",IF(AND(config!$B$34="names_if_public",IFERROR(IF(INDEX(offices!$AG$2:$AG$61,MATCH($B247,offices!$A$2:$A$61,0))="","",INDEX(offices!$AG$2:$AG$61,MATCH($B247,offices!$A$2:$A$61,0))),"")="Y"),$K247,CHAR(64+$L247)))</f>
        <v/>
      </c>
      <c r="N247" s="30" t="str">
        <f aca="false">IF(OR($A247="",$I247=""),"",COUNTIFS(stops!$B$2:$B$151,$B247,stops!$P$2:$P$151,"&lt;"&amp;$I247,stops!$L$2:$L$151,"&lt;&gt;not_delivered")+1)</f>
        <v/>
      </c>
      <c r="O247" s="30" t="str">
        <f aca="false">IF($A247="","",IF(N($N247)&lt;=config!$B$29,"explicit","opt-out"))</f>
        <v/>
      </c>
      <c r="P247" s="30" t="str">
        <f aca="false">IF($A247="","",IF($O247="explicit",IF($D247="yes","Y",IF($D247="no","N","pending")),IF($D247="no","N",IF(AND($C247&lt;&gt;"",$I247&lt;&gt;"",$C247&lt;=WORKDAY(N($I247),-5,calendar!$A$2:$A$80)),"Y","pending"))))</f>
        <v/>
      </c>
      <c r="Q247" s="30" t="str">
        <f aca="false">IF($A247="","",IF($P247="N","N",IF($P247&lt;&gt;"Y","pending",IF(AND((COUNTIFS(stops!$A$2:$A$151,$H247,stops!$B$2:$B$151,$B247,stops!$L$2:$L$151,"declined")+COUNTIFS(stops!$A$2:$A$151,$H247,stops!$B$2:$B$151,$B247,stops!$L$2:$L$151,"building_refused")+COUNTIFS(stops!$A$2:$A$151,$H247,stops!$B$2:$B$151,$B247,stops!$L$2:$L$151,"not_delivered"))&gt;0,N($U247)=0),"N","Y"))))</f>
        <v/>
      </c>
      <c r="R247" s="30" t="str">
        <f aca="false">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30" t="str">
        <f aca="false">IF($A247="","",IF($G247&lt;&gt;"",$G247,IFERROR(IF(INDEX(offices!$AM$2:$AM$61,MATCH($B247,offices!$A$2:$A$61,0))="","",INDEX(offices!$AM$2:$AM$61,MATCH($B247,offices!$A$2:$A$61,0))),"")))</f>
        <v/>
      </c>
      <c r="T247" s="30" t="str">
        <f aca="false">IF($A247="","",$A247&amp;"."&amp;$B247)</f>
        <v/>
      </c>
      <c r="U247" s="30" t="str">
        <f aca="false">IF($A247="","",SUMIFS(inventory!$G$2:$G$801,inventory!$C$2:$C$801,$A247,inventory!$D$2:$D$801,$B247,inventory!$E$2:$E$801,"delivered"))</f>
        <v/>
      </c>
      <c r="V247" s="37" t="str">
        <f aca="false">IF($A247="","",IFERROR(1/(1/SUMPRODUCT(MAX((inventory!$C$2:$C$801=$A247)*(inventory!$D$2:$D$801=$B247)*(inventory!$E$2:$E$801="delivered")*(inventory!$A$2:$A$801+inventory!$B$2:$B$801)))),""))</f>
        <v/>
      </c>
      <c r="W247" s="30" t="str">
        <f aca="false">IF($A247="","",IFERROR(IF(INDEX(inventory!$J$2:$J$801,MATCH($A247&amp;"|"&amp;$B247&amp;"|delivered",inventory!$R$2:$R$801,0))="","",INDEX(inventory!$J$2:$J$801,MATCH($A247&amp;"|"&amp;$B247&amp;"|delivered",inventory!$R$2:$R$801,0))),""))</f>
        <v/>
      </c>
      <c r="X247" s="30" t="str">
        <f aca="false">IF($A247="","",IFERROR(IF(INDEX(photos!$H$2:$H$701,MATCH($A247&amp;"|"&amp;$B247&amp;"|placement|Y",photos!$R$2:$R$701,0))="","",INDEX(photos!$H$2:$H$701,MATCH($A247&amp;"|"&amp;$B247&amp;"|placement|Y",photos!$R$2:$R$701,0))),""))</f>
        <v/>
      </c>
      <c r="Y247" s="31" t="str">
        <f aca="false">IF($A247="","",IFERROR(IF(INDEX(photos!$E$2:$E$701,MATCH($A247&amp;"|"&amp;$B247&amp;"|placement|Y",photos!$R$2:$R$701,0))="","",INDEX(photos!$E$2:$E$701,MATCH($A247&amp;"|"&amp;$B247&amp;"|placement|Y",photos!$R$2:$R$701,0))),""))</f>
        <v/>
      </c>
      <c r="Z247" s="30" t="str">
        <f aca="false">IF($A247="","",IF(COUNTIFS(counts!$C$2:$C$701,$A247,counts!$D$2:$D$701,$B247,counts!$E$2:$E$701,"placed")=0,"",SUMIFS(counts!$F$2:$F$701,counts!$C$2:$C$701,$A247,counts!$D$2:$D$701,$B247,counts!$E$2:$E$701,"placed")))</f>
        <v/>
      </c>
      <c r="AA247" s="30" t="str">
        <f aca="false">IF($A247="","",IF($Y247="",0,N($Z247)))</f>
        <v/>
      </c>
      <c r="AB247" s="30" t="str">
        <f aca="false">IF($A247="","",IF(OR($Y247="",$I247=""),"N",IF($Y247&lt;=WORKDAY(N($I247),1,calendar!$A$2:$A$80),"Y","N")))</f>
        <v/>
      </c>
      <c r="AC247" s="33" t="str">
        <f aca="false">IF(OR($A247="",$V247="",$Y247=""),"",ROUND(($Y247+N(IFERROR(IF(INDEX(photos!$F$2:$F$701,MATCH($A247&amp;"|"&amp;$B247&amp;"|placement|Y",photos!$R$2:$R$701,0))="","",INDEX(photos!$F$2:$F$701,MATCH($A247&amp;"|"&amp;$B247&amp;"|placement|Y",photos!$R$2:$R$701,0))),""))-$V247)*24,1))</f>
        <v/>
      </c>
      <c r="AD247" s="30" t="str">
        <f aca="false">IF($A247="","",SUMIFS(inventory!$G$2:$G$801,inventory!$C$2:$C$801,$A247,inventory!$D$2:$D$801,$B247,inventory!$E$2:$E$801,"topped_up"))</f>
        <v/>
      </c>
      <c r="AE247" s="30" t="str">
        <f aca="false">IF($A247="","",IF(COUNTIFS(counts!$C$2:$C$701,$A247,counts!$D$2:$D$701,$B247,counts!$E$2:$E$701,"remaining_day3")=0,"",SUMIFS(counts!$F$2:$F$701,counts!$C$2:$C$701,$A247,counts!$D$2:$D$701,$B247,counts!$E$2:$E$701,"remaining_day3")))</f>
        <v/>
      </c>
      <c r="AF247" s="30" t="str">
        <f aca="false">IF($A247="","",IF(COUNTIFS(counts!$C$2:$C$701,$A247,counts!$D$2:$D$701,$B247,counts!$E$2:$E$701,"remaining_day5")=0,"",SUMIFS(counts!$F$2:$F$701,counts!$C$2:$C$701,$A247,counts!$D$2:$D$701,$B247,counts!$E$2:$E$701,"remaining_day5")))</f>
        <v/>
      </c>
      <c r="AG247" s="30" t="str">
        <f aca="false">IF(OR($A247="",$AF247=""),"",MAX(0,$AA247+$AD247-$AF247))</f>
        <v/>
      </c>
      <c r="AH247" s="30" t="str">
        <f aca="false">IF(OR($A247="",$AI247=""),"",IFERROR(IF(INDEX(photos!$H$2:$H$701,MATCH($A247&amp;"|"&amp;$B247&amp;"|later|Y|"&amp;$AI247,photos!$S$2:$S$701,0))="","",INDEX(photos!$H$2:$H$701,MATCH($A247&amp;"|"&amp;$B247&amp;"|later|Y|"&amp;$AI247,photos!$S$2:$S$701,0))),""))</f>
        <v/>
      </c>
      <c r="AI247" s="31" t="str">
        <f aca="false">IF($A247="","",IFERROR(1/(1/SUMPRODUCT(MAX((photos!$B$2:$B$701=$A247)*(photos!$C$2:$C$701=$B247)*(photos!$D$2:$D$701="later")*(photos!$O$2:$O$701="Y")*photos!$E$2:$E$701))),""))</f>
        <v/>
      </c>
      <c r="AJ247" s="30" t="str">
        <f aca="false">IF(OR($A247="",$AI247="",$I247=""),"",NETWORKDAYS($I247,$AI247,calendar!$A$2:$A$80))</f>
        <v/>
      </c>
      <c r="AK247" s="30" t="str">
        <f aca="false">IF($A247="","",IF(AND($X247&lt;&gt;"",$AH247&lt;&gt;""),"Y","N"))</f>
        <v/>
      </c>
      <c r="AL247" s="30" t="str">
        <f aca="true">IF(OR($A247="",$I247=""),"",IF($BC247="Y",SUMIFS(survey_frozen!$C$2:$C$251,survey_frozen!$P$2:$P$251,$A247&amp;"|"&amp;$B247),IFERROR(COUNTIFS(INDIRECT("'"&amp;$A247&amp;"'!$B$2:$B$501"),$T247,INDIRECT("'"&amp;$A247&amp;"'!$A$2:$A$501"),"&gt;="&amp;$I247,INDIRECT("'"&amp;$A247&amp;"'!$A$2:$A$501"),"&lt;"&amp;($BA247+1)),0)))</f>
        <v/>
      </c>
      <c r="AM247" s="30" t="str">
        <f aca="true">IF(OR($A247="",$I247=""),"",IF($BC247="Y",SUMIFS(survey_frozen!$D$2:$D$251,survey_frozen!$P$2:$P$251,$A247&amp;"|"&amp;$B247),IFERROR(COUNTIFS(INDIRECT("'"&amp;$A247&amp;"'!$B$2:$B$501"),$T247,INDIRECT("'"&amp;$A247&amp;"'!$A$2:$A$501"),"&gt;="&amp;$I247,INDIRECT("'"&amp;$A247&amp;"'!$A$2:$A$501"),"&lt;"&amp;($BA247+1),INDIRECT("'"&amp;$A247&amp;"'!$C$2:$C$501"),"Yes"),0)))</f>
        <v/>
      </c>
      <c r="AN247" s="30" t="str">
        <f aca="false">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30" t="str">
        <f aca="false">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30" t="str">
        <f aca="true">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30" t="str">
        <f aca="true">IF(OR($A247="",$I247=""),"",IF($BC247="Y",SUMIFS(survey_frozen!$E$2:$E$251,survey_frozen!$P$2:$P$251,$A247&amp;"|"&amp;$B247),IFERROR(COUNTIFS(INDIRECT("'"&amp;$A247&amp;"'!$B$2:$B$501"),$T247,INDIRECT("'"&amp;$A247&amp;"'!$A$2:$A$501"),"&gt;="&amp;$I247,INDIRECT("'"&amp;$A247&amp;"'!$A$2:$A$501"),"&lt;"&amp;($BA247+1),INDIRECT("'"&amp;$A247&amp;"'!$F$2:$F$501"),"Didn't see it"),0)))</f>
        <v/>
      </c>
      <c r="AR247" s="30" t="str">
        <f aca="true">IF(OR($A247="",$I247=""),"",IF($BC247="Y",SUMIFS(survey_frozen!$F$2:$F$251,survey_frozen!$P$2:$P$251,$A247&amp;"|"&amp;$B247),IFERROR(COUNTIFS(INDIRECT("'"&amp;$A247&amp;"'!$B$2:$B$501"),$T247,INDIRECT("'"&amp;$A247&amp;"'!$A$2:$A$501"),"&gt;="&amp;$I247,INDIRECT("'"&amp;$A247&amp;"'!$A$2:$A$501"),"&lt;"&amp;($BA247+1),INDIRECT("'"&amp;$A247&amp;"'!$F$2:$F$501"),"Not for me"),0)))</f>
        <v/>
      </c>
      <c r="AS247" s="30" t="str">
        <f aca="true">IF(OR($A247="",$I247=""),"",IF($BC247="Y",SUMIFS(survey_frozen!$G$2:$G$251,survey_frozen!$P$2:$P$251,$A247&amp;"|"&amp;$B247),IFERROR(COUNTIFS(INDIRECT("'"&amp;$A247&amp;"'!$B$2:$B$501"),$T247,INDIRECT("'"&amp;$A247&amp;"'!$A$2:$A$501"),"&gt;="&amp;$I247,INDIRECT("'"&amp;$A247&amp;"'!$A$2:$A$501"),"&lt;"&amp;($BA247+1),INDIRECT("'"&amp;$A247&amp;"'!$F$2:$F$501"),"Gone by the time I looked"),0)))</f>
        <v/>
      </c>
      <c r="AT247" s="30" t="str">
        <f aca="true">IF(OR($A247="",$I247=""),"",IF($BC247="Y",SUMIFS(survey_frozen!$H$2:$H$251,survey_frozen!$P$2:$P$251,$A247&amp;"|"&amp;$B247),IFERROR(COUNTIFS(INDIRECT("'"&amp;$A247&amp;"'!$B$2:$B$501"),$T247,INDIRECT("'"&amp;$A247&amp;"'!$A$2:$A$501"),"&gt;="&amp;$I247,INDIRECT("'"&amp;$A247&amp;"'!$A$2:$A$501"),"&lt;"&amp;($BA247+1),INDIRECT("'"&amp;$A247&amp;"'!$D$2:$D$501"),"&gt;=1"),0)))</f>
        <v/>
      </c>
      <c r="AU247" s="30" t="str">
        <f aca="true">IF(OR($A247="",$I247=""),"",IF($BC247="Y",SUMIFS(survey_frozen!$I$2:$I$251,survey_frozen!$P$2:$P$251,$A247&amp;"|"&amp;$B247),IFERROR(SUMIFS(INDIRECT("'"&amp;$A247&amp;"'!$D$2:$D$501"),INDIRECT("'"&amp;$A247&amp;"'!$B$2:$B$501"),$T247,INDIRECT("'"&amp;$A247&amp;"'!$A$2:$A$501"),"&gt;="&amp;$I247,INDIRECT("'"&amp;$A247&amp;"'!$A$2:$A$501"),"&lt;"&amp;($BA247+1)),0)))</f>
        <v/>
      </c>
      <c r="AV247" s="30" t="str">
        <f aca="true">IF(OR($A247="",$I247=""),"",IF($BC247="Y",SUMIFS(survey_frozen!$J$2:$J$251,survey_frozen!$P$2:$P$251,$A247&amp;"|"&amp;$B247),IFERROR(COUNTIFS(INDIRECT("'"&amp;$A247&amp;"'!$B$2:$B$501"),$T247,INDIRECT("'"&amp;$A247&amp;"'!$A$2:$A$501"),"&gt;="&amp;$I247,INDIRECT("'"&amp;$A247&amp;"'!$A$2:$A$501"),"&lt;"&amp;($BA247+1),INDIRECT("'"&amp;$A247&amp;"'!$E$2:$E$501"),"Yes"),0)))</f>
        <v/>
      </c>
      <c r="AW247" s="30" t="str">
        <f aca="true">IF(OR($A247="",$I247=""),"",IF($BC247="Y",SUMIFS(survey_frozen!$K$2:$K$251,survey_frozen!$P$2:$P$251,$A247&amp;"|"&amp;$B247),IFERROR(COUNTIFS(INDIRECT("'"&amp;$A247&amp;"'!$B$2:$B$501"),$T247,INDIRECT("'"&amp;$A247&amp;"'!$A$2:$A$501"),"&gt;="&amp;$I247,INDIRECT("'"&amp;$A247&amp;"'!$A$2:$A$501"),"&lt;"&amp;($BA247+1),INDIRECT("'"&amp;$A247&amp;"'!$E$2:$E$501"),"Maybe"),0)))</f>
        <v/>
      </c>
      <c r="AX247" s="30" t="str">
        <f aca="true">IF(OR($A247="",$I247=""),"",IF($BC247="Y",SUMIFS(survey_frozen!$L$2:$L$251,survey_frozen!$P$2:$P$251,$A247&amp;"|"&amp;$B247),IFERROR(COUNTIFS(INDIRECT("'"&amp;$A247&amp;"'!$B$2:$B$501"),$T247,INDIRECT("'"&amp;$A247&amp;"'!$A$2:$A$501"),"&gt;="&amp;$I247,INDIRECT("'"&amp;$A247&amp;"'!$A$2:$A$501"),"&lt;"&amp;($BA247+1),INDIRECT("'"&amp;$A247&amp;"'!$E$2:$E$501"),"No"),0)))</f>
        <v/>
      </c>
      <c r="AY247" s="30" t="str">
        <f aca="true">IF(OR($A247="",$I247=""),"",IF($BC247="Y",SUMIFS(survey_frozen!$M$2:$M$251,survey_frozen!$P$2:$P$251,$A247&amp;"|"&amp;$B247),IFERROR(COUNTIFS(INDIRECT("'"&amp;$A247&amp;"'!$B$2:$B$501"),$T247,INDIRECT("'"&amp;$A247&amp;"'!$A$2:$A$501"),"&gt;="&amp;$I247,INDIRECT("'"&amp;$A247&amp;"'!$A$2:$A$501"),"&lt;"&amp;($BA247+1),INDIRECT("'"&amp;$A247&amp;"'!$G$2:$G$501"),"&lt;&gt;"),0)))</f>
        <v/>
      </c>
      <c r="AZ247" s="30" t="str">
        <f aca="false">IF($A247="","",$A247&amp;"|"&amp;$L247)</f>
        <v/>
      </c>
      <c r="BA247" s="31" t="str">
        <f aca="false">IF($A247="","",IFERROR(IF(INDEX(drops!$R$2:$R$21,MATCH($H247,drops!$A$2:$A$21,0))="","",INDEX(drops!$R$2:$R$21,MATCH($H247,drops!$A$2:$A$21,0))),""))</f>
        <v/>
      </c>
      <c r="BB247" s="30" t="n">
        <f aca="false">IF(OR($A247="",$Q247&lt;&gt;"Y"),1000000,N($AL247))</f>
        <v>1000000</v>
      </c>
      <c r="BC247" s="30" t="str">
        <f aca="false">IF($A247="","",IF(COUNTIF(survey_frozen!$P$2:$P$251,$A247&amp;"|"&amp;$B247)&gt;0,"Y",""))</f>
        <v/>
      </c>
      <c r="BD247" s="30" t="str">
        <f aca="false">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ustomFormat="false" ht="15" hidden="false" customHeight="false" outlineLevel="0" collapsed="false">
      <c r="C248" s="11"/>
      <c r="D248" s="10"/>
      <c r="E248" s="11"/>
      <c r="H248" s="30" t="str">
        <f aca="false">IF($A248="","",IFERROR(IF(INDEX(campaigns!$B$2:$B$51,MATCH($A248,campaigns!$A$2:$A$51,0))="","",INDEX(campaigns!$B$2:$B$51,MATCH($A248,campaigns!$A$2:$A$51,0))),""))</f>
        <v/>
      </c>
      <c r="I248" s="31" t="str">
        <f aca="false">IF($A248="","",IFERROR(IF(INDEX(campaigns!$BG$2:$BG$51,MATCH($A248,campaigns!$A$2:$A$51,0))="","",INDEX(campaigns!$BG$2:$BG$51,MATCH($A248,campaigns!$A$2:$A$51,0))),""))</f>
        <v/>
      </c>
      <c r="J248" s="30" t="str">
        <f aca="false">IF($A248="","",IFERROR(IF(INDEX(campaigns!$BE$2:$BE$51,MATCH($A248,campaigns!$A$2:$A$51,0))="","",INDEX(campaigns!$BE$2:$BE$51,MATCH($A248,campaigns!$A$2:$A$51,0))),""))</f>
        <v/>
      </c>
      <c r="K248" s="30" t="str">
        <f aca="false">IF($B248="","",IFERROR(IF(INDEX(offices!$O$2:$O$61,MATCH($B248,offices!$A$2:$A$61,0))="","",INDEX(offices!$O$2:$O$61,MATCH($B248,offices!$A$2:$A$61,0))),""))</f>
        <v/>
      </c>
      <c r="L248" s="30" t="str">
        <f aca="false">IF($A248="","",IF($Q248="N","",COUNTIFS($A$2:$A248,$A248,$Q$2:$Q248,"&lt;&gt;N")))</f>
        <v/>
      </c>
      <c r="M248" s="30" t="str">
        <f aca="false">IF(OR($A248="",$L248=""),"",IF(AND(config!$B$34="names_if_public",IFERROR(IF(INDEX(offices!$AG$2:$AG$61,MATCH($B248,offices!$A$2:$A$61,0))="","",INDEX(offices!$AG$2:$AG$61,MATCH($B248,offices!$A$2:$A$61,0))),"")="Y"),$K248,CHAR(64+$L248)))</f>
        <v/>
      </c>
      <c r="N248" s="30" t="str">
        <f aca="false">IF(OR($A248="",$I248=""),"",COUNTIFS(stops!$B$2:$B$151,$B248,stops!$P$2:$P$151,"&lt;"&amp;$I248,stops!$L$2:$L$151,"&lt;&gt;not_delivered")+1)</f>
        <v/>
      </c>
      <c r="O248" s="30" t="str">
        <f aca="false">IF($A248="","",IF(N($N248)&lt;=config!$B$29,"explicit","opt-out"))</f>
        <v/>
      </c>
      <c r="P248" s="30" t="str">
        <f aca="false">IF($A248="","",IF($O248="explicit",IF($D248="yes","Y",IF($D248="no","N","pending")),IF($D248="no","N",IF(AND($C248&lt;&gt;"",$I248&lt;&gt;"",$C248&lt;=WORKDAY(N($I248),-5,calendar!$A$2:$A$80)),"Y","pending"))))</f>
        <v/>
      </c>
      <c r="Q248" s="30" t="str">
        <f aca="false">IF($A248="","",IF($P248="N","N",IF($P248&lt;&gt;"Y","pending",IF(AND((COUNTIFS(stops!$A$2:$A$151,$H248,stops!$B$2:$B$151,$B248,stops!$L$2:$L$151,"declined")+COUNTIFS(stops!$A$2:$A$151,$H248,stops!$B$2:$B$151,$B248,stops!$L$2:$L$151,"building_refused")+COUNTIFS(stops!$A$2:$A$151,$H248,stops!$B$2:$B$151,$B248,stops!$L$2:$L$151,"not_delivered"))&gt;0,N($U248)=0),"N","Y"))))</f>
        <v/>
      </c>
      <c r="R248" s="30" t="str">
        <f aca="false">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30" t="str">
        <f aca="false">IF($A248="","",IF($G248&lt;&gt;"",$G248,IFERROR(IF(INDEX(offices!$AM$2:$AM$61,MATCH($B248,offices!$A$2:$A$61,0))="","",INDEX(offices!$AM$2:$AM$61,MATCH($B248,offices!$A$2:$A$61,0))),"")))</f>
        <v/>
      </c>
      <c r="T248" s="30" t="str">
        <f aca="false">IF($A248="","",$A248&amp;"."&amp;$B248)</f>
        <v/>
      </c>
      <c r="U248" s="30" t="str">
        <f aca="false">IF($A248="","",SUMIFS(inventory!$G$2:$G$801,inventory!$C$2:$C$801,$A248,inventory!$D$2:$D$801,$B248,inventory!$E$2:$E$801,"delivered"))</f>
        <v/>
      </c>
      <c r="V248" s="37" t="str">
        <f aca="false">IF($A248="","",IFERROR(1/(1/SUMPRODUCT(MAX((inventory!$C$2:$C$801=$A248)*(inventory!$D$2:$D$801=$B248)*(inventory!$E$2:$E$801="delivered")*(inventory!$A$2:$A$801+inventory!$B$2:$B$801)))),""))</f>
        <v/>
      </c>
      <c r="W248" s="30" t="str">
        <f aca="false">IF($A248="","",IFERROR(IF(INDEX(inventory!$J$2:$J$801,MATCH($A248&amp;"|"&amp;$B248&amp;"|delivered",inventory!$R$2:$R$801,0))="","",INDEX(inventory!$J$2:$J$801,MATCH($A248&amp;"|"&amp;$B248&amp;"|delivered",inventory!$R$2:$R$801,0))),""))</f>
        <v/>
      </c>
      <c r="X248" s="30" t="str">
        <f aca="false">IF($A248="","",IFERROR(IF(INDEX(photos!$H$2:$H$701,MATCH($A248&amp;"|"&amp;$B248&amp;"|placement|Y",photos!$R$2:$R$701,0))="","",INDEX(photos!$H$2:$H$701,MATCH($A248&amp;"|"&amp;$B248&amp;"|placement|Y",photos!$R$2:$R$701,0))),""))</f>
        <v/>
      </c>
      <c r="Y248" s="31" t="str">
        <f aca="false">IF($A248="","",IFERROR(IF(INDEX(photos!$E$2:$E$701,MATCH($A248&amp;"|"&amp;$B248&amp;"|placement|Y",photos!$R$2:$R$701,0))="","",INDEX(photos!$E$2:$E$701,MATCH($A248&amp;"|"&amp;$B248&amp;"|placement|Y",photos!$R$2:$R$701,0))),""))</f>
        <v/>
      </c>
      <c r="Z248" s="30" t="str">
        <f aca="false">IF($A248="","",IF(COUNTIFS(counts!$C$2:$C$701,$A248,counts!$D$2:$D$701,$B248,counts!$E$2:$E$701,"placed")=0,"",SUMIFS(counts!$F$2:$F$701,counts!$C$2:$C$701,$A248,counts!$D$2:$D$701,$B248,counts!$E$2:$E$701,"placed")))</f>
        <v/>
      </c>
      <c r="AA248" s="30" t="str">
        <f aca="false">IF($A248="","",IF($Y248="",0,N($Z248)))</f>
        <v/>
      </c>
      <c r="AB248" s="30" t="str">
        <f aca="false">IF($A248="","",IF(OR($Y248="",$I248=""),"N",IF($Y248&lt;=WORKDAY(N($I248),1,calendar!$A$2:$A$80),"Y","N")))</f>
        <v/>
      </c>
      <c r="AC248" s="33" t="str">
        <f aca="false">IF(OR($A248="",$V248="",$Y248=""),"",ROUND(($Y248+N(IFERROR(IF(INDEX(photos!$F$2:$F$701,MATCH($A248&amp;"|"&amp;$B248&amp;"|placement|Y",photos!$R$2:$R$701,0))="","",INDEX(photos!$F$2:$F$701,MATCH($A248&amp;"|"&amp;$B248&amp;"|placement|Y",photos!$R$2:$R$701,0))),""))-$V248)*24,1))</f>
        <v/>
      </c>
      <c r="AD248" s="30" t="str">
        <f aca="false">IF($A248="","",SUMIFS(inventory!$G$2:$G$801,inventory!$C$2:$C$801,$A248,inventory!$D$2:$D$801,$B248,inventory!$E$2:$E$801,"topped_up"))</f>
        <v/>
      </c>
      <c r="AE248" s="30" t="str">
        <f aca="false">IF($A248="","",IF(COUNTIFS(counts!$C$2:$C$701,$A248,counts!$D$2:$D$701,$B248,counts!$E$2:$E$701,"remaining_day3")=0,"",SUMIFS(counts!$F$2:$F$701,counts!$C$2:$C$701,$A248,counts!$D$2:$D$701,$B248,counts!$E$2:$E$701,"remaining_day3")))</f>
        <v/>
      </c>
      <c r="AF248" s="30" t="str">
        <f aca="false">IF($A248="","",IF(COUNTIFS(counts!$C$2:$C$701,$A248,counts!$D$2:$D$701,$B248,counts!$E$2:$E$701,"remaining_day5")=0,"",SUMIFS(counts!$F$2:$F$701,counts!$C$2:$C$701,$A248,counts!$D$2:$D$701,$B248,counts!$E$2:$E$701,"remaining_day5")))</f>
        <v/>
      </c>
      <c r="AG248" s="30" t="str">
        <f aca="false">IF(OR($A248="",$AF248=""),"",MAX(0,$AA248+$AD248-$AF248))</f>
        <v/>
      </c>
      <c r="AH248" s="30" t="str">
        <f aca="false">IF(OR($A248="",$AI248=""),"",IFERROR(IF(INDEX(photos!$H$2:$H$701,MATCH($A248&amp;"|"&amp;$B248&amp;"|later|Y|"&amp;$AI248,photos!$S$2:$S$701,0))="","",INDEX(photos!$H$2:$H$701,MATCH($A248&amp;"|"&amp;$B248&amp;"|later|Y|"&amp;$AI248,photos!$S$2:$S$701,0))),""))</f>
        <v/>
      </c>
      <c r="AI248" s="31" t="str">
        <f aca="false">IF($A248="","",IFERROR(1/(1/SUMPRODUCT(MAX((photos!$B$2:$B$701=$A248)*(photos!$C$2:$C$701=$B248)*(photos!$D$2:$D$701="later")*(photos!$O$2:$O$701="Y")*photos!$E$2:$E$701))),""))</f>
        <v/>
      </c>
      <c r="AJ248" s="30" t="str">
        <f aca="false">IF(OR($A248="",$AI248="",$I248=""),"",NETWORKDAYS($I248,$AI248,calendar!$A$2:$A$80))</f>
        <v/>
      </c>
      <c r="AK248" s="30" t="str">
        <f aca="false">IF($A248="","",IF(AND($X248&lt;&gt;"",$AH248&lt;&gt;""),"Y","N"))</f>
        <v/>
      </c>
      <c r="AL248" s="30" t="str">
        <f aca="true">IF(OR($A248="",$I248=""),"",IF($BC248="Y",SUMIFS(survey_frozen!$C$2:$C$251,survey_frozen!$P$2:$P$251,$A248&amp;"|"&amp;$B248),IFERROR(COUNTIFS(INDIRECT("'"&amp;$A248&amp;"'!$B$2:$B$501"),$T248,INDIRECT("'"&amp;$A248&amp;"'!$A$2:$A$501"),"&gt;="&amp;$I248,INDIRECT("'"&amp;$A248&amp;"'!$A$2:$A$501"),"&lt;"&amp;($BA248+1)),0)))</f>
        <v/>
      </c>
      <c r="AM248" s="30" t="str">
        <f aca="true">IF(OR($A248="",$I248=""),"",IF($BC248="Y",SUMIFS(survey_frozen!$D$2:$D$251,survey_frozen!$P$2:$P$251,$A248&amp;"|"&amp;$B248),IFERROR(COUNTIFS(INDIRECT("'"&amp;$A248&amp;"'!$B$2:$B$501"),$T248,INDIRECT("'"&amp;$A248&amp;"'!$A$2:$A$501"),"&gt;="&amp;$I248,INDIRECT("'"&amp;$A248&amp;"'!$A$2:$A$501"),"&lt;"&amp;($BA248+1),INDIRECT("'"&amp;$A248&amp;"'!$C$2:$C$501"),"Yes"),0)))</f>
        <v/>
      </c>
      <c r="AN248" s="30" t="str">
        <f aca="false">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30" t="str">
        <f aca="false">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30" t="str">
        <f aca="true">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30" t="str">
        <f aca="true">IF(OR($A248="",$I248=""),"",IF($BC248="Y",SUMIFS(survey_frozen!$E$2:$E$251,survey_frozen!$P$2:$P$251,$A248&amp;"|"&amp;$B248),IFERROR(COUNTIFS(INDIRECT("'"&amp;$A248&amp;"'!$B$2:$B$501"),$T248,INDIRECT("'"&amp;$A248&amp;"'!$A$2:$A$501"),"&gt;="&amp;$I248,INDIRECT("'"&amp;$A248&amp;"'!$A$2:$A$501"),"&lt;"&amp;($BA248+1),INDIRECT("'"&amp;$A248&amp;"'!$F$2:$F$501"),"Didn't see it"),0)))</f>
        <v/>
      </c>
      <c r="AR248" s="30" t="str">
        <f aca="true">IF(OR($A248="",$I248=""),"",IF($BC248="Y",SUMIFS(survey_frozen!$F$2:$F$251,survey_frozen!$P$2:$P$251,$A248&amp;"|"&amp;$B248),IFERROR(COUNTIFS(INDIRECT("'"&amp;$A248&amp;"'!$B$2:$B$501"),$T248,INDIRECT("'"&amp;$A248&amp;"'!$A$2:$A$501"),"&gt;="&amp;$I248,INDIRECT("'"&amp;$A248&amp;"'!$A$2:$A$501"),"&lt;"&amp;($BA248+1),INDIRECT("'"&amp;$A248&amp;"'!$F$2:$F$501"),"Not for me"),0)))</f>
        <v/>
      </c>
      <c r="AS248" s="30" t="str">
        <f aca="true">IF(OR($A248="",$I248=""),"",IF($BC248="Y",SUMIFS(survey_frozen!$G$2:$G$251,survey_frozen!$P$2:$P$251,$A248&amp;"|"&amp;$B248),IFERROR(COUNTIFS(INDIRECT("'"&amp;$A248&amp;"'!$B$2:$B$501"),$T248,INDIRECT("'"&amp;$A248&amp;"'!$A$2:$A$501"),"&gt;="&amp;$I248,INDIRECT("'"&amp;$A248&amp;"'!$A$2:$A$501"),"&lt;"&amp;($BA248+1),INDIRECT("'"&amp;$A248&amp;"'!$F$2:$F$501"),"Gone by the time I looked"),0)))</f>
        <v/>
      </c>
      <c r="AT248" s="30" t="str">
        <f aca="true">IF(OR($A248="",$I248=""),"",IF($BC248="Y",SUMIFS(survey_frozen!$H$2:$H$251,survey_frozen!$P$2:$P$251,$A248&amp;"|"&amp;$B248),IFERROR(COUNTIFS(INDIRECT("'"&amp;$A248&amp;"'!$B$2:$B$501"),$T248,INDIRECT("'"&amp;$A248&amp;"'!$A$2:$A$501"),"&gt;="&amp;$I248,INDIRECT("'"&amp;$A248&amp;"'!$A$2:$A$501"),"&lt;"&amp;($BA248+1),INDIRECT("'"&amp;$A248&amp;"'!$D$2:$D$501"),"&gt;=1"),0)))</f>
        <v/>
      </c>
      <c r="AU248" s="30" t="str">
        <f aca="true">IF(OR($A248="",$I248=""),"",IF($BC248="Y",SUMIFS(survey_frozen!$I$2:$I$251,survey_frozen!$P$2:$P$251,$A248&amp;"|"&amp;$B248),IFERROR(SUMIFS(INDIRECT("'"&amp;$A248&amp;"'!$D$2:$D$501"),INDIRECT("'"&amp;$A248&amp;"'!$B$2:$B$501"),$T248,INDIRECT("'"&amp;$A248&amp;"'!$A$2:$A$501"),"&gt;="&amp;$I248,INDIRECT("'"&amp;$A248&amp;"'!$A$2:$A$501"),"&lt;"&amp;($BA248+1)),0)))</f>
        <v/>
      </c>
      <c r="AV248" s="30" t="str">
        <f aca="true">IF(OR($A248="",$I248=""),"",IF($BC248="Y",SUMIFS(survey_frozen!$J$2:$J$251,survey_frozen!$P$2:$P$251,$A248&amp;"|"&amp;$B248),IFERROR(COUNTIFS(INDIRECT("'"&amp;$A248&amp;"'!$B$2:$B$501"),$T248,INDIRECT("'"&amp;$A248&amp;"'!$A$2:$A$501"),"&gt;="&amp;$I248,INDIRECT("'"&amp;$A248&amp;"'!$A$2:$A$501"),"&lt;"&amp;($BA248+1),INDIRECT("'"&amp;$A248&amp;"'!$E$2:$E$501"),"Yes"),0)))</f>
        <v/>
      </c>
      <c r="AW248" s="30" t="str">
        <f aca="true">IF(OR($A248="",$I248=""),"",IF($BC248="Y",SUMIFS(survey_frozen!$K$2:$K$251,survey_frozen!$P$2:$P$251,$A248&amp;"|"&amp;$B248),IFERROR(COUNTIFS(INDIRECT("'"&amp;$A248&amp;"'!$B$2:$B$501"),$T248,INDIRECT("'"&amp;$A248&amp;"'!$A$2:$A$501"),"&gt;="&amp;$I248,INDIRECT("'"&amp;$A248&amp;"'!$A$2:$A$501"),"&lt;"&amp;($BA248+1),INDIRECT("'"&amp;$A248&amp;"'!$E$2:$E$501"),"Maybe"),0)))</f>
        <v/>
      </c>
      <c r="AX248" s="30" t="str">
        <f aca="true">IF(OR($A248="",$I248=""),"",IF($BC248="Y",SUMIFS(survey_frozen!$L$2:$L$251,survey_frozen!$P$2:$P$251,$A248&amp;"|"&amp;$B248),IFERROR(COUNTIFS(INDIRECT("'"&amp;$A248&amp;"'!$B$2:$B$501"),$T248,INDIRECT("'"&amp;$A248&amp;"'!$A$2:$A$501"),"&gt;="&amp;$I248,INDIRECT("'"&amp;$A248&amp;"'!$A$2:$A$501"),"&lt;"&amp;($BA248+1),INDIRECT("'"&amp;$A248&amp;"'!$E$2:$E$501"),"No"),0)))</f>
        <v/>
      </c>
      <c r="AY248" s="30" t="str">
        <f aca="true">IF(OR($A248="",$I248=""),"",IF($BC248="Y",SUMIFS(survey_frozen!$M$2:$M$251,survey_frozen!$P$2:$P$251,$A248&amp;"|"&amp;$B248),IFERROR(COUNTIFS(INDIRECT("'"&amp;$A248&amp;"'!$B$2:$B$501"),$T248,INDIRECT("'"&amp;$A248&amp;"'!$A$2:$A$501"),"&gt;="&amp;$I248,INDIRECT("'"&amp;$A248&amp;"'!$A$2:$A$501"),"&lt;"&amp;($BA248+1),INDIRECT("'"&amp;$A248&amp;"'!$G$2:$G$501"),"&lt;&gt;"),0)))</f>
        <v/>
      </c>
      <c r="AZ248" s="30" t="str">
        <f aca="false">IF($A248="","",$A248&amp;"|"&amp;$L248)</f>
        <v/>
      </c>
      <c r="BA248" s="31" t="str">
        <f aca="false">IF($A248="","",IFERROR(IF(INDEX(drops!$R$2:$R$21,MATCH($H248,drops!$A$2:$A$21,0))="","",INDEX(drops!$R$2:$R$21,MATCH($H248,drops!$A$2:$A$21,0))),""))</f>
        <v/>
      </c>
      <c r="BB248" s="30" t="n">
        <f aca="false">IF(OR($A248="",$Q248&lt;&gt;"Y"),1000000,N($AL248))</f>
        <v>1000000</v>
      </c>
      <c r="BC248" s="30" t="str">
        <f aca="false">IF($A248="","",IF(COUNTIF(survey_frozen!$P$2:$P$251,$A248&amp;"|"&amp;$B248)&gt;0,"Y",""))</f>
        <v/>
      </c>
      <c r="BD248" s="30" t="str">
        <f aca="false">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ustomFormat="false" ht="15" hidden="false" customHeight="false" outlineLevel="0" collapsed="false">
      <c r="C249" s="11"/>
      <c r="D249" s="10"/>
      <c r="E249" s="11"/>
      <c r="H249" s="30" t="str">
        <f aca="false">IF($A249="","",IFERROR(IF(INDEX(campaigns!$B$2:$B$51,MATCH($A249,campaigns!$A$2:$A$51,0))="","",INDEX(campaigns!$B$2:$B$51,MATCH($A249,campaigns!$A$2:$A$51,0))),""))</f>
        <v/>
      </c>
      <c r="I249" s="31" t="str">
        <f aca="false">IF($A249="","",IFERROR(IF(INDEX(campaigns!$BG$2:$BG$51,MATCH($A249,campaigns!$A$2:$A$51,0))="","",INDEX(campaigns!$BG$2:$BG$51,MATCH($A249,campaigns!$A$2:$A$51,0))),""))</f>
        <v/>
      </c>
      <c r="J249" s="30" t="str">
        <f aca="false">IF($A249="","",IFERROR(IF(INDEX(campaigns!$BE$2:$BE$51,MATCH($A249,campaigns!$A$2:$A$51,0))="","",INDEX(campaigns!$BE$2:$BE$51,MATCH($A249,campaigns!$A$2:$A$51,0))),""))</f>
        <v/>
      </c>
      <c r="K249" s="30" t="str">
        <f aca="false">IF($B249="","",IFERROR(IF(INDEX(offices!$O$2:$O$61,MATCH($B249,offices!$A$2:$A$61,0))="","",INDEX(offices!$O$2:$O$61,MATCH($B249,offices!$A$2:$A$61,0))),""))</f>
        <v/>
      </c>
      <c r="L249" s="30" t="str">
        <f aca="false">IF($A249="","",IF($Q249="N","",COUNTIFS($A$2:$A249,$A249,$Q$2:$Q249,"&lt;&gt;N")))</f>
        <v/>
      </c>
      <c r="M249" s="30" t="str">
        <f aca="false">IF(OR($A249="",$L249=""),"",IF(AND(config!$B$34="names_if_public",IFERROR(IF(INDEX(offices!$AG$2:$AG$61,MATCH($B249,offices!$A$2:$A$61,0))="","",INDEX(offices!$AG$2:$AG$61,MATCH($B249,offices!$A$2:$A$61,0))),"")="Y"),$K249,CHAR(64+$L249)))</f>
        <v/>
      </c>
      <c r="N249" s="30" t="str">
        <f aca="false">IF(OR($A249="",$I249=""),"",COUNTIFS(stops!$B$2:$B$151,$B249,stops!$P$2:$P$151,"&lt;"&amp;$I249,stops!$L$2:$L$151,"&lt;&gt;not_delivered")+1)</f>
        <v/>
      </c>
      <c r="O249" s="30" t="str">
        <f aca="false">IF($A249="","",IF(N($N249)&lt;=config!$B$29,"explicit","opt-out"))</f>
        <v/>
      </c>
      <c r="P249" s="30" t="str">
        <f aca="false">IF($A249="","",IF($O249="explicit",IF($D249="yes","Y",IF($D249="no","N","pending")),IF($D249="no","N",IF(AND($C249&lt;&gt;"",$I249&lt;&gt;"",$C249&lt;=WORKDAY(N($I249),-5,calendar!$A$2:$A$80)),"Y","pending"))))</f>
        <v/>
      </c>
      <c r="Q249" s="30" t="str">
        <f aca="false">IF($A249="","",IF($P249="N","N",IF($P249&lt;&gt;"Y","pending",IF(AND((COUNTIFS(stops!$A$2:$A$151,$H249,stops!$B$2:$B$151,$B249,stops!$L$2:$L$151,"declined")+COUNTIFS(stops!$A$2:$A$151,$H249,stops!$B$2:$B$151,$B249,stops!$L$2:$L$151,"building_refused")+COUNTIFS(stops!$A$2:$A$151,$H249,stops!$B$2:$B$151,$B249,stops!$L$2:$L$151,"not_delivered"))&gt;0,N($U249)=0),"N","Y"))))</f>
        <v/>
      </c>
      <c r="R249" s="30" t="str">
        <f aca="false">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30" t="str">
        <f aca="false">IF($A249="","",IF($G249&lt;&gt;"",$G249,IFERROR(IF(INDEX(offices!$AM$2:$AM$61,MATCH($B249,offices!$A$2:$A$61,0))="","",INDEX(offices!$AM$2:$AM$61,MATCH($B249,offices!$A$2:$A$61,0))),"")))</f>
        <v/>
      </c>
      <c r="T249" s="30" t="str">
        <f aca="false">IF($A249="","",$A249&amp;"."&amp;$B249)</f>
        <v/>
      </c>
      <c r="U249" s="30" t="str">
        <f aca="false">IF($A249="","",SUMIFS(inventory!$G$2:$G$801,inventory!$C$2:$C$801,$A249,inventory!$D$2:$D$801,$B249,inventory!$E$2:$E$801,"delivered"))</f>
        <v/>
      </c>
      <c r="V249" s="37" t="str">
        <f aca="false">IF($A249="","",IFERROR(1/(1/SUMPRODUCT(MAX((inventory!$C$2:$C$801=$A249)*(inventory!$D$2:$D$801=$B249)*(inventory!$E$2:$E$801="delivered")*(inventory!$A$2:$A$801+inventory!$B$2:$B$801)))),""))</f>
        <v/>
      </c>
      <c r="W249" s="30" t="str">
        <f aca="false">IF($A249="","",IFERROR(IF(INDEX(inventory!$J$2:$J$801,MATCH($A249&amp;"|"&amp;$B249&amp;"|delivered",inventory!$R$2:$R$801,0))="","",INDEX(inventory!$J$2:$J$801,MATCH($A249&amp;"|"&amp;$B249&amp;"|delivered",inventory!$R$2:$R$801,0))),""))</f>
        <v/>
      </c>
      <c r="X249" s="30" t="str">
        <f aca="false">IF($A249="","",IFERROR(IF(INDEX(photos!$H$2:$H$701,MATCH($A249&amp;"|"&amp;$B249&amp;"|placement|Y",photos!$R$2:$R$701,0))="","",INDEX(photos!$H$2:$H$701,MATCH($A249&amp;"|"&amp;$B249&amp;"|placement|Y",photos!$R$2:$R$701,0))),""))</f>
        <v/>
      </c>
      <c r="Y249" s="31" t="str">
        <f aca="false">IF($A249="","",IFERROR(IF(INDEX(photos!$E$2:$E$701,MATCH($A249&amp;"|"&amp;$B249&amp;"|placement|Y",photos!$R$2:$R$701,0))="","",INDEX(photos!$E$2:$E$701,MATCH($A249&amp;"|"&amp;$B249&amp;"|placement|Y",photos!$R$2:$R$701,0))),""))</f>
        <v/>
      </c>
      <c r="Z249" s="30" t="str">
        <f aca="false">IF($A249="","",IF(COUNTIFS(counts!$C$2:$C$701,$A249,counts!$D$2:$D$701,$B249,counts!$E$2:$E$701,"placed")=0,"",SUMIFS(counts!$F$2:$F$701,counts!$C$2:$C$701,$A249,counts!$D$2:$D$701,$B249,counts!$E$2:$E$701,"placed")))</f>
        <v/>
      </c>
      <c r="AA249" s="30" t="str">
        <f aca="false">IF($A249="","",IF($Y249="",0,N($Z249)))</f>
        <v/>
      </c>
      <c r="AB249" s="30" t="str">
        <f aca="false">IF($A249="","",IF(OR($Y249="",$I249=""),"N",IF($Y249&lt;=WORKDAY(N($I249),1,calendar!$A$2:$A$80),"Y","N")))</f>
        <v/>
      </c>
      <c r="AC249" s="33" t="str">
        <f aca="false">IF(OR($A249="",$V249="",$Y249=""),"",ROUND(($Y249+N(IFERROR(IF(INDEX(photos!$F$2:$F$701,MATCH($A249&amp;"|"&amp;$B249&amp;"|placement|Y",photos!$R$2:$R$701,0))="","",INDEX(photos!$F$2:$F$701,MATCH($A249&amp;"|"&amp;$B249&amp;"|placement|Y",photos!$R$2:$R$701,0))),""))-$V249)*24,1))</f>
        <v/>
      </c>
      <c r="AD249" s="30" t="str">
        <f aca="false">IF($A249="","",SUMIFS(inventory!$G$2:$G$801,inventory!$C$2:$C$801,$A249,inventory!$D$2:$D$801,$B249,inventory!$E$2:$E$801,"topped_up"))</f>
        <v/>
      </c>
      <c r="AE249" s="30" t="str">
        <f aca="false">IF($A249="","",IF(COUNTIFS(counts!$C$2:$C$701,$A249,counts!$D$2:$D$701,$B249,counts!$E$2:$E$701,"remaining_day3")=0,"",SUMIFS(counts!$F$2:$F$701,counts!$C$2:$C$701,$A249,counts!$D$2:$D$701,$B249,counts!$E$2:$E$701,"remaining_day3")))</f>
        <v/>
      </c>
      <c r="AF249" s="30" t="str">
        <f aca="false">IF($A249="","",IF(COUNTIFS(counts!$C$2:$C$701,$A249,counts!$D$2:$D$701,$B249,counts!$E$2:$E$701,"remaining_day5")=0,"",SUMIFS(counts!$F$2:$F$701,counts!$C$2:$C$701,$A249,counts!$D$2:$D$701,$B249,counts!$E$2:$E$701,"remaining_day5")))</f>
        <v/>
      </c>
      <c r="AG249" s="30" t="str">
        <f aca="false">IF(OR($A249="",$AF249=""),"",MAX(0,$AA249+$AD249-$AF249))</f>
        <v/>
      </c>
      <c r="AH249" s="30" t="str">
        <f aca="false">IF(OR($A249="",$AI249=""),"",IFERROR(IF(INDEX(photos!$H$2:$H$701,MATCH($A249&amp;"|"&amp;$B249&amp;"|later|Y|"&amp;$AI249,photos!$S$2:$S$701,0))="","",INDEX(photos!$H$2:$H$701,MATCH($A249&amp;"|"&amp;$B249&amp;"|later|Y|"&amp;$AI249,photos!$S$2:$S$701,0))),""))</f>
        <v/>
      </c>
      <c r="AI249" s="31" t="str">
        <f aca="false">IF($A249="","",IFERROR(1/(1/SUMPRODUCT(MAX((photos!$B$2:$B$701=$A249)*(photos!$C$2:$C$701=$B249)*(photos!$D$2:$D$701="later")*(photos!$O$2:$O$701="Y")*photos!$E$2:$E$701))),""))</f>
        <v/>
      </c>
      <c r="AJ249" s="30" t="str">
        <f aca="false">IF(OR($A249="",$AI249="",$I249=""),"",NETWORKDAYS($I249,$AI249,calendar!$A$2:$A$80))</f>
        <v/>
      </c>
      <c r="AK249" s="30" t="str">
        <f aca="false">IF($A249="","",IF(AND($X249&lt;&gt;"",$AH249&lt;&gt;""),"Y","N"))</f>
        <v/>
      </c>
      <c r="AL249" s="30" t="str">
        <f aca="true">IF(OR($A249="",$I249=""),"",IF($BC249="Y",SUMIFS(survey_frozen!$C$2:$C$251,survey_frozen!$P$2:$P$251,$A249&amp;"|"&amp;$B249),IFERROR(COUNTIFS(INDIRECT("'"&amp;$A249&amp;"'!$B$2:$B$501"),$T249,INDIRECT("'"&amp;$A249&amp;"'!$A$2:$A$501"),"&gt;="&amp;$I249,INDIRECT("'"&amp;$A249&amp;"'!$A$2:$A$501"),"&lt;"&amp;($BA249+1)),0)))</f>
        <v/>
      </c>
      <c r="AM249" s="30" t="str">
        <f aca="true">IF(OR($A249="",$I249=""),"",IF($BC249="Y",SUMIFS(survey_frozen!$D$2:$D$251,survey_frozen!$P$2:$P$251,$A249&amp;"|"&amp;$B249),IFERROR(COUNTIFS(INDIRECT("'"&amp;$A249&amp;"'!$B$2:$B$501"),$T249,INDIRECT("'"&amp;$A249&amp;"'!$A$2:$A$501"),"&gt;="&amp;$I249,INDIRECT("'"&amp;$A249&amp;"'!$A$2:$A$501"),"&lt;"&amp;($BA249+1),INDIRECT("'"&amp;$A249&amp;"'!$C$2:$C$501"),"Yes"),0)))</f>
        <v/>
      </c>
      <c r="AN249" s="30" t="str">
        <f aca="false">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30" t="str">
        <f aca="false">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30" t="str">
        <f aca="true">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30" t="str">
        <f aca="true">IF(OR($A249="",$I249=""),"",IF($BC249="Y",SUMIFS(survey_frozen!$E$2:$E$251,survey_frozen!$P$2:$P$251,$A249&amp;"|"&amp;$B249),IFERROR(COUNTIFS(INDIRECT("'"&amp;$A249&amp;"'!$B$2:$B$501"),$T249,INDIRECT("'"&amp;$A249&amp;"'!$A$2:$A$501"),"&gt;="&amp;$I249,INDIRECT("'"&amp;$A249&amp;"'!$A$2:$A$501"),"&lt;"&amp;($BA249+1),INDIRECT("'"&amp;$A249&amp;"'!$F$2:$F$501"),"Didn't see it"),0)))</f>
        <v/>
      </c>
      <c r="AR249" s="30" t="str">
        <f aca="true">IF(OR($A249="",$I249=""),"",IF($BC249="Y",SUMIFS(survey_frozen!$F$2:$F$251,survey_frozen!$P$2:$P$251,$A249&amp;"|"&amp;$B249),IFERROR(COUNTIFS(INDIRECT("'"&amp;$A249&amp;"'!$B$2:$B$501"),$T249,INDIRECT("'"&amp;$A249&amp;"'!$A$2:$A$501"),"&gt;="&amp;$I249,INDIRECT("'"&amp;$A249&amp;"'!$A$2:$A$501"),"&lt;"&amp;($BA249+1),INDIRECT("'"&amp;$A249&amp;"'!$F$2:$F$501"),"Not for me"),0)))</f>
        <v/>
      </c>
      <c r="AS249" s="30" t="str">
        <f aca="true">IF(OR($A249="",$I249=""),"",IF($BC249="Y",SUMIFS(survey_frozen!$G$2:$G$251,survey_frozen!$P$2:$P$251,$A249&amp;"|"&amp;$B249),IFERROR(COUNTIFS(INDIRECT("'"&amp;$A249&amp;"'!$B$2:$B$501"),$T249,INDIRECT("'"&amp;$A249&amp;"'!$A$2:$A$501"),"&gt;="&amp;$I249,INDIRECT("'"&amp;$A249&amp;"'!$A$2:$A$501"),"&lt;"&amp;($BA249+1),INDIRECT("'"&amp;$A249&amp;"'!$F$2:$F$501"),"Gone by the time I looked"),0)))</f>
        <v/>
      </c>
      <c r="AT249" s="30" t="str">
        <f aca="true">IF(OR($A249="",$I249=""),"",IF($BC249="Y",SUMIFS(survey_frozen!$H$2:$H$251,survey_frozen!$P$2:$P$251,$A249&amp;"|"&amp;$B249),IFERROR(COUNTIFS(INDIRECT("'"&amp;$A249&amp;"'!$B$2:$B$501"),$T249,INDIRECT("'"&amp;$A249&amp;"'!$A$2:$A$501"),"&gt;="&amp;$I249,INDIRECT("'"&amp;$A249&amp;"'!$A$2:$A$501"),"&lt;"&amp;($BA249+1),INDIRECT("'"&amp;$A249&amp;"'!$D$2:$D$501"),"&gt;=1"),0)))</f>
        <v/>
      </c>
      <c r="AU249" s="30" t="str">
        <f aca="true">IF(OR($A249="",$I249=""),"",IF($BC249="Y",SUMIFS(survey_frozen!$I$2:$I$251,survey_frozen!$P$2:$P$251,$A249&amp;"|"&amp;$B249),IFERROR(SUMIFS(INDIRECT("'"&amp;$A249&amp;"'!$D$2:$D$501"),INDIRECT("'"&amp;$A249&amp;"'!$B$2:$B$501"),$T249,INDIRECT("'"&amp;$A249&amp;"'!$A$2:$A$501"),"&gt;="&amp;$I249,INDIRECT("'"&amp;$A249&amp;"'!$A$2:$A$501"),"&lt;"&amp;($BA249+1)),0)))</f>
        <v/>
      </c>
      <c r="AV249" s="30" t="str">
        <f aca="true">IF(OR($A249="",$I249=""),"",IF($BC249="Y",SUMIFS(survey_frozen!$J$2:$J$251,survey_frozen!$P$2:$P$251,$A249&amp;"|"&amp;$B249),IFERROR(COUNTIFS(INDIRECT("'"&amp;$A249&amp;"'!$B$2:$B$501"),$T249,INDIRECT("'"&amp;$A249&amp;"'!$A$2:$A$501"),"&gt;="&amp;$I249,INDIRECT("'"&amp;$A249&amp;"'!$A$2:$A$501"),"&lt;"&amp;($BA249+1),INDIRECT("'"&amp;$A249&amp;"'!$E$2:$E$501"),"Yes"),0)))</f>
        <v/>
      </c>
      <c r="AW249" s="30" t="str">
        <f aca="true">IF(OR($A249="",$I249=""),"",IF($BC249="Y",SUMIFS(survey_frozen!$K$2:$K$251,survey_frozen!$P$2:$P$251,$A249&amp;"|"&amp;$B249),IFERROR(COUNTIFS(INDIRECT("'"&amp;$A249&amp;"'!$B$2:$B$501"),$T249,INDIRECT("'"&amp;$A249&amp;"'!$A$2:$A$501"),"&gt;="&amp;$I249,INDIRECT("'"&amp;$A249&amp;"'!$A$2:$A$501"),"&lt;"&amp;($BA249+1),INDIRECT("'"&amp;$A249&amp;"'!$E$2:$E$501"),"Maybe"),0)))</f>
        <v/>
      </c>
      <c r="AX249" s="30" t="str">
        <f aca="true">IF(OR($A249="",$I249=""),"",IF($BC249="Y",SUMIFS(survey_frozen!$L$2:$L$251,survey_frozen!$P$2:$P$251,$A249&amp;"|"&amp;$B249),IFERROR(COUNTIFS(INDIRECT("'"&amp;$A249&amp;"'!$B$2:$B$501"),$T249,INDIRECT("'"&amp;$A249&amp;"'!$A$2:$A$501"),"&gt;="&amp;$I249,INDIRECT("'"&amp;$A249&amp;"'!$A$2:$A$501"),"&lt;"&amp;($BA249+1),INDIRECT("'"&amp;$A249&amp;"'!$E$2:$E$501"),"No"),0)))</f>
        <v/>
      </c>
      <c r="AY249" s="30" t="str">
        <f aca="true">IF(OR($A249="",$I249=""),"",IF($BC249="Y",SUMIFS(survey_frozen!$M$2:$M$251,survey_frozen!$P$2:$P$251,$A249&amp;"|"&amp;$B249),IFERROR(COUNTIFS(INDIRECT("'"&amp;$A249&amp;"'!$B$2:$B$501"),$T249,INDIRECT("'"&amp;$A249&amp;"'!$A$2:$A$501"),"&gt;="&amp;$I249,INDIRECT("'"&amp;$A249&amp;"'!$A$2:$A$501"),"&lt;"&amp;($BA249+1),INDIRECT("'"&amp;$A249&amp;"'!$G$2:$G$501"),"&lt;&gt;"),0)))</f>
        <v/>
      </c>
      <c r="AZ249" s="30" t="str">
        <f aca="false">IF($A249="","",$A249&amp;"|"&amp;$L249)</f>
        <v/>
      </c>
      <c r="BA249" s="31" t="str">
        <f aca="false">IF($A249="","",IFERROR(IF(INDEX(drops!$R$2:$R$21,MATCH($H249,drops!$A$2:$A$21,0))="","",INDEX(drops!$R$2:$R$21,MATCH($H249,drops!$A$2:$A$21,0))),""))</f>
        <v/>
      </c>
      <c r="BB249" s="30" t="n">
        <f aca="false">IF(OR($A249="",$Q249&lt;&gt;"Y"),1000000,N($AL249))</f>
        <v>1000000</v>
      </c>
      <c r="BC249" s="30" t="str">
        <f aca="false">IF($A249="","",IF(COUNTIF(survey_frozen!$P$2:$P$251,$A249&amp;"|"&amp;$B249)&gt;0,"Y",""))</f>
        <v/>
      </c>
      <c r="BD249" s="30" t="str">
        <f aca="false">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ustomFormat="false" ht="15" hidden="false" customHeight="false" outlineLevel="0" collapsed="false">
      <c r="C250" s="11"/>
      <c r="D250" s="10"/>
      <c r="E250" s="11"/>
      <c r="H250" s="30" t="str">
        <f aca="false">IF($A250="","",IFERROR(IF(INDEX(campaigns!$B$2:$B$51,MATCH($A250,campaigns!$A$2:$A$51,0))="","",INDEX(campaigns!$B$2:$B$51,MATCH($A250,campaigns!$A$2:$A$51,0))),""))</f>
        <v/>
      </c>
      <c r="I250" s="31" t="str">
        <f aca="false">IF($A250="","",IFERROR(IF(INDEX(campaigns!$BG$2:$BG$51,MATCH($A250,campaigns!$A$2:$A$51,0))="","",INDEX(campaigns!$BG$2:$BG$51,MATCH($A250,campaigns!$A$2:$A$51,0))),""))</f>
        <v/>
      </c>
      <c r="J250" s="30" t="str">
        <f aca="false">IF($A250="","",IFERROR(IF(INDEX(campaigns!$BE$2:$BE$51,MATCH($A250,campaigns!$A$2:$A$51,0))="","",INDEX(campaigns!$BE$2:$BE$51,MATCH($A250,campaigns!$A$2:$A$51,0))),""))</f>
        <v/>
      </c>
      <c r="K250" s="30" t="str">
        <f aca="false">IF($B250="","",IFERROR(IF(INDEX(offices!$O$2:$O$61,MATCH($B250,offices!$A$2:$A$61,0))="","",INDEX(offices!$O$2:$O$61,MATCH($B250,offices!$A$2:$A$61,0))),""))</f>
        <v/>
      </c>
      <c r="L250" s="30" t="str">
        <f aca="false">IF($A250="","",IF($Q250="N","",COUNTIFS($A$2:$A250,$A250,$Q$2:$Q250,"&lt;&gt;N")))</f>
        <v/>
      </c>
      <c r="M250" s="30" t="str">
        <f aca="false">IF(OR($A250="",$L250=""),"",IF(AND(config!$B$34="names_if_public",IFERROR(IF(INDEX(offices!$AG$2:$AG$61,MATCH($B250,offices!$A$2:$A$61,0))="","",INDEX(offices!$AG$2:$AG$61,MATCH($B250,offices!$A$2:$A$61,0))),"")="Y"),$K250,CHAR(64+$L250)))</f>
        <v/>
      </c>
      <c r="N250" s="30" t="str">
        <f aca="false">IF(OR($A250="",$I250=""),"",COUNTIFS(stops!$B$2:$B$151,$B250,stops!$P$2:$P$151,"&lt;"&amp;$I250,stops!$L$2:$L$151,"&lt;&gt;not_delivered")+1)</f>
        <v/>
      </c>
      <c r="O250" s="30" t="str">
        <f aca="false">IF($A250="","",IF(N($N250)&lt;=config!$B$29,"explicit","opt-out"))</f>
        <v/>
      </c>
      <c r="P250" s="30" t="str">
        <f aca="false">IF($A250="","",IF($O250="explicit",IF($D250="yes","Y",IF($D250="no","N","pending")),IF($D250="no","N",IF(AND($C250&lt;&gt;"",$I250&lt;&gt;"",$C250&lt;=WORKDAY(N($I250),-5,calendar!$A$2:$A$80)),"Y","pending"))))</f>
        <v/>
      </c>
      <c r="Q250" s="30" t="str">
        <f aca="false">IF($A250="","",IF($P250="N","N",IF($P250&lt;&gt;"Y","pending",IF(AND((COUNTIFS(stops!$A$2:$A$151,$H250,stops!$B$2:$B$151,$B250,stops!$L$2:$L$151,"declined")+COUNTIFS(stops!$A$2:$A$151,$H250,stops!$B$2:$B$151,$B250,stops!$L$2:$L$151,"building_refused")+COUNTIFS(stops!$A$2:$A$151,$H250,stops!$B$2:$B$151,$B250,stops!$L$2:$L$151,"not_delivered"))&gt;0,N($U250)=0),"N","Y"))))</f>
        <v/>
      </c>
      <c r="R250" s="30" t="str">
        <f aca="false">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30" t="str">
        <f aca="false">IF($A250="","",IF($G250&lt;&gt;"",$G250,IFERROR(IF(INDEX(offices!$AM$2:$AM$61,MATCH($B250,offices!$A$2:$A$61,0))="","",INDEX(offices!$AM$2:$AM$61,MATCH($B250,offices!$A$2:$A$61,0))),"")))</f>
        <v/>
      </c>
      <c r="T250" s="30" t="str">
        <f aca="false">IF($A250="","",$A250&amp;"."&amp;$B250)</f>
        <v/>
      </c>
      <c r="U250" s="30" t="str">
        <f aca="false">IF($A250="","",SUMIFS(inventory!$G$2:$G$801,inventory!$C$2:$C$801,$A250,inventory!$D$2:$D$801,$B250,inventory!$E$2:$E$801,"delivered"))</f>
        <v/>
      </c>
      <c r="V250" s="37" t="str">
        <f aca="false">IF($A250="","",IFERROR(1/(1/SUMPRODUCT(MAX((inventory!$C$2:$C$801=$A250)*(inventory!$D$2:$D$801=$B250)*(inventory!$E$2:$E$801="delivered")*(inventory!$A$2:$A$801+inventory!$B$2:$B$801)))),""))</f>
        <v/>
      </c>
      <c r="W250" s="30" t="str">
        <f aca="false">IF($A250="","",IFERROR(IF(INDEX(inventory!$J$2:$J$801,MATCH($A250&amp;"|"&amp;$B250&amp;"|delivered",inventory!$R$2:$R$801,0))="","",INDEX(inventory!$J$2:$J$801,MATCH($A250&amp;"|"&amp;$B250&amp;"|delivered",inventory!$R$2:$R$801,0))),""))</f>
        <v/>
      </c>
      <c r="X250" s="30" t="str">
        <f aca="false">IF($A250="","",IFERROR(IF(INDEX(photos!$H$2:$H$701,MATCH($A250&amp;"|"&amp;$B250&amp;"|placement|Y",photos!$R$2:$R$701,0))="","",INDEX(photos!$H$2:$H$701,MATCH($A250&amp;"|"&amp;$B250&amp;"|placement|Y",photos!$R$2:$R$701,0))),""))</f>
        <v/>
      </c>
      <c r="Y250" s="31" t="str">
        <f aca="false">IF($A250="","",IFERROR(IF(INDEX(photos!$E$2:$E$701,MATCH($A250&amp;"|"&amp;$B250&amp;"|placement|Y",photos!$R$2:$R$701,0))="","",INDEX(photos!$E$2:$E$701,MATCH($A250&amp;"|"&amp;$B250&amp;"|placement|Y",photos!$R$2:$R$701,0))),""))</f>
        <v/>
      </c>
      <c r="Z250" s="30" t="str">
        <f aca="false">IF($A250="","",IF(COUNTIFS(counts!$C$2:$C$701,$A250,counts!$D$2:$D$701,$B250,counts!$E$2:$E$701,"placed")=0,"",SUMIFS(counts!$F$2:$F$701,counts!$C$2:$C$701,$A250,counts!$D$2:$D$701,$B250,counts!$E$2:$E$701,"placed")))</f>
        <v/>
      </c>
      <c r="AA250" s="30" t="str">
        <f aca="false">IF($A250="","",IF($Y250="",0,N($Z250)))</f>
        <v/>
      </c>
      <c r="AB250" s="30" t="str">
        <f aca="false">IF($A250="","",IF(OR($Y250="",$I250=""),"N",IF($Y250&lt;=WORKDAY(N($I250),1,calendar!$A$2:$A$80),"Y","N")))</f>
        <v/>
      </c>
      <c r="AC250" s="33" t="str">
        <f aca="false">IF(OR($A250="",$V250="",$Y250=""),"",ROUND(($Y250+N(IFERROR(IF(INDEX(photos!$F$2:$F$701,MATCH($A250&amp;"|"&amp;$B250&amp;"|placement|Y",photos!$R$2:$R$701,0))="","",INDEX(photos!$F$2:$F$701,MATCH($A250&amp;"|"&amp;$B250&amp;"|placement|Y",photos!$R$2:$R$701,0))),""))-$V250)*24,1))</f>
        <v/>
      </c>
      <c r="AD250" s="30" t="str">
        <f aca="false">IF($A250="","",SUMIFS(inventory!$G$2:$G$801,inventory!$C$2:$C$801,$A250,inventory!$D$2:$D$801,$B250,inventory!$E$2:$E$801,"topped_up"))</f>
        <v/>
      </c>
      <c r="AE250" s="30" t="str">
        <f aca="false">IF($A250="","",IF(COUNTIFS(counts!$C$2:$C$701,$A250,counts!$D$2:$D$701,$B250,counts!$E$2:$E$701,"remaining_day3")=0,"",SUMIFS(counts!$F$2:$F$701,counts!$C$2:$C$701,$A250,counts!$D$2:$D$701,$B250,counts!$E$2:$E$701,"remaining_day3")))</f>
        <v/>
      </c>
      <c r="AF250" s="30" t="str">
        <f aca="false">IF($A250="","",IF(COUNTIFS(counts!$C$2:$C$701,$A250,counts!$D$2:$D$701,$B250,counts!$E$2:$E$701,"remaining_day5")=0,"",SUMIFS(counts!$F$2:$F$701,counts!$C$2:$C$701,$A250,counts!$D$2:$D$701,$B250,counts!$E$2:$E$701,"remaining_day5")))</f>
        <v/>
      </c>
      <c r="AG250" s="30" t="str">
        <f aca="false">IF(OR($A250="",$AF250=""),"",MAX(0,$AA250+$AD250-$AF250))</f>
        <v/>
      </c>
      <c r="AH250" s="30" t="str">
        <f aca="false">IF(OR($A250="",$AI250=""),"",IFERROR(IF(INDEX(photos!$H$2:$H$701,MATCH($A250&amp;"|"&amp;$B250&amp;"|later|Y|"&amp;$AI250,photos!$S$2:$S$701,0))="","",INDEX(photos!$H$2:$H$701,MATCH($A250&amp;"|"&amp;$B250&amp;"|later|Y|"&amp;$AI250,photos!$S$2:$S$701,0))),""))</f>
        <v/>
      </c>
      <c r="AI250" s="31" t="str">
        <f aca="false">IF($A250="","",IFERROR(1/(1/SUMPRODUCT(MAX((photos!$B$2:$B$701=$A250)*(photos!$C$2:$C$701=$B250)*(photos!$D$2:$D$701="later")*(photos!$O$2:$O$701="Y")*photos!$E$2:$E$701))),""))</f>
        <v/>
      </c>
      <c r="AJ250" s="30" t="str">
        <f aca="false">IF(OR($A250="",$AI250="",$I250=""),"",NETWORKDAYS($I250,$AI250,calendar!$A$2:$A$80))</f>
        <v/>
      </c>
      <c r="AK250" s="30" t="str">
        <f aca="false">IF($A250="","",IF(AND($X250&lt;&gt;"",$AH250&lt;&gt;""),"Y","N"))</f>
        <v/>
      </c>
      <c r="AL250" s="30" t="str">
        <f aca="true">IF(OR($A250="",$I250=""),"",IF($BC250="Y",SUMIFS(survey_frozen!$C$2:$C$251,survey_frozen!$P$2:$P$251,$A250&amp;"|"&amp;$B250),IFERROR(COUNTIFS(INDIRECT("'"&amp;$A250&amp;"'!$B$2:$B$501"),$T250,INDIRECT("'"&amp;$A250&amp;"'!$A$2:$A$501"),"&gt;="&amp;$I250,INDIRECT("'"&amp;$A250&amp;"'!$A$2:$A$501"),"&lt;"&amp;($BA250+1)),0)))</f>
        <v/>
      </c>
      <c r="AM250" s="30" t="str">
        <f aca="true">IF(OR($A250="",$I250=""),"",IF($BC250="Y",SUMIFS(survey_frozen!$D$2:$D$251,survey_frozen!$P$2:$P$251,$A250&amp;"|"&amp;$B250),IFERROR(COUNTIFS(INDIRECT("'"&amp;$A250&amp;"'!$B$2:$B$501"),$T250,INDIRECT("'"&amp;$A250&amp;"'!$A$2:$A$501"),"&gt;="&amp;$I250,INDIRECT("'"&amp;$A250&amp;"'!$A$2:$A$501"),"&lt;"&amp;($BA250+1),INDIRECT("'"&amp;$A250&amp;"'!$C$2:$C$501"),"Yes"),0)))</f>
        <v/>
      </c>
      <c r="AN250" s="30" t="str">
        <f aca="false">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30" t="str">
        <f aca="false">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30" t="str">
        <f aca="true">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30" t="str">
        <f aca="true">IF(OR($A250="",$I250=""),"",IF($BC250="Y",SUMIFS(survey_frozen!$E$2:$E$251,survey_frozen!$P$2:$P$251,$A250&amp;"|"&amp;$B250),IFERROR(COUNTIFS(INDIRECT("'"&amp;$A250&amp;"'!$B$2:$B$501"),$T250,INDIRECT("'"&amp;$A250&amp;"'!$A$2:$A$501"),"&gt;="&amp;$I250,INDIRECT("'"&amp;$A250&amp;"'!$A$2:$A$501"),"&lt;"&amp;($BA250+1),INDIRECT("'"&amp;$A250&amp;"'!$F$2:$F$501"),"Didn't see it"),0)))</f>
        <v/>
      </c>
      <c r="AR250" s="30" t="str">
        <f aca="true">IF(OR($A250="",$I250=""),"",IF($BC250="Y",SUMIFS(survey_frozen!$F$2:$F$251,survey_frozen!$P$2:$P$251,$A250&amp;"|"&amp;$B250),IFERROR(COUNTIFS(INDIRECT("'"&amp;$A250&amp;"'!$B$2:$B$501"),$T250,INDIRECT("'"&amp;$A250&amp;"'!$A$2:$A$501"),"&gt;="&amp;$I250,INDIRECT("'"&amp;$A250&amp;"'!$A$2:$A$501"),"&lt;"&amp;($BA250+1),INDIRECT("'"&amp;$A250&amp;"'!$F$2:$F$501"),"Not for me"),0)))</f>
        <v/>
      </c>
      <c r="AS250" s="30" t="str">
        <f aca="true">IF(OR($A250="",$I250=""),"",IF($BC250="Y",SUMIFS(survey_frozen!$G$2:$G$251,survey_frozen!$P$2:$P$251,$A250&amp;"|"&amp;$B250),IFERROR(COUNTIFS(INDIRECT("'"&amp;$A250&amp;"'!$B$2:$B$501"),$T250,INDIRECT("'"&amp;$A250&amp;"'!$A$2:$A$501"),"&gt;="&amp;$I250,INDIRECT("'"&amp;$A250&amp;"'!$A$2:$A$501"),"&lt;"&amp;($BA250+1),INDIRECT("'"&amp;$A250&amp;"'!$F$2:$F$501"),"Gone by the time I looked"),0)))</f>
        <v/>
      </c>
      <c r="AT250" s="30" t="str">
        <f aca="true">IF(OR($A250="",$I250=""),"",IF($BC250="Y",SUMIFS(survey_frozen!$H$2:$H$251,survey_frozen!$P$2:$P$251,$A250&amp;"|"&amp;$B250),IFERROR(COUNTIFS(INDIRECT("'"&amp;$A250&amp;"'!$B$2:$B$501"),$T250,INDIRECT("'"&amp;$A250&amp;"'!$A$2:$A$501"),"&gt;="&amp;$I250,INDIRECT("'"&amp;$A250&amp;"'!$A$2:$A$501"),"&lt;"&amp;($BA250+1),INDIRECT("'"&amp;$A250&amp;"'!$D$2:$D$501"),"&gt;=1"),0)))</f>
        <v/>
      </c>
      <c r="AU250" s="30" t="str">
        <f aca="true">IF(OR($A250="",$I250=""),"",IF($BC250="Y",SUMIFS(survey_frozen!$I$2:$I$251,survey_frozen!$P$2:$P$251,$A250&amp;"|"&amp;$B250),IFERROR(SUMIFS(INDIRECT("'"&amp;$A250&amp;"'!$D$2:$D$501"),INDIRECT("'"&amp;$A250&amp;"'!$B$2:$B$501"),$T250,INDIRECT("'"&amp;$A250&amp;"'!$A$2:$A$501"),"&gt;="&amp;$I250,INDIRECT("'"&amp;$A250&amp;"'!$A$2:$A$501"),"&lt;"&amp;($BA250+1)),0)))</f>
        <v/>
      </c>
      <c r="AV250" s="30" t="str">
        <f aca="true">IF(OR($A250="",$I250=""),"",IF($BC250="Y",SUMIFS(survey_frozen!$J$2:$J$251,survey_frozen!$P$2:$P$251,$A250&amp;"|"&amp;$B250),IFERROR(COUNTIFS(INDIRECT("'"&amp;$A250&amp;"'!$B$2:$B$501"),$T250,INDIRECT("'"&amp;$A250&amp;"'!$A$2:$A$501"),"&gt;="&amp;$I250,INDIRECT("'"&amp;$A250&amp;"'!$A$2:$A$501"),"&lt;"&amp;($BA250+1),INDIRECT("'"&amp;$A250&amp;"'!$E$2:$E$501"),"Yes"),0)))</f>
        <v/>
      </c>
      <c r="AW250" s="30" t="str">
        <f aca="true">IF(OR($A250="",$I250=""),"",IF($BC250="Y",SUMIFS(survey_frozen!$K$2:$K$251,survey_frozen!$P$2:$P$251,$A250&amp;"|"&amp;$B250),IFERROR(COUNTIFS(INDIRECT("'"&amp;$A250&amp;"'!$B$2:$B$501"),$T250,INDIRECT("'"&amp;$A250&amp;"'!$A$2:$A$501"),"&gt;="&amp;$I250,INDIRECT("'"&amp;$A250&amp;"'!$A$2:$A$501"),"&lt;"&amp;($BA250+1),INDIRECT("'"&amp;$A250&amp;"'!$E$2:$E$501"),"Maybe"),0)))</f>
        <v/>
      </c>
      <c r="AX250" s="30" t="str">
        <f aca="true">IF(OR($A250="",$I250=""),"",IF($BC250="Y",SUMIFS(survey_frozen!$L$2:$L$251,survey_frozen!$P$2:$P$251,$A250&amp;"|"&amp;$B250),IFERROR(COUNTIFS(INDIRECT("'"&amp;$A250&amp;"'!$B$2:$B$501"),$T250,INDIRECT("'"&amp;$A250&amp;"'!$A$2:$A$501"),"&gt;="&amp;$I250,INDIRECT("'"&amp;$A250&amp;"'!$A$2:$A$501"),"&lt;"&amp;($BA250+1),INDIRECT("'"&amp;$A250&amp;"'!$E$2:$E$501"),"No"),0)))</f>
        <v/>
      </c>
      <c r="AY250" s="30" t="str">
        <f aca="true">IF(OR($A250="",$I250=""),"",IF($BC250="Y",SUMIFS(survey_frozen!$M$2:$M$251,survey_frozen!$P$2:$P$251,$A250&amp;"|"&amp;$B250),IFERROR(COUNTIFS(INDIRECT("'"&amp;$A250&amp;"'!$B$2:$B$501"),$T250,INDIRECT("'"&amp;$A250&amp;"'!$A$2:$A$501"),"&gt;="&amp;$I250,INDIRECT("'"&amp;$A250&amp;"'!$A$2:$A$501"),"&lt;"&amp;($BA250+1),INDIRECT("'"&amp;$A250&amp;"'!$G$2:$G$501"),"&lt;&gt;"),0)))</f>
        <v/>
      </c>
      <c r="AZ250" s="30" t="str">
        <f aca="false">IF($A250="","",$A250&amp;"|"&amp;$L250)</f>
        <v/>
      </c>
      <c r="BA250" s="31" t="str">
        <f aca="false">IF($A250="","",IFERROR(IF(INDEX(drops!$R$2:$R$21,MATCH($H250,drops!$A$2:$A$21,0))="","",INDEX(drops!$R$2:$R$21,MATCH($H250,drops!$A$2:$A$21,0))),""))</f>
        <v/>
      </c>
      <c r="BB250" s="30" t="n">
        <f aca="false">IF(OR($A250="",$Q250&lt;&gt;"Y"),1000000,N($AL250))</f>
        <v>1000000</v>
      </c>
      <c r="BC250" s="30" t="str">
        <f aca="false">IF($A250="","",IF(COUNTIF(survey_frozen!$P$2:$P$251,$A250&amp;"|"&amp;$B250)&gt;0,"Y",""))</f>
        <v/>
      </c>
      <c r="BD250" s="30" t="str">
        <f aca="false">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ustomFormat="false" ht="15" hidden="false" customHeight="false" outlineLevel="0" collapsed="false">
      <c r="C251" s="11"/>
      <c r="D251" s="10"/>
      <c r="E251" s="11"/>
      <c r="H251" s="30" t="str">
        <f aca="false">IF($A251="","",IFERROR(IF(INDEX(campaigns!$B$2:$B$51,MATCH($A251,campaigns!$A$2:$A$51,0))="","",INDEX(campaigns!$B$2:$B$51,MATCH($A251,campaigns!$A$2:$A$51,0))),""))</f>
        <v/>
      </c>
      <c r="I251" s="31" t="str">
        <f aca="false">IF($A251="","",IFERROR(IF(INDEX(campaigns!$BG$2:$BG$51,MATCH($A251,campaigns!$A$2:$A$51,0))="","",INDEX(campaigns!$BG$2:$BG$51,MATCH($A251,campaigns!$A$2:$A$51,0))),""))</f>
        <v/>
      </c>
      <c r="J251" s="30" t="str">
        <f aca="false">IF($A251="","",IFERROR(IF(INDEX(campaigns!$BE$2:$BE$51,MATCH($A251,campaigns!$A$2:$A$51,0))="","",INDEX(campaigns!$BE$2:$BE$51,MATCH($A251,campaigns!$A$2:$A$51,0))),""))</f>
        <v/>
      </c>
      <c r="K251" s="30" t="str">
        <f aca="false">IF($B251="","",IFERROR(IF(INDEX(offices!$O$2:$O$61,MATCH($B251,offices!$A$2:$A$61,0))="","",INDEX(offices!$O$2:$O$61,MATCH($B251,offices!$A$2:$A$61,0))),""))</f>
        <v/>
      </c>
      <c r="L251" s="30" t="str">
        <f aca="false">IF($A251="","",IF($Q251="N","",COUNTIFS($A$2:$A251,$A251,$Q$2:$Q251,"&lt;&gt;N")))</f>
        <v/>
      </c>
      <c r="M251" s="30" t="str">
        <f aca="false">IF(OR($A251="",$L251=""),"",IF(AND(config!$B$34="names_if_public",IFERROR(IF(INDEX(offices!$AG$2:$AG$61,MATCH($B251,offices!$A$2:$A$61,0))="","",INDEX(offices!$AG$2:$AG$61,MATCH($B251,offices!$A$2:$A$61,0))),"")="Y"),$K251,CHAR(64+$L251)))</f>
        <v/>
      </c>
      <c r="N251" s="30" t="str">
        <f aca="false">IF(OR($A251="",$I251=""),"",COUNTIFS(stops!$B$2:$B$151,$B251,stops!$P$2:$P$151,"&lt;"&amp;$I251,stops!$L$2:$L$151,"&lt;&gt;not_delivered")+1)</f>
        <v/>
      </c>
      <c r="O251" s="30" t="str">
        <f aca="false">IF($A251="","",IF(N($N251)&lt;=config!$B$29,"explicit","opt-out"))</f>
        <v/>
      </c>
      <c r="P251" s="30" t="str">
        <f aca="false">IF($A251="","",IF($O251="explicit",IF($D251="yes","Y",IF($D251="no","N","pending")),IF($D251="no","N",IF(AND($C251&lt;&gt;"",$I251&lt;&gt;"",$C251&lt;=WORKDAY(N($I251),-5,calendar!$A$2:$A$80)),"Y","pending"))))</f>
        <v/>
      </c>
      <c r="Q251" s="30" t="str">
        <f aca="false">IF($A251="","",IF($P251="N","N",IF($P251&lt;&gt;"Y","pending",IF(AND((COUNTIFS(stops!$A$2:$A$151,$H251,stops!$B$2:$B$151,$B251,stops!$L$2:$L$151,"declined")+COUNTIFS(stops!$A$2:$A$151,$H251,stops!$B$2:$B$151,$B251,stops!$L$2:$L$151,"building_refused")+COUNTIFS(stops!$A$2:$A$151,$H251,stops!$B$2:$B$151,$B251,stops!$L$2:$L$151,"not_delivered"))&gt;0,N($U251)=0),"N","Y"))))</f>
        <v/>
      </c>
      <c r="R251" s="30" t="str">
        <f aca="false">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30" t="str">
        <f aca="false">IF($A251="","",IF($G251&lt;&gt;"",$G251,IFERROR(IF(INDEX(offices!$AM$2:$AM$61,MATCH($B251,offices!$A$2:$A$61,0))="","",INDEX(offices!$AM$2:$AM$61,MATCH($B251,offices!$A$2:$A$61,0))),"")))</f>
        <v/>
      </c>
      <c r="T251" s="30" t="str">
        <f aca="false">IF($A251="","",$A251&amp;"."&amp;$B251)</f>
        <v/>
      </c>
      <c r="U251" s="30" t="str">
        <f aca="false">IF($A251="","",SUMIFS(inventory!$G$2:$G$801,inventory!$C$2:$C$801,$A251,inventory!$D$2:$D$801,$B251,inventory!$E$2:$E$801,"delivered"))</f>
        <v/>
      </c>
      <c r="V251" s="37" t="str">
        <f aca="false">IF($A251="","",IFERROR(1/(1/SUMPRODUCT(MAX((inventory!$C$2:$C$801=$A251)*(inventory!$D$2:$D$801=$B251)*(inventory!$E$2:$E$801="delivered")*(inventory!$A$2:$A$801+inventory!$B$2:$B$801)))),""))</f>
        <v/>
      </c>
      <c r="W251" s="30" t="str">
        <f aca="false">IF($A251="","",IFERROR(IF(INDEX(inventory!$J$2:$J$801,MATCH($A251&amp;"|"&amp;$B251&amp;"|delivered",inventory!$R$2:$R$801,0))="","",INDEX(inventory!$J$2:$J$801,MATCH($A251&amp;"|"&amp;$B251&amp;"|delivered",inventory!$R$2:$R$801,0))),""))</f>
        <v/>
      </c>
      <c r="X251" s="30" t="str">
        <f aca="false">IF($A251="","",IFERROR(IF(INDEX(photos!$H$2:$H$701,MATCH($A251&amp;"|"&amp;$B251&amp;"|placement|Y",photos!$R$2:$R$701,0))="","",INDEX(photos!$H$2:$H$701,MATCH($A251&amp;"|"&amp;$B251&amp;"|placement|Y",photos!$R$2:$R$701,0))),""))</f>
        <v/>
      </c>
      <c r="Y251" s="31" t="str">
        <f aca="false">IF($A251="","",IFERROR(IF(INDEX(photos!$E$2:$E$701,MATCH($A251&amp;"|"&amp;$B251&amp;"|placement|Y",photos!$R$2:$R$701,0))="","",INDEX(photos!$E$2:$E$701,MATCH($A251&amp;"|"&amp;$B251&amp;"|placement|Y",photos!$R$2:$R$701,0))),""))</f>
        <v/>
      </c>
      <c r="Z251" s="30" t="str">
        <f aca="false">IF($A251="","",IF(COUNTIFS(counts!$C$2:$C$701,$A251,counts!$D$2:$D$701,$B251,counts!$E$2:$E$701,"placed")=0,"",SUMIFS(counts!$F$2:$F$701,counts!$C$2:$C$701,$A251,counts!$D$2:$D$701,$B251,counts!$E$2:$E$701,"placed")))</f>
        <v/>
      </c>
      <c r="AA251" s="30" t="str">
        <f aca="false">IF($A251="","",IF($Y251="",0,N($Z251)))</f>
        <v/>
      </c>
      <c r="AB251" s="30" t="str">
        <f aca="false">IF($A251="","",IF(OR($Y251="",$I251=""),"N",IF($Y251&lt;=WORKDAY(N($I251),1,calendar!$A$2:$A$80),"Y","N")))</f>
        <v/>
      </c>
      <c r="AC251" s="33" t="str">
        <f aca="false">IF(OR($A251="",$V251="",$Y251=""),"",ROUND(($Y251+N(IFERROR(IF(INDEX(photos!$F$2:$F$701,MATCH($A251&amp;"|"&amp;$B251&amp;"|placement|Y",photos!$R$2:$R$701,0))="","",INDEX(photos!$F$2:$F$701,MATCH($A251&amp;"|"&amp;$B251&amp;"|placement|Y",photos!$R$2:$R$701,0))),""))-$V251)*24,1))</f>
        <v/>
      </c>
      <c r="AD251" s="30" t="str">
        <f aca="false">IF($A251="","",SUMIFS(inventory!$G$2:$G$801,inventory!$C$2:$C$801,$A251,inventory!$D$2:$D$801,$B251,inventory!$E$2:$E$801,"topped_up"))</f>
        <v/>
      </c>
      <c r="AE251" s="30" t="str">
        <f aca="false">IF($A251="","",IF(COUNTIFS(counts!$C$2:$C$701,$A251,counts!$D$2:$D$701,$B251,counts!$E$2:$E$701,"remaining_day3")=0,"",SUMIFS(counts!$F$2:$F$701,counts!$C$2:$C$701,$A251,counts!$D$2:$D$701,$B251,counts!$E$2:$E$701,"remaining_day3")))</f>
        <v/>
      </c>
      <c r="AF251" s="30" t="str">
        <f aca="false">IF($A251="","",IF(COUNTIFS(counts!$C$2:$C$701,$A251,counts!$D$2:$D$701,$B251,counts!$E$2:$E$701,"remaining_day5")=0,"",SUMIFS(counts!$F$2:$F$701,counts!$C$2:$C$701,$A251,counts!$D$2:$D$701,$B251,counts!$E$2:$E$701,"remaining_day5")))</f>
        <v/>
      </c>
      <c r="AG251" s="30" t="str">
        <f aca="false">IF(OR($A251="",$AF251=""),"",MAX(0,$AA251+$AD251-$AF251))</f>
        <v/>
      </c>
      <c r="AH251" s="30" t="str">
        <f aca="false">IF(OR($A251="",$AI251=""),"",IFERROR(IF(INDEX(photos!$H$2:$H$701,MATCH($A251&amp;"|"&amp;$B251&amp;"|later|Y|"&amp;$AI251,photos!$S$2:$S$701,0))="","",INDEX(photos!$H$2:$H$701,MATCH($A251&amp;"|"&amp;$B251&amp;"|later|Y|"&amp;$AI251,photos!$S$2:$S$701,0))),""))</f>
        <v/>
      </c>
      <c r="AI251" s="31" t="str">
        <f aca="false">IF($A251="","",IFERROR(1/(1/SUMPRODUCT(MAX((photos!$B$2:$B$701=$A251)*(photos!$C$2:$C$701=$B251)*(photos!$D$2:$D$701="later")*(photos!$O$2:$O$701="Y")*photos!$E$2:$E$701))),""))</f>
        <v/>
      </c>
      <c r="AJ251" s="30" t="str">
        <f aca="false">IF(OR($A251="",$AI251="",$I251=""),"",NETWORKDAYS($I251,$AI251,calendar!$A$2:$A$80))</f>
        <v/>
      </c>
      <c r="AK251" s="30" t="str">
        <f aca="false">IF($A251="","",IF(AND($X251&lt;&gt;"",$AH251&lt;&gt;""),"Y","N"))</f>
        <v/>
      </c>
      <c r="AL251" s="30" t="str">
        <f aca="true">IF(OR($A251="",$I251=""),"",IF($BC251="Y",SUMIFS(survey_frozen!$C$2:$C$251,survey_frozen!$P$2:$P$251,$A251&amp;"|"&amp;$B251),IFERROR(COUNTIFS(INDIRECT("'"&amp;$A251&amp;"'!$B$2:$B$501"),$T251,INDIRECT("'"&amp;$A251&amp;"'!$A$2:$A$501"),"&gt;="&amp;$I251,INDIRECT("'"&amp;$A251&amp;"'!$A$2:$A$501"),"&lt;"&amp;($BA251+1)),0)))</f>
        <v/>
      </c>
      <c r="AM251" s="30" t="str">
        <f aca="true">IF(OR($A251="",$I251=""),"",IF($BC251="Y",SUMIFS(survey_frozen!$D$2:$D$251,survey_frozen!$P$2:$P$251,$A251&amp;"|"&amp;$B251),IFERROR(COUNTIFS(INDIRECT("'"&amp;$A251&amp;"'!$B$2:$B$501"),$T251,INDIRECT("'"&amp;$A251&amp;"'!$A$2:$A$501"),"&gt;="&amp;$I251,INDIRECT("'"&amp;$A251&amp;"'!$A$2:$A$501"),"&lt;"&amp;($BA251+1),INDIRECT("'"&amp;$A251&amp;"'!$C$2:$C$501"),"Yes"),0)))</f>
        <v/>
      </c>
      <c r="AN251" s="30" t="str">
        <f aca="false">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30" t="str">
        <f aca="false">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30" t="str">
        <f aca="true">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30" t="str">
        <f aca="true">IF(OR($A251="",$I251=""),"",IF($BC251="Y",SUMIFS(survey_frozen!$E$2:$E$251,survey_frozen!$P$2:$P$251,$A251&amp;"|"&amp;$B251),IFERROR(COUNTIFS(INDIRECT("'"&amp;$A251&amp;"'!$B$2:$B$501"),$T251,INDIRECT("'"&amp;$A251&amp;"'!$A$2:$A$501"),"&gt;="&amp;$I251,INDIRECT("'"&amp;$A251&amp;"'!$A$2:$A$501"),"&lt;"&amp;($BA251+1),INDIRECT("'"&amp;$A251&amp;"'!$F$2:$F$501"),"Didn't see it"),0)))</f>
        <v/>
      </c>
      <c r="AR251" s="30" t="str">
        <f aca="true">IF(OR($A251="",$I251=""),"",IF($BC251="Y",SUMIFS(survey_frozen!$F$2:$F$251,survey_frozen!$P$2:$P$251,$A251&amp;"|"&amp;$B251),IFERROR(COUNTIFS(INDIRECT("'"&amp;$A251&amp;"'!$B$2:$B$501"),$T251,INDIRECT("'"&amp;$A251&amp;"'!$A$2:$A$501"),"&gt;="&amp;$I251,INDIRECT("'"&amp;$A251&amp;"'!$A$2:$A$501"),"&lt;"&amp;($BA251+1),INDIRECT("'"&amp;$A251&amp;"'!$F$2:$F$501"),"Not for me"),0)))</f>
        <v/>
      </c>
      <c r="AS251" s="30" t="str">
        <f aca="true">IF(OR($A251="",$I251=""),"",IF($BC251="Y",SUMIFS(survey_frozen!$G$2:$G$251,survey_frozen!$P$2:$P$251,$A251&amp;"|"&amp;$B251),IFERROR(COUNTIFS(INDIRECT("'"&amp;$A251&amp;"'!$B$2:$B$501"),$T251,INDIRECT("'"&amp;$A251&amp;"'!$A$2:$A$501"),"&gt;="&amp;$I251,INDIRECT("'"&amp;$A251&amp;"'!$A$2:$A$501"),"&lt;"&amp;($BA251+1),INDIRECT("'"&amp;$A251&amp;"'!$F$2:$F$501"),"Gone by the time I looked"),0)))</f>
        <v/>
      </c>
      <c r="AT251" s="30" t="str">
        <f aca="true">IF(OR($A251="",$I251=""),"",IF($BC251="Y",SUMIFS(survey_frozen!$H$2:$H$251,survey_frozen!$P$2:$P$251,$A251&amp;"|"&amp;$B251),IFERROR(COUNTIFS(INDIRECT("'"&amp;$A251&amp;"'!$B$2:$B$501"),$T251,INDIRECT("'"&amp;$A251&amp;"'!$A$2:$A$501"),"&gt;="&amp;$I251,INDIRECT("'"&amp;$A251&amp;"'!$A$2:$A$501"),"&lt;"&amp;($BA251+1),INDIRECT("'"&amp;$A251&amp;"'!$D$2:$D$501"),"&gt;=1"),0)))</f>
        <v/>
      </c>
      <c r="AU251" s="30" t="str">
        <f aca="true">IF(OR($A251="",$I251=""),"",IF($BC251="Y",SUMIFS(survey_frozen!$I$2:$I$251,survey_frozen!$P$2:$P$251,$A251&amp;"|"&amp;$B251),IFERROR(SUMIFS(INDIRECT("'"&amp;$A251&amp;"'!$D$2:$D$501"),INDIRECT("'"&amp;$A251&amp;"'!$B$2:$B$501"),$T251,INDIRECT("'"&amp;$A251&amp;"'!$A$2:$A$501"),"&gt;="&amp;$I251,INDIRECT("'"&amp;$A251&amp;"'!$A$2:$A$501"),"&lt;"&amp;($BA251+1)),0)))</f>
        <v/>
      </c>
      <c r="AV251" s="30" t="str">
        <f aca="true">IF(OR($A251="",$I251=""),"",IF($BC251="Y",SUMIFS(survey_frozen!$J$2:$J$251,survey_frozen!$P$2:$P$251,$A251&amp;"|"&amp;$B251),IFERROR(COUNTIFS(INDIRECT("'"&amp;$A251&amp;"'!$B$2:$B$501"),$T251,INDIRECT("'"&amp;$A251&amp;"'!$A$2:$A$501"),"&gt;="&amp;$I251,INDIRECT("'"&amp;$A251&amp;"'!$A$2:$A$501"),"&lt;"&amp;($BA251+1),INDIRECT("'"&amp;$A251&amp;"'!$E$2:$E$501"),"Yes"),0)))</f>
        <v/>
      </c>
      <c r="AW251" s="30" t="str">
        <f aca="true">IF(OR($A251="",$I251=""),"",IF($BC251="Y",SUMIFS(survey_frozen!$K$2:$K$251,survey_frozen!$P$2:$P$251,$A251&amp;"|"&amp;$B251),IFERROR(COUNTIFS(INDIRECT("'"&amp;$A251&amp;"'!$B$2:$B$501"),$T251,INDIRECT("'"&amp;$A251&amp;"'!$A$2:$A$501"),"&gt;="&amp;$I251,INDIRECT("'"&amp;$A251&amp;"'!$A$2:$A$501"),"&lt;"&amp;($BA251+1),INDIRECT("'"&amp;$A251&amp;"'!$E$2:$E$501"),"Maybe"),0)))</f>
        <v/>
      </c>
      <c r="AX251" s="30" t="str">
        <f aca="true">IF(OR($A251="",$I251=""),"",IF($BC251="Y",SUMIFS(survey_frozen!$L$2:$L$251,survey_frozen!$P$2:$P$251,$A251&amp;"|"&amp;$B251),IFERROR(COUNTIFS(INDIRECT("'"&amp;$A251&amp;"'!$B$2:$B$501"),$T251,INDIRECT("'"&amp;$A251&amp;"'!$A$2:$A$501"),"&gt;="&amp;$I251,INDIRECT("'"&amp;$A251&amp;"'!$A$2:$A$501"),"&lt;"&amp;($BA251+1),INDIRECT("'"&amp;$A251&amp;"'!$E$2:$E$501"),"No"),0)))</f>
        <v/>
      </c>
      <c r="AY251" s="30" t="str">
        <f aca="true">IF(OR($A251="",$I251=""),"",IF($BC251="Y",SUMIFS(survey_frozen!$M$2:$M$251,survey_frozen!$P$2:$P$251,$A251&amp;"|"&amp;$B251),IFERROR(COUNTIFS(INDIRECT("'"&amp;$A251&amp;"'!$B$2:$B$501"),$T251,INDIRECT("'"&amp;$A251&amp;"'!$A$2:$A$501"),"&gt;="&amp;$I251,INDIRECT("'"&amp;$A251&amp;"'!$A$2:$A$501"),"&lt;"&amp;($BA251+1),INDIRECT("'"&amp;$A251&amp;"'!$G$2:$G$501"),"&lt;&gt;"),0)))</f>
        <v/>
      </c>
      <c r="AZ251" s="30" t="str">
        <f aca="false">IF($A251="","",$A251&amp;"|"&amp;$L251)</f>
        <v/>
      </c>
      <c r="BA251" s="31" t="str">
        <f aca="false">IF($A251="","",IFERROR(IF(INDEX(drops!$R$2:$R$21,MATCH($H251,drops!$A$2:$A$21,0))="","",INDEX(drops!$R$2:$R$21,MATCH($H251,drops!$A$2:$A$21,0))),""))</f>
        <v/>
      </c>
      <c r="BB251" s="30" t="n">
        <f aca="false">IF(OR($A251="",$Q251&lt;&gt;"Y"),1000000,N($AL251))</f>
        <v>1000000</v>
      </c>
      <c r="BC251" s="30" t="str">
        <f aca="false">IF($A251="","",IF(COUNTIF(survey_frozen!$P$2:$P$251,$A251&amp;"|"&amp;$B251)&gt;0,"Y",""))</f>
        <v/>
      </c>
      <c r="BD251" s="30" t="str">
        <f aca="false">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2" aboveAverage="0" equalAverage="0" bottom="0" percent="0" rank="0" text="" dxfId="1">
      <formula>LEN(AP2)&gt;0</formula>
    </cfRule>
  </conditionalFormatting>
  <dataValidations count="1">
    <dataValidation allowBlank="true" error="Pick a value from the list." errorStyle="stop" errorTitle="Not on the list" operator="between" showDropDown="false" showErrorMessage="true" showInputMessage="false" sqref="D2:D25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AF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8"/>
    <col collapsed="false" customWidth="true" hidden="false" outlineLevel="0" max="7" min="5" style="0" width="14"/>
    <col collapsed="false" customWidth="true" hidden="false" outlineLevel="0" max="8" min="8" style="0" width="18"/>
    <col collapsed="false" customWidth="true" hidden="false" outlineLevel="0" max="10" min="9" style="0" width="8"/>
    <col collapsed="false" customWidth="true" hidden="false" outlineLevel="0" max="12" min="11" style="0" width="14"/>
    <col collapsed="false" customWidth="true" hidden="false" outlineLevel="0" max="13" min="13" style="0" width="24"/>
    <col collapsed="false" customWidth="true" hidden="false" outlineLevel="0" max="16" min="14" style="0" width="14"/>
    <col collapsed="false" customWidth="true" hidden="false" outlineLevel="0" max="17" min="17" style="0" width="18"/>
    <col collapsed="false" customWidth="true" hidden="false" outlineLevel="0" max="18" min="18" style="0" width="22"/>
    <col collapsed="false" customWidth="true" hidden="false" outlineLevel="0" max="23" min="19" style="0" width="14"/>
    <col collapsed="false" customWidth="true" hidden="false" outlineLevel="0" max="24" min="24" style="0" width="7"/>
    <col collapsed="false" customWidth="true" hidden="false" outlineLevel="0" max="25" min="25" style="0" width="14"/>
    <col collapsed="false" customWidth="true" hidden="false" outlineLevel="0" max="29" min="26" style="0" width="7"/>
    <col collapsed="false" customWidth="true" hidden="false" outlineLevel="0" max="30" min="30" style="0" width="34"/>
    <col collapsed="false" customWidth="true" hidden="false" outlineLevel="0" max="31" min="31" style="0" width="26"/>
    <col collapsed="false" customWidth="true" hidden="false" outlineLevel="0" max="32" min="32" style="0" width="7"/>
  </cols>
  <sheetData>
    <row r="1" customFormat="false" ht="15" hidden="false" customHeight="false" outlineLevel="0" collapsed="false">
      <c r="A1" s="28" t="s">
        <v>299</v>
      </c>
      <c r="B1" s="28" t="s">
        <v>642</v>
      </c>
      <c r="C1" s="28" t="s">
        <v>738</v>
      </c>
      <c r="D1" s="28" t="s">
        <v>739</v>
      </c>
      <c r="E1" s="28" t="s">
        <v>740</v>
      </c>
      <c r="F1" s="28" t="s">
        <v>741</v>
      </c>
      <c r="G1" s="28" t="s">
        <v>742</v>
      </c>
      <c r="H1" s="28" t="s">
        <v>743</v>
      </c>
      <c r="I1" s="28" t="s">
        <v>744</v>
      </c>
      <c r="J1" s="28" t="s">
        <v>745</v>
      </c>
      <c r="K1" s="28" t="s">
        <v>746</v>
      </c>
      <c r="L1" s="28" t="s">
        <v>747</v>
      </c>
      <c r="M1" s="28" t="s">
        <v>305</v>
      </c>
      <c r="N1" s="28" t="s">
        <v>748</v>
      </c>
      <c r="O1" s="28" t="s">
        <v>749</v>
      </c>
      <c r="P1" s="29" t="s">
        <v>300</v>
      </c>
      <c r="Q1" s="29" t="s">
        <v>138</v>
      </c>
      <c r="R1" s="29" t="s">
        <v>654</v>
      </c>
      <c r="S1" s="29" t="s">
        <v>655</v>
      </c>
      <c r="T1" s="29" t="s">
        <v>661</v>
      </c>
      <c r="U1" s="29" t="s">
        <v>660</v>
      </c>
      <c r="V1" s="29" t="s">
        <v>657</v>
      </c>
      <c r="W1" s="29" t="s">
        <v>670</v>
      </c>
      <c r="X1" s="29" t="s">
        <v>648</v>
      </c>
      <c r="Y1" s="29" t="s">
        <v>650</v>
      </c>
      <c r="Z1" s="29" t="s">
        <v>750</v>
      </c>
      <c r="AA1" s="29" t="s">
        <v>751</v>
      </c>
      <c r="AB1" s="29" t="s">
        <v>752</v>
      </c>
      <c r="AC1" s="29" t="s">
        <v>753</v>
      </c>
      <c r="AD1" s="29" t="s">
        <v>120</v>
      </c>
      <c r="AE1" s="29" t="s">
        <v>649</v>
      </c>
      <c r="AF1" s="29" t="s">
        <v>754</v>
      </c>
    </row>
    <row r="2" customFormat="false" ht="15" hidden="false" customHeight="false" outlineLevel="0" collapsed="false">
      <c r="A2" s="0" t="s">
        <v>337</v>
      </c>
      <c r="B2" s="0" t="s">
        <v>678</v>
      </c>
      <c r="C2" s="0" t="n">
        <v>1</v>
      </c>
      <c r="D2" s="38" t="n">
        <v>0.340277777777778</v>
      </c>
      <c r="E2" s="11" t="n">
        <v>46394</v>
      </c>
      <c r="F2" s="11" t="n">
        <v>46398</v>
      </c>
      <c r="G2" s="11"/>
      <c r="I2" s="38" t="n">
        <v>0.347222222222222</v>
      </c>
      <c r="J2" s="38" t="n">
        <v>0.359722222222222</v>
      </c>
      <c r="K2" s="10" t="s">
        <v>755</v>
      </c>
      <c r="L2" s="10" t="s">
        <v>756</v>
      </c>
      <c r="N2" s="11" t="n">
        <v>46412</v>
      </c>
      <c r="O2" s="10" t="s">
        <v>496</v>
      </c>
      <c r="P2" s="31" t="n">
        <f aca="false">IF($A2="","",IF(IFERROR(IF(INDEX(drops!$I$2:$I$21,MATCH($A2,drops!$A$2:$A$21,0))="","",INDEX(drops!$I$2:$I$21,MATCH($A2,drops!$A$2:$A$21,0))),"")="OK",IFERROR(IF(INDEX(drops!$B$2:$B$21,MATCH($A2,drops!$A$2:$A$21,0))="","",INDEX(drops!$B$2:$B$21,MATCH($A2,drops!$A$2:$A$21,0))),""),""))</f>
        <v>46399</v>
      </c>
      <c r="Q2" s="30" t="str">
        <f aca="false">IF($B2="","",IFERROR(IF(INDEX(offices!$O$2:$O$61,MATCH($B2,offices!$A$2:$A$61,0))="","",INDEX(offices!$O$2:$O$61,MATCH($B2,offices!$A$2:$A$61,0))),""))</f>
        <v>SAMPLE Northpoint Software</v>
      </c>
      <c r="R2" s="30" t="str">
        <f aca="false">IF($B2="","",IFERROR(IF(INDEX(offices!$P$2:$P$61,MATCH($B2,offices!$A$2:$A$61,0))="","",INDEX(offices!$P$2:$P$61,MATCH($B2,offices!$A$2:$A$61,0))),""))</f>
        <v>SAMPLE 110 Example Avenue</v>
      </c>
      <c r="S2" s="30" t="str">
        <f aca="false">IF($B2="","",IFERROR(IF(INDEX(offices!$Q$2:$Q$61,MATCH($B2,offices!$A$2:$A$61,0))="","",INDEX(offices!$Q$2:$Q$61,MATCH($B2,offices!$A$2:$A$61,0))),""))</f>
        <v>SAMPLE Floor 3</v>
      </c>
      <c r="T2" s="30" t="str">
        <f aca="false">IF($B2="","",IFERROR(IF(INDEX(offices!$Z$2:$Z$61,MATCH($B2,offices!$A$2:$A$61,0))="","",INDEX(offices!$Z$2:$Z$61,MATCH($B2,offices!$A$2:$A$61,0))),""))</f>
        <v>8 to 10 am</v>
      </c>
      <c r="U2" s="30" t="str">
        <f aca="false">IF($B2="","",IFERROR(IF(INDEX(offices!$Y$2:$Y$61,MATCH($B2,offices!$A$2:$A$61,0))="","",INDEX(offices!$Y$2:$Y$61,MATCH($B2,offices!$A$2:$A$61,0))),""))</f>
        <v>walk-up</v>
      </c>
      <c r="V2" s="30" t="str">
        <f aca="false">IF($B2="","",IFERROR(IF(INDEX(offices!$V$2:$V$61,MATCH($B2,offices!$A$2:$A$61,0))="","",INDEX(offices!$V$2:$V$61,MATCH($B2,offices!$A$2:$A$61,0))),""))</f>
        <v>SAMPLE Owner 001</v>
      </c>
      <c r="W2" s="30" t="str">
        <f aca="false">IF($B2="","",IFERROR(IF(INDEX(offices!$AJ$2:$AJ$61,MATCH($B2,offices!$A$2:$A$61,0))="","",INDEX(offices!$AJ$2:$AJ$61,MATCH($B2,offices!$A$2:$A$61,0))),""))</f>
        <v>SAMPLE (212) 555-0101</v>
      </c>
      <c r="X2" s="30" t="str">
        <f aca="false">IF($B2="","",IFERROR(IF(INDEX(offices!$G$2:$G$61,MATCH($B2,offices!$A$2:$A$61,0))="","",INDEX(offices!$G$2:$G$61,MATCH($B2,offices!$A$2:$A$61,0))),""))</f>
        <v>N</v>
      </c>
      <c r="Y2" s="30" t="str">
        <f aca="false">IF($B2="","",IFERROR(IF(INDEX(offices!$I$2:$I$61,MATCH($B2,offices!$A$2:$A$61,0))="","",INDEX(offices!$I$2:$I$61,MATCH($B2,offices!$A$2:$A$61,0))),""))</f>
        <v>not_needed</v>
      </c>
      <c r="Z2" s="30" t="n">
        <f aca="false">IF($A2="","",COUNTIFS(approvals!$H$2:$H$251,$A2,approvals!$B$2:$B$251,$B2,approvals!$P$2:$P$251,"Y"))</f>
        <v>2</v>
      </c>
      <c r="AA2" s="30" t="n">
        <f aca="false">IF($A2="","",SUMIFS(approvals!$S$2:$S$251,approvals!$H$2:$H$251,$A2,approvals!$B$2:$B$251,$B2,approvals!$P$2:$P$251,"Y"))</f>
        <v>80</v>
      </c>
      <c r="AB2" s="30" t="str">
        <f aca="false">IF(OR($A2="",$P2=""),"",IF(COUNTIFS(stops!$B$2:$B$151,$B2,stops!$P$2:$P$151,"&lt;"&amp;$P2,stops!$L$2:$L$151,"&lt;&gt;not_delivered")=0,"Y","N"))</f>
        <v>Y</v>
      </c>
      <c r="AC2" s="30" t="n">
        <f aca="false">IF(OR($I2="",$J2=""),"",ROUND(($J2-$I2)*1440,0))</f>
        <v>18</v>
      </c>
      <c r="AD2" s="30" t="str">
        <f aca="true">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30" t="str">
        <f aca="false">IF($B2="","",IFERROR(IF(INDEX(offices!$H$2:$H$61,MATCH($B2,offices!$A$2:$A$61,0))="","",INDEX(offices!$H$2:$H$61,MATCH($B2,offices!$A$2:$A$61,0))),""))</f>
        <v>SAMPLE 4th floor kitchen, left of the coffee machine</v>
      </c>
      <c r="AF2" s="30" t="str">
        <f aca="false">IF($A2="","",IF(AND($L2="declined",N($Z2)&gt;0,COUNTIFS(approvals!$H$2:$H$251,$A2,approvals!$B$2:$B$251,$B2,approvals!$P$2:$P$251,"Y",approvals!$U$2:$U$251,"&gt;0")=0),"Y",""))</f>
        <v/>
      </c>
    </row>
    <row r="3" customFormat="false" ht="15" hidden="false" customHeight="false" outlineLevel="0" collapsed="false">
      <c r="A3" s="0" t="s">
        <v>337</v>
      </c>
      <c r="B3" s="0" t="s">
        <v>683</v>
      </c>
      <c r="C3" s="0" t="n">
        <v>2</v>
      </c>
      <c r="D3" s="38" t="n">
        <v>0.371527777777778</v>
      </c>
      <c r="E3" s="11" t="n">
        <v>46394</v>
      </c>
      <c r="F3" s="11" t="n">
        <v>46398</v>
      </c>
      <c r="G3" s="11"/>
      <c r="I3" s="38" t="n">
        <v>0.372916666666667</v>
      </c>
      <c r="J3" s="38" t="n">
        <v>0.384722222222222</v>
      </c>
      <c r="K3" s="10" t="s">
        <v>755</v>
      </c>
      <c r="L3" s="10" t="s">
        <v>756</v>
      </c>
      <c r="N3" s="11" t="n">
        <v>46412</v>
      </c>
      <c r="O3" s="10" t="s">
        <v>496</v>
      </c>
      <c r="P3" s="31" t="n">
        <f aca="false">IF($A3="","",IF(IFERROR(IF(INDEX(drops!$I$2:$I$21,MATCH($A3,drops!$A$2:$A$21,0))="","",INDEX(drops!$I$2:$I$21,MATCH($A3,drops!$A$2:$A$21,0))),"")="OK",IFERROR(IF(INDEX(drops!$B$2:$B$21,MATCH($A3,drops!$A$2:$A$21,0))="","",INDEX(drops!$B$2:$B$21,MATCH($A3,drops!$A$2:$A$21,0))),""),""))</f>
        <v>46399</v>
      </c>
      <c r="Q3" s="30" t="str">
        <f aca="false">IF($B3="","",IFERROR(IF(INDEX(offices!$O$2:$O$61,MATCH($B3,offices!$A$2:$A$61,0))="","",INDEX(offices!$O$2:$O$61,MATCH($B3,offices!$A$2:$A$61,0))),""))</f>
        <v>SAMPLE Halcyon Media</v>
      </c>
      <c r="R3" s="30" t="str">
        <f aca="false">IF($B3="","",IFERROR(IF(INDEX(offices!$P$2:$P$61,MATCH($B3,offices!$A$2:$A$61,0))="","",INDEX(offices!$P$2:$P$61,MATCH($B3,offices!$A$2:$A$61,0))),""))</f>
        <v>SAMPLE 130 Example Avenue</v>
      </c>
      <c r="S3" s="30" t="str">
        <f aca="false">IF($B3="","",IFERROR(IF(INDEX(offices!$Q$2:$Q$61,MATCH($B3,offices!$A$2:$A$61,0))="","",INDEX(offices!$Q$2:$Q$61,MATCH($B3,offices!$A$2:$A$61,0))),""))</f>
        <v>SAMPLE Floor 5</v>
      </c>
      <c r="T3" s="30" t="str">
        <f aca="false">IF($B3="","",IFERROR(IF(INDEX(offices!$Z$2:$Z$61,MATCH($B3,offices!$A$2:$A$61,0))="","",INDEX(offices!$Z$2:$Z$61,MATCH($B3,offices!$A$2:$A$61,0))),""))</f>
        <v>9 to 11 am</v>
      </c>
      <c r="U3" s="30" t="str">
        <f aca="false">IF($B3="","",IFERROR(IF(INDEX(offices!$Y$2:$Y$61,MATCH($B3,offices!$A$2:$A$61,0))="","",INDEX(offices!$Y$2:$Y$61,MATCH($B3,offices!$A$2:$A$61,0))),""))</f>
        <v>walk-up</v>
      </c>
      <c r="V3" s="30" t="str">
        <f aca="false">IF($B3="","",IFERROR(IF(INDEX(offices!$V$2:$V$61,MATCH($B3,offices!$A$2:$A$61,0))="","",INDEX(offices!$V$2:$V$61,MATCH($B3,offices!$A$2:$A$61,0))),""))</f>
        <v>SAMPLE Owner 003</v>
      </c>
      <c r="W3" s="30" t="str">
        <f aca="false">IF($B3="","",IFERROR(IF(INDEX(offices!$AJ$2:$AJ$61,MATCH($B3,offices!$A$2:$A$61,0))="","",INDEX(offices!$AJ$2:$AJ$61,MATCH($B3,offices!$A$2:$A$61,0))),""))</f>
        <v>SAMPLE (212) 555-0103</v>
      </c>
      <c r="X3" s="30" t="str">
        <f aca="false">IF($B3="","",IFERROR(IF(INDEX(offices!$G$2:$G$61,MATCH($B3,offices!$A$2:$A$61,0))="","",INDEX(offices!$G$2:$G$61,MATCH($B3,offices!$A$2:$A$61,0))),""))</f>
        <v>N</v>
      </c>
      <c r="Y3" s="30" t="str">
        <f aca="false">IF($B3="","",IFERROR(IF(INDEX(offices!$I$2:$I$61,MATCH($B3,offices!$A$2:$A$61,0))="","",INDEX(offices!$I$2:$I$61,MATCH($B3,offices!$A$2:$A$61,0))),""))</f>
        <v>received</v>
      </c>
      <c r="Z3" s="30" t="n">
        <f aca="false">IF($A3="","",COUNTIFS(approvals!$H$2:$H$251,$A3,approvals!$B$2:$B$251,$B3,approvals!$P$2:$P$251,"Y"))</f>
        <v>2</v>
      </c>
      <c r="AA3" s="30" t="n">
        <f aca="false">IF($A3="","",SUMIFS(approvals!$S$2:$S$251,approvals!$H$2:$H$251,$A3,approvals!$B$2:$B$251,$B3,approvals!$P$2:$P$251,"Y"))</f>
        <v>100</v>
      </c>
      <c r="AB3" s="30" t="str">
        <f aca="false">IF(OR($A3="",$P3=""),"",IF(COUNTIFS(stops!$B$2:$B$151,$B3,stops!$P$2:$P$151,"&lt;"&amp;$P3,stops!$L$2:$L$151,"&lt;&gt;not_delivered")=0,"Y","N"))</f>
        <v>Y</v>
      </c>
      <c r="AC3" s="30" t="n">
        <f aca="false">IF(OR($I3="",$J3=""),"",ROUND(($J3-$I3)*1440,0))</f>
        <v>17</v>
      </c>
      <c r="AD3" s="30" t="str">
        <f aca="true">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30" t="str">
        <f aca="false">IF($B3="","",IFERROR(IF(INDEX(offices!$H$2:$H$61,MATCH($B3,offices!$A$2:$A$61,0))="","",INDEX(offices!$H$2:$H$61,MATCH($B3,offices!$A$2:$A$61,0))),""))</f>
        <v>SAMPLE 2nd floor pantry, shelf by the window</v>
      </c>
      <c r="AF3" s="30" t="str">
        <f aca="false">IF($A3="","",IF(AND($L3="declined",N($Z3)&gt;0,COUNTIFS(approvals!$H$2:$H$251,$A3,approvals!$B$2:$B$251,$B3,approvals!$P$2:$P$251,"Y",approvals!$U$2:$U$251,"&gt;0")=0),"Y",""))</f>
        <v/>
      </c>
    </row>
    <row r="4" customFormat="false" ht="15" hidden="false" customHeight="false" outlineLevel="0" collapsed="false">
      <c r="A4" s="0" t="s">
        <v>337</v>
      </c>
      <c r="B4" s="0" t="s">
        <v>681</v>
      </c>
      <c r="C4" s="0" t="n">
        <v>3</v>
      </c>
      <c r="D4" s="38" t="n">
        <v>0.395833333333333</v>
      </c>
      <c r="E4" s="11" t="n">
        <v>46394</v>
      </c>
      <c r="F4" s="11" t="n">
        <v>46398</v>
      </c>
      <c r="G4" s="11"/>
      <c r="I4" s="38" t="n">
        <v>0.396527777777778</v>
      </c>
      <c r="J4" s="38" t="n">
        <v>0.406944444444444</v>
      </c>
      <c r="K4" s="10" t="s">
        <v>755</v>
      </c>
      <c r="L4" s="10" t="s">
        <v>757</v>
      </c>
      <c r="N4" s="11" t="n">
        <v>46412</v>
      </c>
      <c r="O4" s="10" t="s">
        <v>496</v>
      </c>
      <c r="P4" s="31" t="n">
        <f aca="false">IF($A4="","",IF(IFERROR(IF(INDEX(drops!$I$2:$I$21,MATCH($A4,drops!$A$2:$A$21,0))="","",INDEX(drops!$I$2:$I$21,MATCH($A4,drops!$A$2:$A$21,0))),"")="OK",IFERROR(IF(INDEX(drops!$B$2:$B$21,MATCH($A4,drops!$A$2:$A$21,0))="","",INDEX(drops!$B$2:$B$21,MATCH($A4,drops!$A$2:$A$21,0))),""),""))</f>
        <v>46399</v>
      </c>
      <c r="Q4" s="30" t="str">
        <f aca="false">IF($B4="","",IFERROR(IF(INDEX(offices!$O$2:$O$61,MATCH($B4,offices!$A$2:$A$61,0))="","",INDEX(offices!$O$2:$O$61,MATCH($B4,offices!$A$2:$A$61,0))),""))</f>
        <v>SAMPLE Ferro Architecture</v>
      </c>
      <c r="R4" s="30" t="str">
        <f aca="false">IF($B4="","",IFERROR(IF(INDEX(offices!$P$2:$P$61,MATCH($B4,offices!$A$2:$A$61,0))="","",INDEX(offices!$P$2:$P$61,MATCH($B4,offices!$A$2:$A$61,0))),""))</f>
        <v>SAMPLE 120 Example Avenue</v>
      </c>
      <c r="S4" s="30" t="str">
        <f aca="false">IF($B4="","",IFERROR(IF(INDEX(offices!$Q$2:$Q$61,MATCH($B4,offices!$A$2:$A$61,0))="","",INDEX(offices!$Q$2:$Q$61,MATCH($B4,offices!$A$2:$A$61,0))),""))</f>
        <v>SAMPLE Floor 4</v>
      </c>
      <c r="T4" s="30" t="str">
        <f aca="false">IF($B4="","",IFERROR(IF(INDEX(offices!$Z$2:$Z$61,MATCH($B4,offices!$A$2:$A$61,0))="","",INDEX(offices!$Z$2:$Z$61,MATCH($B4,offices!$A$2:$A$61,0))),""))</f>
        <v>9 to 11 am</v>
      </c>
      <c r="U4" s="30" t="str">
        <f aca="false">IF($B4="","",IFERROR(IF(INDEX(offices!$Y$2:$Y$61,MATCH($B4,offices!$A$2:$A$61,0))="","",INDEX(offices!$Y$2:$Y$61,MATCH($B4,offices!$A$2:$A$61,0))),""))</f>
        <v>front desk</v>
      </c>
      <c r="V4" s="30" t="str">
        <f aca="false">IF($B4="","",IFERROR(IF(INDEX(offices!$V$2:$V$61,MATCH($B4,offices!$A$2:$A$61,0))="","",INDEX(offices!$V$2:$V$61,MATCH($B4,offices!$A$2:$A$61,0))),""))</f>
        <v>SAMPLE Owner 002</v>
      </c>
      <c r="W4" s="30" t="str">
        <f aca="false">IF($B4="","",IFERROR(IF(INDEX(offices!$AJ$2:$AJ$61,MATCH($B4,offices!$A$2:$A$61,0))="","",INDEX(offices!$AJ$2:$AJ$61,MATCH($B4,offices!$A$2:$A$61,0))),""))</f>
        <v>SAMPLE (212) 555-0102</v>
      </c>
      <c r="X4" s="30" t="str">
        <f aca="false">IF($B4="","",IFERROR(IF(INDEX(offices!$G$2:$G$61,MATCH($B4,offices!$A$2:$A$61,0))="","",INDEX(offices!$G$2:$G$61,MATCH($B4,offices!$A$2:$A$61,0))),""))</f>
        <v>Y</v>
      </c>
      <c r="Y4" s="30" t="str">
        <f aca="false">IF($B4="","",IFERROR(IF(INDEX(offices!$I$2:$I$61,MATCH($B4,offices!$A$2:$A$61,0))="","",INDEX(offices!$I$2:$I$61,MATCH($B4,offices!$A$2:$A$61,0))),""))</f>
        <v>not_needed</v>
      </c>
      <c r="Z4" s="30" t="n">
        <f aca="false">IF($A4="","",COUNTIFS(approvals!$H$2:$H$251,$A4,approvals!$B$2:$B$251,$B4,approvals!$P$2:$P$251,"Y"))</f>
        <v>2</v>
      </c>
      <c r="AA4" s="30" t="n">
        <f aca="false">IF($A4="","",SUMIFS(approvals!$S$2:$S$251,approvals!$H$2:$H$251,$A4,approvals!$B$2:$B$251,$B4,approvals!$P$2:$P$251,"Y"))</f>
        <v>80</v>
      </c>
      <c r="AB4" s="30" t="str">
        <f aca="false">IF(OR($A4="",$P4=""),"",IF(COUNTIFS(stops!$B$2:$B$151,$B4,stops!$P$2:$P$151,"&lt;"&amp;$P4,stops!$L$2:$L$151,"&lt;&gt;not_delivered")=0,"Y","N"))</f>
        <v>Y</v>
      </c>
      <c r="AC4" s="30" t="n">
        <f aca="false">IF(OR($I4="",$J4=""),"",ROUND(($J4-$I4)*1440,0))</f>
        <v>15</v>
      </c>
      <c r="AD4" s="30" t="str">
        <f aca="true">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30" t="str">
        <f aca="false">IF($B4="","",IFERROR(IF(INDEX(offices!$H$2:$H$61,MATCH($B4,offices!$A$2:$A$61,0))="","",INDEX(offices!$H$2:$H$61,MATCH($B4,offices!$A$2:$A$61,0))),""))</f>
        <v>SAMPLE front desk calls up; owner meets you in the lobby</v>
      </c>
      <c r="AF4" s="30" t="str">
        <f aca="false">IF($A4="","",IF(AND($L4="declined",N($Z4)&gt;0,COUNTIFS(approvals!$H$2:$H$251,$A4,approvals!$B$2:$B$251,$B4,approvals!$P$2:$P$251,"Y",approvals!$U$2:$U$251,"&gt;0")=0),"Y",""))</f>
        <v/>
      </c>
    </row>
    <row r="5" customFormat="false" ht="15" hidden="false" customHeight="false" outlineLevel="0" collapsed="false">
      <c r="A5" s="0" t="s">
        <v>337</v>
      </c>
      <c r="B5" s="0" t="s">
        <v>688</v>
      </c>
      <c r="C5" s="0" t="n">
        <v>4</v>
      </c>
      <c r="D5" s="38" t="n">
        <v>0.423611111111111</v>
      </c>
      <c r="E5" s="11" t="n">
        <v>46394</v>
      </c>
      <c r="F5" s="11" t="n">
        <v>46398</v>
      </c>
      <c r="G5" s="11"/>
      <c r="I5" s="38" t="n">
        <v>0.426388888888889</v>
      </c>
      <c r="J5" s="38" t="n">
        <v>0.441666666666667</v>
      </c>
      <c r="K5" s="10" t="s">
        <v>755</v>
      </c>
      <c r="L5" s="10" t="s">
        <v>757</v>
      </c>
      <c r="N5" s="11" t="n">
        <v>46412</v>
      </c>
      <c r="O5" s="10" t="s">
        <v>496</v>
      </c>
      <c r="P5" s="31" t="n">
        <f aca="false">IF($A5="","",IF(IFERROR(IF(INDEX(drops!$I$2:$I$21,MATCH($A5,drops!$A$2:$A$21,0))="","",INDEX(drops!$I$2:$I$21,MATCH($A5,drops!$A$2:$A$21,0))),"")="OK",IFERROR(IF(INDEX(drops!$B$2:$B$21,MATCH($A5,drops!$A$2:$A$21,0))="","",INDEX(drops!$B$2:$B$21,MATCH($A5,drops!$A$2:$A$21,0))),""),""))</f>
        <v>46399</v>
      </c>
      <c r="Q5" s="30" t="str">
        <f aca="false">IF($B5="","",IFERROR(IF(INDEX(offices!$O$2:$O$61,MATCH($B5,offices!$A$2:$A$61,0))="","",INDEX(offices!$O$2:$O$61,MATCH($B5,offices!$A$2:$A$61,0))),""))</f>
        <v>SAMPLE Studio Marlow</v>
      </c>
      <c r="R5" s="30" t="str">
        <f aca="false">IF($B5="","",IFERROR(IF(INDEX(offices!$P$2:$P$61,MATCH($B5,offices!$A$2:$A$61,0))="","",INDEX(offices!$P$2:$P$61,MATCH($B5,offices!$A$2:$A$61,0))),""))</f>
        <v>SAMPLE 150 Example Avenue</v>
      </c>
      <c r="S5" s="30" t="str">
        <f aca="false">IF($B5="","",IFERROR(IF(INDEX(offices!$Q$2:$Q$61,MATCH($B5,offices!$A$2:$A$61,0))="","",INDEX(offices!$Q$2:$Q$61,MATCH($B5,offices!$A$2:$A$61,0))),""))</f>
        <v>SAMPLE Floor 7</v>
      </c>
      <c r="T5" s="30" t="str">
        <f aca="false">IF($B5="","",IFERROR(IF(INDEX(offices!$Z$2:$Z$61,MATCH($B5,offices!$A$2:$A$61,0))="","",INDEX(offices!$Z$2:$Z$61,MATCH($B5,offices!$A$2:$A$61,0))),""))</f>
        <v>10 am to noon</v>
      </c>
      <c r="U5" s="30" t="str">
        <f aca="false">IF($B5="","",IFERROR(IF(INDEX(offices!$Y$2:$Y$61,MATCH($B5,offices!$A$2:$A$61,0))="","",INDEX(offices!$Y$2:$Y$61,MATCH($B5,offices!$A$2:$A$61,0))),""))</f>
        <v>front desk</v>
      </c>
      <c r="V5" s="30" t="str">
        <f aca="false">IF($B5="","",IFERROR(IF(INDEX(offices!$V$2:$V$61,MATCH($B5,offices!$A$2:$A$61,0))="","",INDEX(offices!$V$2:$V$61,MATCH($B5,offices!$A$2:$A$61,0))),""))</f>
        <v>SAMPLE Owner 005</v>
      </c>
      <c r="W5" s="30" t="str">
        <f aca="false">IF($B5="","",IFERROR(IF(INDEX(offices!$AJ$2:$AJ$61,MATCH($B5,offices!$A$2:$A$61,0))="","",INDEX(offices!$AJ$2:$AJ$61,MATCH($B5,offices!$A$2:$A$61,0))),""))</f>
        <v>SAMPLE (212) 555-0105</v>
      </c>
      <c r="X5" s="30" t="str">
        <f aca="false">IF($B5="","",IFERROR(IF(INDEX(offices!$G$2:$G$61,MATCH($B5,offices!$A$2:$A$61,0))="","",INDEX(offices!$G$2:$G$61,MATCH($B5,offices!$A$2:$A$61,0))),""))</f>
        <v>Y</v>
      </c>
      <c r="Y5" s="30" t="str">
        <f aca="false">IF($B5="","",IFERROR(IF(INDEX(offices!$I$2:$I$61,MATCH($B5,offices!$A$2:$A$61,0))="","",INDEX(offices!$I$2:$I$61,MATCH($B5,offices!$A$2:$A$61,0))),""))</f>
        <v>received</v>
      </c>
      <c r="Z5" s="30" t="n">
        <f aca="false">IF($A5="","",COUNTIFS(approvals!$H$2:$H$251,$A5,approvals!$B$2:$B$251,$B5,approvals!$P$2:$P$251,"Y"))</f>
        <v>2</v>
      </c>
      <c r="AA5" s="30" t="n">
        <f aca="false">IF($A5="","",SUMIFS(approvals!$S$2:$S$251,approvals!$H$2:$H$251,$A5,approvals!$B$2:$B$251,$B5,approvals!$P$2:$P$251,"Y"))</f>
        <v>140</v>
      </c>
      <c r="AB5" s="30" t="str">
        <f aca="false">IF(OR($A5="",$P5=""),"",IF(COUNTIFS(stops!$B$2:$B$151,$B5,stops!$P$2:$P$151,"&lt;"&amp;$P5,stops!$L$2:$L$151,"&lt;&gt;not_delivered")=0,"Y","N"))</f>
        <v>Y</v>
      </c>
      <c r="AC5" s="30" t="n">
        <f aca="false">IF(OR($I5="",$J5=""),"",ROUND(($J5-$I5)*1440,0))</f>
        <v>22</v>
      </c>
      <c r="AD5" s="30" t="str">
        <f aca="true">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30" t="str">
        <f aca="false">IF($B5="","",IFERROR(IF(INDEX(offices!$H$2:$H$61,MATCH($B5,offices!$A$2:$A$61,0))="","",INDEX(offices!$H$2:$H$61,MATCH($B5,offices!$A$2:$A$61,0))),""))</f>
        <v>SAMPLE show the certificate at the desk; 9th floor kitchen</v>
      </c>
      <c r="AF5" s="30" t="str">
        <f aca="false">IF($A5="","",IF(AND($L5="declined",N($Z5)&gt;0,COUNTIFS(approvals!$H$2:$H$251,$A5,approvals!$B$2:$B$251,$B5,approvals!$P$2:$P$251,"Y",approvals!$U$2:$U$251,"&gt;0")=0),"Y",""))</f>
        <v/>
      </c>
    </row>
    <row r="6" customFormat="false" ht="15" hidden="false" customHeight="false" outlineLevel="0" collapsed="false">
      <c r="A6" s="0" t="s">
        <v>337</v>
      </c>
      <c r="B6" s="0" t="s">
        <v>686</v>
      </c>
      <c r="C6" s="0" t="n">
        <v>5</v>
      </c>
      <c r="D6" s="38" t="n">
        <v>0.451388888888889</v>
      </c>
      <c r="E6" s="11" t="n">
        <v>46394</v>
      </c>
      <c r="F6" s="11" t="n">
        <v>46398</v>
      </c>
      <c r="G6" s="11"/>
      <c r="I6" s="38" t="n">
        <v>0.452777777777778</v>
      </c>
      <c r="J6" s="38" t="n">
        <v>0.461111111111111</v>
      </c>
      <c r="K6" s="10" t="s">
        <v>758</v>
      </c>
      <c r="L6" s="10" t="s">
        <v>759</v>
      </c>
      <c r="M6" s="10" t="s">
        <v>760</v>
      </c>
      <c r="N6" s="11" t="n">
        <v>46412</v>
      </c>
      <c r="O6" s="10" t="s">
        <v>145</v>
      </c>
      <c r="P6" s="31" t="n">
        <f aca="false">IF($A6="","",IF(IFERROR(IF(INDEX(drops!$I$2:$I$21,MATCH($A6,drops!$A$2:$A$21,0))="","",INDEX(drops!$I$2:$I$21,MATCH($A6,drops!$A$2:$A$21,0))),"")="OK",IFERROR(IF(INDEX(drops!$B$2:$B$21,MATCH($A6,drops!$A$2:$A$21,0))="","",INDEX(drops!$B$2:$B$21,MATCH($A6,drops!$A$2:$A$21,0))),""),""))</f>
        <v>46399</v>
      </c>
      <c r="Q6" s="30" t="str">
        <f aca="false">IF($B6="","",IFERROR(IF(INDEX(offices!$O$2:$O$61,MATCH($B6,offices!$A$2:$A$61,0))="","",INDEX(offices!$O$2:$O$61,MATCH($B6,offices!$A$2:$A$61,0))),""))</f>
        <v>SAMPLE Union Food Fund</v>
      </c>
      <c r="R6" s="30" t="str">
        <f aca="false">IF($B6="","",IFERROR(IF(INDEX(offices!$P$2:$P$61,MATCH($B6,offices!$A$2:$A$61,0))="","",INDEX(offices!$P$2:$P$61,MATCH($B6,offices!$A$2:$A$61,0))),""))</f>
        <v>SAMPLE 140 Example Avenue</v>
      </c>
      <c r="S6" s="30" t="str">
        <f aca="false">IF($B6="","",IFERROR(IF(INDEX(offices!$Q$2:$Q$61,MATCH($B6,offices!$A$2:$A$61,0))="","",INDEX(offices!$Q$2:$Q$61,MATCH($B6,offices!$A$2:$A$61,0))),""))</f>
        <v>SAMPLE Floor 6</v>
      </c>
      <c r="T6" s="30" t="str">
        <f aca="false">IF($B6="","",IFERROR(IF(INDEX(offices!$Z$2:$Z$61,MATCH($B6,offices!$A$2:$A$61,0))="","",INDEX(offices!$Z$2:$Z$61,MATCH($B6,offices!$A$2:$A$61,0))),""))</f>
        <v>10 am to noon</v>
      </c>
      <c r="U6" s="30" t="str">
        <f aca="false">IF($B6="","",IFERROR(IF(INDEX(offices!$Y$2:$Y$61,MATCH($B6,offices!$A$2:$A$61,0))="","",INDEX(offices!$Y$2:$Y$61,MATCH($B6,offices!$A$2:$A$61,0))),""))</f>
        <v>loading dock</v>
      </c>
      <c r="V6" s="30" t="str">
        <f aca="false">IF($B6="","",IFERROR(IF(INDEX(offices!$V$2:$V$61,MATCH($B6,offices!$A$2:$A$61,0))="","",INDEX(offices!$V$2:$V$61,MATCH($B6,offices!$A$2:$A$61,0))),""))</f>
        <v>SAMPLE Owner 004</v>
      </c>
      <c r="W6" s="30" t="str">
        <f aca="false">IF($B6="","",IFERROR(IF(INDEX(offices!$AJ$2:$AJ$61,MATCH($B6,offices!$A$2:$A$61,0))="","",INDEX(offices!$AJ$2:$AJ$61,MATCH($B6,offices!$A$2:$A$61,0))),""))</f>
        <v>SAMPLE (212) 555-0104</v>
      </c>
      <c r="X6" s="30" t="str">
        <f aca="false">IF($B6="","",IFERROR(IF(INDEX(offices!$G$2:$G$61,MATCH($B6,offices!$A$2:$A$61,0))="","",INDEX(offices!$G$2:$G$61,MATCH($B6,offices!$A$2:$A$61,0))),""))</f>
        <v>Y</v>
      </c>
      <c r="Y6" s="30" t="str">
        <f aca="false">IF($B6="","",IFERROR(IF(INDEX(offices!$I$2:$I$61,MATCH($B6,offices!$A$2:$A$61,0))="","",INDEX(offices!$I$2:$I$61,MATCH($B6,offices!$A$2:$A$61,0))),""))</f>
        <v>not_needed</v>
      </c>
      <c r="Z6" s="30" t="n">
        <f aca="false">IF($A6="","",COUNTIFS(approvals!$H$2:$H$251,$A6,approvals!$B$2:$B$251,$B6,approvals!$P$2:$P$251,"Y"))</f>
        <v>2</v>
      </c>
      <c r="AA6" s="30" t="n">
        <f aca="false">IF($A6="","",SUMIFS(approvals!$S$2:$S$251,approvals!$H$2:$H$251,$A6,approvals!$B$2:$B$251,$B6,approvals!$P$2:$P$251,"Y"))</f>
        <v>100</v>
      </c>
      <c r="AB6" s="30" t="str">
        <f aca="false">IF(OR($A6="",$P6=""),"",IF(COUNTIFS(stops!$B$2:$B$151,$B6,stops!$P$2:$P$151,"&lt;"&amp;$P6,stops!$L$2:$L$151,"&lt;&gt;not_delivered")=0,"Y","N"))</f>
        <v>Y</v>
      </c>
      <c r="AC6" s="30" t="n">
        <f aca="false">IF(OR($I6="",$J6=""),"",ROUND(($J6-$I6)*1440,0))</f>
        <v>12</v>
      </c>
      <c r="AD6" s="30" t="str">
        <f aca="true">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30" t="str">
        <f aca="false">IF($B6="","",IFERROR(IF(INDEX(offices!$H$2:$H$61,MATCH($B6,offices!$A$2:$A$61,0))="","",INDEX(offices!$H$2:$H$61,MATCH($B6,offices!$A$2:$A$61,0))),""))</f>
        <v>SAMPLE loading dock on the side street; mailroom signs, owner collects</v>
      </c>
      <c r="AF6" s="30" t="str">
        <f aca="false">IF($A6="","",IF(AND($L6="declined",N($Z6)&gt;0,COUNTIFS(approvals!$H$2:$H$251,$A6,approvals!$B$2:$B$251,$B6,approvals!$P$2:$P$251,"Y",approvals!$U$2:$U$251,"&gt;0")=0),"Y",""))</f>
        <v/>
      </c>
    </row>
    <row r="7" customFormat="false" ht="15" hidden="false" customHeight="false" outlineLevel="0" collapsed="false">
      <c r="A7" s="0" t="s">
        <v>344</v>
      </c>
      <c r="B7" s="0" t="s">
        <v>678</v>
      </c>
      <c r="C7" s="0" t="n">
        <v>1</v>
      </c>
      <c r="D7" s="38" t="n">
        <v>0.336805555555556</v>
      </c>
      <c r="E7" s="11" t="n">
        <v>46422</v>
      </c>
      <c r="F7" s="11" t="n">
        <v>46426</v>
      </c>
      <c r="G7" s="11"/>
      <c r="I7" s="38" t="n">
        <v>0.3375</v>
      </c>
      <c r="J7" s="38" t="n">
        <v>0.345833333333333</v>
      </c>
      <c r="K7" s="10" t="s">
        <v>755</v>
      </c>
      <c r="L7" s="10" t="s">
        <v>757</v>
      </c>
      <c r="N7" s="11" t="n">
        <v>46435</v>
      </c>
      <c r="O7" s="10" t="s">
        <v>496</v>
      </c>
      <c r="P7" s="31" t="n">
        <f aca="false">IF($A7="","",IF(IFERROR(IF(INDEX(drops!$I$2:$I$21,MATCH($A7,drops!$A$2:$A$21,0))="","",INDEX(drops!$I$2:$I$21,MATCH($A7,drops!$A$2:$A$21,0))),"")="OK",IFERROR(IF(INDEX(drops!$B$2:$B$21,MATCH($A7,drops!$A$2:$A$21,0))="","",INDEX(drops!$B$2:$B$21,MATCH($A7,drops!$A$2:$A$21,0))),""),""))</f>
        <v>46427</v>
      </c>
      <c r="Q7" s="30" t="str">
        <f aca="false">IF($B7="","",IFERROR(IF(INDEX(offices!$O$2:$O$61,MATCH($B7,offices!$A$2:$A$61,0))="","",INDEX(offices!$O$2:$O$61,MATCH($B7,offices!$A$2:$A$61,0))),""))</f>
        <v>SAMPLE Northpoint Software</v>
      </c>
      <c r="R7" s="30" t="str">
        <f aca="false">IF($B7="","",IFERROR(IF(INDEX(offices!$P$2:$P$61,MATCH($B7,offices!$A$2:$A$61,0))="","",INDEX(offices!$P$2:$P$61,MATCH($B7,offices!$A$2:$A$61,0))),""))</f>
        <v>SAMPLE 110 Example Avenue</v>
      </c>
      <c r="S7" s="30" t="str">
        <f aca="false">IF($B7="","",IFERROR(IF(INDEX(offices!$Q$2:$Q$61,MATCH($B7,offices!$A$2:$A$61,0))="","",INDEX(offices!$Q$2:$Q$61,MATCH($B7,offices!$A$2:$A$61,0))),""))</f>
        <v>SAMPLE Floor 3</v>
      </c>
      <c r="T7" s="30" t="str">
        <f aca="false">IF($B7="","",IFERROR(IF(INDEX(offices!$Z$2:$Z$61,MATCH($B7,offices!$A$2:$A$61,0))="","",INDEX(offices!$Z$2:$Z$61,MATCH($B7,offices!$A$2:$A$61,0))),""))</f>
        <v>8 to 10 am</v>
      </c>
      <c r="U7" s="30" t="str">
        <f aca="false">IF($B7="","",IFERROR(IF(INDEX(offices!$Y$2:$Y$61,MATCH($B7,offices!$A$2:$A$61,0))="","",INDEX(offices!$Y$2:$Y$61,MATCH($B7,offices!$A$2:$A$61,0))),""))</f>
        <v>walk-up</v>
      </c>
      <c r="V7" s="30" t="str">
        <f aca="false">IF($B7="","",IFERROR(IF(INDEX(offices!$V$2:$V$61,MATCH($B7,offices!$A$2:$A$61,0))="","",INDEX(offices!$V$2:$V$61,MATCH($B7,offices!$A$2:$A$61,0))),""))</f>
        <v>SAMPLE Owner 001</v>
      </c>
      <c r="W7" s="30" t="str">
        <f aca="false">IF($B7="","",IFERROR(IF(INDEX(offices!$AJ$2:$AJ$61,MATCH($B7,offices!$A$2:$A$61,0))="","",INDEX(offices!$AJ$2:$AJ$61,MATCH($B7,offices!$A$2:$A$61,0))),""))</f>
        <v>SAMPLE (212) 555-0101</v>
      </c>
      <c r="X7" s="30" t="str">
        <f aca="false">IF($B7="","",IFERROR(IF(INDEX(offices!$G$2:$G$61,MATCH($B7,offices!$A$2:$A$61,0))="","",INDEX(offices!$G$2:$G$61,MATCH($B7,offices!$A$2:$A$61,0))),""))</f>
        <v>N</v>
      </c>
      <c r="Y7" s="30" t="str">
        <f aca="false">IF($B7="","",IFERROR(IF(INDEX(offices!$I$2:$I$61,MATCH($B7,offices!$A$2:$A$61,0))="","",INDEX(offices!$I$2:$I$61,MATCH($B7,offices!$A$2:$A$61,0))),""))</f>
        <v>not_needed</v>
      </c>
      <c r="Z7" s="30" t="n">
        <f aca="false">IF($A7="","",COUNTIFS(approvals!$H$2:$H$251,$A7,approvals!$B$2:$B$251,$B7,approvals!$P$2:$P$251,"Y"))</f>
        <v>3</v>
      </c>
      <c r="AA7" s="30" t="n">
        <f aca="false">IF($A7="","",SUMIFS(approvals!$S$2:$S$251,approvals!$H$2:$H$251,$A7,approvals!$B$2:$B$251,$B7,approvals!$P$2:$P$251,"Y"))</f>
        <v>117</v>
      </c>
      <c r="AB7" s="30" t="str">
        <f aca="false">IF(OR($A7="",$P7=""),"",IF(COUNTIFS(stops!$B$2:$B$151,$B7,stops!$P$2:$P$151,"&lt;"&amp;$P7,stops!$L$2:$L$151,"&lt;&gt;not_delivered")=0,"Y","N"))</f>
        <v>N</v>
      </c>
      <c r="AC7" s="30" t="n">
        <f aca="false">IF(OR($I7="",$J7=""),"",ROUND(($J7-$I7)*1440,0))</f>
        <v>12</v>
      </c>
      <c r="AD7" s="30" t="str">
        <f aca="true">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30" t="str">
        <f aca="false">IF($B7="","",IFERROR(IF(INDEX(offices!$H$2:$H$61,MATCH($B7,offices!$A$2:$A$61,0))="","",INDEX(offices!$H$2:$H$61,MATCH($B7,offices!$A$2:$A$61,0))),""))</f>
        <v>SAMPLE 4th floor kitchen, left of the coffee machine</v>
      </c>
      <c r="AF7" s="30" t="str">
        <f aca="false">IF($A7="","",IF(AND($L7="declined",N($Z7)&gt;0,COUNTIFS(approvals!$H$2:$H$251,$A7,approvals!$B$2:$B$251,$B7,approvals!$P$2:$P$251,"Y",approvals!$U$2:$U$251,"&gt;0")=0),"Y",""))</f>
        <v/>
      </c>
    </row>
    <row r="8" customFormat="false" ht="15" hidden="false" customHeight="false" outlineLevel="0" collapsed="false">
      <c r="A8" s="0" t="s">
        <v>344</v>
      </c>
      <c r="B8" s="0" t="s">
        <v>690</v>
      </c>
      <c r="C8" s="0" t="n">
        <v>2</v>
      </c>
      <c r="D8" s="38" t="n">
        <v>0.348611111111111</v>
      </c>
      <c r="E8" s="11" t="n">
        <v>46422</v>
      </c>
      <c r="F8" s="11" t="n">
        <v>46426</v>
      </c>
      <c r="G8" s="11"/>
      <c r="I8" s="38" t="n">
        <v>0.349305555555556</v>
      </c>
      <c r="J8" s="38" t="n">
        <v>0.357638888888889</v>
      </c>
      <c r="K8" s="10" t="s">
        <v>755</v>
      </c>
      <c r="L8" s="10" t="s">
        <v>757</v>
      </c>
      <c r="N8" s="11" t="n">
        <v>46435</v>
      </c>
      <c r="O8" s="10" t="s">
        <v>496</v>
      </c>
      <c r="P8" s="31" t="n">
        <f aca="false">IF($A8="","",IF(IFERROR(IF(INDEX(drops!$I$2:$I$21,MATCH($A8,drops!$A$2:$A$21,0))="","",INDEX(drops!$I$2:$I$21,MATCH($A8,drops!$A$2:$A$21,0))),"")="OK",IFERROR(IF(INDEX(drops!$B$2:$B$21,MATCH($A8,drops!$A$2:$A$21,0))="","",INDEX(drops!$B$2:$B$21,MATCH($A8,drops!$A$2:$A$21,0))),""),""))</f>
        <v>46427</v>
      </c>
      <c r="Q8" s="30" t="str">
        <f aca="false">IF($B8="","",IFERROR(IF(INDEX(offices!$O$2:$O$61,MATCH($B8,offices!$A$2:$A$61,0))="","",INDEX(offices!$O$2:$O$61,MATCH($B8,offices!$A$2:$A$61,0))),""))</f>
        <v>SAMPLE Kestrel Analytics</v>
      </c>
      <c r="R8" s="30" t="str">
        <f aca="false">IF($B8="","",IFERROR(IF(INDEX(offices!$P$2:$P$61,MATCH($B8,offices!$A$2:$A$61,0))="","",INDEX(offices!$P$2:$P$61,MATCH($B8,offices!$A$2:$A$61,0))),""))</f>
        <v>SAMPLE 160 Example Avenue</v>
      </c>
      <c r="S8" s="30" t="str">
        <f aca="false">IF($B8="","",IFERROR(IF(INDEX(offices!$Q$2:$Q$61,MATCH($B8,offices!$A$2:$A$61,0))="","",INDEX(offices!$Q$2:$Q$61,MATCH($B8,offices!$A$2:$A$61,0))),""))</f>
        <v>SAMPLE Floor 8</v>
      </c>
      <c r="T8" s="30" t="str">
        <f aca="false">IF($B8="","",IFERROR(IF(INDEX(offices!$Z$2:$Z$61,MATCH($B8,offices!$A$2:$A$61,0))="","",INDEX(offices!$Z$2:$Z$61,MATCH($B8,offices!$A$2:$A$61,0))),""))</f>
        <v>8 to 10 am</v>
      </c>
      <c r="U8" s="30" t="str">
        <f aca="false">IF($B8="","",IFERROR(IF(INDEX(offices!$Y$2:$Y$61,MATCH($B8,offices!$A$2:$A$61,0))="","",INDEX(offices!$Y$2:$Y$61,MATCH($B8,offices!$A$2:$A$61,0))),""))</f>
        <v>walk-up</v>
      </c>
      <c r="V8" s="30" t="str">
        <f aca="false">IF($B8="","",IFERROR(IF(INDEX(offices!$V$2:$V$61,MATCH($B8,offices!$A$2:$A$61,0))="","",INDEX(offices!$V$2:$V$61,MATCH($B8,offices!$A$2:$A$61,0))),""))</f>
        <v>SAMPLE Owner 006</v>
      </c>
      <c r="W8" s="30" t="str">
        <f aca="false">IF($B8="","",IFERROR(IF(INDEX(offices!$AJ$2:$AJ$61,MATCH($B8,offices!$A$2:$A$61,0))="","",INDEX(offices!$AJ$2:$AJ$61,MATCH($B8,offices!$A$2:$A$61,0))),""))</f>
        <v>SAMPLE (212) 555-0106</v>
      </c>
      <c r="X8" s="30" t="str">
        <f aca="false">IF($B8="","",IFERROR(IF(INDEX(offices!$G$2:$G$61,MATCH($B8,offices!$A$2:$A$61,0))="","",INDEX(offices!$G$2:$G$61,MATCH($B8,offices!$A$2:$A$61,0))),""))</f>
        <v>N</v>
      </c>
      <c r="Y8" s="30" t="str">
        <f aca="false">IF($B8="","",IFERROR(IF(INDEX(offices!$I$2:$I$61,MATCH($B8,offices!$A$2:$A$61,0))="","",INDEX(offices!$I$2:$I$61,MATCH($B8,offices!$A$2:$A$61,0))),""))</f>
        <v>not_needed</v>
      </c>
      <c r="Z8" s="30" t="n">
        <f aca="false">IF($A8="","",COUNTIFS(approvals!$H$2:$H$251,$A8,approvals!$B$2:$B$251,$B8,approvals!$P$2:$P$251,"Y"))</f>
        <v>3</v>
      </c>
      <c r="AA8" s="30" t="n">
        <f aca="false">IF($A8="","",SUMIFS(approvals!$S$2:$S$251,approvals!$H$2:$H$251,$A8,approvals!$B$2:$B$251,$B8,approvals!$P$2:$P$251,"Y"))</f>
        <v>132</v>
      </c>
      <c r="AB8" s="30" t="str">
        <f aca="false">IF(OR($A8="",$P8=""),"",IF(COUNTIFS(stops!$B$2:$B$151,$B8,stops!$P$2:$P$151,"&lt;"&amp;$P8,stops!$L$2:$L$151,"&lt;&gt;not_delivered")=0,"Y","N"))</f>
        <v>Y</v>
      </c>
      <c r="AC8" s="30" t="n">
        <f aca="false">IF(OR($I8="",$J8=""),"",ROUND(($J8-$I8)*1440,0))</f>
        <v>12</v>
      </c>
      <c r="AD8" s="30" t="str">
        <f aca="true">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30" t="str">
        <f aca="false">IF($B8="","",IFERROR(IF(INDEX(offices!$H$2:$H$61,MATCH($B8,offices!$A$2:$A$61,0))="","",INDEX(offices!$H$2:$H$61,MATCH($B8,offices!$A$2:$A$61,0))),""))</f>
        <v>SAMPLE 3rd floor, ring the bell</v>
      </c>
      <c r="AF8" s="30" t="str">
        <f aca="false">IF($A8="","",IF(AND($L8="declined",N($Z8)&gt;0,COUNTIFS(approvals!$H$2:$H$251,$A8,approvals!$B$2:$B$251,$B8,approvals!$P$2:$P$251,"Y",approvals!$U$2:$U$251,"&gt;0")=0),"Y",""))</f>
        <v/>
      </c>
    </row>
    <row r="9" customFormat="false" ht="15" hidden="false" customHeight="false" outlineLevel="0" collapsed="false">
      <c r="A9" s="0" t="s">
        <v>344</v>
      </c>
      <c r="B9" s="0" t="s">
        <v>698</v>
      </c>
      <c r="C9" s="0" t="n">
        <v>3</v>
      </c>
      <c r="D9" s="38" t="n">
        <v>0.361111111111111</v>
      </c>
      <c r="E9" s="11" t="n">
        <v>46422</v>
      </c>
      <c r="F9" s="11" t="n">
        <v>46426</v>
      </c>
      <c r="G9" s="11"/>
      <c r="I9" s="38" t="n">
        <v>0.361805555555556</v>
      </c>
      <c r="J9" s="38" t="n">
        <v>0.370138888888889</v>
      </c>
      <c r="K9" s="10" t="s">
        <v>755</v>
      </c>
      <c r="L9" s="10" t="s">
        <v>757</v>
      </c>
      <c r="N9" s="11" t="n">
        <v>46435</v>
      </c>
      <c r="O9" s="10" t="s">
        <v>496</v>
      </c>
      <c r="P9" s="31" t="n">
        <f aca="false">IF($A9="","",IF(IFERROR(IF(INDEX(drops!$I$2:$I$21,MATCH($A9,drops!$A$2:$A$21,0))="","",INDEX(drops!$I$2:$I$21,MATCH($A9,drops!$A$2:$A$21,0))),"")="OK",IFERROR(IF(INDEX(drops!$B$2:$B$21,MATCH($A9,drops!$A$2:$A$21,0))="","",INDEX(drops!$B$2:$B$21,MATCH($A9,drops!$A$2:$A$21,0))),""),""))</f>
        <v>46427</v>
      </c>
      <c r="Q9" s="30" t="str">
        <f aca="false">IF($B9="","",IFERROR(IF(INDEX(offices!$O$2:$O$61,MATCH($B9,offices!$A$2:$A$61,0))="","",INDEX(offices!$O$2:$O$61,MATCH($B9,offices!$A$2:$A$61,0))),""))</f>
        <v>SAMPLE Quill Nonprofit Press</v>
      </c>
      <c r="R9" s="30" t="str">
        <f aca="false">IF($B9="","",IFERROR(IF(INDEX(offices!$P$2:$P$61,MATCH($B9,offices!$A$2:$A$61,0))="","",INDEX(offices!$P$2:$P$61,MATCH($B9,offices!$A$2:$A$61,0))),""))</f>
        <v>SAMPLE 200 Example Avenue</v>
      </c>
      <c r="S9" s="30" t="str">
        <f aca="false">IF($B9="","",IFERROR(IF(INDEX(offices!$Q$2:$Q$61,MATCH($B9,offices!$A$2:$A$61,0))="","",INDEX(offices!$Q$2:$Q$61,MATCH($B9,offices!$A$2:$A$61,0))),""))</f>
        <v>SAMPLE Floor 3</v>
      </c>
      <c r="T9" s="30" t="str">
        <f aca="false">IF($B9="","",IFERROR(IF(INDEX(offices!$Z$2:$Z$61,MATCH($B9,offices!$A$2:$A$61,0))="","",INDEX(offices!$Z$2:$Z$61,MATCH($B9,offices!$A$2:$A$61,0))),""))</f>
        <v>8 to 10 am</v>
      </c>
      <c r="U9" s="30" t="str">
        <f aca="false">IF($B9="","",IFERROR(IF(INDEX(offices!$Y$2:$Y$61,MATCH($B9,offices!$A$2:$A$61,0))="","",INDEX(offices!$Y$2:$Y$61,MATCH($B9,offices!$A$2:$A$61,0))),""))</f>
        <v>walk-up</v>
      </c>
      <c r="V9" s="30" t="str">
        <f aca="false">IF($B9="","",IFERROR(IF(INDEX(offices!$V$2:$V$61,MATCH($B9,offices!$A$2:$A$61,0))="","",INDEX(offices!$V$2:$V$61,MATCH($B9,offices!$A$2:$A$61,0))),""))</f>
        <v>SAMPLE Owner 010</v>
      </c>
      <c r="W9" s="30" t="str">
        <f aca="false">IF($B9="","",IFERROR(IF(INDEX(offices!$AJ$2:$AJ$61,MATCH($B9,offices!$A$2:$A$61,0))="","",INDEX(offices!$AJ$2:$AJ$61,MATCH($B9,offices!$A$2:$A$61,0))),""))</f>
        <v>SAMPLE (212) 555-0110</v>
      </c>
      <c r="X9" s="30" t="str">
        <f aca="false">IF($B9="","",IFERROR(IF(INDEX(offices!$G$2:$G$61,MATCH($B9,offices!$A$2:$A$61,0))="","",INDEX(offices!$G$2:$G$61,MATCH($B9,offices!$A$2:$A$61,0))),""))</f>
        <v>N</v>
      </c>
      <c r="Y9" s="30" t="str">
        <f aca="false">IF($B9="","",IFERROR(IF(INDEX(offices!$I$2:$I$61,MATCH($B9,offices!$A$2:$A$61,0))="","",INDEX(offices!$I$2:$I$61,MATCH($B9,offices!$A$2:$A$61,0))),""))</f>
        <v>not_needed</v>
      </c>
      <c r="Z9" s="30" t="n">
        <f aca="false">IF($A9="","",COUNTIFS(approvals!$H$2:$H$251,$A9,approvals!$B$2:$B$251,$B9,approvals!$P$2:$P$251,"Y"))</f>
        <v>3</v>
      </c>
      <c r="AA9" s="30" t="n">
        <f aca="false">IF($A9="","",SUMIFS(approvals!$S$2:$S$251,approvals!$H$2:$H$251,$A9,approvals!$B$2:$B$251,$B9,approvals!$P$2:$P$251,"Y"))</f>
        <v>117</v>
      </c>
      <c r="AB9" s="30" t="str">
        <f aca="false">IF(OR($A9="",$P9=""),"",IF(COUNTIFS(stops!$B$2:$B$151,$B9,stops!$P$2:$P$151,"&lt;"&amp;$P9,stops!$L$2:$L$151,"&lt;&gt;not_delivered")=0,"Y","N"))</f>
        <v>Y</v>
      </c>
      <c r="AC9" s="30" t="n">
        <f aca="false">IF(OR($I9="",$J9=""),"",ROUND(($J9-$I9)*1440,0))</f>
        <v>12</v>
      </c>
      <c r="AD9" s="30" t="str">
        <f aca="true">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30" t="str">
        <f aca="false">IF($B9="","",IFERROR(IF(INDEX(offices!$H$2:$H$61,MATCH($B9,offices!$A$2:$A$61,0))="","",INDEX(offices!$H$2:$H$61,MATCH($B9,offices!$A$2:$A$61,0))),""))</f>
        <v>SAMPLE walk-up, 2nd floor, kitchen on the right</v>
      </c>
      <c r="AF9" s="30" t="str">
        <f aca="false">IF($A9="","",IF(AND($L9="declined",N($Z9)&gt;0,COUNTIFS(approvals!$H$2:$H$251,$A9,approvals!$B$2:$B$251,$B9,approvals!$P$2:$P$251,"Y",approvals!$U$2:$U$251,"&gt;0")=0),"Y",""))</f>
        <v/>
      </c>
    </row>
    <row r="10" customFormat="false" ht="15" hidden="false" customHeight="false" outlineLevel="0" collapsed="false">
      <c r="A10" s="0" t="s">
        <v>344</v>
      </c>
      <c r="B10" s="0" t="s">
        <v>683</v>
      </c>
      <c r="C10" s="0" t="n">
        <v>4</v>
      </c>
      <c r="D10" s="38" t="n">
        <v>0.376388888888889</v>
      </c>
      <c r="E10" s="11" t="n">
        <v>46422</v>
      </c>
      <c r="F10" s="11" t="n">
        <v>46426</v>
      </c>
      <c r="G10" s="11"/>
      <c r="I10" s="38" t="n">
        <v>0.377083333333333</v>
      </c>
      <c r="J10" s="38" t="n">
        <v>0.385416666666667</v>
      </c>
      <c r="K10" s="10" t="s">
        <v>755</v>
      </c>
      <c r="L10" s="10" t="s">
        <v>757</v>
      </c>
      <c r="N10" s="11" t="n">
        <v>46435</v>
      </c>
      <c r="O10" s="10" t="s">
        <v>496</v>
      </c>
      <c r="P10" s="31" t="n">
        <f aca="false">IF($A10="","",IF(IFERROR(IF(INDEX(drops!$I$2:$I$21,MATCH($A10,drops!$A$2:$A$21,0))="","",INDEX(drops!$I$2:$I$21,MATCH($A10,drops!$A$2:$A$21,0))),"")="OK",IFERROR(IF(INDEX(drops!$B$2:$B$21,MATCH($A10,drops!$A$2:$A$21,0))="","",INDEX(drops!$B$2:$B$21,MATCH($A10,drops!$A$2:$A$21,0))),""),""))</f>
        <v>46427</v>
      </c>
      <c r="Q10" s="30" t="str">
        <f aca="false">IF($B10="","",IFERROR(IF(INDEX(offices!$O$2:$O$61,MATCH($B10,offices!$A$2:$A$61,0))="","",INDEX(offices!$O$2:$O$61,MATCH($B10,offices!$A$2:$A$61,0))),""))</f>
        <v>SAMPLE Halcyon Media</v>
      </c>
      <c r="R10" s="30" t="str">
        <f aca="false">IF($B10="","",IFERROR(IF(INDEX(offices!$P$2:$P$61,MATCH($B10,offices!$A$2:$A$61,0))="","",INDEX(offices!$P$2:$P$61,MATCH($B10,offices!$A$2:$A$61,0))),""))</f>
        <v>SAMPLE 130 Example Avenue</v>
      </c>
      <c r="S10" s="30" t="str">
        <f aca="false">IF($B10="","",IFERROR(IF(INDEX(offices!$Q$2:$Q$61,MATCH($B10,offices!$A$2:$A$61,0))="","",INDEX(offices!$Q$2:$Q$61,MATCH($B10,offices!$A$2:$A$61,0))),""))</f>
        <v>SAMPLE Floor 5</v>
      </c>
      <c r="T10" s="30" t="str">
        <f aca="false">IF($B10="","",IFERROR(IF(INDEX(offices!$Z$2:$Z$61,MATCH($B10,offices!$A$2:$A$61,0))="","",INDEX(offices!$Z$2:$Z$61,MATCH($B10,offices!$A$2:$A$61,0))),""))</f>
        <v>9 to 11 am</v>
      </c>
      <c r="U10" s="30" t="str">
        <f aca="false">IF($B10="","",IFERROR(IF(INDEX(offices!$Y$2:$Y$61,MATCH($B10,offices!$A$2:$A$61,0))="","",INDEX(offices!$Y$2:$Y$61,MATCH($B10,offices!$A$2:$A$61,0))),""))</f>
        <v>walk-up</v>
      </c>
      <c r="V10" s="30" t="str">
        <f aca="false">IF($B10="","",IFERROR(IF(INDEX(offices!$V$2:$V$61,MATCH($B10,offices!$A$2:$A$61,0))="","",INDEX(offices!$V$2:$V$61,MATCH($B10,offices!$A$2:$A$61,0))),""))</f>
        <v>SAMPLE Owner 003</v>
      </c>
      <c r="W10" s="30" t="str">
        <f aca="false">IF($B10="","",IFERROR(IF(INDEX(offices!$AJ$2:$AJ$61,MATCH($B10,offices!$A$2:$A$61,0))="","",INDEX(offices!$AJ$2:$AJ$61,MATCH($B10,offices!$A$2:$A$61,0))),""))</f>
        <v>SAMPLE (212) 555-0103</v>
      </c>
      <c r="X10" s="30" t="str">
        <f aca="false">IF($B10="","",IFERROR(IF(INDEX(offices!$G$2:$G$61,MATCH($B10,offices!$A$2:$A$61,0))="","",INDEX(offices!$G$2:$G$61,MATCH($B10,offices!$A$2:$A$61,0))),""))</f>
        <v>N</v>
      </c>
      <c r="Y10" s="30" t="str">
        <f aca="false">IF($B10="","",IFERROR(IF(INDEX(offices!$I$2:$I$61,MATCH($B10,offices!$A$2:$A$61,0))="","",INDEX(offices!$I$2:$I$61,MATCH($B10,offices!$A$2:$A$61,0))),""))</f>
        <v>received</v>
      </c>
      <c r="Z10" s="30" t="n">
        <f aca="false">IF($A10="","",COUNTIFS(approvals!$H$2:$H$251,$A10,approvals!$B$2:$B$251,$B10,approvals!$P$2:$P$251,"Y"))</f>
        <v>3</v>
      </c>
      <c r="AA10" s="30" t="n">
        <f aca="false">IF($A10="","",SUMIFS(approvals!$S$2:$S$251,approvals!$H$2:$H$251,$A10,approvals!$B$2:$B$251,$B10,approvals!$P$2:$P$251,"Y"))</f>
        <v>147</v>
      </c>
      <c r="AB10" s="30" t="str">
        <f aca="false">IF(OR($A10="",$P10=""),"",IF(COUNTIFS(stops!$B$2:$B$151,$B10,stops!$P$2:$P$151,"&lt;"&amp;$P10,stops!$L$2:$L$151,"&lt;&gt;not_delivered")=0,"Y","N"))</f>
        <v>N</v>
      </c>
      <c r="AC10" s="30" t="n">
        <f aca="false">IF(OR($I10="",$J10=""),"",ROUND(($J10-$I10)*1440,0))</f>
        <v>12</v>
      </c>
      <c r="AD10" s="30" t="str">
        <f aca="true">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30" t="str">
        <f aca="false">IF($B10="","",IFERROR(IF(INDEX(offices!$H$2:$H$61,MATCH($B10,offices!$A$2:$A$61,0))="","",INDEX(offices!$H$2:$H$61,MATCH($B10,offices!$A$2:$A$61,0))),""))</f>
        <v>SAMPLE 2nd floor pantry, shelf by the window</v>
      </c>
      <c r="AF10" s="30" t="str">
        <f aca="false">IF($A10="","",IF(AND($L10="declined",N($Z10)&gt;0,COUNTIFS(approvals!$H$2:$H$251,$A10,approvals!$B$2:$B$251,$B10,approvals!$P$2:$P$251,"Y",approvals!$U$2:$U$251,"&gt;0")=0),"Y",""))</f>
        <v/>
      </c>
    </row>
    <row r="11" customFormat="false" ht="15" hidden="false" customHeight="false" outlineLevel="0" collapsed="false">
      <c r="A11" s="0" t="s">
        <v>344</v>
      </c>
      <c r="B11" s="0" t="s">
        <v>681</v>
      </c>
      <c r="C11" s="0" t="n">
        <v>5</v>
      </c>
      <c r="D11" s="38" t="n">
        <v>0.388888888888889</v>
      </c>
      <c r="E11" s="11" t="n">
        <v>46422</v>
      </c>
      <c r="F11" s="11" t="n">
        <v>46426</v>
      </c>
      <c r="G11" s="11"/>
      <c r="I11" s="38" t="n">
        <v>0.389583333333333</v>
      </c>
      <c r="J11" s="38" t="n">
        <v>0.397916666666667</v>
      </c>
      <c r="K11" s="10" t="s">
        <v>755</v>
      </c>
      <c r="L11" s="10" t="s">
        <v>757</v>
      </c>
      <c r="N11" s="11" t="n">
        <v>46435</v>
      </c>
      <c r="O11" s="10" t="s">
        <v>496</v>
      </c>
      <c r="P11" s="31" t="n">
        <f aca="false">IF($A11="","",IF(IFERROR(IF(INDEX(drops!$I$2:$I$21,MATCH($A11,drops!$A$2:$A$21,0))="","",INDEX(drops!$I$2:$I$21,MATCH($A11,drops!$A$2:$A$21,0))),"")="OK",IFERROR(IF(INDEX(drops!$B$2:$B$21,MATCH($A11,drops!$A$2:$A$21,0))="","",INDEX(drops!$B$2:$B$21,MATCH($A11,drops!$A$2:$A$21,0))),""),""))</f>
        <v>46427</v>
      </c>
      <c r="Q11" s="30" t="str">
        <f aca="false">IF($B11="","",IFERROR(IF(INDEX(offices!$O$2:$O$61,MATCH($B11,offices!$A$2:$A$61,0))="","",INDEX(offices!$O$2:$O$61,MATCH($B11,offices!$A$2:$A$61,0))),""))</f>
        <v>SAMPLE Ferro Architecture</v>
      </c>
      <c r="R11" s="30" t="str">
        <f aca="false">IF($B11="","",IFERROR(IF(INDEX(offices!$P$2:$P$61,MATCH($B11,offices!$A$2:$A$61,0))="","",INDEX(offices!$P$2:$P$61,MATCH($B11,offices!$A$2:$A$61,0))),""))</f>
        <v>SAMPLE 120 Example Avenue</v>
      </c>
      <c r="S11" s="30" t="str">
        <f aca="false">IF($B11="","",IFERROR(IF(INDEX(offices!$Q$2:$Q$61,MATCH($B11,offices!$A$2:$A$61,0))="","",INDEX(offices!$Q$2:$Q$61,MATCH($B11,offices!$A$2:$A$61,0))),""))</f>
        <v>SAMPLE Floor 4</v>
      </c>
      <c r="T11" s="30" t="str">
        <f aca="false">IF($B11="","",IFERROR(IF(INDEX(offices!$Z$2:$Z$61,MATCH($B11,offices!$A$2:$A$61,0))="","",INDEX(offices!$Z$2:$Z$61,MATCH($B11,offices!$A$2:$A$61,0))),""))</f>
        <v>9 to 11 am</v>
      </c>
      <c r="U11" s="30" t="str">
        <f aca="false">IF($B11="","",IFERROR(IF(INDEX(offices!$Y$2:$Y$61,MATCH($B11,offices!$A$2:$A$61,0))="","",INDEX(offices!$Y$2:$Y$61,MATCH($B11,offices!$A$2:$A$61,0))),""))</f>
        <v>front desk</v>
      </c>
      <c r="V11" s="30" t="str">
        <f aca="false">IF($B11="","",IFERROR(IF(INDEX(offices!$V$2:$V$61,MATCH($B11,offices!$A$2:$A$61,0))="","",INDEX(offices!$V$2:$V$61,MATCH($B11,offices!$A$2:$A$61,0))),""))</f>
        <v>SAMPLE Owner 002</v>
      </c>
      <c r="W11" s="30" t="str">
        <f aca="false">IF($B11="","",IFERROR(IF(INDEX(offices!$AJ$2:$AJ$61,MATCH($B11,offices!$A$2:$A$61,0))="","",INDEX(offices!$AJ$2:$AJ$61,MATCH($B11,offices!$A$2:$A$61,0))),""))</f>
        <v>SAMPLE (212) 555-0102</v>
      </c>
      <c r="X11" s="30" t="str">
        <f aca="false">IF($B11="","",IFERROR(IF(INDEX(offices!$G$2:$G$61,MATCH($B11,offices!$A$2:$A$61,0))="","",INDEX(offices!$G$2:$G$61,MATCH($B11,offices!$A$2:$A$61,0))),""))</f>
        <v>Y</v>
      </c>
      <c r="Y11" s="30" t="str">
        <f aca="false">IF($B11="","",IFERROR(IF(INDEX(offices!$I$2:$I$61,MATCH($B11,offices!$A$2:$A$61,0))="","",INDEX(offices!$I$2:$I$61,MATCH($B11,offices!$A$2:$A$61,0))),""))</f>
        <v>not_needed</v>
      </c>
      <c r="Z11" s="30" t="n">
        <f aca="false">IF($A11="","",COUNTIFS(approvals!$H$2:$H$251,$A11,approvals!$B$2:$B$251,$B11,approvals!$P$2:$P$251,"Y"))</f>
        <v>3</v>
      </c>
      <c r="AA11" s="30" t="n">
        <f aca="false">IF($A11="","",SUMIFS(approvals!$S$2:$S$251,approvals!$H$2:$H$251,$A11,approvals!$B$2:$B$251,$B11,approvals!$P$2:$P$251,"Y"))</f>
        <v>117</v>
      </c>
      <c r="AB11" s="30" t="str">
        <f aca="false">IF(OR($A11="",$P11=""),"",IF(COUNTIFS(stops!$B$2:$B$151,$B11,stops!$P$2:$P$151,"&lt;"&amp;$P11,stops!$L$2:$L$151,"&lt;&gt;not_delivered")=0,"Y","N"))</f>
        <v>N</v>
      </c>
      <c r="AC11" s="30" t="n">
        <f aca="false">IF(OR($I11="",$J11=""),"",ROUND(($J11-$I11)*1440,0))</f>
        <v>12</v>
      </c>
      <c r="AD11" s="30" t="str">
        <f aca="true">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30" t="str">
        <f aca="false">IF($B11="","",IFERROR(IF(INDEX(offices!$H$2:$H$61,MATCH($B11,offices!$A$2:$A$61,0))="","",INDEX(offices!$H$2:$H$61,MATCH($B11,offices!$A$2:$A$61,0))),""))</f>
        <v>SAMPLE front desk calls up; owner meets you in the lobby</v>
      </c>
      <c r="AF11" s="30" t="str">
        <f aca="false">IF($A11="","",IF(AND($L11="declined",N($Z11)&gt;0,COUNTIFS(approvals!$H$2:$H$251,$A11,approvals!$B$2:$B$251,$B11,approvals!$P$2:$P$251,"Y",approvals!$U$2:$U$251,"&gt;0")=0),"Y",""))</f>
        <v/>
      </c>
    </row>
    <row r="12" customFormat="false" ht="15" hidden="false" customHeight="false" outlineLevel="0" collapsed="false">
      <c r="A12" s="0" t="s">
        <v>344</v>
      </c>
      <c r="B12" s="0" t="s">
        <v>692</v>
      </c>
      <c r="C12" s="0" t="n">
        <v>6</v>
      </c>
      <c r="D12" s="38" t="n">
        <v>0.401388888888889</v>
      </c>
      <c r="E12" s="11" t="n">
        <v>46422</v>
      </c>
      <c r="F12" s="11" t="n">
        <v>46426</v>
      </c>
      <c r="G12" s="11"/>
      <c r="I12" s="38" t="n">
        <v>0.402083333333333</v>
      </c>
      <c r="J12" s="38" t="n">
        <v>0.410416666666667</v>
      </c>
      <c r="K12" s="10" t="s">
        <v>755</v>
      </c>
      <c r="L12" s="10" t="s">
        <v>757</v>
      </c>
      <c r="N12" s="11" t="n">
        <v>46435</v>
      </c>
      <c r="O12" s="10" t="s">
        <v>496</v>
      </c>
      <c r="P12" s="31" t="n">
        <f aca="false">IF($A12="","",IF(IFERROR(IF(INDEX(drops!$I$2:$I$21,MATCH($A12,drops!$A$2:$A$21,0))="","",INDEX(drops!$I$2:$I$21,MATCH($A12,drops!$A$2:$A$21,0))),"")="OK",IFERROR(IF(INDEX(drops!$B$2:$B$21,MATCH($A12,drops!$A$2:$A$21,0))="","",INDEX(drops!$B$2:$B$21,MATCH($A12,drops!$A$2:$A$21,0))),""),""))</f>
        <v>46427</v>
      </c>
      <c r="Q12" s="30" t="str">
        <f aca="false">IF($B12="","",IFERROR(IF(INDEX(offices!$O$2:$O$61,MATCH($B12,offices!$A$2:$A$61,0))="","",INDEX(offices!$O$2:$O$61,MATCH($B12,offices!$A$2:$A$61,0))),""))</f>
        <v>SAMPLE Brine &amp; Bell PR</v>
      </c>
      <c r="R12" s="30" t="str">
        <f aca="false">IF($B12="","",IFERROR(IF(INDEX(offices!$P$2:$P$61,MATCH($B12,offices!$A$2:$A$61,0))="","",INDEX(offices!$P$2:$P$61,MATCH($B12,offices!$A$2:$A$61,0))),""))</f>
        <v>SAMPLE 170 Example Avenue</v>
      </c>
      <c r="S12" s="30" t="str">
        <f aca="false">IF($B12="","",IFERROR(IF(INDEX(offices!$Q$2:$Q$61,MATCH($B12,offices!$A$2:$A$61,0))="","",INDEX(offices!$Q$2:$Q$61,MATCH($B12,offices!$A$2:$A$61,0))),""))</f>
        <v>SAMPLE Floor 9</v>
      </c>
      <c r="T12" s="30" t="str">
        <f aca="false">IF($B12="","",IFERROR(IF(INDEX(offices!$Z$2:$Z$61,MATCH($B12,offices!$A$2:$A$61,0))="","",INDEX(offices!$Z$2:$Z$61,MATCH($B12,offices!$A$2:$A$61,0))),""))</f>
        <v>9 to 11 am</v>
      </c>
      <c r="U12" s="30" t="str">
        <f aca="false">IF($B12="","",IFERROR(IF(INDEX(offices!$Y$2:$Y$61,MATCH($B12,offices!$A$2:$A$61,0))="","",INDEX(offices!$Y$2:$Y$61,MATCH($B12,offices!$A$2:$A$61,0))),""))</f>
        <v>front desk</v>
      </c>
      <c r="V12" s="30" t="str">
        <f aca="false">IF($B12="","",IFERROR(IF(INDEX(offices!$V$2:$V$61,MATCH($B12,offices!$A$2:$A$61,0))="","",INDEX(offices!$V$2:$V$61,MATCH($B12,offices!$A$2:$A$61,0))),""))</f>
        <v>SAMPLE Owner 007</v>
      </c>
      <c r="W12" s="30" t="str">
        <f aca="false">IF($B12="","",IFERROR(IF(INDEX(offices!$AJ$2:$AJ$61,MATCH($B12,offices!$A$2:$A$61,0))="","",INDEX(offices!$AJ$2:$AJ$61,MATCH($B12,offices!$A$2:$A$61,0))),""))</f>
        <v>SAMPLE (212) 555-0107</v>
      </c>
      <c r="X12" s="30" t="str">
        <f aca="false">IF($B12="","",IFERROR(IF(INDEX(offices!$G$2:$G$61,MATCH($B12,offices!$A$2:$A$61,0))="","",INDEX(offices!$G$2:$G$61,MATCH($B12,offices!$A$2:$A$61,0))),""))</f>
        <v>Y</v>
      </c>
      <c r="Y12" s="30" t="str">
        <f aca="false">IF($B12="","",IFERROR(IF(INDEX(offices!$I$2:$I$61,MATCH($B12,offices!$A$2:$A$61,0))="","",INDEX(offices!$I$2:$I$61,MATCH($B12,offices!$A$2:$A$61,0))),""))</f>
        <v>not_needed</v>
      </c>
      <c r="Z12" s="30" t="n">
        <f aca="false">IF($A12="","",COUNTIFS(approvals!$H$2:$H$251,$A12,approvals!$B$2:$B$251,$B12,approvals!$P$2:$P$251,"Y"))</f>
        <v>2</v>
      </c>
      <c r="AA12" s="30" t="n">
        <f aca="false">IF($A12="","",SUMIFS(approvals!$S$2:$S$251,approvals!$H$2:$H$251,$A12,approvals!$B$2:$B$251,$B12,approvals!$P$2:$P$251,"Y"))</f>
        <v>117</v>
      </c>
      <c r="AB12" s="30" t="str">
        <f aca="false">IF(OR($A12="",$P12=""),"",IF(COUNTIFS(stops!$B$2:$B$151,$B12,stops!$P$2:$P$151,"&lt;"&amp;$P12,stops!$L$2:$L$151,"&lt;&gt;not_delivered")=0,"Y","N"))</f>
        <v>Y</v>
      </c>
      <c r="AC12" s="30" t="n">
        <f aca="false">IF(OR($I12="",$J12=""),"",ROUND(($J12-$I12)*1440,0))</f>
        <v>12</v>
      </c>
      <c r="AD12" s="30" t="str">
        <f aca="true">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30" t="str">
        <f aca="false">IF($B12="","",IFERROR(IF(INDEX(offices!$H$2:$H$61,MATCH($B12,offices!$A$2:$A$61,0))="","",INDEX(offices!$H$2:$H$61,MATCH($B12,offices!$A$2:$A$61,0))),""))</f>
        <v>SAMPLE desk sends you up to 11; pantry at the end of the hall</v>
      </c>
      <c r="AF12" s="30" t="str">
        <f aca="false">IF($A12="","",IF(AND($L12="declined",N($Z12)&gt;0,COUNTIFS(approvals!$H$2:$H$251,$A12,approvals!$B$2:$B$251,$B12,approvals!$P$2:$P$251,"Y",approvals!$U$2:$U$251,"&gt;0")=0),"Y",""))</f>
        <v/>
      </c>
    </row>
    <row r="13" customFormat="false" ht="15" hidden="false" customHeight="false" outlineLevel="0" collapsed="false">
      <c r="A13" s="0" t="s">
        <v>344</v>
      </c>
      <c r="B13" s="0" t="s">
        <v>694</v>
      </c>
      <c r="C13" s="0" t="n">
        <v>7</v>
      </c>
      <c r="D13" s="38" t="n">
        <v>0.415277777777778</v>
      </c>
      <c r="E13" s="11" t="n">
        <v>46422</v>
      </c>
      <c r="F13" s="11" t="n">
        <v>46426</v>
      </c>
      <c r="G13" s="11"/>
      <c r="I13" s="38" t="n">
        <v>0.415972222222222</v>
      </c>
      <c r="J13" s="38" t="n">
        <v>0.424305555555556</v>
      </c>
      <c r="K13" s="10" t="s">
        <v>755</v>
      </c>
      <c r="L13" s="10" t="s">
        <v>757</v>
      </c>
      <c r="N13" s="11" t="n">
        <v>46435</v>
      </c>
      <c r="O13" s="10" t="s">
        <v>496</v>
      </c>
      <c r="P13" s="31" t="n">
        <f aca="false">IF($A13="","",IF(IFERROR(IF(INDEX(drops!$I$2:$I$21,MATCH($A13,drops!$A$2:$A$21,0))="","",INDEX(drops!$I$2:$I$21,MATCH($A13,drops!$A$2:$A$21,0))),"")="OK",IFERROR(IF(INDEX(drops!$B$2:$B$21,MATCH($A13,drops!$A$2:$A$21,0))="","",INDEX(drops!$B$2:$B$21,MATCH($A13,drops!$A$2:$A$21,0))),""),""))</f>
        <v>46427</v>
      </c>
      <c r="Q13" s="30" t="str">
        <f aca="false">IF($B13="","",IFERROR(IF(INDEX(offices!$O$2:$O$61,MATCH($B13,offices!$A$2:$A$61,0))="","",INDEX(offices!$O$2:$O$61,MATCH($B13,offices!$A$2:$A$61,0))),""))</f>
        <v>SAMPLE Larch Legal</v>
      </c>
      <c r="R13" s="30" t="str">
        <f aca="false">IF($B13="","",IFERROR(IF(INDEX(offices!$P$2:$P$61,MATCH($B13,offices!$A$2:$A$61,0))="","",INDEX(offices!$P$2:$P$61,MATCH($B13,offices!$A$2:$A$61,0))),""))</f>
        <v>SAMPLE 180 Example Avenue</v>
      </c>
      <c r="S13" s="30" t="str">
        <f aca="false">IF($B13="","",IFERROR(IF(INDEX(offices!$Q$2:$Q$61,MATCH($B13,offices!$A$2:$A$61,0))="","",INDEX(offices!$Q$2:$Q$61,MATCH($B13,offices!$A$2:$A$61,0))),""))</f>
        <v>SAMPLE Floor 10</v>
      </c>
      <c r="T13" s="30" t="str">
        <f aca="false">IF($B13="","",IFERROR(IF(INDEX(offices!$Z$2:$Z$61,MATCH($B13,offices!$A$2:$A$61,0))="","",INDEX(offices!$Z$2:$Z$61,MATCH($B13,offices!$A$2:$A$61,0))),""))</f>
        <v>9 to 11 am</v>
      </c>
      <c r="U13" s="30" t="str">
        <f aca="false">IF($B13="","",IFERROR(IF(INDEX(offices!$Y$2:$Y$61,MATCH($B13,offices!$A$2:$A$61,0))="","",INDEX(offices!$Y$2:$Y$61,MATCH($B13,offices!$A$2:$A$61,0))),""))</f>
        <v>front desk</v>
      </c>
      <c r="V13" s="30" t="str">
        <f aca="false">IF($B13="","",IFERROR(IF(INDEX(offices!$V$2:$V$61,MATCH($B13,offices!$A$2:$A$61,0))="","",INDEX(offices!$V$2:$V$61,MATCH($B13,offices!$A$2:$A$61,0))),""))</f>
        <v>SAMPLE Owner 008</v>
      </c>
      <c r="W13" s="30" t="str">
        <f aca="false">IF($B13="","",IFERROR(IF(INDEX(offices!$AJ$2:$AJ$61,MATCH($B13,offices!$A$2:$A$61,0))="","",INDEX(offices!$AJ$2:$AJ$61,MATCH($B13,offices!$A$2:$A$61,0))),""))</f>
        <v>SAMPLE (212) 555-0108</v>
      </c>
      <c r="X13" s="30" t="str">
        <f aca="false">IF($B13="","",IFERROR(IF(INDEX(offices!$G$2:$G$61,MATCH($B13,offices!$A$2:$A$61,0))="","",INDEX(offices!$G$2:$G$61,MATCH($B13,offices!$A$2:$A$61,0))),""))</f>
        <v>Y</v>
      </c>
      <c r="Y13" s="30" t="str">
        <f aca="false">IF($B13="","",IFERROR(IF(INDEX(offices!$I$2:$I$61,MATCH($B13,offices!$A$2:$A$61,0))="","",INDEX(offices!$I$2:$I$61,MATCH($B13,offices!$A$2:$A$61,0))),""))</f>
        <v>received</v>
      </c>
      <c r="Z13" s="30" t="n">
        <f aca="false">IF($A13="","",COUNTIFS(approvals!$H$2:$H$251,$A13,approvals!$B$2:$B$251,$B13,approvals!$P$2:$P$251,"Y"))</f>
        <v>3</v>
      </c>
      <c r="AA13" s="30" t="n">
        <f aca="false">IF($A13="","",SUMIFS(approvals!$S$2:$S$251,approvals!$H$2:$H$251,$A13,approvals!$B$2:$B$251,$B13,approvals!$P$2:$P$251,"Y"))</f>
        <v>132</v>
      </c>
      <c r="AB13" s="30" t="str">
        <f aca="false">IF(OR($A13="",$P13=""),"",IF(COUNTIFS(stops!$B$2:$B$151,$B13,stops!$P$2:$P$151,"&lt;"&amp;$P13,stops!$L$2:$L$151,"&lt;&gt;not_delivered")=0,"Y","N"))</f>
        <v>Y</v>
      </c>
      <c r="AC13" s="30" t="n">
        <f aca="false">IF(OR($I13="",$J13=""),"",ROUND(($J13-$I13)*1440,0))</f>
        <v>12</v>
      </c>
      <c r="AD13" s="30" t="str">
        <f aca="true">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30" t="str">
        <f aca="false">IF($B13="","",IFERROR(IF(INDEX(offices!$H$2:$H$61,MATCH($B13,offices!$A$2:$A$61,0))="","",INDEX(offices!$H$2:$H$61,MATCH($B13,offices!$A$2:$A$61,0))),""))</f>
        <v>SAMPLE certificate required at the desk; 6th floor</v>
      </c>
      <c r="AF13" s="30" t="str">
        <f aca="false">IF($A13="","",IF(AND($L13="declined",N($Z13)&gt;0,COUNTIFS(approvals!$H$2:$H$251,$A13,approvals!$B$2:$B$251,$B13,approvals!$P$2:$P$251,"Y",approvals!$U$2:$U$251,"&gt;0")=0),"Y",""))</f>
        <v/>
      </c>
    </row>
    <row r="14" customFormat="false" ht="15" hidden="false" customHeight="false" outlineLevel="0" collapsed="false">
      <c r="A14" s="0" t="s">
        <v>344</v>
      </c>
      <c r="B14" s="0" t="s">
        <v>686</v>
      </c>
      <c r="C14" s="0" t="n">
        <v>8</v>
      </c>
      <c r="D14" s="38" t="n">
        <v>0.429166666666667</v>
      </c>
      <c r="E14" s="11" t="n">
        <v>46422</v>
      </c>
      <c r="F14" s="11" t="n">
        <v>46426</v>
      </c>
      <c r="G14" s="11"/>
      <c r="I14" s="38" t="n">
        <v>0.429861111111111</v>
      </c>
      <c r="J14" s="38" t="n">
        <v>0.438194444444444</v>
      </c>
      <c r="K14" s="10" t="s">
        <v>755</v>
      </c>
      <c r="L14" s="10" t="s">
        <v>757</v>
      </c>
      <c r="N14" s="11" t="n">
        <v>46435</v>
      </c>
      <c r="O14" s="10" t="s">
        <v>496</v>
      </c>
      <c r="P14" s="31" t="n">
        <f aca="false">IF($A14="","",IF(IFERROR(IF(INDEX(drops!$I$2:$I$21,MATCH($A14,drops!$A$2:$A$21,0))="","",INDEX(drops!$I$2:$I$21,MATCH($A14,drops!$A$2:$A$21,0))),"")="OK",IFERROR(IF(INDEX(drops!$B$2:$B$21,MATCH($A14,drops!$A$2:$A$21,0))="","",INDEX(drops!$B$2:$B$21,MATCH($A14,drops!$A$2:$A$21,0))),""),""))</f>
        <v>46427</v>
      </c>
      <c r="Q14" s="30" t="str">
        <f aca="false">IF($B14="","",IFERROR(IF(INDEX(offices!$O$2:$O$61,MATCH($B14,offices!$A$2:$A$61,0))="","",INDEX(offices!$O$2:$O$61,MATCH($B14,offices!$A$2:$A$61,0))),""))</f>
        <v>SAMPLE Union Food Fund</v>
      </c>
      <c r="R14" s="30" t="str">
        <f aca="false">IF($B14="","",IFERROR(IF(INDEX(offices!$P$2:$P$61,MATCH($B14,offices!$A$2:$A$61,0))="","",INDEX(offices!$P$2:$P$61,MATCH($B14,offices!$A$2:$A$61,0))),""))</f>
        <v>SAMPLE 140 Example Avenue</v>
      </c>
      <c r="S14" s="30" t="str">
        <f aca="false">IF($B14="","",IFERROR(IF(INDEX(offices!$Q$2:$Q$61,MATCH($B14,offices!$A$2:$A$61,0))="","",INDEX(offices!$Q$2:$Q$61,MATCH($B14,offices!$A$2:$A$61,0))),""))</f>
        <v>SAMPLE Floor 6</v>
      </c>
      <c r="T14" s="30" t="str">
        <f aca="false">IF($B14="","",IFERROR(IF(INDEX(offices!$Z$2:$Z$61,MATCH($B14,offices!$A$2:$A$61,0))="","",INDEX(offices!$Z$2:$Z$61,MATCH($B14,offices!$A$2:$A$61,0))),""))</f>
        <v>10 am to noon</v>
      </c>
      <c r="U14" s="30" t="str">
        <f aca="false">IF($B14="","",IFERROR(IF(INDEX(offices!$Y$2:$Y$61,MATCH($B14,offices!$A$2:$A$61,0))="","",INDEX(offices!$Y$2:$Y$61,MATCH($B14,offices!$A$2:$A$61,0))),""))</f>
        <v>loading dock</v>
      </c>
      <c r="V14" s="30" t="str">
        <f aca="false">IF($B14="","",IFERROR(IF(INDEX(offices!$V$2:$V$61,MATCH($B14,offices!$A$2:$A$61,0))="","",INDEX(offices!$V$2:$V$61,MATCH($B14,offices!$A$2:$A$61,0))),""))</f>
        <v>SAMPLE Owner 004</v>
      </c>
      <c r="W14" s="30" t="str">
        <f aca="false">IF($B14="","",IFERROR(IF(INDEX(offices!$AJ$2:$AJ$61,MATCH($B14,offices!$A$2:$A$61,0))="","",INDEX(offices!$AJ$2:$AJ$61,MATCH($B14,offices!$A$2:$A$61,0))),""))</f>
        <v>SAMPLE (212) 555-0104</v>
      </c>
      <c r="X14" s="30" t="str">
        <f aca="false">IF($B14="","",IFERROR(IF(INDEX(offices!$G$2:$G$61,MATCH($B14,offices!$A$2:$A$61,0))="","",INDEX(offices!$G$2:$G$61,MATCH($B14,offices!$A$2:$A$61,0))),""))</f>
        <v>Y</v>
      </c>
      <c r="Y14" s="30" t="str">
        <f aca="false">IF($B14="","",IFERROR(IF(INDEX(offices!$I$2:$I$61,MATCH($B14,offices!$A$2:$A$61,0))="","",INDEX(offices!$I$2:$I$61,MATCH($B14,offices!$A$2:$A$61,0))),""))</f>
        <v>not_needed</v>
      </c>
      <c r="Z14" s="30" t="n">
        <f aca="false">IF($A14="","",COUNTIFS(approvals!$H$2:$H$251,$A14,approvals!$B$2:$B$251,$B14,approvals!$P$2:$P$251,"Y"))</f>
        <v>3</v>
      </c>
      <c r="AA14" s="30" t="n">
        <f aca="false">IF($A14="","",SUMIFS(approvals!$S$2:$S$251,approvals!$H$2:$H$251,$A14,approvals!$B$2:$B$251,$B14,approvals!$P$2:$P$251,"Y"))</f>
        <v>147</v>
      </c>
      <c r="AB14" s="30" t="str">
        <f aca="false">IF(OR($A14="",$P14=""),"",IF(COUNTIFS(stops!$B$2:$B$151,$B14,stops!$P$2:$P$151,"&lt;"&amp;$P14,stops!$L$2:$L$151,"&lt;&gt;not_delivered")=0,"Y","N"))</f>
        <v>N</v>
      </c>
      <c r="AC14" s="30" t="n">
        <f aca="false">IF(OR($I14="",$J14=""),"",ROUND(($J14-$I14)*1440,0))</f>
        <v>12</v>
      </c>
      <c r="AD14" s="30" t="str">
        <f aca="true">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30" t="str">
        <f aca="false">IF($B14="","",IFERROR(IF(INDEX(offices!$H$2:$H$61,MATCH($B14,offices!$A$2:$A$61,0))="","",INDEX(offices!$H$2:$H$61,MATCH($B14,offices!$A$2:$A$61,0))),""))</f>
        <v>SAMPLE loading dock on the side street; mailroom signs, owner collects</v>
      </c>
      <c r="AF14" s="30" t="str">
        <f aca="false">IF($A14="","",IF(AND($L14="declined",N($Z14)&gt;0,COUNTIFS(approvals!$H$2:$H$251,$A14,approvals!$B$2:$B$251,$B14,approvals!$P$2:$P$251,"Y",approvals!$U$2:$U$251,"&gt;0")=0),"Y",""))</f>
        <v/>
      </c>
    </row>
    <row r="15" customFormat="false" ht="15" hidden="false" customHeight="false" outlineLevel="0" collapsed="false">
      <c r="A15" s="0" t="s">
        <v>344</v>
      </c>
      <c r="B15" s="0" t="s">
        <v>688</v>
      </c>
      <c r="C15" s="0" t="n">
        <v>9</v>
      </c>
      <c r="D15" s="38" t="n">
        <v>0.444444444444444</v>
      </c>
      <c r="E15" s="11" t="n">
        <v>46422</v>
      </c>
      <c r="F15" s="11" t="n">
        <v>46426</v>
      </c>
      <c r="G15" s="11"/>
      <c r="I15" s="38" t="n">
        <v>0.445138888888889</v>
      </c>
      <c r="J15" s="38" t="n">
        <v>0.453472222222222</v>
      </c>
      <c r="K15" s="10" t="s">
        <v>755</v>
      </c>
      <c r="L15" s="10" t="s">
        <v>757</v>
      </c>
      <c r="N15" s="11" t="n">
        <v>46435</v>
      </c>
      <c r="O15" s="10" t="s">
        <v>496</v>
      </c>
      <c r="P15" s="31" t="n">
        <f aca="false">IF($A15="","",IF(IFERROR(IF(INDEX(drops!$I$2:$I$21,MATCH($A15,drops!$A$2:$A$21,0))="","",INDEX(drops!$I$2:$I$21,MATCH($A15,drops!$A$2:$A$21,0))),"")="OK",IFERROR(IF(INDEX(drops!$B$2:$B$21,MATCH($A15,drops!$A$2:$A$21,0))="","",INDEX(drops!$B$2:$B$21,MATCH($A15,drops!$A$2:$A$21,0))),""),""))</f>
        <v>46427</v>
      </c>
      <c r="Q15" s="30" t="str">
        <f aca="false">IF($B15="","",IFERROR(IF(INDEX(offices!$O$2:$O$61,MATCH($B15,offices!$A$2:$A$61,0))="","",INDEX(offices!$O$2:$O$61,MATCH($B15,offices!$A$2:$A$61,0))),""))</f>
        <v>SAMPLE Studio Marlow</v>
      </c>
      <c r="R15" s="30" t="str">
        <f aca="false">IF($B15="","",IFERROR(IF(INDEX(offices!$P$2:$P$61,MATCH($B15,offices!$A$2:$A$61,0))="","",INDEX(offices!$P$2:$P$61,MATCH($B15,offices!$A$2:$A$61,0))),""))</f>
        <v>SAMPLE 150 Example Avenue</v>
      </c>
      <c r="S15" s="30" t="str">
        <f aca="false">IF($B15="","",IFERROR(IF(INDEX(offices!$Q$2:$Q$61,MATCH($B15,offices!$A$2:$A$61,0))="","",INDEX(offices!$Q$2:$Q$61,MATCH($B15,offices!$A$2:$A$61,0))),""))</f>
        <v>SAMPLE Floor 7</v>
      </c>
      <c r="T15" s="30" t="str">
        <f aca="false">IF($B15="","",IFERROR(IF(INDEX(offices!$Z$2:$Z$61,MATCH($B15,offices!$A$2:$A$61,0))="","",INDEX(offices!$Z$2:$Z$61,MATCH($B15,offices!$A$2:$A$61,0))),""))</f>
        <v>10 am to noon</v>
      </c>
      <c r="U15" s="30" t="str">
        <f aca="false">IF($B15="","",IFERROR(IF(INDEX(offices!$Y$2:$Y$61,MATCH($B15,offices!$A$2:$A$61,0))="","",INDEX(offices!$Y$2:$Y$61,MATCH($B15,offices!$A$2:$A$61,0))),""))</f>
        <v>front desk</v>
      </c>
      <c r="V15" s="30" t="str">
        <f aca="false">IF($B15="","",IFERROR(IF(INDEX(offices!$V$2:$V$61,MATCH($B15,offices!$A$2:$A$61,0))="","",INDEX(offices!$V$2:$V$61,MATCH($B15,offices!$A$2:$A$61,0))),""))</f>
        <v>SAMPLE Owner 005</v>
      </c>
      <c r="W15" s="30" t="str">
        <f aca="false">IF($B15="","",IFERROR(IF(INDEX(offices!$AJ$2:$AJ$61,MATCH($B15,offices!$A$2:$A$61,0))="","",INDEX(offices!$AJ$2:$AJ$61,MATCH($B15,offices!$A$2:$A$61,0))),""))</f>
        <v>SAMPLE (212) 555-0105</v>
      </c>
      <c r="X15" s="30" t="str">
        <f aca="false">IF($B15="","",IFERROR(IF(INDEX(offices!$G$2:$G$61,MATCH($B15,offices!$A$2:$A$61,0))="","",INDEX(offices!$G$2:$G$61,MATCH($B15,offices!$A$2:$A$61,0))),""))</f>
        <v>Y</v>
      </c>
      <c r="Y15" s="30" t="str">
        <f aca="false">IF($B15="","",IFERROR(IF(INDEX(offices!$I$2:$I$61,MATCH($B15,offices!$A$2:$A$61,0))="","",INDEX(offices!$I$2:$I$61,MATCH($B15,offices!$A$2:$A$61,0))),""))</f>
        <v>received</v>
      </c>
      <c r="Z15" s="30" t="n">
        <f aca="false">IF($A15="","",COUNTIFS(approvals!$H$2:$H$251,$A15,approvals!$B$2:$B$251,$B15,approvals!$P$2:$P$251,"Y"))</f>
        <v>3</v>
      </c>
      <c r="AA15" s="30" t="n">
        <f aca="false">IF($A15="","",SUMIFS(approvals!$S$2:$S$251,approvals!$H$2:$H$251,$A15,approvals!$B$2:$B$251,$B15,approvals!$P$2:$P$251,"Y"))</f>
        <v>207</v>
      </c>
      <c r="AB15" s="30" t="str">
        <f aca="false">IF(OR($A15="",$P15=""),"",IF(COUNTIFS(stops!$B$2:$B$151,$B15,stops!$P$2:$P$151,"&lt;"&amp;$P15,stops!$L$2:$L$151,"&lt;&gt;not_delivered")=0,"Y","N"))</f>
        <v>N</v>
      </c>
      <c r="AC15" s="30" t="n">
        <f aca="false">IF(OR($I15="",$J15=""),"",ROUND(($J15-$I15)*1440,0))</f>
        <v>12</v>
      </c>
      <c r="AD15" s="30" t="str">
        <f aca="true">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30" t="str">
        <f aca="false">IF($B15="","",IFERROR(IF(INDEX(offices!$H$2:$H$61,MATCH($B15,offices!$A$2:$A$61,0))="","",INDEX(offices!$H$2:$H$61,MATCH($B15,offices!$A$2:$A$61,0))),""))</f>
        <v>SAMPLE show the certificate at the desk; 9th floor kitchen</v>
      </c>
      <c r="AF15" s="30" t="str">
        <f aca="false">IF($A15="","",IF(AND($L15="declined",N($Z15)&gt;0,COUNTIFS(approvals!$H$2:$H$251,$A15,approvals!$B$2:$B$251,$B15,approvals!$P$2:$P$251,"Y",approvals!$U$2:$U$251,"&gt;0")=0),"Y",""))</f>
        <v/>
      </c>
    </row>
    <row r="16" customFormat="false" ht="15" hidden="false" customHeight="false" outlineLevel="0" collapsed="false">
      <c r="A16" s="0" t="s">
        <v>344</v>
      </c>
      <c r="B16" s="0" t="s">
        <v>696</v>
      </c>
      <c r="C16" s="0" t="n">
        <v>10</v>
      </c>
      <c r="D16" s="38" t="n">
        <v>0.459722222222222</v>
      </c>
      <c r="E16" s="11" t="n">
        <v>46422</v>
      </c>
      <c r="F16" s="11" t="n">
        <v>46426</v>
      </c>
      <c r="G16" s="11"/>
      <c r="I16" s="38" t="n">
        <v>0.460416666666667</v>
      </c>
      <c r="J16" s="38" t="n">
        <v>0.46875</v>
      </c>
      <c r="K16" s="10" t="s">
        <v>761</v>
      </c>
      <c r="L16" s="10" t="s">
        <v>762</v>
      </c>
      <c r="M16" s="10" t="s">
        <v>763</v>
      </c>
      <c r="N16" s="11" t="n">
        <v>46435</v>
      </c>
      <c r="O16" s="10" t="s">
        <v>496</v>
      </c>
      <c r="P16" s="31" t="n">
        <f aca="false">IF($A16="","",IF(IFERROR(IF(INDEX(drops!$I$2:$I$21,MATCH($A16,drops!$A$2:$A$21,0))="","",INDEX(drops!$I$2:$I$21,MATCH($A16,drops!$A$2:$A$21,0))),"")="OK",IFERROR(IF(INDEX(drops!$B$2:$B$21,MATCH($A16,drops!$A$2:$A$21,0))="","",INDEX(drops!$B$2:$B$21,MATCH($A16,drops!$A$2:$A$21,0))),""),""))</f>
        <v>46427</v>
      </c>
      <c r="Q16" s="30" t="str">
        <f aca="false">IF($B16="","",IFERROR(IF(INDEX(offices!$O$2:$O$61,MATCH($B16,offices!$A$2:$A$61,0))="","",INDEX(offices!$O$2:$O$61,MATCH($B16,offices!$A$2:$A$61,0))),""))</f>
        <v>SAMPLE Overlook Games</v>
      </c>
      <c r="R16" s="30" t="str">
        <f aca="false">IF($B16="","",IFERROR(IF(INDEX(offices!$P$2:$P$61,MATCH($B16,offices!$A$2:$A$61,0))="","",INDEX(offices!$P$2:$P$61,MATCH($B16,offices!$A$2:$A$61,0))),""))</f>
        <v>SAMPLE 190 Example Avenue</v>
      </c>
      <c r="S16" s="30" t="str">
        <f aca="false">IF($B16="","",IFERROR(IF(INDEX(offices!$Q$2:$Q$61,MATCH($B16,offices!$A$2:$A$61,0))="","",INDEX(offices!$Q$2:$Q$61,MATCH($B16,offices!$A$2:$A$61,0))),""))</f>
        <v>SAMPLE Floor 2</v>
      </c>
      <c r="T16" s="30" t="str">
        <f aca="false">IF($B16="","",IFERROR(IF(INDEX(offices!$Z$2:$Z$61,MATCH($B16,offices!$A$2:$A$61,0))="","",INDEX(offices!$Z$2:$Z$61,MATCH($B16,offices!$A$2:$A$61,0))),""))</f>
        <v>10 am to noon</v>
      </c>
      <c r="U16" s="30" t="str">
        <f aca="false">IF($B16="","",IFERROR(IF(INDEX(offices!$Y$2:$Y$61,MATCH($B16,offices!$A$2:$A$61,0))="","",INDEX(offices!$Y$2:$Y$61,MATCH($B16,offices!$A$2:$A$61,0))),""))</f>
        <v>front desk</v>
      </c>
      <c r="V16" s="30" t="str">
        <f aca="false">IF($B16="","",IFERROR(IF(INDEX(offices!$V$2:$V$61,MATCH($B16,offices!$A$2:$A$61,0))="","",INDEX(offices!$V$2:$V$61,MATCH($B16,offices!$A$2:$A$61,0))),""))</f>
        <v>SAMPLE Owner 009</v>
      </c>
      <c r="W16" s="30" t="str">
        <f aca="false">IF($B16="","",IFERROR(IF(INDEX(offices!$AJ$2:$AJ$61,MATCH($B16,offices!$A$2:$A$61,0))="","",INDEX(offices!$AJ$2:$AJ$61,MATCH($B16,offices!$A$2:$A$61,0))),""))</f>
        <v>SAMPLE (212) 555-0109</v>
      </c>
      <c r="X16" s="30" t="str">
        <f aca="false">IF($B16="","",IFERROR(IF(INDEX(offices!$G$2:$G$61,MATCH($B16,offices!$A$2:$A$61,0))="","",INDEX(offices!$G$2:$G$61,MATCH($B16,offices!$A$2:$A$61,0))),""))</f>
        <v>N</v>
      </c>
      <c r="Y16" s="30" t="str">
        <f aca="false">IF($B16="","",IFERROR(IF(INDEX(offices!$I$2:$I$61,MATCH($B16,offices!$A$2:$A$61,0))="","",INDEX(offices!$I$2:$I$61,MATCH($B16,offices!$A$2:$A$61,0))),""))</f>
        <v>not_needed</v>
      </c>
      <c r="Z16" s="30" t="n">
        <f aca="false">IF($A16="","",COUNTIFS(approvals!$H$2:$H$251,$A16,approvals!$B$2:$B$251,$B16,approvals!$P$2:$P$251,"Y"))</f>
        <v>3</v>
      </c>
      <c r="AA16" s="30" t="n">
        <f aca="false">IF($A16="","",SUMIFS(approvals!$S$2:$S$251,approvals!$H$2:$H$251,$A16,approvals!$B$2:$B$251,$B16,approvals!$P$2:$P$251,"Y"))</f>
        <v>222</v>
      </c>
      <c r="AB16" s="30" t="str">
        <f aca="false">IF(OR($A16="",$P16=""),"",IF(COUNTIFS(stops!$B$2:$B$151,$B16,stops!$P$2:$P$151,"&lt;"&amp;$P16,stops!$L$2:$L$151,"&lt;&gt;not_delivered")=0,"Y","N"))</f>
        <v>Y</v>
      </c>
      <c r="AC16" s="30" t="n">
        <f aca="false">IF(OR($I16="",$J16=""),"",ROUND(($J16-$I16)*1440,0))</f>
        <v>12</v>
      </c>
      <c r="AD16" s="30" t="str">
        <f aca="true">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info: front desk not agreed: the owner must take it; </v>
      </c>
      <c r="AE16" s="30" t="str">
        <f aca="false">IF($B16="","",IFERROR(IF(INDEX(offices!$H$2:$H$61,MATCH($B16,offices!$A$2:$A$61,0))="","",INDEX(offices!$H$2:$H$61,MATCH($B16,offices!$A$2:$A$61,0))),""))</f>
        <v>SAMPLE owner must take it; desk will not hold food</v>
      </c>
      <c r="AF16" s="30" t="str">
        <f aca="false">IF($A16="","",IF(AND($L16="declined",N($Z16)&gt;0,COUNTIFS(approvals!$H$2:$H$251,$A16,approvals!$B$2:$B$251,$B16,approvals!$P$2:$P$251,"Y",approvals!$U$2:$U$251,"&gt;0")=0),"Y",""))</f>
        <v/>
      </c>
    </row>
    <row r="17" customFormat="false" ht="15" hidden="false" customHeight="false" outlineLevel="0" collapsed="false">
      <c r="A17" s="0" t="s">
        <v>349</v>
      </c>
      <c r="B17" s="0" t="s">
        <v>678</v>
      </c>
      <c r="C17" s="0" t="n">
        <v>1</v>
      </c>
      <c r="D17" s="38" t="n">
        <v>0.336805555555556</v>
      </c>
      <c r="E17" s="11" t="n">
        <v>46436</v>
      </c>
      <c r="F17" s="11" t="n">
        <v>46440</v>
      </c>
      <c r="G17" s="11"/>
      <c r="I17" s="38" t="n">
        <v>0.3375</v>
      </c>
      <c r="J17" s="38" t="n">
        <v>0.345138888888889</v>
      </c>
      <c r="K17" s="10" t="s">
        <v>755</v>
      </c>
      <c r="L17" s="10" t="s">
        <v>757</v>
      </c>
      <c r="N17" s="11" t="n">
        <v>46450</v>
      </c>
      <c r="O17" s="10" t="s">
        <v>496</v>
      </c>
      <c r="P17" s="31" t="n">
        <f aca="false">IF($A17="","",IF(IFERROR(IF(INDEX(drops!$I$2:$I$21,MATCH($A17,drops!$A$2:$A$21,0))="","",INDEX(drops!$I$2:$I$21,MATCH($A17,drops!$A$2:$A$21,0))),"")="OK",IFERROR(IF(INDEX(drops!$B$2:$B$21,MATCH($A17,drops!$A$2:$A$21,0))="","",INDEX(drops!$B$2:$B$21,MATCH($A17,drops!$A$2:$A$21,0))),""),""))</f>
        <v>46441</v>
      </c>
      <c r="Q17" s="30" t="str">
        <f aca="false">IF($B17="","",IFERROR(IF(INDEX(offices!$O$2:$O$61,MATCH($B17,offices!$A$2:$A$61,0))="","",INDEX(offices!$O$2:$O$61,MATCH($B17,offices!$A$2:$A$61,0))),""))</f>
        <v>SAMPLE Northpoint Software</v>
      </c>
      <c r="R17" s="30" t="str">
        <f aca="false">IF($B17="","",IFERROR(IF(INDEX(offices!$P$2:$P$61,MATCH($B17,offices!$A$2:$A$61,0))="","",INDEX(offices!$P$2:$P$61,MATCH($B17,offices!$A$2:$A$61,0))),""))</f>
        <v>SAMPLE 110 Example Avenue</v>
      </c>
      <c r="S17" s="30" t="str">
        <f aca="false">IF($B17="","",IFERROR(IF(INDEX(offices!$Q$2:$Q$61,MATCH($B17,offices!$A$2:$A$61,0))="","",INDEX(offices!$Q$2:$Q$61,MATCH($B17,offices!$A$2:$A$61,0))),""))</f>
        <v>SAMPLE Floor 3</v>
      </c>
      <c r="T17" s="30" t="str">
        <f aca="false">IF($B17="","",IFERROR(IF(INDEX(offices!$Z$2:$Z$61,MATCH($B17,offices!$A$2:$A$61,0))="","",INDEX(offices!$Z$2:$Z$61,MATCH($B17,offices!$A$2:$A$61,0))),""))</f>
        <v>8 to 10 am</v>
      </c>
      <c r="U17" s="30" t="str">
        <f aca="false">IF($B17="","",IFERROR(IF(INDEX(offices!$Y$2:$Y$61,MATCH($B17,offices!$A$2:$A$61,0))="","",INDEX(offices!$Y$2:$Y$61,MATCH($B17,offices!$A$2:$A$61,0))),""))</f>
        <v>walk-up</v>
      </c>
      <c r="V17" s="30" t="str">
        <f aca="false">IF($B17="","",IFERROR(IF(INDEX(offices!$V$2:$V$61,MATCH($B17,offices!$A$2:$A$61,0))="","",INDEX(offices!$V$2:$V$61,MATCH($B17,offices!$A$2:$A$61,0))),""))</f>
        <v>SAMPLE Owner 001</v>
      </c>
      <c r="W17" s="30" t="str">
        <f aca="false">IF($B17="","",IFERROR(IF(INDEX(offices!$AJ$2:$AJ$61,MATCH($B17,offices!$A$2:$A$61,0))="","",INDEX(offices!$AJ$2:$AJ$61,MATCH($B17,offices!$A$2:$A$61,0))),""))</f>
        <v>SAMPLE (212) 555-0101</v>
      </c>
      <c r="X17" s="30" t="str">
        <f aca="false">IF($B17="","",IFERROR(IF(INDEX(offices!$G$2:$G$61,MATCH($B17,offices!$A$2:$A$61,0))="","",INDEX(offices!$G$2:$G$61,MATCH($B17,offices!$A$2:$A$61,0))),""))</f>
        <v>N</v>
      </c>
      <c r="Y17" s="30" t="str">
        <f aca="false">IF($B17="","",IFERROR(IF(INDEX(offices!$I$2:$I$61,MATCH($B17,offices!$A$2:$A$61,0))="","",INDEX(offices!$I$2:$I$61,MATCH($B17,offices!$A$2:$A$61,0))),""))</f>
        <v>not_needed</v>
      </c>
      <c r="Z17" s="30" t="n">
        <f aca="false">IF($A17="","",COUNTIFS(approvals!$H$2:$H$251,$A17,approvals!$B$2:$B$251,$B17,approvals!$P$2:$P$251,"Y"))</f>
        <v>1</v>
      </c>
      <c r="AA17" s="30" t="n">
        <f aca="false">IF($A17="","",SUMIFS(approvals!$S$2:$S$251,approvals!$H$2:$H$251,$A17,approvals!$B$2:$B$251,$B17,approvals!$P$2:$P$251,"Y"))</f>
        <v>35</v>
      </c>
      <c r="AB17" s="30" t="str">
        <f aca="false">IF(OR($A17="",$P17=""),"",IF(COUNTIFS(stops!$B$2:$B$151,$B17,stops!$P$2:$P$151,"&lt;"&amp;$P17,stops!$L$2:$L$151,"&lt;&gt;not_delivered")=0,"Y","N"))</f>
        <v>N</v>
      </c>
      <c r="AC17" s="30" t="n">
        <f aca="false">IF(OR($I17="",$J17=""),"",ROUND(($J17-$I17)*1440,0))</f>
        <v>11</v>
      </c>
      <c r="AD17" s="30" t="str">
        <f aca="true">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30" t="str">
        <f aca="false">IF($B17="","",IFERROR(IF(INDEX(offices!$H$2:$H$61,MATCH($B17,offices!$A$2:$A$61,0))="","",INDEX(offices!$H$2:$H$61,MATCH($B17,offices!$A$2:$A$61,0))),""))</f>
        <v>SAMPLE 4th floor kitchen, left of the coffee machine</v>
      </c>
      <c r="AF17" s="30" t="str">
        <f aca="false">IF($A17="","",IF(AND($L17="declined",N($Z17)&gt;0,COUNTIFS(approvals!$H$2:$H$251,$A17,approvals!$B$2:$B$251,$B17,approvals!$P$2:$P$251,"Y",approvals!$U$2:$U$251,"&gt;0")=0),"Y",""))</f>
        <v/>
      </c>
    </row>
    <row r="18" customFormat="false" ht="15" hidden="false" customHeight="false" outlineLevel="0" collapsed="false">
      <c r="A18" s="0" t="s">
        <v>349</v>
      </c>
      <c r="B18" s="0" t="s">
        <v>690</v>
      </c>
      <c r="C18" s="0" t="n">
        <v>2</v>
      </c>
      <c r="D18" s="38" t="n">
        <v>0.348611111111111</v>
      </c>
      <c r="E18" s="11" t="n">
        <v>46436</v>
      </c>
      <c r="F18" s="11" t="n">
        <v>46440</v>
      </c>
      <c r="G18" s="11"/>
      <c r="I18" s="38" t="n">
        <v>0.349305555555556</v>
      </c>
      <c r="J18" s="38" t="n">
        <v>0.356944444444445</v>
      </c>
      <c r="K18" s="10" t="s">
        <v>755</v>
      </c>
      <c r="L18" s="10" t="s">
        <v>764</v>
      </c>
      <c r="M18" s="10" t="s">
        <v>765</v>
      </c>
      <c r="N18" s="11" t="n">
        <v>46450</v>
      </c>
      <c r="O18" s="10" t="s">
        <v>145</v>
      </c>
      <c r="P18" s="31" t="n">
        <f aca="false">IF($A18="","",IF(IFERROR(IF(INDEX(drops!$I$2:$I$21,MATCH($A18,drops!$A$2:$A$21,0))="","",INDEX(drops!$I$2:$I$21,MATCH($A18,drops!$A$2:$A$21,0))),"")="OK",IFERROR(IF(INDEX(drops!$B$2:$B$21,MATCH($A18,drops!$A$2:$A$21,0))="","",INDEX(drops!$B$2:$B$21,MATCH($A18,drops!$A$2:$A$21,0))),""),""))</f>
        <v>46441</v>
      </c>
      <c r="Q18" s="30" t="str">
        <f aca="false">IF($B18="","",IFERROR(IF(INDEX(offices!$O$2:$O$61,MATCH($B18,offices!$A$2:$A$61,0))="","",INDEX(offices!$O$2:$O$61,MATCH($B18,offices!$A$2:$A$61,0))),""))</f>
        <v>SAMPLE Kestrel Analytics</v>
      </c>
      <c r="R18" s="30" t="str">
        <f aca="false">IF($B18="","",IFERROR(IF(INDEX(offices!$P$2:$P$61,MATCH($B18,offices!$A$2:$A$61,0))="","",INDEX(offices!$P$2:$P$61,MATCH($B18,offices!$A$2:$A$61,0))),""))</f>
        <v>SAMPLE 160 Example Avenue</v>
      </c>
      <c r="S18" s="30" t="str">
        <f aca="false">IF($B18="","",IFERROR(IF(INDEX(offices!$Q$2:$Q$61,MATCH($B18,offices!$A$2:$A$61,0))="","",INDEX(offices!$Q$2:$Q$61,MATCH($B18,offices!$A$2:$A$61,0))),""))</f>
        <v>SAMPLE Floor 8</v>
      </c>
      <c r="T18" s="30" t="str">
        <f aca="false">IF($B18="","",IFERROR(IF(INDEX(offices!$Z$2:$Z$61,MATCH($B18,offices!$A$2:$A$61,0))="","",INDEX(offices!$Z$2:$Z$61,MATCH($B18,offices!$A$2:$A$61,0))),""))</f>
        <v>8 to 10 am</v>
      </c>
      <c r="U18" s="30" t="str">
        <f aca="false">IF($B18="","",IFERROR(IF(INDEX(offices!$Y$2:$Y$61,MATCH($B18,offices!$A$2:$A$61,0))="","",INDEX(offices!$Y$2:$Y$61,MATCH($B18,offices!$A$2:$A$61,0))),""))</f>
        <v>walk-up</v>
      </c>
      <c r="V18" s="30" t="str">
        <f aca="false">IF($B18="","",IFERROR(IF(INDEX(offices!$V$2:$V$61,MATCH($B18,offices!$A$2:$A$61,0))="","",INDEX(offices!$V$2:$V$61,MATCH($B18,offices!$A$2:$A$61,0))),""))</f>
        <v>SAMPLE Owner 006</v>
      </c>
      <c r="W18" s="30" t="str">
        <f aca="false">IF($B18="","",IFERROR(IF(INDEX(offices!$AJ$2:$AJ$61,MATCH($B18,offices!$A$2:$A$61,0))="","",INDEX(offices!$AJ$2:$AJ$61,MATCH($B18,offices!$A$2:$A$61,0))),""))</f>
        <v>SAMPLE (212) 555-0106</v>
      </c>
      <c r="X18" s="30" t="str">
        <f aca="false">IF($B18="","",IFERROR(IF(INDEX(offices!$G$2:$G$61,MATCH($B18,offices!$A$2:$A$61,0))="","",INDEX(offices!$G$2:$G$61,MATCH($B18,offices!$A$2:$A$61,0))),""))</f>
        <v>N</v>
      </c>
      <c r="Y18" s="30" t="str">
        <f aca="false">IF($B18="","",IFERROR(IF(INDEX(offices!$I$2:$I$61,MATCH($B18,offices!$A$2:$A$61,0))="","",INDEX(offices!$I$2:$I$61,MATCH($B18,offices!$A$2:$A$61,0))),""))</f>
        <v>not_needed</v>
      </c>
      <c r="Z18" s="30" t="n">
        <f aca="false">IF($A18="","",COUNTIFS(approvals!$H$2:$H$251,$A18,approvals!$B$2:$B$251,$B18,approvals!$P$2:$P$251,"Y"))</f>
        <v>1</v>
      </c>
      <c r="AA18" s="30" t="n">
        <f aca="false">IF($A18="","",SUMIFS(approvals!$S$2:$S$251,approvals!$H$2:$H$251,$A18,approvals!$B$2:$B$251,$B18,approvals!$P$2:$P$251,"Y"))</f>
        <v>40</v>
      </c>
      <c r="AB18" s="30" t="str">
        <f aca="false">IF(OR($A18="",$P18=""),"",IF(COUNTIFS(stops!$B$2:$B$151,$B18,stops!$P$2:$P$151,"&lt;"&amp;$P18,stops!$L$2:$L$151,"&lt;&gt;not_delivered")=0,"Y","N"))</f>
        <v>N</v>
      </c>
      <c r="AC18" s="30" t="n">
        <f aca="false">IF(OR($I18="",$J18=""),"",ROUND(($J18-$I18)*1440,0))</f>
        <v>11</v>
      </c>
      <c r="AD18" s="30" t="str">
        <f aca="true">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30" t="str">
        <f aca="false">IF($B18="","",IFERROR(IF(INDEX(offices!$H$2:$H$61,MATCH($B18,offices!$A$2:$A$61,0))="","",INDEX(offices!$H$2:$H$61,MATCH($B18,offices!$A$2:$A$61,0))),""))</f>
        <v>SAMPLE 3rd floor, ring the bell</v>
      </c>
      <c r="AF18" s="30" t="str">
        <f aca="false">IF($A18="","",IF(AND($L18="declined",N($Z18)&gt;0,COUNTIFS(approvals!$H$2:$H$251,$A18,approvals!$B$2:$B$251,$B18,approvals!$P$2:$P$251,"Y",approvals!$U$2:$U$251,"&gt;0")=0),"Y",""))</f>
        <v>Y</v>
      </c>
    </row>
    <row r="19" customFormat="false" ht="15" hidden="false" customHeight="false" outlineLevel="0" collapsed="false">
      <c r="A19" s="0" t="s">
        <v>349</v>
      </c>
      <c r="B19" s="0" t="s">
        <v>698</v>
      </c>
      <c r="C19" s="0" t="n">
        <v>3</v>
      </c>
      <c r="D19" s="38" t="n">
        <v>0.361111111111111</v>
      </c>
      <c r="E19" s="11" t="n">
        <v>46436</v>
      </c>
      <c r="F19" s="11" t="n">
        <v>46440</v>
      </c>
      <c r="G19" s="11"/>
      <c r="I19" s="38" t="n">
        <v>0.361805555555556</v>
      </c>
      <c r="J19" s="38" t="n">
        <v>0.369444444444445</v>
      </c>
      <c r="K19" s="10" t="s">
        <v>755</v>
      </c>
      <c r="L19" s="10" t="s">
        <v>757</v>
      </c>
      <c r="N19" s="11" t="n">
        <v>46450</v>
      </c>
      <c r="O19" s="10" t="s">
        <v>496</v>
      </c>
      <c r="P19" s="31" t="n">
        <f aca="false">IF($A19="","",IF(IFERROR(IF(INDEX(drops!$I$2:$I$21,MATCH($A19,drops!$A$2:$A$21,0))="","",INDEX(drops!$I$2:$I$21,MATCH($A19,drops!$A$2:$A$21,0))),"")="OK",IFERROR(IF(INDEX(drops!$B$2:$B$21,MATCH($A19,drops!$A$2:$A$21,0))="","",INDEX(drops!$B$2:$B$21,MATCH($A19,drops!$A$2:$A$21,0))),""),""))</f>
        <v>46441</v>
      </c>
      <c r="Q19" s="30" t="str">
        <f aca="false">IF($B19="","",IFERROR(IF(INDEX(offices!$O$2:$O$61,MATCH($B19,offices!$A$2:$A$61,0))="","",INDEX(offices!$O$2:$O$61,MATCH($B19,offices!$A$2:$A$61,0))),""))</f>
        <v>SAMPLE Quill Nonprofit Press</v>
      </c>
      <c r="R19" s="30" t="str">
        <f aca="false">IF($B19="","",IFERROR(IF(INDEX(offices!$P$2:$P$61,MATCH($B19,offices!$A$2:$A$61,0))="","",INDEX(offices!$P$2:$P$61,MATCH($B19,offices!$A$2:$A$61,0))),""))</f>
        <v>SAMPLE 200 Example Avenue</v>
      </c>
      <c r="S19" s="30" t="str">
        <f aca="false">IF($B19="","",IFERROR(IF(INDEX(offices!$Q$2:$Q$61,MATCH($B19,offices!$A$2:$A$61,0))="","",INDEX(offices!$Q$2:$Q$61,MATCH($B19,offices!$A$2:$A$61,0))),""))</f>
        <v>SAMPLE Floor 3</v>
      </c>
      <c r="T19" s="30" t="str">
        <f aca="false">IF($B19="","",IFERROR(IF(INDEX(offices!$Z$2:$Z$61,MATCH($B19,offices!$A$2:$A$61,0))="","",INDEX(offices!$Z$2:$Z$61,MATCH($B19,offices!$A$2:$A$61,0))),""))</f>
        <v>8 to 10 am</v>
      </c>
      <c r="U19" s="30" t="str">
        <f aca="false">IF($B19="","",IFERROR(IF(INDEX(offices!$Y$2:$Y$61,MATCH($B19,offices!$A$2:$A$61,0))="","",INDEX(offices!$Y$2:$Y$61,MATCH($B19,offices!$A$2:$A$61,0))),""))</f>
        <v>walk-up</v>
      </c>
      <c r="V19" s="30" t="str">
        <f aca="false">IF($B19="","",IFERROR(IF(INDEX(offices!$V$2:$V$61,MATCH($B19,offices!$A$2:$A$61,0))="","",INDEX(offices!$V$2:$V$61,MATCH($B19,offices!$A$2:$A$61,0))),""))</f>
        <v>SAMPLE Owner 010</v>
      </c>
      <c r="W19" s="30" t="str">
        <f aca="false">IF($B19="","",IFERROR(IF(INDEX(offices!$AJ$2:$AJ$61,MATCH($B19,offices!$A$2:$A$61,0))="","",INDEX(offices!$AJ$2:$AJ$61,MATCH($B19,offices!$A$2:$A$61,0))),""))</f>
        <v>SAMPLE (212) 555-0110</v>
      </c>
      <c r="X19" s="30" t="str">
        <f aca="false">IF($B19="","",IFERROR(IF(INDEX(offices!$G$2:$G$61,MATCH($B19,offices!$A$2:$A$61,0))="","",INDEX(offices!$G$2:$G$61,MATCH($B19,offices!$A$2:$A$61,0))),""))</f>
        <v>N</v>
      </c>
      <c r="Y19" s="30" t="str">
        <f aca="false">IF($B19="","",IFERROR(IF(INDEX(offices!$I$2:$I$61,MATCH($B19,offices!$A$2:$A$61,0))="","",INDEX(offices!$I$2:$I$61,MATCH($B19,offices!$A$2:$A$61,0))),""))</f>
        <v>not_needed</v>
      </c>
      <c r="Z19" s="30" t="n">
        <f aca="false">IF($A19="","",COUNTIFS(approvals!$H$2:$H$251,$A19,approvals!$B$2:$B$251,$B19,approvals!$P$2:$P$251,"Y"))</f>
        <v>1</v>
      </c>
      <c r="AA19" s="30" t="n">
        <f aca="false">IF($A19="","",SUMIFS(approvals!$S$2:$S$251,approvals!$H$2:$H$251,$A19,approvals!$B$2:$B$251,$B19,approvals!$P$2:$P$251,"Y"))</f>
        <v>35</v>
      </c>
      <c r="AB19" s="30" t="str">
        <f aca="false">IF(OR($A19="",$P19=""),"",IF(COUNTIFS(stops!$B$2:$B$151,$B19,stops!$P$2:$P$151,"&lt;"&amp;$P19,stops!$L$2:$L$151,"&lt;&gt;not_delivered")=0,"Y","N"))</f>
        <v>N</v>
      </c>
      <c r="AC19" s="30" t="n">
        <f aca="false">IF(OR($I19="",$J19=""),"",ROUND(($J19-$I19)*1440,0))</f>
        <v>11</v>
      </c>
      <c r="AD19" s="30" t="str">
        <f aca="true">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30" t="str">
        <f aca="false">IF($B19="","",IFERROR(IF(INDEX(offices!$H$2:$H$61,MATCH($B19,offices!$A$2:$A$61,0))="","",INDEX(offices!$H$2:$H$61,MATCH($B19,offices!$A$2:$A$61,0))),""))</f>
        <v>SAMPLE walk-up, 2nd floor, kitchen on the right</v>
      </c>
      <c r="AF19" s="30" t="str">
        <f aca="false">IF($A19="","",IF(AND($L19="declined",N($Z19)&gt;0,COUNTIFS(approvals!$H$2:$H$251,$A19,approvals!$B$2:$B$251,$B19,approvals!$P$2:$P$251,"Y",approvals!$U$2:$U$251,"&gt;0")=0),"Y",""))</f>
        <v/>
      </c>
    </row>
    <row r="20" customFormat="false" ht="15" hidden="false" customHeight="false" outlineLevel="0" collapsed="false">
      <c r="A20" s="0" t="s">
        <v>349</v>
      </c>
      <c r="B20" s="0" t="s">
        <v>683</v>
      </c>
      <c r="C20" s="0" t="n">
        <v>4</v>
      </c>
      <c r="D20" s="38" t="n">
        <v>0.376388888888889</v>
      </c>
      <c r="E20" s="11" t="n">
        <v>46436</v>
      </c>
      <c r="F20" s="11" t="n">
        <v>46440</v>
      </c>
      <c r="G20" s="11"/>
      <c r="I20" s="38" t="n">
        <v>0.377083333333333</v>
      </c>
      <c r="J20" s="38" t="n">
        <v>0.384722222222222</v>
      </c>
      <c r="K20" s="10" t="s">
        <v>755</v>
      </c>
      <c r="L20" s="10" t="s">
        <v>757</v>
      </c>
      <c r="N20" s="11" t="n">
        <v>46450</v>
      </c>
      <c r="O20" s="10" t="s">
        <v>496</v>
      </c>
      <c r="P20" s="31" t="n">
        <f aca="false">IF($A20="","",IF(IFERROR(IF(INDEX(drops!$I$2:$I$21,MATCH($A20,drops!$A$2:$A$21,0))="","",INDEX(drops!$I$2:$I$21,MATCH($A20,drops!$A$2:$A$21,0))),"")="OK",IFERROR(IF(INDEX(drops!$B$2:$B$21,MATCH($A20,drops!$A$2:$A$21,0))="","",INDEX(drops!$B$2:$B$21,MATCH($A20,drops!$A$2:$A$21,0))),""),""))</f>
        <v>46441</v>
      </c>
      <c r="Q20" s="30" t="str">
        <f aca="false">IF($B20="","",IFERROR(IF(INDEX(offices!$O$2:$O$61,MATCH($B20,offices!$A$2:$A$61,0))="","",INDEX(offices!$O$2:$O$61,MATCH($B20,offices!$A$2:$A$61,0))),""))</f>
        <v>SAMPLE Halcyon Media</v>
      </c>
      <c r="R20" s="30" t="str">
        <f aca="false">IF($B20="","",IFERROR(IF(INDEX(offices!$P$2:$P$61,MATCH($B20,offices!$A$2:$A$61,0))="","",INDEX(offices!$P$2:$P$61,MATCH($B20,offices!$A$2:$A$61,0))),""))</f>
        <v>SAMPLE 130 Example Avenue</v>
      </c>
      <c r="S20" s="30" t="str">
        <f aca="false">IF($B20="","",IFERROR(IF(INDEX(offices!$Q$2:$Q$61,MATCH($B20,offices!$A$2:$A$61,0))="","",INDEX(offices!$Q$2:$Q$61,MATCH($B20,offices!$A$2:$A$61,0))),""))</f>
        <v>SAMPLE Floor 5</v>
      </c>
      <c r="T20" s="30" t="str">
        <f aca="false">IF($B20="","",IFERROR(IF(INDEX(offices!$Z$2:$Z$61,MATCH($B20,offices!$A$2:$A$61,0))="","",INDEX(offices!$Z$2:$Z$61,MATCH($B20,offices!$A$2:$A$61,0))),""))</f>
        <v>9 to 11 am</v>
      </c>
      <c r="U20" s="30" t="str">
        <f aca="false">IF($B20="","",IFERROR(IF(INDEX(offices!$Y$2:$Y$61,MATCH($B20,offices!$A$2:$A$61,0))="","",INDEX(offices!$Y$2:$Y$61,MATCH($B20,offices!$A$2:$A$61,0))),""))</f>
        <v>walk-up</v>
      </c>
      <c r="V20" s="30" t="str">
        <f aca="false">IF($B20="","",IFERROR(IF(INDEX(offices!$V$2:$V$61,MATCH($B20,offices!$A$2:$A$61,0))="","",INDEX(offices!$V$2:$V$61,MATCH($B20,offices!$A$2:$A$61,0))),""))</f>
        <v>SAMPLE Owner 003</v>
      </c>
      <c r="W20" s="30" t="str">
        <f aca="false">IF($B20="","",IFERROR(IF(INDEX(offices!$AJ$2:$AJ$61,MATCH($B20,offices!$A$2:$A$61,0))="","",INDEX(offices!$AJ$2:$AJ$61,MATCH($B20,offices!$A$2:$A$61,0))),""))</f>
        <v>SAMPLE (212) 555-0103</v>
      </c>
      <c r="X20" s="30" t="str">
        <f aca="false">IF($B20="","",IFERROR(IF(INDEX(offices!$G$2:$G$61,MATCH($B20,offices!$A$2:$A$61,0))="","",INDEX(offices!$G$2:$G$61,MATCH($B20,offices!$A$2:$A$61,0))),""))</f>
        <v>N</v>
      </c>
      <c r="Y20" s="30" t="str">
        <f aca="false">IF($B20="","",IFERROR(IF(INDEX(offices!$I$2:$I$61,MATCH($B20,offices!$A$2:$A$61,0))="","",INDEX(offices!$I$2:$I$61,MATCH($B20,offices!$A$2:$A$61,0))),""))</f>
        <v>received</v>
      </c>
      <c r="Z20" s="30" t="n">
        <f aca="false">IF($A20="","",COUNTIFS(approvals!$H$2:$H$251,$A20,approvals!$B$2:$B$251,$B20,approvals!$P$2:$P$251,"Y"))</f>
        <v>1</v>
      </c>
      <c r="AA20" s="30" t="n">
        <f aca="false">IF($A20="","",SUMIFS(approvals!$S$2:$S$251,approvals!$H$2:$H$251,$A20,approvals!$B$2:$B$251,$B20,approvals!$P$2:$P$251,"Y"))</f>
        <v>45</v>
      </c>
      <c r="AB20" s="30" t="str">
        <f aca="false">IF(OR($A20="",$P20=""),"",IF(COUNTIFS(stops!$B$2:$B$151,$B20,stops!$P$2:$P$151,"&lt;"&amp;$P20,stops!$L$2:$L$151,"&lt;&gt;not_delivered")=0,"Y","N"))</f>
        <v>N</v>
      </c>
      <c r="AC20" s="30" t="n">
        <f aca="false">IF(OR($I20="",$J20=""),"",ROUND(($J20-$I20)*1440,0))</f>
        <v>11</v>
      </c>
      <c r="AD20" s="30" t="str">
        <f aca="true">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30" t="str">
        <f aca="false">IF($B20="","",IFERROR(IF(INDEX(offices!$H$2:$H$61,MATCH($B20,offices!$A$2:$A$61,0))="","",INDEX(offices!$H$2:$H$61,MATCH($B20,offices!$A$2:$A$61,0))),""))</f>
        <v>SAMPLE 2nd floor pantry, shelf by the window</v>
      </c>
      <c r="AF20" s="30" t="str">
        <f aca="false">IF($A20="","",IF(AND($L20="declined",N($Z20)&gt;0,COUNTIFS(approvals!$H$2:$H$251,$A20,approvals!$B$2:$B$251,$B20,approvals!$P$2:$P$251,"Y",approvals!$U$2:$U$251,"&gt;0")=0),"Y",""))</f>
        <v/>
      </c>
    </row>
    <row r="21" customFormat="false" ht="15" hidden="false" customHeight="false" outlineLevel="0" collapsed="false">
      <c r="A21" s="0" t="s">
        <v>349</v>
      </c>
      <c r="B21" s="0" t="s">
        <v>681</v>
      </c>
      <c r="C21" s="0" t="n">
        <v>5</v>
      </c>
      <c r="D21" s="38" t="n">
        <v>0.388888888888889</v>
      </c>
      <c r="E21" s="11" t="n">
        <v>46436</v>
      </c>
      <c r="F21" s="11" t="n">
        <v>46440</v>
      </c>
      <c r="G21" s="11"/>
      <c r="I21" s="38" t="n">
        <v>0.389583333333333</v>
      </c>
      <c r="J21" s="38" t="n">
        <v>0.397222222222222</v>
      </c>
      <c r="K21" s="10" t="s">
        <v>755</v>
      </c>
      <c r="L21" s="10" t="s">
        <v>757</v>
      </c>
      <c r="N21" s="11" t="n">
        <v>46450</v>
      </c>
      <c r="O21" s="10" t="s">
        <v>496</v>
      </c>
      <c r="P21" s="31" t="n">
        <f aca="false">IF($A21="","",IF(IFERROR(IF(INDEX(drops!$I$2:$I$21,MATCH($A21,drops!$A$2:$A$21,0))="","",INDEX(drops!$I$2:$I$21,MATCH($A21,drops!$A$2:$A$21,0))),"")="OK",IFERROR(IF(INDEX(drops!$B$2:$B$21,MATCH($A21,drops!$A$2:$A$21,0))="","",INDEX(drops!$B$2:$B$21,MATCH($A21,drops!$A$2:$A$21,0))),""),""))</f>
        <v>46441</v>
      </c>
      <c r="Q21" s="30" t="str">
        <f aca="false">IF($B21="","",IFERROR(IF(INDEX(offices!$O$2:$O$61,MATCH($B21,offices!$A$2:$A$61,0))="","",INDEX(offices!$O$2:$O$61,MATCH($B21,offices!$A$2:$A$61,0))),""))</f>
        <v>SAMPLE Ferro Architecture</v>
      </c>
      <c r="R21" s="30" t="str">
        <f aca="false">IF($B21="","",IFERROR(IF(INDEX(offices!$P$2:$P$61,MATCH($B21,offices!$A$2:$A$61,0))="","",INDEX(offices!$P$2:$P$61,MATCH($B21,offices!$A$2:$A$61,0))),""))</f>
        <v>SAMPLE 120 Example Avenue</v>
      </c>
      <c r="S21" s="30" t="str">
        <f aca="false">IF($B21="","",IFERROR(IF(INDEX(offices!$Q$2:$Q$61,MATCH($B21,offices!$A$2:$A$61,0))="","",INDEX(offices!$Q$2:$Q$61,MATCH($B21,offices!$A$2:$A$61,0))),""))</f>
        <v>SAMPLE Floor 4</v>
      </c>
      <c r="T21" s="30" t="str">
        <f aca="false">IF($B21="","",IFERROR(IF(INDEX(offices!$Z$2:$Z$61,MATCH($B21,offices!$A$2:$A$61,0))="","",INDEX(offices!$Z$2:$Z$61,MATCH($B21,offices!$A$2:$A$61,0))),""))</f>
        <v>9 to 11 am</v>
      </c>
      <c r="U21" s="30" t="str">
        <f aca="false">IF($B21="","",IFERROR(IF(INDEX(offices!$Y$2:$Y$61,MATCH($B21,offices!$A$2:$A$61,0))="","",INDEX(offices!$Y$2:$Y$61,MATCH($B21,offices!$A$2:$A$61,0))),""))</f>
        <v>front desk</v>
      </c>
      <c r="V21" s="30" t="str">
        <f aca="false">IF($B21="","",IFERROR(IF(INDEX(offices!$V$2:$V$61,MATCH($B21,offices!$A$2:$A$61,0))="","",INDEX(offices!$V$2:$V$61,MATCH($B21,offices!$A$2:$A$61,0))),""))</f>
        <v>SAMPLE Owner 002</v>
      </c>
      <c r="W21" s="30" t="str">
        <f aca="false">IF($B21="","",IFERROR(IF(INDEX(offices!$AJ$2:$AJ$61,MATCH($B21,offices!$A$2:$A$61,0))="","",INDEX(offices!$AJ$2:$AJ$61,MATCH($B21,offices!$A$2:$A$61,0))),""))</f>
        <v>SAMPLE (212) 555-0102</v>
      </c>
      <c r="X21" s="30" t="str">
        <f aca="false">IF($B21="","",IFERROR(IF(INDEX(offices!$G$2:$G$61,MATCH($B21,offices!$A$2:$A$61,0))="","",INDEX(offices!$G$2:$G$61,MATCH($B21,offices!$A$2:$A$61,0))),""))</f>
        <v>Y</v>
      </c>
      <c r="Y21" s="30" t="str">
        <f aca="false">IF($B21="","",IFERROR(IF(INDEX(offices!$I$2:$I$61,MATCH($B21,offices!$A$2:$A$61,0))="","",INDEX(offices!$I$2:$I$61,MATCH($B21,offices!$A$2:$A$61,0))),""))</f>
        <v>not_needed</v>
      </c>
      <c r="Z21" s="30" t="n">
        <f aca="false">IF($A21="","",COUNTIFS(approvals!$H$2:$H$251,$A21,approvals!$B$2:$B$251,$B21,approvals!$P$2:$P$251,"Y"))</f>
        <v>1</v>
      </c>
      <c r="AA21" s="30" t="n">
        <f aca="false">IF($A21="","",SUMIFS(approvals!$S$2:$S$251,approvals!$H$2:$H$251,$A21,approvals!$B$2:$B$251,$B21,approvals!$P$2:$P$251,"Y"))</f>
        <v>35</v>
      </c>
      <c r="AB21" s="30" t="str">
        <f aca="false">IF(OR($A21="",$P21=""),"",IF(COUNTIFS(stops!$B$2:$B$151,$B21,stops!$P$2:$P$151,"&lt;"&amp;$P21,stops!$L$2:$L$151,"&lt;&gt;not_delivered")=0,"Y","N"))</f>
        <v>N</v>
      </c>
      <c r="AC21" s="30" t="n">
        <f aca="false">IF(OR($I21="",$J21=""),"",ROUND(($J21-$I21)*1440,0))</f>
        <v>11</v>
      </c>
      <c r="AD21" s="30" t="str">
        <f aca="true">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30" t="str">
        <f aca="false">IF($B21="","",IFERROR(IF(INDEX(offices!$H$2:$H$61,MATCH($B21,offices!$A$2:$A$61,0))="","",INDEX(offices!$H$2:$H$61,MATCH($B21,offices!$A$2:$A$61,0))),""))</f>
        <v>SAMPLE front desk calls up; owner meets you in the lobby</v>
      </c>
      <c r="AF21" s="30" t="str">
        <f aca="false">IF($A21="","",IF(AND($L21="declined",N($Z21)&gt;0,COUNTIFS(approvals!$H$2:$H$251,$A21,approvals!$B$2:$B$251,$B21,approvals!$P$2:$P$251,"Y",approvals!$U$2:$U$251,"&gt;0")=0),"Y",""))</f>
        <v/>
      </c>
    </row>
    <row r="22" customFormat="false" ht="15" hidden="false" customHeight="false" outlineLevel="0" collapsed="false">
      <c r="A22" s="0" t="s">
        <v>349</v>
      </c>
      <c r="B22" s="0" t="s">
        <v>692</v>
      </c>
      <c r="C22" s="0" t="n">
        <v>6</v>
      </c>
      <c r="D22" s="38" t="n">
        <v>0.401388888888889</v>
      </c>
      <c r="E22" s="11" t="n">
        <v>46436</v>
      </c>
      <c r="F22" s="11" t="n">
        <v>46440</v>
      </c>
      <c r="G22" s="11"/>
      <c r="I22" s="38" t="n">
        <v>0.402083333333333</v>
      </c>
      <c r="J22" s="38" t="n">
        <v>0.409722222222222</v>
      </c>
      <c r="K22" s="10" t="s">
        <v>755</v>
      </c>
      <c r="L22" s="10" t="s">
        <v>757</v>
      </c>
      <c r="N22" s="11" t="n">
        <v>46450</v>
      </c>
      <c r="O22" s="10" t="s">
        <v>496</v>
      </c>
      <c r="P22" s="31" t="n">
        <f aca="false">IF($A22="","",IF(IFERROR(IF(INDEX(drops!$I$2:$I$21,MATCH($A22,drops!$A$2:$A$21,0))="","",INDEX(drops!$I$2:$I$21,MATCH($A22,drops!$A$2:$A$21,0))),"")="OK",IFERROR(IF(INDEX(drops!$B$2:$B$21,MATCH($A22,drops!$A$2:$A$21,0))="","",INDEX(drops!$B$2:$B$21,MATCH($A22,drops!$A$2:$A$21,0))),""),""))</f>
        <v>46441</v>
      </c>
      <c r="Q22" s="30" t="str">
        <f aca="false">IF($B22="","",IFERROR(IF(INDEX(offices!$O$2:$O$61,MATCH($B22,offices!$A$2:$A$61,0))="","",INDEX(offices!$O$2:$O$61,MATCH($B22,offices!$A$2:$A$61,0))),""))</f>
        <v>SAMPLE Brine &amp; Bell PR</v>
      </c>
      <c r="R22" s="30" t="str">
        <f aca="false">IF($B22="","",IFERROR(IF(INDEX(offices!$P$2:$P$61,MATCH($B22,offices!$A$2:$A$61,0))="","",INDEX(offices!$P$2:$P$61,MATCH($B22,offices!$A$2:$A$61,0))),""))</f>
        <v>SAMPLE 170 Example Avenue</v>
      </c>
      <c r="S22" s="30" t="str">
        <f aca="false">IF($B22="","",IFERROR(IF(INDEX(offices!$Q$2:$Q$61,MATCH($B22,offices!$A$2:$A$61,0))="","",INDEX(offices!$Q$2:$Q$61,MATCH($B22,offices!$A$2:$A$61,0))),""))</f>
        <v>SAMPLE Floor 9</v>
      </c>
      <c r="T22" s="30" t="str">
        <f aca="false">IF($B22="","",IFERROR(IF(INDEX(offices!$Z$2:$Z$61,MATCH($B22,offices!$A$2:$A$61,0))="","",INDEX(offices!$Z$2:$Z$61,MATCH($B22,offices!$A$2:$A$61,0))),""))</f>
        <v>9 to 11 am</v>
      </c>
      <c r="U22" s="30" t="str">
        <f aca="false">IF($B22="","",IFERROR(IF(INDEX(offices!$Y$2:$Y$61,MATCH($B22,offices!$A$2:$A$61,0))="","",INDEX(offices!$Y$2:$Y$61,MATCH($B22,offices!$A$2:$A$61,0))),""))</f>
        <v>front desk</v>
      </c>
      <c r="V22" s="30" t="str">
        <f aca="false">IF($B22="","",IFERROR(IF(INDEX(offices!$V$2:$V$61,MATCH($B22,offices!$A$2:$A$61,0))="","",INDEX(offices!$V$2:$V$61,MATCH($B22,offices!$A$2:$A$61,0))),""))</f>
        <v>SAMPLE Owner 007</v>
      </c>
      <c r="W22" s="30" t="str">
        <f aca="false">IF($B22="","",IFERROR(IF(INDEX(offices!$AJ$2:$AJ$61,MATCH($B22,offices!$A$2:$A$61,0))="","",INDEX(offices!$AJ$2:$AJ$61,MATCH($B22,offices!$A$2:$A$61,0))),""))</f>
        <v>SAMPLE (212) 555-0107</v>
      </c>
      <c r="X22" s="30" t="str">
        <f aca="false">IF($B22="","",IFERROR(IF(INDEX(offices!$G$2:$G$61,MATCH($B22,offices!$A$2:$A$61,0))="","",INDEX(offices!$G$2:$G$61,MATCH($B22,offices!$A$2:$A$61,0))),""))</f>
        <v>Y</v>
      </c>
      <c r="Y22" s="30" t="str">
        <f aca="false">IF($B22="","",IFERROR(IF(INDEX(offices!$I$2:$I$61,MATCH($B22,offices!$A$2:$A$61,0))="","",INDEX(offices!$I$2:$I$61,MATCH($B22,offices!$A$2:$A$61,0))),""))</f>
        <v>not_needed</v>
      </c>
      <c r="Z22" s="30" t="n">
        <f aca="false">IF($A22="","",COUNTIFS(approvals!$H$2:$H$251,$A22,approvals!$B$2:$B$251,$B22,approvals!$P$2:$P$251,"Y"))</f>
        <v>1</v>
      </c>
      <c r="AA22" s="30" t="n">
        <f aca="false">IF($A22="","",SUMIFS(approvals!$S$2:$S$251,approvals!$H$2:$H$251,$A22,approvals!$B$2:$B$251,$B22,approvals!$P$2:$P$251,"Y"))</f>
        <v>55</v>
      </c>
      <c r="AB22" s="30" t="str">
        <f aca="false">IF(OR($A22="",$P22=""),"",IF(COUNTIFS(stops!$B$2:$B$151,$B22,stops!$P$2:$P$151,"&lt;"&amp;$P22,stops!$L$2:$L$151,"&lt;&gt;not_delivered")=0,"Y","N"))</f>
        <v>N</v>
      </c>
      <c r="AC22" s="30" t="n">
        <f aca="false">IF(OR($I22="",$J22=""),"",ROUND(($J22-$I22)*1440,0))</f>
        <v>11</v>
      </c>
      <c r="AD22" s="30" t="str">
        <f aca="true">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30" t="str">
        <f aca="false">IF($B22="","",IFERROR(IF(INDEX(offices!$H$2:$H$61,MATCH($B22,offices!$A$2:$A$61,0))="","",INDEX(offices!$H$2:$H$61,MATCH($B22,offices!$A$2:$A$61,0))),""))</f>
        <v>SAMPLE desk sends you up to 11; pantry at the end of the hall</v>
      </c>
      <c r="AF22" s="30" t="str">
        <f aca="false">IF($A22="","",IF(AND($L22="declined",N($Z22)&gt;0,COUNTIFS(approvals!$H$2:$H$251,$A22,approvals!$B$2:$B$251,$B22,approvals!$P$2:$P$251,"Y",approvals!$U$2:$U$251,"&gt;0")=0),"Y",""))</f>
        <v/>
      </c>
    </row>
    <row r="23" customFormat="false" ht="15" hidden="false" customHeight="false" outlineLevel="0" collapsed="false">
      <c r="A23" s="0" t="s">
        <v>349</v>
      </c>
      <c r="B23" s="0" t="s">
        <v>694</v>
      </c>
      <c r="C23" s="0" t="n">
        <v>7</v>
      </c>
      <c r="D23" s="38" t="n">
        <v>0.415277777777778</v>
      </c>
      <c r="E23" s="11" t="n">
        <v>46436</v>
      </c>
      <c r="F23" s="11" t="n">
        <v>46440</v>
      </c>
      <c r="G23" s="11"/>
      <c r="I23" s="38" t="n">
        <v>0.415972222222222</v>
      </c>
      <c r="J23" s="38" t="n">
        <v>0.423611111111111</v>
      </c>
      <c r="K23" s="10" t="s">
        <v>755</v>
      </c>
      <c r="L23" s="10" t="s">
        <v>757</v>
      </c>
      <c r="N23" s="11" t="n">
        <v>46450</v>
      </c>
      <c r="O23" s="10" t="s">
        <v>496</v>
      </c>
      <c r="P23" s="31" t="n">
        <f aca="false">IF($A23="","",IF(IFERROR(IF(INDEX(drops!$I$2:$I$21,MATCH($A23,drops!$A$2:$A$21,0))="","",INDEX(drops!$I$2:$I$21,MATCH($A23,drops!$A$2:$A$21,0))),"")="OK",IFERROR(IF(INDEX(drops!$B$2:$B$21,MATCH($A23,drops!$A$2:$A$21,0))="","",INDEX(drops!$B$2:$B$21,MATCH($A23,drops!$A$2:$A$21,0))),""),""))</f>
        <v>46441</v>
      </c>
      <c r="Q23" s="30" t="str">
        <f aca="false">IF($B23="","",IFERROR(IF(INDEX(offices!$O$2:$O$61,MATCH($B23,offices!$A$2:$A$61,0))="","",INDEX(offices!$O$2:$O$61,MATCH($B23,offices!$A$2:$A$61,0))),""))</f>
        <v>SAMPLE Larch Legal</v>
      </c>
      <c r="R23" s="30" t="str">
        <f aca="false">IF($B23="","",IFERROR(IF(INDEX(offices!$P$2:$P$61,MATCH($B23,offices!$A$2:$A$61,0))="","",INDEX(offices!$P$2:$P$61,MATCH($B23,offices!$A$2:$A$61,0))),""))</f>
        <v>SAMPLE 180 Example Avenue</v>
      </c>
      <c r="S23" s="30" t="str">
        <f aca="false">IF($B23="","",IFERROR(IF(INDEX(offices!$Q$2:$Q$61,MATCH($B23,offices!$A$2:$A$61,0))="","",INDEX(offices!$Q$2:$Q$61,MATCH($B23,offices!$A$2:$A$61,0))),""))</f>
        <v>SAMPLE Floor 10</v>
      </c>
      <c r="T23" s="30" t="str">
        <f aca="false">IF($B23="","",IFERROR(IF(INDEX(offices!$Z$2:$Z$61,MATCH($B23,offices!$A$2:$A$61,0))="","",INDEX(offices!$Z$2:$Z$61,MATCH($B23,offices!$A$2:$A$61,0))),""))</f>
        <v>9 to 11 am</v>
      </c>
      <c r="U23" s="30" t="str">
        <f aca="false">IF($B23="","",IFERROR(IF(INDEX(offices!$Y$2:$Y$61,MATCH($B23,offices!$A$2:$A$61,0))="","",INDEX(offices!$Y$2:$Y$61,MATCH($B23,offices!$A$2:$A$61,0))),""))</f>
        <v>front desk</v>
      </c>
      <c r="V23" s="30" t="str">
        <f aca="false">IF($B23="","",IFERROR(IF(INDEX(offices!$V$2:$V$61,MATCH($B23,offices!$A$2:$A$61,0))="","",INDEX(offices!$V$2:$V$61,MATCH($B23,offices!$A$2:$A$61,0))),""))</f>
        <v>SAMPLE Owner 008</v>
      </c>
      <c r="W23" s="30" t="str">
        <f aca="false">IF($B23="","",IFERROR(IF(INDEX(offices!$AJ$2:$AJ$61,MATCH($B23,offices!$A$2:$A$61,0))="","",INDEX(offices!$AJ$2:$AJ$61,MATCH($B23,offices!$A$2:$A$61,0))),""))</f>
        <v>SAMPLE (212) 555-0108</v>
      </c>
      <c r="X23" s="30" t="str">
        <f aca="false">IF($B23="","",IFERROR(IF(INDEX(offices!$G$2:$G$61,MATCH($B23,offices!$A$2:$A$61,0))="","",INDEX(offices!$G$2:$G$61,MATCH($B23,offices!$A$2:$A$61,0))),""))</f>
        <v>Y</v>
      </c>
      <c r="Y23" s="30" t="str">
        <f aca="false">IF($B23="","",IFERROR(IF(INDEX(offices!$I$2:$I$61,MATCH($B23,offices!$A$2:$A$61,0))="","",INDEX(offices!$I$2:$I$61,MATCH($B23,offices!$A$2:$A$61,0))),""))</f>
        <v>received</v>
      </c>
      <c r="Z23" s="30" t="n">
        <f aca="false">IF($A23="","",COUNTIFS(approvals!$H$2:$H$251,$A23,approvals!$B$2:$B$251,$B23,approvals!$P$2:$P$251,"Y"))</f>
        <v>1</v>
      </c>
      <c r="AA23" s="30" t="n">
        <f aca="false">IF($A23="","",SUMIFS(approvals!$S$2:$S$251,approvals!$H$2:$H$251,$A23,approvals!$B$2:$B$251,$B23,approvals!$P$2:$P$251,"Y"))</f>
        <v>40</v>
      </c>
      <c r="AB23" s="30" t="str">
        <f aca="false">IF(OR($A23="",$P23=""),"",IF(COUNTIFS(stops!$B$2:$B$151,$B23,stops!$P$2:$P$151,"&lt;"&amp;$P23,stops!$L$2:$L$151,"&lt;&gt;not_delivered")=0,"Y","N"))</f>
        <v>N</v>
      </c>
      <c r="AC23" s="30" t="n">
        <f aca="false">IF(OR($I23="",$J23=""),"",ROUND(($J23-$I23)*1440,0))</f>
        <v>11</v>
      </c>
      <c r="AD23" s="30" t="str">
        <f aca="true">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30" t="str">
        <f aca="false">IF($B23="","",IFERROR(IF(INDEX(offices!$H$2:$H$61,MATCH($B23,offices!$A$2:$A$61,0))="","",INDEX(offices!$H$2:$H$61,MATCH($B23,offices!$A$2:$A$61,0))),""))</f>
        <v>SAMPLE certificate required at the desk; 6th floor</v>
      </c>
      <c r="AF23" s="30" t="str">
        <f aca="false">IF($A23="","",IF(AND($L23="declined",N($Z23)&gt;0,COUNTIFS(approvals!$H$2:$H$251,$A23,approvals!$B$2:$B$251,$B23,approvals!$P$2:$P$251,"Y",approvals!$U$2:$U$251,"&gt;0")=0),"Y",""))</f>
        <v/>
      </c>
    </row>
    <row r="24" customFormat="false" ht="15" hidden="false" customHeight="false" outlineLevel="0" collapsed="false">
      <c r="A24" s="0" t="s">
        <v>349</v>
      </c>
      <c r="B24" s="0" t="s">
        <v>686</v>
      </c>
      <c r="C24" s="0" t="n">
        <v>8</v>
      </c>
      <c r="D24" s="38" t="n">
        <v>0.429166666666667</v>
      </c>
      <c r="E24" s="11" t="n">
        <v>46436</v>
      </c>
      <c r="F24" s="11" t="n">
        <v>46440</v>
      </c>
      <c r="G24" s="11"/>
      <c r="I24" s="38" t="n">
        <v>0.429861111111111</v>
      </c>
      <c r="J24" s="38" t="n">
        <v>0.4375</v>
      </c>
      <c r="K24" s="10" t="s">
        <v>755</v>
      </c>
      <c r="L24" s="10" t="s">
        <v>757</v>
      </c>
      <c r="N24" s="11" t="n">
        <v>46450</v>
      </c>
      <c r="O24" s="10" t="s">
        <v>496</v>
      </c>
      <c r="P24" s="31" t="n">
        <f aca="false">IF($A24="","",IF(IFERROR(IF(INDEX(drops!$I$2:$I$21,MATCH($A24,drops!$A$2:$A$21,0))="","",INDEX(drops!$I$2:$I$21,MATCH($A24,drops!$A$2:$A$21,0))),"")="OK",IFERROR(IF(INDEX(drops!$B$2:$B$21,MATCH($A24,drops!$A$2:$A$21,0))="","",INDEX(drops!$B$2:$B$21,MATCH($A24,drops!$A$2:$A$21,0))),""),""))</f>
        <v>46441</v>
      </c>
      <c r="Q24" s="30" t="str">
        <f aca="false">IF($B24="","",IFERROR(IF(INDEX(offices!$O$2:$O$61,MATCH($B24,offices!$A$2:$A$61,0))="","",INDEX(offices!$O$2:$O$61,MATCH($B24,offices!$A$2:$A$61,0))),""))</f>
        <v>SAMPLE Union Food Fund</v>
      </c>
      <c r="R24" s="30" t="str">
        <f aca="false">IF($B24="","",IFERROR(IF(INDEX(offices!$P$2:$P$61,MATCH($B24,offices!$A$2:$A$61,0))="","",INDEX(offices!$P$2:$P$61,MATCH($B24,offices!$A$2:$A$61,0))),""))</f>
        <v>SAMPLE 140 Example Avenue</v>
      </c>
      <c r="S24" s="30" t="str">
        <f aca="false">IF($B24="","",IFERROR(IF(INDEX(offices!$Q$2:$Q$61,MATCH($B24,offices!$A$2:$A$61,0))="","",INDEX(offices!$Q$2:$Q$61,MATCH($B24,offices!$A$2:$A$61,0))),""))</f>
        <v>SAMPLE Floor 6</v>
      </c>
      <c r="T24" s="30" t="str">
        <f aca="false">IF($B24="","",IFERROR(IF(INDEX(offices!$Z$2:$Z$61,MATCH($B24,offices!$A$2:$A$61,0))="","",INDEX(offices!$Z$2:$Z$61,MATCH($B24,offices!$A$2:$A$61,0))),""))</f>
        <v>10 am to noon</v>
      </c>
      <c r="U24" s="30" t="str">
        <f aca="false">IF($B24="","",IFERROR(IF(INDEX(offices!$Y$2:$Y$61,MATCH($B24,offices!$A$2:$A$61,0))="","",INDEX(offices!$Y$2:$Y$61,MATCH($B24,offices!$A$2:$A$61,0))),""))</f>
        <v>loading dock</v>
      </c>
      <c r="V24" s="30" t="str">
        <f aca="false">IF($B24="","",IFERROR(IF(INDEX(offices!$V$2:$V$61,MATCH($B24,offices!$A$2:$A$61,0))="","",INDEX(offices!$V$2:$V$61,MATCH($B24,offices!$A$2:$A$61,0))),""))</f>
        <v>SAMPLE Owner 004</v>
      </c>
      <c r="W24" s="30" t="str">
        <f aca="false">IF($B24="","",IFERROR(IF(INDEX(offices!$AJ$2:$AJ$61,MATCH($B24,offices!$A$2:$A$61,0))="","",INDEX(offices!$AJ$2:$AJ$61,MATCH($B24,offices!$A$2:$A$61,0))),""))</f>
        <v>SAMPLE (212) 555-0104</v>
      </c>
      <c r="X24" s="30" t="str">
        <f aca="false">IF($B24="","",IFERROR(IF(INDEX(offices!$G$2:$G$61,MATCH($B24,offices!$A$2:$A$61,0))="","",INDEX(offices!$G$2:$G$61,MATCH($B24,offices!$A$2:$A$61,0))),""))</f>
        <v>Y</v>
      </c>
      <c r="Y24" s="30" t="str">
        <f aca="false">IF($B24="","",IFERROR(IF(INDEX(offices!$I$2:$I$61,MATCH($B24,offices!$A$2:$A$61,0))="","",INDEX(offices!$I$2:$I$61,MATCH($B24,offices!$A$2:$A$61,0))),""))</f>
        <v>not_needed</v>
      </c>
      <c r="Z24" s="30" t="n">
        <f aca="false">IF($A24="","",COUNTIFS(approvals!$H$2:$H$251,$A24,approvals!$B$2:$B$251,$B24,approvals!$P$2:$P$251,"Y"))</f>
        <v>1</v>
      </c>
      <c r="AA24" s="30" t="n">
        <f aca="false">IF($A24="","",SUMIFS(approvals!$S$2:$S$251,approvals!$H$2:$H$251,$A24,approvals!$B$2:$B$251,$B24,approvals!$P$2:$P$251,"Y"))</f>
        <v>45</v>
      </c>
      <c r="AB24" s="30" t="str">
        <f aca="false">IF(OR($A24="",$P24=""),"",IF(COUNTIFS(stops!$B$2:$B$151,$B24,stops!$P$2:$P$151,"&lt;"&amp;$P24,stops!$L$2:$L$151,"&lt;&gt;not_delivered")=0,"Y","N"))</f>
        <v>N</v>
      </c>
      <c r="AC24" s="30" t="n">
        <f aca="false">IF(OR($I24="",$J24=""),"",ROUND(($J24-$I24)*1440,0))</f>
        <v>11</v>
      </c>
      <c r="AD24" s="30" t="str">
        <f aca="true">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30" t="str">
        <f aca="false">IF($B24="","",IFERROR(IF(INDEX(offices!$H$2:$H$61,MATCH($B24,offices!$A$2:$A$61,0))="","",INDEX(offices!$H$2:$H$61,MATCH($B24,offices!$A$2:$A$61,0))),""))</f>
        <v>SAMPLE loading dock on the side street; mailroom signs, owner collects</v>
      </c>
      <c r="AF24" s="30" t="str">
        <f aca="false">IF($A24="","",IF(AND($L24="declined",N($Z24)&gt;0,COUNTIFS(approvals!$H$2:$H$251,$A24,approvals!$B$2:$B$251,$B24,approvals!$P$2:$P$251,"Y",approvals!$U$2:$U$251,"&gt;0")=0),"Y",""))</f>
        <v/>
      </c>
    </row>
    <row r="25" customFormat="false" ht="15" hidden="false" customHeight="false" outlineLevel="0" collapsed="false">
      <c r="A25" s="0" t="s">
        <v>349</v>
      </c>
      <c r="B25" s="0" t="s">
        <v>688</v>
      </c>
      <c r="C25" s="0" t="n">
        <v>9</v>
      </c>
      <c r="D25" s="38" t="n">
        <v>0.444444444444444</v>
      </c>
      <c r="E25" s="11" t="n">
        <v>46436</v>
      </c>
      <c r="F25" s="11" t="n">
        <v>46440</v>
      </c>
      <c r="G25" s="11"/>
      <c r="I25" s="38" t="n">
        <v>0.445138888888889</v>
      </c>
      <c r="J25" s="38" t="n">
        <v>0.452777777777778</v>
      </c>
      <c r="K25" s="10" t="s">
        <v>755</v>
      </c>
      <c r="L25" s="10" t="s">
        <v>757</v>
      </c>
      <c r="N25" s="11" t="n">
        <v>46450</v>
      </c>
      <c r="O25" s="10" t="s">
        <v>496</v>
      </c>
      <c r="P25" s="31" t="n">
        <f aca="false">IF($A25="","",IF(IFERROR(IF(INDEX(drops!$I$2:$I$21,MATCH($A25,drops!$A$2:$A$21,0))="","",INDEX(drops!$I$2:$I$21,MATCH($A25,drops!$A$2:$A$21,0))),"")="OK",IFERROR(IF(INDEX(drops!$B$2:$B$21,MATCH($A25,drops!$A$2:$A$21,0))="","",INDEX(drops!$B$2:$B$21,MATCH($A25,drops!$A$2:$A$21,0))),""),""))</f>
        <v>46441</v>
      </c>
      <c r="Q25" s="30" t="str">
        <f aca="false">IF($B25="","",IFERROR(IF(INDEX(offices!$O$2:$O$61,MATCH($B25,offices!$A$2:$A$61,0))="","",INDEX(offices!$O$2:$O$61,MATCH($B25,offices!$A$2:$A$61,0))),""))</f>
        <v>SAMPLE Studio Marlow</v>
      </c>
      <c r="R25" s="30" t="str">
        <f aca="false">IF($B25="","",IFERROR(IF(INDEX(offices!$P$2:$P$61,MATCH($B25,offices!$A$2:$A$61,0))="","",INDEX(offices!$P$2:$P$61,MATCH($B25,offices!$A$2:$A$61,0))),""))</f>
        <v>SAMPLE 150 Example Avenue</v>
      </c>
      <c r="S25" s="30" t="str">
        <f aca="false">IF($B25="","",IFERROR(IF(INDEX(offices!$Q$2:$Q$61,MATCH($B25,offices!$A$2:$A$61,0))="","",INDEX(offices!$Q$2:$Q$61,MATCH($B25,offices!$A$2:$A$61,0))),""))</f>
        <v>SAMPLE Floor 7</v>
      </c>
      <c r="T25" s="30" t="str">
        <f aca="false">IF($B25="","",IFERROR(IF(INDEX(offices!$Z$2:$Z$61,MATCH($B25,offices!$A$2:$A$61,0))="","",INDEX(offices!$Z$2:$Z$61,MATCH($B25,offices!$A$2:$A$61,0))),""))</f>
        <v>10 am to noon</v>
      </c>
      <c r="U25" s="30" t="str">
        <f aca="false">IF($B25="","",IFERROR(IF(INDEX(offices!$Y$2:$Y$61,MATCH($B25,offices!$A$2:$A$61,0))="","",INDEX(offices!$Y$2:$Y$61,MATCH($B25,offices!$A$2:$A$61,0))),""))</f>
        <v>front desk</v>
      </c>
      <c r="V25" s="30" t="str">
        <f aca="false">IF($B25="","",IFERROR(IF(INDEX(offices!$V$2:$V$61,MATCH($B25,offices!$A$2:$A$61,0))="","",INDEX(offices!$V$2:$V$61,MATCH($B25,offices!$A$2:$A$61,0))),""))</f>
        <v>SAMPLE Owner 005</v>
      </c>
      <c r="W25" s="30" t="str">
        <f aca="false">IF($B25="","",IFERROR(IF(INDEX(offices!$AJ$2:$AJ$61,MATCH($B25,offices!$A$2:$A$61,0))="","",INDEX(offices!$AJ$2:$AJ$61,MATCH($B25,offices!$A$2:$A$61,0))),""))</f>
        <v>SAMPLE (212) 555-0105</v>
      </c>
      <c r="X25" s="30" t="str">
        <f aca="false">IF($B25="","",IFERROR(IF(INDEX(offices!$G$2:$G$61,MATCH($B25,offices!$A$2:$A$61,0))="","",INDEX(offices!$G$2:$G$61,MATCH($B25,offices!$A$2:$A$61,0))),""))</f>
        <v>Y</v>
      </c>
      <c r="Y25" s="30" t="str">
        <f aca="false">IF($B25="","",IFERROR(IF(INDEX(offices!$I$2:$I$61,MATCH($B25,offices!$A$2:$A$61,0))="","",INDEX(offices!$I$2:$I$61,MATCH($B25,offices!$A$2:$A$61,0))),""))</f>
        <v>received</v>
      </c>
      <c r="Z25" s="30" t="n">
        <f aca="false">IF($A25="","",COUNTIFS(approvals!$H$2:$H$251,$A25,approvals!$B$2:$B$251,$B25,approvals!$P$2:$P$251,"Y"))</f>
        <v>1</v>
      </c>
      <c r="AA25" s="30" t="n">
        <f aca="false">IF($A25="","",SUMIFS(approvals!$S$2:$S$251,approvals!$H$2:$H$251,$A25,approvals!$B$2:$B$251,$B25,approvals!$P$2:$P$251,"Y"))</f>
        <v>65</v>
      </c>
      <c r="AB25" s="30" t="str">
        <f aca="false">IF(OR($A25="",$P25=""),"",IF(COUNTIFS(stops!$B$2:$B$151,$B25,stops!$P$2:$P$151,"&lt;"&amp;$P25,stops!$L$2:$L$151,"&lt;&gt;not_delivered")=0,"Y","N"))</f>
        <v>N</v>
      </c>
      <c r="AC25" s="30" t="n">
        <f aca="false">IF(OR($I25="",$J25=""),"",ROUND(($J25-$I25)*1440,0))</f>
        <v>11</v>
      </c>
      <c r="AD25" s="30" t="str">
        <f aca="true">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30" t="str">
        <f aca="false">IF($B25="","",IFERROR(IF(INDEX(offices!$H$2:$H$61,MATCH($B25,offices!$A$2:$A$61,0))="","",INDEX(offices!$H$2:$H$61,MATCH($B25,offices!$A$2:$A$61,0))),""))</f>
        <v>SAMPLE show the certificate at the desk; 9th floor kitchen</v>
      </c>
      <c r="AF25" s="30" t="str">
        <f aca="false">IF($A25="","",IF(AND($L25="declined",N($Z25)&gt;0,COUNTIFS(approvals!$H$2:$H$251,$A25,approvals!$B$2:$B$251,$B25,approvals!$P$2:$P$251,"Y",approvals!$U$2:$U$251,"&gt;0")=0),"Y",""))</f>
        <v/>
      </c>
    </row>
    <row r="26" customFormat="false" ht="15" hidden="false" customHeight="false" outlineLevel="0" collapsed="false">
      <c r="A26" s="0" t="s">
        <v>349</v>
      </c>
      <c r="B26" s="0" t="s">
        <v>696</v>
      </c>
      <c r="C26" s="0" t="n">
        <v>10</v>
      </c>
      <c r="D26" s="38" t="n">
        <v>0.459722222222222</v>
      </c>
      <c r="E26" s="11" t="n">
        <v>46436</v>
      </c>
      <c r="F26" s="11" t="n">
        <v>46440</v>
      </c>
      <c r="G26" s="11"/>
      <c r="I26" s="38" t="n">
        <v>0.460416666666667</v>
      </c>
      <c r="J26" s="38" t="n">
        <v>0.468055555555556</v>
      </c>
      <c r="K26" s="10" t="s">
        <v>755</v>
      </c>
      <c r="L26" s="10" t="s">
        <v>757</v>
      </c>
      <c r="N26" s="11" t="n">
        <v>46450</v>
      </c>
      <c r="O26" s="10" t="s">
        <v>496</v>
      </c>
      <c r="P26" s="31" t="n">
        <f aca="false">IF($A26="","",IF(IFERROR(IF(INDEX(drops!$I$2:$I$21,MATCH($A26,drops!$A$2:$A$21,0))="","",INDEX(drops!$I$2:$I$21,MATCH($A26,drops!$A$2:$A$21,0))),"")="OK",IFERROR(IF(INDEX(drops!$B$2:$B$21,MATCH($A26,drops!$A$2:$A$21,0))="","",INDEX(drops!$B$2:$B$21,MATCH($A26,drops!$A$2:$A$21,0))),""),""))</f>
        <v>46441</v>
      </c>
      <c r="Q26" s="30" t="str">
        <f aca="false">IF($B26="","",IFERROR(IF(INDEX(offices!$O$2:$O$61,MATCH($B26,offices!$A$2:$A$61,0))="","",INDEX(offices!$O$2:$O$61,MATCH($B26,offices!$A$2:$A$61,0))),""))</f>
        <v>SAMPLE Overlook Games</v>
      </c>
      <c r="R26" s="30" t="str">
        <f aca="false">IF($B26="","",IFERROR(IF(INDEX(offices!$P$2:$P$61,MATCH($B26,offices!$A$2:$A$61,0))="","",INDEX(offices!$P$2:$P$61,MATCH($B26,offices!$A$2:$A$61,0))),""))</f>
        <v>SAMPLE 190 Example Avenue</v>
      </c>
      <c r="S26" s="30" t="str">
        <f aca="false">IF($B26="","",IFERROR(IF(INDEX(offices!$Q$2:$Q$61,MATCH($B26,offices!$A$2:$A$61,0))="","",INDEX(offices!$Q$2:$Q$61,MATCH($B26,offices!$A$2:$A$61,0))),""))</f>
        <v>SAMPLE Floor 2</v>
      </c>
      <c r="T26" s="30" t="str">
        <f aca="false">IF($B26="","",IFERROR(IF(INDEX(offices!$Z$2:$Z$61,MATCH($B26,offices!$A$2:$A$61,0))="","",INDEX(offices!$Z$2:$Z$61,MATCH($B26,offices!$A$2:$A$61,0))),""))</f>
        <v>10 am to noon</v>
      </c>
      <c r="U26" s="30" t="str">
        <f aca="false">IF($B26="","",IFERROR(IF(INDEX(offices!$Y$2:$Y$61,MATCH($B26,offices!$A$2:$A$61,0))="","",INDEX(offices!$Y$2:$Y$61,MATCH($B26,offices!$A$2:$A$61,0))),""))</f>
        <v>front desk</v>
      </c>
      <c r="V26" s="30" t="str">
        <f aca="false">IF($B26="","",IFERROR(IF(INDEX(offices!$V$2:$V$61,MATCH($B26,offices!$A$2:$A$61,0))="","",INDEX(offices!$V$2:$V$61,MATCH($B26,offices!$A$2:$A$61,0))),""))</f>
        <v>SAMPLE Owner 009</v>
      </c>
      <c r="W26" s="30" t="str">
        <f aca="false">IF($B26="","",IFERROR(IF(INDEX(offices!$AJ$2:$AJ$61,MATCH($B26,offices!$A$2:$A$61,0))="","",INDEX(offices!$AJ$2:$AJ$61,MATCH($B26,offices!$A$2:$A$61,0))),""))</f>
        <v>SAMPLE (212) 555-0109</v>
      </c>
      <c r="X26" s="30" t="str">
        <f aca="false">IF($B26="","",IFERROR(IF(INDEX(offices!$G$2:$G$61,MATCH($B26,offices!$A$2:$A$61,0))="","",INDEX(offices!$G$2:$G$61,MATCH($B26,offices!$A$2:$A$61,0))),""))</f>
        <v>N</v>
      </c>
      <c r="Y26" s="30" t="str">
        <f aca="false">IF($B26="","",IFERROR(IF(INDEX(offices!$I$2:$I$61,MATCH($B26,offices!$A$2:$A$61,0))="","",INDEX(offices!$I$2:$I$61,MATCH($B26,offices!$A$2:$A$61,0))),""))</f>
        <v>not_needed</v>
      </c>
      <c r="Z26" s="30" t="n">
        <f aca="false">IF($A26="","",COUNTIFS(approvals!$H$2:$H$251,$A26,approvals!$B$2:$B$251,$B26,approvals!$P$2:$P$251,"Y"))</f>
        <v>1</v>
      </c>
      <c r="AA26" s="30" t="n">
        <f aca="false">IF($A26="","",SUMIFS(approvals!$S$2:$S$251,approvals!$H$2:$H$251,$A26,approvals!$B$2:$B$251,$B26,approvals!$P$2:$P$251,"Y"))</f>
        <v>70</v>
      </c>
      <c r="AB26" s="30" t="str">
        <f aca="false">IF(OR($A26="",$P26=""),"",IF(COUNTIFS(stops!$B$2:$B$151,$B26,stops!$P$2:$P$151,"&lt;"&amp;$P26,stops!$L$2:$L$151,"&lt;&gt;not_delivered")=0,"Y","N"))</f>
        <v>N</v>
      </c>
      <c r="AC26" s="30" t="n">
        <f aca="false">IF(OR($I26="",$J26=""),"",ROUND(($J26-$I26)*1440,0))</f>
        <v>11</v>
      </c>
      <c r="AD26" s="30" t="str">
        <f aca="true">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info: front desk not agreed: the owner must take it; </v>
      </c>
      <c r="AE26" s="30" t="str">
        <f aca="false">IF($B26="","",IFERROR(IF(INDEX(offices!$H$2:$H$61,MATCH($B26,offices!$A$2:$A$61,0))="","",INDEX(offices!$H$2:$H$61,MATCH($B26,offices!$A$2:$A$61,0))),""))</f>
        <v>SAMPLE owner must take it; desk will not hold food</v>
      </c>
      <c r="AF26" s="30" t="str">
        <f aca="false">IF($A26="","",IF(AND($L26="declined",N($Z26)&gt;0,COUNTIFS(approvals!$H$2:$H$251,$A26,approvals!$B$2:$B$251,$B26,approvals!$P$2:$P$251,"Y",approvals!$U$2:$U$251,"&gt;0")=0),"Y",""))</f>
        <v/>
      </c>
    </row>
    <row r="27" customFormat="false" ht="15" hidden="false" customHeight="false" outlineLevel="0" collapsed="false">
      <c r="A27" s="0" t="s">
        <v>353</v>
      </c>
      <c r="B27" s="0" t="s">
        <v>678</v>
      </c>
      <c r="C27" s="0" t="n">
        <v>1</v>
      </c>
      <c r="D27" s="38" t="n">
        <v>0.416666666666667</v>
      </c>
      <c r="E27" s="11" t="n">
        <v>46464</v>
      </c>
      <c r="F27" s="11" t="n">
        <v>46468</v>
      </c>
      <c r="G27" s="11" t="n">
        <v>46464</v>
      </c>
      <c r="H27" s="10" t="s">
        <v>766</v>
      </c>
      <c r="I27" s="38" t="n">
        <v>0.424305555555556</v>
      </c>
      <c r="J27" s="38"/>
      <c r="K27" s="10" t="s">
        <v>767</v>
      </c>
      <c r="L27" s="10" t="s">
        <v>768</v>
      </c>
      <c r="N27" s="11" t="n">
        <v>46482</v>
      </c>
      <c r="O27" s="10" t="s">
        <v>496</v>
      </c>
      <c r="P27" s="31" t="n">
        <f aca="false">IF($A27="","",IF(IFERROR(IF(INDEX(drops!$I$2:$I$21,MATCH($A27,drops!$A$2:$A$21,0))="","",INDEX(drops!$I$2:$I$21,MATCH($A27,drops!$A$2:$A$21,0))),"")="OK",IFERROR(IF(INDEX(drops!$B$2:$B$21,MATCH($A27,drops!$A$2:$A$21,0))="","",INDEX(drops!$B$2:$B$21,MATCH($A27,drops!$A$2:$A$21,0))),""),""))</f>
        <v>46469</v>
      </c>
      <c r="Q27" s="30" t="str">
        <f aca="false">IF($B27="","",IFERROR(IF(INDEX(offices!$O$2:$O$61,MATCH($B27,offices!$A$2:$A$61,0))="","",INDEX(offices!$O$2:$O$61,MATCH($B27,offices!$A$2:$A$61,0))),""))</f>
        <v>SAMPLE Northpoint Software</v>
      </c>
      <c r="R27" s="30" t="str">
        <f aca="false">IF($B27="","",IFERROR(IF(INDEX(offices!$P$2:$P$61,MATCH($B27,offices!$A$2:$A$61,0))="","",INDEX(offices!$P$2:$P$61,MATCH($B27,offices!$A$2:$A$61,0))),""))</f>
        <v>SAMPLE 110 Example Avenue</v>
      </c>
      <c r="S27" s="30" t="str">
        <f aca="false">IF($B27="","",IFERROR(IF(INDEX(offices!$Q$2:$Q$61,MATCH($B27,offices!$A$2:$A$61,0))="","",INDEX(offices!$Q$2:$Q$61,MATCH($B27,offices!$A$2:$A$61,0))),""))</f>
        <v>SAMPLE Floor 3</v>
      </c>
      <c r="T27" s="30" t="str">
        <f aca="false">IF($B27="","",IFERROR(IF(INDEX(offices!$Z$2:$Z$61,MATCH($B27,offices!$A$2:$A$61,0))="","",INDEX(offices!$Z$2:$Z$61,MATCH($B27,offices!$A$2:$A$61,0))),""))</f>
        <v>8 to 10 am</v>
      </c>
      <c r="U27" s="30" t="str">
        <f aca="false">IF($B27="","",IFERROR(IF(INDEX(offices!$Y$2:$Y$61,MATCH($B27,offices!$A$2:$A$61,0))="","",INDEX(offices!$Y$2:$Y$61,MATCH($B27,offices!$A$2:$A$61,0))),""))</f>
        <v>walk-up</v>
      </c>
      <c r="V27" s="30" t="str">
        <f aca="false">IF($B27="","",IFERROR(IF(INDEX(offices!$V$2:$V$61,MATCH($B27,offices!$A$2:$A$61,0))="","",INDEX(offices!$V$2:$V$61,MATCH($B27,offices!$A$2:$A$61,0))),""))</f>
        <v>SAMPLE Owner 001</v>
      </c>
      <c r="W27" s="30" t="str">
        <f aca="false">IF($B27="","",IFERROR(IF(INDEX(offices!$AJ$2:$AJ$61,MATCH($B27,offices!$A$2:$A$61,0))="","",INDEX(offices!$AJ$2:$AJ$61,MATCH($B27,offices!$A$2:$A$61,0))),""))</f>
        <v>SAMPLE (212) 555-0101</v>
      </c>
      <c r="X27" s="30" t="str">
        <f aca="false">IF($B27="","",IFERROR(IF(INDEX(offices!$G$2:$G$61,MATCH($B27,offices!$A$2:$A$61,0))="","",INDEX(offices!$G$2:$G$61,MATCH($B27,offices!$A$2:$A$61,0))),""))</f>
        <v>N</v>
      </c>
      <c r="Y27" s="30" t="str">
        <f aca="false">IF($B27="","",IFERROR(IF(INDEX(offices!$I$2:$I$61,MATCH($B27,offices!$A$2:$A$61,0))="","",INDEX(offices!$I$2:$I$61,MATCH($B27,offices!$A$2:$A$61,0))),""))</f>
        <v>not_needed</v>
      </c>
      <c r="Z27" s="30" t="n">
        <f aca="false">IF($A27="","",COUNTIFS(approvals!$H$2:$H$251,$A27,approvals!$B$2:$B$251,$B27,approvals!$P$2:$P$251,"Y"))</f>
        <v>2</v>
      </c>
      <c r="AA27" s="30" t="n">
        <f aca="false">IF($A27="","",SUMIFS(approvals!$S$2:$S$251,approvals!$H$2:$H$251,$A27,approvals!$B$2:$B$251,$B27,approvals!$P$2:$P$251,"Y"))</f>
        <v>80</v>
      </c>
      <c r="AB27" s="30" t="str">
        <f aca="false">IF(OR($A27="",$P27=""),"",IF(COUNTIFS(stops!$B$2:$B$151,$B27,stops!$P$2:$P$151,"&lt;"&amp;$P27,stops!$L$2:$L$151,"&lt;&gt;not_delivered")=0,"Y","N"))</f>
        <v>N</v>
      </c>
      <c r="AC27" s="30" t="str">
        <f aca="false">IF(OR($I27="",$J27=""),"",ROUND(($J27-$I27)*1440,0))</f>
        <v/>
      </c>
      <c r="AD27" s="30" t="str">
        <f aca="true">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30" t="str">
        <f aca="false">IF($B27="","",IFERROR(IF(INDEX(offices!$H$2:$H$61,MATCH($B27,offices!$A$2:$A$61,0))="","",INDEX(offices!$H$2:$H$61,MATCH($B27,offices!$A$2:$A$61,0))),""))</f>
        <v>SAMPLE 4th floor kitchen, left of the coffee machine</v>
      </c>
      <c r="AF27" s="30" t="str">
        <f aca="false">IF($A27="","",IF(AND($L27="declined",N($Z27)&gt;0,COUNTIFS(approvals!$H$2:$H$251,$A27,approvals!$B$2:$B$251,$B27,approvals!$P$2:$P$251,"Y",approvals!$U$2:$U$251,"&gt;0")=0),"Y",""))</f>
        <v/>
      </c>
    </row>
    <row r="28" customFormat="false" ht="15" hidden="false" customHeight="false" outlineLevel="0" collapsed="false">
      <c r="A28" s="0" t="s">
        <v>353</v>
      </c>
      <c r="B28" s="0" t="s">
        <v>681</v>
      </c>
      <c r="C28" s="0" t="n">
        <v>2</v>
      </c>
      <c r="D28" s="38" t="n">
        <v>0.416666666666667</v>
      </c>
      <c r="E28" s="11" t="n">
        <v>46464</v>
      </c>
      <c r="F28" s="11" t="n">
        <v>46468</v>
      </c>
      <c r="G28" s="11" t="n">
        <v>46464</v>
      </c>
      <c r="H28" s="10" t="s">
        <v>769</v>
      </c>
      <c r="I28" s="38" t="n">
        <v>0.425</v>
      </c>
      <c r="J28" s="38"/>
      <c r="K28" s="10" t="s">
        <v>767</v>
      </c>
      <c r="L28" s="10" t="s">
        <v>768</v>
      </c>
      <c r="N28" s="11" t="n">
        <v>46482</v>
      </c>
      <c r="O28" s="10" t="s">
        <v>496</v>
      </c>
      <c r="P28" s="31" t="n">
        <f aca="false">IF($A28="","",IF(IFERROR(IF(INDEX(drops!$I$2:$I$21,MATCH($A28,drops!$A$2:$A$21,0))="","",INDEX(drops!$I$2:$I$21,MATCH($A28,drops!$A$2:$A$21,0))),"")="OK",IFERROR(IF(INDEX(drops!$B$2:$B$21,MATCH($A28,drops!$A$2:$A$21,0))="","",INDEX(drops!$B$2:$B$21,MATCH($A28,drops!$A$2:$A$21,0))),""),""))</f>
        <v>46469</v>
      </c>
      <c r="Q28" s="30" t="str">
        <f aca="false">IF($B28="","",IFERROR(IF(INDEX(offices!$O$2:$O$61,MATCH($B28,offices!$A$2:$A$61,0))="","",INDEX(offices!$O$2:$O$61,MATCH($B28,offices!$A$2:$A$61,0))),""))</f>
        <v>SAMPLE Ferro Architecture</v>
      </c>
      <c r="R28" s="30" t="str">
        <f aca="false">IF($B28="","",IFERROR(IF(INDEX(offices!$P$2:$P$61,MATCH($B28,offices!$A$2:$A$61,0))="","",INDEX(offices!$P$2:$P$61,MATCH($B28,offices!$A$2:$A$61,0))),""))</f>
        <v>SAMPLE 120 Example Avenue</v>
      </c>
      <c r="S28" s="30" t="str">
        <f aca="false">IF($B28="","",IFERROR(IF(INDEX(offices!$Q$2:$Q$61,MATCH($B28,offices!$A$2:$A$61,0))="","",INDEX(offices!$Q$2:$Q$61,MATCH($B28,offices!$A$2:$A$61,0))),""))</f>
        <v>SAMPLE Floor 4</v>
      </c>
      <c r="T28" s="30" t="str">
        <f aca="false">IF($B28="","",IFERROR(IF(INDEX(offices!$Z$2:$Z$61,MATCH($B28,offices!$A$2:$A$61,0))="","",INDEX(offices!$Z$2:$Z$61,MATCH($B28,offices!$A$2:$A$61,0))),""))</f>
        <v>9 to 11 am</v>
      </c>
      <c r="U28" s="30" t="str">
        <f aca="false">IF($B28="","",IFERROR(IF(INDEX(offices!$Y$2:$Y$61,MATCH($B28,offices!$A$2:$A$61,0))="","",INDEX(offices!$Y$2:$Y$61,MATCH($B28,offices!$A$2:$A$61,0))),""))</f>
        <v>front desk</v>
      </c>
      <c r="V28" s="30" t="str">
        <f aca="false">IF($B28="","",IFERROR(IF(INDEX(offices!$V$2:$V$61,MATCH($B28,offices!$A$2:$A$61,0))="","",INDEX(offices!$V$2:$V$61,MATCH($B28,offices!$A$2:$A$61,0))),""))</f>
        <v>SAMPLE Owner 002</v>
      </c>
      <c r="W28" s="30" t="str">
        <f aca="false">IF($B28="","",IFERROR(IF(INDEX(offices!$AJ$2:$AJ$61,MATCH($B28,offices!$A$2:$A$61,0))="","",INDEX(offices!$AJ$2:$AJ$61,MATCH($B28,offices!$A$2:$A$61,0))),""))</f>
        <v>SAMPLE (212) 555-0102</v>
      </c>
      <c r="X28" s="30" t="str">
        <f aca="false">IF($B28="","",IFERROR(IF(INDEX(offices!$G$2:$G$61,MATCH($B28,offices!$A$2:$A$61,0))="","",INDEX(offices!$G$2:$G$61,MATCH($B28,offices!$A$2:$A$61,0))),""))</f>
        <v>Y</v>
      </c>
      <c r="Y28" s="30" t="str">
        <f aca="false">IF($B28="","",IFERROR(IF(INDEX(offices!$I$2:$I$61,MATCH($B28,offices!$A$2:$A$61,0))="","",INDEX(offices!$I$2:$I$61,MATCH($B28,offices!$A$2:$A$61,0))),""))</f>
        <v>not_needed</v>
      </c>
      <c r="Z28" s="30" t="n">
        <f aca="false">IF($A28="","",COUNTIFS(approvals!$H$2:$H$251,$A28,approvals!$B$2:$B$251,$B28,approvals!$P$2:$P$251,"Y"))</f>
        <v>2</v>
      </c>
      <c r="AA28" s="30" t="n">
        <f aca="false">IF($A28="","",SUMIFS(approvals!$S$2:$S$251,approvals!$H$2:$H$251,$A28,approvals!$B$2:$B$251,$B28,approvals!$P$2:$P$251,"Y"))</f>
        <v>80</v>
      </c>
      <c r="AB28" s="30" t="str">
        <f aca="false">IF(OR($A28="",$P28=""),"",IF(COUNTIFS(stops!$B$2:$B$151,$B28,stops!$P$2:$P$151,"&lt;"&amp;$P28,stops!$L$2:$L$151,"&lt;&gt;not_delivered")=0,"Y","N"))</f>
        <v>N</v>
      </c>
      <c r="AC28" s="30" t="str">
        <f aca="false">IF(OR($I28="",$J28=""),"",ROUND(($J28-$I28)*1440,0))</f>
        <v/>
      </c>
      <c r="AD28" s="30" t="str">
        <f aca="true">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30" t="str">
        <f aca="false">IF($B28="","",IFERROR(IF(INDEX(offices!$H$2:$H$61,MATCH($B28,offices!$A$2:$A$61,0))="","",INDEX(offices!$H$2:$H$61,MATCH($B28,offices!$A$2:$A$61,0))),""))</f>
        <v>SAMPLE front desk calls up; owner meets you in the lobby</v>
      </c>
      <c r="AF28" s="30" t="str">
        <f aca="false">IF($A28="","",IF(AND($L28="declined",N($Z28)&gt;0,COUNTIFS(approvals!$H$2:$H$251,$A28,approvals!$B$2:$B$251,$B28,approvals!$P$2:$P$251,"Y",approvals!$U$2:$U$251,"&gt;0")=0),"Y",""))</f>
        <v/>
      </c>
    </row>
    <row r="29" customFormat="false" ht="15" hidden="false" customHeight="false" outlineLevel="0" collapsed="false">
      <c r="A29" s="0" t="s">
        <v>353</v>
      </c>
      <c r="B29" s="0" t="s">
        <v>683</v>
      </c>
      <c r="C29" s="0" t="n">
        <v>3</v>
      </c>
      <c r="D29" s="38" t="n">
        <v>0.416666666666667</v>
      </c>
      <c r="E29" s="11" t="n">
        <v>46464</v>
      </c>
      <c r="F29" s="11" t="n">
        <v>46468</v>
      </c>
      <c r="G29" s="11" t="n">
        <v>46464</v>
      </c>
      <c r="H29" s="10" t="s">
        <v>770</v>
      </c>
      <c r="I29" s="38" t="n">
        <v>0.425694444444444</v>
      </c>
      <c r="J29" s="38"/>
      <c r="K29" s="10" t="s">
        <v>767</v>
      </c>
      <c r="L29" s="10" t="s">
        <v>768</v>
      </c>
      <c r="N29" s="11" t="n">
        <v>46482</v>
      </c>
      <c r="O29" s="10" t="s">
        <v>496</v>
      </c>
      <c r="P29" s="31" t="n">
        <f aca="false">IF($A29="","",IF(IFERROR(IF(INDEX(drops!$I$2:$I$21,MATCH($A29,drops!$A$2:$A$21,0))="","",INDEX(drops!$I$2:$I$21,MATCH($A29,drops!$A$2:$A$21,0))),"")="OK",IFERROR(IF(INDEX(drops!$B$2:$B$21,MATCH($A29,drops!$A$2:$A$21,0))="","",INDEX(drops!$B$2:$B$21,MATCH($A29,drops!$A$2:$A$21,0))),""),""))</f>
        <v>46469</v>
      </c>
      <c r="Q29" s="30" t="str">
        <f aca="false">IF($B29="","",IFERROR(IF(INDEX(offices!$O$2:$O$61,MATCH($B29,offices!$A$2:$A$61,0))="","",INDEX(offices!$O$2:$O$61,MATCH($B29,offices!$A$2:$A$61,0))),""))</f>
        <v>SAMPLE Halcyon Media</v>
      </c>
      <c r="R29" s="30" t="str">
        <f aca="false">IF($B29="","",IFERROR(IF(INDEX(offices!$P$2:$P$61,MATCH($B29,offices!$A$2:$A$61,0))="","",INDEX(offices!$P$2:$P$61,MATCH($B29,offices!$A$2:$A$61,0))),""))</f>
        <v>SAMPLE 130 Example Avenue</v>
      </c>
      <c r="S29" s="30" t="str">
        <f aca="false">IF($B29="","",IFERROR(IF(INDEX(offices!$Q$2:$Q$61,MATCH($B29,offices!$A$2:$A$61,0))="","",INDEX(offices!$Q$2:$Q$61,MATCH($B29,offices!$A$2:$A$61,0))),""))</f>
        <v>SAMPLE Floor 5</v>
      </c>
      <c r="T29" s="30" t="str">
        <f aca="false">IF($B29="","",IFERROR(IF(INDEX(offices!$Z$2:$Z$61,MATCH($B29,offices!$A$2:$A$61,0))="","",INDEX(offices!$Z$2:$Z$61,MATCH($B29,offices!$A$2:$A$61,0))),""))</f>
        <v>9 to 11 am</v>
      </c>
      <c r="U29" s="30" t="str">
        <f aca="false">IF($B29="","",IFERROR(IF(INDEX(offices!$Y$2:$Y$61,MATCH($B29,offices!$A$2:$A$61,0))="","",INDEX(offices!$Y$2:$Y$61,MATCH($B29,offices!$A$2:$A$61,0))),""))</f>
        <v>walk-up</v>
      </c>
      <c r="V29" s="30" t="str">
        <f aca="false">IF($B29="","",IFERROR(IF(INDEX(offices!$V$2:$V$61,MATCH($B29,offices!$A$2:$A$61,0))="","",INDEX(offices!$V$2:$V$61,MATCH($B29,offices!$A$2:$A$61,0))),""))</f>
        <v>SAMPLE Owner 003</v>
      </c>
      <c r="W29" s="30" t="str">
        <f aca="false">IF($B29="","",IFERROR(IF(INDEX(offices!$AJ$2:$AJ$61,MATCH($B29,offices!$A$2:$A$61,0))="","",INDEX(offices!$AJ$2:$AJ$61,MATCH($B29,offices!$A$2:$A$61,0))),""))</f>
        <v>SAMPLE (212) 555-0103</v>
      </c>
      <c r="X29" s="30" t="str">
        <f aca="false">IF($B29="","",IFERROR(IF(INDEX(offices!$G$2:$G$61,MATCH($B29,offices!$A$2:$A$61,0))="","",INDEX(offices!$G$2:$G$61,MATCH($B29,offices!$A$2:$A$61,0))),""))</f>
        <v>N</v>
      </c>
      <c r="Y29" s="30" t="str">
        <f aca="false">IF($B29="","",IFERROR(IF(INDEX(offices!$I$2:$I$61,MATCH($B29,offices!$A$2:$A$61,0))="","",INDEX(offices!$I$2:$I$61,MATCH($B29,offices!$A$2:$A$61,0))),""))</f>
        <v>received</v>
      </c>
      <c r="Z29" s="30" t="n">
        <f aca="false">IF($A29="","",COUNTIFS(approvals!$H$2:$H$251,$A29,approvals!$B$2:$B$251,$B29,approvals!$P$2:$P$251,"Y"))</f>
        <v>2</v>
      </c>
      <c r="AA29" s="30" t="n">
        <f aca="false">IF($A29="","",SUMIFS(approvals!$S$2:$S$251,approvals!$H$2:$H$251,$A29,approvals!$B$2:$B$251,$B29,approvals!$P$2:$P$251,"Y"))</f>
        <v>100</v>
      </c>
      <c r="AB29" s="30" t="str">
        <f aca="false">IF(OR($A29="",$P29=""),"",IF(COUNTIFS(stops!$B$2:$B$151,$B29,stops!$P$2:$P$151,"&lt;"&amp;$P29,stops!$L$2:$L$151,"&lt;&gt;not_delivered")=0,"Y","N"))</f>
        <v>N</v>
      </c>
      <c r="AC29" s="30" t="str">
        <f aca="false">IF(OR($I29="",$J29=""),"",ROUND(($J29-$I29)*1440,0))</f>
        <v/>
      </c>
      <c r="AD29" s="30" t="str">
        <f aca="true">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30" t="str">
        <f aca="false">IF($B29="","",IFERROR(IF(INDEX(offices!$H$2:$H$61,MATCH($B29,offices!$A$2:$A$61,0))="","",INDEX(offices!$H$2:$H$61,MATCH($B29,offices!$A$2:$A$61,0))),""))</f>
        <v>SAMPLE 2nd floor pantry, shelf by the window</v>
      </c>
      <c r="AF29" s="30" t="str">
        <f aca="false">IF($A29="","",IF(AND($L29="declined",N($Z29)&gt;0,COUNTIFS(approvals!$H$2:$H$251,$A29,approvals!$B$2:$B$251,$B29,approvals!$P$2:$P$251,"Y",approvals!$U$2:$U$251,"&gt;0")=0),"Y",""))</f>
        <v/>
      </c>
    </row>
    <row r="30" customFormat="false" ht="15" hidden="false" customHeight="false" outlineLevel="0" collapsed="false">
      <c r="A30" s="0" t="s">
        <v>353</v>
      </c>
      <c r="B30" s="0" t="s">
        <v>686</v>
      </c>
      <c r="C30" s="0" t="n">
        <v>4</v>
      </c>
      <c r="D30" s="38" t="n">
        <v>0.416666666666667</v>
      </c>
      <c r="E30" s="11" t="n">
        <v>46464</v>
      </c>
      <c r="F30" s="11" t="n">
        <v>46468</v>
      </c>
      <c r="G30" s="11" t="n">
        <v>46464</v>
      </c>
      <c r="H30" s="10" t="s">
        <v>771</v>
      </c>
      <c r="I30" s="38" t="n">
        <v>0.426388888888889</v>
      </c>
      <c r="J30" s="38"/>
      <c r="K30" s="10" t="s">
        <v>767</v>
      </c>
      <c r="L30" s="10" t="s">
        <v>768</v>
      </c>
      <c r="N30" s="11" t="n">
        <v>46482</v>
      </c>
      <c r="O30" s="10" t="s">
        <v>496</v>
      </c>
      <c r="P30" s="31" t="n">
        <f aca="false">IF($A30="","",IF(IFERROR(IF(INDEX(drops!$I$2:$I$21,MATCH($A30,drops!$A$2:$A$21,0))="","",INDEX(drops!$I$2:$I$21,MATCH($A30,drops!$A$2:$A$21,0))),"")="OK",IFERROR(IF(INDEX(drops!$B$2:$B$21,MATCH($A30,drops!$A$2:$A$21,0))="","",INDEX(drops!$B$2:$B$21,MATCH($A30,drops!$A$2:$A$21,0))),""),""))</f>
        <v>46469</v>
      </c>
      <c r="Q30" s="30" t="str">
        <f aca="false">IF($B30="","",IFERROR(IF(INDEX(offices!$O$2:$O$61,MATCH($B30,offices!$A$2:$A$61,0))="","",INDEX(offices!$O$2:$O$61,MATCH($B30,offices!$A$2:$A$61,0))),""))</f>
        <v>SAMPLE Union Food Fund</v>
      </c>
      <c r="R30" s="30" t="str">
        <f aca="false">IF($B30="","",IFERROR(IF(INDEX(offices!$P$2:$P$61,MATCH($B30,offices!$A$2:$A$61,0))="","",INDEX(offices!$P$2:$P$61,MATCH($B30,offices!$A$2:$A$61,0))),""))</f>
        <v>SAMPLE 140 Example Avenue</v>
      </c>
      <c r="S30" s="30" t="str">
        <f aca="false">IF($B30="","",IFERROR(IF(INDEX(offices!$Q$2:$Q$61,MATCH($B30,offices!$A$2:$A$61,0))="","",INDEX(offices!$Q$2:$Q$61,MATCH($B30,offices!$A$2:$A$61,0))),""))</f>
        <v>SAMPLE Floor 6</v>
      </c>
      <c r="T30" s="30" t="str">
        <f aca="false">IF($B30="","",IFERROR(IF(INDEX(offices!$Z$2:$Z$61,MATCH($B30,offices!$A$2:$A$61,0))="","",INDEX(offices!$Z$2:$Z$61,MATCH($B30,offices!$A$2:$A$61,0))),""))</f>
        <v>10 am to noon</v>
      </c>
      <c r="U30" s="30" t="str">
        <f aca="false">IF($B30="","",IFERROR(IF(INDEX(offices!$Y$2:$Y$61,MATCH($B30,offices!$A$2:$A$61,0))="","",INDEX(offices!$Y$2:$Y$61,MATCH($B30,offices!$A$2:$A$61,0))),""))</f>
        <v>loading dock</v>
      </c>
      <c r="V30" s="30" t="str">
        <f aca="false">IF($B30="","",IFERROR(IF(INDEX(offices!$V$2:$V$61,MATCH($B30,offices!$A$2:$A$61,0))="","",INDEX(offices!$V$2:$V$61,MATCH($B30,offices!$A$2:$A$61,0))),""))</f>
        <v>SAMPLE Owner 004</v>
      </c>
      <c r="W30" s="30" t="str">
        <f aca="false">IF($B30="","",IFERROR(IF(INDEX(offices!$AJ$2:$AJ$61,MATCH($B30,offices!$A$2:$A$61,0))="","",INDEX(offices!$AJ$2:$AJ$61,MATCH($B30,offices!$A$2:$A$61,0))),""))</f>
        <v>SAMPLE (212) 555-0104</v>
      </c>
      <c r="X30" s="30" t="str">
        <f aca="false">IF($B30="","",IFERROR(IF(INDEX(offices!$G$2:$G$61,MATCH($B30,offices!$A$2:$A$61,0))="","",INDEX(offices!$G$2:$G$61,MATCH($B30,offices!$A$2:$A$61,0))),""))</f>
        <v>Y</v>
      </c>
      <c r="Y30" s="30" t="str">
        <f aca="false">IF($B30="","",IFERROR(IF(INDEX(offices!$I$2:$I$61,MATCH($B30,offices!$A$2:$A$61,0))="","",INDEX(offices!$I$2:$I$61,MATCH($B30,offices!$A$2:$A$61,0))),""))</f>
        <v>not_needed</v>
      </c>
      <c r="Z30" s="30" t="n">
        <f aca="false">IF($A30="","",COUNTIFS(approvals!$H$2:$H$251,$A30,approvals!$B$2:$B$251,$B30,approvals!$P$2:$P$251,"Y"))</f>
        <v>2</v>
      </c>
      <c r="AA30" s="30" t="n">
        <f aca="false">IF($A30="","",SUMIFS(approvals!$S$2:$S$251,approvals!$H$2:$H$251,$A30,approvals!$B$2:$B$251,$B30,approvals!$P$2:$P$251,"Y"))</f>
        <v>100</v>
      </c>
      <c r="AB30" s="30" t="str">
        <f aca="false">IF(OR($A30="",$P30=""),"",IF(COUNTIFS(stops!$B$2:$B$151,$B30,stops!$P$2:$P$151,"&lt;"&amp;$P30,stops!$L$2:$L$151,"&lt;&gt;not_delivered")=0,"Y","N"))</f>
        <v>N</v>
      </c>
      <c r="AC30" s="30" t="str">
        <f aca="false">IF(OR($I30="",$J30=""),"",ROUND(($J30-$I30)*1440,0))</f>
        <v/>
      </c>
      <c r="AD30" s="30" t="str">
        <f aca="true">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30" t="str">
        <f aca="false">IF($B30="","",IFERROR(IF(INDEX(offices!$H$2:$H$61,MATCH($B30,offices!$A$2:$A$61,0))="","",INDEX(offices!$H$2:$H$61,MATCH($B30,offices!$A$2:$A$61,0))),""))</f>
        <v>SAMPLE loading dock on the side street; mailroom signs, owner collects</v>
      </c>
      <c r="AF30" s="30" t="str">
        <f aca="false">IF($A30="","",IF(AND($L30="declined",N($Z30)&gt;0,COUNTIFS(approvals!$H$2:$H$251,$A30,approvals!$B$2:$B$251,$B30,approvals!$P$2:$P$251,"Y",approvals!$U$2:$U$251,"&gt;0")=0),"Y",""))</f>
        <v/>
      </c>
    </row>
    <row r="31" customFormat="false" ht="15" hidden="false" customHeight="false" outlineLevel="0" collapsed="false">
      <c r="A31" s="0" t="s">
        <v>353</v>
      </c>
      <c r="B31" s="0" t="s">
        <v>688</v>
      </c>
      <c r="C31" s="0" t="n">
        <v>5</v>
      </c>
      <c r="D31" s="38" t="n">
        <v>0.416666666666667</v>
      </c>
      <c r="E31" s="11" t="n">
        <v>46464</v>
      </c>
      <c r="F31" s="11" t="n">
        <v>46468</v>
      </c>
      <c r="G31" s="11" t="n">
        <v>46464</v>
      </c>
      <c r="H31" s="10" t="s">
        <v>772</v>
      </c>
      <c r="I31" s="38" t="n">
        <v>0.427083333333333</v>
      </c>
      <c r="J31" s="38"/>
      <c r="K31" s="10" t="s">
        <v>767</v>
      </c>
      <c r="L31" s="10" t="s">
        <v>768</v>
      </c>
      <c r="N31" s="11" t="n">
        <v>46482</v>
      </c>
      <c r="O31" s="10" t="s">
        <v>496</v>
      </c>
      <c r="P31" s="31" t="n">
        <f aca="false">IF($A31="","",IF(IFERROR(IF(INDEX(drops!$I$2:$I$21,MATCH($A31,drops!$A$2:$A$21,0))="","",INDEX(drops!$I$2:$I$21,MATCH($A31,drops!$A$2:$A$21,0))),"")="OK",IFERROR(IF(INDEX(drops!$B$2:$B$21,MATCH($A31,drops!$A$2:$A$21,0))="","",INDEX(drops!$B$2:$B$21,MATCH($A31,drops!$A$2:$A$21,0))),""),""))</f>
        <v>46469</v>
      </c>
      <c r="Q31" s="30" t="str">
        <f aca="false">IF($B31="","",IFERROR(IF(INDEX(offices!$O$2:$O$61,MATCH($B31,offices!$A$2:$A$61,0))="","",INDEX(offices!$O$2:$O$61,MATCH($B31,offices!$A$2:$A$61,0))),""))</f>
        <v>SAMPLE Studio Marlow</v>
      </c>
      <c r="R31" s="30" t="str">
        <f aca="false">IF($B31="","",IFERROR(IF(INDEX(offices!$P$2:$P$61,MATCH($B31,offices!$A$2:$A$61,0))="","",INDEX(offices!$P$2:$P$61,MATCH($B31,offices!$A$2:$A$61,0))),""))</f>
        <v>SAMPLE 150 Example Avenue</v>
      </c>
      <c r="S31" s="30" t="str">
        <f aca="false">IF($B31="","",IFERROR(IF(INDEX(offices!$Q$2:$Q$61,MATCH($B31,offices!$A$2:$A$61,0))="","",INDEX(offices!$Q$2:$Q$61,MATCH($B31,offices!$A$2:$A$61,0))),""))</f>
        <v>SAMPLE Floor 7</v>
      </c>
      <c r="T31" s="30" t="str">
        <f aca="false">IF($B31="","",IFERROR(IF(INDEX(offices!$Z$2:$Z$61,MATCH($B31,offices!$A$2:$A$61,0))="","",INDEX(offices!$Z$2:$Z$61,MATCH($B31,offices!$A$2:$A$61,0))),""))</f>
        <v>10 am to noon</v>
      </c>
      <c r="U31" s="30" t="str">
        <f aca="false">IF($B31="","",IFERROR(IF(INDEX(offices!$Y$2:$Y$61,MATCH($B31,offices!$A$2:$A$61,0))="","",INDEX(offices!$Y$2:$Y$61,MATCH($B31,offices!$A$2:$A$61,0))),""))</f>
        <v>front desk</v>
      </c>
      <c r="V31" s="30" t="str">
        <f aca="false">IF($B31="","",IFERROR(IF(INDEX(offices!$V$2:$V$61,MATCH($B31,offices!$A$2:$A$61,0))="","",INDEX(offices!$V$2:$V$61,MATCH($B31,offices!$A$2:$A$61,0))),""))</f>
        <v>SAMPLE Owner 005</v>
      </c>
      <c r="W31" s="30" t="str">
        <f aca="false">IF($B31="","",IFERROR(IF(INDEX(offices!$AJ$2:$AJ$61,MATCH($B31,offices!$A$2:$A$61,0))="","",INDEX(offices!$AJ$2:$AJ$61,MATCH($B31,offices!$A$2:$A$61,0))),""))</f>
        <v>SAMPLE (212) 555-0105</v>
      </c>
      <c r="X31" s="30" t="str">
        <f aca="false">IF($B31="","",IFERROR(IF(INDEX(offices!$G$2:$G$61,MATCH($B31,offices!$A$2:$A$61,0))="","",INDEX(offices!$G$2:$G$61,MATCH($B31,offices!$A$2:$A$61,0))),""))</f>
        <v>Y</v>
      </c>
      <c r="Y31" s="30" t="str">
        <f aca="false">IF($B31="","",IFERROR(IF(INDEX(offices!$I$2:$I$61,MATCH($B31,offices!$A$2:$A$61,0))="","",INDEX(offices!$I$2:$I$61,MATCH($B31,offices!$A$2:$A$61,0))),""))</f>
        <v>received</v>
      </c>
      <c r="Z31" s="30" t="n">
        <f aca="false">IF($A31="","",COUNTIFS(approvals!$H$2:$H$251,$A31,approvals!$B$2:$B$251,$B31,approvals!$P$2:$P$251,"Y"))</f>
        <v>2</v>
      </c>
      <c r="AA31" s="30" t="n">
        <f aca="false">IF($A31="","",SUMIFS(approvals!$S$2:$S$251,approvals!$H$2:$H$251,$A31,approvals!$B$2:$B$251,$B31,approvals!$P$2:$P$251,"Y"))</f>
        <v>140</v>
      </c>
      <c r="AB31" s="30" t="str">
        <f aca="false">IF(OR($A31="",$P31=""),"",IF(COUNTIFS(stops!$B$2:$B$151,$B31,stops!$P$2:$P$151,"&lt;"&amp;$P31,stops!$L$2:$L$151,"&lt;&gt;not_delivered")=0,"Y","N"))</f>
        <v>N</v>
      </c>
      <c r="AC31" s="30" t="str">
        <f aca="false">IF(OR($I31="",$J31=""),"",ROUND(($J31-$I31)*1440,0))</f>
        <v/>
      </c>
      <c r="AD31" s="30" t="str">
        <f aca="true">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30" t="str">
        <f aca="false">IF($B31="","",IFERROR(IF(INDEX(offices!$H$2:$H$61,MATCH($B31,offices!$A$2:$A$61,0))="","",INDEX(offices!$H$2:$H$61,MATCH($B31,offices!$A$2:$A$61,0))),""))</f>
        <v>SAMPLE show the certificate at the desk; 9th floor kitchen</v>
      </c>
      <c r="AF31" s="30" t="str">
        <f aca="false">IF($A31="","",IF(AND($L31="declined",N($Z31)&gt;0,COUNTIFS(approvals!$H$2:$H$251,$A31,approvals!$B$2:$B$251,$B31,approvals!$P$2:$P$251,"Y",approvals!$U$2:$U$251,"&gt;0")=0),"Y",""))</f>
        <v/>
      </c>
    </row>
    <row r="32" customFormat="false" ht="15" hidden="false" customHeight="false" outlineLevel="0" collapsed="false">
      <c r="A32" s="0" t="s">
        <v>353</v>
      </c>
      <c r="B32" s="0" t="s">
        <v>690</v>
      </c>
      <c r="C32" s="0" t="n">
        <v>6</v>
      </c>
      <c r="D32" s="38" t="n">
        <v>0.416666666666667</v>
      </c>
      <c r="E32" s="11" t="n">
        <v>46464</v>
      </c>
      <c r="F32" s="11" t="n">
        <v>46468</v>
      </c>
      <c r="G32" s="11" t="n">
        <v>46464</v>
      </c>
      <c r="H32" s="10" t="s">
        <v>773</v>
      </c>
      <c r="I32" s="38" t="n">
        <v>0.427777777777778</v>
      </c>
      <c r="J32" s="38"/>
      <c r="K32" s="10" t="s">
        <v>767</v>
      </c>
      <c r="L32" s="10" t="s">
        <v>768</v>
      </c>
      <c r="N32" s="11" t="n">
        <v>46482</v>
      </c>
      <c r="O32" s="10" t="s">
        <v>496</v>
      </c>
      <c r="P32" s="31" t="n">
        <f aca="false">IF($A32="","",IF(IFERROR(IF(INDEX(drops!$I$2:$I$21,MATCH($A32,drops!$A$2:$A$21,0))="","",INDEX(drops!$I$2:$I$21,MATCH($A32,drops!$A$2:$A$21,0))),"")="OK",IFERROR(IF(INDEX(drops!$B$2:$B$21,MATCH($A32,drops!$A$2:$A$21,0))="","",INDEX(drops!$B$2:$B$21,MATCH($A32,drops!$A$2:$A$21,0))),""),""))</f>
        <v>46469</v>
      </c>
      <c r="Q32" s="30" t="str">
        <f aca="false">IF($B32="","",IFERROR(IF(INDEX(offices!$O$2:$O$61,MATCH($B32,offices!$A$2:$A$61,0))="","",INDEX(offices!$O$2:$O$61,MATCH($B32,offices!$A$2:$A$61,0))),""))</f>
        <v>SAMPLE Kestrel Analytics</v>
      </c>
      <c r="R32" s="30" t="str">
        <f aca="false">IF($B32="","",IFERROR(IF(INDEX(offices!$P$2:$P$61,MATCH($B32,offices!$A$2:$A$61,0))="","",INDEX(offices!$P$2:$P$61,MATCH($B32,offices!$A$2:$A$61,0))),""))</f>
        <v>SAMPLE 160 Example Avenue</v>
      </c>
      <c r="S32" s="30" t="str">
        <f aca="false">IF($B32="","",IFERROR(IF(INDEX(offices!$Q$2:$Q$61,MATCH($B32,offices!$A$2:$A$61,0))="","",INDEX(offices!$Q$2:$Q$61,MATCH($B32,offices!$A$2:$A$61,0))),""))</f>
        <v>SAMPLE Floor 8</v>
      </c>
      <c r="T32" s="30" t="str">
        <f aca="false">IF($B32="","",IFERROR(IF(INDEX(offices!$Z$2:$Z$61,MATCH($B32,offices!$A$2:$A$61,0))="","",INDEX(offices!$Z$2:$Z$61,MATCH($B32,offices!$A$2:$A$61,0))),""))</f>
        <v>8 to 10 am</v>
      </c>
      <c r="U32" s="30" t="str">
        <f aca="false">IF($B32="","",IFERROR(IF(INDEX(offices!$Y$2:$Y$61,MATCH($B32,offices!$A$2:$A$61,0))="","",INDEX(offices!$Y$2:$Y$61,MATCH($B32,offices!$A$2:$A$61,0))),""))</f>
        <v>walk-up</v>
      </c>
      <c r="V32" s="30" t="str">
        <f aca="false">IF($B32="","",IFERROR(IF(INDEX(offices!$V$2:$V$61,MATCH($B32,offices!$A$2:$A$61,0))="","",INDEX(offices!$V$2:$V$61,MATCH($B32,offices!$A$2:$A$61,0))),""))</f>
        <v>SAMPLE Owner 006</v>
      </c>
      <c r="W32" s="30" t="str">
        <f aca="false">IF($B32="","",IFERROR(IF(INDEX(offices!$AJ$2:$AJ$61,MATCH($B32,offices!$A$2:$A$61,0))="","",INDEX(offices!$AJ$2:$AJ$61,MATCH($B32,offices!$A$2:$A$61,0))),""))</f>
        <v>SAMPLE (212) 555-0106</v>
      </c>
      <c r="X32" s="30" t="str">
        <f aca="false">IF($B32="","",IFERROR(IF(INDEX(offices!$G$2:$G$61,MATCH($B32,offices!$A$2:$A$61,0))="","",INDEX(offices!$G$2:$G$61,MATCH($B32,offices!$A$2:$A$61,0))),""))</f>
        <v>N</v>
      </c>
      <c r="Y32" s="30" t="str">
        <f aca="false">IF($B32="","",IFERROR(IF(INDEX(offices!$I$2:$I$61,MATCH($B32,offices!$A$2:$A$61,0))="","",INDEX(offices!$I$2:$I$61,MATCH($B32,offices!$A$2:$A$61,0))),""))</f>
        <v>not_needed</v>
      </c>
      <c r="Z32" s="30" t="n">
        <f aca="false">IF($A32="","",COUNTIFS(approvals!$H$2:$H$251,$A32,approvals!$B$2:$B$251,$B32,approvals!$P$2:$P$251,"Y"))</f>
        <v>2</v>
      </c>
      <c r="AA32" s="30" t="n">
        <f aca="false">IF($A32="","",SUMIFS(approvals!$S$2:$S$251,approvals!$H$2:$H$251,$A32,approvals!$B$2:$B$251,$B32,approvals!$P$2:$P$251,"Y"))</f>
        <v>90</v>
      </c>
      <c r="AB32" s="30" t="str">
        <f aca="false">IF(OR($A32="",$P32=""),"",IF(COUNTIFS(stops!$B$2:$B$151,$B32,stops!$P$2:$P$151,"&lt;"&amp;$P32,stops!$L$2:$L$151,"&lt;&gt;not_delivered")=0,"Y","N"))</f>
        <v>N</v>
      </c>
      <c r="AC32" s="30" t="str">
        <f aca="false">IF(OR($I32="",$J32=""),"",ROUND(($J32-$I32)*1440,0))</f>
        <v/>
      </c>
      <c r="AD32" s="30" t="str">
        <f aca="true">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30" t="str">
        <f aca="false">IF($B32="","",IFERROR(IF(INDEX(offices!$H$2:$H$61,MATCH($B32,offices!$A$2:$A$61,0))="","",INDEX(offices!$H$2:$H$61,MATCH($B32,offices!$A$2:$A$61,0))),""))</f>
        <v>SAMPLE 3rd floor, ring the bell</v>
      </c>
      <c r="AF32" s="30" t="str">
        <f aca="false">IF($A32="","",IF(AND($L32="declined",N($Z32)&gt;0,COUNTIFS(approvals!$H$2:$H$251,$A32,approvals!$B$2:$B$251,$B32,approvals!$P$2:$P$251,"Y",approvals!$U$2:$U$251,"&gt;0")=0),"Y",""))</f>
        <v/>
      </c>
    </row>
    <row r="33" customFormat="false" ht="15" hidden="false" customHeight="false" outlineLevel="0" collapsed="false">
      <c r="A33" s="0" t="s">
        <v>353</v>
      </c>
      <c r="B33" s="0" t="s">
        <v>692</v>
      </c>
      <c r="C33" s="0" t="n">
        <v>7</v>
      </c>
      <c r="D33" s="38" t="n">
        <v>0.416666666666667</v>
      </c>
      <c r="E33" s="11" t="n">
        <v>46464</v>
      </c>
      <c r="F33" s="11" t="n">
        <v>46468</v>
      </c>
      <c r="G33" s="11" t="n">
        <v>46464</v>
      </c>
      <c r="H33" s="10" t="s">
        <v>774</v>
      </c>
      <c r="I33" s="38" t="n">
        <v>0.428472222222222</v>
      </c>
      <c r="J33" s="38"/>
      <c r="K33" s="10" t="s">
        <v>767</v>
      </c>
      <c r="L33" s="10" t="s">
        <v>768</v>
      </c>
      <c r="N33" s="11" t="n">
        <v>46482</v>
      </c>
      <c r="O33" s="10" t="s">
        <v>496</v>
      </c>
      <c r="P33" s="31" t="n">
        <f aca="false">IF($A33="","",IF(IFERROR(IF(INDEX(drops!$I$2:$I$21,MATCH($A33,drops!$A$2:$A$21,0))="","",INDEX(drops!$I$2:$I$21,MATCH($A33,drops!$A$2:$A$21,0))),"")="OK",IFERROR(IF(INDEX(drops!$B$2:$B$21,MATCH($A33,drops!$A$2:$A$21,0))="","",INDEX(drops!$B$2:$B$21,MATCH($A33,drops!$A$2:$A$21,0))),""),""))</f>
        <v>46469</v>
      </c>
      <c r="Q33" s="30" t="str">
        <f aca="false">IF($B33="","",IFERROR(IF(INDEX(offices!$O$2:$O$61,MATCH($B33,offices!$A$2:$A$61,0))="","",INDEX(offices!$O$2:$O$61,MATCH($B33,offices!$A$2:$A$61,0))),""))</f>
        <v>SAMPLE Brine &amp; Bell PR</v>
      </c>
      <c r="R33" s="30" t="str">
        <f aca="false">IF($B33="","",IFERROR(IF(INDEX(offices!$P$2:$P$61,MATCH($B33,offices!$A$2:$A$61,0))="","",INDEX(offices!$P$2:$P$61,MATCH($B33,offices!$A$2:$A$61,0))),""))</f>
        <v>SAMPLE 170 Example Avenue</v>
      </c>
      <c r="S33" s="30" t="str">
        <f aca="false">IF($B33="","",IFERROR(IF(INDEX(offices!$Q$2:$Q$61,MATCH($B33,offices!$A$2:$A$61,0))="","",INDEX(offices!$Q$2:$Q$61,MATCH($B33,offices!$A$2:$A$61,0))),""))</f>
        <v>SAMPLE Floor 9</v>
      </c>
      <c r="T33" s="30" t="str">
        <f aca="false">IF($B33="","",IFERROR(IF(INDEX(offices!$Z$2:$Z$61,MATCH($B33,offices!$A$2:$A$61,0))="","",INDEX(offices!$Z$2:$Z$61,MATCH($B33,offices!$A$2:$A$61,0))),""))</f>
        <v>9 to 11 am</v>
      </c>
      <c r="U33" s="30" t="str">
        <f aca="false">IF($B33="","",IFERROR(IF(INDEX(offices!$Y$2:$Y$61,MATCH($B33,offices!$A$2:$A$61,0))="","",INDEX(offices!$Y$2:$Y$61,MATCH($B33,offices!$A$2:$A$61,0))),""))</f>
        <v>front desk</v>
      </c>
      <c r="V33" s="30" t="str">
        <f aca="false">IF($B33="","",IFERROR(IF(INDEX(offices!$V$2:$V$61,MATCH($B33,offices!$A$2:$A$61,0))="","",INDEX(offices!$V$2:$V$61,MATCH($B33,offices!$A$2:$A$61,0))),""))</f>
        <v>SAMPLE Owner 007</v>
      </c>
      <c r="W33" s="30" t="str">
        <f aca="false">IF($B33="","",IFERROR(IF(INDEX(offices!$AJ$2:$AJ$61,MATCH($B33,offices!$A$2:$A$61,0))="","",INDEX(offices!$AJ$2:$AJ$61,MATCH($B33,offices!$A$2:$A$61,0))),""))</f>
        <v>SAMPLE (212) 555-0107</v>
      </c>
      <c r="X33" s="30" t="str">
        <f aca="false">IF($B33="","",IFERROR(IF(INDEX(offices!$G$2:$G$61,MATCH($B33,offices!$A$2:$A$61,0))="","",INDEX(offices!$G$2:$G$61,MATCH($B33,offices!$A$2:$A$61,0))),""))</f>
        <v>Y</v>
      </c>
      <c r="Y33" s="30" t="str">
        <f aca="false">IF($B33="","",IFERROR(IF(INDEX(offices!$I$2:$I$61,MATCH($B33,offices!$A$2:$A$61,0))="","",INDEX(offices!$I$2:$I$61,MATCH($B33,offices!$A$2:$A$61,0))),""))</f>
        <v>not_needed</v>
      </c>
      <c r="Z33" s="30" t="n">
        <f aca="false">IF($A33="","",COUNTIFS(approvals!$H$2:$H$251,$A33,approvals!$B$2:$B$251,$B33,approvals!$P$2:$P$251,"Y"))</f>
        <v>2</v>
      </c>
      <c r="AA33" s="30" t="n">
        <f aca="false">IF($A33="","",SUMIFS(approvals!$S$2:$S$251,approvals!$H$2:$H$251,$A33,approvals!$B$2:$B$251,$B33,approvals!$P$2:$P$251,"Y"))</f>
        <v>120</v>
      </c>
      <c r="AB33" s="30" t="str">
        <f aca="false">IF(OR($A33="",$P33=""),"",IF(COUNTIFS(stops!$B$2:$B$151,$B33,stops!$P$2:$P$151,"&lt;"&amp;$P33,stops!$L$2:$L$151,"&lt;&gt;not_delivered")=0,"Y","N"))</f>
        <v>N</v>
      </c>
      <c r="AC33" s="30" t="str">
        <f aca="false">IF(OR($I33="",$J33=""),"",ROUND(($J33-$I33)*1440,0))</f>
        <v/>
      </c>
      <c r="AD33" s="30" t="str">
        <f aca="true">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30" t="str">
        <f aca="false">IF($B33="","",IFERROR(IF(INDEX(offices!$H$2:$H$61,MATCH($B33,offices!$A$2:$A$61,0))="","",INDEX(offices!$H$2:$H$61,MATCH($B33,offices!$A$2:$A$61,0))),""))</f>
        <v>SAMPLE desk sends you up to 11; pantry at the end of the hall</v>
      </c>
      <c r="AF33" s="30" t="str">
        <f aca="false">IF($A33="","",IF(AND($L33="declined",N($Z33)&gt;0,COUNTIFS(approvals!$H$2:$H$251,$A33,approvals!$B$2:$B$251,$B33,approvals!$P$2:$P$251,"Y",approvals!$U$2:$U$251,"&gt;0")=0),"Y",""))</f>
        <v/>
      </c>
    </row>
    <row r="34" customFormat="false" ht="15" hidden="false" customHeight="false" outlineLevel="0" collapsed="false">
      <c r="A34" s="0" t="s">
        <v>353</v>
      </c>
      <c r="B34" s="0" t="s">
        <v>694</v>
      </c>
      <c r="C34" s="0" t="n">
        <v>8</v>
      </c>
      <c r="D34" s="38" t="n">
        <v>0.416666666666667</v>
      </c>
      <c r="E34" s="11" t="n">
        <v>46464</v>
      </c>
      <c r="F34" s="11" t="n">
        <v>46468</v>
      </c>
      <c r="G34" s="11" t="n">
        <v>46464</v>
      </c>
      <c r="H34" s="10" t="s">
        <v>775</v>
      </c>
      <c r="I34" s="38" t="n">
        <v>0.429166666666667</v>
      </c>
      <c r="J34" s="38"/>
      <c r="K34" s="10" t="s">
        <v>767</v>
      </c>
      <c r="L34" s="10" t="s">
        <v>764</v>
      </c>
      <c r="M34" s="10" t="s">
        <v>776</v>
      </c>
      <c r="N34" s="11" t="n">
        <v>46482</v>
      </c>
      <c r="O34" s="10" t="s">
        <v>145</v>
      </c>
      <c r="P34" s="31" t="n">
        <f aca="false">IF($A34="","",IF(IFERROR(IF(INDEX(drops!$I$2:$I$21,MATCH($A34,drops!$A$2:$A$21,0))="","",INDEX(drops!$I$2:$I$21,MATCH($A34,drops!$A$2:$A$21,0))),"")="OK",IFERROR(IF(INDEX(drops!$B$2:$B$21,MATCH($A34,drops!$A$2:$A$21,0))="","",INDEX(drops!$B$2:$B$21,MATCH($A34,drops!$A$2:$A$21,0))),""),""))</f>
        <v>46469</v>
      </c>
      <c r="Q34" s="30" t="str">
        <f aca="false">IF($B34="","",IFERROR(IF(INDEX(offices!$O$2:$O$61,MATCH($B34,offices!$A$2:$A$61,0))="","",INDEX(offices!$O$2:$O$61,MATCH($B34,offices!$A$2:$A$61,0))),""))</f>
        <v>SAMPLE Larch Legal</v>
      </c>
      <c r="R34" s="30" t="str">
        <f aca="false">IF($B34="","",IFERROR(IF(INDEX(offices!$P$2:$P$61,MATCH($B34,offices!$A$2:$A$61,0))="","",INDEX(offices!$P$2:$P$61,MATCH($B34,offices!$A$2:$A$61,0))),""))</f>
        <v>SAMPLE 180 Example Avenue</v>
      </c>
      <c r="S34" s="30" t="str">
        <f aca="false">IF($B34="","",IFERROR(IF(INDEX(offices!$Q$2:$Q$61,MATCH($B34,offices!$A$2:$A$61,0))="","",INDEX(offices!$Q$2:$Q$61,MATCH($B34,offices!$A$2:$A$61,0))),""))</f>
        <v>SAMPLE Floor 10</v>
      </c>
      <c r="T34" s="30" t="str">
        <f aca="false">IF($B34="","",IFERROR(IF(INDEX(offices!$Z$2:$Z$61,MATCH($B34,offices!$A$2:$A$61,0))="","",INDEX(offices!$Z$2:$Z$61,MATCH($B34,offices!$A$2:$A$61,0))),""))</f>
        <v>9 to 11 am</v>
      </c>
      <c r="U34" s="30" t="str">
        <f aca="false">IF($B34="","",IFERROR(IF(INDEX(offices!$Y$2:$Y$61,MATCH($B34,offices!$A$2:$A$61,0))="","",INDEX(offices!$Y$2:$Y$61,MATCH($B34,offices!$A$2:$A$61,0))),""))</f>
        <v>front desk</v>
      </c>
      <c r="V34" s="30" t="str">
        <f aca="false">IF($B34="","",IFERROR(IF(INDEX(offices!$V$2:$V$61,MATCH($B34,offices!$A$2:$A$61,0))="","",INDEX(offices!$V$2:$V$61,MATCH($B34,offices!$A$2:$A$61,0))),""))</f>
        <v>SAMPLE Owner 008</v>
      </c>
      <c r="W34" s="30" t="str">
        <f aca="false">IF($B34="","",IFERROR(IF(INDEX(offices!$AJ$2:$AJ$61,MATCH($B34,offices!$A$2:$A$61,0))="","",INDEX(offices!$AJ$2:$AJ$61,MATCH($B34,offices!$A$2:$A$61,0))),""))</f>
        <v>SAMPLE (212) 555-0108</v>
      </c>
      <c r="X34" s="30" t="str">
        <f aca="false">IF($B34="","",IFERROR(IF(INDEX(offices!$G$2:$G$61,MATCH($B34,offices!$A$2:$A$61,0))="","",INDEX(offices!$G$2:$G$61,MATCH($B34,offices!$A$2:$A$61,0))),""))</f>
        <v>Y</v>
      </c>
      <c r="Y34" s="30" t="str">
        <f aca="false">IF($B34="","",IFERROR(IF(INDEX(offices!$I$2:$I$61,MATCH($B34,offices!$A$2:$A$61,0))="","",INDEX(offices!$I$2:$I$61,MATCH($B34,offices!$A$2:$A$61,0))),""))</f>
        <v>received</v>
      </c>
      <c r="Z34" s="30" t="n">
        <f aca="false">IF($A34="","",COUNTIFS(approvals!$H$2:$H$251,$A34,approvals!$B$2:$B$251,$B34,approvals!$P$2:$P$251,"Y"))</f>
        <v>2</v>
      </c>
      <c r="AA34" s="30" t="n">
        <f aca="false">IF($A34="","",SUMIFS(approvals!$S$2:$S$251,approvals!$H$2:$H$251,$A34,approvals!$B$2:$B$251,$B34,approvals!$P$2:$P$251,"Y"))</f>
        <v>90</v>
      </c>
      <c r="AB34" s="30" t="str">
        <f aca="false">IF(OR($A34="",$P34=""),"",IF(COUNTIFS(stops!$B$2:$B$151,$B34,stops!$P$2:$P$151,"&lt;"&amp;$P34,stops!$L$2:$L$151,"&lt;&gt;not_delivered")=0,"Y","N"))</f>
        <v>N</v>
      </c>
      <c r="AC34" s="30" t="str">
        <f aca="false">IF(OR($I34="",$J34=""),"",ROUND(($J34-$I34)*1440,0))</f>
        <v/>
      </c>
      <c r="AD34" s="30" t="str">
        <f aca="true">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info: 1 brand(s) turned away at the door, the rest delivered; </v>
      </c>
      <c r="AE34" s="30" t="str">
        <f aca="false">IF($B34="","",IFERROR(IF(INDEX(offices!$H$2:$H$61,MATCH($B34,offices!$A$2:$A$61,0))="","",INDEX(offices!$H$2:$H$61,MATCH($B34,offices!$A$2:$A$61,0))),""))</f>
        <v>SAMPLE certificate required at the desk; 6th floor</v>
      </c>
      <c r="AF34" s="30" t="str">
        <f aca="false">IF($A34="","",IF(AND($L34="declined",N($Z34)&gt;0,COUNTIFS(approvals!$H$2:$H$251,$A34,approvals!$B$2:$B$251,$B34,approvals!$P$2:$P$251,"Y",approvals!$U$2:$U$251,"&gt;0")=0),"Y",""))</f>
        <v/>
      </c>
    </row>
    <row r="35" customFormat="false" ht="15" hidden="false" customHeight="false" outlineLevel="0" collapsed="false">
      <c r="A35" s="0" t="s">
        <v>353</v>
      </c>
      <c r="B35" s="0" t="s">
        <v>696</v>
      </c>
      <c r="C35" s="0" t="n">
        <v>9</v>
      </c>
      <c r="D35" s="38" t="n">
        <v>0.4375</v>
      </c>
      <c r="E35" s="11" t="n">
        <v>46464</v>
      </c>
      <c r="F35" s="11" t="n">
        <v>46468</v>
      </c>
      <c r="G35" s="11"/>
      <c r="H35" s="10" t="s">
        <v>777</v>
      </c>
      <c r="I35" s="38" t="n">
        <v>0.438888888888889</v>
      </c>
      <c r="J35" s="38" t="n">
        <v>0.447222222222222</v>
      </c>
      <c r="K35" s="10" t="s">
        <v>755</v>
      </c>
      <c r="L35" s="10" t="s">
        <v>757</v>
      </c>
      <c r="M35" s="10" t="s">
        <v>778</v>
      </c>
      <c r="N35" s="11" t="n">
        <v>46482</v>
      </c>
      <c r="O35" s="10" t="s">
        <v>496</v>
      </c>
      <c r="P35" s="31" t="n">
        <f aca="false">IF($A35="","",IF(IFERROR(IF(INDEX(drops!$I$2:$I$21,MATCH($A35,drops!$A$2:$A$21,0))="","",INDEX(drops!$I$2:$I$21,MATCH($A35,drops!$A$2:$A$21,0))),"")="OK",IFERROR(IF(INDEX(drops!$B$2:$B$21,MATCH($A35,drops!$A$2:$A$21,0))="","",INDEX(drops!$B$2:$B$21,MATCH($A35,drops!$A$2:$A$21,0))),""),""))</f>
        <v>46469</v>
      </c>
      <c r="Q35" s="30" t="str">
        <f aca="false">IF($B35="","",IFERROR(IF(INDEX(offices!$O$2:$O$61,MATCH($B35,offices!$A$2:$A$61,0))="","",INDEX(offices!$O$2:$O$61,MATCH($B35,offices!$A$2:$A$61,0))),""))</f>
        <v>SAMPLE Overlook Games</v>
      </c>
      <c r="R35" s="30" t="str">
        <f aca="false">IF($B35="","",IFERROR(IF(INDEX(offices!$P$2:$P$61,MATCH($B35,offices!$A$2:$A$61,0))="","",INDEX(offices!$P$2:$P$61,MATCH($B35,offices!$A$2:$A$61,0))),""))</f>
        <v>SAMPLE 190 Example Avenue</v>
      </c>
      <c r="S35" s="30" t="str">
        <f aca="false">IF($B35="","",IFERROR(IF(INDEX(offices!$Q$2:$Q$61,MATCH($B35,offices!$A$2:$A$61,0))="","",INDEX(offices!$Q$2:$Q$61,MATCH($B35,offices!$A$2:$A$61,0))),""))</f>
        <v>SAMPLE Floor 2</v>
      </c>
      <c r="T35" s="30" t="str">
        <f aca="false">IF($B35="","",IFERROR(IF(INDEX(offices!$Z$2:$Z$61,MATCH($B35,offices!$A$2:$A$61,0))="","",INDEX(offices!$Z$2:$Z$61,MATCH($B35,offices!$A$2:$A$61,0))),""))</f>
        <v>10 am to noon</v>
      </c>
      <c r="U35" s="30" t="str">
        <f aca="false">IF($B35="","",IFERROR(IF(INDEX(offices!$Y$2:$Y$61,MATCH($B35,offices!$A$2:$A$61,0))="","",INDEX(offices!$Y$2:$Y$61,MATCH($B35,offices!$A$2:$A$61,0))),""))</f>
        <v>front desk</v>
      </c>
      <c r="V35" s="30" t="str">
        <f aca="false">IF($B35="","",IFERROR(IF(INDEX(offices!$V$2:$V$61,MATCH($B35,offices!$A$2:$A$61,0))="","",INDEX(offices!$V$2:$V$61,MATCH($B35,offices!$A$2:$A$61,0))),""))</f>
        <v>SAMPLE Owner 009</v>
      </c>
      <c r="W35" s="30" t="str">
        <f aca="false">IF($B35="","",IFERROR(IF(INDEX(offices!$AJ$2:$AJ$61,MATCH($B35,offices!$A$2:$A$61,0))="","",INDEX(offices!$AJ$2:$AJ$61,MATCH($B35,offices!$A$2:$A$61,0))),""))</f>
        <v>SAMPLE (212) 555-0109</v>
      </c>
      <c r="X35" s="30" t="str">
        <f aca="false">IF($B35="","",IFERROR(IF(INDEX(offices!$G$2:$G$61,MATCH($B35,offices!$A$2:$A$61,0))="","",INDEX(offices!$G$2:$G$61,MATCH($B35,offices!$A$2:$A$61,0))),""))</f>
        <v>N</v>
      </c>
      <c r="Y35" s="30" t="str">
        <f aca="false">IF($B35="","",IFERROR(IF(INDEX(offices!$I$2:$I$61,MATCH($B35,offices!$A$2:$A$61,0))="","",INDEX(offices!$I$2:$I$61,MATCH($B35,offices!$A$2:$A$61,0))),""))</f>
        <v>not_needed</v>
      </c>
      <c r="Z35" s="30" t="n">
        <f aca="false">IF($A35="","",COUNTIFS(approvals!$H$2:$H$251,$A35,approvals!$B$2:$B$251,$B35,approvals!$P$2:$P$251,"Y"))</f>
        <v>2</v>
      </c>
      <c r="AA35" s="30" t="n">
        <f aca="false">IF($A35="","",SUMIFS(approvals!$S$2:$S$251,approvals!$H$2:$H$251,$A35,approvals!$B$2:$B$251,$B35,approvals!$P$2:$P$251,"Y"))</f>
        <v>150</v>
      </c>
      <c r="AB35" s="30" t="str">
        <f aca="false">IF(OR($A35="",$P35=""),"",IF(COUNTIFS(stops!$B$2:$B$151,$B35,stops!$P$2:$P$151,"&lt;"&amp;$P35,stops!$L$2:$L$151,"&lt;&gt;not_delivered")=0,"Y","N"))</f>
        <v>N</v>
      </c>
      <c r="AC35" s="30" t="n">
        <f aca="false">IF(OR($I35="",$J35=""),"",ROUND(($J35-$I35)*1440,0))</f>
        <v>12</v>
      </c>
      <c r="AD35" s="30" t="str">
        <f aca="true">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info: direct-ship, and the front desk will not hold food: the brand ships this office's cartons to you with the reserve and you deliver them yourself on T (the tracking sheet and the ship-date email say so); info: front desk not agreed: the owner must take it; </v>
      </c>
      <c r="AE35" s="30" t="str">
        <f aca="false">IF($B35="","",IFERROR(IF(INDEX(offices!$H$2:$H$61,MATCH($B35,offices!$A$2:$A$61,0))="","",INDEX(offices!$H$2:$H$61,MATCH($B35,offices!$A$2:$A$61,0))),""))</f>
        <v>SAMPLE owner must take it; desk will not hold food</v>
      </c>
      <c r="AF35" s="30" t="str">
        <f aca="false">IF($A35="","",IF(AND($L35="declined",N($Z35)&gt;0,COUNTIFS(approvals!$H$2:$H$251,$A35,approvals!$B$2:$B$251,$B35,approvals!$P$2:$P$251,"Y",approvals!$U$2:$U$251,"&gt;0")=0),"Y",""))</f>
        <v/>
      </c>
    </row>
    <row r="36" customFormat="false" ht="15" hidden="false" customHeight="false" outlineLevel="0" collapsed="false">
      <c r="A36" s="0" t="s">
        <v>353</v>
      </c>
      <c r="B36" s="0" t="s">
        <v>698</v>
      </c>
      <c r="C36" s="0" t="n">
        <v>10</v>
      </c>
      <c r="D36" s="38" t="n">
        <v>0.416666666666667</v>
      </c>
      <c r="E36" s="11" t="n">
        <v>46464</v>
      </c>
      <c r="F36" s="11" t="n">
        <v>46468</v>
      </c>
      <c r="G36" s="11" t="n">
        <v>46464</v>
      </c>
      <c r="H36" s="10" t="s">
        <v>779</v>
      </c>
      <c r="I36" s="38" t="n">
        <v>0.430555555555556</v>
      </c>
      <c r="J36" s="38"/>
      <c r="K36" s="10" t="s">
        <v>767</v>
      </c>
      <c r="L36" s="10" t="s">
        <v>768</v>
      </c>
      <c r="N36" s="11" t="n">
        <v>46482</v>
      </c>
      <c r="O36" s="10" t="s">
        <v>496</v>
      </c>
      <c r="P36" s="31" t="n">
        <f aca="false">IF($A36="","",IF(IFERROR(IF(INDEX(drops!$I$2:$I$21,MATCH($A36,drops!$A$2:$A$21,0))="","",INDEX(drops!$I$2:$I$21,MATCH($A36,drops!$A$2:$A$21,0))),"")="OK",IFERROR(IF(INDEX(drops!$B$2:$B$21,MATCH($A36,drops!$A$2:$A$21,0))="","",INDEX(drops!$B$2:$B$21,MATCH($A36,drops!$A$2:$A$21,0))),""),""))</f>
        <v>46469</v>
      </c>
      <c r="Q36" s="30" t="str">
        <f aca="false">IF($B36="","",IFERROR(IF(INDEX(offices!$O$2:$O$61,MATCH($B36,offices!$A$2:$A$61,0))="","",INDEX(offices!$O$2:$O$61,MATCH($B36,offices!$A$2:$A$61,0))),""))</f>
        <v>SAMPLE Quill Nonprofit Press</v>
      </c>
      <c r="R36" s="30" t="str">
        <f aca="false">IF($B36="","",IFERROR(IF(INDEX(offices!$P$2:$P$61,MATCH($B36,offices!$A$2:$A$61,0))="","",INDEX(offices!$P$2:$P$61,MATCH($B36,offices!$A$2:$A$61,0))),""))</f>
        <v>SAMPLE 200 Example Avenue</v>
      </c>
      <c r="S36" s="30" t="str">
        <f aca="false">IF($B36="","",IFERROR(IF(INDEX(offices!$Q$2:$Q$61,MATCH($B36,offices!$A$2:$A$61,0))="","",INDEX(offices!$Q$2:$Q$61,MATCH($B36,offices!$A$2:$A$61,0))),""))</f>
        <v>SAMPLE Floor 3</v>
      </c>
      <c r="T36" s="30" t="str">
        <f aca="false">IF($B36="","",IFERROR(IF(INDEX(offices!$Z$2:$Z$61,MATCH($B36,offices!$A$2:$A$61,0))="","",INDEX(offices!$Z$2:$Z$61,MATCH($B36,offices!$A$2:$A$61,0))),""))</f>
        <v>8 to 10 am</v>
      </c>
      <c r="U36" s="30" t="str">
        <f aca="false">IF($B36="","",IFERROR(IF(INDEX(offices!$Y$2:$Y$61,MATCH($B36,offices!$A$2:$A$61,0))="","",INDEX(offices!$Y$2:$Y$61,MATCH($B36,offices!$A$2:$A$61,0))),""))</f>
        <v>walk-up</v>
      </c>
      <c r="V36" s="30" t="str">
        <f aca="false">IF($B36="","",IFERROR(IF(INDEX(offices!$V$2:$V$61,MATCH($B36,offices!$A$2:$A$61,0))="","",INDEX(offices!$V$2:$V$61,MATCH($B36,offices!$A$2:$A$61,0))),""))</f>
        <v>SAMPLE Owner 010</v>
      </c>
      <c r="W36" s="30" t="str">
        <f aca="false">IF($B36="","",IFERROR(IF(INDEX(offices!$AJ$2:$AJ$61,MATCH($B36,offices!$A$2:$A$61,0))="","",INDEX(offices!$AJ$2:$AJ$61,MATCH($B36,offices!$A$2:$A$61,0))),""))</f>
        <v>SAMPLE (212) 555-0110</v>
      </c>
      <c r="X36" s="30" t="str">
        <f aca="false">IF($B36="","",IFERROR(IF(INDEX(offices!$G$2:$G$61,MATCH($B36,offices!$A$2:$A$61,0))="","",INDEX(offices!$G$2:$G$61,MATCH($B36,offices!$A$2:$A$61,0))),""))</f>
        <v>N</v>
      </c>
      <c r="Y36" s="30" t="str">
        <f aca="false">IF($B36="","",IFERROR(IF(INDEX(offices!$I$2:$I$61,MATCH($B36,offices!$A$2:$A$61,0))="","",INDEX(offices!$I$2:$I$61,MATCH($B36,offices!$A$2:$A$61,0))),""))</f>
        <v>not_needed</v>
      </c>
      <c r="Z36" s="30" t="n">
        <f aca="false">IF($A36="","",COUNTIFS(approvals!$H$2:$H$251,$A36,approvals!$B$2:$B$251,$B36,approvals!$P$2:$P$251,"Y"))</f>
        <v>2</v>
      </c>
      <c r="AA36" s="30" t="n">
        <f aca="false">IF($A36="","",SUMIFS(approvals!$S$2:$S$251,approvals!$H$2:$H$251,$A36,approvals!$B$2:$B$251,$B36,approvals!$P$2:$P$251,"Y"))</f>
        <v>80</v>
      </c>
      <c r="AB36" s="30" t="str">
        <f aca="false">IF(OR($A36="",$P36=""),"",IF(COUNTIFS(stops!$B$2:$B$151,$B36,stops!$P$2:$P$151,"&lt;"&amp;$P36,stops!$L$2:$L$151,"&lt;&gt;not_delivered")=0,"Y","N"))</f>
        <v>N</v>
      </c>
      <c r="AC36" s="30" t="str">
        <f aca="false">IF(OR($I36="",$J36=""),"",ROUND(($J36-$I36)*1440,0))</f>
        <v/>
      </c>
      <c r="AD36" s="30" t="str">
        <f aca="true">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30" t="str">
        <f aca="false">IF($B36="","",IFERROR(IF(INDEX(offices!$H$2:$H$61,MATCH($B36,offices!$A$2:$A$61,0))="","",INDEX(offices!$H$2:$H$61,MATCH($B36,offices!$A$2:$A$61,0))),""))</f>
        <v>SAMPLE walk-up, 2nd floor, kitchen on the right</v>
      </c>
      <c r="AF36" s="30" t="str">
        <f aca="false">IF($A36="","",IF(AND($L36="declined",N($Z36)&gt;0,COUNTIFS(approvals!$H$2:$H$251,$A36,approvals!$B$2:$B$251,$B36,approvals!$P$2:$P$251,"Y",approvals!$U$2:$U$251,"&gt;0")=0),"Y",""))</f>
        <v/>
      </c>
    </row>
    <row r="37" customFormat="false" ht="15" hidden="false" customHeight="false" outlineLevel="0" collapsed="false">
      <c r="D37" s="38"/>
      <c r="E37" s="11"/>
      <c r="F37" s="11"/>
      <c r="G37" s="11"/>
      <c r="I37" s="38"/>
      <c r="J37" s="38"/>
      <c r="K37" s="10"/>
      <c r="L37" s="10"/>
      <c r="N37" s="11"/>
      <c r="O37" s="10"/>
      <c r="P37" s="31" t="str">
        <f aca="false">IF($A37="","",IF(IFERROR(IF(INDEX(drops!$I$2:$I$21,MATCH($A37,drops!$A$2:$A$21,0))="","",INDEX(drops!$I$2:$I$21,MATCH($A37,drops!$A$2:$A$21,0))),"")="OK",IFERROR(IF(INDEX(drops!$B$2:$B$21,MATCH($A37,drops!$A$2:$A$21,0))="","",INDEX(drops!$B$2:$B$21,MATCH($A37,drops!$A$2:$A$21,0))),""),""))</f>
        <v/>
      </c>
      <c r="Q37" s="30" t="str">
        <f aca="false">IF($B37="","",IFERROR(IF(INDEX(offices!$O$2:$O$61,MATCH($B37,offices!$A$2:$A$61,0))="","",INDEX(offices!$O$2:$O$61,MATCH($B37,offices!$A$2:$A$61,0))),""))</f>
        <v/>
      </c>
      <c r="R37" s="30" t="str">
        <f aca="false">IF($B37="","",IFERROR(IF(INDEX(offices!$P$2:$P$61,MATCH($B37,offices!$A$2:$A$61,0))="","",INDEX(offices!$P$2:$P$61,MATCH($B37,offices!$A$2:$A$61,0))),""))</f>
        <v/>
      </c>
      <c r="S37" s="30" t="str">
        <f aca="false">IF($B37="","",IFERROR(IF(INDEX(offices!$Q$2:$Q$61,MATCH($B37,offices!$A$2:$A$61,0))="","",INDEX(offices!$Q$2:$Q$61,MATCH($B37,offices!$A$2:$A$61,0))),""))</f>
        <v/>
      </c>
      <c r="T37" s="30" t="str">
        <f aca="false">IF($B37="","",IFERROR(IF(INDEX(offices!$Z$2:$Z$61,MATCH($B37,offices!$A$2:$A$61,0))="","",INDEX(offices!$Z$2:$Z$61,MATCH($B37,offices!$A$2:$A$61,0))),""))</f>
        <v/>
      </c>
      <c r="U37" s="30" t="str">
        <f aca="false">IF($B37="","",IFERROR(IF(INDEX(offices!$Y$2:$Y$61,MATCH($B37,offices!$A$2:$A$61,0))="","",INDEX(offices!$Y$2:$Y$61,MATCH($B37,offices!$A$2:$A$61,0))),""))</f>
        <v/>
      </c>
      <c r="V37" s="30" t="str">
        <f aca="false">IF($B37="","",IFERROR(IF(INDEX(offices!$V$2:$V$61,MATCH($B37,offices!$A$2:$A$61,0))="","",INDEX(offices!$V$2:$V$61,MATCH($B37,offices!$A$2:$A$61,0))),""))</f>
        <v/>
      </c>
      <c r="W37" s="30" t="str">
        <f aca="false">IF($B37="","",IFERROR(IF(INDEX(offices!$AJ$2:$AJ$61,MATCH($B37,offices!$A$2:$A$61,0))="","",INDEX(offices!$AJ$2:$AJ$61,MATCH($B37,offices!$A$2:$A$61,0))),""))</f>
        <v/>
      </c>
      <c r="X37" s="30" t="str">
        <f aca="false">IF($B37="","",IFERROR(IF(INDEX(offices!$G$2:$G$61,MATCH($B37,offices!$A$2:$A$61,0))="","",INDEX(offices!$G$2:$G$61,MATCH($B37,offices!$A$2:$A$61,0))),""))</f>
        <v/>
      </c>
      <c r="Y37" s="30" t="str">
        <f aca="false">IF($B37="","",IFERROR(IF(INDEX(offices!$I$2:$I$61,MATCH($B37,offices!$A$2:$A$61,0))="","",INDEX(offices!$I$2:$I$61,MATCH($B37,offices!$A$2:$A$61,0))),""))</f>
        <v/>
      </c>
      <c r="Z37" s="30" t="str">
        <f aca="false">IF($A37="","",COUNTIFS(approvals!$H$2:$H$251,$A37,approvals!$B$2:$B$251,$B37,approvals!$P$2:$P$251,"Y"))</f>
        <v/>
      </c>
      <c r="AA37" s="30" t="str">
        <f aca="false">IF($A37="","",SUMIFS(approvals!$S$2:$S$251,approvals!$H$2:$H$251,$A37,approvals!$B$2:$B$251,$B37,approvals!$P$2:$P$251,"Y"))</f>
        <v/>
      </c>
      <c r="AB37" s="30" t="str">
        <f aca="false">IF(OR($A37="",$P37=""),"",IF(COUNTIFS(stops!$B$2:$B$151,$B37,stops!$P$2:$P$151,"&lt;"&amp;$P37,stops!$L$2:$L$151,"&lt;&gt;not_delivered")=0,"Y","N"))</f>
        <v/>
      </c>
      <c r="AC37" s="30" t="str">
        <f aca="false">IF(OR($I37="",$J37=""),"",ROUND(($J37-$I37)*1440,0))</f>
        <v/>
      </c>
      <c r="AD37" s="30" t="str">
        <f aca="true">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30" t="str">
        <f aca="false">IF($B37="","",IFERROR(IF(INDEX(offices!$H$2:$H$61,MATCH($B37,offices!$A$2:$A$61,0))="","",INDEX(offices!$H$2:$H$61,MATCH($B37,offices!$A$2:$A$61,0))),""))</f>
        <v/>
      </c>
      <c r="AF37" s="30" t="str">
        <f aca="false">IF($A37="","",IF(AND($L37="declined",N($Z37)&gt;0,COUNTIFS(approvals!$H$2:$H$251,$A37,approvals!$B$2:$B$251,$B37,approvals!$P$2:$P$251,"Y",approvals!$U$2:$U$251,"&gt;0")=0),"Y",""))</f>
        <v/>
      </c>
    </row>
    <row r="38" customFormat="false" ht="15" hidden="false" customHeight="false" outlineLevel="0" collapsed="false">
      <c r="D38" s="38"/>
      <c r="E38" s="11"/>
      <c r="F38" s="11"/>
      <c r="G38" s="11"/>
      <c r="I38" s="38"/>
      <c r="J38" s="38"/>
      <c r="K38" s="10"/>
      <c r="L38" s="10"/>
      <c r="N38" s="11"/>
      <c r="O38" s="10"/>
      <c r="P38" s="31" t="str">
        <f aca="false">IF($A38="","",IF(IFERROR(IF(INDEX(drops!$I$2:$I$21,MATCH($A38,drops!$A$2:$A$21,0))="","",INDEX(drops!$I$2:$I$21,MATCH($A38,drops!$A$2:$A$21,0))),"")="OK",IFERROR(IF(INDEX(drops!$B$2:$B$21,MATCH($A38,drops!$A$2:$A$21,0))="","",INDEX(drops!$B$2:$B$21,MATCH($A38,drops!$A$2:$A$21,0))),""),""))</f>
        <v/>
      </c>
      <c r="Q38" s="30" t="str">
        <f aca="false">IF($B38="","",IFERROR(IF(INDEX(offices!$O$2:$O$61,MATCH($B38,offices!$A$2:$A$61,0))="","",INDEX(offices!$O$2:$O$61,MATCH($B38,offices!$A$2:$A$61,0))),""))</f>
        <v/>
      </c>
      <c r="R38" s="30" t="str">
        <f aca="false">IF($B38="","",IFERROR(IF(INDEX(offices!$P$2:$P$61,MATCH($B38,offices!$A$2:$A$61,0))="","",INDEX(offices!$P$2:$P$61,MATCH($B38,offices!$A$2:$A$61,0))),""))</f>
        <v/>
      </c>
      <c r="S38" s="30" t="str">
        <f aca="false">IF($B38="","",IFERROR(IF(INDEX(offices!$Q$2:$Q$61,MATCH($B38,offices!$A$2:$A$61,0))="","",INDEX(offices!$Q$2:$Q$61,MATCH($B38,offices!$A$2:$A$61,0))),""))</f>
        <v/>
      </c>
      <c r="T38" s="30" t="str">
        <f aca="false">IF($B38="","",IFERROR(IF(INDEX(offices!$Z$2:$Z$61,MATCH($B38,offices!$A$2:$A$61,0))="","",INDEX(offices!$Z$2:$Z$61,MATCH($B38,offices!$A$2:$A$61,0))),""))</f>
        <v/>
      </c>
      <c r="U38" s="30" t="str">
        <f aca="false">IF($B38="","",IFERROR(IF(INDEX(offices!$Y$2:$Y$61,MATCH($B38,offices!$A$2:$A$61,0))="","",INDEX(offices!$Y$2:$Y$61,MATCH($B38,offices!$A$2:$A$61,0))),""))</f>
        <v/>
      </c>
      <c r="V38" s="30" t="str">
        <f aca="false">IF($B38="","",IFERROR(IF(INDEX(offices!$V$2:$V$61,MATCH($B38,offices!$A$2:$A$61,0))="","",INDEX(offices!$V$2:$V$61,MATCH($B38,offices!$A$2:$A$61,0))),""))</f>
        <v/>
      </c>
      <c r="W38" s="30" t="str">
        <f aca="false">IF($B38="","",IFERROR(IF(INDEX(offices!$AJ$2:$AJ$61,MATCH($B38,offices!$A$2:$A$61,0))="","",INDEX(offices!$AJ$2:$AJ$61,MATCH($B38,offices!$A$2:$A$61,0))),""))</f>
        <v/>
      </c>
      <c r="X38" s="30" t="str">
        <f aca="false">IF($B38="","",IFERROR(IF(INDEX(offices!$G$2:$G$61,MATCH($B38,offices!$A$2:$A$61,0))="","",INDEX(offices!$G$2:$G$61,MATCH($B38,offices!$A$2:$A$61,0))),""))</f>
        <v/>
      </c>
      <c r="Y38" s="30" t="str">
        <f aca="false">IF($B38="","",IFERROR(IF(INDEX(offices!$I$2:$I$61,MATCH($B38,offices!$A$2:$A$61,0))="","",INDEX(offices!$I$2:$I$61,MATCH($B38,offices!$A$2:$A$61,0))),""))</f>
        <v/>
      </c>
      <c r="Z38" s="30" t="str">
        <f aca="false">IF($A38="","",COUNTIFS(approvals!$H$2:$H$251,$A38,approvals!$B$2:$B$251,$B38,approvals!$P$2:$P$251,"Y"))</f>
        <v/>
      </c>
      <c r="AA38" s="30" t="str">
        <f aca="false">IF($A38="","",SUMIFS(approvals!$S$2:$S$251,approvals!$H$2:$H$251,$A38,approvals!$B$2:$B$251,$B38,approvals!$P$2:$P$251,"Y"))</f>
        <v/>
      </c>
      <c r="AB38" s="30" t="str">
        <f aca="false">IF(OR($A38="",$P38=""),"",IF(COUNTIFS(stops!$B$2:$B$151,$B38,stops!$P$2:$P$151,"&lt;"&amp;$P38,stops!$L$2:$L$151,"&lt;&gt;not_delivered")=0,"Y","N"))</f>
        <v/>
      </c>
      <c r="AC38" s="30" t="str">
        <f aca="false">IF(OR($I38="",$J38=""),"",ROUND(($J38-$I38)*1440,0))</f>
        <v/>
      </c>
      <c r="AD38" s="30" t="str">
        <f aca="true">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30" t="str">
        <f aca="false">IF($B38="","",IFERROR(IF(INDEX(offices!$H$2:$H$61,MATCH($B38,offices!$A$2:$A$61,0))="","",INDEX(offices!$H$2:$H$61,MATCH($B38,offices!$A$2:$A$61,0))),""))</f>
        <v/>
      </c>
      <c r="AF38" s="30" t="str">
        <f aca="false">IF($A38="","",IF(AND($L38="declined",N($Z38)&gt;0,COUNTIFS(approvals!$H$2:$H$251,$A38,approvals!$B$2:$B$251,$B38,approvals!$P$2:$P$251,"Y",approvals!$U$2:$U$251,"&gt;0")=0),"Y",""))</f>
        <v/>
      </c>
    </row>
    <row r="39" customFormat="false" ht="15" hidden="false" customHeight="false" outlineLevel="0" collapsed="false">
      <c r="D39" s="38"/>
      <c r="E39" s="11"/>
      <c r="F39" s="11"/>
      <c r="G39" s="11"/>
      <c r="I39" s="38"/>
      <c r="J39" s="38"/>
      <c r="K39" s="10"/>
      <c r="L39" s="10"/>
      <c r="N39" s="11"/>
      <c r="O39" s="10"/>
      <c r="P39" s="31" t="str">
        <f aca="false">IF($A39="","",IF(IFERROR(IF(INDEX(drops!$I$2:$I$21,MATCH($A39,drops!$A$2:$A$21,0))="","",INDEX(drops!$I$2:$I$21,MATCH($A39,drops!$A$2:$A$21,0))),"")="OK",IFERROR(IF(INDEX(drops!$B$2:$B$21,MATCH($A39,drops!$A$2:$A$21,0))="","",INDEX(drops!$B$2:$B$21,MATCH($A39,drops!$A$2:$A$21,0))),""),""))</f>
        <v/>
      </c>
      <c r="Q39" s="30" t="str">
        <f aca="false">IF($B39="","",IFERROR(IF(INDEX(offices!$O$2:$O$61,MATCH($B39,offices!$A$2:$A$61,0))="","",INDEX(offices!$O$2:$O$61,MATCH($B39,offices!$A$2:$A$61,0))),""))</f>
        <v/>
      </c>
      <c r="R39" s="30" t="str">
        <f aca="false">IF($B39="","",IFERROR(IF(INDEX(offices!$P$2:$P$61,MATCH($B39,offices!$A$2:$A$61,0))="","",INDEX(offices!$P$2:$P$61,MATCH($B39,offices!$A$2:$A$61,0))),""))</f>
        <v/>
      </c>
      <c r="S39" s="30" t="str">
        <f aca="false">IF($B39="","",IFERROR(IF(INDEX(offices!$Q$2:$Q$61,MATCH($B39,offices!$A$2:$A$61,0))="","",INDEX(offices!$Q$2:$Q$61,MATCH($B39,offices!$A$2:$A$61,0))),""))</f>
        <v/>
      </c>
      <c r="T39" s="30" t="str">
        <f aca="false">IF($B39="","",IFERROR(IF(INDEX(offices!$Z$2:$Z$61,MATCH($B39,offices!$A$2:$A$61,0))="","",INDEX(offices!$Z$2:$Z$61,MATCH($B39,offices!$A$2:$A$61,0))),""))</f>
        <v/>
      </c>
      <c r="U39" s="30" t="str">
        <f aca="false">IF($B39="","",IFERROR(IF(INDEX(offices!$Y$2:$Y$61,MATCH($B39,offices!$A$2:$A$61,0))="","",INDEX(offices!$Y$2:$Y$61,MATCH($B39,offices!$A$2:$A$61,0))),""))</f>
        <v/>
      </c>
      <c r="V39" s="30" t="str">
        <f aca="false">IF($B39="","",IFERROR(IF(INDEX(offices!$V$2:$V$61,MATCH($B39,offices!$A$2:$A$61,0))="","",INDEX(offices!$V$2:$V$61,MATCH($B39,offices!$A$2:$A$61,0))),""))</f>
        <v/>
      </c>
      <c r="W39" s="30" t="str">
        <f aca="false">IF($B39="","",IFERROR(IF(INDEX(offices!$AJ$2:$AJ$61,MATCH($B39,offices!$A$2:$A$61,0))="","",INDEX(offices!$AJ$2:$AJ$61,MATCH($B39,offices!$A$2:$A$61,0))),""))</f>
        <v/>
      </c>
      <c r="X39" s="30" t="str">
        <f aca="false">IF($B39="","",IFERROR(IF(INDEX(offices!$G$2:$G$61,MATCH($B39,offices!$A$2:$A$61,0))="","",INDEX(offices!$G$2:$G$61,MATCH($B39,offices!$A$2:$A$61,0))),""))</f>
        <v/>
      </c>
      <c r="Y39" s="30" t="str">
        <f aca="false">IF($B39="","",IFERROR(IF(INDEX(offices!$I$2:$I$61,MATCH($B39,offices!$A$2:$A$61,0))="","",INDEX(offices!$I$2:$I$61,MATCH($B39,offices!$A$2:$A$61,0))),""))</f>
        <v/>
      </c>
      <c r="Z39" s="30" t="str">
        <f aca="false">IF($A39="","",COUNTIFS(approvals!$H$2:$H$251,$A39,approvals!$B$2:$B$251,$B39,approvals!$P$2:$P$251,"Y"))</f>
        <v/>
      </c>
      <c r="AA39" s="30" t="str">
        <f aca="false">IF($A39="","",SUMIFS(approvals!$S$2:$S$251,approvals!$H$2:$H$251,$A39,approvals!$B$2:$B$251,$B39,approvals!$P$2:$P$251,"Y"))</f>
        <v/>
      </c>
      <c r="AB39" s="30" t="str">
        <f aca="false">IF(OR($A39="",$P39=""),"",IF(COUNTIFS(stops!$B$2:$B$151,$B39,stops!$P$2:$P$151,"&lt;"&amp;$P39,stops!$L$2:$L$151,"&lt;&gt;not_delivered")=0,"Y","N"))</f>
        <v/>
      </c>
      <c r="AC39" s="30" t="str">
        <f aca="false">IF(OR($I39="",$J39=""),"",ROUND(($J39-$I39)*1440,0))</f>
        <v/>
      </c>
      <c r="AD39" s="30" t="str">
        <f aca="true">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30" t="str">
        <f aca="false">IF($B39="","",IFERROR(IF(INDEX(offices!$H$2:$H$61,MATCH($B39,offices!$A$2:$A$61,0))="","",INDEX(offices!$H$2:$H$61,MATCH($B39,offices!$A$2:$A$61,0))),""))</f>
        <v/>
      </c>
      <c r="AF39" s="30" t="str">
        <f aca="false">IF($A39="","",IF(AND($L39="declined",N($Z39)&gt;0,COUNTIFS(approvals!$H$2:$H$251,$A39,approvals!$B$2:$B$251,$B39,approvals!$P$2:$P$251,"Y",approvals!$U$2:$U$251,"&gt;0")=0),"Y",""))</f>
        <v/>
      </c>
    </row>
    <row r="40" customFormat="false" ht="15" hidden="false" customHeight="false" outlineLevel="0" collapsed="false">
      <c r="D40" s="38"/>
      <c r="E40" s="11"/>
      <c r="F40" s="11"/>
      <c r="G40" s="11"/>
      <c r="I40" s="38"/>
      <c r="J40" s="38"/>
      <c r="K40" s="10"/>
      <c r="L40" s="10"/>
      <c r="N40" s="11"/>
      <c r="O40" s="10"/>
      <c r="P40" s="31" t="str">
        <f aca="false">IF($A40="","",IF(IFERROR(IF(INDEX(drops!$I$2:$I$21,MATCH($A40,drops!$A$2:$A$21,0))="","",INDEX(drops!$I$2:$I$21,MATCH($A40,drops!$A$2:$A$21,0))),"")="OK",IFERROR(IF(INDEX(drops!$B$2:$B$21,MATCH($A40,drops!$A$2:$A$21,0))="","",INDEX(drops!$B$2:$B$21,MATCH($A40,drops!$A$2:$A$21,0))),""),""))</f>
        <v/>
      </c>
      <c r="Q40" s="30" t="str">
        <f aca="false">IF($B40="","",IFERROR(IF(INDEX(offices!$O$2:$O$61,MATCH($B40,offices!$A$2:$A$61,0))="","",INDEX(offices!$O$2:$O$61,MATCH($B40,offices!$A$2:$A$61,0))),""))</f>
        <v/>
      </c>
      <c r="R40" s="30" t="str">
        <f aca="false">IF($B40="","",IFERROR(IF(INDEX(offices!$P$2:$P$61,MATCH($B40,offices!$A$2:$A$61,0))="","",INDEX(offices!$P$2:$P$61,MATCH($B40,offices!$A$2:$A$61,0))),""))</f>
        <v/>
      </c>
      <c r="S40" s="30" t="str">
        <f aca="false">IF($B40="","",IFERROR(IF(INDEX(offices!$Q$2:$Q$61,MATCH($B40,offices!$A$2:$A$61,0))="","",INDEX(offices!$Q$2:$Q$61,MATCH($B40,offices!$A$2:$A$61,0))),""))</f>
        <v/>
      </c>
      <c r="T40" s="30" t="str">
        <f aca="false">IF($B40="","",IFERROR(IF(INDEX(offices!$Z$2:$Z$61,MATCH($B40,offices!$A$2:$A$61,0))="","",INDEX(offices!$Z$2:$Z$61,MATCH($B40,offices!$A$2:$A$61,0))),""))</f>
        <v/>
      </c>
      <c r="U40" s="30" t="str">
        <f aca="false">IF($B40="","",IFERROR(IF(INDEX(offices!$Y$2:$Y$61,MATCH($B40,offices!$A$2:$A$61,0))="","",INDEX(offices!$Y$2:$Y$61,MATCH($B40,offices!$A$2:$A$61,0))),""))</f>
        <v/>
      </c>
      <c r="V40" s="30" t="str">
        <f aca="false">IF($B40="","",IFERROR(IF(INDEX(offices!$V$2:$V$61,MATCH($B40,offices!$A$2:$A$61,0))="","",INDEX(offices!$V$2:$V$61,MATCH($B40,offices!$A$2:$A$61,0))),""))</f>
        <v/>
      </c>
      <c r="W40" s="30" t="str">
        <f aca="false">IF($B40="","",IFERROR(IF(INDEX(offices!$AJ$2:$AJ$61,MATCH($B40,offices!$A$2:$A$61,0))="","",INDEX(offices!$AJ$2:$AJ$61,MATCH($B40,offices!$A$2:$A$61,0))),""))</f>
        <v/>
      </c>
      <c r="X40" s="30" t="str">
        <f aca="false">IF($B40="","",IFERROR(IF(INDEX(offices!$G$2:$G$61,MATCH($B40,offices!$A$2:$A$61,0))="","",INDEX(offices!$G$2:$G$61,MATCH($B40,offices!$A$2:$A$61,0))),""))</f>
        <v/>
      </c>
      <c r="Y40" s="30" t="str">
        <f aca="false">IF($B40="","",IFERROR(IF(INDEX(offices!$I$2:$I$61,MATCH($B40,offices!$A$2:$A$61,0))="","",INDEX(offices!$I$2:$I$61,MATCH($B40,offices!$A$2:$A$61,0))),""))</f>
        <v/>
      </c>
      <c r="Z40" s="30" t="str">
        <f aca="false">IF($A40="","",COUNTIFS(approvals!$H$2:$H$251,$A40,approvals!$B$2:$B$251,$B40,approvals!$P$2:$P$251,"Y"))</f>
        <v/>
      </c>
      <c r="AA40" s="30" t="str">
        <f aca="false">IF($A40="","",SUMIFS(approvals!$S$2:$S$251,approvals!$H$2:$H$251,$A40,approvals!$B$2:$B$251,$B40,approvals!$P$2:$P$251,"Y"))</f>
        <v/>
      </c>
      <c r="AB40" s="30" t="str">
        <f aca="false">IF(OR($A40="",$P40=""),"",IF(COUNTIFS(stops!$B$2:$B$151,$B40,stops!$P$2:$P$151,"&lt;"&amp;$P40,stops!$L$2:$L$151,"&lt;&gt;not_delivered")=0,"Y","N"))</f>
        <v/>
      </c>
      <c r="AC40" s="30" t="str">
        <f aca="false">IF(OR($I40="",$J40=""),"",ROUND(($J40-$I40)*1440,0))</f>
        <v/>
      </c>
      <c r="AD40" s="30" t="str">
        <f aca="true">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30" t="str">
        <f aca="false">IF($B40="","",IFERROR(IF(INDEX(offices!$H$2:$H$61,MATCH($B40,offices!$A$2:$A$61,0))="","",INDEX(offices!$H$2:$H$61,MATCH($B40,offices!$A$2:$A$61,0))),""))</f>
        <v/>
      </c>
      <c r="AF40" s="30" t="str">
        <f aca="false">IF($A40="","",IF(AND($L40="declined",N($Z40)&gt;0,COUNTIFS(approvals!$H$2:$H$251,$A40,approvals!$B$2:$B$251,$B40,approvals!$P$2:$P$251,"Y",approvals!$U$2:$U$251,"&gt;0")=0),"Y",""))</f>
        <v/>
      </c>
    </row>
    <row r="41" customFormat="false" ht="15" hidden="false" customHeight="false" outlineLevel="0" collapsed="false">
      <c r="D41" s="38"/>
      <c r="E41" s="11"/>
      <c r="F41" s="11"/>
      <c r="G41" s="11"/>
      <c r="I41" s="38"/>
      <c r="J41" s="38"/>
      <c r="K41" s="10"/>
      <c r="L41" s="10"/>
      <c r="N41" s="11"/>
      <c r="O41" s="10"/>
      <c r="P41" s="31" t="str">
        <f aca="false">IF($A41="","",IF(IFERROR(IF(INDEX(drops!$I$2:$I$21,MATCH($A41,drops!$A$2:$A$21,0))="","",INDEX(drops!$I$2:$I$21,MATCH($A41,drops!$A$2:$A$21,0))),"")="OK",IFERROR(IF(INDEX(drops!$B$2:$B$21,MATCH($A41,drops!$A$2:$A$21,0))="","",INDEX(drops!$B$2:$B$21,MATCH($A41,drops!$A$2:$A$21,0))),""),""))</f>
        <v/>
      </c>
      <c r="Q41" s="30" t="str">
        <f aca="false">IF($B41="","",IFERROR(IF(INDEX(offices!$O$2:$O$61,MATCH($B41,offices!$A$2:$A$61,0))="","",INDEX(offices!$O$2:$O$61,MATCH($B41,offices!$A$2:$A$61,0))),""))</f>
        <v/>
      </c>
      <c r="R41" s="30" t="str">
        <f aca="false">IF($B41="","",IFERROR(IF(INDEX(offices!$P$2:$P$61,MATCH($B41,offices!$A$2:$A$61,0))="","",INDEX(offices!$P$2:$P$61,MATCH($B41,offices!$A$2:$A$61,0))),""))</f>
        <v/>
      </c>
      <c r="S41" s="30" t="str">
        <f aca="false">IF($B41="","",IFERROR(IF(INDEX(offices!$Q$2:$Q$61,MATCH($B41,offices!$A$2:$A$61,0))="","",INDEX(offices!$Q$2:$Q$61,MATCH($B41,offices!$A$2:$A$61,0))),""))</f>
        <v/>
      </c>
      <c r="T41" s="30" t="str">
        <f aca="false">IF($B41="","",IFERROR(IF(INDEX(offices!$Z$2:$Z$61,MATCH($B41,offices!$A$2:$A$61,0))="","",INDEX(offices!$Z$2:$Z$61,MATCH($B41,offices!$A$2:$A$61,0))),""))</f>
        <v/>
      </c>
      <c r="U41" s="30" t="str">
        <f aca="false">IF($B41="","",IFERROR(IF(INDEX(offices!$Y$2:$Y$61,MATCH($B41,offices!$A$2:$A$61,0))="","",INDEX(offices!$Y$2:$Y$61,MATCH($B41,offices!$A$2:$A$61,0))),""))</f>
        <v/>
      </c>
      <c r="V41" s="30" t="str">
        <f aca="false">IF($B41="","",IFERROR(IF(INDEX(offices!$V$2:$V$61,MATCH($B41,offices!$A$2:$A$61,0))="","",INDEX(offices!$V$2:$V$61,MATCH($B41,offices!$A$2:$A$61,0))),""))</f>
        <v/>
      </c>
      <c r="W41" s="30" t="str">
        <f aca="false">IF($B41="","",IFERROR(IF(INDEX(offices!$AJ$2:$AJ$61,MATCH($B41,offices!$A$2:$A$61,0))="","",INDEX(offices!$AJ$2:$AJ$61,MATCH($B41,offices!$A$2:$A$61,0))),""))</f>
        <v/>
      </c>
      <c r="X41" s="30" t="str">
        <f aca="false">IF($B41="","",IFERROR(IF(INDEX(offices!$G$2:$G$61,MATCH($B41,offices!$A$2:$A$61,0))="","",INDEX(offices!$G$2:$G$61,MATCH($B41,offices!$A$2:$A$61,0))),""))</f>
        <v/>
      </c>
      <c r="Y41" s="30" t="str">
        <f aca="false">IF($B41="","",IFERROR(IF(INDEX(offices!$I$2:$I$61,MATCH($B41,offices!$A$2:$A$61,0))="","",INDEX(offices!$I$2:$I$61,MATCH($B41,offices!$A$2:$A$61,0))),""))</f>
        <v/>
      </c>
      <c r="Z41" s="30" t="str">
        <f aca="false">IF($A41="","",COUNTIFS(approvals!$H$2:$H$251,$A41,approvals!$B$2:$B$251,$B41,approvals!$P$2:$P$251,"Y"))</f>
        <v/>
      </c>
      <c r="AA41" s="30" t="str">
        <f aca="false">IF($A41="","",SUMIFS(approvals!$S$2:$S$251,approvals!$H$2:$H$251,$A41,approvals!$B$2:$B$251,$B41,approvals!$P$2:$P$251,"Y"))</f>
        <v/>
      </c>
      <c r="AB41" s="30" t="str">
        <f aca="false">IF(OR($A41="",$P41=""),"",IF(COUNTIFS(stops!$B$2:$B$151,$B41,stops!$P$2:$P$151,"&lt;"&amp;$P41,stops!$L$2:$L$151,"&lt;&gt;not_delivered")=0,"Y","N"))</f>
        <v/>
      </c>
      <c r="AC41" s="30" t="str">
        <f aca="false">IF(OR($I41="",$J41=""),"",ROUND(($J41-$I41)*1440,0))</f>
        <v/>
      </c>
      <c r="AD41" s="30" t="str">
        <f aca="true">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30" t="str">
        <f aca="false">IF($B41="","",IFERROR(IF(INDEX(offices!$H$2:$H$61,MATCH($B41,offices!$A$2:$A$61,0))="","",INDEX(offices!$H$2:$H$61,MATCH($B41,offices!$A$2:$A$61,0))),""))</f>
        <v/>
      </c>
      <c r="AF41" s="30" t="str">
        <f aca="false">IF($A41="","",IF(AND($L41="declined",N($Z41)&gt;0,COUNTIFS(approvals!$H$2:$H$251,$A41,approvals!$B$2:$B$251,$B41,approvals!$P$2:$P$251,"Y",approvals!$U$2:$U$251,"&gt;0")=0),"Y",""))</f>
        <v/>
      </c>
    </row>
    <row r="42" customFormat="false" ht="15" hidden="false" customHeight="false" outlineLevel="0" collapsed="false">
      <c r="D42" s="38"/>
      <c r="E42" s="11"/>
      <c r="F42" s="11"/>
      <c r="G42" s="11"/>
      <c r="I42" s="38"/>
      <c r="J42" s="38"/>
      <c r="K42" s="10"/>
      <c r="L42" s="10"/>
      <c r="N42" s="11"/>
      <c r="O42" s="10"/>
      <c r="P42" s="31" t="str">
        <f aca="false">IF($A42="","",IF(IFERROR(IF(INDEX(drops!$I$2:$I$21,MATCH($A42,drops!$A$2:$A$21,0))="","",INDEX(drops!$I$2:$I$21,MATCH($A42,drops!$A$2:$A$21,0))),"")="OK",IFERROR(IF(INDEX(drops!$B$2:$B$21,MATCH($A42,drops!$A$2:$A$21,0))="","",INDEX(drops!$B$2:$B$21,MATCH($A42,drops!$A$2:$A$21,0))),""),""))</f>
        <v/>
      </c>
      <c r="Q42" s="30" t="str">
        <f aca="false">IF($B42="","",IFERROR(IF(INDEX(offices!$O$2:$O$61,MATCH($B42,offices!$A$2:$A$61,0))="","",INDEX(offices!$O$2:$O$61,MATCH($B42,offices!$A$2:$A$61,0))),""))</f>
        <v/>
      </c>
      <c r="R42" s="30" t="str">
        <f aca="false">IF($B42="","",IFERROR(IF(INDEX(offices!$P$2:$P$61,MATCH($B42,offices!$A$2:$A$61,0))="","",INDEX(offices!$P$2:$P$61,MATCH($B42,offices!$A$2:$A$61,0))),""))</f>
        <v/>
      </c>
      <c r="S42" s="30" t="str">
        <f aca="false">IF($B42="","",IFERROR(IF(INDEX(offices!$Q$2:$Q$61,MATCH($B42,offices!$A$2:$A$61,0))="","",INDEX(offices!$Q$2:$Q$61,MATCH($B42,offices!$A$2:$A$61,0))),""))</f>
        <v/>
      </c>
      <c r="T42" s="30" t="str">
        <f aca="false">IF($B42="","",IFERROR(IF(INDEX(offices!$Z$2:$Z$61,MATCH($B42,offices!$A$2:$A$61,0))="","",INDEX(offices!$Z$2:$Z$61,MATCH($B42,offices!$A$2:$A$61,0))),""))</f>
        <v/>
      </c>
      <c r="U42" s="30" t="str">
        <f aca="false">IF($B42="","",IFERROR(IF(INDEX(offices!$Y$2:$Y$61,MATCH($B42,offices!$A$2:$A$61,0))="","",INDEX(offices!$Y$2:$Y$61,MATCH($B42,offices!$A$2:$A$61,0))),""))</f>
        <v/>
      </c>
      <c r="V42" s="30" t="str">
        <f aca="false">IF($B42="","",IFERROR(IF(INDEX(offices!$V$2:$V$61,MATCH($B42,offices!$A$2:$A$61,0))="","",INDEX(offices!$V$2:$V$61,MATCH($B42,offices!$A$2:$A$61,0))),""))</f>
        <v/>
      </c>
      <c r="W42" s="30" t="str">
        <f aca="false">IF($B42="","",IFERROR(IF(INDEX(offices!$AJ$2:$AJ$61,MATCH($B42,offices!$A$2:$A$61,0))="","",INDEX(offices!$AJ$2:$AJ$61,MATCH($B42,offices!$A$2:$A$61,0))),""))</f>
        <v/>
      </c>
      <c r="X42" s="30" t="str">
        <f aca="false">IF($B42="","",IFERROR(IF(INDEX(offices!$G$2:$G$61,MATCH($B42,offices!$A$2:$A$61,0))="","",INDEX(offices!$G$2:$G$61,MATCH($B42,offices!$A$2:$A$61,0))),""))</f>
        <v/>
      </c>
      <c r="Y42" s="30" t="str">
        <f aca="false">IF($B42="","",IFERROR(IF(INDEX(offices!$I$2:$I$61,MATCH($B42,offices!$A$2:$A$61,0))="","",INDEX(offices!$I$2:$I$61,MATCH($B42,offices!$A$2:$A$61,0))),""))</f>
        <v/>
      </c>
      <c r="Z42" s="30" t="str">
        <f aca="false">IF($A42="","",COUNTIFS(approvals!$H$2:$H$251,$A42,approvals!$B$2:$B$251,$B42,approvals!$P$2:$P$251,"Y"))</f>
        <v/>
      </c>
      <c r="AA42" s="30" t="str">
        <f aca="false">IF($A42="","",SUMIFS(approvals!$S$2:$S$251,approvals!$H$2:$H$251,$A42,approvals!$B$2:$B$251,$B42,approvals!$P$2:$P$251,"Y"))</f>
        <v/>
      </c>
      <c r="AB42" s="30" t="str">
        <f aca="false">IF(OR($A42="",$P42=""),"",IF(COUNTIFS(stops!$B$2:$B$151,$B42,stops!$P$2:$P$151,"&lt;"&amp;$P42,stops!$L$2:$L$151,"&lt;&gt;not_delivered")=0,"Y","N"))</f>
        <v/>
      </c>
      <c r="AC42" s="30" t="str">
        <f aca="false">IF(OR($I42="",$J42=""),"",ROUND(($J42-$I42)*1440,0))</f>
        <v/>
      </c>
      <c r="AD42" s="30" t="str">
        <f aca="true">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30" t="str">
        <f aca="false">IF($B42="","",IFERROR(IF(INDEX(offices!$H$2:$H$61,MATCH($B42,offices!$A$2:$A$61,0))="","",INDEX(offices!$H$2:$H$61,MATCH($B42,offices!$A$2:$A$61,0))),""))</f>
        <v/>
      </c>
      <c r="AF42" s="30" t="str">
        <f aca="false">IF($A42="","",IF(AND($L42="declined",N($Z42)&gt;0,COUNTIFS(approvals!$H$2:$H$251,$A42,approvals!$B$2:$B$251,$B42,approvals!$P$2:$P$251,"Y",approvals!$U$2:$U$251,"&gt;0")=0),"Y",""))</f>
        <v/>
      </c>
    </row>
    <row r="43" customFormat="false" ht="15" hidden="false" customHeight="false" outlineLevel="0" collapsed="false">
      <c r="D43" s="38"/>
      <c r="E43" s="11"/>
      <c r="F43" s="11"/>
      <c r="G43" s="11"/>
      <c r="I43" s="38"/>
      <c r="J43" s="38"/>
      <c r="K43" s="10"/>
      <c r="L43" s="10"/>
      <c r="N43" s="11"/>
      <c r="O43" s="10"/>
      <c r="P43" s="31" t="str">
        <f aca="false">IF($A43="","",IF(IFERROR(IF(INDEX(drops!$I$2:$I$21,MATCH($A43,drops!$A$2:$A$21,0))="","",INDEX(drops!$I$2:$I$21,MATCH($A43,drops!$A$2:$A$21,0))),"")="OK",IFERROR(IF(INDEX(drops!$B$2:$B$21,MATCH($A43,drops!$A$2:$A$21,0))="","",INDEX(drops!$B$2:$B$21,MATCH($A43,drops!$A$2:$A$21,0))),""),""))</f>
        <v/>
      </c>
      <c r="Q43" s="30" t="str">
        <f aca="false">IF($B43="","",IFERROR(IF(INDEX(offices!$O$2:$O$61,MATCH($B43,offices!$A$2:$A$61,0))="","",INDEX(offices!$O$2:$O$61,MATCH($B43,offices!$A$2:$A$61,0))),""))</f>
        <v/>
      </c>
      <c r="R43" s="30" t="str">
        <f aca="false">IF($B43="","",IFERROR(IF(INDEX(offices!$P$2:$P$61,MATCH($B43,offices!$A$2:$A$61,0))="","",INDEX(offices!$P$2:$P$61,MATCH($B43,offices!$A$2:$A$61,0))),""))</f>
        <v/>
      </c>
      <c r="S43" s="30" t="str">
        <f aca="false">IF($B43="","",IFERROR(IF(INDEX(offices!$Q$2:$Q$61,MATCH($B43,offices!$A$2:$A$61,0))="","",INDEX(offices!$Q$2:$Q$61,MATCH($B43,offices!$A$2:$A$61,0))),""))</f>
        <v/>
      </c>
      <c r="T43" s="30" t="str">
        <f aca="false">IF($B43="","",IFERROR(IF(INDEX(offices!$Z$2:$Z$61,MATCH($B43,offices!$A$2:$A$61,0))="","",INDEX(offices!$Z$2:$Z$61,MATCH($B43,offices!$A$2:$A$61,0))),""))</f>
        <v/>
      </c>
      <c r="U43" s="30" t="str">
        <f aca="false">IF($B43="","",IFERROR(IF(INDEX(offices!$Y$2:$Y$61,MATCH($B43,offices!$A$2:$A$61,0))="","",INDEX(offices!$Y$2:$Y$61,MATCH($B43,offices!$A$2:$A$61,0))),""))</f>
        <v/>
      </c>
      <c r="V43" s="30" t="str">
        <f aca="false">IF($B43="","",IFERROR(IF(INDEX(offices!$V$2:$V$61,MATCH($B43,offices!$A$2:$A$61,0))="","",INDEX(offices!$V$2:$V$61,MATCH($B43,offices!$A$2:$A$61,0))),""))</f>
        <v/>
      </c>
      <c r="W43" s="30" t="str">
        <f aca="false">IF($B43="","",IFERROR(IF(INDEX(offices!$AJ$2:$AJ$61,MATCH($B43,offices!$A$2:$A$61,0))="","",INDEX(offices!$AJ$2:$AJ$61,MATCH($B43,offices!$A$2:$A$61,0))),""))</f>
        <v/>
      </c>
      <c r="X43" s="30" t="str">
        <f aca="false">IF($B43="","",IFERROR(IF(INDEX(offices!$G$2:$G$61,MATCH($B43,offices!$A$2:$A$61,0))="","",INDEX(offices!$G$2:$G$61,MATCH($B43,offices!$A$2:$A$61,0))),""))</f>
        <v/>
      </c>
      <c r="Y43" s="30" t="str">
        <f aca="false">IF($B43="","",IFERROR(IF(INDEX(offices!$I$2:$I$61,MATCH($B43,offices!$A$2:$A$61,0))="","",INDEX(offices!$I$2:$I$61,MATCH($B43,offices!$A$2:$A$61,0))),""))</f>
        <v/>
      </c>
      <c r="Z43" s="30" t="str">
        <f aca="false">IF($A43="","",COUNTIFS(approvals!$H$2:$H$251,$A43,approvals!$B$2:$B$251,$B43,approvals!$P$2:$P$251,"Y"))</f>
        <v/>
      </c>
      <c r="AA43" s="30" t="str">
        <f aca="false">IF($A43="","",SUMIFS(approvals!$S$2:$S$251,approvals!$H$2:$H$251,$A43,approvals!$B$2:$B$251,$B43,approvals!$P$2:$P$251,"Y"))</f>
        <v/>
      </c>
      <c r="AB43" s="30" t="str">
        <f aca="false">IF(OR($A43="",$P43=""),"",IF(COUNTIFS(stops!$B$2:$B$151,$B43,stops!$P$2:$P$151,"&lt;"&amp;$P43,stops!$L$2:$L$151,"&lt;&gt;not_delivered")=0,"Y","N"))</f>
        <v/>
      </c>
      <c r="AC43" s="30" t="str">
        <f aca="false">IF(OR($I43="",$J43=""),"",ROUND(($J43-$I43)*1440,0))</f>
        <v/>
      </c>
      <c r="AD43" s="30" t="str">
        <f aca="true">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30" t="str">
        <f aca="false">IF($B43="","",IFERROR(IF(INDEX(offices!$H$2:$H$61,MATCH($B43,offices!$A$2:$A$61,0))="","",INDEX(offices!$H$2:$H$61,MATCH($B43,offices!$A$2:$A$61,0))),""))</f>
        <v/>
      </c>
      <c r="AF43" s="30" t="str">
        <f aca="false">IF($A43="","",IF(AND($L43="declined",N($Z43)&gt;0,COUNTIFS(approvals!$H$2:$H$251,$A43,approvals!$B$2:$B$251,$B43,approvals!$P$2:$P$251,"Y",approvals!$U$2:$U$251,"&gt;0")=0),"Y",""))</f>
        <v/>
      </c>
    </row>
    <row r="44" customFormat="false" ht="15" hidden="false" customHeight="false" outlineLevel="0" collapsed="false">
      <c r="D44" s="38"/>
      <c r="E44" s="11"/>
      <c r="F44" s="11"/>
      <c r="G44" s="11"/>
      <c r="I44" s="38"/>
      <c r="J44" s="38"/>
      <c r="K44" s="10"/>
      <c r="L44" s="10"/>
      <c r="N44" s="11"/>
      <c r="O44" s="10"/>
      <c r="P44" s="31" t="str">
        <f aca="false">IF($A44="","",IF(IFERROR(IF(INDEX(drops!$I$2:$I$21,MATCH($A44,drops!$A$2:$A$21,0))="","",INDEX(drops!$I$2:$I$21,MATCH($A44,drops!$A$2:$A$21,0))),"")="OK",IFERROR(IF(INDEX(drops!$B$2:$B$21,MATCH($A44,drops!$A$2:$A$21,0))="","",INDEX(drops!$B$2:$B$21,MATCH($A44,drops!$A$2:$A$21,0))),""),""))</f>
        <v/>
      </c>
      <c r="Q44" s="30" t="str">
        <f aca="false">IF($B44="","",IFERROR(IF(INDEX(offices!$O$2:$O$61,MATCH($B44,offices!$A$2:$A$61,0))="","",INDEX(offices!$O$2:$O$61,MATCH($B44,offices!$A$2:$A$61,0))),""))</f>
        <v/>
      </c>
      <c r="R44" s="30" t="str">
        <f aca="false">IF($B44="","",IFERROR(IF(INDEX(offices!$P$2:$P$61,MATCH($B44,offices!$A$2:$A$61,0))="","",INDEX(offices!$P$2:$P$61,MATCH($B44,offices!$A$2:$A$61,0))),""))</f>
        <v/>
      </c>
      <c r="S44" s="30" t="str">
        <f aca="false">IF($B44="","",IFERROR(IF(INDEX(offices!$Q$2:$Q$61,MATCH($B44,offices!$A$2:$A$61,0))="","",INDEX(offices!$Q$2:$Q$61,MATCH($B44,offices!$A$2:$A$61,0))),""))</f>
        <v/>
      </c>
      <c r="T44" s="30" t="str">
        <f aca="false">IF($B44="","",IFERROR(IF(INDEX(offices!$Z$2:$Z$61,MATCH($B44,offices!$A$2:$A$61,0))="","",INDEX(offices!$Z$2:$Z$61,MATCH($B44,offices!$A$2:$A$61,0))),""))</f>
        <v/>
      </c>
      <c r="U44" s="30" t="str">
        <f aca="false">IF($B44="","",IFERROR(IF(INDEX(offices!$Y$2:$Y$61,MATCH($B44,offices!$A$2:$A$61,0))="","",INDEX(offices!$Y$2:$Y$61,MATCH($B44,offices!$A$2:$A$61,0))),""))</f>
        <v/>
      </c>
      <c r="V44" s="30" t="str">
        <f aca="false">IF($B44="","",IFERROR(IF(INDEX(offices!$V$2:$V$61,MATCH($B44,offices!$A$2:$A$61,0))="","",INDEX(offices!$V$2:$V$61,MATCH($B44,offices!$A$2:$A$61,0))),""))</f>
        <v/>
      </c>
      <c r="W44" s="30" t="str">
        <f aca="false">IF($B44="","",IFERROR(IF(INDEX(offices!$AJ$2:$AJ$61,MATCH($B44,offices!$A$2:$A$61,0))="","",INDEX(offices!$AJ$2:$AJ$61,MATCH($B44,offices!$A$2:$A$61,0))),""))</f>
        <v/>
      </c>
      <c r="X44" s="30" t="str">
        <f aca="false">IF($B44="","",IFERROR(IF(INDEX(offices!$G$2:$G$61,MATCH($B44,offices!$A$2:$A$61,0))="","",INDEX(offices!$G$2:$G$61,MATCH($B44,offices!$A$2:$A$61,0))),""))</f>
        <v/>
      </c>
      <c r="Y44" s="30" t="str">
        <f aca="false">IF($B44="","",IFERROR(IF(INDEX(offices!$I$2:$I$61,MATCH($B44,offices!$A$2:$A$61,0))="","",INDEX(offices!$I$2:$I$61,MATCH($B44,offices!$A$2:$A$61,0))),""))</f>
        <v/>
      </c>
      <c r="Z44" s="30" t="str">
        <f aca="false">IF($A44="","",COUNTIFS(approvals!$H$2:$H$251,$A44,approvals!$B$2:$B$251,$B44,approvals!$P$2:$P$251,"Y"))</f>
        <v/>
      </c>
      <c r="AA44" s="30" t="str">
        <f aca="false">IF($A44="","",SUMIFS(approvals!$S$2:$S$251,approvals!$H$2:$H$251,$A44,approvals!$B$2:$B$251,$B44,approvals!$P$2:$P$251,"Y"))</f>
        <v/>
      </c>
      <c r="AB44" s="30" t="str">
        <f aca="false">IF(OR($A44="",$P44=""),"",IF(COUNTIFS(stops!$B$2:$B$151,$B44,stops!$P$2:$P$151,"&lt;"&amp;$P44,stops!$L$2:$L$151,"&lt;&gt;not_delivered")=0,"Y","N"))</f>
        <v/>
      </c>
      <c r="AC44" s="30" t="str">
        <f aca="false">IF(OR($I44="",$J44=""),"",ROUND(($J44-$I44)*1440,0))</f>
        <v/>
      </c>
      <c r="AD44" s="30" t="str">
        <f aca="true">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30" t="str">
        <f aca="false">IF($B44="","",IFERROR(IF(INDEX(offices!$H$2:$H$61,MATCH($B44,offices!$A$2:$A$61,0))="","",INDEX(offices!$H$2:$H$61,MATCH($B44,offices!$A$2:$A$61,0))),""))</f>
        <v/>
      </c>
      <c r="AF44" s="30" t="str">
        <f aca="false">IF($A44="","",IF(AND($L44="declined",N($Z44)&gt;0,COUNTIFS(approvals!$H$2:$H$251,$A44,approvals!$B$2:$B$251,$B44,approvals!$P$2:$P$251,"Y",approvals!$U$2:$U$251,"&gt;0")=0),"Y",""))</f>
        <v/>
      </c>
    </row>
    <row r="45" customFormat="false" ht="15" hidden="false" customHeight="false" outlineLevel="0" collapsed="false">
      <c r="D45" s="38"/>
      <c r="E45" s="11"/>
      <c r="F45" s="11"/>
      <c r="G45" s="11"/>
      <c r="I45" s="38"/>
      <c r="J45" s="38"/>
      <c r="K45" s="10"/>
      <c r="L45" s="10"/>
      <c r="N45" s="11"/>
      <c r="O45" s="10"/>
      <c r="P45" s="31" t="str">
        <f aca="false">IF($A45="","",IF(IFERROR(IF(INDEX(drops!$I$2:$I$21,MATCH($A45,drops!$A$2:$A$21,0))="","",INDEX(drops!$I$2:$I$21,MATCH($A45,drops!$A$2:$A$21,0))),"")="OK",IFERROR(IF(INDEX(drops!$B$2:$B$21,MATCH($A45,drops!$A$2:$A$21,0))="","",INDEX(drops!$B$2:$B$21,MATCH($A45,drops!$A$2:$A$21,0))),""),""))</f>
        <v/>
      </c>
      <c r="Q45" s="30" t="str">
        <f aca="false">IF($B45="","",IFERROR(IF(INDEX(offices!$O$2:$O$61,MATCH($B45,offices!$A$2:$A$61,0))="","",INDEX(offices!$O$2:$O$61,MATCH($B45,offices!$A$2:$A$61,0))),""))</f>
        <v/>
      </c>
      <c r="R45" s="30" t="str">
        <f aca="false">IF($B45="","",IFERROR(IF(INDEX(offices!$P$2:$P$61,MATCH($B45,offices!$A$2:$A$61,0))="","",INDEX(offices!$P$2:$P$61,MATCH($B45,offices!$A$2:$A$61,0))),""))</f>
        <v/>
      </c>
      <c r="S45" s="30" t="str">
        <f aca="false">IF($B45="","",IFERROR(IF(INDEX(offices!$Q$2:$Q$61,MATCH($B45,offices!$A$2:$A$61,0))="","",INDEX(offices!$Q$2:$Q$61,MATCH($B45,offices!$A$2:$A$61,0))),""))</f>
        <v/>
      </c>
      <c r="T45" s="30" t="str">
        <f aca="false">IF($B45="","",IFERROR(IF(INDEX(offices!$Z$2:$Z$61,MATCH($B45,offices!$A$2:$A$61,0))="","",INDEX(offices!$Z$2:$Z$61,MATCH($B45,offices!$A$2:$A$61,0))),""))</f>
        <v/>
      </c>
      <c r="U45" s="30" t="str">
        <f aca="false">IF($B45="","",IFERROR(IF(INDEX(offices!$Y$2:$Y$61,MATCH($B45,offices!$A$2:$A$61,0))="","",INDEX(offices!$Y$2:$Y$61,MATCH($B45,offices!$A$2:$A$61,0))),""))</f>
        <v/>
      </c>
      <c r="V45" s="30" t="str">
        <f aca="false">IF($B45="","",IFERROR(IF(INDEX(offices!$V$2:$V$61,MATCH($B45,offices!$A$2:$A$61,0))="","",INDEX(offices!$V$2:$V$61,MATCH($B45,offices!$A$2:$A$61,0))),""))</f>
        <v/>
      </c>
      <c r="W45" s="30" t="str">
        <f aca="false">IF($B45="","",IFERROR(IF(INDEX(offices!$AJ$2:$AJ$61,MATCH($B45,offices!$A$2:$A$61,0))="","",INDEX(offices!$AJ$2:$AJ$61,MATCH($B45,offices!$A$2:$A$61,0))),""))</f>
        <v/>
      </c>
      <c r="X45" s="30" t="str">
        <f aca="false">IF($B45="","",IFERROR(IF(INDEX(offices!$G$2:$G$61,MATCH($B45,offices!$A$2:$A$61,0))="","",INDEX(offices!$G$2:$G$61,MATCH($B45,offices!$A$2:$A$61,0))),""))</f>
        <v/>
      </c>
      <c r="Y45" s="30" t="str">
        <f aca="false">IF($B45="","",IFERROR(IF(INDEX(offices!$I$2:$I$61,MATCH($B45,offices!$A$2:$A$61,0))="","",INDEX(offices!$I$2:$I$61,MATCH($B45,offices!$A$2:$A$61,0))),""))</f>
        <v/>
      </c>
      <c r="Z45" s="30" t="str">
        <f aca="false">IF($A45="","",COUNTIFS(approvals!$H$2:$H$251,$A45,approvals!$B$2:$B$251,$B45,approvals!$P$2:$P$251,"Y"))</f>
        <v/>
      </c>
      <c r="AA45" s="30" t="str">
        <f aca="false">IF($A45="","",SUMIFS(approvals!$S$2:$S$251,approvals!$H$2:$H$251,$A45,approvals!$B$2:$B$251,$B45,approvals!$P$2:$P$251,"Y"))</f>
        <v/>
      </c>
      <c r="AB45" s="30" t="str">
        <f aca="false">IF(OR($A45="",$P45=""),"",IF(COUNTIFS(stops!$B$2:$B$151,$B45,stops!$P$2:$P$151,"&lt;"&amp;$P45,stops!$L$2:$L$151,"&lt;&gt;not_delivered")=0,"Y","N"))</f>
        <v/>
      </c>
      <c r="AC45" s="30" t="str">
        <f aca="false">IF(OR($I45="",$J45=""),"",ROUND(($J45-$I45)*1440,0))</f>
        <v/>
      </c>
      <c r="AD45" s="30" t="str">
        <f aca="true">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30" t="str">
        <f aca="false">IF($B45="","",IFERROR(IF(INDEX(offices!$H$2:$H$61,MATCH($B45,offices!$A$2:$A$61,0))="","",INDEX(offices!$H$2:$H$61,MATCH($B45,offices!$A$2:$A$61,0))),""))</f>
        <v/>
      </c>
      <c r="AF45" s="30" t="str">
        <f aca="false">IF($A45="","",IF(AND($L45="declined",N($Z45)&gt;0,COUNTIFS(approvals!$H$2:$H$251,$A45,approvals!$B$2:$B$251,$B45,approvals!$P$2:$P$251,"Y",approvals!$U$2:$U$251,"&gt;0")=0),"Y",""))</f>
        <v/>
      </c>
    </row>
    <row r="46" customFormat="false" ht="15" hidden="false" customHeight="false" outlineLevel="0" collapsed="false">
      <c r="D46" s="38"/>
      <c r="E46" s="11"/>
      <c r="F46" s="11"/>
      <c r="G46" s="11"/>
      <c r="I46" s="38"/>
      <c r="J46" s="38"/>
      <c r="K46" s="10"/>
      <c r="L46" s="10"/>
      <c r="N46" s="11"/>
      <c r="O46" s="10"/>
      <c r="P46" s="31" t="str">
        <f aca="false">IF($A46="","",IF(IFERROR(IF(INDEX(drops!$I$2:$I$21,MATCH($A46,drops!$A$2:$A$21,0))="","",INDEX(drops!$I$2:$I$21,MATCH($A46,drops!$A$2:$A$21,0))),"")="OK",IFERROR(IF(INDEX(drops!$B$2:$B$21,MATCH($A46,drops!$A$2:$A$21,0))="","",INDEX(drops!$B$2:$B$21,MATCH($A46,drops!$A$2:$A$21,0))),""),""))</f>
        <v/>
      </c>
      <c r="Q46" s="30" t="str">
        <f aca="false">IF($B46="","",IFERROR(IF(INDEX(offices!$O$2:$O$61,MATCH($B46,offices!$A$2:$A$61,0))="","",INDEX(offices!$O$2:$O$61,MATCH($B46,offices!$A$2:$A$61,0))),""))</f>
        <v/>
      </c>
      <c r="R46" s="30" t="str">
        <f aca="false">IF($B46="","",IFERROR(IF(INDEX(offices!$P$2:$P$61,MATCH($B46,offices!$A$2:$A$61,0))="","",INDEX(offices!$P$2:$P$61,MATCH($B46,offices!$A$2:$A$61,0))),""))</f>
        <v/>
      </c>
      <c r="S46" s="30" t="str">
        <f aca="false">IF($B46="","",IFERROR(IF(INDEX(offices!$Q$2:$Q$61,MATCH($B46,offices!$A$2:$A$61,0))="","",INDEX(offices!$Q$2:$Q$61,MATCH($B46,offices!$A$2:$A$61,0))),""))</f>
        <v/>
      </c>
      <c r="T46" s="30" t="str">
        <f aca="false">IF($B46="","",IFERROR(IF(INDEX(offices!$Z$2:$Z$61,MATCH($B46,offices!$A$2:$A$61,0))="","",INDEX(offices!$Z$2:$Z$61,MATCH($B46,offices!$A$2:$A$61,0))),""))</f>
        <v/>
      </c>
      <c r="U46" s="30" t="str">
        <f aca="false">IF($B46="","",IFERROR(IF(INDEX(offices!$Y$2:$Y$61,MATCH($B46,offices!$A$2:$A$61,0))="","",INDEX(offices!$Y$2:$Y$61,MATCH($B46,offices!$A$2:$A$61,0))),""))</f>
        <v/>
      </c>
      <c r="V46" s="30" t="str">
        <f aca="false">IF($B46="","",IFERROR(IF(INDEX(offices!$V$2:$V$61,MATCH($B46,offices!$A$2:$A$61,0))="","",INDEX(offices!$V$2:$V$61,MATCH($B46,offices!$A$2:$A$61,0))),""))</f>
        <v/>
      </c>
      <c r="W46" s="30" t="str">
        <f aca="false">IF($B46="","",IFERROR(IF(INDEX(offices!$AJ$2:$AJ$61,MATCH($B46,offices!$A$2:$A$61,0))="","",INDEX(offices!$AJ$2:$AJ$61,MATCH($B46,offices!$A$2:$A$61,0))),""))</f>
        <v/>
      </c>
      <c r="X46" s="30" t="str">
        <f aca="false">IF($B46="","",IFERROR(IF(INDEX(offices!$G$2:$G$61,MATCH($B46,offices!$A$2:$A$61,0))="","",INDEX(offices!$G$2:$G$61,MATCH($B46,offices!$A$2:$A$61,0))),""))</f>
        <v/>
      </c>
      <c r="Y46" s="30" t="str">
        <f aca="false">IF($B46="","",IFERROR(IF(INDEX(offices!$I$2:$I$61,MATCH($B46,offices!$A$2:$A$61,0))="","",INDEX(offices!$I$2:$I$61,MATCH($B46,offices!$A$2:$A$61,0))),""))</f>
        <v/>
      </c>
      <c r="Z46" s="30" t="str">
        <f aca="false">IF($A46="","",COUNTIFS(approvals!$H$2:$H$251,$A46,approvals!$B$2:$B$251,$B46,approvals!$P$2:$P$251,"Y"))</f>
        <v/>
      </c>
      <c r="AA46" s="30" t="str">
        <f aca="false">IF($A46="","",SUMIFS(approvals!$S$2:$S$251,approvals!$H$2:$H$251,$A46,approvals!$B$2:$B$251,$B46,approvals!$P$2:$P$251,"Y"))</f>
        <v/>
      </c>
      <c r="AB46" s="30" t="str">
        <f aca="false">IF(OR($A46="",$P46=""),"",IF(COUNTIFS(stops!$B$2:$B$151,$B46,stops!$P$2:$P$151,"&lt;"&amp;$P46,stops!$L$2:$L$151,"&lt;&gt;not_delivered")=0,"Y","N"))</f>
        <v/>
      </c>
      <c r="AC46" s="30" t="str">
        <f aca="false">IF(OR($I46="",$J46=""),"",ROUND(($J46-$I46)*1440,0))</f>
        <v/>
      </c>
      <c r="AD46" s="30" t="str">
        <f aca="true">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30" t="str">
        <f aca="false">IF($B46="","",IFERROR(IF(INDEX(offices!$H$2:$H$61,MATCH($B46,offices!$A$2:$A$61,0))="","",INDEX(offices!$H$2:$H$61,MATCH($B46,offices!$A$2:$A$61,0))),""))</f>
        <v/>
      </c>
      <c r="AF46" s="30" t="str">
        <f aca="false">IF($A46="","",IF(AND($L46="declined",N($Z46)&gt;0,COUNTIFS(approvals!$H$2:$H$251,$A46,approvals!$B$2:$B$251,$B46,approvals!$P$2:$P$251,"Y",approvals!$U$2:$U$251,"&gt;0")=0),"Y",""))</f>
        <v/>
      </c>
    </row>
    <row r="47" customFormat="false" ht="15" hidden="false" customHeight="false" outlineLevel="0" collapsed="false">
      <c r="D47" s="38"/>
      <c r="E47" s="11"/>
      <c r="F47" s="11"/>
      <c r="G47" s="11"/>
      <c r="I47" s="38"/>
      <c r="J47" s="38"/>
      <c r="K47" s="10"/>
      <c r="L47" s="10"/>
      <c r="N47" s="11"/>
      <c r="O47" s="10"/>
      <c r="P47" s="31" t="str">
        <f aca="false">IF($A47="","",IF(IFERROR(IF(INDEX(drops!$I$2:$I$21,MATCH($A47,drops!$A$2:$A$21,0))="","",INDEX(drops!$I$2:$I$21,MATCH($A47,drops!$A$2:$A$21,0))),"")="OK",IFERROR(IF(INDEX(drops!$B$2:$B$21,MATCH($A47,drops!$A$2:$A$21,0))="","",INDEX(drops!$B$2:$B$21,MATCH($A47,drops!$A$2:$A$21,0))),""),""))</f>
        <v/>
      </c>
      <c r="Q47" s="30" t="str">
        <f aca="false">IF($B47="","",IFERROR(IF(INDEX(offices!$O$2:$O$61,MATCH($B47,offices!$A$2:$A$61,0))="","",INDEX(offices!$O$2:$O$61,MATCH($B47,offices!$A$2:$A$61,0))),""))</f>
        <v/>
      </c>
      <c r="R47" s="30" t="str">
        <f aca="false">IF($B47="","",IFERROR(IF(INDEX(offices!$P$2:$P$61,MATCH($B47,offices!$A$2:$A$61,0))="","",INDEX(offices!$P$2:$P$61,MATCH($B47,offices!$A$2:$A$61,0))),""))</f>
        <v/>
      </c>
      <c r="S47" s="30" t="str">
        <f aca="false">IF($B47="","",IFERROR(IF(INDEX(offices!$Q$2:$Q$61,MATCH($B47,offices!$A$2:$A$61,0))="","",INDEX(offices!$Q$2:$Q$61,MATCH($B47,offices!$A$2:$A$61,0))),""))</f>
        <v/>
      </c>
      <c r="T47" s="30" t="str">
        <f aca="false">IF($B47="","",IFERROR(IF(INDEX(offices!$Z$2:$Z$61,MATCH($B47,offices!$A$2:$A$61,0))="","",INDEX(offices!$Z$2:$Z$61,MATCH($B47,offices!$A$2:$A$61,0))),""))</f>
        <v/>
      </c>
      <c r="U47" s="30" t="str">
        <f aca="false">IF($B47="","",IFERROR(IF(INDEX(offices!$Y$2:$Y$61,MATCH($B47,offices!$A$2:$A$61,0))="","",INDEX(offices!$Y$2:$Y$61,MATCH($B47,offices!$A$2:$A$61,0))),""))</f>
        <v/>
      </c>
      <c r="V47" s="30" t="str">
        <f aca="false">IF($B47="","",IFERROR(IF(INDEX(offices!$V$2:$V$61,MATCH($B47,offices!$A$2:$A$61,0))="","",INDEX(offices!$V$2:$V$61,MATCH($B47,offices!$A$2:$A$61,0))),""))</f>
        <v/>
      </c>
      <c r="W47" s="30" t="str">
        <f aca="false">IF($B47="","",IFERROR(IF(INDEX(offices!$AJ$2:$AJ$61,MATCH($B47,offices!$A$2:$A$61,0))="","",INDEX(offices!$AJ$2:$AJ$61,MATCH($B47,offices!$A$2:$A$61,0))),""))</f>
        <v/>
      </c>
      <c r="X47" s="30" t="str">
        <f aca="false">IF($B47="","",IFERROR(IF(INDEX(offices!$G$2:$G$61,MATCH($B47,offices!$A$2:$A$61,0))="","",INDEX(offices!$G$2:$G$61,MATCH($B47,offices!$A$2:$A$61,0))),""))</f>
        <v/>
      </c>
      <c r="Y47" s="30" t="str">
        <f aca="false">IF($B47="","",IFERROR(IF(INDEX(offices!$I$2:$I$61,MATCH($B47,offices!$A$2:$A$61,0))="","",INDEX(offices!$I$2:$I$61,MATCH($B47,offices!$A$2:$A$61,0))),""))</f>
        <v/>
      </c>
      <c r="Z47" s="30" t="str">
        <f aca="false">IF($A47="","",COUNTIFS(approvals!$H$2:$H$251,$A47,approvals!$B$2:$B$251,$B47,approvals!$P$2:$P$251,"Y"))</f>
        <v/>
      </c>
      <c r="AA47" s="30" t="str">
        <f aca="false">IF($A47="","",SUMIFS(approvals!$S$2:$S$251,approvals!$H$2:$H$251,$A47,approvals!$B$2:$B$251,$B47,approvals!$P$2:$P$251,"Y"))</f>
        <v/>
      </c>
      <c r="AB47" s="30" t="str">
        <f aca="false">IF(OR($A47="",$P47=""),"",IF(COUNTIFS(stops!$B$2:$B$151,$B47,stops!$P$2:$P$151,"&lt;"&amp;$P47,stops!$L$2:$L$151,"&lt;&gt;not_delivered")=0,"Y","N"))</f>
        <v/>
      </c>
      <c r="AC47" s="30" t="str">
        <f aca="false">IF(OR($I47="",$J47=""),"",ROUND(($J47-$I47)*1440,0))</f>
        <v/>
      </c>
      <c r="AD47" s="30" t="str">
        <f aca="true">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30" t="str">
        <f aca="false">IF($B47="","",IFERROR(IF(INDEX(offices!$H$2:$H$61,MATCH($B47,offices!$A$2:$A$61,0))="","",INDEX(offices!$H$2:$H$61,MATCH($B47,offices!$A$2:$A$61,0))),""))</f>
        <v/>
      </c>
      <c r="AF47" s="30" t="str">
        <f aca="false">IF($A47="","",IF(AND($L47="declined",N($Z47)&gt;0,COUNTIFS(approvals!$H$2:$H$251,$A47,approvals!$B$2:$B$251,$B47,approvals!$P$2:$P$251,"Y",approvals!$U$2:$U$251,"&gt;0")=0),"Y",""))</f>
        <v/>
      </c>
    </row>
    <row r="48" customFormat="false" ht="15" hidden="false" customHeight="false" outlineLevel="0" collapsed="false">
      <c r="D48" s="38"/>
      <c r="E48" s="11"/>
      <c r="F48" s="11"/>
      <c r="G48" s="11"/>
      <c r="I48" s="38"/>
      <c r="J48" s="38"/>
      <c r="K48" s="10"/>
      <c r="L48" s="10"/>
      <c r="N48" s="11"/>
      <c r="O48" s="10"/>
      <c r="P48" s="31" t="str">
        <f aca="false">IF($A48="","",IF(IFERROR(IF(INDEX(drops!$I$2:$I$21,MATCH($A48,drops!$A$2:$A$21,0))="","",INDEX(drops!$I$2:$I$21,MATCH($A48,drops!$A$2:$A$21,0))),"")="OK",IFERROR(IF(INDEX(drops!$B$2:$B$21,MATCH($A48,drops!$A$2:$A$21,0))="","",INDEX(drops!$B$2:$B$21,MATCH($A48,drops!$A$2:$A$21,0))),""),""))</f>
        <v/>
      </c>
      <c r="Q48" s="30" t="str">
        <f aca="false">IF($B48="","",IFERROR(IF(INDEX(offices!$O$2:$O$61,MATCH($B48,offices!$A$2:$A$61,0))="","",INDEX(offices!$O$2:$O$61,MATCH($B48,offices!$A$2:$A$61,0))),""))</f>
        <v/>
      </c>
      <c r="R48" s="30" t="str">
        <f aca="false">IF($B48="","",IFERROR(IF(INDEX(offices!$P$2:$P$61,MATCH($B48,offices!$A$2:$A$61,0))="","",INDEX(offices!$P$2:$P$61,MATCH($B48,offices!$A$2:$A$61,0))),""))</f>
        <v/>
      </c>
      <c r="S48" s="30" t="str">
        <f aca="false">IF($B48="","",IFERROR(IF(INDEX(offices!$Q$2:$Q$61,MATCH($B48,offices!$A$2:$A$61,0))="","",INDEX(offices!$Q$2:$Q$61,MATCH($B48,offices!$A$2:$A$61,0))),""))</f>
        <v/>
      </c>
      <c r="T48" s="30" t="str">
        <f aca="false">IF($B48="","",IFERROR(IF(INDEX(offices!$Z$2:$Z$61,MATCH($B48,offices!$A$2:$A$61,0))="","",INDEX(offices!$Z$2:$Z$61,MATCH($B48,offices!$A$2:$A$61,0))),""))</f>
        <v/>
      </c>
      <c r="U48" s="30" t="str">
        <f aca="false">IF($B48="","",IFERROR(IF(INDEX(offices!$Y$2:$Y$61,MATCH($B48,offices!$A$2:$A$61,0))="","",INDEX(offices!$Y$2:$Y$61,MATCH($B48,offices!$A$2:$A$61,0))),""))</f>
        <v/>
      </c>
      <c r="V48" s="30" t="str">
        <f aca="false">IF($B48="","",IFERROR(IF(INDEX(offices!$V$2:$V$61,MATCH($B48,offices!$A$2:$A$61,0))="","",INDEX(offices!$V$2:$V$61,MATCH($B48,offices!$A$2:$A$61,0))),""))</f>
        <v/>
      </c>
      <c r="W48" s="30" t="str">
        <f aca="false">IF($B48="","",IFERROR(IF(INDEX(offices!$AJ$2:$AJ$61,MATCH($B48,offices!$A$2:$A$61,0))="","",INDEX(offices!$AJ$2:$AJ$61,MATCH($B48,offices!$A$2:$A$61,0))),""))</f>
        <v/>
      </c>
      <c r="X48" s="30" t="str">
        <f aca="false">IF($B48="","",IFERROR(IF(INDEX(offices!$G$2:$G$61,MATCH($B48,offices!$A$2:$A$61,0))="","",INDEX(offices!$G$2:$G$61,MATCH($B48,offices!$A$2:$A$61,0))),""))</f>
        <v/>
      </c>
      <c r="Y48" s="30" t="str">
        <f aca="false">IF($B48="","",IFERROR(IF(INDEX(offices!$I$2:$I$61,MATCH($B48,offices!$A$2:$A$61,0))="","",INDEX(offices!$I$2:$I$61,MATCH($B48,offices!$A$2:$A$61,0))),""))</f>
        <v/>
      </c>
      <c r="Z48" s="30" t="str">
        <f aca="false">IF($A48="","",COUNTIFS(approvals!$H$2:$H$251,$A48,approvals!$B$2:$B$251,$B48,approvals!$P$2:$P$251,"Y"))</f>
        <v/>
      </c>
      <c r="AA48" s="30" t="str">
        <f aca="false">IF($A48="","",SUMIFS(approvals!$S$2:$S$251,approvals!$H$2:$H$251,$A48,approvals!$B$2:$B$251,$B48,approvals!$P$2:$P$251,"Y"))</f>
        <v/>
      </c>
      <c r="AB48" s="30" t="str">
        <f aca="false">IF(OR($A48="",$P48=""),"",IF(COUNTIFS(stops!$B$2:$B$151,$B48,stops!$P$2:$P$151,"&lt;"&amp;$P48,stops!$L$2:$L$151,"&lt;&gt;not_delivered")=0,"Y","N"))</f>
        <v/>
      </c>
      <c r="AC48" s="30" t="str">
        <f aca="false">IF(OR($I48="",$J48=""),"",ROUND(($J48-$I48)*1440,0))</f>
        <v/>
      </c>
      <c r="AD48" s="30" t="str">
        <f aca="true">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30" t="str">
        <f aca="false">IF($B48="","",IFERROR(IF(INDEX(offices!$H$2:$H$61,MATCH($B48,offices!$A$2:$A$61,0))="","",INDEX(offices!$H$2:$H$61,MATCH($B48,offices!$A$2:$A$61,0))),""))</f>
        <v/>
      </c>
      <c r="AF48" s="30" t="str">
        <f aca="false">IF($A48="","",IF(AND($L48="declined",N($Z48)&gt;0,COUNTIFS(approvals!$H$2:$H$251,$A48,approvals!$B$2:$B$251,$B48,approvals!$P$2:$P$251,"Y",approvals!$U$2:$U$251,"&gt;0")=0),"Y",""))</f>
        <v/>
      </c>
    </row>
    <row r="49" customFormat="false" ht="15" hidden="false" customHeight="false" outlineLevel="0" collapsed="false">
      <c r="D49" s="38"/>
      <c r="E49" s="11"/>
      <c r="F49" s="11"/>
      <c r="G49" s="11"/>
      <c r="I49" s="38"/>
      <c r="J49" s="38"/>
      <c r="K49" s="10"/>
      <c r="L49" s="10"/>
      <c r="N49" s="11"/>
      <c r="O49" s="10"/>
      <c r="P49" s="31" t="str">
        <f aca="false">IF($A49="","",IF(IFERROR(IF(INDEX(drops!$I$2:$I$21,MATCH($A49,drops!$A$2:$A$21,0))="","",INDEX(drops!$I$2:$I$21,MATCH($A49,drops!$A$2:$A$21,0))),"")="OK",IFERROR(IF(INDEX(drops!$B$2:$B$21,MATCH($A49,drops!$A$2:$A$21,0))="","",INDEX(drops!$B$2:$B$21,MATCH($A49,drops!$A$2:$A$21,0))),""),""))</f>
        <v/>
      </c>
      <c r="Q49" s="30" t="str">
        <f aca="false">IF($B49="","",IFERROR(IF(INDEX(offices!$O$2:$O$61,MATCH($B49,offices!$A$2:$A$61,0))="","",INDEX(offices!$O$2:$O$61,MATCH($B49,offices!$A$2:$A$61,0))),""))</f>
        <v/>
      </c>
      <c r="R49" s="30" t="str">
        <f aca="false">IF($B49="","",IFERROR(IF(INDEX(offices!$P$2:$P$61,MATCH($B49,offices!$A$2:$A$61,0))="","",INDEX(offices!$P$2:$P$61,MATCH($B49,offices!$A$2:$A$61,0))),""))</f>
        <v/>
      </c>
      <c r="S49" s="30" t="str">
        <f aca="false">IF($B49="","",IFERROR(IF(INDEX(offices!$Q$2:$Q$61,MATCH($B49,offices!$A$2:$A$61,0))="","",INDEX(offices!$Q$2:$Q$61,MATCH($B49,offices!$A$2:$A$61,0))),""))</f>
        <v/>
      </c>
      <c r="T49" s="30" t="str">
        <f aca="false">IF($B49="","",IFERROR(IF(INDEX(offices!$Z$2:$Z$61,MATCH($B49,offices!$A$2:$A$61,0))="","",INDEX(offices!$Z$2:$Z$61,MATCH($B49,offices!$A$2:$A$61,0))),""))</f>
        <v/>
      </c>
      <c r="U49" s="30" t="str">
        <f aca="false">IF($B49="","",IFERROR(IF(INDEX(offices!$Y$2:$Y$61,MATCH($B49,offices!$A$2:$A$61,0))="","",INDEX(offices!$Y$2:$Y$61,MATCH($B49,offices!$A$2:$A$61,0))),""))</f>
        <v/>
      </c>
      <c r="V49" s="30" t="str">
        <f aca="false">IF($B49="","",IFERROR(IF(INDEX(offices!$V$2:$V$61,MATCH($B49,offices!$A$2:$A$61,0))="","",INDEX(offices!$V$2:$V$61,MATCH($B49,offices!$A$2:$A$61,0))),""))</f>
        <v/>
      </c>
      <c r="W49" s="30" t="str">
        <f aca="false">IF($B49="","",IFERROR(IF(INDEX(offices!$AJ$2:$AJ$61,MATCH($B49,offices!$A$2:$A$61,0))="","",INDEX(offices!$AJ$2:$AJ$61,MATCH($B49,offices!$A$2:$A$61,0))),""))</f>
        <v/>
      </c>
      <c r="X49" s="30" t="str">
        <f aca="false">IF($B49="","",IFERROR(IF(INDEX(offices!$G$2:$G$61,MATCH($B49,offices!$A$2:$A$61,0))="","",INDEX(offices!$G$2:$G$61,MATCH($B49,offices!$A$2:$A$61,0))),""))</f>
        <v/>
      </c>
      <c r="Y49" s="30" t="str">
        <f aca="false">IF($B49="","",IFERROR(IF(INDEX(offices!$I$2:$I$61,MATCH($B49,offices!$A$2:$A$61,0))="","",INDEX(offices!$I$2:$I$61,MATCH($B49,offices!$A$2:$A$61,0))),""))</f>
        <v/>
      </c>
      <c r="Z49" s="30" t="str">
        <f aca="false">IF($A49="","",COUNTIFS(approvals!$H$2:$H$251,$A49,approvals!$B$2:$B$251,$B49,approvals!$P$2:$P$251,"Y"))</f>
        <v/>
      </c>
      <c r="AA49" s="30" t="str">
        <f aca="false">IF($A49="","",SUMIFS(approvals!$S$2:$S$251,approvals!$H$2:$H$251,$A49,approvals!$B$2:$B$251,$B49,approvals!$P$2:$P$251,"Y"))</f>
        <v/>
      </c>
      <c r="AB49" s="30" t="str">
        <f aca="false">IF(OR($A49="",$P49=""),"",IF(COUNTIFS(stops!$B$2:$B$151,$B49,stops!$P$2:$P$151,"&lt;"&amp;$P49,stops!$L$2:$L$151,"&lt;&gt;not_delivered")=0,"Y","N"))</f>
        <v/>
      </c>
      <c r="AC49" s="30" t="str">
        <f aca="false">IF(OR($I49="",$J49=""),"",ROUND(($J49-$I49)*1440,0))</f>
        <v/>
      </c>
      <c r="AD49" s="30" t="str">
        <f aca="true">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30" t="str">
        <f aca="false">IF($B49="","",IFERROR(IF(INDEX(offices!$H$2:$H$61,MATCH($B49,offices!$A$2:$A$61,0))="","",INDEX(offices!$H$2:$H$61,MATCH($B49,offices!$A$2:$A$61,0))),""))</f>
        <v/>
      </c>
      <c r="AF49" s="30" t="str">
        <f aca="false">IF($A49="","",IF(AND($L49="declined",N($Z49)&gt;0,COUNTIFS(approvals!$H$2:$H$251,$A49,approvals!$B$2:$B$251,$B49,approvals!$P$2:$P$251,"Y",approvals!$U$2:$U$251,"&gt;0")=0),"Y",""))</f>
        <v/>
      </c>
    </row>
    <row r="50" customFormat="false" ht="15" hidden="false" customHeight="false" outlineLevel="0" collapsed="false">
      <c r="D50" s="38"/>
      <c r="E50" s="11"/>
      <c r="F50" s="11"/>
      <c r="G50" s="11"/>
      <c r="I50" s="38"/>
      <c r="J50" s="38"/>
      <c r="K50" s="10"/>
      <c r="L50" s="10"/>
      <c r="N50" s="11"/>
      <c r="O50" s="10"/>
      <c r="P50" s="31" t="str">
        <f aca="false">IF($A50="","",IF(IFERROR(IF(INDEX(drops!$I$2:$I$21,MATCH($A50,drops!$A$2:$A$21,0))="","",INDEX(drops!$I$2:$I$21,MATCH($A50,drops!$A$2:$A$21,0))),"")="OK",IFERROR(IF(INDEX(drops!$B$2:$B$21,MATCH($A50,drops!$A$2:$A$21,0))="","",INDEX(drops!$B$2:$B$21,MATCH($A50,drops!$A$2:$A$21,0))),""),""))</f>
        <v/>
      </c>
      <c r="Q50" s="30" t="str">
        <f aca="false">IF($B50="","",IFERROR(IF(INDEX(offices!$O$2:$O$61,MATCH($B50,offices!$A$2:$A$61,0))="","",INDEX(offices!$O$2:$O$61,MATCH($B50,offices!$A$2:$A$61,0))),""))</f>
        <v/>
      </c>
      <c r="R50" s="30" t="str">
        <f aca="false">IF($B50="","",IFERROR(IF(INDEX(offices!$P$2:$P$61,MATCH($B50,offices!$A$2:$A$61,0))="","",INDEX(offices!$P$2:$P$61,MATCH($B50,offices!$A$2:$A$61,0))),""))</f>
        <v/>
      </c>
      <c r="S50" s="30" t="str">
        <f aca="false">IF($B50="","",IFERROR(IF(INDEX(offices!$Q$2:$Q$61,MATCH($B50,offices!$A$2:$A$61,0))="","",INDEX(offices!$Q$2:$Q$61,MATCH($B50,offices!$A$2:$A$61,0))),""))</f>
        <v/>
      </c>
      <c r="T50" s="30" t="str">
        <f aca="false">IF($B50="","",IFERROR(IF(INDEX(offices!$Z$2:$Z$61,MATCH($B50,offices!$A$2:$A$61,0))="","",INDEX(offices!$Z$2:$Z$61,MATCH($B50,offices!$A$2:$A$61,0))),""))</f>
        <v/>
      </c>
      <c r="U50" s="30" t="str">
        <f aca="false">IF($B50="","",IFERROR(IF(INDEX(offices!$Y$2:$Y$61,MATCH($B50,offices!$A$2:$A$61,0))="","",INDEX(offices!$Y$2:$Y$61,MATCH($B50,offices!$A$2:$A$61,0))),""))</f>
        <v/>
      </c>
      <c r="V50" s="30" t="str">
        <f aca="false">IF($B50="","",IFERROR(IF(INDEX(offices!$V$2:$V$61,MATCH($B50,offices!$A$2:$A$61,0))="","",INDEX(offices!$V$2:$V$61,MATCH($B50,offices!$A$2:$A$61,0))),""))</f>
        <v/>
      </c>
      <c r="W50" s="30" t="str">
        <f aca="false">IF($B50="","",IFERROR(IF(INDEX(offices!$AJ$2:$AJ$61,MATCH($B50,offices!$A$2:$A$61,0))="","",INDEX(offices!$AJ$2:$AJ$61,MATCH($B50,offices!$A$2:$A$61,0))),""))</f>
        <v/>
      </c>
      <c r="X50" s="30" t="str">
        <f aca="false">IF($B50="","",IFERROR(IF(INDEX(offices!$G$2:$G$61,MATCH($B50,offices!$A$2:$A$61,0))="","",INDEX(offices!$G$2:$G$61,MATCH($B50,offices!$A$2:$A$61,0))),""))</f>
        <v/>
      </c>
      <c r="Y50" s="30" t="str">
        <f aca="false">IF($B50="","",IFERROR(IF(INDEX(offices!$I$2:$I$61,MATCH($B50,offices!$A$2:$A$61,0))="","",INDEX(offices!$I$2:$I$61,MATCH($B50,offices!$A$2:$A$61,0))),""))</f>
        <v/>
      </c>
      <c r="Z50" s="30" t="str">
        <f aca="false">IF($A50="","",COUNTIFS(approvals!$H$2:$H$251,$A50,approvals!$B$2:$B$251,$B50,approvals!$P$2:$P$251,"Y"))</f>
        <v/>
      </c>
      <c r="AA50" s="30" t="str">
        <f aca="false">IF($A50="","",SUMIFS(approvals!$S$2:$S$251,approvals!$H$2:$H$251,$A50,approvals!$B$2:$B$251,$B50,approvals!$P$2:$P$251,"Y"))</f>
        <v/>
      </c>
      <c r="AB50" s="30" t="str">
        <f aca="false">IF(OR($A50="",$P50=""),"",IF(COUNTIFS(stops!$B$2:$B$151,$B50,stops!$P$2:$P$151,"&lt;"&amp;$P50,stops!$L$2:$L$151,"&lt;&gt;not_delivered")=0,"Y","N"))</f>
        <v/>
      </c>
      <c r="AC50" s="30" t="str">
        <f aca="false">IF(OR($I50="",$J50=""),"",ROUND(($J50-$I50)*1440,0))</f>
        <v/>
      </c>
      <c r="AD50" s="30" t="str">
        <f aca="true">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30" t="str">
        <f aca="false">IF($B50="","",IFERROR(IF(INDEX(offices!$H$2:$H$61,MATCH($B50,offices!$A$2:$A$61,0))="","",INDEX(offices!$H$2:$H$61,MATCH($B50,offices!$A$2:$A$61,0))),""))</f>
        <v/>
      </c>
      <c r="AF50" s="30" t="str">
        <f aca="false">IF($A50="","",IF(AND($L50="declined",N($Z50)&gt;0,COUNTIFS(approvals!$H$2:$H$251,$A50,approvals!$B$2:$B$251,$B50,approvals!$P$2:$P$251,"Y",approvals!$U$2:$U$251,"&gt;0")=0),"Y",""))</f>
        <v/>
      </c>
    </row>
    <row r="51" customFormat="false" ht="15" hidden="false" customHeight="false" outlineLevel="0" collapsed="false">
      <c r="D51" s="38"/>
      <c r="E51" s="11"/>
      <c r="F51" s="11"/>
      <c r="G51" s="11"/>
      <c r="I51" s="38"/>
      <c r="J51" s="38"/>
      <c r="K51" s="10"/>
      <c r="L51" s="10"/>
      <c r="N51" s="11"/>
      <c r="O51" s="10"/>
      <c r="P51" s="31" t="str">
        <f aca="false">IF($A51="","",IF(IFERROR(IF(INDEX(drops!$I$2:$I$21,MATCH($A51,drops!$A$2:$A$21,0))="","",INDEX(drops!$I$2:$I$21,MATCH($A51,drops!$A$2:$A$21,0))),"")="OK",IFERROR(IF(INDEX(drops!$B$2:$B$21,MATCH($A51,drops!$A$2:$A$21,0))="","",INDEX(drops!$B$2:$B$21,MATCH($A51,drops!$A$2:$A$21,0))),""),""))</f>
        <v/>
      </c>
      <c r="Q51" s="30" t="str">
        <f aca="false">IF($B51="","",IFERROR(IF(INDEX(offices!$O$2:$O$61,MATCH($B51,offices!$A$2:$A$61,0))="","",INDEX(offices!$O$2:$O$61,MATCH($B51,offices!$A$2:$A$61,0))),""))</f>
        <v/>
      </c>
      <c r="R51" s="30" t="str">
        <f aca="false">IF($B51="","",IFERROR(IF(INDEX(offices!$P$2:$P$61,MATCH($B51,offices!$A$2:$A$61,0))="","",INDEX(offices!$P$2:$P$61,MATCH($B51,offices!$A$2:$A$61,0))),""))</f>
        <v/>
      </c>
      <c r="S51" s="30" t="str">
        <f aca="false">IF($B51="","",IFERROR(IF(INDEX(offices!$Q$2:$Q$61,MATCH($B51,offices!$A$2:$A$61,0))="","",INDEX(offices!$Q$2:$Q$61,MATCH($B51,offices!$A$2:$A$61,0))),""))</f>
        <v/>
      </c>
      <c r="T51" s="30" t="str">
        <f aca="false">IF($B51="","",IFERROR(IF(INDEX(offices!$Z$2:$Z$61,MATCH($B51,offices!$A$2:$A$61,0))="","",INDEX(offices!$Z$2:$Z$61,MATCH($B51,offices!$A$2:$A$61,0))),""))</f>
        <v/>
      </c>
      <c r="U51" s="30" t="str">
        <f aca="false">IF($B51="","",IFERROR(IF(INDEX(offices!$Y$2:$Y$61,MATCH($B51,offices!$A$2:$A$61,0))="","",INDEX(offices!$Y$2:$Y$61,MATCH($B51,offices!$A$2:$A$61,0))),""))</f>
        <v/>
      </c>
      <c r="V51" s="30" t="str">
        <f aca="false">IF($B51="","",IFERROR(IF(INDEX(offices!$V$2:$V$61,MATCH($B51,offices!$A$2:$A$61,0))="","",INDEX(offices!$V$2:$V$61,MATCH($B51,offices!$A$2:$A$61,0))),""))</f>
        <v/>
      </c>
      <c r="W51" s="30" t="str">
        <f aca="false">IF($B51="","",IFERROR(IF(INDEX(offices!$AJ$2:$AJ$61,MATCH($B51,offices!$A$2:$A$61,0))="","",INDEX(offices!$AJ$2:$AJ$61,MATCH($B51,offices!$A$2:$A$61,0))),""))</f>
        <v/>
      </c>
      <c r="X51" s="30" t="str">
        <f aca="false">IF($B51="","",IFERROR(IF(INDEX(offices!$G$2:$G$61,MATCH($B51,offices!$A$2:$A$61,0))="","",INDEX(offices!$G$2:$G$61,MATCH($B51,offices!$A$2:$A$61,0))),""))</f>
        <v/>
      </c>
      <c r="Y51" s="30" t="str">
        <f aca="false">IF($B51="","",IFERROR(IF(INDEX(offices!$I$2:$I$61,MATCH($B51,offices!$A$2:$A$61,0))="","",INDEX(offices!$I$2:$I$61,MATCH($B51,offices!$A$2:$A$61,0))),""))</f>
        <v/>
      </c>
      <c r="Z51" s="30" t="str">
        <f aca="false">IF($A51="","",COUNTIFS(approvals!$H$2:$H$251,$A51,approvals!$B$2:$B$251,$B51,approvals!$P$2:$P$251,"Y"))</f>
        <v/>
      </c>
      <c r="AA51" s="30" t="str">
        <f aca="false">IF($A51="","",SUMIFS(approvals!$S$2:$S$251,approvals!$H$2:$H$251,$A51,approvals!$B$2:$B$251,$B51,approvals!$P$2:$P$251,"Y"))</f>
        <v/>
      </c>
      <c r="AB51" s="30" t="str">
        <f aca="false">IF(OR($A51="",$P51=""),"",IF(COUNTIFS(stops!$B$2:$B$151,$B51,stops!$P$2:$P$151,"&lt;"&amp;$P51,stops!$L$2:$L$151,"&lt;&gt;not_delivered")=0,"Y","N"))</f>
        <v/>
      </c>
      <c r="AC51" s="30" t="str">
        <f aca="false">IF(OR($I51="",$J51=""),"",ROUND(($J51-$I51)*1440,0))</f>
        <v/>
      </c>
      <c r="AD51" s="30" t="str">
        <f aca="true">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30" t="str">
        <f aca="false">IF($B51="","",IFERROR(IF(INDEX(offices!$H$2:$H$61,MATCH($B51,offices!$A$2:$A$61,0))="","",INDEX(offices!$H$2:$H$61,MATCH($B51,offices!$A$2:$A$61,0))),""))</f>
        <v/>
      </c>
      <c r="AF51" s="30" t="str">
        <f aca="false">IF($A51="","",IF(AND($L51="declined",N($Z51)&gt;0,COUNTIFS(approvals!$H$2:$H$251,$A51,approvals!$B$2:$B$251,$B51,approvals!$P$2:$P$251,"Y",approvals!$U$2:$U$251,"&gt;0")=0),"Y",""))</f>
        <v/>
      </c>
    </row>
    <row r="52" customFormat="false" ht="15" hidden="false" customHeight="false" outlineLevel="0" collapsed="false">
      <c r="D52" s="38"/>
      <c r="E52" s="11"/>
      <c r="F52" s="11"/>
      <c r="G52" s="11"/>
      <c r="I52" s="38"/>
      <c r="J52" s="38"/>
      <c r="K52" s="10"/>
      <c r="L52" s="10"/>
      <c r="N52" s="11"/>
      <c r="O52" s="10"/>
      <c r="P52" s="31" t="str">
        <f aca="false">IF($A52="","",IF(IFERROR(IF(INDEX(drops!$I$2:$I$21,MATCH($A52,drops!$A$2:$A$21,0))="","",INDEX(drops!$I$2:$I$21,MATCH($A52,drops!$A$2:$A$21,0))),"")="OK",IFERROR(IF(INDEX(drops!$B$2:$B$21,MATCH($A52,drops!$A$2:$A$21,0))="","",INDEX(drops!$B$2:$B$21,MATCH($A52,drops!$A$2:$A$21,0))),""),""))</f>
        <v/>
      </c>
      <c r="Q52" s="30" t="str">
        <f aca="false">IF($B52="","",IFERROR(IF(INDEX(offices!$O$2:$O$61,MATCH($B52,offices!$A$2:$A$61,0))="","",INDEX(offices!$O$2:$O$61,MATCH($B52,offices!$A$2:$A$61,0))),""))</f>
        <v/>
      </c>
      <c r="R52" s="30" t="str">
        <f aca="false">IF($B52="","",IFERROR(IF(INDEX(offices!$P$2:$P$61,MATCH($B52,offices!$A$2:$A$61,0))="","",INDEX(offices!$P$2:$P$61,MATCH($B52,offices!$A$2:$A$61,0))),""))</f>
        <v/>
      </c>
      <c r="S52" s="30" t="str">
        <f aca="false">IF($B52="","",IFERROR(IF(INDEX(offices!$Q$2:$Q$61,MATCH($B52,offices!$A$2:$A$61,0))="","",INDEX(offices!$Q$2:$Q$61,MATCH($B52,offices!$A$2:$A$61,0))),""))</f>
        <v/>
      </c>
      <c r="T52" s="30" t="str">
        <f aca="false">IF($B52="","",IFERROR(IF(INDEX(offices!$Z$2:$Z$61,MATCH($B52,offices!$A$2:$A$61,0))="","",INDEX(offices!$Z$2:$Z$61,MATCH($B52,offices!$A$2:$A$61,0))),""))</f>
        <v/>
      </c>
      <c r="U52" s="30" t="str">
        <f aca="false">IF($B52="","",IFERROR(IF(INDEX(offices!$Y$2:$Y$61,MATCH($B52,offices!$A$2:$A$61,0))="","",INDEX(offices!$Y$2:$Y$61,MATCH($B52,offices!$A$2:$A$61,0))),""))</f>
        <v/>
      </c>
      <c r="V52" s="30" t="str">
        <f aca="false">IF($B52="","",IFERROR(IF(INDEX(offices!$V$2:$V$61,MATCH($B52,offices!$A$2:$A$61,0))="","",INDEX(offices!$V$2:$V$61,MATCH($B52,offices!$A$2:$A$61,0))),""))</f>
        <v/>
      </c>
      <c r="W52" s="30" t="str">
        <f aca="false">IF($B52="","",IFERROR(IF(INDEX(offices!$AJ$2:$AJ$61,MATCH($B52,offices!$A$2:$A$61,0))="","",INDEX(offices!$AJ$2:$AJ$61,MATCH($B52,offices!$A$2:$A$61,0))),""))</f>
        <v/>
      </c>
      <c r="X52" s="30" t="str">
        <f aca="false">IF($B52="","",IFERROR(IF(INDEX(offices!$G$2:$G$61,MATCH($B52,offices!$A$2:$A$61,0))="","",INDEX(offices!$G$2:$G$61,MATCH($B52,offices!$A$2:$A$61,0))),""))</f>
        <v/>
      </c>
      <c r="Y52" s="30" t="str">
        <f aca="false">IF($B52="","",IFERROR(IF(INDEX(offices!$I$2:$I$61,MATCH($B52,offices!$A$2:$A$61,0))="","",INDEX(offices!$I$2:$I$61,MATCH($B52,offices!$A$2:$A$61,0))),""))</f>
        <v/>
      </c>
      <c r="Z52" s="30" t="str">
        <f aca="false">IF($A52="","",COUNTIFS(approvals!$H$2:$H$251,$A52,approvals!$B$2:$B$251,$B52,approvals!$P$2:$P$251,"Y"))</f>
        <v/>
      </c>
      <c r="AA52" s="30" t="str">
        <f aca="false">IF($A52="","",SUMIFS(approvals!$S$2:$S$251,approvals!$H$2:$H$251,$A52,approvals!$B$2:$B$251,$B52,approvals!$P$2:$P$251,"Y"))</f>
        <v/>
      </c>
      <c r="AB52" s="30" t="str">
        <f aca="false">IF(OR($A52="",$P52=""),"",IF(COUNTIFS(stops!$B$2:$B$151,$B52,stops!$P$2:$P$151,"&lt;"&amp;$P52,stops!$L$2:$L$151,"&lt;&gt;not_delivered")=0,"Y","N"))</f>
        <v/>
      </c>
      <c r="AC52" s="30" t="str">
        <f aca="false">IF(OR($I52="",$J52=""),"",ROUND(($J52-$I52)*1440,0))</f>
        <v/>
      </c>
      <c r="AD52" s="30" t="str">
        <f aca="true">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30" t="str">
        <f aca="false">IF($B52="","",IFERROR(IF(INDEX(offices!$H$2:$H$61,MATCH($B52,offices!$A$2:$A$61,0))="","",INDEX(offices!$H$2:$H$61,MATCH($B52,offices!$A$2:$A$61,0))),""))</f>
        <v/>
      </c>
      <c r="AF52" s="30" t="str">
        <f aca="false">IF($A52="","",IF(AND($L52="declined",N($Z52)&gt;0,COUNTIFS(approvals!$H$2:$H$251,$A52,approvals!$B$2:$B$251,$B52,approvals!$P$2:$P$251,"Y",approvals!$U$2:$U$251,"&gt;0")=0),"Y",""))</f>
        <v/>
      </c>
    </row>
    <row r="53" customFormat="false" ht="15" hidden="false" customHeight="false" outlineLevel="0" collapsed="false">
      <c r="D53" s="38"/>
      <c r="E53" s="11"/>
      <c r="F53" s="11"/>
      <c r="G53" s="11"/>
      <c r="I53" s="38"/>
      <c r="J53" s="38"/>
      <c r="K53" s="10"/>
      <c r="L53" s="10"/>
      <c r="N53" s="11"/>
      <c r="O53" s="10"/>
      <c r="P53" s="31" t="str">
        <f aca="false">IF($A53="","",IF(IFERROR(IF(INDEX(drops!$I$2:$I$21,MATCH($A53,drops!$A$2:$A$21,0))="","",INDEX(drops!$I$2:$I$21,MATCH($A53,drops!$A$2:$A$21,0))),"")="OK",IFERROR(IF(INDEX(drops!$B$2:$B$21,MATCH($A53,drops!$A$2:$A$21,0))="","",INDEX(drops!$B$2:$B$21,MATCH($A53,drops!$A$2:$A$21,0))),""),""))</f>
        <v/>
      </c>
      <c r="Q53" s="30" t="str">
        <f aca="false">IF($B53="","",IFERROR(IF(INDEX(offices!$O$2:$O$61,MATCH($B53,offices!$A$2:$A$61,0))="","",INDEX(offices!$O$2:$O$61,MATCH($B53,offices!$A$2:$A$61,0))),""))</f>
        <v/>
      </c>
      <c r="R53" s="30" t="str">
        <f aca="false">IF($B53="","",IFERROR(IF(INDEX(offices!$P$2:$P$61,MATCH($B53,offices!$A$2:$A$61,0))="","",INDEX(offices!$P$2:$P$61,MATCH($B53,offices!$A$2:$A$61,0))),""))</f>
        <v/>
      </c>
      <c r="S53" s="30" t="str">
        <f aca="false">IF($B53="","",IFERROR(IF(INDEX(offices!$Q$2:$Q$61,MATCH($B53,offices!$A$2:$A$61,0))="","",INDEX(offices!$Q$2:$Q$61,MATCH($B53,offices!$A$2:$A$61,0))),""))</f>
        <v/>
      </c>
      <c r="T53" s="30" t="str">
        <f aca="false">IF($B53="","",IFERROR(IF(INDEX(offices!$Z$2:$Z$61,MATCH($B53,offices!$A$2:$A$61,0))="","",INDEX(offices!$Z$2:$Z$61,MATCH($B53,offices!$A$2:$A$61,0))),""))</f>
        <v/>
      </c>
      <c r="U53" s="30" t="str">
        <f aca="false">IF($B53="","",IFERROR(IF(INDEX(offices!$Y$2:$Y$61,MATCH($B53,offices!$A$2:$A$61,0))="","",INDEX(offices!$Y$2:$Y$61,MATCH($B53,offices!$A$2:$A$61,0))),""))</f>
        <v/>
      </c>
      <c r="V53" s="30" t="str">
        <f aca="false">IF($B53="","",IFERROR(IF(INDEX(offices!$V$2:$V$61,MATCH($B53,offices!$A$2:$A$61,0))="","",INDEX(offices!$V$2:$V$61,MATCH($B53,offices!$A$2:$A$61,0))),""))</f>
        <v/>
      </c>
      <c r="W53" s="30" t="str">
        <f aca="false">IF($B53="","",IFERROR(IF(INDEX(offices!$AJ$2:$AJ$61,MATCH($B53,offices!$A$2:$A$61,0))="","",INDEX(offices!$AJ$2:$AJ$61,MATCH($B53,offices!$A$2:$A$61,0))),""))</f>
        <v/>
      </c>
      <c r="X53" s="30" t="str">
        <f aca="false">IF($B53="","",IFERROR(IF(INDEX(offices!$G$2:$G$61,MATCH($B53,offices!$A$2:$A$61,0))="","",INDEX(offices!$G$2:$G$61,MATCH($B53,offices!$A$2:$A$61,0))),""))</f>
        <v/>
      </c>
      <c r="Y53" s="30" t="str">
        <f aca="false">IF($B53="","",IFERROR(IF(INDEX(offices!$I$2:$I$61,MATCH($B53,offices!$A$2:$A$61,0))="","",INDEX(offices!$I$2:$I$61,MATCH($B53,offices!$A$2:$A$61,0))),""))</f>
        <v/>
      </c>
      <c r="Z53" s="30" t="str">
        <f aca="false">IF($A53="","",COUNTIFS(approvals!$H$2:$H$251,$A53,approvals!$B$2:$B$251,$B53,approvals!$P$2:$P$251,"Y"))</f>
        <v/>
      </c>
      <c r="AA53" s="30" t="str">
        <f aca="false">IF($A53="","",SUMIFS(approvals!$S$2:$S$251,approvals!$H$2:$H$251,$A53,approvals!$B$2:$B$251,$B53,approvals!$P$2:$P$251,"Y"))</f>
        <v/>
      </c>
      <c r="AB53" s="30" t="str">
        <f aca="false">IF(OR($A53="",$P53=""),"",IF(COUNTIFS(stops!$B$2:$B$151,$B53,stops!$P$2:$P$151,"&lt;"&amp;$P53,stops!$L$2:$L$151,"&lt;&gt;not_delivered")=0,"Y","N"))</f>
        <v/>
      </c>
      <c r="AC53" s="30" t="str">
        <f aca="false">IF(OR($I53="",$J53=""),"",ROUND(($J53-$I53)*1440,0))</f>
        <v/>
      </c>
      <c r="AD53" s="30" t="str">
        <f aca="true">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30" t="str">
        <f aca="false">IF($B53="","",IFERROR(IF(INDEX(offices!$H$2:$H$61,MATCH($B53,offices!$A$2:$A$61,0))="","",INDEX(offices!$H$2:$H$61,MATCH($B53,offices!$A$2:$A$61,0))),""))</f>
        <v/>
      </c>
      <c r="AF53" s="30" t="str">
        <f aca="false">IF($A53="","",IF(AND($L53="declined",N($Z53)&gt;0,COUNTIFS(approvals!$H$2:$H$251,$A53,approvals!$B$2:$B$251,$B53,approvals!$P$2:$P$251,"Y",approvals!$U$2:$U$251,"&gt;0")=0),"Y",""))</f>
        <v/>
      </c>
    </row>
    <row r="54" customFormat="false" ht="15" hidden="false" customHeight="false" outlineLevel="0" collapsed="false">
      <c r="D54" s="38"/>
      <c r="E54" s="11"/>
      <c r="F54" s="11"/>
      <c r="G54" s="11"/>
      <c r="I54" s="38"/>
      <c r="J54" s="38"/>
      <c r="K54" s="10"/>
      <c r="L54" s="10"/>
      <c r="N54" s="11"/>
      <c r="O54" s="10"/>
      <c r="P54" s="31" t="str">
        <f aca="false">IF($A54="","",IF(IFERROR(IF(INDEX(drops!$I$2:$I$21,MATCH($A54,drops!$A$2:$A$21,0))="","",INDEX(drops!$I$2:$I$21,MATCH($A54,drops!$A$2:$A$21,0))),"")="OK",IFERROR(IF(INDEX(drops!$B$2:$B$21,MATCH($A54,drops!$A$2:$A$21,0))="","",INDEX(drops!$B$2:$B$21,MATCH($A54,drops!$A$2:$A$21,0))),""),""))</f>
        <v/>
      </c>
      <c r="Q54" s="30" t="str">
        <f aca="false">IF($B54="","",IFERROR(IF(INDEX(offices!$O$2:$O$61,MATCH($B54,offices!$A$2:$A$61,0))="","",INDEX(offices!$O$2:$O$61,MATCH($B54,offices!$A$2:$A$61,0))),""))</f>
        <v/>
      </c>
      <c r="R54" s="30" t="str">
        <f aca="false">IF($B54="","",IFERROR(IF(INDEX(offices!$P$2:$P$61,MATCH($B54,offices!$A$2:$A$61,0))="","",INDEX(offices!$P$2:$P$61,MATCH($B54,offices!$A$2:$A$61,0))),""))</f>
        <v/>
      </c>
      <c r="S54" s="30" t="str">
        <f aca="false">IF($B54="","",IFERROR(IF(INDEX(offices!$Q$2:$Q$61,MATCH($B54,offices!$A$2:$A$61,0))="","",INDEX(offices!$Q$2:$Q$61,MATCH($B54,offices!$A$2:$A$61,0))),""))</f>
        <v/>
      </c>
      <c r="T54" s="30" t="str">
        <f aca="false">IF($B54="","",IFERROR(IF(INDEX(offices!$Z$2:$Z$61,MATCH($B54,offices!$A$2:$A$61,0))="","",INDEX(offices!$Z$2:$Z$61,MATCH($B54,offices!$A$2:$A$61,0))),""))</f>
        <v/>
      </c>
      <c r="U54" s="30" t="str">
        <f aca="false">IF($B54="","",IFERROR(IF(INDEX(offices!$Y$2:$Y$61,MATCH($B54,offices!$A$2:$A$61,0))="","",INDEX(offices!$Y$2:$Y$61,MATCH($B54,offices!$A$2:$A$61,0))),""))</f>
        <v/>
      </c>
      <c r="V54" s="30" t="str">
        <f aca="false">IF($B54="","",IFERROR(IF(INDEX(offices!$V$2:$V$61,MATCH($B54,offices!$A$2:$A$61,0))="","",INDEX(offices!$V$2:$V$61,MATCH($B54,offices!$A$2:$A$61,0))),""))</f>
        <v/>
      </c>
      <c r="W54" s="30" t="str">
        <f aca="false">IF($B54="","",IFERROR(IF(INDEX(offices!$AJ$2:$AJ$61,MATCH($B54,offices!$A$2:$A$61,0))="","",INDEX(offices!$AJ$2:$AJ$61,MATCH($B54,offices!$A$2:$A$61,0))),""))</f>
        <v/>
      </c>
      <c r="X54" s="30" t="str">
        <f aca="false">IF($B54="","",IFERROR(IF(INDEX(offices!$G$2:$G$61,MATCH($B54,offices!$A$2:$A$61,0))="","",INDEX(offices!$G$2:$G$61,MATCH($B54,offices!$A$2:$A$61,0))),""))</f>
        <v/>
      </c>
      <c r="Y54" s="30" t="str">
        <f aca="false">IF($B54="","",IFERROR(IF(INDEX(offices!$I$2:$I$61,MATCH($B54,offices!$A$2:$A$61,0))="","",INDEX(offices!$I$2:$I$61,MATCH($B54,offices!$A$2:$A$61,0))),""))</f>
        <v/>
      </c>
      <c r="Z54" s="30" t="str">
        <f aca="false">IF($A54="","",COUNTIFS(approvals!$H$2:$H$251,$A54,approvals!$B$2:$B$251,$B54,approvals!$P$2:$P$251,"Y"))</f>
        <v/>
      </c>
      <c r="AA54" s="30" t="str">
        <f aca="false">IF($A54="","",SUMIFS(approvals!$S$2:$S$251,approvals!$H$2:$H$251,$A54,approvals!$B$2:$B$251,$B54,approvals!$P$2:$P$251,"Y"))</f>
        <v/>
      </c>
      <c r="AB54" s="30" t="str">
        <f aca="false">IF(OR($A54="",$P54=""),"",IF(COUNTIFS(stops!$B$2:$B$151,$B54,stops!$P$2:$P$151,"&lt;"&amp;$P54,stops!$L$2:$L$151,"&lt;&gt;not_delivered")=0,"Y","N"))</f>
        <v/>
      </c>
      <c r="AC54" s="30" t="str">
        <f aca="false">IF(OR($I54="",$J54=""),"",ROUND(($J54-$I54)*1440,0))</f>
        <v/>
      </c>
      <c r="AD54" s="30" t="str">
        <f aca="true">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30" t="str">
        <f aca="false">IF($B54="","",IFERROR(IF(INDEX(offices!$H$2:$H$61,MATCH($B54,offices!$A$2:$A$61,0))="","",INDEX(offices!$H$2:$H$61,MATCH($B54,offices!$A$2:$A$61,0))),""))</f>
        <v/>
      </c>
      <c r="AF54" s="30" t="str">
        <f aca="false">IF($A54="","",IF(AND($L54="declined",N($Z54)&gt;0,COUNTIFS(approvals!$H$2:$H$251,$A54,approvals!$B$2:$B$251,$B54,approvals!$P$2:$P$251,"Y",approvals!$U$2:$U$251,"&gt;0")=0),"Y",""))</f>
        <v/>
      </c>
    </row>
    <row r="55" customFormat="false" ht="15" hidden="false" customHeight="false" outlineLevel="0" collapsed="false">
      <c r="D55" s="38"/>
      <c r="E55" s="11"/>
      <c r="F55" s="11"/>
      <c r="G55" s="11"/>
      <c r="I55" s="38"/>
      <c r="J55" s="38"/>
      <c r="K55" s="10"/>
      <c r="L55" s="10"/>
      <c r="N55" s="11"/>
      <c r="O55" s="10"/>
      <c r="P55" s="31" t="str">
        <f aca="false">IF($A55="","",IF(IFERROR(IF(INDEX(drops!$I$2:$I$21,MATCH($A55,drops!$A$2:$A$21,0))="","",INDEX(drops!$I$2:$I$21,MATCH($A55,drops!$A$2:$A$21,0))),"")="OK",IFERROR(IF(INDEX(drops!$B$2:$B$21,MATCH($A55,drops!$A$2:$A$21,0))="","",INDEX(drops!$B$2:$B$21,MATCH($A55,drops!$A$2:$A$21,0))),""),""))</f>
        <v/>
      </c>
      <c r="Q55" s="30" t="str">
        <f aca="false">IF($B55="","",IFERROR(IF(INDEX(offices!$O$2:$O$61,MATCH($B55,offices!$A$2:$A$61,0))="","",INDEX(offices!$O$2:$O$61,MATCH($B55,offices!$A$2:$A$61,0))),""))</f>
        <v/>
      </c>
      <c r="R55" s="30" t="str">
        <f aca="false">IF($B55="","",IFERROR(IF(INDEX(offices!$P$2:$P$61,MATCH($B55,offices!$A$2:$A$61,0))="","",INDEX(offices!$P$2:$P$61,MATCH($B55,offices!$A$2:$A$61,0))),""))</f>
        <v/>
      </c>
      <c r="S55" s="30" t="str">
        <f aca="false">IF($B55="","",IFERROR(IF(INDEX(offices!$Q$2:$Q$61,MATCH($B55,offices!$A$2:$A$61,0))="","",INDEX(offices!$Q$2:$Q$61,MATCH($B55,offices!$A$2:$A$61,0))),""))</f>
        <v/>
      </c>
      <c r="T55" s="30" t="str">
        <f aca="false">IF($B55="","",IFERROR(IF(INDEX(offices!$Z$2:$Z$61,MATCH($B55,offices!$A$2:$A$61,0))="","",INDEX(offices!$Z$2:$Z$61,MATCH($B55,offices!$A$2:$A$61,0))),""))</f>
        <v/>
      </c>
      <c r="U55" s="30" t="str">
        <f aca="false">IF($B55="","",IFERROR(IF(INDEX(offices!$Y$2:$Y$61,MATCH($B55,offices!$A$2:$A$61,0))="","",INDEX(offices!$Y$2:$Y$61,MATCH($B55,offices!$A$2:$A$61,0))),""))</f>
        <v/>
      </c>
      <c r="V55" s="30" t="str">
        <f aca="false">IF($B55="","",IFERROR(IF(INDEX(offices!$V$2:$V$61,MATCH($B55,offices!$A$2:$A$61,0))="","",INDEX(offices!$V$2:$V$61,MATCH($B55,offices!$A$2:$A$61,0))),""))</f>
        <v/>
      </c>
      <c r="W55" s="30" t="str">
        <f aca="false">IF($B55="","",IFERROR(IF(INDEX(offices!$AJ$2:$AJ$61,MATCH($B55,offices!$A$2:$A$61,0))="","",INDEX(offices!$AJ$2:$AJ$61,MATCH($B55,offices!$A$2:$A$61,0))),""))</f>
        <v/>
      </c>
      <c r="X55" s="30" t="str">
        <f aca="false">IF($B55="","",IFERROR(IF(INDEX(offices!$G$2:$G$61,MATCH($B55,offices!$A$2:$A$61,0))="","",INDEX(offices!$G$2:$G$61,MATCH($B55,offices!$A$2:$A$61,0))),""))</f>
        <v/>
      </c>
      <c r="Y55" s="30" t="str">
        <f aca="false">IF($B55="","",IFERROR(IF(INDEX(offices!$I$2:$I$61,MATCH($B55,offices!$A$2:$A$61,0))="","",INDEX(offices!$I$2:$I$61,MATCH($B55,offices!$A$2:$A$61,0))),""))</f>
        <v/>
      </c>
      <c r="Z55" s="30" t="str">
        <f aca="false">IF($A55="","",COUNTIFS(approvals!$H$2:$H$251,$A55,approvals!$B$2:$B$251,$B55,approvals!$P$2:$P$251,"Y"))</f>
        <v/>
      </c>
      <c r="AA55" s="30" t="str">
        <f aca="false">IF($A55="","",SUMIFS(approvals!$S$2:$S$251,approvals!$H$2:$H$251,$A55,approvals!$B$2:$B$251,$B55,approvals!$P$2:$P$251,"Y"))</f>
        <v/>
      </c>
      <c r="AB55" s="30" t="str">
        <f aca="false">IF(OR($A55="",$P55=""),"",IF(COUNTIFS(stops!$B$2:$B$151,$B55,stops!$P$2:$P$151,"&lt;"&amp;$P55,stops!$L$2:$L$151,"&lt;&gt;not_delivered")=0,"Y","N"))</f>
        <v/>
      </c>
      <c r="AC55" s="30" t="str">
        <f aca="false">IF(OR($I55="",$J55=""),"",ROUND(($J55-$I55)*1440,0))</f>
        <v/>
      </c>
      <c r="AD55" s="30" t="str">
        <f aca="true">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30" t="str">
        <f aca="false">IF($B55="","",IFERROR(IF(INDEX(offices!$H$2:$H$61,MATCH($B55,offices!$A$2:$A$61,0))="","",INDEX(offices!$H$2:$H$61,MATCH($B55,offices!$A$2:$A$61,0))),""))</f>
        <v/>
      </c>
      <c r="AF55" s="30" t="str">
        <f aca="false">IF($A55="","",IF(AND($L55="declined",N($Z55)&gt;0,COUNTIFS(approvals!$H$2:$H$251,$A55,approvals!$B$2:$B$251,$B55,approvals!$P$2:$P$251,"Y",approvals!$U$2:$U$251,"&gt;0")=0),"Y",""))</f>
        <v/>
      </c>
    </row>
    <row r="56" customFormat="false" ht="15" hidden="false" customHeight="false" outlineLevel="0" collapsed="false">
      <c r="D56" s="38"/>
      <c r="E56" s="11"/>
      <c r="F56" s="11"/>
      <c r="G56" s="11"/>
      <c r="I56" s="38"/>
      <c r="J56" s="38"/>
      <c r="K56" s="10"/>
      <c r="L56" s="10"/>
      <c r="N56" s="11"/>
      <c r="O56" s="10"/>
      <c r="P56" s="31" t="str">
        <f aca="false">IF($A56="","",IF(IFERROR(IF(INDEX(drops!$I$2:$I$21,MATCH($A56,drops!$A$2:$A$21,0))="","",INDEX(drops!$I$2:$I$21,MATCH($A56,drops!$A$2:$A$21,0))),"")="OK",IFERROR(IF(INDEX(drops!$B$2:$B$21,MATCH($A56,drops!$A$2:$A$21,0))="","",INDEX(drops!$B$2:$B$21,MATCH($A56,drops!$A$2:$A$21,0))),""),""))</f>
        <v/>
      </c>
      <c r="Q56" s="30" t="str">
        <f aca="false">IF($B56="","",IFERROR(IF(INDEX(offices!$O$2:$O$61,MATCH($B56,offices!$A$2:$A$61,0))="","",INDEX(offices!$O$2:$O$61,MATCH($B56,offices!$A$2:$A$61,0))),""))</f>
        <v/>
      </c>
      <c r="R56" s="30" t="str">
        <f aca="false">IF($B56="","",IFERROR(IF(INDEX(offices!$P$2:$P$61,MATCH($B56,offices!$A$2:$A$61,0))="","",INDEX(offices!$P$2:$P$61,MATCH($B56,offices!$A$2:$A$61,0))),""))</f>
        <v/>
      </c>
      <c r="S56" s="30" t="str">
        <f aca="false">IF($B56="","",IFERROR(IF(INDEX(offices!$Q$2:$Q$61,MATCH($B56,offices!$A$2:$A$61,0))="","",INDEX(offices!$Q$2:$Q$61,MATCH($B56,offices!$A$2:$A$61,0))),""))</f>
        <v/>
      </c>
      <c r="T56" s="30" t="str">
        <f aca="false">IF($B56="","",IFERROR(IF(INDEX(offices!$Z$2:$Z$61,MATCH($B56,offices!$A$2:$A$61,0))="","",INDEX(offices!$Z$2:$Z$61,MATCH($B56,offices!$A$2:$A$61,0))),""))</f>
        <v/>
      </c>
      <c r="U56" s="30" t="str">
        <f aca="false">IF($B56="","",IFERROR(IF(INDEX(offices!$Y$2:$Y$61,MATCH($B56,offices!$A$2:$A$61,0))="","",INDEX(offices!$Y$2:$Y$61,MATCH($B56,offices!$A$2:$A$61,0))),""))</f>
        <v/>
      </c>
      <c r="V56" s="30" t="str">
        <f aca="false">IF($B56="","",IFERROR(IF(INDEX(offices!$V$2:$V$61,MATCH($B56,offices!$A$2:$A$61,0))="","",INDEX(offices!$V$2:$V$61,MATCH($B56,offices!$A$2:$A$61,0))),""))</f>
        <v/>
      </c>
      <c r="W56" s="30" t="str">
        <f aca="false">IF($B56="","",IFERROR(IF(INDEX(offices!$AJ$2:$AJ$61,MATCH($B56,offices!$A$2:$A$61,0))="","",INDEX(offices!$AJ$2:$AJ$61,MATCH($B56,offices!$A$2:$A$61,0))),""))</f>
        <v/>
      </c>
      <c r="X56" s="30" t="str">
        <f aca="false">IF($B56="","",IFERROR(IF(INDEX(offices!$G$2:$G$61,MATCH($B56,offices!$A$2:$A$61,0))="","",INDEX(offices!$G$2:$G$61,MATCH($B56,offices!$A$2:$A$61,0))),""))</f>
        <v/>
      </c>
      <c r="Y56" s="30" t="str">
        <f aca="false">IF($B56="","",IFERROR(IF(INDEX(offices!$I$2:$I$61,MATCH($B56,offices!$A$2:$A$61,0))="","",INDEX(offices!$I$2:$I$61,MATCH($B56,offices!$A$2:$A$61,0))),""))</f>
        <v/>
      </c>
      <c r="Z56" s="30" t="str">
        <f aca="false">IF($A56="","",COUNTIFS(approvals!$H$2:$H$251,$A56,approvals!$B$2:$B$251,$B56,approvals!$P$2:$P$251,"Y"))</f>
        <v/>
      </c>
      <c r="AA56" s="30" t="str">
        <f aca="false">IF($A56="","",SUMIFS(approvals!$S$2:$S$251,approvals!$H$2:$H$251,$A56,approvals!$B$2:$B$251,$B56,approvals!$P$2:$P$251,"Y"))</f>
        <v/>
      </c>
      <c r="AB56" s="30" t="str">
        <f aca="false">IF(OR($A56="",$P56=""),"",IF(COUNTIFS(stops!$B$2:$B$151,$B56,stops!$P$2:$P$151,"&lt;"&amp;$P56,stops!$L$2:$L$151,"&lt;&gt;not_delivered")=0,"Y","N"))</f>
        <v/>
      </c>
      <c r="AC56" s="30" t="str">
        <f aca="false">IF(OR($I56="",$J56=""),"",ROUND(($J56-$I56)*1440,0))</f>
        <v/>
      </c>
      <c r="AD56" s="30" t="str">
        <f aca="true">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30" t="str">
        <f aca="false">IF($B56="","",IFERROR(IF(INDEX(offices!$H$2:$H$61,MATCH($B56,offices!$A$2:$A$61,0))="","",INDEX(offices!$H$2:$H$61,MATCH($B56,offices!$A$2:$A$61,0))),""))</f>
        <v/>
      </c>
      <c r="AF56" s="30" t="str">
        <f aca="false">IF($A56="","",IF(AND($L56="declined",N($Z56)&gt;0,COUNTIFS(approvals!$H$2:$H$251,$A56,approvals!$B$2:$B$251,$B56,approvals!$P$2:$P$251,"Y",approvals!$U$2:$U$251,"&gt;0")=0),"Y",""))</f>
        <v/>
      </c>
    </row>
    <row r="57" customFormat="false" ht="15" hidden="false" customHeight="false" outlineLevel="0" collapsed="false">
      <c r="D57" s="38"/>
      <c r="E57" s="11"/>
      <c r="F57" s="11"/>
      <c r="G57" s="11"/>
      <c r="I57" s="38"/>
      <c r="J57" s="38"/>
      <c r="K57" s="10"/>
      <c r="L57" s="10"/>
      <c r="N57" s="11"/>
      <c r="O57" s="10"/>
      <c r="P57" s="31" t="str">
        <f aca="false">IF($A57="","",IF(IFERROR(IF(INDEX(drops!$I$2:$I$21,MATCH($A57,drops!$A$2:$A$21,0))="","",INDEX(drops!$I$2:$I$21,MATCH($A57,drops!$A$2:$A$21,0))),"")="OK",IFERROR(IF(INDEX(drops!$B$2:$B$21,MATCH($A57,drops!$A$2:$A$21,0))="","",INDEX(drops!$B$2:$B$21,MATCH($A57,drops!$A$2:$A$21,0))),""),""))</f>
        <v/>
      </c>
      <c r="Q57" s="30" t="str">
        <f aca="false">IF($B57="","",IFERROR(IF(INDEX(offices!$O$2:$O$61,MATCH($B57,offices!$A$2:$A$61,0))="","",INDEX(offices!$O$2:$O$61,MATCH($B57,offices!$A$2:$A$61,0))),""))</f>
        <v/>
      </c>
      <c r="R57" s="30" t="str">
        <f aca="false">IF($B57="","",IFERROR(IF(INDEX(offices!$P$2:$P$61,MATCH($B57,offices!$A$2:$A$61,0))="","",INDEX(offices!$P$2:$P$61,MATCH($B57,offices!$A$2:$A$61,0))),""))</f>
        <v/>
      </c>
      <c r="S57" s="30" t="str">
        <f aca="false">IF($B57="","",IFERROR(IF(INDEX(offices!$Q$2:$Q$61,MATCH($B57,offices!$A$2:$A$61,0))="","",INDEX(offices!$Q$2:$Q$61,MATCH($B57,offices!$A$2:$A$61,0))),""))</f>
        <v/>
      </c>
      <c r="T57" s="30" t="str">
        <f aca="false">IF($B57="","",IFERROR(IF(INDEX(offices!$Z$2:$Z$61,MATCH($B57,offices!$A$2:$A$61,0))="","",INDEX(offices!$Z$2:$Z$61,MATCH($B57,offices!$A$2:$A$61,0))),""))</f>
        <v/>
      </c>
      <c r="U57" s="30" t="str">
        <f aca="false">IF($B57="","",IFERROR(IF(INDEX(offices!$Y$2:$Y$61,MATCH($B57,offices!$A$2:$A$61,0))="","",INDEX(offices!$Y$2:$Y$61,MATCH($B57,offices!$A$2:$A$61,0))),""))</f>
        <v/>
      </c>
      <c r="V57" s="30" t="str">
        <f aca="false">IF($B57="","",IFERROR(IF(INDEX(offices!$V$2:$V$61,MATCH($B57,offices!$A$2:$A$61,0))="","",INDEX(offices!$V$2:$V$61,MATCH($B57,offices!$A$2:$A$61,0))),""))</f>
        <v/>
      </c>
      <c r="W57" s="30" t="str">
        <f aca="false">IF($B57="","",IFERROR(IF(INDEX(offices!$AJ$2:$AJ$61,MATCH($B57,offices!$A$2:$A$61,0))="","",INDEX(offices!$AJ$2:$AJ$61,MATCH($B57,offices!$A$2:$A$61,0))),""))</f>
        <v/>
      </c>
      <c r="X57" s="30" t="str">
        <f aca="false">IF($B57="","",IFERROR(IF(INDEX(offices!$G$2:$G$61,MATCH($B57,offices!$A$2:$A$61,0))="","",INDEX(offices!$G$2:$G$61,MATCH($B57,offices!$A$2:$A$61,0))),""))</f>
        <v/>
      </c>
      <c r="Y57" s="30" t="str">
        <f aca="false">IF($B57="","",IFERROR(IF(INDEX(offices!$I$2:$I$61,MATCH($B57,offices!$A$2:$A$61,0))="","",INDEX(offices!$I$2:$I$61,MATCH($B57,offices!$A$2:$A$61,0))),""))</f>
        <v/>
      </c>
      <c r="Z57" s="30" t="str">
        <f aca="false">IF($A57="","",COUNTIFS(approvals!$H$2:$H$251,$A57,approvals!$B$2:$B$251,$B57,approvals!$P$2:$P$251,"Y"))</f>
        <v/>
      </c>
      <c r="AA57" s="30" t="str">
        <f aca="false">IF($A57="","",SUMIFS(approvals!$S$2:$S$251,approvals!$H$2:$H$251,$A57,approvals!$B$2:$B$251,$B57,approvals!$P$2:$P$251,"Y"))</f>
        <v/>
      </c>
      <c r="AB57" s="30" t="str">
        <f aca="false">IF(OR($A57="",$P57=""),"",IF(COUNTIFS(stops!$B$2:$B$151,$B57,stops!$P$2:$P$151,"&lt;"&amp;$P57,stops!$L$2:$L$151,"&lt;&gt;not_delivered")=0,"Y","N"))</f>
        <v/>
      </c>
      <c r="AC57" s="30" t="str">
        <f aca="false">IF(OR($I57="",$J57=""),"",ROUND(($J57-$I57)*1440,0))</f>
        <v/>
      </c>
      <c r="AD57" s="30" t="str">
        <f aca="true">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30" t="str">
        <f aca="false">IF($B57="","",IFERROR(IF(INDEX(offices!$H$2:$H$61,MATCH($B57,offices!$A$2:$A$61,0))="","",INDEX(offices!$H$2:$H$61,MATCH($B57,offices!$A$2:$A$61,0))),""))</f>
        <v/>
      </c>
      <c r="AF57" s="30" t="str">
        <f aca="false">IF($A57="","",IF(AND($L57="declined",N($Z57)&gt;0,COUNTIFS(approvals!$H$2:$H$251,$A57,approvals!$B$2:$B$251,$B57,approvals!$P$2:$P$251,"Y",approvals!$U$2:$U$251,"&gt;0")=0),"Y",""))</f>
        <v/>
      </c>
    </row>
    <row r="58" customFormat="false" ht="15" hidden="false" customHeight="false" outlineLevel="0" collapsed="false">
      <c r="D58" s="38"/>
      <c r="E58" s="11"/>
      <c r="F58" s="11"/>
      <c r="G58" s="11"/>
      <c r="I58" s="38"/>
      <c r="J58" s="38"/>
      <c r="K58" s="10"/>
      <c r="L58" s="10"/>
      <c r="N58" s="11"/>
      <c r="O58" s="10"/>
      <c r="P58" s="31" t="str">
        <f aca="false">IF($A58="","",IF(IFERROR(IF(INDEX(drops!$I$2:$I$21,MATCH($A58,drops!$A$2:$A$21,0))="","",INDEX(drops!$I$2:$I$21,MATCH($A58,drops!$A$2:$A$21,0))),"")="OK",IFERROR(IF(INDEX(drops!$B$2:$B$21,MATCH($A58,drops!$A$2:$A$21,0))="","",INDEX(drops!$B$2:$B$21,MATCH($A58,drops!$A$2:$A$21,0))),""),""))</f>
        <v/>
      </c>
      <c r="Q58" s="30" t="str">
        <f aca="false">IF($B58="","",IFERROR(IF(INDEX(offices!$O$2:$O$61,MATCH($B58,offices!$A$2:$A$61,0))="","",INDEX(offices!$O$2:$O$61,MATCH($B58,offices!$A$2:$A$61,0))),""))</f>
        <v/>
      </c>
      <c r="R58" s="30" t="str">
        <f aca="false">IF($B58="","",IFERROR(IF(INDEX(offices!$P$2:$P$61,MATCH($B58,offices!$A$2:$A$61,0))="","",INDEX(offices!$P$2:$P$61,MATCH($B58,offices!$A$2:$A$61,0))),""))</f>
        <v/>
      </c>
      <c r="S58" s="30" t="str">
        <f aca="false">IF($B58="","",IFERROR(IF(INDEX(offices!$Q$2:$Q$61,MATCH($B58,offices!$A$2:$A$61,0))="","",INDEX(offices!$Q$2:$Q$61,MATCH($B58,offices!$A$2:$A$61,0))),""))</f>
        <v/>
      </c>
      <c r="T58" s="30" t="str">
        <f aca="false">IF($B58="","",IFERROR(IF(INDEX(offices!$Z$2:$Z$61,MATCH($B58,offices!$A$2:$A$61,0))="","",INDEX(offices!$Z$2:$Z$61,MATCH($B58,offices!$A$2:$A$61,0))),""))</f>
        <v/>
      </c>
      <c r="U58" s="30" t="str">
        <f aca="false">IF($B58="","",IFERROR(IF(INDEX(offices!$Y$2:$Y$61,MATCH($B58,offices!$A$2:$A$61,0))="","",INDEX(offices!$Y$2:$Y$61,MATCH($B58,offices!$A$2:$A$61,0))),""))</f>
        <v/>
      </c>
      <c r="V58" s="30" t="str">
        <f aca="false">IF($B58="","",IFERROR(IF(INDEX(offices!$V$2:$V$61,MATCH($B58,offices!$A$2:$A$61,0))="","",INDEX(offices!$V$2:$V$61,MATCH($B58,offices!$A$2:$A$61,0))),""))</f>
        <v/>
      </c>
      <c r="W58" s="30" t="str">
        <f aca="false">IF($B58="","",IFERROR(IF(INDEX(offices!$AJ$2:$AJ$61,MATCH($B58,offices!$A$2:$A$61,0))="","",INDEX(offices!$AJ$2:$AJ$61,MATCH($B58,offices!$A$2:$A$61,0))),""))</f>
        <v/>
      </c>
      <c r="X58" s="30" t="str">
        <f aca="false">IF($B58="","",IFERROR(IF(INDEX(offices!$G$2:$G$61,MATCH($B58,offices!$A$2:$A$61,0))="","",INDEX(offices!$G$2:$G$61,MATCH($B58,offices!$A$2:$A$61,0))),""))</f>
        <v/>
      </c>
      <c r="Y58" s="30" t="str">
        <f aca="false">IF($B58="","",IFERROR(IF(INDEX(offices!$I$2:$I$61,MATCH($B58,offices!$A$2:$A$61,0))="","",INDEX(offices!$I$2:$I$61,MATCH($B58,offices!$A$2:$A$61,0))),""))</f>
        <v/>
      </c>
      <c r="Z58" s="30" t="str">
        <f aca="false">IF($A58="","",COUNTIFS(approvals!$H$2:$H$251,$A58,approvals!$B$2:$B$251,$B58,approvals!$P$2:$P$251,"Y"))</f>
        <v/>
      </c>
      <c r="AA58" s="30" t="str">
        <f aca="false">IF($A58="","",SUMIFS(approvals!$S$2:$S$251,approvals!$H$2:$H$251,$A58,approvals!$B$2:$B$251,$B58,approvals!$P$2:$P$251,"Y"))</f>
        <v/>
      </c>
      <c r="AB58" s="30" t="str">
        <f aca="false">IF(OR($A58="",$P58=""),"",IF(COUNTIFS(stops!$B$2:$B$151,$B58,stops!$P$2:$P$151,"&lt;"&amp;$P58,stops!$L$2:$L$151,"&lt;&gt;not_delivered")=0,"Y","N"))</f>
        <v/>
      </c>
      <c r="AC58" s="30" t="str">
        <f aca="false">IF(OR($I58="",$J58=""),"",ROUND(($J58-$I58)*1440,0))</f>
        <v/>
      </c>
      <c r="AD58" s="30" t="str">
        <f aca="true">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30" t="str">
        <f aca="false">IF($B58="","",IFERROR(IF(INDEX(offices!$H$2:$H$61,MATCH($B58,offices!$A$2:$A$61,0))="","",INDEX(offices!$H$2:$H$61,MATCH($B58,offices!$A$2:$A$61,0))),""))</f>
        <v/>
      </c>
      <c r="AF58" s="30" t="str">
        <f aca="false">IF($A58="","",IF(AND($L58="declined",N($Z58)&gt;0,COUNTIFS(approvals!$H$2:$H$251,$A58,approvals!$B$2:$B$251,$B58,approvals!$P$2:$P$251,"Y",approvals!$U$2:$U$251,"&gt;0")=0),"Y",""))</f>
        <v/>
      </c>
    </row>
    <row r="59" customFormat="false" ht="15" hidden="false" customHeight="false" outlineLevel="0" collapsed="false">
      <c r="D59" s="38"/>
      <c r="E59" s="11"/>
      <c r="F59" s="11"/>
      <c r="G59" s="11"/>
      <c r="I59" s="38"/>
      <c r="J59" s="38"/>
      <c r="K59" s="10"/>
      <c r="L59" s="10"/>
      <c r="N59" s="11"/>
      <c r="O59" s="10"/>
      <c r="P59" s="31" t="str">
        <f aca="false">IF($A59="","",IF(IFERROR(IF(INDEX(drops!$I$2:$I$21,MATCH($A59,drops!$A$2:$A$21,0))="","",INDEX(drops!$I$2:$I$21,MATCH($A59,drops!$A$2:$A$21,0))),"")="OK",IFERROR(IF(INDEX(drops!$B$2:$B$21,MATCH($A59,drops!$A$2:$A$21,0))="","",INDEX(drops!$B$2:$B$21,MATCH($A59,drops!$A$2:$A$21,0))),""),""))</f>
        <v/>
      </c>
      <c r="Q59" s="30" t="str">
        <f aca="false">IF($B59="","",IFERROR(IF(INDEX(offices!$O$2:$O$61,MATCH($B59,offices!$A$2:$A$61,0))="","",INDEX(offices!$O$2:$O$61,MATCH($B59,offices!$A$2:$A$61,0))),""))</f>
        <v/>
      </c>
      <c r="R59" s="30" t="str">
        <f aca="false">IF($B59="","",IFERROR(IF(INDEX(offices!$P$2:$P$61,MATCH($B59,offices!$A$2:$A$61,0))="","",INDEX(offices!$P$2:$P$61,MATCH($B59,offices!$A$2:$A$61,0))),""))</f>
        <v/>
      </c>
      <c r="S59" s="30" t="str">
        <f aca="false">IF($B59="","",IFERROR(IF(INDEX(offices!$Q$2:$Q$61,MATCH($B59,offices!$A$2:$A$61,0))="","",INDEX(offices!$Q$2:$Q$61,MATCH($B59,offices!$A$2:$A$61,0))),""))</f>
        <v/>
      </c>
      <c r="T59" s="30" t="str">
        <f aca="false">IF($B59="","",IFERROR(IF(INDEX(offices!$Z$2:$Z$61,MATCH($B59,offices!$A$2:$A$61,0))="","",INDEX(offices!$Z$2:$Z$61,MATCH($B59,offices!$A$2:$A$61,0))),""))</f>
        <v/>
      </c>
      <c r="U59" s="30" t="str">
        <f aca="false">IF($B59="","",IFERROR(IF(INDEX(offices!$Y$2:$Y$61,MATCH($B59,offices!$A$2:$A$61,0))="","",INDEX(offices!$Y$2:$Y$61,MATCH($B59,offices!$A$2:$A$61,0))),""))</f>
        <v/>
      </c>
      <c r="V59" s="30" t="str">
        <f aca="false">IF($B59="","",IFERROR(IF(INDEX(offices!$V$2:$V$61,MATCH($B59,offices!$A$2:$A$61,0))="","",INDEX(offices!$V$2:$V$61,MATCH($B59,offices!$A$2:$A$61,0))),""))</f>
        <v/>
      </c>
      <c r="W59" s="30" t="str">
        <f aca="false">IF($B59="","",IFERROR(IF(INDEX(offices!$AJ$2:$AJ$61,MATCH($B59,offices!$A$2:$A$61,0))="","",INDEX(offices!$AJ$2:$AJ$61,MATCH($B59,offices!$A$2:$A$61,0))),""))</f>
        <v/>
      </c>
      <c r="X59" s="30" t="str">
        <f aca="false">IF($B59="","",IFERROR(IF(INDEX(offices!$G$2:$G$61,MATCH($B59,offices!$A$2:$A$61,0))="","",INDEX(offices!$G$2:$G$61,MATCH($B59,offices!$A$2:$A$61,0))),""))</f>
        <v/>
      </c>
      <c r="Y59" s="30" t="str">
        <f aca="false">IF($B59="","",IFERROR(IF(INDEX(offices!$I$2:$I$61,MATCH($B59,offices!$A$2:$A$61,0))="","",INDEX(offices!$I$2:$I$61,MATCH($B59,offices!$A$2:$A$61,0))),""))</f>
        <v/>
      </c>
      <c r="Z59" s="30" t="str">
        <f aca="false">IF($A59="","",COUNTIFS(approvals!$H$2:$H$251,$A59,approvals!$B$2:$B$251,$B59,approvals!$P$2:$P$251,"Y"))</f>
        <v/>
      </c>
      <c r="AA59" s="30" t="str">
        <f aca="false">IF($A59="","",SUMIFS(approvals!$S$2:$S$251,approvals!$H$2:$H$251,$A59,approvals!$B$2:$B$251,$B59,approvals!$P$2:$P$251,"Y"))</f>
        <v/>
      </c>
      <c r="AB59" s="30" t="str">
        <f aca="false">IF(OR($A59="",$P59=""),"",IF(COUNTIFS(stops!$B$2:$B$151,$B59,stops!$P$2:$P$151,"&lt;"&amp;$P59,stops!$L$2:$L$151,"&lt;&gt;not_delivered")=0,"Y","N"))</f>
        <v/>
      </c>
      <c r="AC59" s="30" t="str">
        <f aca="false">IF(OR($I59="",$J59=""),"",ROUND(($J59-$I59)*1440,0))</f>
        <v/>
      </c>
      <c r="AD59" s="30" t="str">
        <f aca="true">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30" t="str">
        <f aca="false">IF($B59="","",IFERROR(IF(INDEX(offices!$H$2:$H$61,MATCH($B59,offices!$A$2:$A$61,0))="","",INDEX(offices!$H$2:$H$61,MATCH($B59,offices!$A$2:$A$61,0))),""))</f>
        <v/>
      </c>
      <c r="AF59" s="30" t="str">
        <f aca="false">IF($A59="","",IF(AND($L59="declined",N($Z59)&gt;0,COUNTIFS(approvals!$H$2:$H$251,$A59,approvals!$B$2:$B$251,$B59,approvals!$P$2:$P$251,"Y",approvals!$U$2:$U$251,"&gt;0")=0),"Y",""))</f>
        <v/>
      </c>
    </row>
    <row r="60" customFormat="false" ht="15" hidden="false" customHeight="false" outlineLevel="0" collapsed="false">
      <c r="D60" s="38"/>
      <c r="E60" s="11"/>
      <c r="F60" s="11"/>
      <c r="G60" s="11"/>
      <c r="I60" s="38"/>
      <c r="J60" s="38"/>
      <c r="K60" s="10"/>
      <c r="L60" s="10"/>
      <c r="N60" s="11"/>
      <c r="O60" s="10"/>
      <c r="P60" s="31" t="str">
        <f aca="false">IF($A60="","",IF(IFERROR(IF(INDEX(drops!$I$2:$I$21,MATCH($A60,drops!$A$2:$A$21,0))="","",INDEX(drops!$I$2:$I$21,MATCH($A60,drops!$A$2:$A$21,0))),"")="OK",IFERROR(IF(INDEX(drops!$B$2:$B$21,MATCH($A60,drops!$A$2:$A$21,0))="","",INDEX(drops!$B$2:$B$21,MATCH($A60,drops!$A$2:$A$21,0))),""),""))</f>
        <v/>
      </c>
      <c r="Q60" s="30" t="str">
        <f aca="false">IF($B60="","",IFERROR(IF(INDEX(offices!$O$2:$O$61,MATCH($B60,offices!$A$2:$A$61,0))="","",INDEX(offices!$O$2:$O$61,MATCH($B60,offices!$A$2:$A$61,0))),""))</f>
        <v/>
      </c>
      <c r="R60" s="30" t="str">
        <f aca="false">IF($B60="","",IFERROR(IF(INDEX(offices!$P$2:$P$61,MATCH($B60,offices!$A$2:$A$61,0))="","",INDEX(offices!$P$2:$P$61,MATCH($B60,offices!$A$2:$A$61,0))),""))</f>
        <v/>
      </c>
      <c r="S60" s="30" t="str">
        <f aca="false">IF($B60="","",IFERROR(IF(INDEX(offices!$Q$2:$Q$61,MATCH($B60,offices!$A$2:$A$61,0))="","",INDEX(offices!$Q$2:$Q$61,MATCH($B60,offices!$A$2:$A$61,0))),""))</f>
        <v/>
      </c>
      <c r="T60" s="30" t="str">
        <f aca="false">IF($B60="","",IFERROR(IF(INDEX(offices!$Z$2:$Z$61,MATCH($B60,offices!$A$2:$A$61,0))="","",INDEX(offices!$Z$2:$Z$61,MATCH($B60,offices!$A$2:$A$61,0))),""))</f>
        <v/>
      </c>
      <c r="U60" s="30" t="str">
        <f aca="false">IF($B60="","",IFERROR(IF(INDEX(offices!$Y$2:$Y$61,MATCH($B60,offices!$A$2:$A$61,0))="","",INDEX(offices!$Y$2:$Y$61,MATCH($B60,offices!$A$2:$A$61,0))),""))</f>
        <v/>
      </c>
      <c r="V60" s="30" t="str">
        <f aca="false">IF($B60="","",IFERROR(IF(INDEX(offices!$V$2:$V$61,MATCH($B60,offices!$A$2:$A$61,0))="","",INDEX(offices!$V$2:$V$61,MATCH($B60,offices!$A$2:$A$61,0))),""))</f>
        <v/>
      </c>
      <c r="W60" s="30" t="str">
        <f aca="false">IF($B60="","",IFERROR(IF(INDEX(offices!$AJ$2:$AJ$61,MATCH($B60,offices!$A$2:$A$61,0))="","",INDEX(offices!$AJ$2:$AJ$61,MATCH($B60,offices!$A$2:$A$61,0))),""))</f>
        <v/>
      </c>
      <c r="X60" s="30" t="str">
        <f aca="false">IF($B60="","",IFERROR(IF(INDEX(offices!$G$2:$G$61,MATCH($B60,offices!$A$2:$A$61,0))="","",INDEX(offices!$G$2:$G$61,MATCH($B60,offices!$A$2:$A$61,0))),""))</f>
        <v/>
      </c>
      <c r="Y60" s="30" t="str">
        <f aca="false">IF($B60="","",IFERROR(IF(INDEX(offices!$I$2:$I$61,MATCH($B60,offices!$A$2:$A$61,0))="","",INDEX(offices!$I$2:$I$61,MATCH($B60,offices!$A$2:$A$61,0))),""))</f>
        <v/>
      </c>
      <c r="Z60" s="30" t="str">
        <f aca="false">IF($A60="","",COUNTIFS(approvals!$H$2:$H$251,$A60,approvals!$B$2:$B$251,$B60,approvals!$P$2:$P$251,"Y"))</f>
        <v/>
      </c>
      <c r="AA60" s="30" t="str">
        <f aca="false">IF($A60="","",SUMIFS(approvals!$S$2:$S$251,approvals!$H$2:$H$251,$A60,approvals!$B$2:$B$251,$B60,approvals!$P$2:$P$251,"Y"))</f>
        <v/>
      </c>
      <c r="AB60" s="30" t="str">
        <f aca="false">IF(OR($A60="",$P60=""),"",IF(COUNTIFS(stops!$B$2:$B$151,$B60,stops!$P$2:$P$151,"&lt;"&amp;$P60,stops!$L$2:$L$151,"&lt;&gt;not_delivered")=0,"Y","N"))</f>
        <v/>
      </c>
      <c r="AC60" s="30" t="str">
        <f aca="false">IF(OR($I60="",$J60=""),"",ROUND(($J60-$I60)*1440,0))</f>
        <v/>
      </c>
      <c r="AD60" s="30" t="str">
        <f aca="true">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30" t="str">
        <f aca="false">IF($B60="","",IFERROR(IF(INDEX(offices!$H$2:$H$61,MATCH($B60,offices!$A$2:$A$61,0))="","",INDEX(offices!$H$2:$H$61,MATCH($B60,offices!$A$2:$A$61,0))),""))</f>
        <v/>
      </c>
      <c r="AF60" s="30" t="str">
        <f aca="false">IF($A60="","",IF(AND($L60="declined",N($Z60)&gt;0,COUNTIFS(approvals!$H$2:$H$251,$A60,approvals!$B$2:$B$251,$B60,approvals!$P$2:$P$251,"Y",approvals!$U$2:$U$251,"&gt;0")=0),"Y",""))</f>
        <v/>
      </c>
    </row>
    <row r="61" customFormat="false" ht="15" hidden="false" customHeight="false" outlineLevel="0" collapsed="false">
      <c r="D61" s="38"/>
      <c r="E61" s="11"/>
      <c r="F61" s="11"/>
      <c r="G61" s="11"/>
      <c r="I61" s="38"/>
      <c r="J61" s="38"/>
      <c r="K61" s="10"/>
      <c r="L61" s="10"/>
      <c r="N61" s="11"/>
      <c r="O61" s="10"/>
      <c r="P61" s="31" t="str">
        <f aca="false">IF($A61="","",IF(IFERROR(IF(INDEX(drops!$I$2:$I$21,MATCH($A61,drops!$A$2:$A$21,0))="","",INDEX(drops!$I$2:$I$21,MATCH($A61,drops!$A$2:$A$21,0))),"")="OK",IFERROR(IF(INDEX(drops!$B$2:$B$21,MATCH($A61,drops!$A$2:$A$21,0))="","",INDEX(drops!$B$2:$B$21,MATCH($A61,drops!$A$2:$A$21,0))),""),""))</f>
        <v/>
      </c>
      <c r="Q61" s="30" t="str">
        <f aca="false">IF($B61="","",IFERROR(IF(INDEX(offices!$O$2:$O$61,MATCH($B61,offices!$A$2:$A$61,0))="","",INDEX(offices!$O$2:$O$61,MATCH($B61,offices!$A$2:$A$61,0))),""))</f>
        <v/>
      </c>
      <c r="R61" s="30" t="str">
        <f aca="false">IF($B61="","",IFERROR(IF(INDEX(offices!$P$2:$P$61,MATCH($B61,offices!$A$2:$A$61,0))="","",INDEX(offices!$P$2:$P$61,MATCH($B61,offices!$A$2:$A$61,0))),""))</f>
        <v/>
      </c>
      <c r="S61" s="30" t="str">
        <f aca="false">IF($B61="","",IFERROR(IF(INDEX(offices!$Q$2:$Q$61,MATCH($B61,offices!$A$2:$A$61,0))="","",INDEX(offices!$Q$2:$Q$61,MATCH($B61,offices!$A$2:$A$61,0))),""))</f>
        <v/>
      </c>
      <c r="T61" s="30" t="str">
        <f aca="false">IF($B61="","",IFERROR(IF(INDEX(offices!$Z$2:$Z$61,MATCH($B61,offices!$A$2:$A$61,0))="","",INDEX(offices!$Z$2:$Z$61,MATCH($B61,offices!$A$2:$A$61,0))),""))</f>
        <v/>
      </c>
      <c r="U61" s="30" t="str">
        <f aca="false">IF($B61="","",IFERROR(IF(INDEX(offices!$Y$2:$Y$61,MATCH($B61,offices!$A$2:$A$61,0))="","",INDEX(offices!$Y$2:$Y$61,MATCH($B61,offices!$A$2:$A$61,0))),""))</f>
        <v/>
      </c>
      <c r="V61" s="30" t="str">
        <f aca="false">IF($B61="","",IFERROR(IF(INDEX(offices!$V$2:$V$61,MATCH($B61,offices!$A$2:$A$61,0))="","",INDEX(offices!$V$2:$V$61,MATCH($B61,offices!$A$2:$A$61,0))),""))</f>
        <v/>
      </c>
      <c r="W61" s="30" t="str">
        <f aca="false">IF($B61="","",IFERROR(IF(INDEX(offices!$AJ$2:$AJ$61,MATCH($B61,offices!$A$2:$A$61,0))="","",INDEX(offices!$AJ$2:$AJ$61,MATCH($B61,offices!$A$2:$A$61,0))),""))</f>
        <v/>
      </c>
      <c r="X61" s="30" t="str">
        <f aca="false">IF($B61="","",IFERROR(IF(INDEX(offices!$G$2:$G$61,MATCH($B61,offices!$A$2:$A$61,0))="","",INDEX(offices!$G$2:$G$61,MATCH($B61,offices!$A$2:$A$61,0))),""))</f>
        <v/>
      </c>
      <c r="Y61" s="30" t="str">
        <f aca="false">IF($B61="","",IFERROR(IF(INDEX(offices!$I$2:$I$61,MATCH($B61,offices!$A$2:$A$61,0))="","",INDEX(offices!$I$2:$I$61,MATCH($B61,offices!$A$2:$A$61,0))),""))</f>
        <v/>
      </c>
      <c r="Z61" s="30" t="str">
        <f aca="false">IF($A61="","",COUNTIFS(approvals!$H$2:$H$251,$A61,approvals!$B$2:$B$251,$B61,approvals!$P$2:$P$251,"Y"))</f>
        <v/>
      </c>
      <c r="AA61" s="30" t="str">
        <f aca="false">IF($A61="","",SUMIFS(approvals!$S$2:$S$251,approvals!$H$2:$H$251,$A61,approvals!$B$2:$B$251,$B61,approvals!$P$2:$P$251,"Y"))</f>
        <v/>
      </c>
      <c r="AB61" s="30" t="str">
        <f aca="false">IF(OR($A61="",$P61=""),"",IF(COUNTIFS(stops!$B$2:$B$151,$B61,stops!$P$2:$P$151,"&lt;"&amp;$P61,stops!$L$2:$L$151,"&lt;&gt;not_delivered")=0,"Y","N"))</f>
        <v/>
      </c>
      <c r="AC61" s="30" t="str">
        <f aca="false">IF(OR($I61="",$J61=""),"",ROUND(($J61-$I61)*1440,0))</f>
        <v/>
      </c>
      <c r="AD61" s="30" t="str">
        <f aca="true">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30" t="str">
        <f aca="false">IF($B61="","",IFERROR(IF(INDEX(offices!$H$2:$H$61,MATCH($B61,offices!$A$2:$A$61,0))="","",INDEX(offices!$H$2:$H$61,MATCH($B61,offices!$A$2:$A$61,0))),""))</f>
        <v/>
      </c>
      <c r="AF61" s="30" t="str">
        <f aca="false">IF($A61="","",IF(AND($L61="declined",N($Z61)&gt;0,COUNTIFS(approvals!$H$2:$H$251,$A61,approvals!$B$2:$B$251,$B61,approvals!$P$2:$P$251,"Y",approvals!$U$2:$U$251,"&gt;0")=0),"Y",""))</f>
        <v/>
      </c>
    </row>
    <row r="62" customFormat="false" ht="15" hidden="false" customHeight="false" outlineLevel="0" collapsed="false">
      <c r="D62" s="38"/>
      <c r="E62" s="11"/>
      <c r="F62" s="11"/>
      <c r="G62" s="11"/>
      <c r="I62" s="38"/>
      <c r="J62" s="38"/>
      <c r="K62" s="10"/>
      <c r="L62" s="10"/>
      <c r="N62" s="11"/>
      <c r="O62" s="10"/>
      <c r="P62" s="31" t="str">
        <f aca="false">IF($A62="","",IF(IFERROR(IF(INDEX(drops!$I$2:$I$21,MATCH($A62,drops!$A$2:$A$21,0))="","",INDEX(drops!$I$2:$I$21,MATCH($A62,drops!$A$2:$A$21,0))),"")="OK",IFERROR(IF(INDEX(drops!$B$2:$B$21,MATCH($A62,drops!$A$2:$A$21,0))="","",INDEX(drops!$B$2:$B$21,MATCH($A62,drops!$A$2:$A$21,0))),""),""))</f>
        <v/>
      </c>
      <c r="Q62" s="30" t="str">
        <f aca="false">IF($B62="","",IFERROR(IF(INDEX(offices!$O$2:$O$61,MATCH($B62,offices!$A$2:$A$61,0))="","",INDEX(offices!$O$2:$O$61,MATCH($B62,offices!$A$2:$A$61,0))),""))</f>
        <v/>
      </c>
      <c r="R62" s="30" t="str">
        <f aca="false">IF($B62="","",IFERROR(IF(INDEX(offices!$P$2:$P$61,MATCH($B62,offices!$A$2:$A$61,0))="","",INDEX(offices!$P$2:$P$61,MATCH($B62,offices!$A$2:$A$61,0))),""))</f>
        <v/>
      </c>
      <c r="S62" s="30" t="str">
        <f aca="false">IF($B62="","",IFERROR(IF(INDEX(offices!$Q$2:$Q$61,MATCH($B62,offices!$A$2:$A$61,0))="","",INDEX(offices!$Q$2:$Q$61,MATCH($B62,offices!$A$2:$A$61,0))),""))</f>
        <v/>
      </c>
      <c r="T62" s="30" t="str">
        <f aca="false">IF($B62="","",IFERROR(IF(INDEX(offices!$Z$2:$Z$61,MATCH($B62,offices!$A$2:$A$61,0))="","",INDEX(offices!$Z$2:$Z$61,MATCH($B62,offices!$A$2:$A$61,0))),""))</f>
        <v/>
      </c>
      <c r="U62" s="30" t="str">
        <f aca="false">IF($B62="","",IFERROR(IF(INDEX(offices!$Y$2:$Y$61,MATCH($B62,offices!$A$2:$A$61,0))="","",INDEX(offices!$Y$2:$Y$61,MATCH($B62,offices!$A$2:$A$61,0))),""))</f>
        <v/>
      </c>
      <c r="V62" s="30" t="str">
        <f aca="false">IF($B62="","",IFERROR(IF(INDEX(offices!$V$2:$V$61,MATCH($B62,offices!$A$2:$A$61,0))="","",INDEX(offices!$V$2:$V$61,MATCH($B62,offices!$A$2:$A$61,0))),""))</f>
        <v/>
      </c>
      <c r="W62" s="30" t="str">
        <f aca="false">IF($B62="","",IFERROR(IF(INDEX(offices!$AJ$2:$AJ$61,MATCH($B62,offices!$A$2:$A$61,0))="","",INDEX(offices!$AJ$2:$AJ$61,MATCH($B62,offices!$A$2:$A$61,0))),""))</f>
        <v/>
      </c>
      <c r="X62" s="30" t="str">
        <f aca="false">IF($B62="","",IFERROR(IF(INDEX(offices!$G$2:$G$61,MATCH($B62,offices!$A$2:$A$61,0))="","",INDEX(offices!$G$2:$G$61,MATCH($B62,offices!$A$2:$A$61,0))),""))</f>
        <v/>
      </c>
      <c r="Y62" s="30" t="str">
        <f aca="false">IF($B62="","",IFERROR(IF(INDEX(offices!$I$2:$I$61,MATCH($B62,offices!$A$2:$A$61,0))="","",INDEX(offices!$I$2:$I$61,MATCH($B62,offices!$A$2:$A$61,0))),""))</f>
        <v/>
      </c>
      <c r="Z62" s="30" t="str">
        <f aca="false">IF($A62="","",COUNTIFS(approvals!$H$2:$H$251,$A62,approvals!$B$2:$B$251,$B62,approvals!$P$2:$P$251,"Y"))</f>
        <v/>
      </c>
      <c r="AA62" s="30" t="str">
        <f aca="false">IF($A62="","",SUMIFS(approvals!$S$2:$S$251,approvals!$H$2:$H$251,$A62,approvals!$B$2:$B$251,$B62,approvals!$P$2:$P$251,"Y"))</f>
        <v/>
      </c>
      <c r="AB62" s="30" t="str">
        <f aca="false">IF(OR($A62="",$P62=""),"",IF(COUNTIFS(stops!$B$2:$B$151,$B62,stops!$P$2:$P$151,"&lt;"&amp;$P62,stops!$L$2:$L$151,"&lt;&gt;not_delivered")=0,"Y","N"))</f>
        <v/>
      </c>
      <c r="AC62" s="30" t="str">
        <f aca="false">IF(OR($I62="",$J62=""),"",ROUND(($J62-$I62)*1440,0))</f>
        <v/>
      </c>
      <c r="AD62" s="30" t="str">
        <f aca="true">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30" t="str">
        <f aca="false">IF($B62="","",IFERROR(IF(INDEX(offices!$H$2:$H$61,MATCH($B62,offices!$A$2:$A$61,0))="","",INDEX(offices!$H$2:$H$61,MATCH($B62,offices!$A$2:$A$61,0))),""))</f>
        <v/>
      </c>
      <c r="AF62" s="30" t="str">
        <f aca="false">IF($A62="","",IF(AND($L62="declined",N($Z62)&gt;0,COUNTIFS(approvals!$H$2:$H$251,$A62,approvals!$B$2:$B$251,$B62,approvals!$P$2:$P$251,"Y",approvals!$U$2:$U$251,"&gt;0")=0),"Y",""))</f>
        <v/>
      </c>
    </row>
    <row r="63" customFormat="false" ht="15" hidden="false" customHeight="false" outlineLevel="0" collapsed="false">
      <c r="D63" s="38"/>
      <c r="E63" s="11"/>
      <c r="F63" s="11"/>
      <c r="G63" s="11"/>
      <c r="I63" s="38"/>
      <c r="J63" s="38"/>
      <c r="K63" s="10"/>
      <c r="L63" s="10"/>
      <c r="N63" s="11"/>
      <c r="O63" s="10"/>
      <c r="P63" s="31" t="str">
        <f aca="false">IF($A63="","",IF(IFERROR(IF(INDEX(drops!$I$2:$I$21,MATCH($A63,drops!$A$2:$A$21,0))="","",INDEX(drops!$I$2:$I$21,MATCH($A63,drops!$A$2:$A$21,0))),"")="OK",IFERROR(IF(INDEX(drops!$B$2:$B$21,MATCH($A63,drops!$A$2:$A$21,0))="","",INDEX(drops!$B$2:$B$21,MATCH($A63,drops!$A$2:$A$21,0))),""),""))</f>
        <v/>
      </c>
      <c r="Q63" s="30" t="str">
        <f aca="false">IF($B63="","",IFERROR(IF(INDEX(offices!$O$2:$O$61,MATCH($B63,offices!$A$2:$A$61,0))="","",INDEX(offices!$O$2:$O$61,MATCH($B63,offices!$A$2:$A$61,0))),""))</f>
        <v/>
      </c>
      <c r="R63" s="30" t="str">
        <f aca="false">IF($B63="","",IFERROR(IF(INDEX(offices!$P$2:$P$61,MATCH($B63,offices!$A$2:$A$61,0))="","",INDEX(offices!$P$2:$P$61,MATCH($B63,offices!$A$2:$A$61,0))),""))</f>
        <v/>
      </c>
      <c r="S63" s="30" t="str">
        <f aca="false">IF($B63="","",IFERROR(IF(INDEX(offices!$Q$2:$Q$61,MATCH($B63,offices!$A$2:$A$61,0))="","",INDEX(offices!$Q$2:$Q$61,MATCH($B63,offices!$A$2:$A$61,0))),""))</f>
        <v/>
      </c>
      <c r="T63" s="30" t="str">
        <f aca="false">IF($B63="","",IFERROR(IF(INDEX(offices!$Z$2:$Z$61,MATCH($B63,offices!$A$2:$A$61,0))="","",INDEX(offices!$Z$2:$Z$61,MATCH($B63,offices!$A$2:$A$61,0))),""))</f>
        <v/>
      </c>
      <c r="U63" s="30" t="str">
        <f aca="false">IF($B63="","",IFERROR(IF(INDEX(offices!$Y$2:$Y$61,MATCH($B63,offices!$A$2:$A$61,0))="","",INDEX(offices!$Y$2:$Y$61,MATCH($B63,offices!$A$2:$A$61,0))),""))</f>
        <v/>
      </c>
      <c r="V63" s="30" t="str">
        <f aca="false">IF($B63="","",IFERROR(IF(INDEX(offices!$V$2:$V$61,MATCH($B63,offices!$A$2:$A$61,0))="","",INDEX(offices!$V$2:$V$61,MATCH($B63,offices!$A$2:$A$61,0))),""))</f>
        <v/>
      </c>
      <c r="W63" s="30" t="str">
        <f aca="false">IF($B63="","",IFERROR(IF(INDEX(offices!$AJ$2:$AJ$61,MATCH($B63,offices!$A$2:$A$61,0))="","",INDEX(offices!$AJ$2:$AJ$61,MATCH($B63,offices!$A$2:$A$61,0))),""))</f>
        <v/>
      </c>
      <c r="X63" s="30" t="str">
        <f aca="false">IF($B63="","",IFERROR(IF(INDEX(offices!$G$2:$G$61,MATCH($B63,offices!$A$2:$A$61,0))="","",INDEX(offices!$G$2:$G$61,MATCH($B63,offices!$A$2:$A$61,0))),""))</f>
        <v/>
      </c>
      <c r="Y63" s="30" t="str">
        <f aca="false">IF($B63="","",IFERROR(IF(INDEX(offices!$I$2:$I$61,MATCH($B63,offices!$A$2:$A$61,0))="","",INDEX(offices!$I$2:$I$61,MATCH($B63,offices!$A$2:$A$61,0))),""))</f>
        <v/>
      </c>
      <c r="Z63" s="30" t="str">
        <f aca="false">IF($A63="","",COUNTIFS(approvals!$H$2:$H$251,$A63,approvals!$B$2:$B$251,$B63,approvals!$P$2:$P$251,"Y"))</f>
        <v/>
      </c>
      <c r="AA63" s="30" t="str">
        <f aca="false">IF($A63="","",SUMIFS(approvals!$S$2:$S$251,approvals!$H$2:$H$251,$A63,approvals!$B$2:$B$251,$B63,approvals!$P$2:$P$251,"Y"))</f>
        <v/>
      </c>
      <c r="AB63" s="30" t="str">
        <f aca="false">IF(OR($A63="",$P63=""),"",IF(COUNTIFS(stops!$B$2:$B$151,$B63,stops!$P$2:$P$151,"&lt;"&amp;$P63,stops!$L$2:$L$151,"&lt;&gt;not_delivered")=0,"Y","N"))</f>
        <v/>
      </c>
      <c r="AC63" s="30" t="str">
        <f aca="false">IF(OR($I63="",$J63=""),"",ROUND(($J63-$I63)*1440,0))</f>
        <v/>
      </c>
      <c r="AD63" s="30" t="str">
        <f aca="true">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30" t="str">
        <f aca="false">IF($B63="","",IFERROR(IF(INDEX(offices!$H$2:$H$61,MATCH($B63,offices!$A$2:$A$61,0))="","",INDEX(offices!$H$2:$H$61,MATCH($B63,offices!$A$2:$A$61,0))),""))</f>
        <v/>
      </c>
      <c r="AF63" s="30" t="str">
        <f aca="false">IF($A63="","",IF(AND($L63="declined",N($Z63)&gt;0,COUNTIFS(approvals!$H$2:$H$251,$A63,approvals!$B$2:$B$251,$B63,approvals!$P$2:$P$251,"Y",approvals!$U$2:$U$251,"&gt;0")=0),"Y",""))</f>
        <v/>
      </c>
    </row>
    <row r="64" customFormat="false" ht="15" hidden="false" customHeight="false" outlineLevel="0" collapsed="false">
      <c r="D64" s="38"/>
      <c r="E64" s="11"/>
      <c r="F64" s="11"/>
      <c r="G64" s="11"/>
      <c r="I64" s="38"/>
      <c r="J64" s="38"/>
      <c r="K64" s="10"/>
      <c r="L64" s="10"/>
      <c r="N64" s="11"/>
      <c r="O64" s="10"/>
      <c r="P64" s="31" t="str">
        <f aca="false">IF($A64="","",IF(IFERROR(IF(INDEX(drops!$I$2:$I$21,MATCH($A64,drops!$A$2:$A$21,0))="","",INDEX(drops!$I$2:$I$21,MATCH($A64,drops!$A$2:$A$21,0))),"")="OK",IFERROR(IF(INDEX(drops!$B$2:$B$21,MATCH($A64,drops!$A$2:$A$21,0))="","",INDEX(drops!$B$2:$B$21,MATCH($A64,drops!$A$2:$A$21,0))),""),""))</f>
        <v/>
      </c>
      <c r="Q64" s="30" t="str">
        <f aca="false">IF($B64="","",IFERROR(IF(INDEX(offices!$O$2:$O$61,MATCH($B64,offices!$A$2:$A$61,0))="","",INDEX(offices!$O$2:$O$61,MATCH($B64,offices!$A$2:$A$61,0))),""))</f>
        <v/>
      </c>
      <c r="R64" s="30" t="str">
        <f aca="false">IF($B64="","",IFERROR(IF(INDEX(offices!$P$2:$P$61,MATCH($B64,offices!$A$2:$A$61,0))="","",INDEX(offices!$P$2:$P$61,MATCH($B64,offices!$A$2:$A$61,0))),""))</f>
        <v/>
      </c>
      <c r="S64" s="30" t="str">
        <f aca="false">IF($B64="","",IFERROR(IF(INDEX(offices!$Q$2:$Q$61,MATCH($B64,offices!$A$2:$A$61,0))="","",INDEX(offices!$Q$2:$Q$61,MATCH($B64,offices!$A$2:$A$61,0))),""))</f>
        <v/>
      </c>
      <c r="T64" s="30" t="str">
        <f aca="false">IF($B64="","",IFERROR(IF(INDEX(offices!$Z$2:$Z$61,MATCH($B64,offices!$A$2:$A$61,0))="","",INDEX(offices!$Z$2:$Z$61,MATCH($B64,offices!$A$2:$A$61,0))),""))</f>
        <v/>
      </c>
      <c r="U64" s="30" t="str">
        <f aca="false">IF($B64="","",IFERROR(IF(INDEX(offices!$Y$2:$Y$61,MATCH($B64,offices!$A$2:$A$61,0))="","",INDEX(offices!$Y$2:$Y$61,MATCH($B64,offices!$A$2:$A$61,0))),""))</f>
        <v/>
      </c>
      <c r="V64" s="30" t="str">
        <f aca="false">IF($B64="","",IFERROR(IF(INDEX(offices!$V$2:$V$61,MATCH($B64,offices!$A$2:$A$61,0))="","",INDEX(offices!$V$2:$V$61,MATCH($B64,offices!$A$2:$A$61,0))),""))</f>
        <v/>
      </c>
      <c r="W64" s="30" t="str">
        <f aca="false">IF($B64="","",IFERROR(IF(INDEX(offices!$AJ$2:$AJ$61,MATCH($B64,offices!$A$2:$A$61,0))="","",INDEX(offices!$AJ$2:$AJ$61,MATCH($B64,offices!$A$2:$A$61,0))),""))</f>
        <v/>
      </c>
      <c r="X64" s="30" t="str">
        <f aca="false">IF($B64="","",IFERROR(IF(INDEX(offices!$G$2:$G$61,MATCH($B64,offices!$A$2:$A$61,0))="","",INDEX(offices!$G$2:$G$61,MATCH($B64,offices!$A$2:$A$61,0))),""))</f>
        <v/>
      </c>
      <c r="Y64" s="30" t="str">
        <f aca="false">IF($B64="","",IFERROR(IF(INDEX(offices!$I$2:$I$61,MATCH($B64,offices!$A$2:$A$61,0))="","",INDEX(offices!$I$2:$I$61,MATCH($B64,offices!$A$2:$A$61,0))),""))</f>
        <v/>
      </c>
      <c r="Z64" s="30" t="str">
        <f aca="false">IF($A64="","",COUNTIFS(approvals!$H$2:$H$251,$A64,approvals!$B$2:$B$251,$B64,approvals!$P$2:$P$251,"Y"))</f>
        <v/>
      </c>
      <c r="AA64" s="30" t="str">
        <f aca="false">IF($A64="","",SUMIFS(approvals!$S$2:$S$251,approvals!$H$2:$H$251,$A64,approvals!$B$2:$B$251,$B64,approvals!$P$2:$P$251,"Y"))</f>
        <v/>
      </c>
      <c r="AB64" s="30" t="str">
        <f aca="false">IF(OR($A64="",$P64=""),"",IF(COUNTIFS(stops!$B$2:$B$151,$B64,stops!$P$2:$P$151,"&lt;"&amp;$P64,stops!$L$2:$L$151,"&lt;&gt;not_delivered")=0,"Y","N"))</f>
        <v/>
      </c>
      <c r="AC64" s="30" t="str">
        <f aca="false">IF(OR($I64="",$J64=""),"",ROUND(($J64-$I64)*1440,0))</f>
        <v/>
      </c>
      <c r="AD64" s="30" t="str">
        <f aca="true">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30" t="str">
        <f aca="false">IF($B64="","",IFERROR(IF(INDEX(offices!$H$2:$H$61,MATCH($B64,offices!$A$2:$A$61,0))="","",INDEX(offices!$H$2:$H$61,MATCH($B64,offices!$A$2:$A$61,0))),""))</f>
        <v/>
      </c>
      <c r="AF64" s="30" t="str">
        <f aca="false">IF($A64="","",IF(AND($L64="declined",N($Z64)&gt;0,COUNTIFS(approvals!$H$2:$H$251,$A64,approvals!$B$2:$B$251,$B64,approvals!$P$2:$P$251,"Y",approvals!$U$2:$U$251,"&gt;0")=0),"Y",""))</f>
        <v/>
      </c>
    </row>
    <row r="65" customFormat="false" ht="15" hidden="false" customHeight="false" outlineLevel="0" collapsed="false">
      <c r="D65" s="38"/>
      <c r="E65" s="11"/>
      <c r="F65" s="11"/>
      <c r="G65" s="11"/>
      <c r="I65" s="38"/>
      <c r="J65" s="38"/>
      <c r="K65" s="10"/>
      <c r="L65" s="10"/>
      <c r="N65" s="11"/>
      <c r="O65" s="10"/>
      <c r="P65" s="31" t="str">
        <f aca="false">IF($A65="","",IF(IFERROR(IF(INDEX(drops!$I$2:$I$21,MATCH($A65,drops!$A$2:$A$21,0))="","",INDEX(drops!$I$2:$I$21,MATCH($A65,drops!$A$2:$A$21,0))),"")="OK",IFERROR(IF(INDEX(drops!$B$2:$B$21,MATCH($A65,drops!$A$2:$A$21,0))="","",INDEX(drops!$B$2:$B$21,MATCH($A65,drops!$A$2:$A$21,0))),""),""))</f>
        <v/>
      </c>
      <c r="Q65" s="30" t="str">
        <f aca="false">IF($B65="","",IFERROR(IF(INDEX(offices!$O$2:$O$61,MATCH($B65,offices!$A$2:$A$61,0))="","",INDEX(offices!$O$2:$O$61,MATCH($B65,offices!$A$2:$A$61,0))),""))</f>
        <v/>
      </c>
      <c r="R65" s="30" t="str">
        <f aca="false">IF($B65="","",IFERROR(IF(INDEX(offices!$P$2:$P$61,MATCH($B65,offices!$A$2:$A$61,0))="","",INDEX(offices!$P$2:$P$61,MATCH($B65,offices!$A$2:$A$61,0))),""))</f>
        <v/>
      </c>
      <c r="S65" s="30" t="str">
        <f aca="false">IF($B65="","",IFERROR(IF(INDEX(offices!$Q$2:$Q$61,MATCH($B65,offices!$A$2:$A$61,0))="","",INDEX(offices!$Q$2:$Q$61,MATCH($B65,offices!$A$2:$A$61,0))),""))</f>
        <v/>
      </c>
      <c r="T65" s="30" t="str">
        <f aca="false">IF($B65="","",IFERROR(IF(INDEX(offices!$Z$2:$Z$61,MATCH($B65,offices!$A$2:$A$61,0))="","",INDEX(offices!$Z$2:$Z$61,MATCH($B65,offices!$A$2:$A$61,0))),""))</f>
        <v/>
      </c>
      <c r="U65" s="30" t="str">
        <f aca="false">IF($B65="","",IFERROR(IF(INDEX(offices!$Y$2:$Y$61,MATCH($B65,offices!$A$2:$A$61,0))="","",INDEX(offices!$Y$2:$Y$61,MATCH($B65,offices!$A$2:$A$61,0))),""))</f>
        <v/>
      </c>
      <c r="V65" s="30" t="str">
        <f aca="false">IF($B65="","",IFERROR(IF(INDEX(offices!$V$2:$V$61,MATCH($B65,offices!$A$2:$A$61,0))="","",INDEX(offices!$V$2:$V$61,MATCH($B65,offices!$A$2:$A$61,0))),""))</f>
        <v/>
      </c>
      <c r="W65" s="30" t="str">
        <f aca="false">IF($B65="","",IFERROR(IF(INDEX(offices!$AJ$2:$AJ$61,MATCH($B65,offices!$A$2:$A$61,0))="","",INDEX(offices!$AJ$2:$AJ$61,MATCH($B65,offices!$A$2:$A$61,0))),""))</f>
        <v/>
      </c>
      <c r="X65" s="30" t="str">
        <f aca="false">IF($B65="","",IFERROR(IF(INDEX(offices!$G$2:$G$61,MATCH($B65,offices!$A$2:$A$61,0))="","",INDEX(offices!$G$2:$G$61,MATCH($B65,offices!$A$2:$A$61,0))),""))</f>
        <v/>
      </c>
      <c r="Y65" s="30" t="str">
        <f aca="false">IF($B65="","",IFERROR(IF(INDEX(offices!$I$2:$I$61,MATCH($B65,offices!$A$2:$A$61,0))="","",INDEX(offices!$I$2:$I$61,MATCH($B65,offices!$A$2:$A$61,0))),""))</f>
        <v/>
      </c>
      <c r="Z65" s="30" t="str">
        <f aca="false">IF($A65="","",COUNTIFS(approvals!$H$2:$H$251,$A65,approvals!$B$2:$B$251,$B65,approvals!$P$2:$P$251,"Y"))</f>
        <v/>
      </c>
      <c r="AA65" s="30" t="str">
        <f aca="false">IF($A65="","",SUMIFS(approvals!$S$2:$S$251,approvals!$H$2:$H$251,$A65,approvals!$B$2:$B$251,$B65,approvals!$P$2:$P$251,"Y"))</f>
        <v/>
      </c>
      <c r="AB65" s="30" t="str">
        <f aca="false">IF(OR($A65="",$P65=""),"",IF(COUNTIFS(stops!$B$2:$B$151,$B65,stops!$P$2:$P$151,"&lt;"&amp;$P65,stops!$L$2:$L$151,"&lt;&gt;not_delivered")=0,"Y","N"))</f>
        <v/>
      </c>
      <c r="AC65" s="30" t="str">
        <f aca="false">IF(OR($I65="",$J65=""),"",ROUND(($J65-$I65)*1440,0))</f>
        <v/>
      </c>
      <c r="AD65" s="30" t="str">
        <f aca="true">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30" t="str">
        <f aca="false">IF($B65="","",IFERROR(IF(INDEX(offices!$H$2:$H$61,MATCH($B65,offices!$A$2:$A$61,0))="","",INDEX(offices!$H$2:$H$61,MATCH($B65,offices!$A$2:$A$61,0))),""))</f>
        <v/>
      </c>
      <c r="AF65" s="30" t="str">
        <f aca="false">IF($A65="","",IF(AND($L65="declined",N($Z65)&gt;0,COUNTIFS(approvals!$H$2:$H$251,$A65,approvals!$B$2:$B$251,$B65,approvals!$P$2:$P$251,"Y",approvals!$U$2:$U$251,"&gt;0")=0),"Y",""))</f>
        <v/>
      </c>
    </row>
    <row r="66" customFormat="false" ht="15" hidden="false" customHeight="false" outlineLevel="0" collapsed="false">
      <c r="D66" s="38"/>
      <c r="E66" s="11"/>
      <c r="F66" s="11"/>
      <c r="G66" s="11"/>
      <c r="I66" s="38"/>
      <c r="J66" s="38"/>
      <c r="K66" s="10"/>
      <c r="L66" s="10"/>
      <c r="N66" s="11"/>
      <c r="O66" s="10"/>
      <c r="P66" s="31" t="str">
        <f aca="false">IF($A66="","",IF(IFERROR(IF(INDEX(drops!$I$2:$I$21,MATCH($A66,drops!$A$2:$A$21,0))="","",INDEX(drops!$I$2:$I$21,MATCH($A66,drops!$A$2:$A$21,0))),"")="OK",IFERROR(IF(INDEX(drops!$B$2:$B$21,MATCH($A66,drops!$A$2:$A$21,0))="","",INDEX(drops!$B$2:$B$21,MATCH($A66,drops!$A$2:$A$21,0))),""),""))</f>
        <v/>
      </c>
      <c r="Q66" s="30" t="str">
        <f aca="false">IF($B66="","",IFERROR(IF(INDEX(offices!$O$2:$O$61,MATCH($B66,offices!$A$2:$A$61,0))="","",INDEX(offices!$O$2:$O$61,MATCH($B66,offices!$A$2:$A$61,0))),""))</f>
        <v/>
      </c>
      <c r="R66" s="30" t="str">
        <f aca="false">IF($B66="","",IFERROR(IF(INDEX(offices!$P$2:$P$61,MATCH($B66,offices!$A$2:$A$61,0))="","",INDEX(offices!$P$2:$P$61,MATCH($B66,offices!$A$2:$A$61,0))),""))</f>
        <v/>
      </c>
      <c r="S66" s="30" t="str">
        <f aca="false">IF($B66="","",IFERROR(IF(INDEX(offices!$Q$2:$Q$61,MATCH($B66,offices!$A$2:$A$61,0))="","",INDEX(offices!$Q$2:$Q$61,MATCH($B66,offices!$A$2:$A$61,0))),""))</f>
        <v/>
      </c>
      <c r="T66" s="30" t="str">
        <f aca="false">IF($B66="","",IFERROR(IF(INDEX(offices!$Z$2:$Z$61,MATCH($B66,offices!$A$2:$A$61,0))="","",INDEX(offices!$Z$2:$Z$61,MATCH($B66,offices!$A$2:$A$61,0))),""))</f>
        <v/>
      </c>
      <c r="U66" s="30" t="str">
        <f aca="false">IF($B66="","",IFERROR(IF(INDEX(offices!$Y$2:$Y$61,MATCH($B66,offices!$A$2:$A$61,0))="","",INDEX(offices!$Y$2:$Y$61,MATCH($B66,offices!$A$2:$A$61,0))),""))</f>
        <v/>
      </c>
      <c r="V66" s="30" t="str">
        <f aca="false">IF($B66="","",IFERROR(IF(INDEX(offices!$V$2:$V$61,MATCH($B66,offices!$A$2:$A$61,0))="","",INDEX(offices!$V$2:$V$61,MATCH($B66,offices!$A$2:$A$61,0))),""))</f>
        <v/>
      </c>
      <c r="W66" s="30" t="str">
        <f aca="false">IF($B66="","",IFERROR(IF(INDEX(offices!$AJ$2:$AJ$61,MATCH($B66,offices!$A$2:$A$61,0))="","",INDEX(offices!$AJ$2:$AJ$61,MATCH($B66,offices!$A$2:$A$61,0))),""))</f>
        <v/>
      </c>
      <c r="X66" s="30" t="str">
        <f aca="false">IF($B66="","",IFERROR(IF(INDEX(offices!$G$2:$G$61,MATCH($B66,offices!$A$2:$A$61,0))="","",INDEX(offices!$G$2:$G$61,MATCH($B66,offices!$A$2:$A$61,0))),""))</f>
        <v/>
      </c>
      <c r="Y66" s="30" t="str">
        <f aca="false">IF($B66="","",IFERROR(IF(INDEX(offices!$I$2:$I$61,MATCH($B66,offices!$A$2:$A$61,0))="","",INDEX(offices!$I$2:$I$61,MATCH($B66,offices!$A$2:$A$61,0))),""))</f>
        <v/>
      </c>
      <c r="Z66" s="30" t="str">
        <f aca="false">IF($A66="","",COUNTIFS(approvals!$H$2:$H$251,$A66,approvals!$B$2:$B$251,$B66,approvals!$P$2:$P$251,"Y"))</f>
        <v/>
      </c>
      <c r="AA66" s="30" t="str">
        <f aca="false">IF($A66="","",SUMIFS(approvals!$S$2:$S$251,approvals!$H$2:$H$251,$A66,approvals!$B$2:$B$251,$B66,approvals!$P$2:$P$251,"Y"))</f>
        <v/>
      </c>
      <c r="AB66" s="30" t="str">
        <f aca="false">IF(OR($A66="",$P66=""),"",IF(COUNTIFS(stops!$B$2:$B$151,$B66,stops!$P$2:$P$151,"&lt;"&amp;$P66,stops!$L$2:$L$151,"&lt;&gt;not_delivered")=0,"Y","N"))</f>
        <v/>
      </c>
      <c r="AC66" s="30" t="str">
        <f aca="false">IF(OR($I66="",$J66=""),"",ROUND(($J66-$I66)*1440,0))</f>
        <v/>
      </c>
      <c r="AD66" s="30" t="str">
        <f aca="true">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30" t="str">
        <f aca="false">IF($B66="","",IFERROR(IF(INDEX(offices!$H$2:$H$61,MATCH($B66,offices!$A$2:$A$61,0))="","",INDEX(offices!$H$2:$H$61,MATCH($B66,offices!$A$2:$A$61,0))),""))</f>
        <v/>
      </c>
      <c r="AF66" s="30" t="str">
        <f aca="false">IF($A66="","",IF(AND($L66="declined",N($Z66)&gt;0,COUNTIFS(approvals!$H$2:$H$251,$A66,approvals!$B$2:$B$251,$B66,approvals!$P$2:$P$251,"Y",approvals!$U$2:$U$251,"&gt;0")=0),"Y",""))</f>
        <v/>
      </c>
    </row>
    <row r="67" customFormat="false" ht="15" hidden="false" customHeight="false" outlineLevel="0" collapsed="false">
      <c r="D67" s="38"/>
      <c r="E67" s="11"/>
      <c r="F67" s="11"/>
      <c r="G67" s="11"/>
      <c r="I67" s="38"/>
      <c r="J67" s="38"/>
      <c r="K67" s="10"/>
      <c r="L67" s="10"/>
      <c r="N67" s="11"/>
      <c r="O67" s="10"/>
      <c r="P67" s="31" t="str">
        <f aca="false">IF($A67="","",IF(IFERROR(IF(INDEX(drops!$I$2:$I$21,MATCH($A67,drops!$A$2:$A$21,0))="","",INDEX(drops!$I$2:$I$21,MATCH($A67,drops!$A$2:$A$21,0))),"")="OK",IFERROR(IF(INDEX(drops!$B$2:$B$21,MATCH($A67,drops!$A$2:$A$21,0))="","",INDEX(drops!$B$2:$B$21,MATCH($A67,drops!$A$2:$A$21,0))),""),""))</f>
        <v/>
      </c>
      <c r="Q67" s="30" t="str">
        <f aca="false">IF($B67="","",IFERROR(IF(INDEX(offices!$O$2:$O$61,MATCH($B67,offices!$A$2:$A$61,0))="","",INDEX(offices!$O$2:$O$61,MATCH($B67,offices!$A$2:$A$61,0))),""))</f>
        <v/>
      </c>
      <c r="R67" s="30" t="str">
        <f aca="false">IF($B67="","",IFERROR(IF(INDEX(offices!$P$2:$P$61,MATCH($B67,offices!$A$2:$A$61,0))="","",INDEX(offices!$P$2:$P$61,MATCH($B67,offices!$A$2:$A$61,0))),""))</f>
        <v/>
      </c>
      <c r="S67" s="30" t="str">
        <f aca="false">IF($B67="","",IFERROR(IF(INDEX(offices!$Q$2:$Q$61,MATCH($B67,offices!$A$2:$A$61,0))="","",INDEX(offices!$Q$2:$Q$61,MATCH($B67,offices!$A$2:$A$61,0))),""))</f>
        <v/>
      </c>
      <c r="T67" s="30" t="str">
        <f aca="false">IF($B67="","",IFERROR(IF(INDEX(offices!$Z$2:$Z$61,MATCH($B67,offices!$A$2:$A$61,0))="","",INDEX(offices!$Z$2:$Z$61,MATCH($B67,offices!$A$2:$A$61,0))),""))</f>
        <v/>
      </c>
      <c r="U67" s="30" t="str">
        <f aca="false">IF($B67="","",IFERROR(IF(INDEX(offices!$Y$2:$Y$61,MATCH($B67,offices!$A$2:$A$61,0))="","",INDEX(offices!$Y$2:$Y$61,MATCH($B67,offices!$A$2:$A$61,0))),""))</f>
        <v/>
      </c>
      <c r="V67" s="30" t="str">
        <f aca="false">IF($B67="","",IFERROR(IF(INDEX(offices!$V$2:$V$61,MATCH($B67,offices!$A$2:$A$61,0))="","",INDEX(offices!$V$2:$V$61,MATCH($B67,offices!$A$2:$A$61,0))),""))</f>
        <v/>
      </c>
      <c r="W67" s="30" t="str">
        <f aca="false">IF($B67="","",IFERROR(IF(INDEX(offices!$AJ$2:$AJ$61,MATCH($B67,offices!$A$2:$A$61,0))="","",INDEX(offices!$AJ$2:$AJ$61,MATCH($B67,offices!$A$2:$A$61,0))),""))</f>
        <v/>
      </c>
      <c r="X67" s="30" t="str">
        <f aca="false">IF($B67="","",IFERROR(IF(INDEX(offices!$G$2:$G$61,MATCH($B67,offices!$A$2:$A$61,0))="","",INDEX(offices!$G$2:$G$61,MATCH($B67,offices!$A$2:$A$61,0))),""))</f>
        <v/>
      </c>
      <c r="Y67" s="30" t="str">
        <f aca="false">IF($B67="","",IFERROR(IF(INDEX(offices!$I$2:$I$61,MATCH($B67,offices!$A$2:$A$61,0))="","",INDEX(offices!$I$2:$I$61,MATCH($B67,offices!$A$2:$A$61,0))),""))</f>
        <v/>
      </c>
      <c r="Z67" s="30" t="str">
        <f aca="false">IF($A67="","",COUNTIFS(approvals!$H$2:$H$251,$A67,approvals!$B$2:$B$251,$B67,approvals!$P$2:$P$251,"Y"))</f>
        <v/>
      </c>
      <c r="AA67" s="30" t="str">
        <f aca="false">IF($A67="","",SUMIFS(approvals!$S$2:$S$251,approvals!$H$2:$H$251,$A67,approvals!$B$2:$B$251,$B67,approvals!$P$2:$P$251,"Y"))</f>
        <v/>
      </c>
      <c r="AB67" s="30" t="str">
        <f aca="false">IF(OR($A67="",$P67=""),"",IF(COUNTIFS(stops!$B$2:$B$151,$B67,stops!$P$2:$P$151,"&lt;"&amp;$P67,stops!$L$2:$L$151,"&lt;&gt;not_delivered")=0,"Y","N"))</f>
        <v/>
      </c>
      <c r="AC67" s="30" t="str">
        <f aca="false">IF(OR($I67="",$J67=""),"",ROUND(($J67-$I67)*1440,0))</f>
        <v/>
      </c>
      <c r="AD67" s="30" t="str">
        <f aca="true">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30" t="str">
        <f aca="false">IF($B67="","",IFERROR(IF(INDEX(offices!$H$2:$H$61,MATCH($B67,offices!$A$2:$A$61,0))="","",INDEX(offices!$H$2:$H$61,MATCH($B67,offices!$A$2:$A$61,0))),""))</f>
        <v/>
      </c>
      <c r="AF67" s="30" t="str">
        <f aca="false">IF($A67="","",IF(AND($L67="declined",N($Z67)&gt;0,COUNTIFS(approvals!$H$2:$H$251,$A67,approvals!$B$2:$B$251,$B67,approvals!$P$2:$P$251,"Y",approvals!$U$2:$U$251,"&gt;0")=0),"Y",""))</f>
        <v/>
      </c>
    </row>
    <row r="68" customFormat="false" ht="15" hidden="false" customHeight="false" outlineLevel="0" collapsed="false">
      <c r="D68" s="38"/>
      <c r="E68" s="11"/>
      <c r="F68" s="11"/>
      <c r="G68" s="11"/>
      <c r="I68" s="38"/>
      <c r="J68" s="38"/>
      <c r="K68" s="10"/>
      <c r="L68" s="10"/>
      <c r="N68" s="11"/>
      <c r="O68" s="10"/>
      <c r="P68" s="31" t="str">
        <f aca="false">IF($A68="","",IF(IFERROR(IF(INDEX(drops!$I$2:$I$21,MATCH($A68,drops!$A$2:$A$21,0))="","",INDEX(drops!$I$2:$I$21,MATCH($A68,drops!$A$2:$A$21,0))),"")="OK",IFERROR(IF(INDEX(drops!$B$2:$B$21,MATCH($A68,drops!$A$2:$A$21,0))="","",INDEX(drops!$B$2:$B$21,MATCH($A68,drops!$A$2:$A$21,0))),""),""))</f>
        <v/>
      </c>
      <c r="Q68" s="30" t="str">
        <f aca="false">IF($B68="","",IFERROR(IF(INDEX(offices!$O$2:$O$61,MATCH($B68,offices!$A$2:$A$61,0))="","",INDEX(offices!$O$2:$O$61,MATCH($B68,offices!$A$2:$A$61,0))),""))</f>
        <v/>
      </c>
      <c r="R68" s="30" t="str">
        <f aca="false">IF($B68="","",IFERROR(IF(INDEX(offices!$P$2:$P$61,MATCH($B68,offices!$A$2:$A$61,0))="","",INDEX(offices!$P$2:$P$61,MATCH($B68,offices!$A$2:$A$61,0))),""))</f>
        <v/>
      </c>
      <c r="S68" s="30" t="str">
        <f aca="false">IF($B68="","",IFERROR(IF(INDEX(offices!$Q$2:$Q$61,MATCH($B68,offices!$A$2:$A$61,0))="","",INDEX(offices!$Q$2:$Q$61,MATCH($B68,offices!$A$2:$A$61,0))),""))</f>
        <v/>
      </c>
      <c r="T68" s="30" t="str">
        <f aca="false">IF($B68="","",IFERROR(IF(INDEX(offices!$Z$2:$Z$61,MATCH($B68,offices!$A$2:$A$61,0))="","",INDEX(offices!$Z$2:$Z$61,MATCH($B68,offices!$A$2:$A$61,0))),""))</f>
        <v/>
      </c>
      <c r="U68" s="30" t="str">
        <f aca="false">IF($B68="","",IFERROR(IF(INDEX(offices!$Y$2:$Y$61,MATCH($B68,offices!$A$2:$A$61,0))="","",INDEX(offices!$Y$2:$Y$61,MATCH($B68,offices!$A$2:$A$61,0))),""))</f>
        <v/>
      </c>
      <c r="V68" s="30" t="str">
        <f aca="false">IF($B68="","",IFERROR(IF(INDEX(offices!$V$2:$V$61,MATCH($B68,offices!$A$2:$A$61,0))="","",INDEX(offices!$V$2:$V$61,MATCH($B68,offices!$A$2:$A$61,0))),""))</f>
        <v/>
      </c>
      <c r="W68" s="30" t="str">
        <f aca="false">IF($B68="","",IFERROR(IF(INDEX(offices!$AJ$2:$AJ$61,MATCH($B68,offices!$A$2:$A$61,0))="","",INDEX(offices!$AJ$2:$AJ$61,MATCH($B68,offices!$A$2:$A$61,0))),""))</f>
        <v/>
      </c>
      <c r="X68" s="30" t="str">
        <f aca="false">IF($B68="","",IFERROR(IF(INDEX(offices!$G$2:$G$61,MATCH($B68,offices!$A$2:$A$61,0))="","",INDEX(offices!$G$2:$G$61,MATCH($B68,offices!$A$2:$A$61,0))),""))</f>
        <v/>
      </c>
      <c r="Y68" s="30" t="str">
        <f aca="false">IF($B68="","",IFERROR(IF(INDEX(offices!$I$2:$I$61,MATCH($B68,offices!$A$2:$A$61,0))="","",INDEX(offices!$I$2:$I$61,MATCH($B68,offices!$A$2:$A$61,0))),""))</f>
        <v/>
      </c>
      <c r="Z68" s="30" t="str">
        <f aca="false">IF($A68="","",COUNTIFS(approvals!$H$2:$H$251,$A68,approvals!$B$2:$B$251,$B68,approvals!$P$2:$P$251,"Y"))</f>
        <v/>
      </c>
      <c r="AA68" s="30" t="str">
        <f aca="false">IF($A68="","",SUMIFS(approvals!$S$2:$S$251,approvals!$H$2:$H$251,$A68,approvals!$B$2:$B$251,$B68,approvals!$P$2:$P$251,"Y"))</f>
        <v/>
      </c>
      <c r="AB68" s="30" t="str">
        <f aca="false">IF(OR($A68="",$P68=""),"",IF(COUNTIFS(stops!$B$2:$B$151,$B68,stops!$P$2:$P$151,"&lt;"&amp;$P68,stops!$L$2:$L$151,"&lt;&gt;not_delivered")=0,"Y","N"))</f>
        <v/>
      </c>
      <c r="AC68" s="30" t="str">
        <f aca="false">IF(OR($I68="",$J68=""),"",ROUND(($J68-$I68)*1440,0))</f>
        <v/>
      </c>
      <c r="AD68" s="30" t="str">
        <f aca="true">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30" t="str">
        <f aca="false">IF($B68="","",IFERROR(IF(INDEX(offices!$H$2:$H$61,MATCH($B68,offices!$A$2:$A$61,0))="","",INDEX(offices!$H$2:$H$61,MATCH($B68,offices!$A$2:$A$61,0))),""))</f>
        <v/>
      </c>
      <c r="AF68" s="30" t="str">
        <f aca="false">IF($A68="","",IF(AND($L68="declined",N($Z68)&gt;0,COUNTIFS(approvals!$H$2:$H$251,$A68,approvals!$B$2:$B$251,$B68,approvals!$P$2:$P$251,"Y",approvals!$U$2:$U$251,"&gt;0")=0),"Y",""))</f>
        <v/>
      </c>
    </row>
    <row r="69" customFormat="false" ht="15" hidden="false" customHeight="false" outlineLevel="0" collapsed="false">
      <c r="D69" s="38"/>
      <c r="E69" s="11"/>
      <c r="F69" s="11"/>
      <c r="G69" s="11"/>
      <c r="I69" s="38"/>
      <c r="J69" s="38"/>
      <c r="K69" s="10"/>
      <c r="L69" s="10"/>
      <c r="N69" s="11"/>
      <c r="O69" s="10"/>
      <c r="P69" s="31" t="str">
        <f aca="false">IF($A69="","",IF(IFERROR(IF(INDEX(drops!$I$2:$I$21,MATCH($A69,drops!$A$2:$A$21,0))="","",INDEX(drops!$I$2:$I$21,MATCH($A69,drops!$A$2:$A$21,0))),"")="OK",IFERROR(IF(INDEX(drops!$B$2:$B$21,MATCH($A69,drops!$A$2:$A$21,0))="","",INDEX(drops!$B$2:$B$21,MATCH($A69,drops!$A$2:$A$21,0))),""),""))</f>
        <v/>
      </c>
      <c r="Q69" s="30" t="str">
        <f aca="false">IF($B69="","",IFERROR(IF(INDEX(offices!$O$2:$O$61,MATCH($B69,offices!$A$2:$A$61,0))="","",INDEX(offices!$O$2:$O$61,MATCH($B69,offices!$A$2:$A$61,0))),""))</f>
        <v/>
      </c>
      <c r="R69" s="30" t="str">
        <f aca="false">IF($B69="","",IFERROR(IF(INDEX(offices!$P$2:$P$61,MATCH($B69,offices!$A$2:$A$61,0))="","",INDEX(offices!$P$2:$P$61,MATCH($B69,offices!$A$2:$A$61,0))),""))</f>
        <v/>
      </c>
      <c r="S69" s="30" t="str">
        <f aca="false">IF($B69="","",IFERROR(IF(INDEX(offices!$Q$2:$Q$61,MATCH($B69,offices!$A$2:$A$61,0))="","",INDEX(offices!$Q$2:$Q$61,MATCH($B69,offices!$A$2:$A$61,0))),""))</f>
        <v/>
      </c>
      <c r="T69" s="30" t="str">
        <f aca="false">IF($B69="","",IFERROR(IF(INDEX(offices!$Z$2:$Z$61,MATCH($B69,offices!$A$2:$A$61,0))="","",INDEX(offices!$Z$2:$Z$61,MATCH($B69,offices!$A$2:$A$61,0))),""))</f>
        <v/>
      </c>
      <c r="U69" s="30" t="str">
        <f aca="false">IF($B69="","",IFERROR(IF(INDEX(offices!$Y$2:$Y$61,MATCH($B69,offices!$A$2:$A$61,0))="","",INDEX(offices!$Y$2:$Y$61,MATCH($B69,offices!$A$2:$A$61,0))),""))</f>
        <v/>
      </c>
      <c r="V69" s="30" t="str">
        <f aca="false">IF($B69="","",IFERROR(IF(INDEX(offices!$V$2:$V$61,MATCH($B69,offices!$A$2:$A$61,0))="","",INDEX(offices!$V$2:$V$61,MATCH($B69,offices!$A$2:$A$61,0))),""))</f>
        <v/>
      </c>
      <c r="W69" s="30" t="str">
        <f aca="false">IF($B69="","",IFERROR(IF(INDEX(offices!$AJ$2:$AJ$61,MATCH($B69,offices!$A$2:$A$61,0))="","",INDEX(offices!$AJ$2:$AJ$61,MATCH($B69,offices!$A$2:$A$61,0))),""))</f>
        <v/>
      </c>
      <c r="X69" s="30" t="str">
        <f aca="false">IF($B69="","",IFERROR(IF(INDEX(offices!$G$2:$G$61,MATCH($B69,offices!$A$2:$A$61,0))="","",INDEX(offices!$G$2:$G$61,MATCH($B69,offices!$A$2:$A$61,0))),""))</f>
        <v/>
      </c>
      <c r="Y69" s="30" t="str">
        <f aca="false">IF($B69="","",IFERROR(IF(INDEX(offices!$I$2:$I$61,MATCH($B69,offices!$A$2:$A$61,0))="","",INDEX(offices!$I$2:$I$61,MATCH($B69,offices!$A$2:$A$61,0))),""))</f>
        <v/>
      </c>
      <c r="Z69" s="30" t="str">
        <f aca="false">IF($A69="","",COUNTIFS(approvals!$H$2:$H$251,$A69,approvals!$B$2:$B$251,$B69,approvals!$P$2:$P$251,"Y"))</f>
        <v/>
      </c>
      <c r="AA69" s="30" t="str">
        <f aca="false">IF($A69="","",SUMIFS(approvals!$S$2:$S$251,approvals!$H$2:$H$251,$A69,approvals!$B$2:$B$251,$B69,approvals!$P$2:$P$251,"Y"))</f>
        <v/>
      </c>
      <c r="AB69" s="30" t="str">
        <f aca="false">IF(OR($A69="",$P69=""),"",IF(COUNTIFS(stops!$B$2:$B$151,$B69,stops!$P$2:$P$151,"&lt;"&amp;$P69,stops!$L$2:$L$151,"&lt;&gt;not_delivered")=0,"Y","N"))</f>
        <v/>
      </c>
      <c r="AC69" s="30" t="str">
        <f aca="false">IF(OR($I69="",$J69=""),"",ROUND(($J69-$I69)*1440,0))</f>
        <v/>
      </c>
      <c r="AD69" s="30" t="str">
        <f aca="true">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30" t="str">
        <f aca="false">IF($B69="","",IFERROR(IF(INDEX(offices!$H$2:$H$61,MATCH($B69,offices!$A$2:$A$61,0))="","",INDEX(offices!$H$2:$H$61,MATCH($B69,offices!$A$2:$A$61,0))),""))</f>
        <v/>
      </c>
      <c r="AF69" s="30" t="str">
        <f aca="false">IF($A69="","",IF(AND($L69="declined",N($Z69)&gt;0,COUNTIFS(approvals!$H$2:$H$251,$A69,approvals!$B$2:$B$251,$B69,approvals!$P$2:$P$251,"Y",approvals!$U$2:$U$251,"&gt;0")=0),"Y",""))</f>
        <v/>
      </c>
    </row>
    <row r="70" customFormat="false" ht="15" hidden="false" customHeight="false" outlineLevel="0" collapsed="false">
      <c r="D70" s="38"/>
      <c r="E70" s="11"/>
      <c r="F70" s="11"/>
      <c r="G70" s="11"/>
      <c r="I70" s="38"/>
      <c r="J70" s="38"/>
      <c r="K70" s="10"/>
      <c r="L70" s="10"/>
      <c r="N70" s="11"/>
      <c r="O70" s="10"/>
      <c r="P70" s="31" t="str">
        <f aca="false">IF($A70="","",IF(IFERROR(IF(INDEX(drops!$I$2:$I$21,MATCH($A70,drops!$A$2:$A$21,0))="","",INDEX(drops!$I$2:$I$21,MATCH($A70,drops!$A$2:$A$21,0))),"")="OK",IFERROR(IF(INDEX(drops!$B$2:$B$21,MATCH($A70,drops!$A$2:$A$21,0))="","",INDEX(drops!$B$2:$B$21,MATCH($A70,drops!$A$2:$A$21,0))),""),""))</f>
        <v/>
      </c>
      <c r="Q70" s="30" t="str">
        <f aca="false">IF($B70="","",IFERROR(IF(INDEX(offices!$O$2:$O$61,MATCH($B70,offices!$A$2:$A$61,0))="","",INDEX(offices!$O$2:$O$61,MATCH($B70,offices!$A$2:$A$61,0))),""))</f>
        <v/>
      </c>
      <c r="R70" s="30" t="str">
        <f aca="false">IF($B70="","",IFERROR(IF(INDEX(offices!$P$2:$P$61,MATCH($B70,offices!$A$2:$A$61,0))="","",INDEX(offices!$P$2:$P$61,MATCH($B70,offices!$A$2:$A$61,0))),""))</f>
        <v/>
      </c>
      <c r="S70" s="30" t="str">
        <f aca="false">IF($B70="","",IFERROR(IF(INDEX(offices!$Q$2:$Q$61,MATCH($B70,offices!$A$2:$A$61,0))="","",INDEX(offices!$Q$2:$Q$61,MATCH($B70,offices!$A$2:$A$61,0))),""))</f>
        <v/>
      </c>
      <c r="T70" s="30" t="str">
        <f aca="false">IF($B70="","",IFERROR(IF(INDEX(offices!$Z$2:$Z$61,MATCH($B70,offices!$A$2:$A$61,0))="","",INDEX(offices!$Z$2:$Z$61,MATCH($B70,offices!$A$2:$A$61,0))),""))</f>
        <v/>
      </c>
      <c r="U70" s="30" t="str">
        <f aca="false">IF($B70="","",IFERROR(IF(INDEX(offices!$Y$2:$Y$61,MATCH($B70,offices!$A$2:$A$61,0))="","",INDEX(offices!$Y$2:$Y$61,MATCH($B70,offices!$A$2:$A$61,0))),""))</f>
        <v/>
      </c>
      <c r="V70" s="30" t="str">
        <f aca="false">IF($B70="","",IFERROR(IF(INDEX(offices!$V$2:$V$61,MATCH($B70,offices!$A$2:$A$61,0))="","",INDEX(offices!$V$2:$V$61,MATCH($B70,offices!$A$2:$A$61,0))),""))</f>
        <v/>
      </c>
      <c r="W70" s="30" t="str">
        <f aca="false">IF($B70="","",IFERROR(IF(INDEX(offices!$AJ$2:$AJ$61,MATCH($B70,offices!$A$2:$A$61,0))="","",INDEX(offices!$AJ$2:$AJ$61,MATCH($B70,offices!$A$2:$A$61,0))),""))</f>
        <v/>
      </c>
      <c r="X70" s="30" t="str">
        <f aca="false">IF($B70="","",IFERROR(IF(INDEX(offices!$G$2:$G$61,MATCH($B70,offices!$A$2:$A$61,0))="","",INDEX(offices!$G$2:$G$61,MATCH($B70,offices!$A$2:$A$61,0))),""))</f>
        <v/>
      </c>
      <c r="Y70" s="30" t="str">
        <f aca="false">IF($B70="","",IFERROR(IF(INDEX(offices!$I$2:$I$61,MATCH($B70,offices!$A$2:$A$61,0))="","",INDEX(offices!$I$2:$I$61,MATCH($B70,offices!$A$2:$A$61,0))),""))</f>
        <v/>
      </c>
      <c r="Z70" s="30" t="str">
        <f aca="false">IF($A70="","",COUNTIFS(approvals!$H$2:$H$251,$A70,approvals!$B$2:$B$251,$B70,approvals!$P$2:$P$251,"Y"))</f>
        <v/>
      </c>
      <c r="AA70" s="30" t="str">
        <f aca="false">IF($A70="","",SUMIFS(approvals!$S$2:$S$251,approvals!$H$2:$H$251,$A70,approvals!$B$2:$B$251,$B70,approvals!$P$2:$P$251,"Y"))</f>
        <v/>
      </c>
      <c r="AB70" s="30" t="str">
        <f aca="false">IF(OR($A70="",$P70=""),"",IF(COUNTIFS(stops!$B$2:$B$151,$B70,stops!$P$2:$P$151,"&lt;"&amp;$P70,stops!$L$2:$L$151,"&lt;&gt;not_delivered")=0,"Y","N"))</f>
        <v/>
      </c>
      <c r="AC70" s="30" t="str">
        <f aca="false">IF(OR($I70="",$J70=""),"",ROUND(($J70-$I70)*1440,0))</f>
        <v/>
      </c>
      <c r="AD70" s="30" t="str">
        <f aca="true">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30" t="str">
        <f aca="false">IF($B70="","",IFERROR(IF(INDEX(offices!$H$2:$H$61,MATCH($B70,offices!$A$2:$A$61,0))="","",INDEX(offices!$H$2:$H$61,MATCH($B70,offices!$A$2:$A$61,0))),""))</f>
        <v/>
      </c>
      <c r="AF70" s="30" t="str">
        <f aca="false">IF($A70="","",IF(AND($L70="declined",N($Z70)&gt;0,COUNTIFS(approvals!$H$2:$H$251,$A70,approvals!$B$2:$B$251,$B70,approvals!$P$2:$P$251,"Y",approvals!$U$2:$U$251,"&gt;0")=0),"Y",""))</f>
        <v/>
      </c>
    </row>
    <row r="71" customFormat="false" ht="15" hidden="false" customHeight="false" outlineLevel="0" collapsed="false">
      <c r="D71" s="38"/>
      <c r="E71" s="11"/>
      <c r="F71" s="11"/>
      <c r="G71" s="11"/>
      <c r="I71" s="38"/>
      <c r="J71" s="38"/>
      <c r="K71" s="10"/>
      <c r="L71" s="10"/>
      <c r="N71" s="11"/>
      <c r="O71" s="10"/>
      <c r="P71" s="31" t="str">
        <f aca="false">IF($A71="","",IF(IFERROR(IF(INDEX(drops!$I$2:$I$21,MATCH($A71,drops!$A$2:$A$21,0))="","",INDEX(drops!$I$2:$I$21,MATCH($A71,drops!$A$2:$A$21,0))),"")="OK",IFERROR(IF(INDEX(drops!$B$2:$B$21,MATCH($A71,drops!$A$2:$A$21,0))="","",INDEX(drops!$B$2:$B$21,MATCH($A71,drops!$A$2:$A$21,0))),""),""))</f>
        <v/>
      </c>
      <c r="Q71" s="30" t="str">
        <f aca="false">IF($B71="","",IFERROR(IF(INDEX(offices!$O$2:$O$61,MATCH($B71,offices!$A$2:$A$61,0))="","",INDEX(offices!$O$2:$O$61,MATCH($B71,offices!$A$2:$A$61,0))),""))</f>
        <v/>
      </c>
      <c r="R71" s="30" t="str">
        <f aca="false">IF($B71="","",IFERROR(IF(INDEX(offices!$P$2:$P$61,MATCH($B71,offices!$A$2:$A$61,0))="","",INDEX(offices!$P$2:$P$61,MATCH($B71,offices!$A$2:$A$61,0))),""))</f>
        <v/>
      </c>
      <c r="S71" s="30" t="str">
        <f aca="false">IF($B71="","",IFERROR(IF(INDEX(offices!$Q$2:$Q$61,MATCH($B71,offices!$A$2:$A$61,0))="","",INDEX(offices!$Q$2:$Q$61,MATCH($B71,offices!$A$2:$A$61,0))),""))</f>
        <v/>
      </c>
      <c r="T71" s="30" t="str">
        <f aca="false">IF($B71="","",IFERROR(IF(INDEX(offices!$Z$2:$Z$61,MATCH($B71,offices!$A$2:$A$61,0))="","",INDEX(offices!$Z$2:$Z$61,MATCH($B71,offices!$A$2:$A$61,0))),""))</f>
        <v/>
      </c>
      <c r="U71" s="30" t="str">
        <f aca="false">IF($B71="","",IFERROR(IF(INDEX(offices!$Y$2:$Y$61,MATCH($B71,offices!$A$2:$A$61,0))="","",INDEX(offices!$Y$2:$Y$61,MATCH($B71,offices!$A$2:$A$61,0))),""))</f>
        <v/>
      </c>
      <c r="V71" s="30" t="str">
        <f aca="false">IF($B71="","",IFERROR(IF(INDEX(offices!$V$2:$V$61,MATCH($B71,offices!$A$2:$A$61,0))="","",INDEX(offices!$V$2:$V$61,MATCH($B71,offices!$A$2:$A$61,0))),""))</f>
        <v/>
      </c>
      <c r="W71" s="30" t="str">
        <f aca="false">IF($B71="","",IFERROR(IF(INDEX(offices!$AJ$2:$AJ$61,MATCH($B71,offices!$A$2:$A$61,0))="","",INDEX(offices!$AJ$2:$AJ$61,MATCH($B71,offices!$A$2:$A$61,0))),""))</f>
        <v/>
      </c>
      <c r="X71" s="30" t="str">
        <f aca="false">IF($B71="","",IFERROR(IF(INDEX(offices!$G$2:$G$61,MATCH($B71,offices!$A$2:$A$61,0))="","",INDEX(offices!$G$2:$G$61,MATCH($B71,offices!$A$2:$A$61,0))),""))</f>
        <v/>
      </c>
      <c r="Y71" s="30" t="str">
        <f aca="false">IF($B71="","",IFERROR(IF(INDEX(offices!$I$2:$I$61,MATCH($B71,offices!$A$2:$A$61,0))="","",INDEX(offices!$I$2:$I$61,MATCH($B71,offices!$A$2:$A$61,0))),""))</f>
        <v/>
      </c>
      <c r="Z71" s="30" t="str">
        <f aca="false">IF($A71="","",COUNTIFS(approvals!$H$2:$H$251,$A71,approvals!$B$2:$B$251,$B71,approvals!$P$2:$P$251,"Y"))</f>
        <v/>
      </c>
      <c r="AA71" s="30" t="str">
        <f aca="false">IF($A71="","",SUMIFS(approvals!$S$2:$S$251,approvals!$H$2:$H$251,$A71,approvals!$B$2:$B$251,$B71,approvals!$P$2:$P$251,"Y"))</f>
        <v/>
      </c>
      <c r="AB71" s="30" t="str">
        <f aca="false">IF(OR($A71="",$P71=""),"",IF(COUNTIFS(stops!$B$2:$B$151,$B71,stops!$P$2:$P$151,"&lt;"&amp;$P71,stops!$L$2:$L$151,"&lt;&gt;not_delivered")=0,"Y","N"))</f>
        <v/>
      </c>
      <c r="AC71" s="30" t="str">
        <f aca="false">IF(OR($I71="",$J71=""),"",ROUND(($J71-$I71)*1440,0))</f>
        <v/>
      </c>
      <c r="AD71" s="30" t="str">
        <f aca="true">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30" t="str">
        <f aca="false">IF($B71="","",IFERROR(IF(INDEX(offices!$H$2:$H$61,MATCH($B71,offices!$A$2:$A$61,0))="","",INDEX(offices!$H$2:$H$61,MATCH($B71,offices!$A$2:$A$61,0))),""))</f>
        <v/>
      </c>
      <c r="AF71" s="30" t="str">
        <f aca="false">IF($A71="","",IF(AND($L71="declined",N($Z71)&gt;0,COUNTIFS(approvals!$H$2:$H$251,$A71,approvals!$B$2:$B$251,$B71,approvals!$P$2:$P$251,"Y",approvals!$U$2:$U$251,"&gt;0")=0),"Y",""))</f>
        <v/>
      </c>
    </row>
    <row r="72" customFormat="false" ht="15" hidden="false" customHeight="false" outlineLevel="0" collapsed="false">
      <c r="D72" s="38"/>
      <c r="E72" s="11"/>
      <c r="F72" s="11"/>
      <c r="G72" s="11"/>
      <c r="I72" s="38"/>
      <c r="J72" s="38"/>
      <c r="K72" s="10"/>
      <c r="L72" s="10"/>
      <c r="N72" s="11"/>
      <c r="O72" s="10"/>
      <c r="P72" s="31" t="str">
        <f aca="false">IF($A72="","",IF(IFERROR(IF(INDEX(drops!$I$2:$I$21,MATCH($A72,drops!$A$2:$A$21,0))="","",INDEX(drops!$I$2:$I$21,MATCH($A72,drops!$A$2:$A$21,0))),"")="OK",IFERROR(IF(INDEX(drops!$B$2:$B$21,MATCH($A72,drops!$A$2:$A$21,0))="","",INDEX(drops!$B$2:$B$21,MATCH($A72,drops!$A$2:$A$21,0))),""),""))</f>
        <v/>
      </c>
      <c r="Q72" s="30" t="str">
        <f aca="false">IF($B72="","",IFERROR(IF(INDEX(offices!$O$2:$O$61,MATCH($B72,offices!$A$2:$A$61,0))="","",INDEX(offices!$O$2:$O$61,MATCH($B72,offices!$A$2:$A$61,0))),""))</f>
        <v/>
      </c>
      <c r="R72" s="30" t="str">
        <f aca="false">IF($B72="","",IFERROR(IF(INDEX(offices!$P$2:$P$61,MATCH($B72,offices!$A$2:$A$61,0))="","",INDEX(offices!$P$2:$P$61,MATCH($B72,offices!$A$2:$A$61,0))),""))</f>
        <v/>
      </c>
      <c r="S72" s="30" t="str">
        <f aca="false">IF($B72="","",IFERROR(IF(INDEX(offices!$Q$2:$Q$61,MATCH($B72,offices!$A$2:$A$61,0))="","",INDEX(offices!$Q$2:$Q$61,MATCH($B72,offices!$A$2:$A$61,0))),""))</f>
        <v/>
      </c>
      <c r="T72" s="30" t="str">
        <f aca="false">IF($B72="","",IFERROR(IF(INDEX(offices!$Z$2:$Z$61,MATCH($B72,offices!$A$2:$A$61,0))="","",INDEX(offices!$Z$2:$Z$61,MATCH($B72,offices!$A$2:$A$61,0))),""))</f>
        <v/>
      </c>
      <c r="U72" s="30" t="str">
        <f aca="false">IF($B72="","",IFERROR(IF(INDEX(offices!$Y$2:$Y$61,MATCH($B72,offices!$A$2:$A$61,0))="","",INDEX(offices!$Y$2:$Y$61,MATCH($B72,offices!$A$2:$A$61,0))),""))</f>
        <v/>
      </c>
      <c r="V72" s="30" t="str">
        <f aca="false">IF($B72="","",IFERROR(IF(INDEX(offices!$V$2:$V$61,MATCH($B72,offices!$A$2:$A$61,0))="","",INDEX(offices!$V$2:$V$61,MATCH($B72,offices!$A$2:$A$61,0))),""))</f>
        <v/>
      </c>
      <c r="W72" s="30" t="str">
        <f aca="false">IF($B72="","",IFERROR(IF(INDEX(offices!$AJ$2:$AJ$61,MATCH($B72,offices!$A$2:$A$61,0))="","",INDEX(offices!$AJ$2:$AJ$61,MATCH($B72,offices!$A$2:$A$61,0))),""))</f>
        <v/>
      </c>
      <c r="X72" s="30" t="str">
        <f aca="false">IF($B72="","",IFERROR(IF(INDEX(offices!$G$2:$G$61,MATCH($B72,offices!$A$2:$A$61,0))="","",INDEX(offices!$G$2:$G$61,MATCH($B72,offices!$A$2:$A$61,0))),""))</f>
        <v/>
      </c>
      <c r="Y72" s="30" t="str">
        <f aca="false">IF($B72="","",IFERROR(IF(INDEX(offices!$I$2:$I$61,MATCH($B72,offices!$A$2:$A$61,0))="","",INDEX(offices!$I$2:$I$61,MATCH($B72,offices!$A$2:$A$61,0))),""))</f>
        <v/>
      </c>
      <c r="Z72" s="30" t="str">
        <f aca="false">IF($A72="","",COUNTIFS(approvals!$H$2:$H$251,$A72,approvals!$B$2:$B$251,$B72,approvals!$P$2:$P$251,"Y"))</f>
        <v/>
      </c>
      <c r="AA72" s="30" t="str">
        <f aca="false">IF($A72="","",SUMIFS(approvals!$S$2:$S$251,approvals!$H$2:$H$251,$A72,approvals!$B$2:$B$251,$B72,approvals!$P$2:$P$251,"Y"))</f>
        <v/>
      </c>
      <c r="AB72" s="30" t="str">
        <f aca="false">IF(OR($A72="",$P72=""),"",IF(COUNTIFS(stops!$B$2:$B$151,$B72,stops!$P$2:$P$151,"&lt;"&amp;$P72,stops!$L$2:$L$151,"&lt;&gt;not_delivered")=0,"Y","N"))</f>
        <v/>
      </c>
      <c r="AC72" s="30" t="str">
        <f aca="false">IF(OR($I72="",$J72=""),"",ROUND(($J72-$I72)*1440,0))</f>
        <v/>
      </c>
      <c r="AD72" s="30" t="str">
        <f aca="true">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30" t="str">
        <f aca="false">IF($B72="","",IFERROR(IF(INDEX(offices!$H$2:$H$61,MATCH($B72,offices!$A$2:$A$61,0))="","",INDEX(offices!$H$2:$H$61,MATCH($B72,offices!$A$2:$A$61,0))),""))</f>
        <v/>
      </c>
      <c r="AF72" s="30" t="str">
        <f aca="false">IF($A72="","",IF(AND($L72="declined",N($Z72)&gt;0,COUNTIFS(approvals!$H$2:$H$251,$A72,approvals!$B$2:$B$251,$B72,approvals!$P$2:$P$251,"Y",approvals!$U$2:$U$251,"&gt;0")=0),"Y",""))</f>
        <v/>
      </c>
    </row>
    <row r="73" customFormat="false" ht="15" hidden="false" customHeight="false" outlineLevel="0" collapsed="false">
      <c r="D73" s="38"/>
      <c r="E73" s="11"/>
      <c r="F73" s="11"/>
      <c r="G73" s="11"/>
      <c r="I73" s="38"/>
      <c r="J73" s="38"/>
      <c r="K73" s="10"/>
      <c r="L73" s="10"/>
      <c r="N73" s="11"/>
      <c r="O73" s="10"/>
      <c r="P73" s="31" t="str">
        <f aca="false">IF($A73="","",IF(IFERROR(IF(INDEX(drops!$I$2:$I$21,MATCH($A73,drops!$A$2:$A$21,0))="","",INDEX(drops!$I$2:$I$21,MATCH($A73,drops!$A$2:$A$21,0))),"")="OK",IFERROR(IF(INDEX(drops!$B$2:$B$21,MATCH($A73,drops!$A$2:$A$21,0))="","",INDEX(drops!$B$2:$B$21,MATCH($A73,drops!$A$2:$A$21,0))),""),""))</f>
        <v/>
      </c>
      <c r="Q73" s="30" t="str">
        <f aca="false">IF($B73="","",IFERROR(IF(INDEX(offices!$O$2:$O$61,MATCH($B73,offices!$A$2:$A$61,0))="","",INDEX(offices!$O$2:$O$61,MATCH($B73,offices!$A$2:$A$61,0))),""))</f>
        <v/>
      </c>
      <c r="R73" s="30" t="str">
        <f aca="false">IF($B73="","",IFERROR(IF(INDEX(offices!$P$2:$P$61,MATCH($B73,offices!$A$2:$A$61,0))="","",INDEX(offices!$P$2:$P$61,MATCH($B73,offices!$A$2:$A$61,0))),""))</f>
        <v/>
      </c>
      <c r="S73" s="30" t="str">
        <f aca="false">IF($B73="","",IFERROR(IF(INDEX(offices!$Q$2:$Q$61,MATCH($B73,offices!$A$2:$A$61,0))="","",INDEX(offices!$Q$2:$Q$61,MATCH($B73,offices!$A$2:$A$61,0))),""))</f>
        <v/>
      </c>
      <c r="T73" s="30" t="str">
        <f aca="false">IF($B73="","",IFERROR(IF(INDEX(offices!$Z$2:$Z$61,MATCH($B73,offices!$A$2:$A$61,0))="","",INDEX(offices!$Z$2:$Z$61,MATCH($B73,offices!$A$2:$A$61,0))),""))</f>
        <v/>
      </c>
      <c r="U73" s="30" t="str">
        <f aca="false">IF($B73="","",IFERROR(IF(INDEX(offices!$Y$2:$Y$61,MATCH($B73,offices!$A$2:$A$61,0))="","",INDEX(offices!$Y$2:$Y$61,MATCH($B73,offices!$A$2:$A$61,0))),""))</f>
        <v/>
      </c>
      <c r="V73" s="30" t="str">
        <f aca="false">IF($B73="","",IFERROR(IF(INDEX(offices!$V$2:$V$61,MATCH($B73,offices!$A$2:$A$61,0))="","",INDEX(offices!$V$2:$V$61,MATCH($B73,offices!$A$2:$A$61,0))),""))</f>
        <v/>
      </c>
      <c r="W73" s="30" t="str">
        <f aca="false">IF($B73="","",IFERROR(IF(INDEX(offices!$AJ$2:$AJ$61,MATCH($B73,offices!$A$2:$A$61,0))="","",INDEX(offices!$AJ$2:$AJ$61,MATCH($B73,offices!$A$2:$A$61,0))),""))</f>
        <v/>
      </c>
      <c r="X73" s="30" t="str">
        <f aca="false">IF($B73="","",IFERROR(IF(INDEX(offices!$G$2:$G$61,MATCH($B73,offices!$A$2:$A$61,0))="","",INDEX(offices!$G$2:$G$61,MATCH($B73,offices!$A$2:$A$61,0))),""))</f>
        <v/>
      </c>
      <c r="Y73" s="30" t="str">
        <f aca="false">IF($B73="","",IFERROR(IF(INDEX(offices!$I$2:$I$61,MATCH($B73,offices!$A$2:$A$61,0))="","",INDEX(offices!$I$2:$I$61,MATCH($B73,offices!$A$2:$A$61,0))),""))</f>
        <v/>
      </c>
      <c r="Z73" s="30" t="str">
        <f aca="false">IF($A73="","",COUNTIFS(approvals!$H$2:$H$251,$A73,approvals!$B$2:$B$251,$B73,approvals!$P$2:$P$251,"Y"))</f>
        <v/>
      </c>
      <c r="AA73" s="30" t="str">
        <f aca="false">IF($A73="","",SUMIFS(approvals!$S$2:$S$251,approvals!$H$2:$H$251,$A73,approvals!$B$2:$B$251,$B73,approvals!$P$2:$P$251,"Y"))</f>
        <v/>
      </c>
      <c r="AB73" s="30" t="str">
        <f aca="false">IF(OR($A73="",$P73=""),"",IF(COUNTIFS(stops!$B$2:$B$151,$B73,stops!$P$2:$P$151,"&lt;"&amp;$P73,stops!$L$2:$L$151,"&lt;&gt;not_delivered")=0,"Y","N"))</f>
        <v/>
      </c>
      <c r="AC73" s="30" t="str">
        <f aca="false">IF(OR($I73="",$J73=""),"",ROUND(($J73-$I73)*1440,0))</f>
        <v/>
      </c>
      <c r="AD73" s="30" t="str">
        <f aca="true">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30" t="str">
        <f aca="false">IF($B73="","",IFERROR(IF(INDEX(offices!$H$2:$H$61,MATCH($B73,offices!$A$2:$A$61,0))="","",INDEX(offices!$H$2:$H$61,MATCH($B73,offices!$A$2:$A$61,0))),""))</f>
        <v/>
      </c>
      <c r="AF73" s="30" t="str">
        <f aca="false">IF($A73="","",IF(AND($L73="declined",N($Z73)&gt;0,COUNTIFS(approvals!$H$2:$H$251,$A73,approvals!$B$2:$B$251,$B73,approvals!$P$2:$P$251,"Y",approvals!$U$2:$U$251,"&gt;0")=0),"Y",""))</f>
        <v/>
      </c>
    </row>
    <row r="74" customFormat="false" ht="15" hidden="false" customHeight="false" outlineLevel="0" collapsed="false">
      <c r="D74" s="38"/>
      <c r="E74" s="11"/>
      <c r="F74" s="11"/>
      <c r="G74" s="11"/>
      <c r="I74" s="38"/>
      <c r="J74" s="38"/>
      <c r="K74" s="10"/>
      <c r="L74" s="10"/>
      <c r="N74" s="11"/>
      <c r="O74" s="10"/>
      <c r="P74" s="31" t="str">
        <f aca="false">IF($A74="","",IF(IFERROR(IF(INDEX(drops!$I$2:$I$21,MATCH($A74,drops!$A$2:$A$21,0))="","",INDEX(drops!$I$2:$I$21,MATCH($A74,drops!$A$2:$A$21,0))),"")="OK",IFERROR(IF(INDEX(drops!$B$2:$B$21,MATCH($A74,drops!$A$2:$A$21,0))="","",INDEX(drops!$B$2:$B$21,MATCH($A74,drops!$A$2:$A$21,0))),""),""))</f>
        <v/>
      </c>
      <c r="Q74" s="30" t="str">
        <f aca="false">IF($B74="","",IFERROR(IF(INDEX(offices!$O$2:$O$61,MATCH($B74,offices!$A$2:$A$61,0))="","",INDEX(offices!$O$2:$O$61,MATCH($B74,offices!$A$2:$A$61,0))),""))</f>
        <v/>
      </c>
      <c r="R74" s="30" t="str">
        <f aca="false">IF($B74="","",IFERROR(IF(INDEX(offices!$P$2:$P$61,MATCH($B74,offices!$A$2:$A$61,0))="","",INDEX(offices!$P$2:$P$61,MATCH($B74,offices!$A$2:$A$61,0))),""))</f>
        <v/>
      </c>
      <c r="S74" s="30" t="str">
        <f aca="false">IF($B74="","",IFERROR(IF(INDEX(offices!$Q$2:$Q$61,MATCH($B74,offices!$A$2:$A$61,0))="","",INDEX(offices!$Q$2:$Q$61,MATCH($B74,offices!$A$2:$A$61,0))),""))</f>
        <v/>
      </c>
      <c r="T74" s="30" t="str">
        <f aca="false">IF($B74="","",IFERROR(IF(INDEX(offices!$Z$2:$Z$61,MATCH($B74,offices!$A$2:$A$61,0))="","",INDEX(offices!$Z$2:$Z$61,MATCH($B74,offices!$A$2:$A$61,0))),""))</f>
        <v/>
      </c>
      <c r="U74" s="30" t="str">
        <f aca="false">IF($B74="","",IFERROR(IF(INDEX(offices!$Y$2:$Y$61,MATCH($B74,offices!$A$2:$A$61,0))="","",INDEX(offices!$Y$2:$Y$61,MATCH($B74,offices!$A$2:$A$61,0))),""))</f>
        <v/>
      </c>
      <c r="V74" s="30" t="str">
        <f aca="false">IF($B74="","",IFERROR(IF(INDEX(offices!$V$2:$V$61,MATCH($B74,offices!$A$2:$A$61,0))="","",INDEX(offices!$V$2:$V$61,MATCH($B74,offices!$A$2:$A$61,0))),""))</f>
        <v/>
      </c>
      <c r="W74" s="30" t="str">
        <f aca="false">IF($B74="","",IFERROR(IF(INDEX(offices!$AJ$2:$AJ$61,MATCH($B74,offices!$A$2:$A$61,0))="","",INDEX(offices!$AJ$2:$AJ$61,MATCH($B74,offices!$A$2:$A$61,0))),""))</f>
        <v/>
      </c>
      <c r="X74" s="30" t="str">
        <f aca="false">IF($B74="","",IFERROR(IF(INDEX(offices!$G$2:$G$61,MATCH($B74,offices!$A$2:$A$61,0))="","",INDEX(offices!$G$2:$G$61,MATCH($B74,offices!$A$2:$A$61,0))),""))</f>
        <v/>
      </c>
      <c r="Y74" s="30" t="str">
        <f aca="false">IF($B74="","",IFERROR(IF(INDEX(offices!$I$2:$I$61,MATCH($B74,offices!$A$2:$A$61,0))="","",INDEX(offices!$I$2:$I$61,MATCH($B74,offices!$A$2:$A$61,0))),""))</f>
        <v/>
      </c>
      <c r="Z74" s="30" t="str">
        <f aca="false">IF($A74="","",COUNTIFS(approvals!$H$2:$H$251,$A74,approvals!$B$2:$B$251,$B74,approvals!$P$2:$P$251,"Y"))</f>
        <v/>
      </c>
      <c r="AA74" s="30" t="str">
        <f aca="false">IF($A74="","",SUMIFS(approvals!$S$2:$S$251,approvals!$H$2:$H$251,$A74,approvals!$B$2:$B$251,$B74,approvals!$P$2:$P$251,"Y"))</f>
        <v/>
      </c>
      <c r="AB74" s="30" t="str">
        <f aca="false">IF(OR($A74="",$P74=""),"",IF(COUNTIFS(stops!$B$2:$B$151,$B74,stops!$P$2:$P$151,"&lt;"&amp;$P74,stops!$L$2:$L$151,"&lt;&gt;not_delivered")=0,"Y","N"))</f>
        <v/>
      </c>
      <c r="AC74" s="30" t="str">
        <f aca="false">IF(OR($I74="",$J74=""),"",ROUND(($J74-$I74)*1440,0))</f>
        <v/>
      </c>
      <c r="AD74" s="30" t="str">
        <f aca="true">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30" t="str">
        <f aca="false">IF($B74="","",IFERROR(IF(INDEX(offices!$H$2:$H$61,MATCH($B74,offices!$A$2:$A$61,0))="","",INDEX(offices!$H$2:$H$61,MATCH($B74,offices!$A$2:$A$61,0))),""))</f>
        <v/>
      </c>
      <c r="AF74" s="30" t="str">
        <f aca="false">IF($A74="","",IF(AND($L74="declined",N($Z74)&gt;0,COUNTIFS(approvals!$H$2:$H$251,$A74,approvals!$B$2:$B$251,$B74,approvals!$P$2:$P$251,"Y",approvals!$U$2:$U$251,"&gt;0")=0),"Y",""))</f>
        <v/>
      </c>
    </row>
    <row r="75" customFormat="false" ht="15" hidden="false" customHeight="false" outlineLevel="0" collapsed="false">
      <c r="D75" s="38"/>
      <c r="E75" s="11"/>
      <c r="F75" s="11"/>
      <c r="G75" s="11"/>
      <c r="I75" s="38"/>
      <c r="J75" s="38"/>
      <c r="K75" s="10"/>
      <c r="L75" s="10"/>
      <c r="N75" s="11"/>
      <c r="O75" s="10"/>
      <c r="P75" s="31" t="str">
        <f aca="false">IF($A75="","",IF(IFERROR(IF(INDEX(drops!$I$2:$I$21,MATCH($A75,drops!$A$2:$A$21,0))="","",INDEX(drops!$I$2:$I$21,MATCH($A75,drops!$A$2:$A$21,0))),"")="OK",IFERROR(IF(INDEX(drops!$B$2:$B$21,MATCH($A75,drops!$A$2:$A$21,0))="","",INDEX(drops!$B$2:$B$21,MATCH($A75,drops!$A$2:$A$21,0))),""),""))</f>
        <v/>
      </c>
      <c r="Q75" s="30" t="str">
        <f aca="false">IF($B75="","",IFERROR(IF(INDEX(offices!$O$2:$O$61,MATCH($B75,offices!$A$2:$A$61,0))="","",INDEX(offices!$O$2:$O$61,MATCH($B75,offices!$A$2:$A$61,0))),""))</f>
        <v/>
      </c>
      <c r="R75" s="30" t="str">
        <f aca="false">IF($B75="","",IFERROR(IF(INDEX(offices!$P$2:$P$61,MATCH($B75,offices!$A$2:$A$61,0))="","",INDEX(offices!$P$2:$P$61,MATCH($B75,offices!$A$2:$A$61,0))),""))</f>
        <v/>
      </c>
      <c r="S75" s="30" t="str">
        <f aca="false">IF($B75="","",IFERROR(IF(INDEX(offices!$Q$2:$Q$61,MATCH($B75,offices!$A$2:$A$61,0))="","",INDEX(offices!$Q$2:$Q$61,MATCH($B75,offices!$A$2:$A$61,0))),""))</f>
        <v/>
      </c>
      <c r="T75" s="30" t="str">
        <f aca="false">IF($B75="","",IFERROR(IF(INDEX(offices!$Z$2:$Z$61,MATCH($B75,offices!$A$2:$A$61,0))="","",INDEX(offices!$Z$2:$Z$61,MATCH($B75,offices!$A$2:$A$61,0))),""))</f>
        <v/>
      </c>
      <c r="U75" s="30" t="str">
        <f aca="false">IF($B75="","",IFERROR(IF(INDEX(offices!$Y$2:$Y$61,MATCH($B75,offices!$A$2:$A$61,0))="","",INDEX(offices!$Y$2:$Y$61,MATCH($B75,offices!$A$2:$A$61,0))),""))</f>
        <v/>
      </c>
      <c r="V75" s="30" t="str">
        <f aca="false">IF($B75="","",IFERROR(IF(INDEX(offices!$V$2:$V$61,MATCH($B75,offices!$A$2:$A$61,0))="","",INDEX(offices!$V$2:$V$61,MATCH($B75,offices!$A$2:$A$61,0))),""))</f>
        <v/>
      </c>
      <c r="W75" s="30" t="str">
        <f aca="false">IF($B75="","",IFERROR(IF(INDEX(offices!$AJ$2:$AJ$61,MATCH($B75,offices!$A$2:$A$61,0))="","",INDEX(offices!$AJ$2:$AJ$61,MATCH($B75,offices!$A$2:$A$61,0))),""))</f>
        <v/>
      </c>
      <c r="X75" s="30" t="str">
        <f aca="false">IF($B75="","",IFERROR(IF(INDEX(offices!$G$2:$G$61,MATCH($B75,offices!$A$2:$A$61,0))="","",INDEX(offices!$G$2:$G$61,MATCH($B75,offices!$A$2:$A$61,0))),""))</f>
        <v/>
      </c>
      <c r="Y75" s="30" t="str">
        <f aca="false">IF($B75="","",IFERROR(IF(INDEX(offices!$I$2:$I$61,MATCH($B75,offices!$A$2:$A$61,0))="","",INDEX(offices!$I$2:$I$61,MATCH($B75,offices!$A$2:$A$61,0))),""))</f>
        <v/>
      </c>
      <c r="Z75" s="30" t="str">
        <f aca="false">IF($A75="","",COUNTIFS(approvals!$H$2:$H$251,$A75,approvals!$B$2:$B$251,$B75,approvals!$P$2:$P$251,"Y"))</f>
        <v/>
      </c>
      <c r="AA75" s="30" t="str">
        <f aca="false">IF($A75="","",SUMIFS(approvals!$S$2:$S$251,approvals!$H$2:$H$251,$A75,approvals!$B$2:$B$251,$B75,approvals!$P$2:$P$251,"Y"))</f>
        <v/>
      </c>
      <c r="AB75" s="30" t="str">
        <f aca="false">IF(OR($A75="",$P75=""),"",IF(COUNTIFS(stops!$B$2:$B$151,$B75,stops!$P$2:$P$151,"&lt;"&amp;$P75,stops!$L$2:$L$151,"&lt;&gt;not_delivered")=0,"Y","N"))</f>
        <v/>
      </c>
      <c r="AC75" s="30" t="str">
        <f aca="false">IF(OR($I75="",$J75=""),"",ROUND(($J75-$I75)*1440,0))</f>
        <v/>
      </c>
      <c r="AD75" s="30" t="str">
        <f aca="true">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30" t="str">
        <f aca="false">IF($B75="","",IFERROR(IF(INDEX(offices!$H$2:$H$61,MATCH($B75,offices!$A$2:$A$61,0))="","",INDEX(offices!$H$2:$H$61,MATCH($B75,offices!$A$2:$A$61,0))),""))</f>
        <v/>
      </c>
      <c r="AF75" s="30" t="str">
        <f aca="false">IF($A75="","",IF(AND($L75="declined",N($Z75)&gt;0,COUNTIFS(approvals!$H$2:$H$251,$A75,approvals!$B$2:$B$251,$B75,approvals!$P$2:$P$251,"Y",approvals!$U$2:$U$251,"&gt;0")=0),"Y",""))</f>
        <v/>
      </c>
    </row>
    <row r="76" customFormat="false" ht="15" hidden="false" customHeight="false" outlineLevel="0" collapsed="false">
      <c r="D76" s="38"/>
      <c r="E76" s="11"/>
      <c r="F76" s="11"/>
      <c r="G76" s="11"/>
      <c r="I76" s="38"/>
      <c r="J76" s="38"/>
      <c r="K76" s="10"/>
      <c r="L76" s="10"/>
      <c r="N76" s="11"/>
      <c r="O76" s="10"/>
      <c r="P76" s="31" t="str">
        <f aca="false">IF($A76="","",IF(IFERROR(IF(INDEX(drops!$I$2:$I$21,MATCH($A76,drops!$A$2:$A$21,0))="","",INDEX(drops!$I$2:$I$21,MATCH($A76,drops!$A$2:$A$21,0))),"")="OK",IFERROR(IF(INDEX(drops!$B$2:$B$21,MATCH($A76,drops!$A$2:$A$21,0))="","",INDEX(drops!$B$2:$B$21,MATCH($A76,drops!$A$2:$A$21,0))),""),""))</f>
        <v/>
      </c>
      <c r="Q76" s="30" t="str">
        <f aca="false">IF($B76="","",IFERROR(IF(INDEX(offices!$O$2:$O$61,MATCH($B76,offices!$A$2:$A$61,0))="","",INDEX(offices!$O$2:$O$61,MATCH($B76,offices!$A$2:$A$61,0))),""))</f>
        <v/>
      </c>
      <c r="R76" s="30" t="str">
        <f aca="false">IF($B76="","",IFERROR(IF(INDEX(offices!$P$2:$P$61,MATCH($B76,offices!$A$2:$A$61,0))="","",INDEX(offices!$P$2:$P$61,MATCH($B76,offices!$A$2:$A$61,0))),""))</f>
        <v/>
      </c>
      <c r="S76" s="30" t="str">
        <f aca="false">IF($B76="","",IFERROR(IF(INDEX(offices!$Q$2:$Q$61,MATCH($B76,offices!$A$2:$A$61,0))="","",INDEX(offices!$Q$2:$Q$61,MATCH($B76,offices!$A$2:$A$61,0))),""))</f>
        <v/>
      </c>
      <c r="T76" s="30" t="str">
        <f aca="false">IF($B76="","",IFERROR(IF(INDEX(offices!$Z$2:$Z$61,MATCH($B76,offices!$A$2:$A$61,0))="","",INDEX(offices!$Z$2:$Z$61,MATCH($B76,offices!$A$2:$A$61,0))),""))</f>
        <v/>
      </c>
      <c r="U76" s="30" t="str">
        <f aca="false">IF($B76="","",IFERROR(IF(INDEX(offices!$Y$2:$Y$61,MATCH($B76,offices!$A$2:$A$61,0))="","",INDEX(offices!$Y$2:$Y$61,MATCH($B76,offices!$A$2:$A$61,0))),""))</f>
        <v/>
      </c>
      <c r="V76" s="30" t="str">
        <f aca="false">IF($B76="","",IFERROR(IF(INDEX(offices!$V$2:$V$61,MATCH($B76,offices!$A$2:$A$61,0))="","",INDEX(offices!$V$2:$V$61,MATCH($B76,offices!$A$2:$A$61,0))),""))</f>
        <v/>
      </c>
      <c r="W76" s="30" t="str">
        <f aca="false">IF($B76="","",IFERROR(IF(INDEX(offices!$AJ$2:$AJ$61,MATCH($B76,offices!$A$2:$A$61,0))="","",INDEX(offices!$AJ$2:$AJ$61,MATCH($B76,offices!$A$2:$A$61,0))),""))</f>
        <v/>
      </c>
      <c r="X76" s="30" t="str">
        <f aca="false">IF($B76="","",IFERROR(IF(INDEX(offices!$G$2:$G$61,MATCH($B76,offices!$A$2:$A$61,0))="","",INDEX(offices!$G$2:$G$61,MATCH($B76,offices!$A$2:$A$61,0))),""))</f>
        <v/>
      </c>
      <c r="Y76" s="30" t="str">
        <f aca="false">IF($B76="","",IFERROR(IF(INDEX(offices!$I$2:$I$61,MATCH($B76,offices!$A$2:$A$61,0))="","",INDEX(offices!$I$2:$I$61,MATCH($B76,offices!$A$2:$A$61,0))),""))</f>
        <v/>
      </c>
      <c r="Z76" s="30" t="str">
        <f aca="false">IF($A76="","",COUNTIFS(approvals!$H$2:$H$251,$A76,approvals!$B$2:$B$251,$B76,approvals!$P$2:$P$251,"Y"))</f>
        <v/>
      </c>
      <c r="AA76" s="30" t="str">
        <f aca="false">IF($A76="","",SUMIFS(approvals!$S$2:$S$251,approvals!$H$2:$H$251,$A76,approvals!$B$2:$B$251,$B76,approvals!$P$2:$P$251,"Y"))</f>
        <v/>
      </c>
      <c r="AB76" s="30" t="str">
        <f aca="false">IF(OR($A76="",$P76=""),"",IF(COUNTIFS(stops!$B$2:$B$151,$B76,stops!$P$2:$P$151,"&lt;"&amp;$P76,stops!$L$2:$L$151,"&lt;&gt;not_delivered")=0,"Y","N"))</f>
        <v/>
      </c>
      <c r="AC76" s="30" t="str">
        <f aca="false">IF(OR($I76="",$J76=""),"",ROUND(($J76-$I76)*1440,0))</f>
        <v/>
      </c>
      <c r="AD76" s="30" t="str">
        <f aca="true">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30" t="str">
        <f aca="false">IF($B76="","",IFERROR(IF(INDEX(offices!$H$2:$H$61,MATCH($B76,offices!$A$2:$A$61,0))="","",INDEX(offices!$H$2:$H$61,MATCH($B76,offices!$A$2:$A$61,0))),""))</f>
        <v/>
      </c>
      <c r="AF76" s="30" t="str">
        <f aca="false">IF($A76="","",IF(AND($L76="declined",N($Z76)&gt;0,COUNTIFS(approvals!$H$2:$H$251,$A76,approvals!$B$2:$B$251,$B76,approvals!$P$2:$P$251,"Y",approvals!$U$2:$U$251,"&gt;0")=0),"Y",""))</f>
        <v/>
      </c>
    </row>
    <row r="77" customFormat="false" ht="15" hidden="false" customHeight="false" outlineLevel="0" collapsed="false">
      <c r="D77" s="38"/>
      <c r="E77" s="11"/>
      <c r="F77" s="11"/>
      <c r="G77" s="11"/>
      <c r="I77" s="38"/>
      <c r="J77" s="38"/>
      <c r="K77" s="10"/>
      <c r="L77" s="10"/>
      <c r="N77" s="11"/>
      <c r="O77" s="10"/>
      <c r="P77" s="31" t="str">
        <f aca="false">IF($A77="","",IF(IFERROR(IF(INDEX(drops!$I$2:$I$21,MATCH($A77,drops!$A$2:$A$21,0))="","",INDEX(drops!$I$2:$I$21,MATCH($A77,drops!$A$2:$A$21,0))),"")="OK",IFERROR(IF(INDEX(drops!$B$2:$B$21,MATCH($A77,drops!$A$2:$A$21,0))="","",INDEX(drops!$B$2:$B$21,MATCH($A77,drops!$A$2:$A$21,0))),""),""))</f>
        <v/>
      </c>
      <c r="Q77" s="30" t="str">
        <f aca="false">IF($B77="","",IFERROR(IF(INDEX(offices!$O$2:$O$61,MATCH($B77,offices!$A$2:$A$61,0))="","",INDEX(offices!$O$2:$O$61,MATCH($B77,offices!$A$2:$A$61,0))),""))</f>
        <v/>
      </c>
      <c r="R77" s="30" t="str">
        <f aca="false">IF($B77="","",IFERROR(IF(INDEX(offices!$P$2:$P$61,MATCH($B77,offices!$A$2:$A$61,0))="","",INDEX(offices!$P$2:$P$61,MATCH($B77,offices!$A$2:$A$61,0))),""))</f>
        <v/>
      </c>
      <c r="S77" s="30" t="str">
        <f aca="false">IF($B77="","",IFERROR(IF(INDEX(offices!$Q$2:$Q$61,MATCH($B77,offices!$A$2:$A$61,0))="","",INDEX(offices!$Q$2:$Q$61,MATCH($B77,offices!$A$2:$A$61,0))),""))</f>
        <v/>
      </c>
      <c r="T77" s="30" t="str">
        <f aca="false">IF($B77="","",IFERROR(IF(INDEX(offices!$Z$2:$Z$61,MATCH($B77,offices!$A$2:$A$61,0))="","",INDEX(offices!$Z$2:$Z$61,MATCH($B77,offices!$A$2:$A$61,0))),""))</f>
        <v/>
      </c>
      <c r="U77" s="30" t="str">
        <f aca="false">IF($B77="","",IFERROR(IF(INDEX(offices!$Y$2:$Y$61,MATCH($B77,offices!$A$2:$A$61,0))="","",INDEX(offices!$Y$2:$Y$61,MATCH($B77,offices!$A$2:$A$61,0))),""))</f>
        <v/>
      </c>
      <c r="V77" s="30" t="str">
        <f aca="false">IF($B77="","",IFERROR(IF(INDEX(offices!$V$2:$V$61,MATCH($B77,offices!$A$2:$A$61,0))="","",INDEX(offices!$V$2:$V$61,MATCH($B77,offices!$A$2:$A$61,0))),""))</f>
        <v/>
      </c>
      <c r="W77" s="30" t="str">
        <f aca="false">IF($B77="","",IFERROR(IF(INDEX(offices!$AJ$2:$AJ$61,MATCH($B77,offices!$A$2:$A$61,0))="","",INDEX(offices!$AJ$2:$AJ$61,MATCH($B77,offices!$A$2:$A$61,0))),""))</f>
        <v/>
      </c>
      <c r="X77" s="30" t="str">
        <f aca="false">IF($B77="","",IFERROR(IF(INDEX(offices!$G$2:$G$61,MATCH($B77,offices!$A$2:$A$61,0))="","",INDEX(offices!$G$2:$G$61,MATCH($B77,offices!$A$2:$A$61,0))),""))</f>
        <v/>
      </c>
      <c r="Y77" s="30" t="str">
        <f aca="false">IF($B77="","",IFERROR(IF(INDEX(offices!$I$2:$I$61,MATCH($B77,offices!$A$2:$A$61,0))="","",INDEX(offices!$I$2:$I$61,MATCH($B77,offices!$A$2:$A$61,0))),""))</f>
        <v/>
      </c>
      <c r="Z77" s="30" t="str">
        <f aca="false">IF($A77="","",COUNTIFS(approvals!$H$2:$H$251,$A77,approvals!$B$2:$B$251,$B77,approvals!$P$2:$P$251,"Y"))</f>
        <v/>
      </c>
      <c r="AA77" s="30" t="str">
        <f aca="false">IF($A77="","",SUMIFS(approvals!$S$2:$S$251,approvals!$H$2:$H$251,$A77,approvals!$B$2:$B$251,$B77,approvals!$P$2:$P$251,"Y"))</f>
        <v/>
      </c>
      <c r="AB77" s="30" t="str">
        <f aca="false">IF(OR($A77="",$P77=""),"",IF(COUNTIFS(stops!$B$2:$B$151,$B77,stops!$P$2:$P$151,"&lt;"&amp;$P77,stops!$L$2:$L$151,"&lt;&gt;not_delivered")=0,"Y","N"))</f>
        <v/>
      </c>
      <c r="AC77" s="30" t="str">
        <f aca="false">IF(OR($I77="",$J77=""),"",ROUND(($J77-$I77)*1440,0))</f>
        <v/>
      </c>
      <c r="AD77" s="30" t="str">
        <f aca="true">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30" t="str">
        <f aca="false">IF($B77="","",IFERROR(IF(INDEX(offices!$H$2:$H$61,MATCH($B77,offices!$A$2:$A$61,0))="","",INDEX(offices!$H$2:$H$61,MATCH($B77,offices!$A$2:$A$61,0))),""))</f>
        <v/>
      </c>
      <c r="AF77" s="30" t="str">
        <f aca="false">IF($A77="","",IF(AND($L77="declined",N($Z77)&gt;0,COUNTIFS(approvals!$H$2:$H$251,$A77,approvals!$B$2:$B$251,$B77,approvals!$P$2:$P$251,"Y",approvals!$U$2:$U$251,"&gt;0")=0),"Y",""))</f>
        <v/>
      </c>
    </row>
    <row r="78" customFormat="false" ht="15" hidden="false" customHeight="false" outlineLevel="0" collapsed="false">
      <c r="D78" s="38"/>
      <c r="E78" s="11"/>
      <c r="F78" s="11"/>
      <c r="G78" s="11"/>
      <c r="I78" s="38"/>
      <c r="J78" s="38"/>
      <c r="K78" s="10"/>
      <c r="L78" s="10"/>
      <c r="N78" s="11"/>
      <c r="O78" s="10"/>
      <c r="P78" s="31" t="str">
        <f aca="false">IF($A78="","",IF(IFERROR(IF(INDEX(drops!$I$2:$I$21,MATCH($A78,drops!$A$2:$A$21,0))="","",INDEX(drops!$I$2:$I$21,MATCH($A78,drops!$A$2:$A$21,0))),"")="OK",IFERROR(IF(INDEX(drops!$B$2:$B$21,MATCH($A78,drops!$A$2:$A$21,0))="","",INDEX(drops!$B$2:$B$21,MATCH($A78,drops!$A$2:$A$21,0))),""),""))</f>
        <v/>
      </c>
      <c r="Q78" s="30" t="str">
        <f aca="false">IF($B78="","",IFERROR(IF(INDEX(offices!$O$2:$O$61,MATCH($B78,offices!$A$2:$A$61,0))="","",INDEX(offices!$O$2:$O$61,MATCH($B78,offices!$A$2:$A$61,0))),""))</f>
        <v/>
      </c>
      <c r="R78" s="30" t="str">
        <f aca="false">IF($B78="","",IFERROR(IF(INDEX(offices!$P$2:$P$61,MATCH($B78,offices!$A$2:$A$61,0))="","",INDEX(offices!$P$2:$P$61,MATCH($B78,offices!$A$2:$A$61,0))),""))</f>
        <v/>
      </c>
      <c r="S78" s="30" t="str">
        <f aca="false">IF($B78="","",IFERROR(IF(INDEX(offices!$Q$2:$Q$61,MATCH($B78,offices!$A$2:$A$61,0))="","",INDEX(offices!$Q$2:$Q$61,MATCH($B78,offices!$A$2:$A$61,0))),""))</f>
        <v/>
      </c>
      <c r="T78" s="30" t="str">
        <f aca="false">IF($B78="","",IFERROR(IF(INDEX(offices!$Z$2:$Z$61,MATCH($B78,offices!$A$2:$A$61,0))="","",INDEX(offices!$Z$2:$Z$61,MATCH($B78,offices!$A$2:$A$61,0))),""))</f>
        <v/>
      </c>
      <c r="U78" s="30" t="str">
        <f aca="false">IF($B78="","",IFERROR(IF(INDEX(offices!$Y$2:$Y$61,MATCH($B78,offices!$A$2:$A$61,0))="","",INDEX(offices!$Y$2:$Y$61,MATCH($B78,offices!$A$2:$A$61,0))),""))</f>
        <v/>
      </c>
      <c r="V78" s="30" t="str">
        <f aca="false">IF($B78="","",IFERROR(IF(INDEX(offices!$V$2:$V$61,MATCH($B78,offices!$A$2:$A$61,0))="","",INDEX(offices!$V$2:$V$61,MATCH($B78,offices!$A$2:$A$61,0))),""))</f>
        <v/>
      </c>
      <c r="W78" s="30" t="str">
        <f aca="false">IF($B78="","",IFERROR(IF(INDEX(offices!$AJ$2:$AJ$61,MATCH($B78,offices!$A$2:$A$61,0))="","",INDEX(offices!$AJ$2:$AJ$61,MATCH($B78,offices!$A$2:$A$61,0))),""))</f>
        <v/>
      </c>
      <c r="X78" s="30" t="str">
        <f aca="false">IF($B78="","",IFERROR(IF(INDEX(offices!$G$2:$G$61,MATCH($B78,offices!$A$2:$A$61,0))="","",INDEX(offices!$G$2:$G$61,MATCH($B78,offices!$A$2:$A$61,0))),""))</f>
        <v/>
      </c>
      <c r="Y78" s="30" t="str">
        <f aca="false">IF($B78="","",IFERROR(IF(INDEX(offices!$I$2:$I$61,MATCH($B78,offices!$A$2:$A$61,0))="","",INDEX(offices!$I$2:$I$61,MATCH($B78,offices!$A$2:$A$61,0))),""))</f>
        <v/>
      </c>
      <c r="Z78" s="30" t="str">
        <f aca="false">IF($A78="","",COUNTIFS(approvals!$H$2:$H$251,$A78,approvals!$B$2:$B$251,$B78,approvals!$P$2:$P$251,"Y"))</f>
        <v/>
      </c>
      <c r="AA78" s="30" t="str">
        <f aca="false">IF($A78="","",SUMIFS(approvals!$S$2:$S$251,approvals!$H$2:$H$251,$A78,approvals!$B$2:$B$251,$B78,approvals!$P$2:$P$251,"Y"))</f>
        <v/>
      </c>
      <c r="AB78" s="30" t="str">
        <f aca="false">IF(OR($A78="",$P78=""),"",IF(COUNTIFS(stops!$B$2:$B$151,$B78,stops!$P$2:$P$151,"&lt;"&amp;$P78,stops!$L$2:$L$151,"&lt;&gt;not_delivered")=0,"Y","N"))</f>
        <v/>
      </c>
      <c r="AC78" s="30" t="str">
        <f aca="false">IF(OR($I78="",$J78=""),"",ROUND(($J78-$I78)*1440,0))</f>
        <v/>
      </c>
      <c r="AD78" s="30" t="str">
        <f aca="true">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30" t="str">
        <f aca="false">IF($B78="","",IFERROR(IF(INDEX(offices!$H$2:$H$61,MATCH($B78,offices!$A$2:$A$61,0))="","",INDEX(offices!$H$2:$H$61,MATCH($B78,offices!$A$2:$A$61,0))),""))</f>
        <v/>
      </c>
      <c r="AF78" s="30" t="str">
        <f aca="false">IF($A78="","",IF(AND($L78="declined",N($Z78)&gt;0,COUNTIFS(approvals!$H$2:$H$251,$A78,approvals!$B$2:$B$251,$B78,approvals!$P$2:$P$251,"Y",approvals!$U$2:$U$251,"&gt;0")=0),"Y",""))</f>
        <v/>
      </c>
    </row>
    <row r="79" customFormat="false" ht="15" hidden="false" customHeight="false" outlineLevel="0" collapsed="false">
      <c r="D79" s="38"/>
      <c r="E79" s="11"/>
      <c r="F79" s="11"/>
      <c r="G79" s="11"/>
      <c r="I79" s="38"/>
      <c r="J79" s="38"/>
      <c r="K79" s="10"/>
      <c r="L79" s="10"/>
      <c r="N79" s="11"/>
      <c r="O79" s="10"/>
      <c r="P79" s="31" t="str">
        <f aca="false">IF($A79="","",IF(IFERROR(IF(INDEX(drops!$I$2:$I$21,MATCH($A79,drops!$A$2:$A$21,0))="","",INDEX(drops!$I$2:$I$21,MATCH($A79,drops!$A$2:$A$21,0))),"")="OK",IFERROR(IF(INDEX(drops!$B$2:$B$21,MATCH($A79,drops!$A$2:$A$21,0))="","",INDEX(drops!$B$2:$B$21,MATCH($A79,drops!$A$2:$A$21,0))),""),""))</f>
        <v/>
      </c>
      <c r="Q79" s="30" t="str">
        <f aca="false">IF($B79="","",IFERROR(IF(INDEX(offices!$O$2:$O$61,MATCH($B79,offices!$A$2:$A$61,0))="","",INDEX(offices!$O$2:$O$61,MATCH($B79,offices!$A$2:$A$61,0))),""))</f>
        <v/>
      </c>
      <c r="R79" s="30" t="str">
        <f aca="false">IF($B79="","",IFERROR(IF(INDEX(offices!$P$2:$P$61,MATCH($B79,offices!$A$2:$A$61,0))="","",INDEX(offices!$P$2:$P$61,MATCH($B79,offices!$A$2:$A$61,0))),""))</f>
        <v/>
      </c>
      <c r="S79" s="30" t="str">
        <f aca="false">IF($B79="","",IFERROR(IF(INDEX(offices!$Q$2:$Q$61,MATCH($B79,offices!$A$2:$A$61,0))="","",INDEX(offices!$Q$2:$Q$61,MATCH($B79,offices!$A$2:$A$61,0))),""))</f>
        <v/>
      </c>
      <c r="T79" s="30" t="str">
        <f aca="false">IF($B79="","",IFERROR(IF(INDEX(offices!$Z$2:$Z$61,MATCH($B79,offices!$A$2:$A$61,0))="","",INDEX(offices!$Z$2:$Z$61,MATCH($B79,offices!$A$2:$A$61,0))),""))</f>
        <v/>
      </c>
      <c r="U79" s="30" t="str">
        <f aca="false">IF($B79="","",IFERROR(IF(INDEX(offices!$Y$2:$Y$61,MATCH($B79,offices!$A$2:$A$61,0))="","",INDEX(offices!$Y$2:$Y$61,MATCH($B79,offices!$A$2:$A$61,0))),""))</f>
        <v/>
      </c>
      <c r="V79" s="30" t="str">
        <f aca="false">IF($B79="","",IFERROR(IF(INDEX(offices!$V$2:$V$61,MATCH($B79,offices!$A$2:$A$61,0))="","",INDEX(offices!$V$2:$V$61,MATCH($B79,offices!$A$2:$A$61,0))),""))</f>
        <v/>
      </c>
      <c r="W79" s="30" t="str">
        <f aca="false">IF($B79="","",IFERROR(IF(INDEX(offices!$AJ$2:$AJ$61,MATCH($B79,offices!$A$2:$A$61,0))="","",INDEX(offices!$AJ$2:$AJ$61,MATCH($B79,offices!$A$2:$A$61,0))),""))</f>
        <v/>
      </c>
      <c r="X79" s="30" t="str">
        <f aca="false">IF($B79="","",IFERROR(IF(INDEX(offices!$G$2:$G$61,MATCH($B79,offices!$A$2:$A$61,0))="","",INDEX(offices!$G$2:$G$61,MATCH($B79,offices!$A$2:$A$61,0))),""))</f>
        <v/>
      </c>
      <c r="Y79" s="30" t="str">
        <f aca="false">IF($B79="","",IFERROR(IF(INDEX(offices!$I$2:$I$61,MATCH($B79,offices!$A$2:$A$61,0))="","",INDEX(offices!$I$2:$I$61,MATCH($B79,offices!$A$2:$A$61,0))),""))</f>
        <v/>
      </c>
      <c r="Z79" s="30" t="str">
        <f aca="false">IF($A79="","",COUNTIFS(approvals!$H$2:$H$251,$A79,approvals!$B$2:$B$251,$B79,approvals!$P$2:$P$251,"Y"))</f>
        <v/>
      </c>
      <c r="AA79" s="30" t="str">
        <f aca="false">IF($A79="","",SUMIFS(approvals!$S$2:$S$251,approvals!$H$2:$H$251,$A79,approvals!$B$2:$B$251,$B79,approvals!$P$2:$P$251,"Y"))</f>
        <v/>
      </c>
      <c r="AB79" s="30" t="str">
        <f aca="false">IF(OR($A79="",$P79=""),"",IF(COUNTIFS(stops!$B$2:$B$151,$B79,stops!$P$2:$P$151,"&lt;"&amp;$P79,stops!$L$2:$L$151,"&lt;&gt;not_delivered")=0,"Y","N"))</f>
        <v/>
      </c>
      <c r="AC79" s="30" t="str">
        <f aca="false">IF(OR($I79="",$J79=""),"",ROUND(($J79-$I79)*1440,0))</f>
        <v/>
      </c>
      <c r="AD79" s="30" t="str">
        <f aca="true">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30" t="str">
        <f aca="false">IF($B79="","",IFERROR(IF(INDEX(offices!$H$2:$H$61,MATCH($B79,offices!$A$2:$A$61,0))="","",INDEX(offices!$H$2:$H$61,MATCH($B79,offices!$A$2:$A$61,0))),""))</f>
        <v/>
      </c>
      <c r="AF79" s="30" t="str">
        <f aca="false">IF($A79="","",IF(AND($L79="declined",N($Z79)&gt;0,COUNTIFS(approvals!$H$2:$H$251,$A79,approvals!$B$2:$B$251,$B79,approvals!$P$2:$P$251,"Y",approvals!$U$2:$U$251,"&gt;0")=0),"Y",""))</f>
        <v/>
      </c>
    </row>
    <row r="80" customFormat="false" ht="15" hidden="false" customHeight="false" outlineLevel="0" collapsed="false">
      <c r="D80" s="38"/>
      <c r="E80" s="11"/>
      <c r="F80" s="11"/>
      <c r="G80" s="11"/>
      <c r="I80" s="38"/>
      <c r="J80" s="38"/>
      <c r="K80" s="10"/>
      <c r="L80" s="10"/>
      <c r="N80" s="11"/>
      <c r="O80" s="10"/>
      <c r="P80" s="31" t="str">
        <f aca="false">IF($A80="","",IF(IFERROR(IF(INDEX(drops!$I$2:$I$21,MATCH($A80,drops!$A$2:$A$21,0))="","",INDEX(drops!$I$2:$I$21,MATCH($A80,drops!$A$2:$A$21,0))),"")="OK",IFERROR(IF(INDEX(drops!$B$2:$B$21,MATCH($A80,drops!$A$2:$A$21,0))="","",INDEX(drops!$B$2:$B$21,MATCH($A80,drops!$A$2:$A$21,0))),""),""))</f>
        <v/>
      </c>
      <c r="Q80" s="30" t="str">
        <f aca="false">IF($B80="","",IFERROR(IF(INDEX(offices!$O$2:$O$61,MATCH($B80,offices!$A$2:$A$61,0))="","",INDEX(offices!$O$2:$O$61,MATCH($B80,offices!$A$2:$A$61,0))),""))</f>
        <v/>
      </c>
      <c r="R80" s="30" t="str">
        <f aca="false">IF($B80="","",IFERROR(IF(INDEX(offices!$P$2:$P$61,MATCH($B80,offices!$A$2:$A$61,0))="","",INDEX(offices!$P$2:$P$61,MATCH($B80,offices!$A$2:$A$61,0))),""))</f>
        <v/>
      </c>
      <c r="S80" s="30" t="str">
        <f aca="false">IF($B80="","",IFERROR(IF(INDEX(offices!$Q$2:$Q$61,MATCH($B80,offices!$A$2:$A$61,0))="","",INDEX(offices!$Q$2:$Q$61,MATCH($B80,offices!$A$2:$A$61,0))),""))</f>
        <v/>
      </c>
      <c r="T80" s="30" t="str">
        <f aca="false">IF($B80="","",IFERROR(IF(INDEX(offices!$Z$2:$Z$61,MATCH($B80,offices!$A$2:$A$61,0))="","",INDEX(offices!$Z$2:$Z$61,MATCH($B80,offices!$A$2:$A$61,0))),""))</f>
        <v/>
      </c>
      <c r="U80" s="30" t="str">
        <f aca="false">IF($B80="","",IFERROR(IF(INDEX(offices!$Y$2:$Y$61,MATCH($B80,offices!$A$2:$A$61,0))="","",INDEX(offices!$Y$2:$Y$61,MATCH($B80,offices!$A$2:$A$61,0))),""))</f>
        <v/>
      </c>
      <c r="V80" s="30" t="str">
        <f aca="false">IF($B80="","",IFERROR(IF(INDEX(offices!$V$2:$V$61,MATCH($B80,offices!$A$2:$A$61,0))="","",INDEX(offices!$V$2:$V$61,MATCH($B80,offices!$A$2:$A$61,0))),""))</f>
        <v/>
      </c>
      <c r="W80" s="30" t="str">
        <f aca="false">IF($B80="","",IFERROR(IF(INDEX(offices!$AJ$2:$AJ$61,MATCH($B80,offices!$A$2:$A$61,0))="","",INDEX(offices!$AJ$2:$AJ$61,MATCH($B80,offices!$A$2:$A$61,0))),""))</f>
        <v/>
      </c>
      <c r="X80" s="30" t="str">
        <f aca="false">IF($B80="","",IFERROR(IF(INDEX(offices!$G$2:$G$61,MATCH($B80,offices!$A$2:$A$61,0))="","",INDEX(offices!$G$2:$G$61,MATCH($B80,offices!$A$2:$A$61,0))),""))</f>
        <v/>
      </c>
      <c r="Y80" s="30" t="str">
        <f aca="false">IF($B80="","",IFERROR(IF(INDEX(offices!$I$2:$I$61,MATCH($B80,offices!$A$2:$A$61,0))="","",INDEX(offices!$I$2:$I$61,MATCH($B80,offices!$A$2:$A$61,0))),""))</f>
        <v/>
      </c>
      <c r="Z80" s="30" t="str">
        <f aca="false">IF($A80="","",COUNTIFS(approvals!$H$2:$H$251,$A80,approvals!$B$2:$B$251,$B80,approvals!$P$2:$P$251,"Y"))</f>
        <v/>
      </c>
      <c r="AA80" s="30" t="str">
        <f aca="false">IF($A80="","",SUMIFS(approvals!$S$2:$S$251,approvals!$H$2:$H$251,$A80,approvals!$B$2:$B$251,$B80,approvals!$P$2:$P$251,"Y"))</f>
        <v/>
      </c>
      <c r="AB80" s="30" t="str">
        <f aca="false">IF(OR($A80="",$P80=""),"",IF(COUNTIFS(stops!$B$2:$B$151,$B80,stops!$P$2:$P$151,"&lt;"&amp;$P80,stops!$L$2:$L$151,"&lt;&gt;not_delivered")=0,"Y","N"))</f>
        <v/>
      </c>
      <c r="AC80" s="30" t="str">
        <f aca="false">IF(OR($I80="",$J80=""),"",ROUND(($J80-$I80)*1440,0))</f>
        <v/>
      </c>
      <c r="AD80" s="30" t="str">
        <f aca="true">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30" t="str">
        <f aca="false">IF($B80="","",IFERROR(IF(INDEX(offices!$H$2:$H$61,MATCH($B80,offices!$A$2:$A$61,0))="","",INDEX(offices!$H$2:$H$61,MATCH($B80,offices!$A$2:$A$61,0))),""))</f>
        <v/>
      </c>
      <c r="AF80" s="30" t="str">
        <f aca="false">IF($A80="","",IF(AND($L80="declined",N($Z80)&gt;0,COUNTIFS(approvals!$H$2:$H$251,$A80,approvals!$B$2:$B$251,$B80,approvals!$P$2:$P$251,"Y",approvals!$U$2:$U$251,"&gt;0")=0),"Y",""))</f>
        <v/>
      </c>
    </row>
    <row r="81" customFormat="false" ht="15" hidden="false" customHeight="false" outlineLevel="0" collapsed="false">
      <c r="D81" s="38"/>
      <c r="E81" s="11"/>
      <c r="F81" s="11"/>
      <c r="G81" s="11"/>
      <c r="I81" s="38"/>
      <c r="J81" s="38"/>
      <c r="K81" s="10"/>
      <c r="L81" s="10"/>
      <c r="N81" s="11"/>
      <c r="O81" s="10"/>
      <c r="P81" s="31" t="str">
        <f aca="false">IF($A81="","",IF(IFERROR(IF(INDEX(drops!$I$2:$I$21,MATCH($A81,drops!$A$2:$A$21,0))="","",INDEX(drops!$I$2:$I$21,MATCH($A81,drops!$A$2:$A$21,0))),"")="OK",IFERROR(IF(INDEX(drops!$B$2:$B$21,MATCH($A81,drops!$A$2:$A$21,0))="","",INDEX(drops!$B$2:$B$21,MATCH($A81,drops!$A$2:$A$21,0))),""),""))</f>
        <v/>
      </c>
      <c r="Q81" s="30" t="str">
        <f aca="false">IF($B81="","",IFERROR(IF(INDEX(offices!$O$2:$O$61,MATCH($B81,offices!$A$2:$A$61,0))="","",INDEX(offices!$O$2:$O$61,MATCH($B81,offices!$A$2:$A$61,0))),""))</f>
        <v/>
      </c>
      <c r="R81" s="30" t="str">
        <f aca="false">IF($B81="","",IFERROR(IF(INDEX(offices!$P$2:$P$61,MATCH($B81,offices!$A$2:$A$61,0))="","",INDEX(offices!$P$2:$P$61,MATCH($B81,offices!$A$2:$A$61,0))),""))</f>
        <v/>
      </c>
      <c r="S81" s="30" t="str">
        <f aca="false">IF($B81="","",IFERROR(IF(INDEX(offices!$Q$2:$Q$61,MATCH($B81,offices!$A$2:$A$61,0))="","",INDEX(offices!$Q$2:$Q$61,MATCH($B81,offices!$A$2:$A$61,0))),""))</f>
        <v/>
      </c>
      <c r="T81" s="30" t="str">
        <f aca="false">IF($B81="","",IFERROR(IF(INDEX(offices!$Z$2:$Z$61,MATCH($B81,offices!$A$2:$A$61,0))="","",INDEX(offices!$Z$2:$Z$61,MATCH($B81,offices!$A$2:$A$61,0))),""))</f>
        <v/>
      </c>
      <c r="U81" s="30" t="str">
        <f aca="false">IF($B81="","",IFERROR(IF(INDEX(offices!$Y$2:$Y$61,MATCH($B81,offices!$A$2:$A$61,0))="","",INDEX(offices!$Y$2:$Y$61,MATCH($B81,offices!$A$2:$A$61,0))),""))</f>
        <v/>
      </c>
      <c r="V81" s="30" t="str">
        <f aca="false">IF($B81="","",IFERROR(IF(INDEX(offices!$V$2:$V$61,MATCH($B81,offices!$A$2:$A$61,0))="","",INDEX(offices!$V$2:$V$61,MATCH($B81,offices!$A$2:$A$61,0))),""))</f>
        <v/>
      </c>
      <c r="W81" s="30" t="str">
        <f aca="false">IF($B81="","",IFERROR(IF(INDEX(offices!$AJ$2:$AJ$61,MATCH($B81,offices!$A$2:$A$61,0))="","",INDEX(offices!$AJ$2:$AJ$61,MATCH($B81,offices!$A$2:$A$61,0))),""))</f>
        <v/>
      </c>
      <c r="X81" s="30" t="str">
        <f aca="false">IF($B81="","",IFERROR(IF(INDEX(offices!$G$2:$G$61,MATCH($B81,offices!$A$2:$A$61,0))="","",INDEX(offices!$G$2:$G$61,MATCH($B81,offices!$A$2:$A$61,0))),""))</f>
        <v/>
      </c>
      <c r="Y81" s="30" t="str">
        <f aca="false">IF($B81="","",IFERROR(IF(INDEX(offices!$I$2:$I$61,MATCH($B81,offices!$A$2:$A$61,0))="","",INDEX(offices!$I$2:$I$61,MATCH($B81,offices!$A$2:$A$61,0))),""))</f>
        <v/>
      </c>
      <c r="Z81" s="30" t="str">
        <f aca="false">IF($A81="","",COUNTIFS(approvals!$H$2:$H$251,$A81,approvals!$B$2:$B$251,$B81,approvals!$P$2:$P$251,"Y"))</f>
        <v/>
      </c>
      <c r="AA81" s="30" t="str">
        <f aca="false">IF($A81="","",SUMIFS(approvals!$S$2:$S$251,approvals!$H$2:$H$251,$A81,approvals!$B$2:$B$251,$B81,approvals!$P$2:$P$251,"Y"))</f>
        <v/>
      </c>
      <c r="AB81" s="30" t="str">
        <f aca="false">IF(OR($A81="",$P81=""),"",IF(COUNTIFS(stops!$B$2:$B$151,$B81,stops!$P$2:$P$151,"&lt;"&amp;$P81,stops!$L$2:$L$151,"&lt;&gt;not_delivered")=0,"Y","N"))</f>
        <v/>
      </c>
      <c r="AC81" s="30" t="str">
        <f aca="false">IF(OR($I81="",$J81=""),"",ROUND(($J81-$I81)*1440,0))</f>
        <v/>
      </c>
      <c r="AD81" s="30" t="str">
        <f aca="true">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30" t="str">
        <f aca="false">IF($B81="","",IFERROR(IF(INDEX(offices!$H$2:$H$61,MATCH($B81,offices!$A$2:$A$61,0))="","",INDEX(offices!$H$2:$H$61,MATCH($B81,offices!$A$2:$A$61,0))),""))</f>
        <v/>
      </c>
      <c r="AF81" s="30" t="str">
        <f aca="false">IF($A81="","",IF(AND($L81="declined",N($Z81)&gt;0,COUNTIFS(approvals!$H$2:$H$251,$A81,approvals!$B$2:$B$251,$B81,approvals!$P$2:$P$251,"Y",approvals!$U$2:$U$251,"&gt;0")=0),"Y",""))</f>
        <v/>
      </c>
    </row>
    <row r="82" customFormat="false" ht="15" hidden="false" customHeight="false" outlineLevel="0" collapsed="false">
      <c r="D82" s="38"/>
      <c r="E82" s="11"/>
      <c r="F82" s="11"/>
      <c r="G82" s="11"/>
      <c r="I82" s="38"/>
      <c r="J82" s="38"/>
      <c r="K82" s="10"/>
      <c r="L82" s="10"/>
      <c r="N82" s="11"/>
      <c r="O82" s="10"/>
      <c r="P82" s="31" t="str">
        <f aca="false">IF($A82="","",IF(IFERROR(IF(INDEX(drops!$I$2:$I$21,MATCH($A82,drops!$A$2:$A$21,0))="","",INDEX(drops!$I$2:$I$21,MATCH($A82,drops!$A$2:$A$21,0))),"")="OK",IFERROR(IF(INDEX(drops!$B$2:$B$21,MATCH($A82,drops!$A$2:$A$21,0))="","",INDEX(drops!$B$2:$B$21,MATCH($A82,drops!$A$2:$A$21,0))),""),""))</f>
        <v/>
      </c>
      <c r="Q82" s="30" t="str">
        <f aca="false">IF($B82="","",IFERROR(IF(INDEX(offices!$O$2:$O$61,MATCH($B82,offices!$A$2:$A$61,0))="","",INDEX(offices!$O$2:$O$61,MATCH($B82,offices!$A$2:$A$61,0))),""))</f>
        <v/>
      </c>
      <c r="R82" s="30" t="str">
        <f aca="false">IF($B82="","",IFERROR(IF(INDEX(offices!$P$2:$P$61,MATCH($B82,offices!$A$2:$A$61,0))="","",INDEX(offices!$P$2:$P$61,MATCH($B82,offices!$A$2:$A$61,0))),""))</f>
        <v/>
      </c>
      <c r="S82" s="30" t="str">
        <f aca="false">IF($B82="","",IFERROR(IF(INDEX(offices!$Q$2:$Q$61,MATCH($B82,offices!$A$2:$A$61,0))="","",INDEX(offices!$Q$2:$Q$61,MATCH($B82,offices!$A$2:$A$61,0))),""))</f>
        <v/>
      </c>
      <c r="T82" s="30" t="str">
        <f aca="false">IF($B82="","",IFERROR(IF(INDEX(offices!$Z$2:$Z$61,MATCH($B82,offices!$A$2:$A$61,0))="","",INDEX(offices!$Z$2:$Z$61,MATCH($B82,offices!$A$2:$A$61,0))),""))</f>
        <v/>
      </c>
      <c r="U82" s="30" t="str">
        <f aca="false">IF($B82="","",IFERROR(IF(INDEX(offices!$Y$2:$Y$61,MATCH($B82,offices!$A$2:$A$61,0))="","",INDEX(offices!$Y$2:$Y$61,MATCH($B82,offices!$A$2:$A$61,0))),""))</f>
        <v/>
      </c>
      <c r="V82" s="30" t="str">
        <f aca="false">IF($B82="","",IFERROR(IF(INDEX(offices!$V$2:$V$61,MATCH($B82,offices!$A$2:$A$61,0))="","",INDEX(offices!$V$2:$V$61,MATCH($B82,offices!$A$2:$A$61,0))),""))</f>
        <v/>
      </c>
      <c r="W82" s="30" t="str">
        <f aca="false">IF($B82="","",IFERROR(IF(INDEX(offices!$AJ$2:$AJ$61,MATCH($B82,offices!$A$2:$A$61,0))="","",INDEX(offices!$AJ$2:$AJ$61,MATCH($B82,offices!$A$2:$A$61,0))),""))</f>
        <v/>
      </c>
      <c r="X82" s="30" t="str">
        <f aca="false">IF($B82="","",IFERROR(IF(INDEX(offices!$G$2:$G$61,MATCH($B82,offices!$A$2:$A$61,0))="","",INDEX(offices!$G$2:$G$61,MATCH($B82,offices!$A$2:$A$61,0))),""))</f>
        <v/>
      </c>
      <c r="Y82" s="30" t="str">
        <f aca="false">IF($B82="","",IFERROR(IF(INDEX(offices!$I$2:$I$61,MATCH($B82,offices!$A$2:$A$61,0))="","",INDEX(offices!$I$2:$I$61,MATCH($B82,offices!$A$2:$A$61,0))),""))</f>
        <v/>
      </c>
      <c r="Z82" s="30" t="str">
        <f aca="false">IF($A82="","",COUNTIFS(approvals!$H$2:$H$251,$A82,approvals!$B$2:$B$251,$B82,approvals!$P$2:$P$251,"Y"))</f>
        <v/>
      </c>
      <c r="AA82" s="30" t="str">
        <f aca="false">IF($A82="","",SUMIFS(approvals!$S$2:$S$251,approvals!$H$2:$H$251,$A82,approvals!$B$2:$B$251,$B82,approvals!$P$2:$P$251,"Y"))</f>
        <v/>
      </c>
      <c r="AB82" s="30" t="str">
        <f aca="false">IF(OR($A82="",$P82=""),"",IF(COUNTIFS(stops!$B$2:$B$151,$B82,stops!$P$2:$P$151,"&lt;"&amp;$P82,stops!$L$2:$L$151,"&lt;&gt;not_delivered")=0,"Y","N"))</f>
        <v/>
      </c>
      <c r="AC82" s="30" t="str">
        <f aca="false">IF(OR($I82="",$J82=""),"",ROUND(($J82-$I82)*1440,0))</f>
        <v/>
      </c>
      <c r="AD82" s="30" t="str">
        <f aca="true">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30" t="str">
        <f aca="false">IF($B82="","",IFERROR(IF(INDEX(offices!$H$2:$H$61,MATCH($B82,offices!$A$2:$A$61,0))="","",INDEX(offices!$H$2:$H$61,MATCH($B82,offices!$A$2:$A$61,0))),""))</f>
        <v/>
      </c>
      <c r="AF82" s="30" t="str">
        <f aca="false">IF($A82="","",IF(AND($L82="declined",N($Z82)&gt;0,COUNTIFS(approvals!$H$2:$H$251,$A82,approvals!$B$2:$B$251,$B82,approvals!$P$2:$P$251,"Y",approvals!$U$2:$U$251,"&gt;0")=0),"Y",""))</f>
        <v/>
      </c>
    </row>
    <row r="83" customFormat="false" ht="15" hidden="false" customHeight="false" outlineLevel="0" collapsed="false">
      <c r="D83" s="38"/>
      <c r="E83" s="11"/>
      <c r="F83" s="11"/>
      <c r="G83" s="11"/>
      <c r="I83" s="38"/>
      <c r="J83" s="38"/>
      <c r="K83" s="10"/>
      <c r="L83" s="10"/>
      <c r="N83" s="11"/>
      <c r="O83" s="10"/>
      <c r="P83" s="31" t="str">
        <f aca="false">IF($A83="","",IF(IFERROR(IF(INDEX(drops!$I$2:$I$21,MATCH($A83,drops!$A$2:$A$21,0))="","",INDEX(drops!$I$2:$I$21,MATCH($A83,drops!$A$2:$A$21,0))),"")="OK",IFERROR(IF(INDEX(drops!$B$2:$B$21,MATCH($A83,drops!$A$2:$A$21,0))="","",INDEX(drops!$B$2:$B$21,MATCH($A83,drops!$A$2:$A$21,0))),""),""))</f>
        <v/>
      </c>
      <c r="Q83" s="30" t="str">
        <f aca="false">IF($B83="","",IFERROR(IF(INDEX(offices!$O$2:$O$61,MATCH($B83,offices!$A$2:$A$61,0))="","",INDEX(offices!$O$2:$O$61,MATCH($B83,offices!$A$2:$A$61,0))),""))</f>
        <v/>
      </c>
      <c r="R83" s="30" t="str">
        <f aca="false">IF($B83="","",IFERROR(IF(INDEX(offices!$P$2:$P$61,MATCH($B83,offices!$A$2:$A$61,0))="","",INDEX(offices!$P$2:$P$61,MATCH($B83,offices!$A$2:$A$61,0))),""))</f>
        <v/>
      </c>
      <c r="S83" s="30" t="str">
        <f aca="false">IF($B83="","",IFERROR(IF(INDEX(offices!$Q$2:$Q$61,MATCH($B83,offices!$A$2:$A$61,0))="","",INDEX(offices!$Q$2:$Q$61,MATCH($B83,offices!$A$2:$A$61,0))),""))</f>
        <v/>
      </c>
      <c r="T83" s="30" t="str">
        <f aca="false">IF($B83="","",IFERROR(IF(INDEX(offices!$Z$2:$Z$61,MATCH($B83,offices!$A$2:$A$61,0))="","",INDEX(offices!$Z$2:$Z$61,MATCH($B83,offices!$A$2:$A$61,0))),""))</f>
        <v/>
      </c>
      <c r="U83" s="30" t="str">
        <f aca="false">IF($B83="","",IFERROR(IF(INDEX(offices!$Y$2:$Y$61,MATCH($B83,offices!$A$2:$A$61,0))="","",INDEX(offices!$Y$2:$Y$61,MATCH($B83,offices!$A$2:$A$61,0))),""))</f>
        <v/>
      </c>
      <c r="V83" s="30" t="str">
        <f aca="false">IF($B83="","",IFERROR(IF(INDEX(offices!$V$2:$V$61,MATCH($B83,offices!$A$2:$A$61,0))="","",INDEX(offices!$V$2:$V$61,MATCH($B83,offices!$A$2:$A$61,0))),""))</f>
        <v/>
      </c>
      <c r="W83" s="30" t="str">
        <f aca="false">IF($B83="","",IFERROR(IF(INDEX(offices!$AJ$2:$AJ$61,MATCH($B83,offices!$A$2:$A$61,0))="","",INDEX(offices!$AJ$2:$AJ$61,MATCH($B83,offices!$A$2:$A$61,0))),""))</f>
        <v/>
      </c>
      <c r="X83" s="30" t="str">
        <f aca="false">IF($B83="","",IFERROR(IF(INDEX(offices!$G$2:$G$61,MATCH($B83,offices!$A$2:$A$61,0))="","",INDEX(offices!$G$2:$G$61,MATCH($B83,offices!$A$2:$A$61,0))),""))</f>
        <v/>
      </c>
      <c r="Y83" s="30" t="str">
        <f aca="false">IF($B83="","",IFERROR(IF(INDEX(offices!$I$2:$I$61,MATCH($B83,offices!$A$2:$A$61,0))="","",INDEX(offices!$I$2:$I$61,MATCH($B83,offices!$A$2:$A$61,0))),""))</f>
        <v/>
      </c>
      <c r="Z83" s="30" t="str">
        <f aca="false">IF($A83="","",COUNTIFS(approvals!$H$2:$H$251,$A83,approvals!$B$2:$B$251,$B83,approvals!$P$2:$P$251,"Y"))</f>
        <v/>
      </c>
      <c r="AA83" s="30" t="str">
        <f aca="false">IF($A83="","",SUMIFS(approvals!$S$2:$S$251,approvals!$H$2:$H$251,$A83,approvals!$B$2:$B$251,$B83,approvals!$P$2:$P$251,"Y"))</f>
        <v/>
      </c>
      <c r="AB83" s="30" t="str">
        <f aca="false">IF(OR($A83="",$P83=""),"",IF(COUNTIFS(stops!$B$2:$B$151,$B83,stops!$P$2:$P$151,"&lt;"&amp;$P83,stops!$L$2:$L$151,"&lt;&gt;not_delivered")=0,"Y","N"))</f>
        <v/>
      </c>
      <c r="AC83" s="30" t="str">
        <f aca="false">IF(OR($I83="",$J83=""),"",ROUND(($J83-$I83)*1440,0))</f>
        <v/>
      </c>
      <c r="AD83" s="30" t="str">
        <f aca="true">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30" t="str">
        <f aca="false">IF($B83="","",IFERROR(IF(INDEX(offices!$H$2:$H$61,MATCH($B83,offices!$A$2:$A$61,0))="","",INDEX(offices!$H$2:$H$61,MATCH($B83,offices!$A$2:$A$61,0))),""))</f>
        <v/>
      </c>
      <c r="AF83" s="30" t="str">
        <f aca="false">IF($A83="","",IF(AND($L83="declined",N($Z83)&gt;0,COUNTIFS(approvals!$H$2:$H$251,$A83,approvals!$B$2:$B$251,$B83,approvals!$P$2:$P$251,"Y",approvals!$U$2:$U$251,"&gt;0")=0),"Y",""))</f>
        <v/>
      </c>
    </row>
    <row r="84" customFormat="false" ht="15" hidden="false" customHeight="false" outlineLevel="0" collapsed="false">
      <c r="D84" s="38"/>
      <c r="E84" s="11"/>
      <c r="F84" s="11"/>
      <c r="G84" s="11"/>
      <c r="I84" s="38"/>
      <c r="J84" s="38"/>
      <c r="K84" s="10"/>
      <c r="L84" s="10"/>
      <c r="N84" s="11"/>
      <c r="O84" s="10"/>
      <c r="P84" s="31" t="str">
        <f aca="false">IF($A84="","",IF(IFERROR(IF(INDEX(drops!$I$2:$I$21,MATCH($A84,drops!$A$2:$A$21,0))="","",INDEX(drops!$I$2:$I$21,MATCH($A84,drops!$A$2:$A$21,0))),"")="OK",IFERROR(IF(INDEX(drops!$B$2:$B$21,MATCH($A84,drops!$A$2:$A$21,0))="","",INDEX(drops!$B$2:$B$21,MATCH($A84,drops!$A$2:$A$21,0))),""),""))</f>
        <v/>
      </c>
      <c r="Q84" s="30" t="str">
        <f aca="false">IF($B84="","",IFERROR(IF(INDEX(offices!$O$2:$O$61,MATCH($B84,offices!$A$2:$A$61,0))="","",INDEX(offices!$O$2:$O$61,MATCH($B84,offices!$A$2:$A$61,0))),""))</f>
        <v/>
      </c>
      <c r="R84" s="30" t="str">
        <f aca="false">IF($B84="","",IFERROR(IF(INDEX(offices!$P$2:$P$61,MATCH($B84,offices!$A$2:$A$61,0))="","",INDEX(offices!$P$2:$P$61,MATCH($B84,offices!$A$2:$A$61,0))),""))</f>
        <v/>
      </c>
      <c r="S84" s="30" t="str">
        <f aca="false">IF($B84="","",IFERROR(IF(INDEX(offices!$Q$2:$Q$61,MATCH($B84,offices!$A$2:$A$61,0))="","",INDEX(offices!$Q$2:$Q$61,MATCH($B84,offices!$A$2:$A$61,0))),""))</f>
        <v/>
      </c>
      <c r="T84" s="30" t="str">
        <f aca="false">IF($B84="","",IFERROR(IF(INDEX(offices!$Z$2:$Z$61,MATCH($B84,offices!$A$2:$A$61,0))="","",INDEX(offices!$Z$2:$Z$61,MATCH($B84,offices!$A$2:$A$61,0))),""))</f>
        <v/>
      </c>
      <c r="U84" s="30" t="str">
        <f aca="false">IF($B84="","",IFERROR(IF(INDEX(offices!$Y$2:$Y$61,MATCH($B84,offices!$A$2:$A$61,0))="","",INDEX(offices!$Y$2:$Y$61,MATCH($B84,offices!$A$2:$A$61,0))),""))</f>
        <v/>
      </c>
      <c r="V84" s="30" t="str">
        <f aca="false">IF($B84="","",IFERROR(IF(INDEX(offices!$V$2:$V$61,MATCH($B84,offices!$A$2:$A$61,0))="","",INDEX(offices!$V$2:$V$61,MATCH($B84,offices!$A$2:$A$61,0))),""))</f>
        <v/>
      </c>
      <c r="W84" s="30" t="str">
        <f aca="false">IF($B84="","",IFERROR(IF(INDEX(offices!$AJ$2:$AJ$61,MATCH($B84,offices!$A$2:$A$61,0))="","",INDEX(offices!$AJ$2:$AJ$61,MATCH($B84,offices!$A$2:$A$61,0))),""))</f>
        <v/>
      </c>
      <c r="X84" s="30" t="str">
        <f aca="false">IF($B84="","",IFERROR(IF(INDEX(offices!$G$2:$G$61,MATCH($B84,offices!$A$2:$A$61,0))="","",INDEX(offices!$G$2:$G$61,MATCH($B84,offices!$A$2:$A$61,0))),""))</f>
        <v/>
      </c>
      <c r="Y84" s="30" t="str">
        <f aca="false">IF($B84="","",IFERROR(IF(INDEX(offices!$I$2:$I$61,MATCH($B84,offices!$A$2:$A$61,0))="","",INDEX(offices!$I$2:$I$61,MATCH($B84,offices!$A$2:$A$61,0))),""))</f>
        <v/>
      </c>
      <c r="Z84" s="30" t="str">
        <f aca="false">IF($A84="","",COUNTIFS(approvals!$H$2:$H$251,$A84,approvals!$B$2:$B$251,$B84,approvals!$P$2:$P$251,"Y"))</f>
        <v/>
      </c>
      <c r="AA84" s="30" t="str">
        <f aca="false">IF($A84="","",SUMIFS(approvals!$S$2:$S$251,approvals!$H$2:$H$251,$A84,approvals!$B$2:$B$251,$B84,approvals!$P$2:$P$251,"Y"))</f>
        <v/>
      </c>
      <c r="AB84" s="30" t="str">
        <f aca="false">IF(OR($A84="",$P84=""),"",IF(COUNTIFS(stops!$B$2:$B$151,$B84,stops!$P$2:$P$151,"&lt;"&amp;$P84,stops!$L$2:$L$151,"&lt;&gt;not_delivered")=0,"Y","N"))</f>
        <v/>
      </c>
      <c r="AC84" s="30" t="str">
        <f aca="false">IF(OR($I84="",$J84=""),"",ROUND(($J84-$I84)*1440,0))</f>
        <v/>
      </c>
      <c r="AD84" s="30" t="str">
        <f aca="true">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30" t="str">
        <f aca="false">IF($B84="","",IFERROR(IF(INDEX(offices!$H$2:$H$61,MATCH($B84,offices!$A$2:$A$61,0))="","",INDEX(offices!$H$2:$H$61,MATCH($B84,offices!$A$2:$A$61,0))),""))</f>
        <v/>
      </c>
      <c r="AF84" s="30" t="str">
        <f aca="false">IF($A84="","",IF(AND($L84="declined",N($Z84)&gt;0,COUNTIFS(approvals!$H$2:$H$251,$A84,approvals!$B$2:$B$251,$B84,approvals!$P$2:$P$251,"Y",approvals!$U$2:$U$251,"&gt;0")=0),"Y",""))</f>
        <v/>
      </c>
    </row>
    <row r="85" customFormat="false" ht="15" hidden="false" customHeight="false" outlineLevel="0" collapsed="false">
      <c r="D85" s="38"/>
      <c r="E85" s="11"/>
      <c r="F85" s="11"/>
      <c r="G85" s="11"/>
      <c r="I85" s="38"/>
      <c r="J85" s="38"/>
      <c r="K85" s="10"/>
      <c r="L85" s="10"/>
      <c r="N85" s="11"/>
      <c r="O85" s="10"/>
      <c r="P85" s="31" t="str">
        <f aca="false">IF($A85="","",IF(IFERROR(IF(INDEX(drops!$I$2:$I$21,MATCH($A85,drops!$A$2:$A$21,0))="","",INDEX(drops!$I$2:$I$21,MATCH($A85,drops!$A$2:$A$21,0))),"")="OK",IFERROR(IF(INDEX(drops!$B$2:$B$21,MATCH($A85,drops!$A$2:$A$21,0))="","",INDEX(drops!$B$2:$B$21,MATCH($A85,drops!$A$2:$A$21,0))),""),""))</f>
        <v/>
      </c>
      <c r="Q85" s="30" t="str">
        <f aca="false">IF($B85="","",IFERROR(IF(INDEX(offices!$O$2:$O$61,MATCH($B85,offices!$A$2:$A$61,0))="","",INDEX(offices!$O$2:$O$61,MATCH($B85,offices!$A$2:$A$61,0))),""))</f>
        <v/>
      </c>
      <c r="R85" s="30" t="str">
        <f aca="false">IF($B85="","",IFERROR(IF(INDEX(offices!$P$2:$P$61,MATCH($B85,offices!$A$2:$A$61,0))="","",INDEX(offices!$P$2:$P$61,MATCH($B85,offices!$A$2:$A$61,0))),""))</f>
        <v/>
      </c>
      <c r="S85" s="30" t="str">
        <f aca="false">IF($B85="","",IFERROR(IF(INDEX(offices!$Q$2:$Q$61,MATCH($B85,offices!$A$2:$A$61,0))="","",INDEX(offices!$Q$2:$Q$61,MATCH($B85,offices!$A$2:$A$61,0))),""))</f>
        <v/>
      </c>
      <c r="T85" s="30" t="str">
        <f aca="false">IF($B85="","",IFERROR(IF(INDEX(offices!$Z$2:$Z$61,MATCH($B85,offices!$A$2:$A$61,0))="","",INDEX(offices!$Z$2:$Z$61,MATCH($B85,offices!$A$2:$A$61,0))),""))</f>
        <v/>
      </c>
      <c r="U85" s="30" t="str">
        <f aca="false">IF($B85="","",IFERROR(IF(INDEX(offices!$Y$2:$Y$61,MATCH($B85,offices!$A$2:$A$61,0))="","",INDEX(offices!$Y$2:$Y$61,MATCH($B85,offices!$A$2:$A$61,0))),""))</f>
        <v/>
      </c>
      <c r="V85" s="30" t="str">
        <f aca="false">IF($B85="","",IFERROR(IF(INDEX(offices!$V$2:$V$61,MATCH($B85,offices!$A$2:$A$61,0))="","",INDEX(offices!$V$2:$V$61,MATCH($B85,offices!$A$2:$A$61,0))),""))</f>
        <v/>
      </c>
      <c r="W85" s="30" t="str">
        <f aca="false">IF($B85="","",IFERROR(IF(INDEX(offices!$AJ$2:$AJ$61,MATCH($B85,offices!$A$2:$A$61,0))="","",INDEX(offices!$AJ$2:$AJ$61,MATCH($B85,offices!$A$2:$A$61,0))),""))</f>
        <v/>
      </c>
      <c r="X85" s="30" t="str">
        <f aca="false">IF($B85="","",IFERROR(IF(INDEX(offices!$G$2:$G$61,MATCH($B85,offices!$A$2:$A$61,0))="","",INDEX(offices!$G$2:$G$61,MATCH($B85,offices!$A$2:$A$61,0))),""))</f>
        <v/>
      </c>
      <c r="Y85" s="30" t="str">
        <f aca="false">IF($B85="","",IFERROR(IF(INDEX(offices!$I$2:$I$61,MATCH($B85,offices!$A$2:$A$61,0))="","",INDEX(offices!$I$2:$I$61,MATCH($B85,offices!$A$2:$A$61,0))),""))</f>
        <v/>
      </c>
      <c r="Z85" s="30" t="str">
        <f aca="false">IF($A85="","",COUNTIFS(approvals!$H$2:$H$251,$A85,approvals!$B$2:$B$251,$B85,approvals!$P$2:$P$251,"Y"))</f>
        <v/>
      </c>
      <c r="AA85" s="30" t="str">
        <f aca="false">IF($A85="","",SUMIFS(approvals!$S$2:$S$251,approvals!$H$2:$H$251,$A85,approvals!$B$2:$B$251,$B85,approvals!$P$2:$P$251,"Y"))</f>
        <v/>
      </c>
      <c r="AB85" s="30" t="str">
        <f aca="false">IF(OR($A85="",$P85=""),"",IF(COUNTIFS(stops!$B$2:$B$151,$B85,stops!$P$2:$P$151,"&lt;"&amp;$P85,stops!$L$2:$L$151,"&lt;&gt;not_delivered")=0,"Y","N"))</f>
        <v/>
      </c>
      <c r="AC85" s="30" t="str">
        <f aca="false">IF(OR($I85="",$J85=""),"",ROUND(($J85-$I85)*1440,0))</f>
        <v/>
      </c>
      <c r="AD85" s="30" t="str">
        <f aca="true">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30" t="str">
        <f aca="false">IF($B85="","",IFERROR(IF(INDEX(offices!$H$2:$H$61,MATCH($B85,offices!$A$2:$A$61,0))="","",INDEX(offices!$H$2:$H$61,MATCH($B85,offices!$A$2:$A$61,0))),""))</f>
        <v/>
      </c>
      <c r="AF85" s="30" t="str">
        <f aca="false">IF($A85="","",IF(AND($L85="declined",N($Z85)&gt;0,COUNTIFS(approvals!$H$2:$H$251,$A85,approvals!$B$2:$B$251,$B85,approvals!$P$2:$P$251,"Y",approvals!$U$2:$U$251,"&gt;0")=0),"Y",""))</f>
        <v/>
      </c>
    </row>
    <row r="86" customFormat="false" ht="15" hidden="false" customHeight="false" outlineLevel="0" collapsed="false">
      <c r="D86" s="38"/>
      <c r="E86" s="11"/>
      <c r="F86" s="11"/>
      <c r="G86" s="11"/>
      <c r="I86" s="38"/>
      <c r="J86" s="38"/>
      <c r="K86" s="10"/>
      <c r="L86" s="10"/>
      <c r="N86" s="11"/>
      <c r="O86" s="10"/>
      <c r="P86" s="31" t="str">
        <f aca="false">IF($A86="","",IF(IFERROR(IF(INDEX(drops!$I$2:$I$21,MATCH($A86,drops!$A$2:$A$21,0))="","",INDEX(drops!$I$2:$I$21,MATCH($A86,drops!$A$2:$A$21,0))),"")="OK",IFERROR(IF(INDEX(drops!$B$2:$B$21,MATCH($A86,drops!$A$2:$A$21,0))="","",INDEX(drops!$B$2:$B$21,MATCH($A86,drops!$A$2:$A$21,0))),""),""))</f>
        <v/>
      </c>
      <c r="Q86" s="30" t="str">
        <f aca="false">IF($B86="","",IFERROR(IF(INDEX(offices!$O$2:$O$61,MATCH($B86,offices!$A$2:$A$61,0))="","",INDEX(offices!$O$2:$O$61,MATCH($B86,offices!$A$2:$A$61,0))),""))</f>
        <v/>
      </c>
      <c r="R86" s="30" t="str">
        <f aca="false">IF($B86="","",IFERROR(IF(INDEX(offices!$P$2:$P$61,MATCH($B86,offices!$A$2:$A$61,0))="","",INDEX(offices!$P$2:$P$61,MATCH($B86,offices!$A$2:$A$61,0))),""))</f>
        <v/>
      </c>
      <c r="S86" s="30" t="str">
        <f aca="false">IF($B86="","",IFERROR(IF(INDEX(offices!$Q$2:$Q$61,MATCH($B86,offices!$A$2:$A$61,0))="","",INDEX(offices!$Q$2:$Q$61,MATCH($B86,offices!$A$2:$A$61,0))),""))</f>
        <v/>
      </c>
      <c r="T86" s="30" t="str">
        <f aca="false">IF($B86="","",IFERROR(IF(INDEX(offices!$Z$2:$Z$61,MATCH($B86,offices!$A$2:$A$61,0))="","",INDEX(offices!$Z$2:$Z$61,MATCH($B86,offices!$A$2:$A$61,0))),""))</f>
        <v/>
      </c>
      <c r="U86" s="30" t="str">
        <f aca="false">IF($B86="","",IFERROR(IF(INDEX(offices!$Y$2:$Y$61,MATCH($B86,offices!$A$2:$A$61,0))="","",INDEX(offices!$Y$2:$Y$61,MATCH($B86,offices!$A$2:$A$61,0))),""))</f>
        <v/>
      </c>
      <c r="V86" s="30" t="str">
        <f aca="false">IF($B86="","",IFERROR(IF(INDEX(offices!$V$2:$V$61,MATCH($B86,offices!$A$2:$A$61,0))="","",INDEX(offices!$V$2:$V$61,MATCH($B86,offices!$A$2:$A$61,0))),""))</f>
        <v/>
      </c>
      <c r="W86" s="30" t="str">
        <f aca="false">IF($B86="","",IFERROR(IF(INDEX(offices!$AJ$2:$AJ$61,MATCH($B86,offices!$A$2:$A$61,0))="","",INDEX(offices!$AJ$2:$AJ$61,MATCH($B86,offices!$A$2:$A$61,0))),""))</f>
        <v/>
      </c>
      <c r="X86" s="30" t="str">
        <f aca="false">IF($B86="","",IFERROR(IF(INDEX(offices!$G$2:$G$61,MATCH($B86,offices!$A$2:$A$61,0))="","",INDEX(offices!$G$2:$G$61,MATCH($B86,offices!$A$2:$A$61,0))),""))</f>
        <v/>
      </c>
      <c r="Y86" s="30" t="str">
        <f aca="false">IF($B86="","",IFERROR(IF(INDEX(offices!$I$2:$I$61,MATCH($B86,offices!$A$2:$A$61,0))="","",INDEX(offices!$I$2:$I$61,MATCH($B86,offices!$A$2:$A$61,0))),""))</f>
        <v/>
      </c>
      <c r="Z86" s="30" t="str">
        <f aca="false">IF($A86="","",COUNTIFS(approvals!$H$2:$H$251,$A86,approvals!$B$2:$B$251,$B86,approvals!$P$2:$P$251,"Y"))</f>
        <v/>
      </c>
      <c r="AA86" s="30" t="str">
        <f aca="false">IF($A86="","",SUMIFS(approvals!$S$2:$S$251,approvals!$H$2:$H$251,$A86,approvals!$B$2:$B$251,$B86,approvals!$P$2:$P$251,"Y"))</f>
        <v/>
      </c>
      <c r="AB86" s="30" t="str">
        <f aca="false">IF(OR($A86="",$P86=""),"",IF(COUNTIFS(stops!$B$2:$B$151,$B86,stops!$P$2:$P$151,"&lt;"&amp;$P86,stops!$L$2:$L$151,"&lt;&gt;not_delivered")=0,"Y","N"))</f>
        <v/>
      </c>
      <c r="AC86" s="30" t="str">
        <f aca="false">IF(OR($I86="",$J86=""),"",ROUND(($J86-$I86)*1440,0))</f>
        <v/>
      </c>
      <c r="AD86" s="30" t="str">
        <f aca="true">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30" t="str">
        <f aca="false">IF($B86="","",IFERROR(IF(INDEX(offices!$H$2:$H$61,MATCH($B86,offices!$A$2:$A$61,0))="","",INDEX(offices!$H$2:$H$61,MATCH($B86,offices!$A$2:$A$61,0))),""))</f>
        <v/>
      </c>
      <c r="AF86" s="30" t="str">
        <f aca="false">IF($A86="","",IF(AND($L86="declined",N($Z86)&gt;0,COUNTIFS(approvals!$H$2:$H$251,$A86,approvals!$B$2:$B$251,$B86,approvals!$P$2:$P$251,"Y",approvals!$U$2:$U$251,"&gt;0")=0),"Y",""))</f>
        <v/>
      </c>
    </row>
    <row r="87" customFormat="false" ht="15" hidden="false" customHeight="false" outlineLevel="0" collapsed="false">
      <c r="D87" s="38"/>
      <c r="E87" s="11"/>
      <c r="F87" s="11"/>
      <c r="G87" s="11"/>
      <c r="I87" s="38"/>
      <c r="J87" s="38"/>
      <c r="K87" s="10"/>
      <c r="L87" s="10"/>
      <c r="N87" s="11"/>
      <c r="O87" s="10"/>
      <c r="P87" s="31" t="str">
        <f aca="false">IF($A87="","",IF(IFERROR(IF(INDEX(drops!$I$2:$I$21,MATCH($A87,drops!$A$2:$A$21,0))="","",INDEX(drops!$I$2:$I$21,MATCH($A87,drops!$A$2:$A$21,0))),"")="OK",IFERROR(IF(INDEX(drops!$B$2:$B$21,MATCH($A87,drops!$A$2:$A$21,0))="","",INDEX(drops!$B$2:$B$21,MATCH($A87,drops!$A$2:$A$21,0))),""),""))</f>
        <v/>
      </c>
      <c r="Q87" s="30" t="str">
        <f aca="false">IF($B87="","",IFERROR(IF(INDEX(offices!$O$2:$O$61,MATCH($B87,offices!$A$2:$A$61,0))="","",INDEX(offices!$O$2:$O$61,MATCH($B87,offices!$A$2:$A$61,0))),""))</f>
        <v/>
      </c>
      <c r="R87" s="30" t="str">
        <f aca="false">IF($B87="","",IFERROR(IF(INDEX(offices!$P$2:$P$61,MATCH($B87,offices!$A$2:$A$61,0))="","",INDEX(offices!$P$2:$P$61,MATCH($B87,offices!$A$2:$A$61,0))),""))</f>
        <v/>
      </c>
      <c r="S87" s="30" t="str">
        <f aca="false">IF($B87="","",IFERROR(IF(INDEX(offices!$Q$2:$Q$61,MATCH($B87,offices!$A$2:$A$61,0))="","",INDEX(offices!$Q$2:$Q$61,MATCH($B87,offices!$A$2:$A$61,0))),""))</f>
        <v/>
      </c>
      <c r="T87" s="30" t="str">
        <f aca="false">IF($B87="","",IFERROR(IF(INDEX(offices!$Z$2:$Z$61,MATCH($B87,offices!$A$2:$A$61,0))="","",INDEX(offices!$Z$2:$Z$61,MATCH($B87,offices!$A$2:$A$61,0))),""))</f>
        <v/>
      </c>
      <c r="U87" s="30" t="str">
        <f aca="false">IF($B87="","",IFERROR(IF(INDEX(offices!$Y$2:$Y$61,MATCH($B87,offices!$A$2:$A$61,0))="","",INDEX(offices!$Y$2:$Y$61,MATCH($B87,offices!$A$2:$A$61,0))),""))</f>
        <v/>
      </c>
      <c r="V87" s="30" t="str">
        <f aca="false">IF($B87="","",IFERROR(IF(INDEX(offices!$V$2:$V$61,MATCH($B87,offices!$A$2:$A$61,0))="","",INDEX(offices!$V$2:$V$61,MATCH($B87,offices!$A$2:$A$61,0))),""))</f>
        <v/>
      </c>
      <c r="W87" s="30" t="str">
        <f aca="false">IF($B87="","",IFERROR(IF(INDEX(offices!$AJ$2:$AJ$61,MATCH($B87,offices!$A$2:$A$61,0))="","",INDEX(offices!$AJ$2:$AJ$61,MATCH($B87,offices!$A$2:$A$61,0))),""))</f>
        <v/>
      </c>
      <c r="X87" s="30" t="str">
        <f aca="false">IF($B87="","",IFERROR(IF(INDEX(offices!$G$2:$G$61,MATCH($B87,offices!$A$2:$A$61,0))="","",INDEX(offices!$G$2:$G$61,MATCH($B87,offices!$A$2:$A$61,0))),""))</f>
        <v/>
      </c>
      <c r="Y87" s="30" t="str">
        <f aca="false">IF($B87="","",IFERROR(IF(INDEX(offices!$I$2:$I$61,MATCH($B87,offices!$A$2:$A$61,0))="","",INDEX(offices!$I$2:$I$61,MATCH($B87,offices!$A$2:$A$61,0))),""))</f>
        <v/>
      </c>
      <c r="Z87" s="30" t="str">
        <f aca="false">IF($A87="","",COUNTIFS(approvals!$H$2:$H$251,$A87,approvals!$B$2:$B$251,$B87,approvals!$P$2:$P$251,"Y"))</f>
        <v/>
      </c>
      <c r="AA87" s="30" t="str">
        <f aca="false">IF($A87="","",SUMIFS(approvals!$S$2:$S$251,approvals!$H$2:$H$251,$A87,approvals!$B$2:$B$251,$B87,approvals!$P$2:$P$251,"Y"))</f>
        <v/>
      </c>
      <c r="AB87" s="30" t="str">
        <f aca="false">IF(OR($A87="",$P87=""),"",IF(COUNTIFS(stops!$B$2:$B$151,$B87,stops!$P$2:$P$151,"&lt;"&amp;$P87,stops!$L$2:$L$151,"&lt;&gt;not_delivered")=0,"Y","N"))</f>
        <v/>
      </c>
      <c r="AC87" s="30" t="str">
        <f aca="false">IF(OR($I87="",$J87=""),"",ROUND(($J87-$I87)*1440,0))</f>
        <v/>
      </c>
      <c r="AD87" s="30" t="str">
        <f aca="true">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30" t="str">
        <f aca="false">IF($B87="","",IFERROR(IF(INDEX(offices!$H$2:$H$61,MATCH($B87,offices!$A$2:$A$61,0))="","",INDEX(offices!$H$2:$H$61,MATCH($B87,offices!$A$2:$A$61,0))),""))</f>
        <v/>
      </c>
      <c r="AF87" s="30" t="str">
        <f aca="false">IF($A87="","",IF(AND($L87="declined",N($Z87)&gt;0,COUNTIFS(approvals!$H$2:$H$251,$A87,approvals!$B$2:$B$251,$B87,approvals!$P$2:$P$251,"Y",approvals!$U$2:$U$251,"&gt;0")=0),"Y",""))</f>
        <v/>
      </c>
    </row>
    <row r="88" customFormat="false" ht="15" hidden="false" customHeight="false" outlineLevel="0" collapsed="false">
      <c r="D88" s="38"/>
      <c r="E88" s="11"/>
      <c r="F88" s="11"/>
      <c r="G88" s="11"/>
      <c r="I88" s="38"/>
      <c r="J88" s="38"/>
      <c r="K88" s="10"/>
      <c r="L88" s="10"/>
      <c r="N88" s="11"/>
      <c r="O88" s="10"/>
      <c r="P88" s="31" t="str">
        <f aca="false">IF($A88="","",IF(IFERROR(IF(INDEX(drops!$I$2:$I$21,MATCH($A88,drops!$A$2:$A$21,0))="","",INDEX(drops!$I$2:$I$21,MATCH($A88,drops!$A$2:$A$21,0))),"")="OK",IFERROR(IF(INDEX(drops!$B$2:$B$21,MATCH($A88,drops!$A$2:$A$21,0))="","",INDEX(drops!$B$2:$B$21,MATCH($A88,drops!$A$2:$A$21,0))),""),""))</f>
        <v/>
      </c>
      <c r="Q88" s="30" t="str">
        <f aca="false">IF($B88="","",IFERROR(IF(INDEX(offices!$O$2:$O$61,MATCH($B88,offices!$A$2:$A$61,0))="","",INDEX(offices!$O$2:$O$61,MATCH($B88,offices!$A$2:$A$61,0))),""))</f>
        <v/>
      </c>
      <c r="R88" s="30" t="str">
        <f aca="false">IF($B88="","",IFERROR(IF(INDEX(offices!$P$2:$P$61,MATCH($B88,offices!$A$2:$A$61,0))="","",INDEX(offices!$P$2:$P$61,MATCH($B88,offices!$A$2:$A$61,0))),""))</f>
        <v/>
      </c>
      <c r="S88" s="30" t="str">
        <f aca="false">IF($B88="","",IFERROR(IF(INDEX(offices!$Q$2:$Q$61,MATCH($B88,offices!$A$2:$A$61,0))="","",INDEX(offices!$Q$2:$Q$61,MATCH($B88,offices!$A$2:$A$61,0))),""))</f>
        <v/>
      </c>
      <c r="T88" s="30" t="str">
        <f aca="false">IF($B88="","",IFERROR(IF(INDEX(offices!$Z$2:$Z$61,MATCH($B88,offices!$A$2:$A$61,0))="","",INDEX(offices!$Z$2:$Z$61,MATCH($B88,offices!$A$2:$A$61,0))),""))</f>
        <v/>
      </c>
      <c r="U88" s="30" t="str">
        <f aca="false">IF($B88="","",IFERROR(IF(INDEX(offices!$Y$2:$Y$61,MATCH($B88,offices!$A$2:$A$61,0))="","",INDEX(offices!$Y$2:$Y$61,MATCH($B88,offices!$A$2:$A$61,0))),""))</f>
        <v/>
      </c>
      <c r="V88" s="30" t="str">
        <f aca="false">IF($B88="","",IFERROR(IF(INDEX(offices!$V$2:$V$61,MATCH($B88,offices!$A$2:$A$61,0))="","",INDEX(offices!$V$2:$V$61,MATCH($B88,offices!$A$2:$A$61,0))),""))</f>
        <v/>
      </c>
      <c r="W88" s="30" t="str">
        <f aca="false">IF($B88="","",IFERROR(IF(INDEX(offices!$AJ$2:$AJ$61,MATCH($B88,offices!$A$2:$A$61,0))="","",INDEX(offices!$AJ$2:$AJ$61,MATCH($B88,offices!$A$2:$A$61,0))),""))</f>
        <v/>
      </c>
      <c r="X88" s="30" t="str">
        <f aca="false">IF($B88="","",IFERROR(IF(INDEX(offices!$G$2:$G$61,MATCH($B88,offices!$A$2:$A$61,0))="","",INDEX(offices!$G$2:$G$61,MATCH($B88,offices!$A$2:$A$61,0))),""))</f>
        <v/>
      </c>
      <c r="Y88" s="30" t="str">
        <f aca="false">IF($B88="","",IFERROR(IF(INDEX(offices!$I$2:$I$61,MATCH($B88,offices!$A$2:$A$61,0))="","",INDEX(offices!$I$2:$I$61,MATCH($B88,offices!$A$2:$A$61,0))),""))</f>
        <v/>
      </c>
      <c r="Z88" s="30" t="str">
        <f aca="false">IF($A88="","",COUNTIFS(approvals!$H$2:$H$251,$A88,approvals!$B$2:$B$251,$B88,approvals!$P$2:$P$251,"Y"))</f>
        <v/>
      </c>
      <c r="AA88" s="30" t="str">
        <f aca="false">IF($A88="","",SUMIFS(approvals!$S$2:$S$251,approvals!$H$2:$H$251,$A88,approvals!$B$2:$B$251,$B88,approvals!$P$2:$P$251,"Y"))</f>
        <v/>
      </c>
      <c r="AB88" s="30" t="str">
        <f aca="false">IF(OR($A88="",$P88=""),"",IF(COUNTIFS(stops!$B$2:$B$151,$B88,stops!$P$2:$P$151,"&lt;"&amp;$P88,stops!$L$2:$L$151,"&lt;&gt;not_delivered")=0,"Y","N"))</f>
        <v/>
      </c>
      <c r="AC88" s="30" t="str">
        <f aca="false">IF(OR($I88="",$J88=""),"",ROUND(($J88-$I88)*1440,0))</f>
        <v/>
      </c>
      <c r="AD88" s="30" t="str">
        <f aca="true">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30" t="str">
        <f aca="false">IF($B88="","",IFERROR(IF(INDEX(offices!$H$2:$H$61,MATCH($B88,offices!$A$2:$A$61,0))="","",INDEX(offices!$H$2:$H$61,MATCH($B88,offices!$A$2:$A$61,0))),""))</f>
        <v/>
      </c>
      <c r="AF88" s="30" t="str">
        <f aca="false">IF($A88="","",IF(AND($L88="declined",N($Z88)&gt;0,COUNTIFS(approvals!$H$2:$H$251,$A88,approvals!$B$2:$B$251,$B88,approvals!$P$2:$P$251,"Y",approvals!$U$2:$U$251,"&gt;0")=0),"Y",""))</f>
        <v/>
      </c>
    </row>
    <row r="89" customFormat="false" ht="15" hidden="false" customHeight="false" outlineLevel="0" collapsed="false">
      <c r="D89" s="38"/>
      <c r="E89" s="11"/>
      <c r="F89" s="11"/>
      <c r="G89" s="11"/>
      <c r="I89" s="38"/>
      <c r="J89" s="38"/>
      <c r="K89" s="10"/>
      <c r="L89" s="10"/>
      <c r="N89" s="11"/>
      <c r="O89" s="10"/>
      <c r="P89" s="31" t="str">
        <f aca="false">IF($A89="","",IF(IFERROR(IF(INDEX(drops!$I$2:$I$21,MATCH($A89,drops!$A$2:$A$21,0))="","",INDEX(drops!$I$2:$I$21,MATCH($A89,drops!$A$2:$A$21,0))),"")="OK",IFERROR(IF(INDEX(drops!$B$2:$B$21,MATCH($A89,drops!$A$2:$A$21,0))="","",INDEX(drops!$B$2:$B$21,MATCH($A89,drops!$A$2:$A$21,0))),""),""))</f>
        <v/>
      </c>
      <c r="Q89" s="30" t="str">
        <f aca="false">IF($B89="","",IFERROR(IF(INDEX(offices!$O$2:$O$61,MATCH($B89,offices!$A$2:$A$61,0))="","",INDEX(offices!$O$2:$O$61,MATCH($B89,offices!$A$2:$A$61,0))),""))</f>
        <v/>
      </c>
      <c r="R89" s="30" t="str">
        <f aca="false">IF($B89="","",IFERROR(IF(INDEX(offices!$P$2:$P$61,MATCH($B89,offices!$A$2:$A$61,0))="","",INDEX(offices!$P$2:$P$61,MATCH($B89,offices!$A$2:$A$61,0))),""))</f>
        <v/>
      </c>
      <c r="S89" s="30" t="str">
        <f aca="false">IF($B89="","",IFERROR(IF(INDEX(offices!$Q$2:$Q$61,MATCH($B89,offices!$A$2:$A$61,0))="","",INDEX(offices!$Q$2:$Q$61,MATCH($B89,offices!$A$2:$A$61,0))),""))</f>
        <v/>
      </c>
      <c r="T89" s="30" t="str">
        <f aca="false">IF($B89="","",IFERROR(IF(INDEX(offices!$Z$2:$Z$61,MATCH($B89,offices!$A$2:$A$61,0))="","",INDEX(offices!$Z$2:$Z$61,MATCH($B89,offices!$A$2:$A$61,0))),""))</f>
        <v/>
      </c>
      <c r="U89" s="30" t="str">
        <f aca="false">IF($B89="","",IFERROR(IF(INDEX(offices!$Y$2:$Y$61,MATCH($B89,offices!$A$2:$A$61,0))="","",INDEX(offices!$Y$2:$Y$61,MATCH($B89,offices!$A$2:$A$61,0))),""))</f>
        <v/>
      </c>
      <c r="V89" s="30" t="str">
        <f aca="false">IF($B89="","",IFERROR(IF(INDEX(offices!$V$2:$V$61,MATCH($B89,offices!$A$2:$A$61,0))="","",INDEX(offices!$V$2:$V$61,MATCH($B89,offices!$A$2:$A$61,0))),""))</f>
        <v/>
      </c>
      <c r="W89" s="30" t="str">
        <f aca="false">IF($B89="","",IFERROR(IF(INDEX(offices!$AJ$2:$AJ$61,MATCH($B89,offices!$A$2:$A$61,0))="","",INDEX(offices!$AJ$2:$AJ$61,MATCH($B89,offices!$A$2:$A$61,0))),""))</f>
        <v/>
      </c>
      <c r="X89" s="30" t="str">
        <f aca="false">IF($B89="","",IFERROR(IF(INDEX(offices!$G$2:$G$61,MATCH($B89,offices!$A$2:$A$61,0))="","",INDEX(offices!$G$2:$G$61,MATCH($B89,offices!$A$2:$A$61,0))),""))</f>
        <v/>
      </c>
      <c r="Y89" s="30" t="str">
        <f aca="false">IF($B89="","",IFERROR(IF(INDEX(offices!$I$2:$I$61,MATCH($B89,offices!$A$2:$A$61,0))="","",INDEX(offices!$I$2:$I$61,MATCH($B89,offices!$A$2:$A$61,0))),""))</f>
        <v/>
      </c>
      <c r="Z89" s="30" t="str">
        <f aca="false">IF($A89="","",COUNTIFS(approvals!$H$2:$H$251,$A89,approvals!$B$2:$B$251,$B89,approvals!$P$2:$P$251,"Y"))</f>
        <v/>
      </c>
      <c r="AA89" s="30" t="str">
        <f aca="false">IF($A89="","",SUMIFS(approvals!$S$2:$S$251,approvals!$H$2:$H$251,$A89,approvals!$B$2:$B$251,$B89,approvals!$P$2:$P$251,"Y"))</f>
        <v/>
      </c>
      <c r="AB89" s="30" t="str">
        <f aca="false">IF(OR($A89="",$P89=""),"",IF(COUNTIFS(stops!$B$2:$B$151,$B89,stops!$P$2:$P$151,"&lt;"&amp;$P89,stops!$L$2:$L$151,"&lt;&gt;not_delivered")=0,"Y","N"))</f>
        <v/>
      </c>
      <c r="AC89" s="30" t="str">
        <f aca="false">IF(OR($I89="",$J89=""),"",ROUND(($J89-$I89)*1440,0))</f>
        <v/>
      </c>
      <c r="AD89" s="30" t="str">
        <f aca="true">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30" t="str">
        <f aca="false">IF($B89="","",IFERROR(IF(INDEX(offices!$H$2:$H$61,MATCH($B89,offices!$A$2:$A$61,0))="","",INDEX(offices!$H$2:$H$61,MATCH($B89,offices!$A$2:$A$61,0))),""))</f>
        <v/>
      </c>
      <c r="AF89" s="30" t="str">
        <f aca="false">IF($A89="","",IF(AND($L89="declined",N($Z89)&gt;0,COUNTIFS(approvals!$H$2:$H$251,$A89,approvals!$B$2:$B$251,$B89,approvals!$P$2:$P$251,"Y",approvals!$U$2:$U$251,"&gt;0")=0),"Y",""))</f>
        <v/>
      </c>
    </row>
    <row r="90" customFormat="false" ht="15" hidden="false" customHeight="false" outlineLevel="0" collapsed="false">
      <c r="D90" s="38"/>
      <c r="E90" s="11"/>
      <c r="F90" s="11"/>
      <c r="G90" s="11"/>
      <c r="I90" s="38"/>
      <c r="J90" s="38"/>
      <c r="K90" s="10"/>
      <c r="L90" s="10"/>
      <c r="N90" s="11"/>
      <c r="O90" s="10"/>
      <c r="P90" s="31" t="str">
        <f aca="false">IF($A90="","",IF(IFERROR(IF(INDEX(drops!$I$2:$I$21,MATCH($A90,drops!$A$2:$A$21,0))="","",INDEX(drops!$I$2:$I$21,MATCH($A90,drops!$A$2:$A$21,0))),"")="OK",IFERROR(IF(INDEX(drops!$B$2:$B$21,MATCH($A90,drops!$A$2:$A$21,0))="","",INDEX(drops!$B$2:$B$21,MATCH($A90,drops!$A$2:$A$21,0))),""),""))</f>
        <v/>
      </c>
      <c r="Q90" s="30" t="str">
        <f aca="false">IF($B90="","",IFERROR(IF(INDEX(offices!$O$2:$O$61,MATCH($B90,offices!$A$2:$A$61,0))="","",INDEX(offices!$O$2:$O$61,MATCH($B90,offices!$A$2:$A$61,0))),""))</f>
        <v/>
      </c>
      <c r="R90" s="30" t="str">
        <f aca="false">IF($B90="","",IFERROR(IF(INDEX(offices!$P$2:$P$61,MATCH($B90,offices!$A$2:$A$61,0))="","",INDEX(offices!$P$2:$P$61,MATCH($B90,offices!$A$2:$A$61,0))),""))</f>
        <v/>
      </c>
      <c r="S90" s="30" t="str">
        <f aca="false">IF($B90="","",IFERROR(IF(INDEX(offices!$Q$2:$Q$61,MATCH($B90,offices!$A$2:$A$61,0))="","",INDEX(offices!$Q$2:$Q$61,MATCH($B90,offices!$A$2:$A$61,0))),""))</f>
        <v/>
      </c>
      <c r="T90" s="30" t="str">
        <f aca="false">IF($B90="","",IFERROR(IF(INDEX(offices!$Z$2:$Z$61,MATCH($B90,offices!$A$2:$A$61,0))="","",INDEX(offices!$Z$2:$Z$61,MATCH($B90,offices!$A$2:$A$61,0))),""))</f>
        <v/>
      </c>
      <c r="U90" s="30" t="str">
        <f aca="false">IF($B90="","",IFERROR(IF(INDEX(offices!$Y$2:$Y$61,MATCH($B90,offices!$A$2:$A$61,0))="","",INDEX(offices!$Y$2:$Y$61,MATCH($B90,offices!$A$2:$A$61,0))),""))</f>
        <v/>
      </c>
      <c r="V90" s="30" t="str">
        <f aca="false">IF($B90="","",IFERROR(IF(INDEX(offices!$V$2:$V$61,MATCH($B90,offices!$A$2:$A$61,0))="","",INDEX(offices!$V$2:$V$61,MATCH($B90,offices!$A$2:$A$61,0))),""))</f>
        <v/>
      </c>
      <c r="W90" s="30" t="str">
        <f aca="false">IF($B90="","",IFERROR(IF(INDEX(offices!$AJ$2:$AJ$61,MATCH($B90,offices!$A$2:$A$61,0))="","",INDEX(offices!$AJ$2:$AJ$61,MATCH($B90,offices!$A$2:$A$61,0))),""))</f>
        <v/>
      </c>
      <c r="X90" s="30" t="str">
        <f aca="false">IF($B90="","",IFERROR(IF(INDEX(offices!$G$2:$G$61,MATCH($B90,offices!$A$2:$A$61,0))="","",INDEX(offices!$G$2:$G$61,MATCH($B90,offices!$A$2:$A$61,0))),""))</f>
        <v/>
      </c>
      <c r="Y90" s="30" t="str">
        <f aca="false">IF($B90="","",IFERROR(IF(INDEX(offices!$I$2:$I$61,MATCH($B90,offices!$A$2:$A$61,0))="","",INDEX(offices!$I$2:$I$61,MATCH($B90,offices!$A$2:$A$61,0))),""))</f>
        <v/>
      </c>
      <c r="Z90" s="30" t="str">
        <f aca="false">IF($A90="","",COUNTIFS(approvals!$H$2:$H$251,$A90,approvals!$B$2:$B$251,$B90,approvals!$P$2:$P$251,"Y"))</f>
        <v/>
      </c>
      <c r="AA90" s="30" t="str">
        <f aca="false">IF($A90="","",SUMIFS(approvals!$S$2:$S$251,approvals!$H$2:$H$251,$A90,approvals!$B$2:$B$251,$B90,approvals!$P$2:$P$251,"Y"))</f>
        <v/>
      </c>
      <c r="AB90" s="30" t="str">
        <f aca="false">IF(OR($A90="",$P90=""),"",IF(COUNTIFS(stops!$B$2:$B$151,$B90,stops!$P$2:$P$151,"&lt;"&amp;$P90,stops!$L$2:$L$151,"&lt;&gt;not_delivered")=0,"Y","N"))</f>
        <v/>
      </c>
      <c r="AC90" s="30" t="str">
        <f aca="false">IF(OR($I90="",$J90=""),"",ROUND(($J90-$I90)*1440,0))</f>
        <v/>
      </c>
      <c r="AD90" s="30" t="str">
        <f aca="true">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30" t="str">
        <f aca="false">IF($B90="","",IFERROR(IF(INDEX(offices!$H$2:$H$61,MATCH($B90,offices!$A$2:$A$61,0))="","",INDEX(offices!$H$2:$H$61,MATCH($B90,offices!$A$2:$A$61,0))),""))</f>
        <v/>
      </c>
      <c r="AF90" s="30" t="str">
        <f aca="false">IF($A90="","",IF(AND($L90="declined",N($Z90)&gt;0,COUNTIFS(approvals!$H$2:$H$251,$A90,approvals!$B$2:$B$251,$B90,approvals!$P$2:$P$251,"Y",approvals!$U$2:$U$251,"&gt;0")=0),"Y",""))</f>
        <v/>
      </c>
    </row>
    <row r="91" customFormat="false" ht="15" hidden="false" customHeight="false" outlineLevel="0" collapsed="false">
      <c r="D91" s="38"/>
      <c r="E91" s="11"/>
      <c r="F91" s="11"/>
      <c r="G91" s="11"/>
      <c r="I91" s="38"/>
      <c r="J91" s="38"/>
      <c r="K91" s="10"/>
      <c r="L91" s="10"/>
      <c r="N91" s="11"/>
      <c r="O91" s="10"/>
      <c r="P91" s="31" t="str">
        <f aca="false">IF($A91="","",IF(IFERROR(IF(INDEX(drops!$I$2:$I$21,MATCH($A91,drops!$A$2:$A$21,0))="","",INDEX(drops!$I$2:$I$21,MATCH($A91,drops!$A$2:$A$21,0))),"")="OK",IFERROR(IF(INDEX(drops!$B$2:$B$21,MATCH($A91,drops!$A$2:$A$21,0))="","",INDEX(drops!$B$2:$B$21,MATCH($A91,drops!$A$2:$A$21,0))),""),""))</f>
        <v/>
      </c>
      <c r="Q91" s="30" t="str">
        <f aca="false">IF($B91="","",IFERROR(IF(INDEX(offices!$O$2:$O$61,MATCH($B91,offices!$A$2:$A$61,0))="","",INDEX(offices!$O$2:$O$61,MATCH($B91,offices!$A$2:$A$61,0))),""))</f>
        <v/>
      </c>
      <c r="R91" s="30" t="str">
        <f aca="false">IF($B91="","",IFERROR(IF(INDEX(offices!$P$2:$P$61,MATCH($B91,offices!$A$2:$A$61,0))="","",INDEX(offices!$P$2:$P$61,MATCH($B91,offices!$A$2:$A$61,0))),""))</f>
        <v/>
      </c>
      <c r="S91" s="30" t="str">
        <f aca="false">IF($B91="","",IFERROR(IF(INDEX(offices!$Q$2:$Q$61,MATCH($B91,offices!$A$2:$A$61,0))="","",INDEX(offices!$Q$2:$Q$61,MATCH($B91,offices!$A$2:$A$61,0))),""))</f>
        <v/>
      </c>
      <c r="T91" s="30" t="str">
        <f aca="false">IF($B91="","",IFERROR(IF(INDEX(offices!$Z$2:$Z$61,MATCH($B91,offices!$A$2:$A$61,0))="","",INDEX(offices!$Z$2:$Z$61,MATCH($B91,offices!$A$2:$A$61,0))),""))</f>
        <v/>
      </c>
      <c r="U91" s="30" t="str">
        <f aca="false">IF($B91="","",IFERROR(IF(INDEX(offices!$Y$2:$Y$61,MATCH($B91,offices!$A$2:$A$61,0))="","",INDEX(offices!$Y$2:$Y$61,MATCH($B91,offices!$A$2:$A$61,0))),""))</f>
        <v/>
      </c>
      <c r="V91" s="30" t="str">
        <f aca="false">IF($B91="","",IFERROR(IF(INDEX(offices!$V$2:$V$61,MATCH($B91,offices!$A$2:$A$61,0))="","",INDEX(offices!$V$2:$V$61,MATCH($B91,offices!$A$2:$A$61,0))),""))</f>
        <v/>
      </c>
      <c r="W91" s="30" t="str">
        <f aca="false">IF($B91="","",IFERROR(IF(INDEX(offices!$AJ$2:$AJ$61,MATCH($B91,offices!$A$2:$A$61,0))="","",INDEX(offices!$AJ$2:$AJ$61,MATCH($B91,offices!$A$2:$A$61,0))),""))</f>
        <v/>
      </c>
      <c r="X91" s="30" t="str">
        <f aca="false">IF($B91="","",IFERROR(IF(INDEX(offices!$G$2:$G$61,MATCH($B91,offices!$A$2:$A$61,0))="","",INDEX(offices!$G$2:$G$61,MATCH($B91,offices!$A$2:$A$61,0))),""))</f>
        <v/>
      </c>
      <c r="Y91" s="30" t="str">
        <f aca="false">IF($B91="","",IFERROR(IF(INDEX(offices!$I$2:$I$61,MATCH($B91,offices!$A$2:$A$61,0))="","",INDEX(offices!$I$2:$I$61,MATCH($B91,offices!$A$2:$A$61,0))),""))</f>
        <v/>
      </c>
      <c r="Z91" s="30" t="str">
        <f aca="false">IF($A91="","",COUNTIFS(approvals!$H$2:$H$251,$A91,approvals!$B$2:$B$251,$B91,approvals!$P$2:$P$251,"Y"))</f>
        <v/>
      </c>
      <c r="AA91" s="30" t="str">
        <f aca="false">IF($A91="","",SUMIFS(approvals!$S$2:$S$251,approvals!$H$2:$H$251,$A91,approvals!$B$2:$B$251,$B91,approvals!$P$2:$P$251,"Y"))</f>
        <v/>
      </c>
      <c r="AB91" s="30" t="str">
        <f aca="false">IF(OR($A91="",$P91=""),"",IF(COUNTIFS(stops!$B$2:$B$151,$B91,stops!$P$2:$P$151,"&lt;"&amp;$P91,stops!$L$2:$L$151,"&lt;&gt;not_delivered")=0,"Y","N"))</f>
        <v/>
      </c>
      <c r="AC91" s="30" t="str">
        <f aca="false">IF(OR($I91="",$J91=""),"",ROUND(($J91-$I91)*1440,0))</f>
        <v/>
      </c>
      <c r="AD91" s="30" t="str">
        <f aca="true">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30" t="str">
        <f aca="false">IF($B91="","",IFERROR(IF(INDEX(offices!$H$2:$H$61,MATCH($B91,offices!$A$2:$A$61,0))="","",INDEX(offices!$H$2:$H$61,MATCH($B91,offices!$A$2:$A$61,0))),""))</f>
        <v/>
      </c>
      <c r="AF91" s="30" t="str">
        <f aca="false">IF($A91="","",IF(AND($L91="declined",N($Z91)&gt;0,COUNTIFS(approvals!$H$2:$H$251,$A91,approvals!$B$2:$B$251,$B91,approvals!$P$2:$P$251,"Y",approvals!$U$2:$U$251,"&gt;0")=0),"Y",""))</f>
        <v/>
      </c>
    </row>
    <row r="92" customFormat="false" ht="15" hidden="false" customHeight="false" outlineLevel="0" collapsed="false">
      <c r="D92" s="38"/>
      <c r="E92" s="11"/>
      <c r="F92" s="11"/>
      <c r="G92" s="11"/>
      <c r="I92" s="38"/>
      <c r="J92" s="38"/>
      <c r="K92" s="10"/>
      <c r="L92" s="10"/>
      <c r="N92" s="11"/>
      <c r="O92" s="10"/>
      <c r="P92" s="31" t="str">
        <f aca="false">IF($A92="","",IF(IFERROR(IF(INDEX(drops!$I$2:$I$21,MATCH($A92,drops!$A$2:$A$21,0))="","",INDEX(drops!$I$2:$I$21,MATCH($A92,drops!$A$2:$A$21,0))),"")="OK",IFERROR(IF(INDEX(drops!$B$2:$B$21,MATCH($A92,drops!$A$2:$A$21,0))="","",INDEX(drops!$B$2:$B$21,MATCH($A92,drops!$A$2:$A$21,0))),""),""))</f>
        <v/>
      </c>
      <c r="Q92" s="30" t="str">
        <f aca="false">IF($B92="","",IFERROR(IF(INDEX(offices!$O$2:$O$61,MATCH($B92,offices!$A$2:$A$61,0))="","",INDEX(offices!$O$2:$O$61,MATCH($B92,offices!$A$2:$A$61,0))),""))</f>
        <v/>
      </c>
      <c r="R92" s="30" t="str">
        <f aca="false">IF($B92="","",IFERROR(IF(INDEX(offices!$P$2:$P$61,MATCH($B92,offices!$A$2:$A$61,0))="","",INDEX(offices!$P$2:$P$61,MATCH($B92,offices!$A$2:$A$61,0))),""))</f>
        <v/>
      </c>
      <c r="S92" s="30" t="str">
        <f aca="false">IF($B92="","",IFERROR(IF(INDEX(offices!$Q$2:$Q$61,MATCH($B92,offices!$A$2:$A$61,0))="","",INDEX(offices!$Q$2:$Q$61,MATCH($B92,offices!$A$2:$A$61,0))),""))</f>
        <v/>
      </c>
      <c r="T92" s="30" t="str">
        <f aca="false">IF($B92="","",IFERROR(IF(INDEX(offices!$Z$2:$Z$61,MATCH($B92,offices!$A$2:$A$61,0))="","",INDEX(offices!$Z$2:$Z$61,MATCH($B92,offices!$A$2:$A$61,0))),""))</f>
        <v/>
      </c>
      <c r="U92" s="30" t="str">
        <f aca="false">IF($B92="","",IFERROR(IF(INDEX(offices!$Y$2:$Y$61,MATCH($B92,offices!$A$2:$A$61,0))="","",INDEX(offices!$Y$2:$Y$61,MATCH($B92,offices!$A$2:$A$61,0))),""))</f>
        <v/>
      </c>
      <c r="V92" s="30" t="str">
        <f aca="false">IF($B92="","",IFERROR(IF(INDEX(offices!$V$2:$V$61,MATCH($B92,offices!$A$2:$A$61,0))="","",INDEX(offices!$V$2:$V$61,MATCH($B92,offices!$A$2:$A$61,0))),""))</f>
        <v/>
      </c>
      <c r="W92" s="30" t="str">
        <f aca="false">IF($B92="","",IFERROR(IF(INDEX(offices!$AJ$2:$AJ$61,MATCH($B92,offices!$A$2:$A$61,0))="","",INDEX(offices!$AJ$2:$AJ$61,MATCH($B92,offices!$A$2:$A$61,0))),""))</f>
        <v/>
      </c>
      <c r="X92" s="30" t="str">
        <f aca="false">IF($B92="","",IFERROR(IF(INDEX(offices!$G$2:$G$61,MATCH($B92,offices!$A$2:$A$61,0))="","",INDEX(offices!$G$2:$G$61,MATCH($B92,offices!$A$2:$A$61,0))),""))</f>
        <v/>
      </c>
      <c r="Y92" s="30" t="str">
        <f aca="false">IF($B92="","",IFERROR(IF(INDEX(offices!$I$2:$I$61,MATCH($B92,offices!$A$2:$A$61,0))="","",INDEX(offices!$I$2:$I$61,MATCH($B92,offices!$A$2:$A$61,0))),""))</f>
        <v/>
      </c>
      <c r="Z92" s="30" t="str">
        <f aca="false">IF($A92="","",COUNTIFS(approvals!$H$2:$H$251,$A92,approvals!$B$2:$B$251,$B92,approvals!$P$2:$P$251,"Y"))</f>
        <v/>
      </c>
      <c r="AA92" s="30" t="str">
        <f aca="false">IF($A92="","",SUMIFS(approvals!$S$2:$S$251,approvals!$H$2:$H$251,$A92,approvals!$B$2:$B$251,$B92,approvals!$P$2:$P$251,"Y"))</f>
        <v/>
      </c>
      <c r="AB92" s="30" t="str">
        <f aca="false">IF(OR($A92="",$P92=""),"",IF(COUNTIFS(stops!$B$2:$B$151,$B92,stops!$P$2:$P$151,"&lt;"&amp;$P92,stops!$L$2:$L$151,"&lt;&gt;not_delivered")=0,"Y","N"))</f>
        <v/>
      </c>
      <c r="AC92" s="30" t="str">
        <f aca="false">IF(OR($I92="",$J92=""),"",ROUND(($J92-$I92)*1440,0))</f>
        <v/>
      </c>
      <c r="AD92" s="30" t="str">
        <f aca="true">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30" t="str">
        <f aca="false">IF($B92="","",IFERROR(IF(INDEX(offices!$H$2:$H$61,MATCH($B92,offices!$A$2:$A$61,0))="","",INDEX(offices!$H$2:$H$61,MATCH($B92,offices!$A$2:$A$61,0))),""))</f>
        <v/>
      </c>
      <c r="AF92" s="30" t="str">
        <f aca="false">IF($A92="","",IF(AND($L92="declined",N($Z92)&gt;0,COUNTIFS(approvals!$H$2:$H$251,$A92,approvals!$B$2:$B$251,$B92,approvals!$P$2:$P$251,"Y",approvals!$U$2:$U$251,"&gt;0")=0),"Y",""))</f>
        <v/>
      </c>
    </row>
    <row r="93" customFormat="false" ht="15" hidden="false" customHeight="false" outlineLevel="0" collapsed="false">
      <c r="D93" s="38"/>
      <c r="E93" s="11"/>
      <c r="F93" s="11"/>
      <c r="G93" s="11"/>
      <c r="I93" s="38"/>
      <c r="J93" s="38"/>
      <c r="K93" s="10"/>
      <c r="L93" s="10"/>
      <c r="N93" s="11"/>
      <c r="O93" s="10"/>
      <c r="P93" s="31" t="str">
        <f aca="false">IF($A93="","",IF(IFERROR(IF(INDEX(drops!$I$2:$I$21,MATCH($A93,drops!$A$2:$A$21,0))="","",INDEX(drops!$I$2:$I$21,MATCH($A93,drops!$A$2:$A$21,0))),"")="OK",IFERROR(IF(INDEX(drops!$B$2:$B$21,MATCH($A93,drops!$A$2:$A$21,0))="","",INDEX(drops!$B$2:$B$21,MATCH($A93,drops!$A$2:$A$21,0))),""),""))</f>
        <v/>
      </c>
      <c r="Q93" s="30" t="str">
        <f aca="false">IF($B93="","",IFERROR(IF(INDEX(offices!$O$2:$O$61,MATCH($B93,offices!$A$2:$A$61,0))="","",INDEX(offices!$O$2:$O$61,MATCH($B93,offices!$A$2:$A$61,0))),""))</f>
        <v/>
      </c>
      <c r="R93" s="30" t="str">
        <f aca="false">IF($B93="","",IFERROR(IF(INDEX(offices!$P$2:$P$61,MATCH($B93,offices!$A$2:$A$61,0))="","",INDEX(offices!$P$2:$P$61,MATCH($B93,offices!$A$2:$A$61,0))),""))</f>
        <v/>
      </c>
      <c r="S93" s="30" t="str">
        <f aca="false">IF($B93="","",IFERROR(IF(INDEX(offices!$Q$2:$Q$61,MATCH($B93,offices!$A$2:$A$61,0))="","",INDEX(offices!$Q$2:$Q$61,MATCH($B93,offices!$A$2:$A$61,0))),""))</f>
        <v/>
      </c>
      <c r="T93" s="30" t="str">
        <f aca="false">IF($B93="","",IFERROR(IF(INDEX(offices!$Z$2:$Z$61,MATCH($B93,offices!$A$2:$A$61,0))="","",INDEX(offices!$Z$2:$Z$61,MATCH($B93,offices!$A$2:$A$61,0))),""))</f>
        <v/>
      </c>
      <c r="U93" s="30" t="str">
        <f aca="false">IF($B93="","",IFERROR(IF(INDEX(offices!$Y$2:$Y$61,MATCH($B93,offices!$A$2:$A$61,0))="","",INDEX(offices!$Y$2:$Y$61,MATCH($B93,offices!$A$2:$A$61,0))),""))</f>
        <v/>
      </c>
      <c r="V93" s="30" t="str">
        <f aca="false">IF($B93="","",IFERROR(IF(INDEX(offices!$V$2:$V$61,MATCH($B93,offices!$A$2:$A$61,0))="","",INDEX(offices!$V$2:$V$61,MATCH($B93,offices!$A$2:$A$61,0))),""))</f>
        <v/>
      </c>
      <c r="W93" s="30" t="str">
        <f aca="false">IF($B93="","",IFERROR(IF(INDEX(offices!$AJ$2:$AJ$61,MATCH($B93,offices!$A$2:$A$61,0))="","",INDEX(offices!$AJ$2:$AJ$61,MATCH($B93,offices!$A$2:$A$61,0))),""))</f>
        <v/>
      </c>
      <c r="X93" s="30" t="str">
        <f aca="false">IF($B93="","",IFERROR(IF(INDEX(offices!$G$2:$G$61,MATCH($B93,offices!$A$2:$A$61,0))="","",INDEX(offices!$G$2:$G$61,MATCH($B93,offices!$A$2:$A$61,0))),""))</f>
        <v/>
      </c>
      <c r="Y93" s="30" t="str">
        <f aca="false">IF($B93="","",IFERROR(IF(INDEX(offices!$I$2:$I$61,MATCH($B93,offices!$A$2:$A$61,0))="","",INDEX(offices!$I$2:$I$61,MATCH($B93,offices!$A$2:$A$61,0))),""))</f>
        <v/>
      </c>
      <c r="Z93" s="30" t="str">
        <f aca="false">IF($A93="","",COUNTIFS(approvals!$H$2:$H$251,$A93,approvals!$B$2:$B$251,$B93,approvals!$P$2:$P$251,"Y"))</f>
        <v/>
      </c>
      <c r="AA93" s="30" t="str">
        <f aca="false">IF($A93="","",SUMIFS(approvals!$S$2:$S$251,approvals!$H$2:$H$251,$A93,approvals!$B$2:$B$251,$B93,approvals!$P$2:$P$251,"Y"))</f>
        <v/>
      </c>
      <c r="AB93" s="30" t="str">
        <f aca="false">IF(OR($A93="",$P93=""),"",IF(COUNTIFS(stops!$B$2:$B$151,$B93,stops!$P$2:$P$151,"&lt;"&amp;$P93,stops!$L$2:$L$151,"&lt;&gt;not_delivered")=0,"Y","N"))</f>
        <v/>
      </c>
      <c r="AC93" s="30" t="str">
        <f aca="false">IF(OR($I93="",$J93=""),"",ROUND(($J93-$I93)*1440,0))</f>
        <v/>
      </c>
      <c r="AD93" s="30" t="str">
        <f aca="true">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30" t="str">
        <f aca="false">IF($B93="","",IFERROR(IF(INDEX(offices!$H$2:$H$61,MATCH($B93,offices!$A$2:$A$61,0))="","",INDEX(offices!$H$2:$H$61,MATCH($B93,offices!$A$2:$A$61,0))),""))</f>
        <v/>
      </c>
      <c r="AF93" s="30" t="str">
        <f aca="false">IF($A93="","",IF(AND($L93="declined",N($Z93)&gt;0,COUNTIFS(approvals!$H$2:$H$251,$A93,approvals!$B$2:$B$251,$B93,approvals!$P$2:$P$251,"Y",approvals!$U$2:$U$251,"&gt;0")=0),"Y",""))</f>
        <v/>
      </c>
    </row>
    <row r="94" customFormat="false" ht="15" hidden="false" customHeight="false" outlineLevel="0" collapsed="false">
      <c r="D94" s="38"/>
      <c r="E94" s="11"/>
      <c r="F94" s="11"/>
      <c r="G94" s="11"/>
      <c r="I94" s="38"/>
      <c r="J94" s="38"/>
      <c r="K94" s="10"/>
      <c r="L94" s="10"/>
      <c r="N94" s="11"/>
      <c r="O94" s="10"/>
      <c r="P94" s="31" t="str">
        <f aca="false">IF($A94="","",IF(IFERROR(IF(INDEX(drops!$I$2:$I$21,MATCH($A94,drops!$A$2:$A$21,0))="","",INDEX(drops!$I$2:$I$21,MATCH($A94,drops!$A$2:$A$21,0))),"")="OK",IFERROR(IF(INDEX(drops!$B$2:$B$21,MATCH($A94,drops!$A$2:$A$21,0))="","",INDEX(drops!$B$2:$B$21,MATCH($A94,drops!$A$2:$A$21,0))),""),""))</f>
        <v/>
      </c>
      <c r="Q94" s="30" t="str">
        <f aca="false">IF($B94="","",IFERROR(IF(INDEX(offices!$O$2:$O$61,MATCH($B94,offices!$A$2:$A$61,0))="","",INDEX(offices!$O$2:$O$61,MATCH($B94,offices!$A$2:$A$61,0))),""))</f>
        <v/>
      </c>
      <c r="R94" s="30" t="str">
        <f aca="false">IF($B94="","",IFERROR(IF(INDEX(offices!$P$2:$P$61,MATCH($B94,offices!$A$2:$A$61,0))="","",INDEX(offices!$P$2:$P$61,MATCH($B94,offices!$A$2:$A$61,0))),""))</f>
        <v/>
      </c>
      <c r="S94" s="30" t="str">
        <f aca="false">IF($B94="","",IFERROR(IF(INDEX(offices!$Q$2:$Q$61,MATCH($B94,offices!$A$2:$A$61,0))="","",INDEX(offices!$Q$2:$Q$61,MATCH($B94,offices!$A$2:$A$61,0))),""))</f>
        <v/>
      </c>
      <c r="T94" s="30" t="str">
        <f aca="false">IF($B94="","",IFERROR(IF(INDEX(offices!$Z$2:$Z$61,MATCH($B94,offices!$A$2:$A$61,0))="","",INDEX(offices!$Z$2:$Z$61,MATCH($B94,offices!$A$2:$A$61,0))),""))</f>
        <v/>
      </c>
      <c r="U94" s="30" t="str">
        <f aca="false">IF($B94="","",IFERROR(IF(INDEX(offices!$Y$2:$Y$61,MATCH($B94,offices!$A$2:$A$61,0))="","",INDEX(offices!$Y$2:$Y$61,MATCH($B94,offices!$A$2:$A$61,0))),""))</f>
        <v/>
      </c>
      <c r="V94" s="30" t="str">
        <f aca="false">IF($B94="","",IFERROR(IF(INDEX(offices!$V$2:$V$61,MATCH($B94,offices!$A$2:$A$61,0))="","",INDEX(offices!$V$2:$V$61,MATCH($B94,offices!$A$2:$A$61,0))),""))</f>
        <v/>
      </c>
      <c r="W94" s="30" t="str">
        <f aca="false">IF($B94="","",IFERROR(IF(INDEX(offices!$AJ$2:$AJ$61,MATCH($B94,offices!$A$2:$A$61,0))="","",INDEX(offices!$AJ$2:$AJ$61,MATCH($B94,offices!$A$2:$A$61,0))),""))</f>
        <v/>
      </c>
      <c r="X94" s="30" t="str">
        <f aca="false">IF($B94="","",IFERROR(IF(INDEX(offices!$G$2:$G$61,MATCH($B94,offices!$A$2:$A$61,0))="","",INDEX(offices!$G$2:$G$61,MATCH($B94,offices!$A$2:$A$61,0))),""))</f>
        <v/>
      </c>
      <c r="Y94" s="30" t="str">
        <f aca="false">IF($B94="","",IFERROR(IF(INDEX(offices!$I$2:$I$61,MATCH($B94,offices!$A$2:$A$61,0))="","",INDEX(offices!$I$2:$I$61,MATCH($B94,offices!$A$2:$A$61,0))),""))</f>
        <v/>
      </c>
      <c r="Z94" s="30" t="str">
        <f aca="false">IF($A94="","",COUNTIFS(approvals!$H$2:$H$251,$A94,approvals!$B$2:$B$251,$B94,approvals!$P$2:$P$251,"Y"))</f>
        <v/>
      </c>
      <c r="AA94" s="30" t="str">
        <f aca="false">IF($A94="","",SUMIFS(approvals!$S$2:$S$251,approvals!$H$2:$H$251,$A94,approvals!$B$2:$B$251,$B94,approvals!$P$2:$P$251,"Y"))</f>
        <v/>
      </c>
      <c r="AB94" s="30" t="str">
        <f aca="false">IF(OR($A94="",$P94=""),"",IF(COUNTIFS(stops!$B$2:$B$151,$B94,stops!$P$2:$P$151,"&lt;"&amp;$P94,stops!$L$2:$L$151,"&lt;&gt;not_delivered")=0,"Y","N"))</f>
        <v/>
      </c>
      <c r="AC94" s="30" t="str">
        <f aca="false">IF(OR($I94="",$J94=""),"",ROUND(($J94-$I94)*1440,0))</f>
        <v/>
      </c>
      <c r="AD94" s="30" t="str">
        <f aca="true">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30" t="str">
        <f aca="false">IF($B94="","",IFERROR(IF(INDEX(offices!$H$2:$H$61,MATCH($B94,offices!$A$2:$A$61,0))="","",INDEX(offices!$H$2:$H$61,MATCH($B94,offices!$A$2:$A$61,0))),""))</f>
        <v/>
      </c>
      <c r="AF94" s="30" t="str">
        <f aca="false">IF($A94="","",IF(AND($L94="declined",N($Z94)&gt;0,COUNTIFS(approvals!$H$2:$H$251,$A94,approvals!$B$2:$B$251,$B94,approvals!$P$2:$P$251,"Y",approvals!$U$2:$U$251,"&gt;0")=0),"Y",""))</f>
        <v/>
      </c>
    </row>
    <row r="95" customFormat="false" ht="15" hidden="false" customHeight="false" outlineLevel="0" collapsed="false">
      <c r="D95" s="38"/>
      <c r="E95" s="11"/>
      <c r="F95" s="11"/>
      <c r="G95" s="11"/>
      <c r="I95" s="38"/>
      <c r="J95" s="38"/>
      <c r="K95" s="10"/>
      <c r="L95" s="10"/>
      <c r="N95" s="11"/>
      <c r="O95" s="10"/>
      <c r="P95" s="31" t="str">
        <f aca="false">IF($A95="","",IF(IFERROR(IF(INDEX(drops!$I$2:$I$21,MATCH($A95,drops!$A$2:$A$21,0))="","",INDEX(drops!$I$2:$I$21,MATCH($A95,drops!$A$2:$A$21,0))),"")="OK",IFERROR(IF(INDEX(drops!$B$2:$B$21,MATCH($A95,drops!$A$2:$A$21,0))="","",INDEX(drops!$B$2:$B$21,MATCH($A95,drops!$A$2:$A$21,0))),""),""))</f>
        <v/>
      </c>
      <c r="Q95" s="30" t="str">
        <f aca="false">IF($B95="","",IFERROR(IF(INDEX(offices!$O$2:$O$61,MATCH($B95,offices!$A$2:$A$61,0))="","",INDEX(offices!$O$2:$O$61,MATCH($B95,offices!$A$2:$A$61,0))),""))</f>
        <v/>
      </c>
      <c r="R95" s="30" t="str">
        <f aca="false">IF($B95="","",IFERROR(IF(INDEX(offices!$P$2:$P$61,MATCH($B95,offices!$A$2:$A$61,0))="","",INDEX(offices!$P$2:$P$61,MATCH($B95,offices!$A$2:$A$61,0))),""))</f>
        <v/>
      </c>
      <c r="S95" s="30" t="str">
        <f aca="false">IF($B95="","",IFERROR(IF(INDEX(offices!$Q$2:$Q$61,MATCH($B95,offices!$A$2:$A$61,0))="","",INDEX(offices!$Q$2:$Q$61,MATCH($B95,offices!$A$2:$A$61,0))),""))</f>
        <v/>
      </c>
      <c r="T95" s="30" t="str">
        <f aca="false">IF($B95="","",IFERROR(IF(INDEX(offices!$Z$2:$Z$61,MATCH($B95,offices!$A$2:$A$61,0))="","",INDEX(offices!$Z$2:$Z$61,MATCH($B95,offices!$A$2:$A$61,0))),""))</f>
        <v/>
      </c>
      <c r="U95" s="30" t="str">
        <f aca="false">IF($B95="","",IFERROR(IF(INDEX(offices!$Y$2:$Y$61,MATCH($B95,offices!$A$2:$A$61,0))="","",INDEX(offices!$Y$2:$Y$61,MATCH($B95,offices!$A$2:$A$61,0))),""))</f>
        <v/>
      </c>
      <c r="V95" s="30" t="str">
        <f aca="false">IF($B95="","",IFERROR(IF(INDEX(offices!$V$2:$V$61,MATCH($B95,offices!$A$2:$A$61,0))="","",INDEX(offices!$V$2:$V$61,MATCH($B95,offices!$A$2:$A$61,0))),""))</f>
        <v/>
      </c>
      <c r="W95" s="30" t="str">
        <f aca="false">IF($B95="","",IFERROR(IF(INDEX(offices!$AJ$2:$AJ$61,MATCH($B95,offices!$A$2:$A$61,0))="","",INDEX(offices!$AJ$2:$AJ$61,MATCH($B95,offices!$A$2:$A$61,0))),""))</f>
        <v/>
      </c>
      <c r="X95" s="30" t="str">
        <f aca="false">IF($B95="","",IFERROR(IF(INDEX(offices!$G$2:$G$61,MATCH($B95,offices!$A$2:$A$61,0))="","",INDEX(offices!$G$2:$G$61,MATCH($B95,offices!$A$2:$A$61,0))),""))</f>
        <v/>
      </c>
      <c r="Y95" s="30" t="str">
        <f aca="false">IF($B95="","",IFERROR(IF(INDEX(offices!$I$2:$I$61,MATCH($B95,offices!$A$2:$A$61,0))="","",INDEX(offices!$I$2:$I$61,MATCH($B95,offices!$A$2:$A$61,0))),""))</f>
        <v/>
      </c>
      <c r="Z95" s="30" t="str">
        <f aca="false">IF($A95="","",COUNTIFS(approvals!$H$2:$H$251,$A95,approvals!$B$2:$B$251,$B95,approvals!$P$2:$P$251,"Y"))</f>
        <v/>
      </c>
      <c r="AA95" s="30" t="str">
        <f aca="false">IF($A95="","",SUMIFS(approvals!$S$2:$S$251,approvals!$H$2:$H$251,$A95,approvals!$B$2:$B$251,$B95,approvals!$P$2:$P$251,"Y"))</f>
        <v/>
      </c>
      <c r="AB95" s="30" t="str">
        <f aca="false">IF(OR($A95="",$P95=""),"",IF(COUNTIFS(stops!$B$2:$B$151,$B95,stops!$P$2:$P$151,"&lt;"&amp;$P95,stops!$L$2:$L$151,"&lt;&gt;not_delivered")=0,"Y","N"))</f>
        <v/>
      </c>
      <c r="AC95" s="30" t="str">
        <f aca="false">IF(OR($I95="",$J95=""),"",ROUND(($J95-$I95)*1440,0))</f>
        <v/>
      </c>
      <c r="AD95" s="30" t="str">
        <f aca="true">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30" t="str">
        <f aca="false">IF($B95="","",IFERROR(IF(INDEX(offices!$H$2:$H$61,MATCH($B95,offices!$A$2:$A$61,0))="","",INDEX(offices!$H$2:$H$61,MATCH($B95,offices!$A$2:$A$61,0))),""))</f>
        <v/>
      </c>
      <c r="AF95" s="30" t="str">
        <f aca="false">IF($A95="","",IF(AND($L95="declined",N($Z95)&gt;0,COUNTIFS(approvals!$H$2:$H$251,$A95,approvals!$B$2:$B$251,$B95,approvals!$P$2:$P$251,"Y",approvals!$U$2:$U$251,"&gt;0")=0),"Y",""))</f>
        <v/>
      </c>
    </row>
    <row r="96" customFormat="false" ht="15" hidden="false" customHeight="false" outlineLevel="0" collapsed="false">
      <c r="D96" s="38"/>
      <c r="E96" s="11"/>
      <c r="F96" s="11"/>
      <c r="G96" s="11"/>
      <c r="I96" s="38"/>
      <c r="J96" s="38"/>
      <c r="K96" s="10"/>
      <c r="L96" s="10"/>
      <c r="N96" s="11"/>
      <c r="O96" s="10"/>
      <c r="P96" s="31" t="str">
        <f aca="false">IF($A96="","",IF(IFERROR(IF(INDEX(drops!$I$2:$I$21,MATCH($A96,drops!$A$2:$A$21,0))="","",INDEX(drops!$I$2:$I$21,MATCH($A96,drops!$A$2:$A$21,0))),"")="OK",IFERROR(IF(INDEX(drops!$B$2:$B$21,MATCH($A96,drops!$A$2:$A$21,0))="","",INDEX(drops!$B$2:$B$21,MATCH($A96,drops!$A$2:$A$21,0))),""),""))</f>
        <v/>
      </c>
      <c r="Q96" s="30" t="str">
        <f aca="false">IF($B96="","",IFERROR(IF(INDEX(offices!$O$2:$O$61,MATCH($B96,offices!$A$2:$A$61,0))="","",INDEX(offices!$O$2:$O$61,MATCH($B96,offices!$A$2:$A$61,0))),""))</f>
        <v/>
      </c>
      <c r="R96" s="30" t="str">
        <f aca="false">IF($B96="","",IFERROR(IF(INDEX(offices!$P$2:$P$61,MATCH($B96,offices!$A$2:$A$61,0))="","",INDEX(offices!$P$2:$P$61,MATCH($B96,offices!$A$2:$A$61,0))),""))</f>
        <v/>
      </c>
      <c r="S96" s="30" t="str">
        <f aca="false">IF($B96="","",IFERROR(IF(INDEX(offices!$Q$2:$Q$61,MATCH($B96,offices!$A$2:$A$61,0))="","",INDEX(offices!$Q$2:$Q$61,MATCH($B96,offices!$A$2:$A$61,0))),""))</f>
        <v/>
      </c>
      <c r="T96" s="30" t="str">
        <f aca="false">IF($B96="","",IFERROR(IF(INDEX(offices!$Z$2:$Z$61,MATCH($B96,offices!$A$2:$A$61,0))="","",INDEX(offices!$Z$2:$Z$61,MATCH($B96,offices!$A$2:$A$61,0))),""))</f>
        <v/>
      </c>
      <c r="U96" s="30" t="str">
        <f aca="false">IF($B96="","",IFERROR(IF(INDEX(offices!$Y$2:$Y$61,MATCH($B96,offices!$A$2:$A$61,0))="","",INDEX(offices!$Y$2:$Y$61,MATCH($B96,offices!$A$2:$A$61,0))),""))</f>
        <v/>
      </c>
      <c r="V96" s="30" t="str">
        <f aca="false">IF($B96="","",IFERROR(IF(INDEX(offices!$V$2:$V$61,MATCH($B96,offices!$A$2:$A$61,0))="","",INDEX(offices!$V$2:$V$61,MATCH($B96,offices!$A$2:$A$61,0))),""))</f>
        <v/>
      </c>
      <c r="W96" s="30" t="str">
        <f aca="false">IF($B96="","",IFERROR(IF(INDEX(offices!$AJ$2:$AJ$61,MATCH($B96,offices!$A$2:$A$61,0))="","",INDEX(offices!$AJ$2:$AJ$61,MATCH($B96,offices!$A$2:$A$61,0))),""))</f>
        <v/>
      </c>
      <c r="X96" s="30" t="str">
        <f aca="false">IF($B96="","",IFERROR(IF(INDEX(offices!$G$2:$G$61,MATCH($B96,offices!$A$2:$A$61,0))="","",INDEX(offices!$G$2:$G$61,MATCH($B96,offices!$A$2:$A$61,0))),""))</f>
        <v/>
      </c>
      <c r="Y96" s="30" t="str">
        <f aca="false">IF($B96="","",IFERROR(IF(INDEX(offices!$I$2:$I$61,MATCH($B96,offices!$A$2:$A$61,0))="","",INDEX(offices!$I$2:$I$61,MATCH($B96,offices!$A$2:$A$61,0))),""))</f>
        <v/>
      </c>
      <c r="Z96" s="30" t="str">
        <f aca="false">IF($A96="","",COUNTIFS(approvals!$H$2:$H$251,$A96,approvals!$B$2:$B$251,$B96,approvals!$P$2:$P$251,"Y"))</f>
        <v/>
      </c>
      <c r="AA96" s="30" t="str">
        <f aca="false">IF($A96="","",SUMIFS(approvals!$S$2:$S$251,approvals!$H$2:$H$251,$A96,approvals!$B$2:$B$251,$B96,approvals!$P$2:$P$251,"Y"))</f>
        <v/>
      </c>
      <c r="AB96" s="30" t="str">
        <f aca="false">IF(OR($A96="",$P96=""),"",IF(COUNTIFS(stops!$B$2:$B$151,$B96,stops!$P$2:$P$151,"&lt;"&amp;$P96,stops!$L$2:$L$151,"&lt;&gt;not_delivered")=0,"Y","N"))</f>
        <v/>
      </c>
      <c r="AC96" s="30" t="str">
        <f aca="false">IF(OR($I96="",$J96=""),"",ROUND(($J96-$I96)*1440,0))</f>
        <v/>
      </c>
      <c r="AD96" s="30" t="str">
        <f aca="true">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30" t="str">
        <f aca="false">IF($B96="","",IFERROR(IF(INDEX(offices!$H$2:$H$61,MATCH($B96,offices!$A$2:$A$61,0))="","",INDEX(offices!$H$2:$H$61,MATCH($B96,offices!$A$2:$A$61,0))),""))</f>
        <v/>
      </c>
      <c r="AF96" s="30" t="str">
        <f aca="false">IF($A96="","",IF(AND($L96="declined",N($Z96)&gt;0,COUNTIFS(approvals!$H$2:$H$251,$A96,approvals!$B$2:$B$251,$B96,approvals!$P$2:$P$251,"Y",approvals!$U$2:$U$251,"&gt;0")=0),"Y",""))</f>
        <v/>
      </c>
    </row>
    <row r="97" customFormat="false" ht="15" hidden="false" customHeight="false" outlineLevel="0" collapsed="false">
      <c r="D97" s="38"/>
      <c r="E97" s="11"/>
      <c r="F97" s="11"/>
      <c r="G97" s="11"/>
      <c r="I97" s="38"/>
      <c r="J97" s="38"/>
      <c r="K97" s="10"/>
      <c r="L97" s="10"/>
      <c r="N97" s="11"/>
      <c r="O97" s="10"/>
      <c r="P97" s="31" t="str">
        <f aca="false">IF($A97="","",IF(IFERROR(IF(INDEX(drops!$I$2:$I$21,MATCH($A97,drops!$A$2:$A$21,0))="","",INDEX(drops!$I$2:$I$21,MATCH($A97,drops!$A$2:$A$21,0))),"")="OK",IFERROR(IF(INDEX(drops!$B$2:$B$21,MATCH($A97,drops!$A$2:$A$21,0))="","",INDEX(drops!$B$2:$B$21,MATCH($A97,drops!$A$2:$A$21,0))),""),""))</f>
        <v/>
      </c>
      <c r="Q97" s="30" t="str">
        <f aca="false">IF($B97="","",IFERROR(IF(INDEX(offices!$O$2:$O$61,MATCH($B97,offices!$A$2:$A$61,0))="","",INDEX(offices!$O$2:$O$61,MATCH($B97,offices!$A$2:$A$61,0))),""))</f>
        <v/>
      </c>
      <c r="R97" s="30" t="str">
        <f aca="false">IF($B97="","",IFERROR(IF(INDEX(offices!$P$2:$P$61,MATCH($B97,offices!$A$2:$A$61,0))="","",INDEX(offices!$P$2:$P$61,MATCH($B97,offices!$A$2:$A$61,0))),""))</f>
        <v/>
      </c>
      <c r="S97" s="30" t="str">
        <f aca="false">IF($B97="","",IFERROR(IF(INDEX(offices!$Q$2:$Q$61,MATCH($B97,offices!$A$2:$A$61,0))="","",INDEX(offices!$Q$2:$Q$61,MATCH($B97,offices!$A$2:$A$61,0))),""))</f>
        <v/>
      </c>
      <c r="T97" s="30" t="str">
        <f aca="false">IF($B97="","",IFERROR(IF(INDEX(offices!$Z$2:$Z$61,MATCH($B97,offices!$A$2:$A$61,0))="","",INDEX(offices!$Z$2:$Z$61,MATCH($B97,offices!$A$2:$A$61,0))),""))</f>
        <v/>
      </c>
      <c r="U97" s="30" t="str">
        <f aca="false">IF($B97="","",IFERROR(IF(INDEX(offices!$Y$2:$Y$61,MATCH($B97,offices!$A$2:$A$61,0))="","",INDEX(offices!$Y$2:$Y$61,MATCH($B97,offices!$A$2:$A$61,0))),""))</f>
        <v/>
      </c>
      <c r="V97" s="30" t="str">
        <f aca="false">IF($B97="","",IFERROR(IF(INDEX(offices!$V$2:$V$61,MATCH($B97,offices!$A$2:$A$61,0))="","",INDEX(offices!$V$2:$V$61,MATCH($B97,offices!$A$2:$A$61,0))),""))</f>
        <v/>
      </c>
      <c r="W97" s="30" t="str">
        <f aca="false">IF($B97="","",IFERROR(IF(INDEX(offices!$AJ$2:$AJ$61,MATCH($B97,offices!$A$2:$A$61,0))="","",INDEX(offices!$AJ$2:$AJ$61,MATCH($B97,offices!$A$2:$A$61,0))),""))</f>
        <v/>
      </c>
      <c r="X97" s="30" t="str">
        <f aca="false">IF($B97="","",IFERROR(IF(INDEX(offices!$G$2:$G$61,MATCH($B97,offices!$A$2:$A$61,0))="","",INDEX(offices!$G$2:$G$61,MATCH($B97,offices!$A$2:$A$61,0))),""))</f>
        <v/>
      </c>
      <c r="Y97" s="30" t="str">
        <f aca="false">IF($B97="","",IFERROR(IF(INDEX(offices!$I$2:$I$61,MATCH($B97,offices!$A$2:$A$61,0))="","",INDEX(offices!$I$2:$I$61,MATCH($B97,offices!$A$2:$A$61,0))),""))</f>
        <v/>
      </c>
      <c r="Z97" s="30" t="str">
        <f aca="false">IF($A97="","",COUNTIFS(approvals!$H$2:$H$251,$A97,approvals!$B$2:$B$251,$B97,approvals!$P$2:$P$251,"Y"))</f>
        <v/>
      </c>
      <c r="AA97" s="30" t="str">
        <f aca="false">IF($A97="","",SUMIFS(approvals!$S$2:$S$251,approvals!$H$2:$H$251,$A97,approvals!$B$2:$B$251,$B97,approvals!$P$2:$P$251,"Y"))</f>
        <v/>
      </c>
      <c r="AB97" s="30" t="str">
        <f aca="false">IF(OR($A97="",$P97=""),"",IF(COUNTIFS(stops!$B$2:$B$151,$B97,stops!$P$2:$P$151,"&lt;"&amp;$P97,stops!$L$2:$L$151,"&lt;&gt;not_delivered")=0,"Y","N"))</f>
        <v/>
      </c>
      <c r="AC97" s="30" t="str">
        <f aca="false">IF(OR($I97="",$J97=""),"",ROUND(($J97-$I97)*1440,0))</f>
        <v/>
      </c>
      <c r="AD97" s="30" t="str">
        <f aca="true">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30" t="str">
        <f aca="false">IF($B97="","",IFERROR(IF(INDEX(offices!$H$2:$H$61,MATCH($B97,offices!$A$2:$A$61,0))="","",INDEX(offices!$H$2:$H$61,MATCH($B97,offices!$A$2:$A$61,0))),""))</f>
        <v/>
      </c>
      <c r="AF97" s="30" t="str">
        <f aca="false">IF($A97="","",IF(AND($L97="declined",N($Z97)&gt;0,COUNTIFS(approvals!$H$2:$H$251,$A97,approvals!$B$2:$B$251,$B97,approvals!$P$2:$P$251,"Y",approvals!$U$2:$U$251,"&gt;0")=0),"Y",""))</f>
        <v/>
      </c>
    </row>
    <row r="98" customFormat="false" ht="15" hidden="false" customHeight="false" outlineLevel="0" collapsed="false">
      <c r="D98" s="38"/>
      <c r="E98" s="11"/>
      <c r="F98" s="11"/>
      <c r="G98" s="11"/>
      <c r="I98" s="38"/>
      <c r="J98" s="38"/>
      <c r="K98" s="10"/>
      <c r="L98" s="10"/>
      <c r="N98" s="11"/>
      <c r="O98" s="10"/>
      <c r="P98" s="31" t="str">
        <f aca="false">IF($A98="","",IF(IFERROR(IF(INDEX(drops!$I$2:$I$21,MATCH($A98,drops!$A$2:$A$21,0))="","",INDEX(drops!$I$2:$I$21,MATCH($A98,drops!$A$2:$A$21,0))),"")="OK",IFERROR(IF(INDEX(drops!$B$2:$B$21,MATCH($A98,drops!$A$2:$A$21,0))="","",INDEX(drops!$B$2:$B$21,MATCH($A98,drops!$A$2:$A$21,0))),""),""))</f>
        <v/>
      </c>
      <c r="Q98" s="30" t="str">
        <f aca="false">IF($B98="","",IFERROR(IF(INDEX(offices!$O$2:$O$61,MATCH($B98,offices!$A$2:$A$61,0))="","",INDEX(offices!$O$2:$O$61,MATCH($B98,offices!$A$2:$A$61,0))),""))</f>
        <v/>
      </c>
      <c r="R98" s="30" t="str">
        <f aca="false">IF($B98="","",IFERROR(IF(INDEX(offices!$P$2:$P$61,MATCH($B98,offices!$A$2:$A$61,0))="","",INDEX(offices!$P$2:$P$61,MATCH($B98,offices!$A$2:$A$61,0))),""))</f>
        <v/>
      </c>
      <c r="S98" s="30" t="str">
        <f aca="false">IF($B98="","",IFERROR(IF(INDEX(offices!$Q$2:$Q$61,MATCH($B98,offices!$A$2:$A$61,0))="","",INDEX(offices!$Q$2:$Q$61,MATCH($B98,offices!$A$2:$A$61,0))),""))</f>
        <v/>
      </c>
      <c r="T98" s="30" t="str">
        <f aca="false">IF($B98="","",IFERROR(IF(INDEX(offices!$Z$2:$Z$61,MATCH($B98,offices!$A$2:$A$61,0))="","",INDEX(offices!$Z$2:$Z$61,MATCH($B98,offices!$A$2:$A$61,0))),""))</f>
        <v/>
      </c>
      <c r="U98" s="30" t="str">
        <f aca="false">IF($B98="","",IFERROR(IF(INDEX(offices!$Y$2:$Y$61,MATCH($B98,offices!$A$2:$A$61,0))="","",INDEX(offices!$Y$2:$Y$61,MATCH($B98,offices!$A$2:$A$61,0))),""))</f>
        <v/>
      </c>
      <c r="V98" s="30" t="str">
        <f aca="false">IF($B98="","",IFERROR(IF(INDEX(offices!$V$2:$V$61,MATCH($B98,offices!$A$2:$A$61,0))="","",INDEX(offices!$V$2:$V$61,MATCH($B98,offices!$A$2:$A$61,0))),""))</f>
        <v/>
      </c>
      <c r="W98" s="30" t="str">
        <f aca="false">IF($B98="","",IFERROR(IF(INDEX(offices!$AJ$2:$AJ$61,MATCH($B98,offices!$A$2:$A$61,0))="","",INDEX(offices!$AJ$2:$AJ$61,MATCH($B98,offices!$A$2:$A$61,0))),""))</f>
        <v/>
      </c>
      <c r="X98" s="30" t="str">
        <f aca="false">IF($B98="","",IFERROR(IF(INDEX(offices!$G$2:$G$61,MATCH($B98,offices!$A$2:$A$61,0))="","",INDEX(offices!$G$2:$G$61,MATCH($B98,offices!$A$2:$A$61,0))),""))</f>
        <v/>
      </c>
      <c r="Y98" s="30" t="str">
        <f aca="false">IF($B98="","",IFERROR(IF(INDEX(offices!$I$2:$I$61,MATCH($B98,offices!$A$2:$A$61,0))="","",INDEX(offices!$I$2:$I$61,MATCH($B98,offices!$A$2:$A$61,0))),""))</f>
        <v/>
      </c>
      <c r="Z98" s="30" t="str">
        <f aca="false">IF($A98="","",COUNTIFS(approvals!$H$2:$H$251,$A98,approvals!$B$2:$B$251,$B98,approvals!$P$2:$P$251,"Y"))</f>
        <v/>
      </c>
      <c r="AA98" s="30" t="str">
        <f aca="false">IF($A98="","",SUMIFS(approvals!$S$2:$S$251,approvals!$H$2:$H$251,$A98,approvals!$B$2:$B$251,$B98,approvals!$P$2:$P$251,"Y"))</f>
        <v/>
      </c>
      <c r="AB98" s="30" t="str">
        <f aca="false">IF(OR($A98="",$P98=""),"",IF(COUNTIFS(stops!$B$2:$B$151,$B98,stops!$P$2:$P$151,"&lt;"&amp;$P98,stops!$L$2:$L$151,"&lt;&gt;not_delivered")=0,"Y","N"))</f>
        <v/>
      </c>
      <c r="AC98" s="30" t="str">
        <f aca="false">IF(OR($I98="",$J98=""),"",ROUND(($J98-$I98)*1440,0))</f>
        <v/>
      </c>
      <c r="AD98" s="30" t="str">
        <f aca="true">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30" t="str">
        <f aca="false">IF($B98="","",IFERROR(IF(INDEX(offices!$H$2:$H$61,MATCH($B98,offices!$A$2:$A$61,0))="","",INDEX(offices!$H$2:$H$61,MATCH($B98,offices!$A$2:$A$61,0))),""))</f>
        <v/>
      </c>
      <c r="AF98" s="30" t="str">
        <f aca="false">IF($A98="","",IF(AND($L98="declined",N($Z98)&gt;0,COUNTIFS(approvals!$H$2:$H$251,$A98,approvals!$B$2:$B$251,$B98,approvals!$P$2:$P$251,"Y",approvals!$U$2:$U$251,"&gt;0")=0),"Y",""))</f>
        <v/>
      </c>
    </row>
    <row r="99" customFormat="false" ht="15" hidden="false" customHeight="false" outlineLevel="0" collapsed="false">
      <c r="D99" s="38"/>
      <c r="E99" s="11"/>
      <c r="F99" s="11"/>
      <c r="G99" s="11"/>
      <c r="I99" s="38"/>
      <c r="J99" s="38"/>
      <c r="K99" s="10"/>
      <c r="L99" s="10"/>
      <c r="N99" s="11"/>
      <c r="O99" s="10"/>
      <c r="P99" s="31" t="str">
        <f aca="false">IF($A99="","",IF(IFERROR(IF(INDEX(drops!$I$2:$I$21,MATCH($A99,drops!$A$2:$A$21,0))="","",INDEX(drops!$I$2:$I$21,MATCH($A99,drops!$A$2:$A$21,0))),"")="OK",IFERROR(IF(INDEX(drops!$B$2:$B$21,MATCH($A99,drops!$A$2:$A$21,0))="","",INDEX(drops!$B$2:$B$21,MATCH($A99,drops!$A$2:$A$21,0))),""),""))</f>
        <v/>
      </c>
      <c r="Q99" s="30" t="str">
        <f aca="false">IF($B99="","",IFERROR(IF(INDEX(offices!$O$2:$O$61,MATCH($B99,offices!$A$2:$A$61,0))="","",INDEX(offices!$O$2:$O$61,MATCH($B99,offices!$A$2:$A$61,0))),""))</f>
        <v/>
      </c>
      <c r="R99" s="30" t="str">
        <f aca="false">IF($B99="","",IFERROR(IF(INDEX(offices!$P$2:$P$61,MATCH($B99,offices!$A$2:$A$61,0))="","",INDEX(offices!$P$2:$P$61,MATCH($B99,offices!$A$2:$A$61,0))),""))</f>
        <v/>
      </c>
      <c r="S99" s="30" t="str">
        <f aca="false">IF($B99="","",IFERROR(IF(INDEX(offices!$Q$2:$Q$61,MATCH($B99,offices!$A$2:$A$61,0))="","",INDEX(offices!$Q$2:$Q$61,MATCH($B99,offices!$A$2:$A$61,0))),""))</f>
        <v/>
      </c>
      <c r="T99" s="30" t="str">
        <f aca="false">IF($B99="","",IFERROR(IF(INDEX(offices!$Z$2:$Z$61,MATCH($B99,offices!$A$2:$A$61,0))="","",INDEX(offices!$Z$2:$Z$61,MATCH($B99,offices!$A$2:$A$61,0))),""))</f>
        <v/>
      </c>
      <c r="U99" s="30" t="str">
        <f aca="false">IF($B99="","",IFERROR(IF(INDEX(offices!$Y$2:$Y$61,MATCH($B99,offices!$A$2:$A$61,0))="","",INDEX(offices!$Y$2:$Y$61,MATCH($B99,offices!$A$2:$A$61,0))),""))</f>
        <v/>
      </c>
      <c r="V99" s="30" t="str">
        <f aca="false">IF($B99="","",IFERROR(IF(INDEX(offices!$V$2:$V$61,MATCH($B99,offices!$A$2:$A$61,0))="","",INDEX(offices!$V$2:$V$61,MATCH($B99,offices!$A$2:$A$61,0))),""))</f>
        <v/>
      </c>
      <c r="W99" s="30" t="str">
        <f aca="false">IF($B99="","",IFERROR(IF(INDEX(offices!$AJ$2:$AJ$61,MATCH($B99,offices!$A$2:$A$61,0))="","",INDEX(offices!$AJ$2:$AJ$61,MATCH($B99,offices!$A$2:$A$61,0))),""))</f>
        <v/>
      </c>
      <c r="X99" s="30" t="str">
        <f aca="false">IF($B99="","",IFERROR(IF(INDEX(offices!$G$2:$G$61,MATCH($B99,offices!$A$2:$A$61,0))="","",INDEX(offices!$G$2:$G$61,MATCH($B99,offices!$A$2:$A$61,0))),""))</f>
        <v/>
      </c>
      <c r="Y99" s="30" t="str">
        <f aca="false">IF($B99="","",IFERROR(IF(INDEX(offices!$I$2:$I$61,MATCH($B99,offices!$A$2:$A$61,0))="","",INDEX(offices!$I$2:$I$61,MATCH($B99,offices!$A$2:$A$61,0))),""))</f>
        <v/>
      </c>
      <c r="Z99" s="30" t="str">
        <f aca="false">IF($A99="","",COUNTIFS(approvals!$H$2:$H$251,$A99,approvals!$B$2:$B$251,$B99,approvals!$P$2:$P$251,"Y"))</f>
        <v/>
      </c>
      <c r="AA99" s="30" t="str">
        <f aca="false">IF($A99="","",SUMIFS(approvals!$S$2:$S$251,approvals!$H$2:$H$251,$A99,approvals!$B$2:$B$251,$B99,approvals!$P$2:$P$251,"Y"))</f>
        <v/>
      </c>
      <c r="AB99" s="30" t="str">
        <f aca="false">IF(OR($A99="",$P99=""),"",IF(COUNTIFS(stops!$B$2:$B$151,$B99,stops!$P$2:$P$151,"&lt;"&amp;$P99,stops!$L$2:$L$151,"&lt;&gt;not_delivered")=0,"Y","N"))</f>
        <v/>
      </c>
      <c r="AC99" s="30" t="str">
        <f aca="false">IF(OR($I99="",$J99=""),"",ROUND(($J99-$I99)*1440,0))</f>
        <v/>
      </c>
      <c r="AD99" s="30" t="str">
        <f aca="true">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30" t="str">
        <f aca="false">IF($B99="","",IFERROR(IF(INDEX(offices!$H$2:$H$61,MATCH($B99,offices!$A$2:$A$61,0))="","",INDEX(offices!$H$2:$H$61,MATCH($B99,offices!$A$2:$A$61,0))),""))</f>
        <v/>
      </c>
      <c r="AF99" s="30" t="str">
        <f aca="false">IF($A99="","",IF(AND($L99="declined",N($Z99)&gt;0,COUNTIFS(approvals!$H$2:$H$251,$A99,approvals!$B$2:$B$251,$B99,approvals!$P$2:$P$251,"Y",approvals!$U$2:$U$251,"&gt;0")=0),"Y",""))</f>
        <v/>
      </c>
    </row>
    <row r="100" customFormat="false" ht="15" hidden="false" customHeight="false" outlineLevel="0" collapsed="false">
      <c r="D100" s="38"/>
      <c r="E100" s="11"/>
      <c r="F100" s="11"/>
      <c r="G100" s="11"/>
      <c r="I100" s="38"/>
      <c r="J100" s="38"/>
      <c r="K100" s="10"/>
      <c r="L100" s="10"/>
      <c r="N100" s="11"/>
      <c r="O100" s="10"/>
      <c r="P100" s="31" t="str">
        <f aca="false">IF($A100="","",IF(IFERROR(IF(INDEX(drops!$I$2:$I$21,MATCH($A100,drops!$A$2:$A$21,0))="","",INDEX(drops!$I$2:$I$21,MATCH($A100,drops!$A$2:$A$21,0))),"")="OK",IFERROR(IF(INDEX(drops!$B$2:$B$21,MATCH($A100,drops!$A$2:$A$21,0))="","",INDEX(drops!$B$2:$B$21,MATCH($A100,drops!$A$2:$A$21,0))),""),""))</f>
        <v/>
      </c>
      <c r="Q100" s="30" t="str">
        <f aca="false">IF($B100="","",IFERROR(IF(INDEX(offices!$O$2:$O$61,MATCH($B100,offices!$A$2:$A$61,0))="","",INDEX(offices!$O$2:$O$61,MATCH($B100,offices!$A$2:$A$61,0))),""))</f>
        <v/>
      </c>
      <c r="R100" s="30" t="str">
        <f aca="false">IF($B100="","",IFERROR(IF(INDEX(offices!$P$2:$P$61,MATCH($B100,offices!$A$2:$A$61,0))="","",INDEX(offices!$P$2:$P$61,MATCH($B100,offices!$A$2:$A$61,0))),""))</f>
        <v/>
      </c>
      <c r="S100" s="30" t="str">
        <f aca="false">IF($B100="","",IFERROR(IF(INDEX(offices!$Q$2:$Q$61,MATCH($B100,offices!$A$2:$A$61,0))="","",INDEX(offices!$Q$2:$Q$61,MATCH($B100,offices!$A$2:$A$61,0))),""))</f>
        <v/>
      </c>
      <c r="T100" s="30" t="str">
        <f aca="false">IF($B100="","",IFERROR(IF(INDEX(offices!$Z$2:$Z$61,MATCH($B100,offices!$A$2:$A$61,0))="","",INDEX(offices!$Z$2:$Z$61,MATCH($B100,offices!$A$2:$A$61,0))),""))</f>
        <v/>
      </c>
      <c r="U100" s="30" t="str">
        <f aca="false">IF($B100="","",IFERROR(IF(INDEX(offices!$Y$2:$Y$61,MATCH($B100,offices!$A$2:$A$61,0))="","",INDEX(offices!$Y$2:$Y$61,MATCH($B100,offices!$A$2:$A$61,0))),""))</f>
        <v/>
      </c>
      <c r="V100" s="30" t="str">
        <f aca="false">IF($B100="","",IFERROR(IF(INDEX(offices!$V$2:$V$61,MATCH($B100,offices!$A$2:$A$61,0))="","",INDEX(offices!$V$2:$V$61,MATCH($B100,offices!$A$2:$A$61,0))),""))</f>
        <v/>
      </c>
      <c r="W100" s="30" t="str">
        <f aca="false">IF($B100="","",IFERROR(IF(INDEX(offices!$AJ$2:$AJ$61,MATCH($B100,offices!$A$2:$A$61,0))="","",INDEX(offices!$AJ$2:$AJ$61,MATCH($B100,offices!$A$2:$A$61,0))),""))</f>
        <v/>
      </c>
      <c r="X100" s="30" t="str">
        <f aca="false">IF($B100="","",IFERROR(IF(INDEX(offices!$G$2:$G$61,MATCH($B100,offices!$A$2:$A$61,0))="","",INDEX(offices!$G$2:$G$61,MATCH($B100,offices!$A$2:$A$61,0))),""))</f>
        <v/>
      </c>
      <c r="Y100" s="30" t="str">
        <f aca="false">IF($B100="","",IFERROR(IF(INDEX(offices!$I$2:$I$61,MATCH($B100,offices!$A$2:$A$61,0))="","",INDEX(offices!$I$2:$I$61,MATCH($B100,offices!$A$2:$A$61,0))),""))</f>
        <v/>
      </c>
      <c r="Z100" s="30" t="str">
        <f aca="false">IF($A100="","",COUNTIFS(approvals!$H$2:$H$251,$A100,approvals!$B$2:$B$251,$B100,approvals!$P$2:$P$251,"Y"))</f>
        <v/>
      </c>
      <c r="AA100" s="30" t="str">
        <f aca="false">IF($A100="","",SUMIFS(approvals!$S$2:$S$251,approvals!$H$2:$H$251,$A100,approvals!$B$2:$B$251,$B100,approvals!$P$2:$P$251,"Y"))</f>
        <v/>
      </c>
      <c r="AB100" s="30" t="str">
        <f aca="false">IF(OR($A100="",$P100=""),"",IF(COUNTIFS(stops!$B$2:$B$151,$B100,stops!$P$2:$P$151,"&lt;"&amp;$P100,stops!$L$2:$L$151,"&lt;&gt;not_delivered")=0,"Y","N"))</f>
        <v/>
      </c>
      <c r="AC100" s="30" t="str">
        <f aca="false">IF(OR($I100="",$J100=""),"",ROUND(($J100-$I100)*1440,0))</f>
        <v/>
      </c>
      <c r="AD100" s="30" t="str">
        <f aca="true">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30" t="str">
        <f aca="false">IF($B100="","",IFERROR(IF(INDEX(offices!$H$2:$H$61,MATCH($B100,offices!$A$2:$A$61,0))="","",INDEX(offices!$H$2:$H$61,MATCH($B100,offices!$A$2:$A$61,0))),""))</f>
        <v/>
      </c>
      <c r="AF100" s="30" t="str">
        <f aca="false">IF($A100="","",IF(AND($L100="declined",N($Z100)&gt;0,COUNTIFS(approvals!$H$2:$H$251,$A100,approvals!$B$2:$B$251,$B100,approvals!$P$2:$P$251,"Y",approvals!$U$2:$U$251,"&gt;0")=0),"Y",""))</f>
        <v/>
      </c>
    </row>
    <row r="101" customFormat="false" ht="15" hidden="false" customHeight="false" outlineLevel="0" collapsed="false">
      <c r="D101" s="38"/>
      <c r="E101" s="11"/>
      <c r="F101" s="11"/>
      <c r="G101" s="11"/>
      <c r="I101" s="38"/>
      <c r="J101" s="38"/>
      <c r="K101" s="10"/>
      <c r="L101" s="10"/>
      <c r="N101" s="11"/>
      <c r="O101" s="10"/>
      <c r="P101" s="31" t="str">
        <f aca="false">IF($A101="","",IF(IFERROR(IF(INDEX(drops!$I$2:$I$21,MATCH($A101,drops!$A$2:$A$21,0))="","",INDEX(drops!$I$2:$I$21,MATCH($A101,drops!$A$2:$A$21,0))),"")="OK",IFERROR(IF(INDEX(drops!$B$2:$B$21,MATCH($A101,drops!$A$2:$A$21,0))="","",INDEX(drops!$B$2:$B$21,MATCH($A101,drops!$A$2:$A$21,0))),""),""))</f>
        <v/>
      </c>
      <c r="Q101" s="30" t="str">
        <f aca="false">IF($B101="","",IFERROR(IF(INDEX(offices!$O$2:$O$61,MATCH($B101,offices!$A$2:$A$61,0))="","",INDEX(offices!$O$2:$O$61,MATCH($B101,offices!$A$2:$A$61,0))),""))</f>
        <v/>
      </c>
      <c r="R101" s="30" t="str">
        <f aca="false">IF($B101="","",IFERROR(IF(INDEX(offices!$P$2:$P$61,MATCH($B101,offices!$A$2:$A$61,0))="","",INDEX(offices!$P$2:$P$61,MATCH($B101,offices!$A$2:$A$61,0))),""))</f>
        <v/>
      </c>
      <c r="S101" s="30" t="str">
        <f aca="false">IF($B101="","",IFERROR(IF(INDEX(offices!$Q$2:$Q$61,MATCH($B101,offices!$A$2:$A$61,0))="","",INDEX(offices!$Q$2:$Q$61,MATCH($B101,offices!$A$2:$A$61,0))),""))</f>
        <v/>
      </c>
      <c r="T101" s="30" t="str">
        <f aca="false">IF($B101="","",IFERROR(IF(INDEX(offices!$Z$2:$Z$61,MATCH($B101,offices!$A$2:$A$61,0))="","",INDEX(offices!$Z$2:$Z$61,MATCH($B101,offices!$A$2:$A$61,0))),""))</f>
        <v/>
      </c>
      <c r="U101" s="30" t="str">
        <f aca="false">IF($B101="","",IFERROR(IF(INDEX(offices!$Y$2:$Y$61,MATCH($B101,offices!$A$2:$A$61,0))="","",INDEX(offices!$Y$2:$Y$61,MATCH($B101,offices!$A$2:$A$61,0))),""))</f>
        <v/>
      </c>
      <c r="V101" s="30" t="str">
        <f aca="false">IF($B101="","",IFERROR(IF(INDEX(offices!$V$2:$V$61,MATCH($B101,offices!$A$2:$A$61,0))="","",INDEX(offices!$V$2:$V$61,MATCH($B101,offices!$A$2:$A$61,0))),""))</f>
        <v/>
      </c>
      <c r="W101" s="30" t="str">
        <f aca="false">IF($B101="","",IFERROR(IF(INDEX(offices!$AJ$2:$AJ$61,MATCH($B101,offices!$A$2:$A$61,0))="","",INDEX(offices!$AJ$2:$AJ$61,MATCH($B101,offices!$A$2:$A$61,0))),""))</f>
        <v/>
      </c>
      <c r="X101" s="30" t="str">
        <f aca="false">IF($B101="","",IFERROR(IF(INDEX(offices!$G$2:$G$61,MATCH($B101,offices!$A$2:$A$61,0))="","",INDEX(offices!$G$2:$G$61,MATCH($B101,offices!$A$2:$A$61,0))),""))</f>
        <v/>
      </c>
      <c r="Y101" s="30" t="str">
        <f aca="false">IF($B101="","",IFERROR(IF(INDEX(offices!$I$2:$I$61,MATCH($B101,offices!$A$2:$A$61,0))="","",INDEX(offices!$I$2:$I$61,MATCH($B101,offices!$A$2:$A$61,0))),""))</f>
        <v/>
      </c>
      <c r="Z101" s="30" t="str">
        <f aca="false">IF($A101="","",COUNTIFS(approvals!$H$2:$H$251,$A101,approvals!$B$2:$B$251,$B101,approvals!$P$2:$P$251,"Y"))</f>
        <v/>
      </c>
      <c r="AA101" s="30" t="str">
        <f aca="false">IF($A101="","",SUMIFS(approvals!$S$2:$S$251,approvals!$H$2:$H$251,$A101,approvals!$B$2:$B$251,$B101,approvals!$P$2:$P$251,"Y"))</f>
        <v/>
      </c>
      <c r="AB101" s="30" t="str">
        <f aca="false">IF(OR($A101="",$P101=""),"",IF(COUNTIFS(stops!$B$2:$B$151,$B101,stops!$P$2:$P$151,"&lt;"&amp;$P101,stops!$L$2:$L$151,"&lt;&gt;not_delivered")=0,"Y","N"))</f>
        <v/>
      </c>
      <c r="AC101" s="30" t="str">
        <f aca="false">IF(OR($I101="",$J101=""),"",ROUND(($J101-$I101)*1440,0))</f>
        <v/>
      </c>
      <c r="AD101" s="30" t="str">
        <f aca="true">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30" t="str">
        <f aca="false">IF($B101="","",IFERROR(IF(INDEX(offices!$H$2:$H$61,MATCH($B101,offices!$A$2:$A$61,0))="","",INDEX(offices!$H$2:$H$61,MATCH($B101,offices!$A$2:$A$61,0))),""))</f>
        <v/>
      </c>
      <c r="AF101" s="30" t="str">
        <f aca="false">IF($A101="","",IF(AND($L101="declined",N($Z101)&gt;0,COUNTIFS(approvals!$H$2:$H$251,$A101,approvals!$B$2:$B$251,$B101,approvals!$P$2:$P$251,"Y",approvals!$U$2:$U$251,"&gt;0")=0),"Y",""))</f>
        <v/>
      </c>
    </row>
    <row r="102" customFormat="false" ht="15" hidden="false" customHeight="false" outlineLevel="0" collapsed="false">
      <c r="D102" s="38"/>
      <c r="E102" s="11"/>
      <c r="F102" s="11"/>
      <c r="G102" s="11"/>
      <c r="I102" s="38"/>
      <c r="J102" s="38"/>
      <c r="K102" s="10"/>
      <c r="L102" s="10"/>
      <c r="N102" s="11"/>
      <c r="O102" s="10"/>
      <c r="P102" s="31" t="str">
        <f aca="false">IF($A102="","",IF(IFERROR(IF(INDEX(drops!$I$2:$I$21,MATCH($A102,drops!$A$2:$A$21,0))="","",INDEX(drops!$I$2:$I$21,MATCH($A102,drops!$A$2:$A$21,0))),"")="OK",IFERROR(IF(INDEX(drops!$B$2:$B$21,MATCH($A102,drops!$A$2:$A$21,0))="","",INDEX(drops!$B$2:$B$21,MATCH($A102,drops!$A$2:$A$21,0))),""),""))</f>
        <v/>
      </c>
      <c r="Q102" s="30" t="str">
        <f aca="false">IF($B102="","",IFERROR(IF(INDEX(offices!$O$2:$O$61,MATCH($B102,offices!$A$2:$A$61,0))="","",INDEX(offices!$O$2:$O$61,MATCH($B102,offices!$A$2:$A$61,0))),""))</f>
        <v/>
      </c>
      <c r="R102" s="30" t="str">
        <f aca="false">IF($B102="","",IFERROR(IF(INDEX(offices!$P$2:$P$61,MATCH($B102,offices!$A$2:$A$61,0))="","",INDEX(offices!$P$2:$P$61,MATCH($B102,offices!$A$2:$A$61,0))),""))</f>
        <v/>
      </c>
      <c r="S102" s="30" t="str">
        <f aca="false">IF($B102="","",IFERROR(IF(INDEX(offices!$Q$2:$Q$61,MATCH($B102,offices!$A$2:$A$61,0))="","",INDEX(offices!$Q$2:$Q$61,MATCH($B102,offices!$A$2:$A$61,0))),""))</f>
        <v/>
      </c>
      <c r="T102" s="30" t="str">
        <f aca="false">IF($B102="","",IFERROR(IF(INDEX(offices!$Z$2:$Z$61,MATCH($B102,offices!$A$2:$A$61,0))="","",INDEX(offices!$Z$2:$Z$61,MATCH($B102,offices!$A$2:$A$61,0))),""))</f>
        <v/>
      </c>
      <c r="U102" s="30" t="str">
        <f aca="false">IF($B102="","",IFERROR(IF(INDEX(offices!$Y$2:$Y$61,MATCH($B102,offices!$A$2:$A$61,0))="","",INDEX(offices!$Y$2:$Y$61,MATCH($B102,offices!$A$2:$A$61,0))),""))</f>
        <v/>
      </c>
      <c r="V102" s="30" t="str">
        <f aca="false">IF($B102="","",IFERROR(IF(INDEX(offices!$V$2:$V$61,MATCH($B102,offices!$A$2:$A$61,0))="","",INDEX(offices!$V$2:$V$61,MATCH($B102,offices!$A$2:$A$61,0))),""))</f>
        <v/>
      </c>
      <c r="W102" s="30" t="str">
        <f aca="false">IF($B102="","",IFERROR(IF(INDEX(offices!$AJ$2:$AJ$61,MATCH($B102,offices!$A$2:$A$61,0))="","",INDEX(offices!$AJ$2:$AJ$61,MATCH($B102,offices!$A$2:$A$61,0))),""))</f>
        <v/>
      </c>
      <c r="X102" s="30" t="str">
        <f aca="false">IF($B102="","",IFERROR(IF(INDEX(offices!$G$2:$G$61,MATCH($B102,offices!$A$2:$A$61,0))="","",INDEX(offices!$G$2:$G$61,MATCH($B102,offices!$A$2:$A$61,0))),""))</f>
        <v/>
      </c>
      <c r="Y102" s="30" t="str">
        <f aca="false">IF($B102="","",IFERROR(IF(INDEX(offices!$I$2:$I$61,MATCH($B102,offices!$A$2:$A$61,0))="","",INDEX(offices!$I$2:$I$61,MATCH($B102,offices!$A$2:$A$61,0))),""))</f>
        <v/>
      </c>
      <c r="Z102" s="30" t="str">
        <f aca="false">IF($A102="","",COUNTIFS(approvals!$H$2:$H$251,$A102,approvals!$B$2:$B$251,$B102,approvals!$P$2:$P$251,"Y"))</f>
        <v/>
      </c>
      <c r="AA102" s="30" t="str">
        <f aca="false">IF($A102="","",SUMIFS(approvals!$S$2:$S$251,approvals!$H$2:$H$251,$A102,approvals!$B$2:$B$251,$B102,approvals!$P$2:$P$251,"Y"))</f>
        <v/>
      </c>
      <c r="AB102" s="30" t="str">
        <f aca="false">IF(OR($A102="",$P102=""),"",IF(COUNTIFS(stops!$B$2:$B$151,$B102,stops!$P$2:$P$151,"&lt;"&amp;$P102,stops!$L$2:$L$151,"&lt;&gt;not_delivered")=0,"Y","N"))</f>
        <v/>
      </c>
      <c r="AC102" s="30" t="str">
        <f aca="false">IF(OR($I102="",$J102=""),"",ROUND(($J102-$I102)*1440,0))</f>
        <v/>
      </c>
      <c r="AD102" s="30" t="str">
        <f aca="true">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30" t="str">
        <f aca="false">IF($B102="","",IFERROR(IF(INDEX(offices!$H$2:$H$61,MATCH($B102,offices!$A$2:$A$61,0))="","",INDEX(offices!$H$2:$H$61,MATCH($B102,offices!$A$2:$A$61,0))),""))</f>
        <v/>
      </c>
      <c r="AF102" s="30" t="str">
        <f aca="false">IF($A102="","",IF(AND($L102="declined",N($Z102)&gt;0,COUNTIFS(approvals!$H$2:$H$251,$A102,approvals!$B$2:$B$251,$B102,approvals!$P$2:$P$251,"Y",approvals!$U$2:$U$251,"&gt;0")=0),"Y",""))</f>
        <v/>
      </c>
    </row>
    <row r="103" customFormat="false" ht="15" hidden="false" customHeight="false" outlineLevel="0" collapsed="false">
      <c r="D103" s="38"/>
      <c r="E103" s="11"/>
      <c r="F103" s="11"/>
      <c r="G103" s="11"/>
      <c r="I103" s="38"/>
      <c r="J103" s="38"/>
      <c r="K103" s="10"/>
      <c r="L103" s="10"/>
      <c r="N103" s="11"/>
      <c r="O103" s="10"/>
      <c r="P103" s="31" t="str">
        <f aca="false">IF($A103="","",IF(IFERROR(IF(INDEX(drops!$I$2:$I$21,MATCH($A103,drops!$A$2:$A$21,0))="","",INDEX(drops!$I$2:$I$21,MATCH($A103,drops!$A$2:$A$21,0))),"")="OK",IFERROR(IF(INDEX(drops!$B$2:$B$21,MATCH($A103,drops!$A$2:$A$21,0))="","",INDEX(drops!$B$2:$B$21,MATCH($A103,drops!$A$2:$A$21,0))),""),""))</f>
        <v/>
      </c>
      <c r="Q103" s="30" t="str">
        <f aca="false">IF($B103="","",IFERROR(IF(INDEX(offices!$O$2:$O$61,MATCH($B103,offices!$A$2:$A$61,0))="","",INDEX(offices!$O$2:$O$61,MATCH($B103,offices!$A$2:$A$61,0))),""))</f>
        <v/>
      </c>
      <c r="R103" s="30" t="str">
        <f aca="false">IF($B103="","",IFERROR(IF(INDEX(offices!$P$2:$P$61,MATCH($B103,offices!$A$2:$A$61,0))="","",INDEX(offices!$P$2:$P$61,MATCH($B103,offices!$A$2:$A$61,0))),""))</f>
        <v/>
      </c>
      <c r="S103" s="30" t="str">
        <f aca="false">IF($B103="","",IFERROR(IF(INDEX(offices!$Q$2:$Q$61,MATCH($B103,offices!$A$2:$A$61,0))="","",INDEX(offices!$Q$2:$Q$61,MATCH($B103,offices!$A$2:$A$61,0))),""))</f>
        <v/>
      </c>
      <c r="T103" s="30" t="str">
        <f aca="false">IF($B103="","",IFERROR(IF(INDEX(offices!$Z$2:$Z$61,MATCH($B103,offices!$A$2:$A$61,0))="","",INDEX(offices!$Z$2:$Z$61,MATCH($B103,offices!$A$2:$A$61,0))),""))</f>
        <v/>
      </c>
      <c r="U103" s="30" t="str">
        <f aca="false">IF($B103="","",IFERROR(IF(INDEX(offices!$Y$2:$Y$61,MATCH($B103,offices!$A$2:$A$61,0))="","",INDEX(offices!$Y$2:$Y$61,MATCH($B103,offices!$A$2:$A$61,0))),""))</f>
        <v/>
      </c>
      <c r="V103" s="30" t="str">
        <f aca="false">IF($B103="","",IFERROR(IF(INDEX(offices!$V$2:$V$61,MATCH($B103,offices!$A$2:$A$61,0))="","",INDEX(offices!$V$2:$V$61,MATCH($B103,offices!$A$2:$A$61,0))),""))</f>
        <v/>
      </c>
      <c r="W103" s="30" t="str">
        <f aca="false">IF($B103="","",IFERROR(IF(INDEX(offices!$AJ$2:$AJ$61,MATCH($B103,offices!$A$2:$A$61,0))="","",INDEX(offices!$AJ$2:$AJ$61,MATCH($B103,offices!$A$2:$A$61,0))),""))</f>
        <v/>
      </c>
      <c r="X103" s="30" t="str">
        <f aca="false">IF($B103="","",IFERROR(IF(INDEX(offices!$G$2:$G$61,MATCH($B103,offices!$A$2:$A$61,0))="","",INDEX(offices!$G$2:$G$61,MATCH($B103,offices!$A$2:$A$61,0))),""))</f>
        <v/>
      </c>
      <c r="Y103" s="30" t="str">
        <f aca="false">IF($B103="","",IFERROR(IF(INDEX(offices!$I$2:$I$61,MATCH($B103,offices!$A$2:$A$61,0))="","",INDEX(offices!$I$2:$I$61,MATCH($B103,offices!$A$2:$A$61,0))),""))</f>
        <v/>
      </c>
      <c r="Z103" s="30" t="str">
        <f aca="false">IF($A103="","",COUNTIFS(approvals!$H$2:$H$251,$A103,approvals!$B$2:$B$251,$B103,approvals!$P$2:$P$251,"Y"))</f>
        <v/>
      </c>
      <c r="AA103" s="30" t="str">
        <f aca="false">IF($A103="","",SUMIFS(approvals!$S$2:$S$251,approvals!$H$2:$H$251,$A103,approvals!$B$2:$B$251,$B103,approvals!$P$2:$P$251,"Y"))</f>
        <v/>
      </c>
      <c r="AB103" s="30" t="str">
        <f aca="false">IF(OR($A103="",$P103=""),"",IF(COUNTIFS(stops!$B$2:$B$151,$B103,stops!$P$2:$P$151,"&lt;"&amp;$P103,stops!$L$2:$L$151,"&lt;&gt;not_delivered")=0,"Y","N"))</f>
        <v/>
      </c>
      <c r="AC103" s="30" t="str">
        <f aca="false">IF(OR($I103="",$J103=""),"",ROUND(($J103-$I103)*1440,0))</f>
        <v/>
      </c>
      <c r="AD103" s="30" t="str">
        <f aca="true">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30" t="str">
        <f aca="false">IF($B103="","",IFERROR(IF(INDEX(offices!$H$2:$H$61,MATCH($B103,offices!$A$2:$A$61,0))="","",INDEX(offices!$H$2:$H$61,MATCH($B103,offices!$A$2:$A$61,0))),""))</f>
        <v/>
      </c>
      <c r="AF103" s="30" t="str">
        <f aca="false">IF($A103="","",IF(AND($L103="declined",N($Z103)&gt;0,COUNTIFS(approvals!$H$2:$H$251,$A103,approvals!$B$2:$B$251,$B103,approvals!$P$2:$P$251,"Y",approvals!$U$2:$U$251,"&gt;0")=0),"Y",""))</f>
        <v/>
      </c>
    </row>
    <row r="104" customFormat="false" ht="15" hidden="false" customHeight="false" outlineLevel="0" collapsed="false">
      <c r="D104" s="38"/>
      <c r="E104" s="11"/>
      <c r="F104" s="11"/>
      <c r="G104" s="11"/>
      <c r="I104" s="38"/>
      <c r="J104" s="38"/>
      <c r="K104" s="10"/>
      <c r="L104" s="10"/>
      <c r="N104" s="11"/>
      <c r="O104" s="10"/>
      <c r="P104" s="31" t="str">
        <f aca="false">IF($A104="","",IF(IFERROR(IF(INDEX(drops!$I$2:$I$21,MATCH($A104,drops!$A$2:$A$21,0))="","",INDEX(drops!$I$2:$I$21,MATCH($A104,drops!$A$2:$A$21,0))),"")="OK",IFERROR(IF(INDEX(drops!$B$2:$B$21,MATCH($A104,drops!$A$2:$A$21,0))="","",INDEX(drops!$B$2:$B$21,MATCH($A104,drops!$A$2:$A$21,0))),""),""))</f>
        <v/>
      </c>
      <c r="Q104" s="30" t="str">
        <f aca="false">IF($B104="","",IFERROR(IF(INDEX(offices!$O$2:$O$61,MATCH($B104,offices!$A$2:$A$61,0))="","",INDEX(offices!$O$2:$O$61,MATCH($B104,offices!$A$2:$A$61,0))),""))</f>
        <v/>
      </c>
      <c r="R104" s="30" t="str">
        <f aca="false">IF($B104="","",IFERROR(IF(INDEX(offices!$P$2:$P$61,MATCH($B104,offices!$A$2:$A$61,0))="","",INDEX(offices!$P$2:$P$61,MATCH($B104,offices!$A$2:$A$61,0))),""))</f>
        <v/>
      </c>
      <c r="S104" s="30" t="str">
        <f aca="false">IF($B104="","",IFERROR(IF(INDEX(offices!$Q$2:$Q$61,MATCH($B104,offices!$A$2:$A$61,0))="","",INDEX(offices!$Q$2:$Q$61,MATCH($B104,offices!$A$2:$A$61,0))),""))</f>
        <v/>
      </c>
      <c r="T104" s="30" t="str">
        <f aca="false">IF($B104="","",IFERROR(IF(INDEX(offices!$Z$2:$Z$61,MATCH($B104,offices!$A$2:$A$61,0))="","",INDEX(offices!$Z$2:$Z$61,MATCH($B104,offices!$A$2:$A$61,0))),""))</f>
        <v/>
      </c>
      <c r="U104" s="30" t="str">
        <f aca="false">IF($B104="","",IFERROR(IF(INDEX(offices!$Y$2:$Y$61,MATCH($B104,offices!$A$2:$A$61,0))="","",INDEX(offices!$Y$2:$Y$61,MATCH($B104,offices!$A$2:$A$61,0))),""))</f>
        <v/>
      </c>
      <c r="V104" s="30" t="str">
        <f aca="false">IF($B104="","",IFERROR(IF(INDEX(offices!$V$2:$V$61,MATCH($B104,offices!$A$2:$A$61,0))="","",INDEX(offices!$V$2:$V$61,MATCH($B104,offices!$A$2:$A$61,0))),""))</f>
        <v/>
      </c>
      <c r="W104" s="30" t="str">
        <f aca="false">IF($B104="","",IFERROR(IF(INDEX(offices!$AJ$2:$AJ$61,MATCH($B104,offices!$A$2:$A$61,0))="","",INDEX(offices!$AJ$2:$AJ$61,MATCH($B104,offices!$A$2:$A$61,0))),""))</f>
        <v/>
      </c>
      <c r="X104" s="30" t="str">
        <f aca="false">IF($B104="","",IFERROR(IF(INDEX(offices!$G$2:$G$61,MATCH($B104,offices!$A$2:$A$61,0))="","",INDEX(offices!$G$2:$G$61,MATCH($B104,offices!$A$2:$A$61,0))),""))</f>
        <v/>
      </c>
      <c r="Y104" s="30" t="str">
        <f aca="false">IF($B104="","",IFERROR(IF(INDEX(offices!$I$2:$I$61,MATCH($B104,offices!$A$2:$A$61,0))="","",INDEX(offices!$I$2:$I$61,MATCH($B104,offices!$A$2:$A$61,0))),""))</f>
        <v/>
      </c>
      <c r="Z104" s="30" t="str">
        <f aca="false">IF($A104="","",COUNTIFS(approvals!$H$2:$H$251,$A104,approvals!$B$2:$B$251,$B104,approvals!$P$2:$P$251,"Y"))</f>
        <v/>
      </c>
      <c r="AA104" s="30" t="str">
        <f aca="false">IF($A104="","",SUMIFS(approvals!$S$2:$S$251,approvals!$H$2:$H$251,$A104,approvals!$B$2:$B$251,$B104,approvals!$P$2:$P$251,"Y"))</f>
        <v/>
      </c>
      <c r="AB104" s="30" t="str">
        <f aca="false">IF(OR($A104="",$P104=""),"",IF(COUNTIFS(stops!$B$2:$B$151,$B104,stops!$P$2:$P$151,"&lt;"&amp;$P104,stops!$L$2:$L$151,"&lt;&gt;not_delivered")=0,"Y","N"))</f>
        <v/>
      </c>
      <c r="AC104" s="30" t="str">
        <f aca="false">IF(OR($I104="",$J104=""),"",ROUND(($J104-$I104)*1440,0))</f>
        <v/>
      </c>
      <c r="AD104" s="30" t="str">
        <f aca="true">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30" t="str">
        <f aca="false">IF($B104="","",IFERROR(IF(INDEX(offices!$H$2:$H$61,MATCH($B104,offices!$A$2:$A$61,0))="","",INDEX(offices!$H$2:$H$61,MATCH($B104,offices!$A$2:$A$61,0))),""))</f>
        <v/>
      </c>
      <c r="AF104" s="30" t="str">
        <f aca="false">IF($A104="","",IF(AND($L104="declined",N($Z104)&gt;0,COUNTIFS(approvals!$H$2:$H$251,$A104,approvals!$B$2:$B$251,$B104,approvals!$P$2:$P$251,"Y",approvals!$U$2:$U$251,"&gt;0")=0),"Y",""))</f>
        <v/>
      </c>
    </row>
    <row r="105" customFormat="false" ht="15" hidden="false" customHeight="false" outlineLevel="0" collapsed="false">
      <c r="D105" s="38"/>
      <c r="E105" s="11"/>
      <c r="F105" s="11"/>
      <c r="G105" s="11"/>
      <c r="I105" s="38"/>
      <c r="J105" s="38"/>
      <c r="K105" s="10"/>
      <c r="L105" s="10"/>
      <c r="N105" s="11"/>
      <c r="O105" s="10"/>
      <c r="P105" s="31" t="str">
        <f aca="false">IF($A105="","",IF(IFERROR(IF(INDEX(drops!$I$2:$I$21,MATCH($A105,drops!$A$2:$A$21,0))="","",INDEX(drops!$I$2:$I$21,MATCH($A105,drops!$A$2:$A$21,0))),"")="OK",IFERROR(IF(INDEX(drops!$B$2:$B$21,MATCH($A105,drops!$A$2:$A$21,0))="","",INDEX(drops!$B$2:$B$21,MATCH($A105,drops!$A$2:$A$21,0))),""),""))</f>
        <v/>
      </c>
      <c r="Q105" s="30" t="str">
        <f aca="false">IF($B105="","",IFERROR(IF(INDEX(offices!$O$2:$O$61,MATCH($B105,offices!$A$2:$A$61,0))="","",INDEX(offices!$O$2:$O$61,MATCH($B105,offices!$A$2:$A$61,0))),""))</f>
        <v/>
      </c>
      <c r="R105" s="30" t="str">
        <f aca="false">IF($B105="","",IFERROR(IF(INDEX(offices!$P$2:$P$61,MATCH($B105,offices!$A$2:$A$61,0))="","",INDEX(offices!$P$2:$P$61,MATCH($B105,offices!$A$2:$A$61,0))),""))</f>
        <v/>
      </c>
      <c r="S105" s="30" t="str">
        <f aca="false">IF($B105="","",IFERROR(IF(INDEX(offices!$Q$2:$Q$61,MATCH($B105,offices!$A$2:$A$61,0))="","",INDEX(offices!$Q$2:$Q$61,MATCH($B105,offices!$A$2:$A$61,0))),""))</f>
        <v/>
      </c>
      <c r="T105" s="30" t="str">
        <f aca="false">IF($B105="","",IFERROR(IF(INDEX(offices!$Z$2:$Z$61,MATCH($B105,offices!$A$2:$A$61,0))="","",INDEX(offices!$Z$2:$Z$61,MATCH($B105,offices!$A$2:$A$61,0))),""))</f>
        <v/>
      </c>
      <c r="U105" s="30" t="str">
        <f aca="false">IF($B105="","",IFERROR(IF(INDEX(offices!$Y$2:$Y$61,MATCH($B105,offices!$A$2:$A$61,0))="","",INDEX(offices!$Y$2:$Y$61,MATCH($B105,offices!$A$2:$A$61,0))),""))</f>
        <v/>
      </c>
      <c r="V105" s="30" t="str">
        <f aca="false">IF($B105="","",IFERROR(IF(INDEX(offices!$V$2:$V$61,MATCH($B105,offices!$A$2:$A$61,0))="","",INDEX(offices!$V$2:$V$61,MATCH($B105,offices!$A$2:$A$61,0))),""))</f>
        <v/>
      </c>
      <c r="W105" s="30" t="str">
        <f aca="false">IF($B105="","",IFERROR(IF(INDEX(offices!$AJ$2:$AJ$61,MATCH($B105,offices!$A$2:$A$61,0))="","",INDEX(offices!$AJ$2:$AJ$61,MATCH($B105,offices!$A$2:$A$61,0))),""))</f>
        <v/>
      </c>
      <c r="X105" s="30" t="str">
        <f aca="false">IF($B105="","",IFERROR(IF(INDEX(offices!$G$2:$G$61,MATCH($B105,offices!$A$2:$A$61,0))="","",INDEX(offices!$G$2:$G$61,MATCH($B105,offices!$A$2:$A$61,0))),""))</f>
        <v/>
      </c>
      <c r="Y105" s="30" t="str">
        <f aca="false">IF($B105="","",IFERROR(IF(INDEX(offices!$I$2:$I$61,MATCH($B105,offices!$A$2:$A$61,0))="","",INDEX(offices!$I$2:$I$61,MATCH($B105,offices!$A$2:$A$61,0))),""))</f>
        <v/>
      </c>
      <c r="Z105" s="30" t="str">
        <f aca="false">IF($A105="","",COUNTIFS(approvals!$H$2:$H$251,$A105,approvals!$B$2:$B$251,$B105,approvals!$P$2:$P$251,"Y"))</f>
        <v/>
      </c>
      <c r="AA105" s="30" t="str">
        <f aca="false">IF($A105="","",SUMIFS(approvals!$S$2:$S$251,approvals!$H$2:$H$251,$A105,approvals!$B$2:$B$251,$B105,approvals!$P$2:$P$251,"Y"))</f>
        <v/>
      </c>
      <c r="AB105" s="30" t="str">
        <f aca="false">IF(OR($A105="",$P105=""),"",IF(COUNTIFS(stops!$B$2:$B$151,$B105,stops!$P$2:$P$151,"&lt;"&amp;$P105,stops!$L$2:$L$151,"&lt;&gt;not_delivered")=0,"Y","N"))</f>
        <v/>
      </c>
      <c r="AC105" s="30" t="str">
        <f aca="false">IF(OR($I105="",$J105=""),"",ROUND(($J105-$I105)*1440,0))</f>
        <v/>
      </c>
      <c r="AD105" s="30" t="str">
        <f aca="true">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30" t="str">
        <f aca="false">IF($B105="","",IFERROR(IF(INDEX(offices!$H$2:$H$61,MATCH($B105,offices!$A$2:$A$61,0))="","",INDEX(offices!$H$2:$H$61,MATCH($B105,offices!$A$2:$A$61,0))),""))</f>
        <v/>
      </c>
      <c r="AF105" s="30" t="str">
        <f aca="false">IF($A105="","",IF(AND($L105="declined",N($Z105)&gt;0,COUNTIFS(approvals!$H$2:$H$251,$A105,approvals!$B$2:$B$251,$B105,approvals!$P$2:$P$251,"Y",approvals!$U$2:$U$251,"&gt;0")=0),"Y",""))</f>
        <v/>
      </c>
    </row>
    <row r="106" customFormat="false" ht="15" hidden="false" customHeight="false" outlineLevel="0" collapsed="false">
      <c r="D106" s="38"/>
      <c r="E106" s="11"/>
      <c r="F106" s="11"/>
      <c r="G106" s="11"/>
      <c r="I106" s="38"/>
      <c r="J106" s="38"/>
      <c r="K106" s="10"/>
      <c r="L106" s="10"/>
      <c r="N106" s="11"/>
      <c r="O106" s="10"/>
      <c r="P106" s="31" t="str">
        <f aca="false">IF($A106="","",IF(IFERROR(IF(INDEX(drops!$I$2:$I$21,MATCH($A106,drops!$A$2:$A$21,0))="","",INDEX(drops!$I$2:$I$21,MATCH($A106,drops!$A$2:$A$21,0))),"")="OK",IFERROR(IF(INDEX(drops!$B$2:$B$21,MATCH($A106,drops!$A$2:$A$21,0))="","",INDEX(drops!$B$2:$B$21,MATCH($A106,drops!$A$2:$A$21,0))),""),""))</f>
        <v/>
      </c>
      <c r="Q106" s="30" t="str">
        <f aca="false">IF($B106="","",IFERROR(IF(INDEX(offices!$O$2:$O$61,MATCH($B106,offices!$A$2:$A$61,0))="","",INDEX(offices!$O$2:$O$61,MATCH($B106,offices!$A$2:$A$61,0))),""))</f>
        <v/>
      </c>
      <c r="R106" s="30" t="str">
        <f aca="false">IF($B106="","",IFERROR(IF(INDEX(offices!$P$2:$P$61,MATCH($B106,offices!$A$2:$A$61,0))="","",INDEX(offices!$P$2:$P$61,MATCH($B106,offices!$A$2:$A$61,0))),""))</f>
        <v/>
      </c>
      <c r="S106" s="30" t="str">
        <f aca="false">IF($B106="","",IFERROR(IF(INDEX(offices!$Q$2:$Q$61,MATCH($B106,offices!$A$2:$A$61,0))="","",INDEX(offices!$Q$2:$Q$61,MATCH($B106,offices!$A$2:$A$61,0))),""))</f>
        <v/>
      </c>
      <c r="T106" s="30" t="str">
        <f aca="false">IF($B106="","",IFERROR(IF(INDEX(offices!$Z$2:$Z$61,MATCH($B106,offices!$A$2:$A$61,0))="","",INDEX(offices!$Z$2:$Z$61,MATCH($B106,offices!$A$2:$A$61,0))),""))</f>
        <v/>
      </c>
      <c r="U106" s="30" t="str">
        <f aca="false">IF($B106="","",IFERROR(IF(INDEX(offices!$Y$2:$Y$61,MATCH($B106,offices!$A$2:$A$61,0))="","",INDEX(offices!$Y$2:$Y$61,MATCH($B106,offices!$A$2:$A$61,0))),""))</f>
        <v/>
      </c>
      <c r="V106" s="30" t="str">
        <f aca="false">IF($B106="","",IFERROR(IF(INDEX(offices!$V$2:$V$61,MATCH($B106,offices!$A$2:$A$61,0))="","",INDEX(offices!$V$2:$V$61,MATCH($B106,offices!$A$2:$A$61,0))),""))</f>
        <v/>
      </c>
      <c r="W106" s="30" t="str">
        <f aca="false">IF($B106="","",IFERROR(IF(INDEX(offices!$AJ$2:$AJ$61,MATCH($B106,offices!$A$2:$A$61,0))="","",INDEX(offices!$AJ$2:$AJ$61,MATCH($B106,offices!$A$2:$A$61,0))),""))</f>
        <v/>
      </c>
      <c r="X106" s="30" t="str">
        <f aca="false">IF($B106="","",IFERROR(IF(INDEX(offices!$G$2:$G$61,MATCH($B106,offices!$A$2:$A$61,0))="","",INDEX(offices!$G$2:$G$61,MATCH($B106,offices!$A$2:$A$61,0))),""))</f>
        <v/>
      </c>
      <c r="Y106" s="30" t="str">
        <f aca="false">IF($B106="","",IFERROR(IF(INDEX(offices!$I$2:$I$61,MATCH($B106,offices!$A$2:$A$61,0))="","",INDEX(offices!$I$2:$I$61,MATCH($B106,offices!$A$2:$A$61,0))),""))</f>
        <v/>
      </c>
      <c r="Z106" s="30" t="str">
        <f aca="false">IF($A106="","",COUNTIFS(approvals!$H$2:$H$251,$A106,approvals!$B$2:$B$251,$B106,approvals!$P$2:$P$251,"Y"))</f>
        <v/>
      </c>
      <c r="AA106" s="30" t="str">
        <f aca="false">IF($A106="","",SUMIFS(approvals!$S$2:$S$251,approvals!$H$2:$H$251,$A106,approvals!$B$2:$B$251,$B106,approvals!$P$2:$P$251,"Y"))</f>
        <v/>
      </c>
      <c r="AB106" s="30" t="str">
        <f aca="false">IF(OR($A106="",$P106=""),"",IF(COUNTIFS(stops!$B$2:$B$151,$B106,stops!$P$2:$P$151,"&lt;"&amp;$P106,stops!$L$2:$L$151,"&lt;&gt;not_delivered")=0,"Y","N"))</f>
        <v/>
      </c>
      <c r="AC106" s="30" t="str">
        <f aca="false">IF(OR($I106="",$J106=""),"",ROUND(($J106-$I106)*1440,0))</f>
        <v/>
      </c>
      <c r="AD106" s="30" t="str">
        <f aca="true">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30" t="str">
        <f aca="false">IF($B106="","",IFERROR(IF(INDEX(offices!$H$2:$H$61,MATCH($B106,offices!$A$2:$A$61,0))="","",INDEX(offices!$H$2:$H$61,MATCH($B106,offices!$A$2:$A$61,0))),""))</f>
        <v/>
      </c>
      <c r="AF106" s="30" t="str">
        <f aca="false">IF($A106="","",IF(AND($L106="declined",N($Z106)&gt;0,COUNTIFS(approvals!$H$2:$H$251,$A106,approvals!$B$2:$B$251,$B106,approvals!$P$2:$P$251,"Y",approvals!$U$2:$U$251,"&gt;0")=0),"Y",""))</f>
        <v/>
      </c>
    </row>
    <row r="107" customFormat="false" ht="15" hidden="false" customHeight="false" outlineLevel="0" collapsed="false">
      <c r="D107" s="38"/>
      <c r="E107" s="11"/>
      <c r="F107" s="11"/>
      <c r="G107" s="11"/>
      <c r="I107" s="38"/>
      <c r="J107" s="38"/>
      <c r="K107" s="10"/>
      <c r="L107" s="10"/>
      <c r="N107" s="11"/>
      <c r="O107" s="10"/>
      <c r="P107" s="31" t="str">
        <f aca="false">IF($A107="","",IF(IFERROR(IF(INDEX(drops!$I$2:$I$21,MATCH($A107,drops!$A$2:$A$21,0))="","",INDEX(drops!$I$2:$I$21,MATCH($A107,drops!$A$2:$A$21,0))),"")="OK",IFERROR(IF(INDEX(drops!$B$2:$B$21,MATCH($A107,drops!$A$2:$A$21,0))="","",INDEX(drops!$B$2:$B$21,MATCH($A107,drops!$A$2:$A$21,0))),""),""))</f>
        <v/>
      </c>
      <c r="Q107" s="30" t="str">
        <f aca="false">IF($B107="","",IFERROR(IF(INDEX(offices!$O$2:$O$61,MATCH($B107,offices!$A$2:$A$61,0))="","",INDEX(offices!$O$2:$O$61,MATCH($B107,offices!$A$2:$A$61,0))),""))</f>
        <v/>
      </c>
      <c r="R107" s="30" t="str">
        <f aca="false">IF($B107="","",IFERROR(IF(INDEX(offices!$P$2:$P$61,MATCH($B107,offices!$A$2:$A$61,0))="","",INDEX(offices!$P$2:$P$61,MATCH($B107,offices!$A$2:$A$61,0))),""))</f>
        <v/>
      </c>
      <c r="S107" s="30" t="str">
        <f aca="false">IF($B107="","",IFERROR(IF(INDEX(offices!$Q$2:$Q$61,MATCH($B107,offices!$A$2:$A$61,0))="","",INDEX(offices!$Q$2:$Q$61,MATCH($B107,offices!$A$2:$A$61,0))),""))</f>
        <v/>
      </c>
      <c r="T107" s="30" t="str">
        <f aca="false">IF($B107="","",IFERROR(IF(INDEX(offices!$Z$2:$Z$61,MATCH($B107,offices!$A$2:$A$61,0))="","",INDEX(offices!$Z$2:$Z$61,MATCH($B107,offices!$A$2:$A$61,0))),""))</f>
        <v/>
      </c>
      <c r="U107" s="30" t="str">
        <f aca="false">IF($B107="","",IFERROR(IF(INDEX(offices!$Y$2:$Y$61,MATCH($B107,offices!$A$2:$A$61,0))="","",INDEX(offices!$Y$2:$Y$61,MATCH($B107,offices!$A$2:$A$61,0))),""))</f>
        <v/>
      </c>
      <c r="V107" s="30" t="str">
        <f aca="false">IF($B107="","",IFERROR(IF(INDEX(offices!$V$2:$V$61,MATCH($B107,offices!$A$2:$A$61,0))="","",INDEX(offices!$V$2:$V$61,MATCH($B107,offices!$A$2:$A$61,0))),""))</f>
        <v/>
      </c>
      <c r="W107" s="30" t="str">
        <f aca="false">IF($B107="","",IFERROR(IF(INDEX(offices!$AJ$2:$AJ$61,MATCH($B107,offices!$A$2:$A$61,0))="","",INDEX(offices!$AJ$2:$AJ$61,MATCH($B107,offices!$A$2:$A$61,0))),""))</f>
        <v/>
      </c>
      <c r="X107" s="30" t="str">
        <f aca="false">IF($B107="","",IFERROR(IF(INDEX(offices!$G$2:$G$61,MATCH($B107,offices!$A$2:$A$61,0))="","",INDEX(offices!$G$2:$G$61,MATCH($B107,offices!$A$2:$A$61,0))),""))</f>
        <v/>
      </c>
      <c r="Y107" s="30" t="str">
        <f aca="false">IF($B107="","",IFERROR(IF(INDEX(offices!$I$2:$I$61,MATCH($B107,offices!$A$2:$A$61,0))="","",INDEX(offices!$I$2:$I$61,MATCH($B107,offices!$A$2:$A$61,0))),""))</f>
        <v/>
      </c>
      <c r="Z107" s="30" t="str">
        <f aca="false">IF($A107="","",COUNTIFS(approvals!$H$2:$H$251,$A107,approvals!$B$2:$B$251,$B107,approvals!$P$2:$P$251,"Y"))</f>
        <v/>
      </c>
      <c r="AA107" s="30" t="str">
        <f aca="false">IF($A107="","",SUMIFS(approvals!$S$2:$S$251,approvals!$H$2:$H$251,$A107,approvals!$B$2:$B$251,$B107,approvals!$P$2:$P$251,"Y"))</f>
        <v/>
      </c>
      <c r="AB107" s="30" t="str">
        <f aca="false">IF(OR($A107="",$P107=""),"",IF(COUNTIFS(stops!$B$2:$B$151,$B107,stops!$P$2:$P$151,"&lt;"&amp;$P107,stops!$L$2:$L$151,"&lt;&gt;not_delivered")=0,"Y","N"))</f>
        <v/>
      </c>
      <c r="AC107" s="30" t="str">
        <f aca="false">IF(OR($I107="",$J107=""),"",ROUND(($J107-$I107)*1440,0))</f>
        <v/>
      </c>
      <c r="AD107" s="30" t="str">
        <f aca="true">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30" t="str">
        <f aca="false">IF($B107="","",IFERROR(IF(INDEX(offices!$H$2:$H$61,MATCH($B107,offices!$A$2:$A$61,0))="","",INDEX(offices!$H$2:$H$61,MATCH($B107,offices!$A$2:$A$61,0))),""))</f>
        <v/>
      </c>
      <c r="AF107" s="30" t="str">
        <f aca="false">IF($A107="","",IF(AND($L107="declined",N($Z107)&gt;0,COUNTIFS(approvals!$H$2:$H$251,$A107,approvals!$B$2:$B$251,$B107,approvals!$P$2:$P$251,"Y",approvals!$U$2:$U$251,"&gt;0")=0),"Y",""))</f>
        <v/>
      </c>
    </row>
    <row r="108" customFormat="false" ht="15" hidden="false" customHeight="false" outlineLevel="0" collapsed="false">
      <c r="D108" s="38"/>
      <c r="E108" s="11"/>
      <c r="F108" s="11"/>
      <c r="G108" s="11"/>
      <c r="I108" s="38"/>
      <c r="J108" s="38"/>
      <c r="K108" s="10"/>
      <c r="L108" s="10"/>
      <c r="N108" s="11"/>
      <c r="O108" s="10"/>
      <c r="P108" s="31" t="str">
        <f aca="false">IF($A108="","",IF(IFERROR(IF(INDEX(drops!$I$2:$I$21,MATCH($A108,drops!$A$2:$A$21,0))="","",INDEX(drops!$I$2:$I$21,MATCH($A108,drops!$A$2:$A$21,0))),"")="OK",IFERROR(IF(INDEX(drops!$B$2:$B$21,MATCH($A108,drops!$A$2:$A$21,0))="","",INDEX(drops!$B$2:$B$21,MATCH($A108,drops!$A$2:$A$21,0))),""),""))</f>
        <v/>
      </c>
      <c r="Q108" s="30" t="str">
        <f aca="false">IF($B108="","",IFERROR(IF(INDEX(offices!$O$2:$O$61,MATCH($B108,offices!$A$2:$A$61,0))="","",INDEX(offices!$O$2:$O$61,MATCH($B108,offices!$A$2:$A$61,0))),""))</f>
        <v/>
      </c>
      <c r="R108" s="30" t="str">
        <f aca="false">IF($B108="","",IFERROR(IF(INDEX(offices!$P$2:$P$61,MATCH($B108,offices!$A$2:$A$61,0))="","",INDEX(offices!$P$2:$P$61,MATCH($B108,offices!$A$2:$A$61,0))),""))</f>
        <v/>
      </c>
      <c r="S108" s="30" t="str">
        <f aca="false">IF($B108="","",IFERROR(IF(INDEX(offices!$Q$2:$Q$61,MATCH($B108,offices!$A$2:$A$61,0))="","",INDEX(offices!$Q$2:$Q$61,MATCH($B108,offices!$A$2:$A$61,0))),""))</f>
        <v/>
      </c>
      <c r="T108" s="30" t="str">
        <f aca="false">IF($B108="","",IFERROR(IF(INDEX(offices!$Z$2:$Z$61,MATCH($B108,offices!$A$2:$A$61,0))="","",INDEX(offices!$Z$2:$Z$61,MATCH($B108,offices!$A$2:$A$61,0))),""))</f>
        <v/>
      </c>
      <c r="U108" s="30" t="str">
        <f aca="false">IF($B108="","",IFERROR(IF(INDEX(offices!$Y$2:$Y$61,MATCH($B108,offices!$A$2:$A$61,0))="","",INDEX(offices!$Y$2:$Y$61,MATCH($B108,offices!$A$2:$A$61,0))),""))</f>
        <v/>
      </c>
      <c r="V108" s="30" t="str">
        <f aca="false">IF($B108="","",IFERROR(IF(INDEX(offices!$V$2:$V$61,MATCH($B108,offices!$A$2:$A$61,0))="","",INDEX(offices!$V$2:$V$61,MATCH($B108,offices!$A$2:$A$61,0))),""))</f>
        <v/>
      </c>
      <c r="W108" s="30" t="str">
        <f aca="false">IF($B108="","",IFERROR(IF(INDEX(offices!$AJ$2:$AJ$61,MATCH($B108,offices!$A$2:$A$61,0))="","",INDEX(offices!$AJ$2:$AJ$61,MATCH($B108,offices!$A$2:$A$61,0))),""))</f>
        <v/>
      </c>
      <c r="X108" s="30" t="str">
        <f aca="false">IF($B108="","",IFERROR(IF(INDEX(offices!$G$2:$G$61,MATCH($B108,offices!$A$2:$A$61,0))="","",INDEX(offices!$G$2:$G$61,MATCH($B108,offices!$A$2:$A$61,0))),""))</f>
        <v/>
      </c>
      <c r="Y108" s="30" t="str">
        <f aca="false">IF($B108="","",IFERROR(IF(INDEX(offices!$I$2:$I$61,MATCH($B108,offices!$A$2:$A$61,0))="","",INDEX(offices!$I$2:$I$61,MATCH($B108,offices!$A$2:$A$61,0))),""))</f>
        <v/>
      </c>
      <c r="Z108" s="30" t="str">
        <f aca="false">IF($A108="","",COUNTIFS(approvals!$H$2:$H$251,$A108,approvals!$B$2:$B$251,$B108,approvals!$P$2:$P$251,"Y"))</f>
        <v/>
      </c>
      <c r="AA108" s="30" t="str">
        <f aca="false">IF($A108="","",SUMIFS(approvals!$S$2:$S$251,approvals!$H$2:$H$251,$A108,approvals!$B$2:$B$251,$B108,approvals!$P$2:$P$251,"Y"))</f>
        <v/>
      </c>
      <c r="AB108" s="30" t="str">
        <f aca="false">IF(OR($A108="",$P108=""),"",IF(COUNTIFS(stops!$B$2:$B$151,$B108,stops!$P$2:$P$151,"&lt;"&amp;$P108,stops!$L$2:$L$151,"&lt;&gt;not_delivered")=0,"Y","N"))</f>
        <v/>
      </c>
      <c r="AC108" s="30" t="str">
        <f aca="false">IF(OR($I108="",$J108=""),"",ROUND(($J108-$I108)*1440,0))</f>
        <v/>
      </c>
      <c r="AD108" s="30" t="str">
        <f aca="true">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30" t="str">
        <f aca="false">IF($B108="","",IFERROR(IF(INDEX(offices!$H$2:$H$61,MATCH($B108,offices!$A$2:$A$61,0))="","",INDEX(offices!$H$2:$H$61,MATCH($B108,offices!$A$2:$A$61,0))),""))</f>
        <v/>
      </c>
      <c r="AF108" s="30" t="str">
        <f aca="false">IF($A108="","",IF(AND($L108="declined",N($Z108)&gt;0,COUNTIFS(approvals!$H$2:$H$251,$A108,approvals!$B$2:$B$251,$B108,approvals!$P$2:$P$251,"Y",approvals!$U$2:$U$251,"&gt;0")=0),"Y",""))</f>
        <v/>
      </c>
    </row>
    <row r="109" customFormat="false" ht="15" hidden="false" customHeight="false" outlineLevel="0" collapsed="false">
      <c r="D109" s="38"/>
      <c r="E109" s="11"/>
      <c r="F109" s="11"/>
      <c r="G109" s="11"/>
      <c r="I109" s="38"/>
      <c r="J109" s="38"/>
      <c r="K109" s="10"/>
      <c r="L109" s="10"/>
      <c r="N109" s="11"/>
      <c r="O109" s="10"/>
      <c r="P109" s="31" t="str">
        <f aca="false">IF($A109="","",IF(IFERROR(IF(INDEX(drops!$I$2:$I$21,MATCH($A109,drops!$A$2:$A$21,0))="","",INDEX(drops!$I$2:$I$21,MATCH($A109,drops!$A$2:$A$21,0))),"")="OK",IFERROR(IF(INDEX(drops!$B$2:$B$21,MATCH($A109,drops!$A$2:$A$21,0))="","",INDEX(drops!$B$2:$B$21,MATCH($A109,drops!$A$2:$A$21,0))),""),""))</f>
        <v/>
      </c>
      <c r="Q109" s="30" t="str">
        <f aca="false">IF($B109="","",IFERROR(IF(INDEX(offices!$O$2:$O$61,MATCH($B109,offices!$A$2:$A$61,0))="","",INDEX(offices!$O$2:$O$61,MATCH($B109,offices!$A$2:$A$61,0))),""))</f>
        <v/>
      </c>
      <c r="R109" s="30" t="str">
        <f aca="false">IF($B109="","",IFERROR(IF(INDEX(offices!$P$2:$P$61,MATCH($B109,offices!$A$2:$A$61,0))="","",INDEX(offices!$P$2:$P$61,MATCH($B109,offices!$A$2:$A$61,0))),""))</f>
        <v/>
      </c>
      <c r="S109" s="30" t="str">
        <f aca="false">IF($B109="","",IFERROR(IF(INDEX(offices!$Q$2:$Q$61,MATCH($B109,offices!$A$2:$A$61,0))="","",INDEX(offices!$Q$2:$Q$61,MATCH($B109,offices!$A$2:$A$61,0))),""))</f>
        <v/>
      </c>
      <c r="T109" s="30" t="str">
        <f aca="false">IF($B109="","",IFERROR(IF(INDEX(offices!$Z$2:$Z$61,MATCH($B109,offices!$A$2:$A$61,0))="","",INDEX(offices!$Z$2:$Z$61,MATCH($B109,offices!$A$2:$A$61,0))),""))</f>
        <v/>
      </c>
      <c r="U109" s="30" t="str">
        <f aca="false">IF($B109="","",IFERROR(IF(INDEX(offices!$Y$2:$Y$61,MATCH($B109,offices!$A$2:$A$61,0))="","",INDEX(offices!$Y$2:$Y$61,MATCH($B109,offices!$A$2:$A$61,0))),""))</f>
        <v/>
      </c>
      <c r="V109" s="30" t="str">
        <f aca="false">IF($B109="","",IFERROR(IF(INDEX(offices!$V$2:$V$61,MATCH($B109,offices!$A$2:$A$61,0))="","",INDEX(offices!$V$2:$V$61,MATCH($B109,offices!$A$2:$A$61,0))),""))</f>
        <v/>
      </c>
      <c r="W109" s="30" t="str">
        <f aca="false">IF($B109="","",IFERROR(IF(INDEX(offices!$AJ$2:$AJ$61,MATCH($B109,offices!$A$2:$A$61,0))="","",INDEX(offices!$AJ$2:$AJ$61,MATCH($B109,offices!$A$2:$A$61,0))),""))</f>
        <v/>
      </c>
      <c r="X109" s="30" t="str">
        <f aca="false">IF($B109="","",IFERROR(IF(INDEX(offices!$G$2:$G$61,MATCH($B109,offices!$A$2:$A$61,0))="","",INDEX(offices!$G$2:$G$61,MATCH($B109,offices!$A$2:$A$61,0))),""))</f>
        <v/>
      </c>
      <c r="Y109" s="30" t="str">
        <f aca="false">IF($B109="","",IFERROR(IF(INDEX(offices!$I$2:$I$61,MATCH($B109,offices!$A$2:$A$61,0))="","",INDEX(offices!$I$2:$I$61,MATCH($B109,offices!$A$2:$A$61,0))),""))</f>
        <v/>
      </c>
      <c r="Z109" s="30" t="str">
        <f aca="false">IF($A109="","",COUNTIFS(approvals!$H$2:$H$251,$A109,approvals!$B$2:$B$251,$B109,approvals!$P$2:$P$251,"Y"))</f>
        <v/>
      </c>
      <c r="AA109" s="30" t="str">
        <f aca="false">IF($A109="","",SUMIFS(approvals!$S$2:$S$251,approvals!$H$2:$H$251,$A109,approvals!$B$2:$B$251,$B109,approvals!$P$2:$P$251,"Y"))</f>
        <v/>
      </c>
      <c r="AB109" s="30" t="str">
        <f aca="false">IF(OR($A109="",$P109=""),"",IF(COUNTIFS(stops!$B$2:$B$151,$B109,stops!$P$2:$P$151,"&lt;"&amp;$P109,stops!$L$2:$L$151,"&lt;&gt;not_delivered")=0,"Y","N"))</f>
        <v/>
      </c>
      <c r="AC109" s="30" t="str">
        <f aca="false">IF(OR($I109="",$J109=""),"",ROUND(($J109-$I109)*1440,0))</f>
        <v/>
      </c>
      <c r="AD109" s="30" t="str">
        <f aca="true">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30" t="str">
        <f aca="false">IF($B109="","",IFERROR(IF(INDEX(offices!$H$2:$H$61,MATCH($B109,offices!$A$2:$A$61,0))="","",INDEX(offices!$H$2:$H$61,MATCH($B109,offices!$A$2:$A$61,0))),""))</f>
        <v/>
      </c>
      <c r="AF109" s="30" t="str">
        <f aca="false">IF($A109="","",IF(AND($L109="declined",N($Z109)&gt;0,COUNTIFS(approvals!$H$2:$H$251,$A109,approvals!$B$2:$B$251,$B109,approvals!$P$2:$P$251,"Y",approvals!$U$2:$U$251,"&gt;0")=0),"Y",""))</f>
        <v/>
      </c>
    </row>
    <row r="110" customFormat="false" ht="15" hidden="false" customHeight="false" outlineLevel="0" collapsed="false">
      <c r="D110" s="38"/>
      <c r="E110" s="11"/>
      <c r="F110" s="11"/>
      <c r="G110" s="11"/>
      <c r="I110" s="38"/>
      <c r="J110" s="38"/>
      <c r="K110" s="10"/>
      <c r="L110" s="10"/>
      <c r="N110" s="11"/>
      <c r="O110" s="10"/>
      <c r="P110" s="31" t="str">
        <f aca="false">IF($A110="","",IF(IFERROR(IF(INDEX(drops!$I$2:$I$21,MATCH($A110,drops!$A$2:$A$21,0))="","",INDEX(drops!$I$2:$I$21,MATCH($A110,drops!$A$2:$A$21,0))),"")="OK",IFERROR(IF(INDEX(drops!$B$2:$B$21,MATCH($A110,drops!$A$2:$A$21,0))="","",INDEX(drops!$B$2:$B$21,MATCH($A110,drops!$A$2:$A$21,0))),""),""))</f>
        <v/>
      </c>
      <c r="Q110" s="30" t="str">
        <f aca="false">IF($B110="","",IFERROR(IF(INDEX(offices!$O$2:$O$61,MATCH($B110,offices!$A$2:$A$61,0))="","",INDEX(offices!$O$2:$O$61,MATCH($B110,offices!$A$2:$A$61,0))),""))</f>
        <v/>
      </c>
      <c r="R110" s="30" t="str">
        <f aca="false">IF($B110="","",IFERROR(IF(INDEX(offices!$P$2:$P$61,MATCH($B110,offices!$A$2:$A$61,0))="","",INDEX(offices!$P$2:$P$61,MATCH($B110,offices!$A$2:$A$61,0))),""))</f>
        <v/>
      </c>
      <c r="S110" s="30" t="str">
        <f aca="false">IF($B110="","",IFERROR(IF(INDEX(offices!$Q$2:$Q$61,MATCH($B110,offices!$A$2:$A$61,0))="","",INDEX(offices!$Q$2:$Q$61,MATCH($B110,offices!$A$2:$A$61,0))),""))</f>
        <v/>
      </c>
      <c r="T110" s="30" t="str">
        <f aca="false">IF($B110="","",IFERROR(IF(INDEX(offices!$Z$2:$Z$61,MATCH($B110,offices!$A$2:$A$61,0))="","",INDEX(offices!$Z$2:$Z$61,MATCH($B110,offices!$A$2:$A$61,0))),""))</f>
        <v/>
      </c>
      <c r="U110" s="30" t="str">
        <f aca="false">IF($B110="","",IFERROR(IF(INDEX(offices!$Y$2:$Y$61,MATCH($B110,offices!$A$2:$A$61,0))="","",INDEX(offices!$Y$2:$Y$61,MATCH($B110,offices!$A$2:$A$61,0))),""))</f>
        <v/>
      </c>
      <c r="V110" s="30" t="str">
        <f aca="false">IF($B110="","",IFERROR(IF(INDEX(offices!$V$2:$V$61,MATCH($B110,offices!$A$2:$A$61,0))="","",INDEX(offices!$V$2:$V$61,MATCH($B110,offices!$A$2:$A$61,0))),""))</f>
        <v/>
      </c>
      <c r="W110" s="30" t="str">
        <f aca="false">IF($B110="","",IFERROR(IF(INDEX(offices!$AJ$2:$AJ$61,MATCH($B110,offices!$A$2:$A$61,0))="","",INDEX(offices!$AJ$2:$AJ$61,MATCH($B110,offices!$A$2:$A$61,0))),""))</f>
        <v/>
      </c>
      <c r="X110" s="30" t="str">
        <f aca="false">IF($B110="","",IFERROR(IF(INDEX(offices!$G$2:$G$61,MATCH($B110,offices!$A$2:$A$61,0))="","",INDEX(offices!$G$2:$G$61,MATCH($B110,offices!$A$2:$A$61,0))),""))</f>
        <v/>
      </c>
      <c r="Y110" s="30" t="str">
        <f aca="false">IF($B110="","",IFERROR(IF(INDEX(offices!$I$2:$I$61,MATCH($B110,offices!$A$2:$A$61,0))="","",INDEX(offices!$I$2:$I$61,MATCH($B110,offices!$A$2:$A$61,0))),""))</f>
        <v/>
      </c>
      <c r="Z110" s="30" t="str">
        <f aca="false">IF($A110="","",COUNTIFS(approvals!$H$2:$H$251,$A110,approvals!$B$2:$B$251,$B110,approvals!$P$2:$P$251,"Y"))</f>
        <v/>
      </c>
      <c r="AA110" s="30" t="str">
        <f aca="false">IF($A110="","",SUMIFS(approvals!$S$2:$S$251,approvals!$H$2:$H$251,$A110,approvals!$B$2:$B$251,$B110,approvals!$P$2:$P$251,"Y"))</f>
        <v/>
      </c>
      <c r="AB110" s="30" t="str">
        <f aca="false">IF(OR($A110="",$P110=""),"",IF(COUNTIFS(stops!$B$2:$B$151,$B110,stops!$P$2:$P$151,"&lt;"&amp;$P110,stops!$L$2:$L$151,"&lt;&gt;not_delivered")=0,"Y","N"))</f>
        <v/>
      </c>
      <c r="AC110" s="30" t="str">
        <f aca="false">IF(OR($I110="",$J110=""),"",ROUND(($J110-$I110)*1440,0))</f>
        <v/>
      </c>
      <c r="AD110" s="30" t="str">
        <f aca="true">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30" t="str">
        <f aca="false">IF($B110="","",IFERROR(IF(INDEX(offices!$H$2:$H$61,MATCH($B110,offices!$A$2:$A$61,0))="","",INDEX(offices!$H$2:$H$61,MATCH($B110,offices!$A$2:$A$61,0))),""))</f>
        <v/>
      </c>
      <c r="AF110" s="30" t="str">
        <f aca="false">IF($A110="","",IF(AND($L110="declined",N($Z110)&gt;0,COUNTIFS(approvals!$H$2:$H$251,$A110,approvals!$B$2:$B$251,$B110,approvals!$P$2:$P$251,"Y",approvals!$U$2:$U$251,"&gt;0")=0),"Y",""))</f>
        <v/>
      </c>
    </row>
    <row r="111" customFormat="false" ht="15" hidden="false" customHeight="false" outlineLevel="0" collapsed="false">
      <c r="D111" s="38"/>
      <c r="E111" s="11"/>
      <c r="F111" s="11"/>
      <c r="G111" s="11"/>
      <c r="I111" s="38"/>
      <c r="J111" s="38"/>
      <c r="K111" s="10"/>
      <c r="L111" s="10"/>
      <c r="N111" s="11"/>
      <c r="O111" s="10"/>
      <c r="P111" s="31" t="str">
        <f aca="false">IF($A111="","",IF(IFERROR(IF(INDEX(drops!$I$2:$I$21,MATCH($A111,drops!$A$2:$A$21,0))="","",INDEX(drops!$I$2:$I$21,MATCH($A111,drops!$A$2:$A$21,0))),"")="OK",IFERROR(IF(INDEX(drops!$B$2:$B$21,MATCH($A111,drops!$A$2:$A$21,0))="","",INDEX(drops!$B$2:$B$21,MATCH($A111,drops!$A$2:$A$21,0))),""),""))</f>
        <v/>
      </c>
      <c r="Q111" s="30" t="str">
        <f aca="false">IF($B111="","",IFERROR(IF(INDEX(offices!$O$2:$O$61,MATCH($B111,offices!$A$2:$A$61,0))="","",INDEX(offices!$O$2:$O$61,MATCH($B111,offices!$A$2:$A$61,0))),""))</f>
        <v/>
      </c>
      <c r="R111" s="30" t="str">
        <f aca="false">IF($B111="","",IFERROR(IF(INDEX(offices!$P$2:$P$61,MATCH($B111,offices!$A$2:$A$61,0))="","",INDEX(offices!$P$2:$P$61,MATCH($B111,offices!$A$2:$A$61,0))),""))</f>
        <v/>
      </c>
      <c r="S111" s="30" t="str">
        <f aca="false">IF($B111="","",IFERROR(IF(INDEX(offices!$Q$2:$Q$61,MATCH($B111,offices!$A$2:$A$61,0))="","",INDEX(offices!$Q$2:$Q$61,MATCH($B111,offices!$A$2:$A$61,0))),""))</f>
        <v/>
      </c>
      <c r="T111" s="30" t="str">
        <f aca="false">IF($B111="","",IFERROR(IF(INDEX(offices!$Z$2:$Z$61,MATCH($B111,offices!$A$2:$A$61,0))="","",INDEX(offices!$Z$2:$Z$61,MATCH($B111,offices!$A$2:$A$61,0))),""))</f>
        <v/>
      </c>
      <c r="U111" s="30" t="str">
        <f aca="false">IF($B111="","",IFERROR(IF(INDEX(offices!$Y$2:$Y$61,MATCH($B111,offices!$A$2:$A$61,0))="","",INDEX(offices!$Y$2:$Y$61,MATCH($B111,offices!$A$2:$A$61,0))),""))</f>
        <v/>
      </c>
      <c r="V111" s="30" t="str">
        <f aca="false">IF($B111="","",IFERROR(IF(INDEX(offices!$V$2:$V$61,MATCH($B111,offices!$A$2:$A$61,0))="","",INDEX(offices!$V$2:$V$61,MATCH($B111,offices!$A$2:$A$61,0))),""))</f>
        <v/>
      </c>
      <c r="W111" s="30" t="str">
        <f aca="false">IF($B111="","",IFERROR(IF(INDEX(offices!$AJ$2:$AJ$61,MATCH($B111,offices!$A$2:$A$61,0))="","",INDEX(offices!$AJ$2:$AJ$61,MATCH($B111,offices!$A$2:$A$61,0))),""))</f>
        <v/>
      </c>
      <c r="X111" s="30" t="str">
        <f aca="false">IF($B111="","",IFERROR(IF(INDEX(offices!$G$2:$G$61,MATCH($B111,offices!$A$2:$A$61,0))="","",INDEX(offices!$G$2:$G$61,MATCH($B111,offices!$A$2:$A$61,0))),""))</f>
        <v/>
      </c>
      <c r="Y111" s="30" t="str">
        <f aca="false">IF($B111="","",IFERROR(IF(INDEX(offices!$I$2:$I$61,MATCH($B111,offices!$A$2:$A$61,0))="","",INDEX(offices!$I$2:$I$61,MATCH($B111,offices!$A$2:$A$61,0))),""))</f>
        <v/>
      </c>
      <c r="Z111" s="30" t="str">
        <f aca="false">IF($A111="","",COUNTIFS(approvals!$H$2:$H$251,$A111,approvals!$B$2:$B$251,$B111,approvals!$P$2:$P$251,"Y"))</f>
        <v/>
      </c>
      <c r="AA111" s="30" t="str">
        <f aca="false">IF($A111="","",SUMIFS(approvals!$S$2:$S$251,approvals!$H$2:$H$251,$A111,approvals!$B$2:$B$251,$B111,approvals!$P$2:$P$251,"Y"))</f>
        <v/>
      </c>
      <c r="AB111" s="30" t="str">
        <f aca="false">IF(OR($A111="",$P111=""),"",IF(COUNTIFS(stops!$B$2:$B$151,$B111,stops!$P$2:$P$151,"&lt;"&amp;$P111,stops!$L$2:$L$151,"&lt;&gt;not_delivered")=0,"Y","N"))</f>
        <v/>
      </c>
      <c r="AC111" s="30" t="str">
        <f aca="false">IF(OR($I111="",$J111=""),"",ROUND(($J111-$I111)*1440,0))</f>
        <v/>
      </c>
      <c r="AD111" s="30" t="str">
        <f aca="true">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30" t="str">
        <f aca="false">IF($B111="","",IFERROR(IF(INDEX(offices!$H$2:$H$61,MATCH($B111,offices!$A$2:$A$61,0))="","",INDEX(offices!$H$2:$H$61,MATCH($B111,offices!$A$2:$A$61,0))),""))</f>
        <v/>
      </c>
      <c r="AF111" s="30" t="str">
        <f aca="false">IF($A111="","",IF(AND($L111="declined",N($Z111)&gt;0,COUNTIFS(approvals!$H$2:$H$251,$A111,approvals!$B$2:$B$251,$B111,approvals!$P$2:$P$251,"Y",approvals!$U$2:$U$251,"&gt;0")=0),"Y",""))</f>
        <v/>
      </c>
    </row>
    <row r="112" customFormat="false" ht="15" hidden="false" customHeight="false" outlineLevel="0" collapsed="false">
      <c r="D112" s="38"/>
      <c r="E112" s="11"/>
      <c r="F112" s="11"/>
      <c r="G112" s="11"/>
      <c r="I112" s="38"/>
      <c r="J112" s="38"/>
      <c r="K112" s="10"/>
      <c r="L112" s="10"/>
      <c r="N112" s="11"/>
      <c r="O112" s="10"/>
      <c r="P112" s="31" t="str">
        <f aca="false">IF($A112="","",IF(IFERROR(IF(INDEX(drops!$I$2:$I$21,MATCH($A112,drops!$A$2:$A$21,0))="","",INDEX(drops!$I$2:$I$21,MATCH($A112,drops!$A$2:$A$21,0))),"")="OK",IFERROR(IF(INDEX(drops!$B$2:$B$21,MATCH($A112,drops!$A$2:$A$21,0))="","",INDEX(drops!$B$2:$B$21,MATCH($A112,drops!$A$2:$A$21,0))),""),""))</f>
        <v/>
      </c>
      <c r="Q112" s="30" t="str">
        <f aca="false">IF($B112="","",IFERROR(IF(INDEX(offices!$O$2:$O$61,MATCH($B112,offices!$A$2:$A$61,0))="","",INDEX(offices!$O$2:$O$61,MATCH($B112,offices!$A$2:$A$61,0))),""))</f>
        <v/>
      </c>
      <c r="R112" s="30" t="str">
        <f aca="false">IF($B112="","",IFERROR(IF(INDEX(offices!$P$2:$P$61,MATCH($B112,offices!$A$2:$A$61,0))="","",INDEX(offices!$P$2:$P$61,MATCH($B112,offices!$A$2:$A$61,0))),""))</f>
        <v/>
      </c>
      <c r="S112" s="30" t="str">
        <f aca="false">IF($B112="","",IFERROR(IF(INDEX(offices!$Q$2:$Q$61,MATCH($B112,offices!$A$2:$A$61,0))="","",INDEX(offices!$Q$2:$Q$61,MATCH($B112,offices!$A$2:$A$61,0))),""))</f>
        <v/>
      </c>
      <c r="T112" s="30" t="str">
        <f aca="false">IF($B112="","",IFERROR(IF(INDEX(offices!$Z$2:$Z$61,MATCH($B112,offices!$A$2:$A$61,0))="","",INDEX(offices!$Z$2:$Z$61,MATCH($B112,offices!$A$2:$A$61,0))),""))</f>
        <v/>
      </c>
      <c r="U112" s="30" t="str">
        <f aca="false">IF($B112="","",IFERROR(IF(INDEX(offices!$Y$2:$Y$61,MATCH($B112,offices!$A$2:$A$61,0))="","",INDEX(offices!$Y$2:$Y$61,MATCH($B112,offices!$A$2:$A$61,0))),""))</f>
        <v/>
      </c>
      <c r="V112" s="30" t="str">
        <f aca="false">IF($B112="","",IFERROR(IF(INDEX(offices!$V$2:$V$61,MATCH($B112,offices!$A$2:$A$61,0))="","",INDEX(offices!$V$2:$V$61,MATCH($B112,offices!$A$2:$A$61,0))),""))</f>
        <v/>
      </c>
      <c r="W112" s="30" t="str">
        <f aca="false">IF($B112="","",IFERROR(IF(INDEX(offices!$AJ$2:$AJ$61,MATCH($B112,offices!$A$2:$A$61,0))="","",INDEX(offices!$AJ$2:$AJ$61,MATCH($B112,offices!$A$2:$A$61,0))),""))</f>
        <v/>
      </c>
      <c r="X112" s="30" t="str">
        <f aca="false">IF($B112="","",IFERROR(IF(INDEX(offices!$G$2:$G$61,MATCH($B112,offices!$A$2:$A$61,0))="","",INDEX(offices!$G$2:$G$61,MATCH($B112,offices!$A$2:$A$61,0))),""))</f>
        <v/>
      </c>
      <c r="Y112" s="30" t="str">
        <f aca="false">IF($B112="","",IFERROR(IF(INDEX(offices!$I$2:$I$61,MATCH($B112,offices!$A$2:$A$61,0))="","",INDEX(offices!$I$2:$I$61,MATCH($B112,offices!$A$2:$A$61,0))),""))</f>
        <v/>
      </c>
      <c r="Z112" s="30" t="str">
        <f aca="false">IF($A112="","",COUNTIFS(approvals!$H$2:$H$251,$A112,approvals!$B$2:$B$251,$B112,approvals!$P$2:$P$251,"Y"))</f>
        <v/>
      </c>
      <c r="AA112" s="30" t="str">
        <f aca="false">IF($A112="","",SUMIFS(approvals!$S$2:$S$251,approvals!$H$2:$H$251,$A112,approvals!$B$2:$B$251,$B112,approvals!$P$2:$P$251,"Y"))</f>
        <v/>
      </c>
      <c r="AB112" s="30" t="str">
        <f aca="false">IF(OR($A112="",$P112=""),"",IF(COUNTIFS(stops!$B$2:$B$151,$B112,stops!$P$2:$P$151,"&lt;"&amp;$P112,stops!$L$2:$L$151,"&lt;&gt;not_delivered")=0,"Y","N"))</f>
        <v/>
      </c>
      <c r="AC112" s="30" t="str">
        <f aca="false">IF(OR($I112="",$J112=""),"",ROUND(($J112-$I112)*1440,0))</f>
        <v/>
      </c>
      <c r="AD112" s="30" t="str">
        <f aca="true">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30" t="str">
        <f aca="false">IF($B112="","",IFERROR(IF(INDEX(offices!$H$2:$H$61,MATCH($B112,offices!$A$2:$A$61,0))="","",INDEX(offices!$H$2:$H$61,MATCH($B112,offices!$A$2:$A$61,0))),""))</f>
        <v/>
      </c>
      <c r="AF112" s="30" t="str">
        <f aca="false">IF($A112="","",IF(AND($L112="declined",N($Z112)&gt;0,COUNTIFS(approvals!$H$2:$H$251,$A112,approvals!$B$2:$B$251,$B112,approvals!$P$2:$P$251,"Y",approvals!$U$2:$U$251,"&gt;0")=0),"Y",""))</f>
        <v/>
      </c>
    </row>
    <row r="113" customFormat="false" ht="15" hidden="false" customHeight="false" outlineLevel="0" collapsed="false">
      <c r="D113" s="38"/>
      <c r="E113" s="11"/>
      <c r="F113" s="11"/>
      <c r="G113" s="11"/>
      <c r="I113" s="38"/>
      <c r="J113" s="38"/>
      <c r="K113" s="10"/>
      <c r="L113" s="10"/>
      <c r="N113" s="11"/>
      <c r="O113" s="10"/>
      <c r="P113" s="31" t="str">
        <f aca="false">IF($A113="","",IF(IFERROR(IF(INDEX(drops!$I$2:$I$21,MATCH($A113,drops!$A$2:$A$21,0))="","",INDEX(drops!$I$2:$I$21,MATCH($A113,drops!$A$2:$A$21,0))),"")="OK",IFERROR(IF(INDEX(drops!$B$2:$B$21,MATCH($A113,drops!$A$2:$A$21,0))="","",INDEX(drops!$B$2:$B$21,MATCH($A113,drops!$A$2:$A$21,0))),""),""))</f>
        <v/>
      </c>
      <c r="Q113" s="30" t="str">
        <f aca="false">IF($B113="","",IFERROR(IF(INDEX(offices!$O$2:$O$61,MATCH($B113,offices!$A$2:$A$61,0))="","",INDEX(offices!$O$2:$O$61,MATCH($B113,offices!$A$2:$A$61,0))),""))</f>
        <v/>
      </c>
      <c r="R113" s="30" t="str">
        <f aca="false">IF($B113="","",IFERROR(IF(INDEX(offices!$P$2:$P$61,MATCH($B113,offices!$A$2:$A$61,0))="","",INDEX(offices!$P$2:$P$61,MATCH($B113,offices!$A$2:$A$61,0))),""))</f>
        <v/>
      </c>
      <c r="S113" s="30" t="str">
        <f aca="false">IF($B113="","",IFERROR(IF(INDEX(offices!$Q$2:$Q$61,MATCH($B113,offices!$A$2:$A$61,0))="","",INDEX(offices!$Q$2:$Q$61,MATCH($B113,offices!$A$2:$A$61,0))),""))</f>
        <v/>
      </c>
      <c r="T113" s="30" t="str">
        <f aca="false">IF($B113="","",IFERROR(IF(INDEX(offices!$Z$2:$Z$61,MATCH($B113,offices!$A$2:$A$61,0))="","",INDEX(offices!$Z$2:$Z$61,MATCH($B113,offices!$A$2:$A$61,0))),""))</f>
        <v/>
      </c>
      <c r="U113" s="30" t="str">
        <f aca="false">IF($B113="","",IFERROR(IF(INDEX(offices!$Y$2:$Y$61,MATCH($B113,offices!$A$2:$A$61,0))="","",INDEX(offices!$Y$2:$Y$61,MATCH($B113,offices!$A$2:$A$61,0))),""))</f>
        <v/>
      </c>
      <c r="V113" s="30" t="str">
        <f aca="false">IF($B113="","",IFERROR(IF(INDEX(offices!$V$2:$V$61,MATCH($B113,offices!$A$2:$A$61,0))="","",INDEX(offices!$V$2:$V$61,MATCH($B113,offices!$A$2:$A$61,0))),""))</f>
        <v/>
      </c>
      <c r="W113" s="30" t="str">
        <f aca="false">IF($B113="","",IFERROR(IF(INDEX(offices!$AJ$2:$AJ$61,MATCH($B113,offices!$A$2:$A$61,0))="","",INDEX(offices!$AJ$2:$AJ$61,MATCH($B113,offices!$A$2:$A$61,0))),""))</f>
        <v/>
      </c>
      <c r="X113" s="30" t="str">
        <f aca="false">IF($B113="","",IFERROR(IF(INDEX(offices!$G$2:$G$61,MATCH($B113,offices!$A$2:$A$61,0))="","",INDEX(offices!$G$2:$G$61,MATCH($B113,offices!$A$2:$A$61,0))),""))</f>
        <v/>
      </c>
      <c r="Y113" s="30" t="str">
        <f aca="false">IF($B113="","",IFERROR(IF(INDEX(offices!$I$2:$I$61,MATCH($B113,offices!$A$2:$A$61,0))="","",INDEX(offices!$I$2:$I$61,MATCH($B113,offices!$A$2:$A$61,0))),""))</f>
        <v/>
      </c>
      <c r="Z113" s="30" t="str">
        <f aca="false">IF($A113="","",COUNTIFS(approvals!$H$2:$H$251,$A113,approvals!$B$2:$B$251,$B113,approvals!$P$2:$P$251,"Y"))</f>
        <v/>
      </c>
      <c r="AA113" s="30" t="str">
        <f aca="false">IF($A113="","",SUMIFS(approvals!$S$2:$S$251,approvals!$H$2:$H$251,$A113,approvals!$B$2:$B$251,$B113,approvals!$P$2:$P$251,"Y"))</f>
        <v/>
      </c>
      <c r="AB113" s="30" t="str">
        <f aca="false">IF(OR($A113="",$P113=""),"",IF(COUNTIFS(stops!$B$2:$B$151,$B113,stops!$P$2:$P$151,"&lt;"&amp;$P113,stops!$L$2:$L$151,"&lt;&gt;not_delivered")=0,"Y","N"))</f>
        <v/>
      </c>
      <c r="AC113" s="30" t="str">
        <f aca="false">IF(OR($I113="",$J113=""),"",ROUND(($J113-$I113)*1440,0))</f>
        <v/>
      </c>
      <c r="AD113" s="30" t="str">
        <f aca="true">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30" t="str">
        <f aca="false">IF($B113="","",IFERROR(IF(INDEX(offices!$H$2:$H$61,MATCH($B113,offices!$A$2:$A$61,0))="","",INDEX(offices!$H$2:$H$61,MATCH($B113,offices!$A$2:$A$61,0))),""))</f>
        <v/>
      </c>
      <c r="AF113" s="30" t="str">
        <f aca="false">IF($A113="","",IF(AND($L113="declined",N($Z113)&gt;0,COUNTIFS(approvals!$H$2:$H$251,$A113,approvals!$B$2:$B$251,$B113,approvals!$P$2:$P$251,"Y",approvals!$U$2:$U$251,"&gt;0")=0),"Y",""))</f>
        <v/>
      </c>
    </row>
    <row r="114" customFormat="false" ht="15" hidden="false" customHeight="false" outlineLevel="0" collapsed="false">
      <c r="D114" s="38"/>
      <c r="E114" s="11"/>
      <c r="F114" s="11"/>
      <c r="G114" s="11"/>
      <c r="I114" s="38"/>
      <c r="J114" s="38"/>
      <c r="K114" s="10"/>
      <c r="L114" s="10"/>
      <c r="N114" s="11"/>
      <c r="O114" s="10"/>
      <c r="P114" s="31" t="str">
        <f aca="false">IF($A114="","",IF(IFERROR(IF(INDEX(drops!$I$2:$I$21,MATCH($A114,drops!$A$2:$A$21,0))="","",INDEX(drops!$I$2:$I$21,MATCH($A114,drops!$A$2:$A$21,0))),"")="OK",IFERROR(IF(INDEX(drops!$B$2:$B$21,MATCH($A114,drops!$A$2:$A$21,0))="","",INDEX(drops!$B$2:$B$21,MATCH($A114,drops!$A$2:$A$21,0))),""),""))</f>
        <v/>
      </c>
      <c r="Q114" s="30" t="str">
        <f aca="false">IF($B114="","",IFERROR(IF(INDEX(offices!$O$2:$O$61,MATCH($B114,offices!$A$2:$A$61,0))="","",INDEX(offices!$O$2:$O$61,MATCH($B114,offices!$A$2:$A$61,0))),""))</f>
        <v/>
      </c>
      <c r="R114" s="30" t="str">
        <f aca="false">IF($B114="","",IFERROR(IF(INDEX(offices!$P$2:$P$61,MATCH($B114,offices!$A$2:$A$61,0))="","",INDEX(offices!$P$2:$P$61,MATCH($B114,offices!$A$2:$A$61,0))),""))</f>
        <v/>
      </c>
      <c r="S114" s="30" t="str">
        <f aca="false">IF($B114="","",IFERROR(IF(INDEX(offices!$Q$2:$Q$61,MATCH($B114,offices!$A$2:$A$61,0))="","",INDEX(offices!$Q$2:$Q$61,MATCH($B114,offices!$A$2:$A$61,0))),""))</f>
        <v/>
      </c>
      <c r="T114" s="30" t="str">
        <f aca="false">IF($B114="","",IFERROR(IF(INDEX(offices!$Z$2:$Z$61,MATCH($B114,offices!$A$2:$A$61,0))="","",INDEX(offices!$Z$2:$Z$61,MATCH($B114,offices!$A$2:$A$61,0))),""))</f>
        <v/>
      </c>
      <c r="U114" s="30" t="str">
        <f aca="false">IF($B114="","",IFERROR(IF(INDEX(offices!$Y$2:$Y$61,MATCH($B114,offices!$A$2:$A$61,0))="","",INDEX(offices!$Y$2:$Y$61,MATCH($B114,offices!$A$2:$A$61,0))),""))</f>
        <v/>
      </c>
      <c r="V114" s="30" t="str">
        <f aca="false">IF($B114="","",IFERROR(IF(INDEX(offices!$V$2:$V$61,MATCH($B114,offices!$A$2:$A$61,0))="","",INDEX(offices!$V$2:$V$61,MATCH($B114,offices!$A$2:$A$61,0))),""))</f>
        <v/>
      </c>
      <c r="W114" s="30" t="str">
        <f aca="false">IF($B114="","",IFERROR(IF(INDEX(offices!$AJ$2:$AJ$61,MATCH($B114,offices!$A$2:$A$61,0))="","",INDEX(offices!$AJ$2:$AJ$61,MATCH($B114,offices!$A$2:$A$61,0))),""))</f>
        <v/>
      </c>
      <c r="X114" s="30" t="str">
        <f aca="false">IF($B114="","",IFERROR(IF(INDEX(offices!$G$2:$G$61,MATCH($B114,offices!$A$2:$A$61,0))="","",INDEX(offices!$G$2:$G$61,MATCH($B114,offices!$A$2:$A$61,0))),""))</f>
        <v/>
      </c>
      <c r="Y114" s="30" t="str">
        <f aca="false">IF($B114="","",IFERROR(IF(INDEX(offices!$I$2:$I$61,MATCH($B114,offices!$A$2:$A$61,0))="","",INDEX(offices!$I$2:$I$61,MATCH($B114,offices!$A$2:$A$61,0))),""))</f>
        <v/>
      </c>
      <c r="Z114" s="30" t="str">
        <f aca="false">IF($A114="","",COUNTIFS(approvals!$H$2:$H$251,$A114,approvals!$B$2:$B$251,$B114,approvals!$P$2:$P$251,"Y"))</f>
        <v/>
      </c>
      <c r="AA114" s="30" t="str">
        <f aca="false">IF($A114="","",SUMIFS(approvals!$S$2:$S$251,approvals!$H$2:$H$251,$A114,approvals!$B$2:$B$251,$B114,approvals!$P$2:$P$251,"Y"))</f>
        <v/>
      </c>
      <c r="AB114" s="30" t="str">
        <f aca="false">IF(OR($A114="",$P114=""),"",IF(COUNTIFS(stops!$B$2:$B$151,$B114,stops!$P$2:$P$151,"&lt;"&amp;$P114,stops!$L$2:$L$151,"&lt;&gt;not_delivered")=0,"Y","N"))</f>
        <v/>
      </c>
      <c r="AC114" s="30" t="str">
        <f aca="false">IF(OR($I114="",$J114=""),"",ROUND(($J114-$I114)*1440,0))</f>
        <v/>
      </c>
      <c r="AD114" s="30" t="str">
        <f aca="true">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30" t="str">
        <f aca="false">IF($B114="","",IFERROR(IF(INDEX(offices!$H$2:$H$61,MATCH($B114,offices!$A$2:$A$61,0))="","",INDEX(offices!$H$2:$H$61,MATCH($B114,offices!$A$2:$A$61,0))),""))</f>
        <v/>
      </c>
      <c r="AF114" s="30" t="str">
        <f aca="false">IF($A114="","",IF(AND($L114="declined",N($Z114)&gt;0,COUNTIFS(approvals!$H$2:$H$251,$A114,approvals!$B$2:$B$251,$B114,approvals!$P$2:$P$251,"Y",approvals!$U$2:$U$251,"&gt;0")=0),"Y",""))</f>
        <v/>
      </c>
    </row>
    <row r="115" customFormat="false" ht="15" hidden="false" customHeight="false" outlineLevel="0" collapsed="false">
      <c r="D115" s="38"/>
      <c r="E115" s="11"/>
      <c r="F115" s="11"/>
      <c r="G115" s="11"/>
      <c r="I115" s="38"/>
      <c r="J115" s="38"/>
      <c r="K115" s="10"/>
      <c r="L115" s="10"/>
      <c r="N115" s="11"/>
      <c r="O115" s="10"/>
      <c r="P115" s="31" t="str">
        <f aca="false">IF($A115="","",IF(IFERROR(IF(INDEX(drops!$I$2:$I$21,MATCH($A115,drops!$A$2:$A$21,0))="","",INDEX(drops!$I$2:$I$21,MATCH($A115,drops!$A$2:$A$21,0))),"")="OK",IFERROR(IF(INDEX(drops!$B$2:$B$21,MATCH($A115,drops!$A$2:$A$21,0))="","",INDEX(drops!$B$2:$B$21,MATCH($A115,drops!$A$2:$A$21,0))),""),""))</f>
        <v/>
      </c>
      <c r="Q115" s="30" t="str">
        <f aca="false">IF($B115="","",IFERROR(IF(INDEX(offices!$O$2:$O$61,MATCH($B115,offices!$A$2:$A$61,0))="","",INDEX(offices!$O$2:$O$61,MATCH($B115,offices!$A$2:$A$61,0))),""))</f>
        <v/>
      </c>
      <c r="R115" s="30" t="str">
        <f aca="false">IF($B115="","",IFERROR(IF(INDEX(offices!$P$2:$P$61,MATCH($B115,offices!$A$2:$A$61,0))="","",INDEX(offices!$P$2:$P$61,MATCH($B115,offices!$A$2:$A$61,0))),""))</f>
        <v/>
      </c>
      <c r="S115" s="30" t="str">
        <f aca="false">IF($B115="","",IFERROR(IF(INDEX(offices!$Q$2:$Q$61,MATCH($B115,offices!$A$2:$A$61,0))="","",INDEX(offices!$Q$2:$Q$61,MATCH($B115,offices!$A$2:$A$61,0))),""))</f>
        <v/>
      </c>
      <c r="T115" s="30" t="str">
        <f aca="false">IF($B115="","",IFERROR(IF(INDEX(offices!$Z$2:$Z$61,MATCH($B115,offices!$A$2:$A$61,0))="","",INDEX(offices!$Z$2:$Z$61,MATCH($B115,offices!$A$2:$A$61,0))),""))</f>
        <v/>
      </c>
      <c r="U115" s="30" t="str">
        <f aca="false">IF($B115="","",IFERROR(IF(INDEX(offices!$Y$2:$Y$61,MATCH($B115,offices!$A$2:$A$61,0))="","",INDEX(offices!$Y$2:$Y$61,MATCH($B115,offices!$A$2:$A$61,0))),""))</f>
        <v/>
      </c>
      <c r="V115" s="30" t="str">
        <f aca="false">IF($B115="","",IFERROR(IF(INDEX(offices!$V$2:$V$61,MATCH($B115,offices!$A$2:$A$61,0))="","",INDEX(offices!$V$2:$V$61,MATCH($B115,offices!$A$2:$A$61,0))),""))</f>
        <v/>
      </c>
      <c r="W115" s="30" t="str">
        <f aca="false">IF($B115="","",IFERROR(IF(INDEX(offices!$AJ$2:$AJ$61,MATCH($B115,offices!$A$2:$A$61,0))="","",INDEX(offices!$AJ$2:$AJ$61,MATCH($B115,offices!$A$2:$A$61,0))),""))</f>
        <v/>
      </c>
      <c r="X115" s="30" t="str">
        <f aca="false">IF($B115="","",IFERROR(IF(INDEX(offices!$G$2:$G$61,MATCH($B115,offices!$A$2:$A$61,0))="","",INDEX(offices!$G$2:$G$61,MATCH($B115,offices!$A$2:$A$61,0))),""))</f>
        <v/>
      </c>
      <c r="Y115" s="30" t="str">
        <f aca="false">IF($B115="","",IFERROR(IF(INDEX(offices!$I$2:$I$61,MATCH($B115,offices!$A$2:$A$61,0))="","",INDEX(offices!$I$2:$I$61,MATCH($B115,offices!$A$2:$A$61,0))),""))</f>
        <v/>
      </c>
      <c r="Z115" s="30" t="str">
        <f aca="false">IF($A115="","",COUNTIFS(approvals!$H$2:$H$251,$A115,approvals!$B$2:$B$251,$B115,approvals!$P$2:$P$251,"Y"))</f>
        <v/>
      </c>
      <c r="AA115" s="30" t="str">
        <f aca="false">IF($A115="","",SUMIFS(approvals!$S$2:$S$251,approvals!$H$2:$H$251,$A115,approvals!$B$2:$B$251,$B115,approvals!$P$2:$P$251,"Y"))</f>
        <v/>
      </c>
      <c r="AB115" s="30" t="str">
        <f aca="false">IF(OR($A115="",$P115=""),"",IF(COUNTIFS(stops!$B$2:$B$151,$B115,stops!$P$2:$P$151,"&lt;"&amp;$P115,stops!$L$2:$L$151,"&lt;&gt;not_delivered")=0,"Y","N"))</f>
        <v/>
      </c>
      <c r="AC115" s="30" t="str">
        <f aca="false">IF(OR($I115="",$J115=""),"",ROUND(($J115-$I115)*1440,0))</f>
        <v/>
      </c>
      <c r="AD115" s="30" t="str">
        <f aca="true">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30" t="str">
        <f aca="false">IF($B115="","",IFERROR(IF(INDEX(offices!$H$2:$H$61,MATCH($B115,offices!$A$2:$A$61,0))="","",INDEX(offices!$H$2:$H$61,MATCH($B115,offices!$A$2:$A$61,0))),""))</f>
        <v/>
      </c>
      <c r="AF115" s="30" t="str">
        <f aca="false">IF($A115="","",IF(AND($L115="declined",N($Z115)&gt;0,COUNTIFS(approvals!$H$2:$H$251,$A115,approvals!$B$2:$B$251,$B115,approvals!$P$2:$P$251,"Y",approvals!$U$2:$U$251,"&gt;0")=0),"Y",""))</f>
        <v/>
      </c>
    </row>
    <row r="116" customFormat="false" ht="15" hidden="false" customHeight="false" outlineLevel="0" collapsed="false">
      <c r="D116" s="38"/>
      <c r="E116" s="11"/>
      <c r="F116" s="11"/>
      <c r="G116" s="11"/>
      <c r="I116" s="38"/>
      <c r="J116" s="38"/>
      <c r="K116" s="10"/>
      <c r="L116" s="10"/>
      <c r="N116" s="11"/>
      <c r="O116" s="10"/>
      <c r="P116" s="31" t="str">
        <f aca="false">IF($A116="","",IF(IFERROR(IF(INDEX(drops!$I$2:$I$21,MATCH($A116,drops!$A$2:$A$21,0))="","",INDEX(drops!$I$2:$I$21,MATCH($A116,drops!$A$2:$A$21,0))),"")="OK",IFERROR(IF(INDEX(drops!$B$2:$B$21,MATCH($A116,drops!$A$2:$A$21,0))="","",INDEX(drops!$B$2:$B$21,MATCH($A116,drops!$A$2:$A$21,0))),""),""))</f>
        <v/>
      </c>
      <c r="Q116" s="30" t="str">
        <f aca="false">IF($B116="","",IFERROR(IF(INDEX(offices!$O$2:$O$61,MATCH($B116,offices!$A$2:$A$61,0))="","",INDEX(offices!$O$2:$O$61,MATCH($B116,offices!$A$2:$A$61,0))),""))</f>
        <v/>
      </c>
      <c r="R116" s="30" t="str">
        <f aca="false">IF($B116="","",IFERROR(IF(INDEX(offices!$P$2:$P$61,MATCH($B116,offices!$A$2:$A$61,0))="","",INDEX(offices!$P$2:$P$61,MATCH($B116,offices!$A$2:$A$61,0))),""))</f>
        <v/>
      </c>
      <c r="S116" s="30" t="str">
        <f aca="false">IF($B116="","",IFERROR(IF(INDEX(offices!$Q$2:$Q$61,MATCH($B116,offices!$A$2:$A$61,0))="","",INDEX(offices!$Q$2:$Q$61,MATCH($B116,offices!$A$2:$A$61,0))),""))</f>
        <v/>
      </c>
      <c r="T116" s="30" t="str">
        <f aca="false">IF($B116="","",IFERROR(IF(INDEX(offices!$Z$2:$Z$61,MATCH($B116,offices!$A$2:$A$61,0))="","",INDEX(offices!$Z$2:$Z$61,MATCH($B116,offices!$A$2:$A$61,0))),""))</f>
        <v/>
      </c>
      <c r="U116" s="30" t="str">
        <f aca="false">IF($B116="","",IFERROR(IF(INDEX(offices!$Y$2:$Y$61,MATCH($B116,offices!$A$2:$A$61,0))="","",INDEX(offices!$Y$2:$Y$61,MATCH($B116,offices!$A$2:$A$61,0))),""))</f>
        <v/>
      </c>
      <c r="V116" s="30" t="str">
        <f aca="false">IF($B116="","",IFERROR(IF(INDEX(offices!$V$2:$V$61,MATCH($B116,offices!$A$2:$A$61,0))="","",INDEX(offices!$V$2:$V$61,MATCH($B116,offices!$A$2:$A$61,0))),""))</f>
        <v/>
      </c>
      <c r="W116" s="30" t="str">
        <f aca="false">IF($B116="","",IFERROR(IF(INDEX(offices!$AJ$2:$AJ$61,MATCH($B116,offices!$A$2:$A$61,0))="","",INDEX(offices!$AJ$2:$AJ$61,MATCH($B116,offices!$A$2:$A$61,0))),""))</f>
        <v/>
      </c>
      <c r="X116" s="30" t="str">
        <f aca="false">IF($B116="","",IFERROR(IF(INDEX(offices!$G$2:$G$61,MATCH($B116,offices!$A$2:$A$61,0))="","",INDEX(offices!$G$2:$G$61,MATCH($B116,offices!$A$2:$A$61,0))),""))</f>
        <v/>
      </c>
      <c r="Y116" s="30" t="str">
        <f aca="false">IF($B116="","",IFERROR(IF(INDEX(offices!$I$2:$I$61,MATCH($B116,offices!$A$2:$A$61,0))="","",INDEX(offices!$I$2:$I$61,MATCH($B116,offices!$A$2:$A$61,0))),""))</f>
        <v/>
      </c>
      <c r="Z116" s="30" t="str">
        <f aca="false">IF($A116="","",COUNTIFS(approvals!$H$2:$H$251,$A116,approvals!$B$2:$B$251,$B116,approvals!$P$2:$P$251,"Y"))</f>
        <v/>
      </c>
      <c r="AA116" s="30" t="str">
        <f aca="false">IF($A116="","",SUMIFS(approvals!$S$2:$S$251,approvals!$H$2:$H$251,$A116,approvals!$B$2:$B$251,$B116,approvals!$P$2:$P$251,"Y"))</f>
        <v/>
      </c>
      <c r="AB116" s="30" t="str">
        <f aca="false">IF(OR($A116="",$P116=""),"",IF(COUNTIFS(stops!$B$2:$B$151,$B116,stops!$P$2:$P$151,"&lt;"&amp;$P116,stops!$L$2:$L$151,"&lt;&gt;not_delivered")=0,"Y","N"))</f>
        <v/>
      </c>
      <c r="AC116" s="30" t="str">
        <f aca="false">IF(OR($I116="",$J116=""),"",ROUND(($J116-$I116)*1440,0))</f>
        <v/>
      </c>
      <c r="AD116" s="30" t="str">
        <f aca="true">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30" t="str">
        <f aca="false">IF($B116="","",IFERROR(IF(INDEX(offices!$H$2:$H$61,MATCH($B116,offices!$A$2:$A$61,0))="","",INDEX(offices!$H$2:$H$61,MATCH($B116,offices!$A$2:$A$61,0))),""))</f>
        <v/>
      </c>
      <c r="AF116" s="30" t="str">
        <f aca="false">IF($A116="","",IF(AND($L116="declined",N($Z116)&gt;0,COUNTIFS(approvals!$H$2:$H$251,$A116,approvals!$B$2:$B$251,$B116,approvals!$P$2:$P$251,"Y",approvals!$U$2:$U$251,"&gt;0")=0),"Y",""))</f>
        <v/>
      </c>
    </row>
    <row r="117" customFormat="false" ht="15" hidden="false" customHeight="false" outlineLevel="0" collapsed="false">
      <c r="D117" s="38"/>
      <c r="E117" s="11"/>
      <c r="F117" s="11"/>
      <c r="G117" s="11"/>
      <c r="I117" s="38"/>
      <c r="J117" s="38"/>
      <c r="K117" s="10"/>
      <c r="L117" s="10"/>
      <c r="N117" s="11"/>
      <c r="O117" s="10"/>
      <c r="P117" s="31" t="str">
        <f aca="false">IF($A117="","",IF(IFERROR(IF(INDEX(drops!$I$2:$I$21,MATCH($A117,drops!$A$2:$A$21,0))="","",INDEX(drops!$I$2:$I$21,MATCH($A117,drops!$A$2:$A$21,0))),"")="OK",IFERROR(IF(INDEX(drops!$B$2:$B$21,MATCH($A117,drops!$A$2:$A$21,0))="","",INDEX(drops!$B$2:$B$21,MATCH($A117,drops!$A$2:$A$21,0))),""),""))</f>
        <v/>
      </c>
      <c r="Q117" s="30" t="str">
        <f aca="false">IF($B117="","",IFERROR(IF(INDEX(offices!$O$2:$O$61,MATCH($B117,offices!$A$2:$A$61,0))="","",INDEX(offices!$O$2:$O$61,MATCH($B117,offices!$A$2:$A$61,0))),""))</f>
        <v/>
      </c>
      <c r="R117" s="30" t="str">
        <f aca="false">IF($B117="","",IFERROR(IF(INDEX(offices!$P$2:$P$61,MATCH($B117,offices!$A$2:$A$61,0))="","",INDEX(offices!$P$2:$P$61,MATCH($B117,offices!$A$2:$A$61,0))),""))</f>
        <v/>
      </c>
      <c r="S117" s="30" t="str">
        <f aca="false">IF($B117="","",IFERROR(IF(INDEX(offices!$Q$2:$Q$61,MATCH($B117,offices!$A$2:$A$61,0))="","",INDEX(offices!$Q$2:$Q$61,MATCH($B117,offices!$A$2:$A$61,0))),""))</f>
        <v/>
      </c>
      <c r="T117" s="30" t="str">
        <f aca="false">IF($B117="","",IFERROR(IF(INDEX(offices!$Z$2:$Z$61,MATCH($B117,offices!$A$2:$A$61,0))="","",INDEX(offices!$Z$2:$Z$61,MATCH($B117,offices!$A$2:$A$61,0))),""))</f>
        <v/>
      </c>
      <c r="U117" s="30" t="str">
        <f aca="false">IF($B117="","",IFERROR(IF(INDEX(offices!$Y$2:$Y$61,MATCH($B117,offices!$A$2:$A$61,0))="","",INDEX(offices!$Y$2:$Y$61,MATCH($B117,offices!$A$2:$A$61,0))),""))</f>
        <v/>
      </c>
      <c r="V117" s="30" t="str">
        <f aca="false">IF($B117="","",IFERROR(IF(INDEX(offices!$V$2:$V$61,MATCH($B117,offices!$A$2:$A$61,0))="","",INDEX(offices!$V$2:$V$61,MATCH($B117,offices!$A$2:$A$61,0))),""))</f>
        <v/>
      </c>
      <c r="W117" s="30" t="str">
        <f aca="false">IF($B117="","",IFERROR(IF(INDEX(offices!$AJ$2:$AJ$61,MATCH($B117,offices!$A$2:$A$61,0))="","",INDEX(offices!$AJ$2:$AJ$61,MATCH($B117,offices!$A$2:$A$61,0))),""))</f>
        <v/>
      </c>
      <c r="X117" s="30" t="str">
        <f aca="false">IF($B117="","",IFERROR(IF(INDEX(offices!$G$2:$G$61,MATCH($B117,offices!$A$2:$A$61,0))="","",INDEX(offices!$G$2:$G$61,MATCH($B117,offices!$A$2:$A$61,0))),""))</f>
        <v/>
      </c>
      <c r="Y117" s="30" t="str">
        <f aca="false">IF($B117="","",IFERROR(IF(INDEX(offices!$I$2:$I$61,MATCH($B117,offices!$A$2:$A$61,0))="","",INDEX(offices!$I$2:$I$61,MATCH($B117,offices!$A$2:$A$61,0))),""))</f>
        <v/>
      </c>
      <c r="Z117" s="30" t="str">
        <f aca="false">IF($A117="","",COUNTIFS(approvals!$H$2:$H$251,$A117,approvals!$B$2:$B$251,$B117,approvals!$P$2:$P$251,"Y"))</f>
        <v/>
      </c>
      <c r="AA117" s="30" t="str">
        <f aca="false">IF($A117="","",SUMIFS(approvals!$S$2:$S$251,approvals!$H$2:$H$251,$A117,approvals!$B$2:$B$251,$B117,approvals!$P$2:$P$251,"Y"))</f>
        <v/>
      </c>
      <c r="AB117" s="30" t="str">
        <f aca="false">IF(OR($A117="",$P117=""),"",IF(COUNTIFS(stops!$B$2:$B$151,$B117,stops!$P$2:$P$151,"&lt;"&amp;$P117,stops!$L$2:$L$151,"&lt;&gt;not_delivered")=0,"Y","N"))</f>
        <v/>
      </c>
      <c r="AC117" s="30" t="str">
        <f aca="false">IF(OR($I117="",$J117=""),"",ROUND(($J117-$I117)*1440,0))</f>
        <v/>
      </c>
      <c r="AD117" s="30" t="str">
        <f aca="true">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30" t="str">
        <f aca="false">IF($B117="","",IFERROR(IF(INDEX(offices!$H$2:$H$61,MATCH($B117,offices!$A$2:$A$61,0))="","",INDEX(offices!$H$2:$H$61,MATCH($B117,offices!$A$2:$A$61,0))),""))</f>
        <v/>
      </c>
      <c r="AF117" s="30" t="str">
        <f aca="false">IF($A117="","",IF(AND($L117="declined",N($Z117)&gt;0,COUNTIFS(approvals!$H$2:$H$251,$A117,approvals!$B$2:$B$251,$B117,approvals!$P$2:$P$251,"Y",approvals!$U$2:$U$251,"&gt;0")=0),"Y",""))</f>
        <v/>
      </c>
    </row>
    <row r="118" customFormat="false" ht="15" hidden="false" customHeight="false" outlineLevel="0" collapsed="false">
      <c r="D118" s="38"/>
      <c r="E118" s="11"/>
      <c r="F118" s="11"/>
      <c r="G118" s="11"/>
      <c r="I118" s="38"/>
      <c r="J118" s="38"/>
      <c r="K118" s="10"/>
      <c r="L118" s="10"/>
      <c r="N118" s="11"/>
      <c r="O118" s="10"/>
      <c r="P118" s="31" t="str">
        <f aca="false">IF($A118="","",IF(IFERROR(IF(INDEX(drops!$I$2:$I$21,MATCH($A118,drops!$A$2:$A$21,0))="","",INDEX(drops!$I$2:$I$21,MATCH($A118,drops!$A$2:$A$21,0))),"")="OK",IFERROR(IF(INDEX(drops!$B$2:$B$21,MATCH($A118,drops!$A$2:$A$21,0))="","",INDEX(drops!$B$2:$B$21,MATCH($A118,drops!$A$2:$A$21,0))),""),""))</f>
        <v/>
      </c>
      <c r="Q118" s="30" t="str">
        <f aca="false">IF($B118="","",IFERROR(IF(INDEX(offices!$O$2:$O$61,MATCH($B118,offices!$A$2:$A$61,0))="","",INDEX(offices!$O$2:$O$61,MATCH($B118,offices!$A$2:$A$61,0))),""))</f>
        <v/>
      </c>
      <c r="R118" s="30" t="str">
        <f aca="false">IF($B118="","",IFERROR(IF(INDEX(offices!$P$2:$P$61,MATCH($B118,offices!$A$2:$A$61,0))="","",INDEX(offices!$P$2:$P$61,MATCH($B118,offices!$A$2:$A$61,0))),""))</f>
        <v/>
      </c>
      <c r="S118" s="30" t="str">
        <f aca="false">IF($B118="","",IFERROR(IF(INDEX(offices!$Q$2:$Q$61,MATCH($B118,offices!$A$2:$A$61,0))="","",INDEX(offices!$Q$2:$Q$61,MATCH($B118,offices!$A$2:$A$61,0))),""))</f>
        <v/>
      </c>
      <c r="T118" s="30" t="str">
        <f aca="false">IF($B118="","",IFERROR(IF(INDEX(offices!$Z$2:$Z$61,MATCH($B118,offices!$A$2:$A$61,0))="","",INDEX(offices!$Z$2:$Z$61,MATCH($B118,offices!$A$2:$A$61,0))),""))</f>
        <v/>
      </c>
      <c r="U118" s="30" t="str">
        <f aca="false">IF($B118="","",IFERROR(IF(INDEX(offices!$Y$2:$Y$61,MATCH($B118,offices!$A$2:$A$61,0))="","",INDEX(offices!$Y$2:$Y$61,MATCH($B118,offices!$A$2:$A$61,0))),""))</f>
        <v/>
      </c>
      <c r="V118" s="30" t="str">
        <f aca="false">IF($B118="","",IFERROR(IF(INDEX(offices!$V$2:$V$61,MATCH($B118,offices!$A$2:$A$61,0))="","",INDEX(offices!$V$2:$V$61,MATCH($B118,offices!$A$2:$A$61,0))),""))</f>
        <v/>
      </c>
      <c r="W118" s="30" t="str">
        <f aca="false">IF($B118="","",IFERROR(IF(INDEX(offices!$AJ$2:$AJ$61,MATCH($B118,offices!$A$2:$A$61,0))="","",INDEX(offices!$AJ$2:$AJ$61,MATCH($B118,offices!$A$2:$A$61,0))),""))</f>
        <v/>
      </c>
      <c r="X118" s="30" t="str">
        <f aca="false">IF($B118="","",IFERROR(IF(INDEX(offices!$G$2:$G$61,MATCH($B118,offices!$A$2:$A$61,0))="","",INDEX(offices!$G$2:$G$61,MATCH($B118,offices!$A$2:$A$61,0))),""))</f>
        <v/>
      </c>
      <c r="Y118" s="30" t="str">
        <f aca="false">IF($B118="","",IFERROR(IF(INDEX(offices!$I$2:$I$61,MATCH($B118,offices!$A$2:$A$61,0))="","",INDEX(offices!$I$2:$I$61,MATCH($B118,offices!$A$2:$A$61,0))),""))</f>
        <v/>
      </c>
      <c r="Z118" s="30" t="str">
        <f aca="false">IF($A118="","",COUNTIFS(approvals!$H$2:$H$251,$A118,approvals!$B$2:$B$251,$B118,approvals!$P$2:$P$251,"Y"))</f>
        <v/>
      </c>
      <c r="AA118" s="30" t="str">
        <f aca="false">IF($A118="","",SUMIFS(approvals!$S$2:$S$251,approvals!$H$2:$H$251,$A118,approvals!$B$2:$B$251,$B118,approvals!$P$2:$P$251,"Y"))</f>
        <v/>
      </c>
      <c r="AB118" s="30" t="str">
        <f aca="false">IF(OR($A118="",$P118=""),"",IF(COUNTIFS(stops!$B$2:$B$151,$B118,stops!$P$2:$P$151,"&lt;"&amp;$P118,stops!$L$2:$L$151,"&lt;&gt;not_delivered")=0,"Y","N"))</f>
        <v/>
      </c>
      <c r="AC118" s="30" t="str">
        <f aca="false">IF(OR($I118="",$J118=""),"",ROUND(($J118-$I118)*1440,0))</f>
        <v/>
      </c>
      <c r="AD118" s="30" t="str">
        <f aca="true">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30" t="str">
        <f aca="false">IF($B118="","",IFERROR(IF(INDEX(offices!$H$2:$H$61,MATCH($B118,offices!$A$2:$A$61,0))="","",INDEX(offices!$H$2:$H$61,MATCH($B118,offices!$A$2:$A$61,0))),""))</f>
        <v/>
      </c>
      <c r="AF118" s="30" t="str">
        <f aca="false">IF($A118="","",IF(AND($L118="declined",N($Z118)&gt;0,COUNTIFS(approvals!$H$2:$H$251,$A118,approvals!$B$2:$B$251,$B118,approvals!$P$2:$P$251,"Y",approvals!$U$2:$U$251,"&gt;0")=0),"Y",""))</f>
        <v/>
      </c>
    </row>
    <row r="119" customFormat="false" ht="15" hidden="false" customHeight="false" outlineLevel="0" collapsed="false">
      <c r="D119" s="38"/>
      <c r="E119" s="11"/>
      <c r="F119" s="11"/>
      <c r="G119" s="11"/>
      <c r="I119" s="38"/>
      <c r="J119" s="38"/>
      <c r="K119" s="10"/>
      <c r="L119" s="10"/>
      <c r="N119" s="11"/>
      <c r="O119" s="10"/>
      <c r="P119" s="31" t="str">
        <f aca="false">IF($A119="","",IF(IFERROR(IF(INDEX(drops!$I$2:$I$21,MATCH($A119,drops!$A$2:$A$21,0))="","",INDEX(drops!$I$2:$I$21,MATCH($A119,drops!$A$2:$A$21,0))),"")="OK",IFERROR(IF(INDEX(drops!$B$2:$B$21,MATCH($A119,drops!$A$2:$A$21,0))="","",INDEX(drops!$B$2:$B$21,MATCH($A119,drops!$A$2:$A$21,0))),""),""))</f>
        <v/>
      </c>
      <c r="Q119" s="30" t="str">
        <f aca="false">IF($B119="","",IFERROR(IF(INDEX(offices!$O$2:$O$61,MATCH($B119,offices!$A$2:$A$61,0))="","",INDEX(offices!$O$2:$O$61,MATCH($B119,offices!$A$2:$A$61,0))),""))</f>
        <v/>
      </c>
      <c r="R119" s="30" t="str">
        <f aca="false">IF($B119="","",IFERROR(IF(INDEX(offices!$P$2:$P$61,MATCH($B119,offices!$A$2:$A$61,0))="","",INDEX(offices!$P$2:$P$61,MATCH($B119,offices!$A$2:$A$61,0))),""))</f>
        <v/>
      </c>
      <c r="S119" s="30" t="str">
        <f aca="false">IF($B119="","",IFERROR(IF(INDEX(offices!$Q$2:$Q$61,MATCH($B119,offices!$A$2:$A$61,0))="","",INDEX(offices!$Q$2:$Q$61,MATCH($B119,offices!$A$2:$A$61,0))),""))</f>
        <v/>
      </c>
      <c r="T119" s="30" t="str">
        <f aca="false">IF($B119="","",IFERROR(IF(INDEX(offices!$Z$2:$Z$61,MATCH($B119,offices!$A$2:$A$61,0))="","",INDEX(offices!$Z$2:$Z$61,MATCH($B119,offices!$A$2:$A$61,0))),""))</f>
        <v/>
      </c>
      <c r="U119" s="30" t="str">
        <f aca="false">IF($B119="","",IFERROR(IF(INDEX(offices!$Y$2:$Y$61,MATCH($B119,offices!$A$2:$A$61,0))="","",INDEX(offices!$Y$2:$Y$61,MATCH($B119,offices!$A$2:$A$61,0))),""))</f>
        <v/>
      </c>
      <c r="V119" s="30" t="str">
        <f aca="false">IF($B119="","",IFERROR(IF(INDEX(offices!$V$2:$V$61,MATCH($B119,offices!$A$2:$A$61,0))="","",INDEX(offices!$V$2:$V$61,MATCH($B119,offices!$A$2:$A$61,0))),""))</f>
        <v/>
      </c>
      <c r="W119" s="30" t="str">
        <f aca="false">IF($B119="","",IFERROR(IF(INDEX(offices!$AJ$2:$AJ$61,MATCH($B119,offices!$A$2:$A$61,0))="","",INDEX(offices!$AJ$2:$AJ$61,MATCH($B119,offices!$A$2:$A$61,0))),""))</f>
        <v/>
      </c>
      <c r="X119" s="30" t="str">
        <f aca="false">IF($B119="","",IFERROR(IF(INDEX(offices!$G$2:$G$61,MATCH($B119,offices!$A$2:$A$61,0))="","",INDEX(offices!$G$2:$G$61,MATCH($B119,offices!$A$2:$A$61,0))),""))</f>
        <v/>
      </c>
      <c r="Y119" s="30" t="str">
        <f aca="false">IF($B119="","",IFERROR(IF(INDEX(offices!$I$2:$I$61,MATCH($B119,offices!$A$2:$A$61,0))="","",INDEX(offices!$I$2:$I$61,MATCH($B119,offices!$A$2:$A$61,0))),""))</f>
        <v/>
      </c>
      <c r="Z119" s="30" t="str">
        <f aca="false">IF($A119="","",COUNTIFS(approvals!$H$2:$H$251,$A119,approvals!$B$2:$B$251,$B119,approvals!$P$2:$P$251,"Y"))</f>
        <v/>
      </c>
      <c r="AA119" s="30" t="str">
        <f aca="false">IF($A119="","",SUMIFS(approvals!$S$2:$S$251,approvals!$H$2:$H$251,$A119,approvals!$B$2:$B$251,$B119,approvals!$P$2:$P$251,"Y"))</f>
        <v/>
      </c>
      <c r="AB119" s="30" t="str">
        <f aca="false">IF(OR($A119="",$P119=""),"",IF(COUNTIFS(stops!$B$2:$B$151,$B119,stops!$P$2:$P$151,"&lt;"&amp;$P119,stops!$L$2:$L$151,"&lt;&gt;not_delivered")=0,"Y","N"))</f>
        <v/>
      </c>
      <c r="AC119" s="30" t="str">
        <f aca="false">IF(OR($I119="",$J119=""),"",ROUND(($J119-$I119)*1440,0))</f>
        <v/>
      </c>
      <c r="AD119" s="30" t="str">
        <f aca="true">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30" t="str">
        <f aca="false">IF($B119="","",IFERROR(IF(INDEX(offices!$H$2:$H$61,MATCH($B119,offices!$A$2:$A$61,0))="","",INDEX(offices!$H$2:$H$61,MATCH($B119,offices!$A$2:$A$61,0))),""))</f>
        <v/>
      </c>
      <c r="AF119" s="30" t="str">
        <f aca="false">IF($A119="","",IF(AND($L119="declined",N($Z119)&gt;0,COUNTIFS(approvals!$H$2:$H$251,$A119,approvals!$B$2:$B$251,$B119,approvals!$P$2:$P$251,"Y",approvals!$U$2:$U$251,"&gt;0")=0),"Y",""))</f>
        <v/>
      </c>
    </row>
    <row r="120" customFormat="false" ht="15" hidden="false" customHeight="false" outlineLevel="0" collapsed="false">
      <c r="D120" s="38"/>
      <c r="E120" s="11"/>
      <c r="F120" s="11"/>
      <c r="G120" s="11"/>
      <c r="I120" s="38"/>
      <c r="J120" s="38"/>
      <c r="K120" s="10"/>
      <c r="L120" s="10"/>
      <c r="N120" s="11"/>
      <c r="O120" s="10"/>
      <c r="P120" s="31" t="str">
        <f aca="false">IF($A120="","",IF(IFERROR(IF(INDEX(drops!$I$2:$I$21,MATCH($A120,drops!$A$2:$A$21,0))="","",INDEX(drops!$I$2:$I$21,MATCH($A120,drops!$A$2:$A$21,0))),"")="OK",IFERROR(IF(INDEX(drops!$B$2:$B$21,MATCH($A120,drops!$A$2:$A$21,0))="","",INDEX(drops!$B$2:$B$21,MATCH($A120,drops!$A$2:$A$21,0))),""),""))</f>
        <v/>
      </c>
      <c r="Q120" s="30" t="str">
        <f aca="false">IF($B120="","",IFERROR(IF(INDEX(offices!$O$2:$O$61,MATCH($B120,offices!$A$2:$A$61,0))="","",INDEX(offices!$O$2:$O$61,MATCH($B120,offices!$A$2:$A$61,0))),""))</f>
        <v/>
      </c>
      <c r="R120" s="30" t="str">
        <f aca="false">IF($B120="","",IFERROR(IF(INDEX(offices!$P$2:$P$61,MATCH($B120,offices!$A$2:$A$61,0))="","",INDEX(offices!$P$2:$P$61,MATCH($B120,offices!$A$2:$A$61,0))),""))</f>
        <v/>
      </c>
      <c r="S120" s="30" t="str">
        <f aca="false">IF($B120="","",IFERROR(IF(INDEX(offices!$Q$2:$Q$61,MATCH($B120,offices!$A$2:$A$61,0))="","",INDEX(offices!$Q$2:$Q$61,MATCH($B120,offices!$A$2:$A$61,0))),""))</f>
        <v/>
      </c>
      <c r="T120" s="30" t="str">
        <f aca="false">IF($B120="","",IFERROR(IF(INDEX(offices!$Z$2:$Z$61,MATCH($B120,offices!$A$2:$A$61,0))="","",INDEX(offices!$Z$2:$Z$61,MATCH($B120,offices!$A$2:$A$61,0))),""))</f>
        <v/>
      </c>
      <c r="U120" s="30" t="str">
        <f aca="false">IF($B120="","",IFERROR(IF(INDEX(offices!$Y$2:$Y$61,MATCH($B120,offices!$A$2:$A$61,0))="","",INDEX(offices!$Y$2:$Y$61,MATCH($B120,offices!$A$2:$A$61,0))),""))</f>
        <v/>
      </c>
      <c r="V120" s="30" t="str">
        <f aca="false">IF($B120="","",IFERROR(IF(INDEX(offices!$V$2:$V$61,MATCH($B120,offices!$A$2:$A$61,0))="","",INDEX(offices!$V$2:$V$61,MATCH($B120,offices!$A$2:$A$61,0))),""))</f>
        <v/>
      </c>
      <c r="W120" s="30" t="str">
        <f aca="false">IF($B120="","",IFERROR(IF(INDEX(offices!$AJ$2:$AJ$61,MATCH($B120,offices!$A$2:$A$61,0))="","",INDEX(offices!$AJ$2:$AJ$61,MATCH($B120,offices!$A$2:$A$61,0))),""))</f>
        <v/>
      </c>
      <c r="X120" s="30" t="str">
        <f aca="false">IF($B120="","",IFERROR(IF(INDEX(offices!$G$2:$G$61,MATCH($B120,offices!$A$2:$A$61,0))="","",INDEX(offices!$G$2:$G$61,MATCH($B120,offices!$A$2:$A$61,0))),""))</f>
        <v/>
      </c>
      <c r="Y120" s="30" t="str">
        <f aca="false">IF($B120="","",IFERROR(IF(INDEX(offices!$I$2:$I$61,MATCH($B120,offices!$A$2:$A$61,0))="","",INDEX(offices!$I$2:$I$61,MATCH($B120,offices!$A$2:$A$61,0))),""))</f>
        <v/>
      </c>
      <c r="Z120" s="30" t="str">
        <f aca="false">IF($A120="","",COUNTIFS(approvals!$H$2:$H$251,$A120,approvals!$B$2:$B$251,$B120,approvals!$P$2:$P$251,"Y"))</f>
        <v/>
      </c>
      <c r="AA120" s="30" t="str">
        <f aca="false">IF($A120="","",SUMIFS(approvals!$S$2:$S$251,approvals!$H$2:$H$251,$A120,approvals!$B$2:$B$251,$B120,approvals!$P$2:$P$251,"Y"))</f>
        <v/>
      </c>
      <c r="AB120" s="30" t="str">
        <f aca="false">IF(OR($A120="",$P120=""),"",IF(COUNTIFS(stops!$B$2:$B$151,$B120,stops!$P$2:$P$151,"&lt;"&amp;$P120,stops!$L$2:$L$151,"&lt;&gt;not_delivered")=0,"Y","N"))</f>
        <v/>
      </c>
      <c r="AC120" s="30" t="str">
        <f aca="false">IF(OR($I120="",$J120=""),"",ROUND(($J120-$I120)*1440,0))</f>
        <v/>
      </c>
      <c r="AD120" s="30" t="str">
        <f aca="true">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30" t="str">
        <f aca="false">IF($B120="","",IFERROR(IF(INDEX(offices!$H$2:$H$61,MATCH($B120,offices!$A$2:$A$61,0))="","",INDEX(offices!$H$2:$H$61,MATCH($B120,offices!$A$2:$A$61,0))),""))</f>
        <v/>
      </c>
      <c r="AF120" s="30" t="str">
        <f aca="false">IF($A120="","",IF(AND($L120="declined",N($Z120)&gt;0,COUNTIFS(approvals!$H$2:$H$251,$A120,approvals!$B$2:$B$251,$B120,approvals!$P$2:$P$251,"Y",approvals!$U$2:$U$251,"&gt;0")=0),"Y",""))</f>
        <v/>
      </c>
    </row>
    <row r="121" customFormat="false" ht="15" hidden="false" customHeight="false" outlineLevel="0" collapsed="false">
      <c r="D121" s="38"/>
      <c r="E121" s="11"/>
      <c r="F121" s="11"/>
      <c r="G121" s="11"/>
      <c r="I121" s="38"/>
      <c r="J121" s="38"/>
      <c r="K121" s="10"/>
      <c r="L121" s="10"/>
      <c r="N121" s="11"/>
      <c r="O121" s="10"/>
      <c r="P121" s="31" t="str">
        <f aca="false">IF($A121="","",IF(IFERROR(IF(INDEX(drops!$I$2:$I$21,MATCH($A121,drops!$A$2:$A$21,0))="","",INDEX(drops!$I$2:$I$21,MATCH($A121,drops!$A$2:$A$21,0))),"")="OK",IFERROR(IF(INDEX(drops!$B$2:$B$21,MATCH($A121,drops!$A$2:$A$21,0))="","",INDEX(drops!$B$2:$B$21,MATCH($A121,drops!$A$2:$A$21,0))),""),""))</f>
        <v/>
      </c>
      <c r="Q121" s="30" t="str">
        <f aca="false">IF($B121="","",IFERROR(IF(INDEX(offices!$O$2:$O$61,MATCH($B121,offices!$A$2:$A$61,0))="","",INDEX(offices!$O$2:$O$61,MATCH($B121,offices!$A$2:$A$61,0))),""))</f>
        <v/>
      </c>
      <c r="R121" s="30" t="str">
        <f aca="false">IF($B121="","",IFERROR(IF(INDEX(offices!$P$2:$P$61,MATCH($B121,offices!$A$2:$A$61,0))="","",INDEX(offices!$P$2:$P$61,MATCH($B121,offices!$A$2:$A$61,0))),""))</f>
        <v/>
      </c>
      <c r="S121" s="30" t="str">
        <f aca="false">IF($B121="","",IFERROR(IF(INDEX(offices!$Q$2:$Q$61,MATCH($B121,offices!$A$2:$A$61,0))="","",INDEX(offices!$Q$2:$Q$61,MATCH($B121,offices!$A$2:$A$61,0))),""))</f>
        <v/>
      </c>
      <c r="T121" s="30" t="str">
        <f aca="false">IF($B121="","",IFERROR(IF(INDEX(offices!$Z$2:$Z$61,MATCH($B121,offices!$A$2:$A$61,0))="","",INDEX(offices!$Z$2:$Z$61,MATCH($B121,offices!$A$2:$A$61,0))),""))</f>
        <v/>
      </c>
      <c r="U121" s="30" t="str">
        <f aca="false">IF($B121="","",IFERROR(IF(INDEX(offices!$Y$2:$Y$61,MATCH($B121,offices!$A$2:$A$61,0))="","",INDEX(offices!$Y$2:$Y$61,MATCH($B121,offices!$A$2:$A$61,0))),""))</f>
        <v/>
      </c>
      <c r="V121" s="30" t="str">
        <f aca="false">IF($B121="","",IFERROR(IF(INDEX(offices!$V$2:$V$61,MATCH($B121,offices!$A$2:$A$61,0))="","",INDEX(offices!$V$2:$V$61,MATCH($B121,offices!$A$2:$A$61,0))),""))</f>
        <v/>
      </c>
      <c r="W121" s="30" t="str">
        <f aca="false">IF($B121="","",IFERROR(IF(INDEX(offices!$AJ$2:$AJ$61,MATCH($B121,offices!$A$2:$A$61,0))="","",INDEX(offices!$AJ$2:$AJ$61,MATCH($B121,offices!$A$2:$A$61,0))),""))</f>
        <v/>
      </c>
      <c r="X121" s="30" t="str">
        <f aca="false">IF($B121="","",IFERROR(IF(INDEX(offices!$G$2:$G$61,MATCH($B121,offices!$A$2:$A$61,0))="","",INDEX(offices!$G$2:$G$61,MATCH($B121,offices!$A$2:$A$61,0))),""))</f>
        <v/>
      </c>
      <c r="Y121" s="30" t="str">
        <f aca="false">IF($B121="","",IFERROR(IF(INDEX(offices!$I$2:$I$61,MATCH($B121,offices!$A$2:$A$61,0))="","",INDEX(offices!$I$2:$I$61,MATCH($B121,offices!$A$2:$A$61,0))),""))</f>
        <v/>
      </c>
      <c r="Z121" s="30" t="str">
        <f aca="false">IF($A121="","",COUNTIFS(approvals!$H$2:$H$251,$A121,approvals!$B$2:$B$251,$B121,approvals!$P$2:$P$251,"Y"))</f>
        <v/>
      </c>
      <c r="AA121" s="30" t="str">
        <f aca="false">IF($A121="","",SUMIFS(approvals!$S$2:$S$251,approvals!$H$2:$H$251,$A121,approvals!$B$2:$B$251,$B121,approvals!$P$2:$P$251,"Y"))</f>
        <v/>
      </c>
      <c r="AB121" s="30" t="str">
        <f aca="false">IF(OR($A121="",$P121=""),"",IF(COUNTIFS(stops!$B$2:$B$151,$B121,stops!$P$2:$P$151,"&lt;"&amp;$P121,stops!$L$2:$L$151,"&lt;&gt;not_delivered")=0,"Y","N"))</f>
        <v/>
      </c>
      <c r="AC121" s="30" t="str">
        <f aca="false">IF(OR($I121="",$J121=""),"",ROUND(($J121-$I121)*1440,0))</f>
        <v/>
      </c>
      <c r="AD121" s="30" t="str">
        <f aca="true">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30" t="str">
        <f aca="false">IF($B121="","",IFERROR(IF(INDEX(offices!$H$2:$H$61,MATCH($B121,offices!$A$2:$A$61,0))="","",INDEX(offices!$H$2:$H$61,MATCH($B121,offices!$A$2:$A$61,0))),""))</f>
        <v/>
      </c>
      <c r="AF121" s="30" t="str">
        <f aca="false">IF($A121="","",IF(AND($L121="declined",N($Z121)&gt;0,COUNTIFS(approvals!$H$2:$H$251,$A121,approvals!$B$2:$B$251,$B121,approvals!$P$2:$P$251,"Y",approvals!$U$2:$U$251,"&gt;0")=0),"Y",""))</f>
        <v/>
      </c>
    </row>
    <row r="122" customFormat="false" ht="15" hidden="false" customHeight="false" outlineLevel="0" collapsed="false">
      <c r="D122" s="38"/>
      <c r="E122" s="11"/>
      <c r="F122" s="11"/>
      <c r="G122" s="11"/>
      <c r="I122" s="38"/>
      <c r="J122" s="38"/>
      <c r="K122" s="10"/>
      <c r="L122" s="10"/>
      <c r="N122" s="11"/>
      <c r="O122" s="10"/>
      <c r="P122" s="31" t="str">
        <f aca="false">IF($A122="","",IF(IFERROR(IF(INDEX(drops!$I$2:$I$21,MATCH($A122,drops!$A$2:$A$21,0))="","",INDEX(drops!$I$2:$I$21,MATCH($A122,drops!$A$2:$A$21,0))),"")="OK",IFERROR(IF(INDEX(drops!$B$2:$B$21,MATCH($A122,drops!$A$2:$A$21,0))="","",INDEX(drops!$B$2:$B$21,MATCH($A122,drops!$A$2:$A$21,0))),""),""))</f>
        <v/>
      </c>
      <c r="Q122" s="30" t="str">
        <f aca="false">IF($B122="","",IFERROR(IF(INDEX(offices!$O$2:$O$61,MATCH($B122,offices!$A$2:$A$61,0))="","",INDEX(offices!$O$2:$O$61,MATCH($B122,offices!$A$2:$A$61,0))),""))</f>
        <v/>
      </c>
      <c r="R122" s="30" t="str">
        <f aca="false">IF($B122="","",IFERROR(IF(INDEX(offices!$P$2:$P$61,MATCH($B122,offices!$A$2:$A$61,0))="","",INDEX(offices!$P$2:$P$61,MATCH($B122,offices!$A$2:$A$61,0))),""))</f>
        <v/>
      </c>
      <c r="S122" s="30" t="str">
        <f aca="false">IF($B122="","",IFERROR(IF(INDEX(offices!$Q$2:$Q$61,MATCH($B122,offices!$A$2:$A$61,0))="","",INDEX(offices!$Q$2:$Q$61,MATCH($B122,offices!$A$2:$A$61,0))),""))</f>
        <v/>
      </c>
      <c r="T122" s="30" t="str">
        <f aca="false">IF($B122="","",IFERROR(IF(INDEX(offices!$Z$2:$Z$61,MATCH($B122,offices!$A$2:$A$61,0))="","",INDEX(offices!$Z$2:$Z$61,MATCH($B122,offices!$A$2:$A$61,0))),""))</f>
        <v/>
      </c>
      <c r="U122" s="30" t="str">
        <f aca="false">IF($B122="","",IFERROR(IF(INDEX(offices!$Y$2:$Y$61,MATCH($B122,offices!$A$2:$A$61,0))="","",INDEX(offices!$Y$2:$Y$61,MATCH($B122,offices!$A$2:$A$61,0))),""))</f>
        <v/>
      </c>
      <c r="V122" s="30" t="str">
        <f aca="false">IF($B122="","",IFERROR(IF(INDEX(offices!$V$2:$V$61,MATCH($B122,offices!$A$2:$A$61,0))="","",INDEX(offices!$V$2:$V$61,MATCH($B122,offices!$A$2:$A$61,0))),""))</f>
        <v/>
      </c>
      <c r="W122" s="30" t="str">
        <f aca="false">IF($B122="","",IFERROR(IF(INDEX(offices!$AJ$2:$AJ$61,MATCH($B122,offices!$A$2:$A$61,0))="","",INDEX(offices!$AJ$2:$AJ$61,MATCH($B122,offices!$A$2:$A$61,0))),""))</f>
        <v/>
      </c>
      <c r="X122" s="30" t="str">
        <f aca="false">IF($B122="","",IFERROR(IF(INDEX(offices!$G$2:$G$61,MATCH($B122,offices!$A$2:$A$61,0))="","",INDEX(offices!$G$2:$G$61,MATCH($B122,offices!$A$2:$A$61,0))),""))</f>
        <v/>
      </c>
      <c r="Y122" s="30" t="str">
        <f aca="false">IF($B122="","",IFERROR(IF(INDEX(offices!$I$2:$I$61,MATCH($B122,offices!$A$2:$A$61,0))="","",INDEX(offices!$I$2:$I$61,MATCH($B122,offices!$A$2:$A$61,0))),""))</f>
        <v/>
      </c>
      <c r="Z122" s="30" t="str">
        <f aca="false">IF($A122="","",COUNTIFS(approvals!$H$2:$H$251,$A122,approvals!$B$2:$B$251,$B122,approvals!$P$2:$P$251,"Y"))</f>
        <v/>
      </c>
      <c r="AA122" s="30" t="str">
        <f aca="false">IF($A122="","",SUMIFS(approvals!$S$2:$S$251,approvals!$H$2:$H$251,$A122,approvals!$B$2:$B$251,$B122,approvals!$P$2:$P$251,"Y"))</f>
        <v/>
      </c>
      <c r="AB122" s="30" t="str">
        <f aca="false">IF(OR($A122="",$P122=""),"",IF(COUNTIFS(stops!$B$2:$B$151,$B122,stops!$P$2:$P$151,"&lt;"&amp;$P122,stops!$L$2:$L$151,"&lt;&gt;not_delivered")=0,"Y","N"))</f>
        <v/>
      </c>
      <c r="AC122" s="30" t="str">
        <f aca="false">IF(OR($I122="",$J122=""),"",ROUND(($J122-$I122)*1440,0))</f>
        <v/>
      </c>
      <c r="AD122" s="30" t="str">
        <f aca="true">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30" t="str">
        <f aca="false">IF($B122="","",IFERROR(IF(INDEX(offices!$H$2:$H$61,MATCH($B122,offices!$A$2:$A$61,0))="","",INDEX(offices!$H$2:$H$61,MATCH($B122,offices!$A$2:$A$61,0))),""))</f>
        <v/>
      </c>
      <c r="AF122" s="30" t="str">
        <f aca="false">IF($A122="","",IF(AND($L122="declined",N($Z122)&gt;0,COUNTIFS(approvals!$H$2:$H$251,$A122,approvals!$B$2:$B$251,$B122,approvals!$P$2:$P$251,"Y",approvals!$U$2:$U$251,"&gt;0")=0),"Y",""))</f>
        <v/>
      </c>
    </row>
    <row r="123" customFormat="false" ht="15" hidden="false" customHeight="false" outlineLevel="0" collapsed="false">
      <c r="D123" s="38"/>
      <c r="E123" s="11"/>
      <c r="F123" s="11"/>
      <c r="G123" s="11"/>
      <c r="I123" s="38"/>
      <c r="J123" s="38"/>
      <c r="K123" s="10"/>
      <c r="L123" s="10"/>
      <c r="N123" s="11"/>
      <c r="O123" s="10"/>
      <c r="P123" s="31" t="str">
        <f aca="false">IF($A123="","",IF(IFERROR(IF(INDEX(drops!$I$2:$I$21,MATCH($A123,drops!$A$2:$A$21,0))="","",INDEX(drops!$I$2:$I$21,MATCH($A123,drops!$A$2:$A$21,0))),"")="OK",IFERROR(IF(INDEX(drops!$B$2:$B$21,MATCH($A123,drops!$A$2:$A$21,0))="","",INDEX(drops!$B$2:$B$21,MATCH($A123,drops!$A$2:$A$21,0))),""),""))</f>
        <v/>
      </c>
      <c r="Q123" s="30" t="str">
        <f aca="false">IF($B123="","",IFERROR(IF(INDEX(offices!$O$2:$O$61,MATCH($B123,offices!$A$2:$A$61,0))="","",INDEX(offices!$O$2:$O$61,MATCH($B123,offices!$A$2:$A$61,0))),""))</f>
        <v/>
      </c>
      <c r="R123" s="30" t="str">
        <f aca="false">IF($B123="","",IFERROR(IF(INDEX(offices!$P$2:$P$61,MATCH($B123,offices!$A$2:$A$61,0))="","",INDEX(offices!$P$2:$P$61,MATCH($B123,offices!$A$2:$A$61,0))),""))</f>
        <v/>
      </c>
      <c r="S123" s="30" t="str">
        <f aca="false">IF($B123="","",IFERROR(IF(INDEX(offices!$Q$2:$Q$61,MATCH($B123,offices!$A$2:$A$61,0))="","",INDEX(offices!$Q$2:$Q$61,MATCH($B123,offices!$A$2:$A$61,0))),""))</f>
        <v/>
      </c>
      <c r="T123" s="30" t="str">
        <f aca="false">IF($B123="","",IFERROR(IF(INDEX(offices!$Z$2:$Z$61,MATCH($B123,offices!$A$2:$A$61,0))="","",INDEX(offices!$Z$2:$Z$61,MATCH($B123,offices!$A$2:$A$61,0))),""))</f>
        <v/>
      </c>
      <c r="U123" s="30" t="str">
        <f aca="false">IF($B123="","",IFERROR(IF(INDEX(offices!$Y$2:$Y$61,MATCH($B123,offices!$A$2:$A$61,0))="","",INDEX(offices!$Y$2:$Y$61,MATCH($B123,offices!$A$2:$A$61,0))),""))</f>
        <v/>
      </c>
      <c r="V123" s="30" t="str">
        <f aca="false">IF($B123="","",IFERROR(IF(INDEX(offices!$V$2:$V$61,MATCH($B123,offices!$A$2:$A$61,0))="","",INDEX(offices!$V$2:$V$61,MATCH($B123,offices!$A$2:$A$61,0))),""))</f>
        <v/>
      </c>
      <c r="W123" s="30" t="str">
        <f aca="false">IF($B123="","",IFERROR(IF(INDEX(offices!$AJ$2:$AJ$61,MATCH($B123,offices!$A$2:$A$61,0))="","",INDEX(offices!$AJ$2:$AJ$61,MATCH($B123,offices!$A$2:$A$61,0))),""))</f>
        <v/>
      </c>
      <c r="X123" s="30" t="str">
        <f aca="false">IF($B123="","",IFERROR(IF(INDEX(offices!$G$2:$G$61,MATCH($B123,offices!$A$2:$A$61,0))="","",INDEX(offices!$G$2:$G$61,MATCH($B123,offices!$A$2:$A$61,0))),""))</f>
        <v/>
      </c>
      <c r="Y123" s="30" t="str">
        <f aca="false">IF($B123="","",IFERROR(IF(INDEX(offices!$I$2:$I$61,MATCH($B123,offices!$A$2:$A$61,0))="","",INDEX(offices!$I$2:$I$61,MATCH($B123,offices!$A$2:$A$61,0))),""))</f>
        <v/>
      </c>
      <c r="Z123" s="30" t="str">
        <f aca="false">IF($A123="","",COUNTIFS(approvals!$H$2:$H$251,$A123,approvals!$B$2:$B$251,$B123,approvals!$P$2:$P$251,"Y"))</f>
        <v/>
      </c>
      <c r="AA123" s="30" t="str">
        <f aca="false">IF($A123="","",SUMIFS(approvals!$S$2:$S$251,approvals!$H$2:$H$251,$A123,approvals!$B$2:$B$251,$B123,approvals!$P$2:$P$251,"Y"))</f>
        <v/>
      </c>
      <c r="AB123" s="30" t="str">
        <f aca="false">IF(OR($A123="",$P123=""),"",IF(COUNTIFS(stops!$B$2:$B$151,$B123,stops!$P$2:$P$151,"&lt;"&amp;$P123,stops!$L$2:$L$151,"&lt;&gt;not_delivered")=0,"Y","N"))</f>
        <v/>
      </c>
      <c r="AC123" s="30" t="str">
        <f aca="false">IF(OR($I123="",$J123=""),"",ROUND(($J123-$I123)*1440,0))</f>
        <v/>
      </c>
      <c r="AD123" s="30" t="str">
        <f aca="true">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30" t="str">
        <f aca="false">IF($B123="","",IFERROR(IF(INDEX(offices!$H$2:$H$61,MATCH($B123,offices!$A$2:$A$61,0))="","",INDEX(offices!$H$2:$H$61,MATCH($B123,offices!$A$2:$A$61,0))),""))</f>
        <v/>
      </c>
      <c r="AF123" s="30" t="str">
        <f aca="false">IF($A123="","",IF(AND($L123="declined",N($Z123)&gt;0,COUNTIFS(approvals!$H$2:$H$251,$A123,approvals!$B$2:$B$251,$B123,approvals!$P$2:$P$251,"Y",approvals!$U$2:$U$251,"&gt;0")=0),"Y",""))</f>
        <v/>
      </c>
    </row>
    <row r="124" customFormat="false" ht="15" hidden="false" customHeight="false" outlineLevel="0" collapsed="false">
      <c r="D124" s="38"/>
      <c r="E124" s="11"/>
      <c r="F124" s="11"/>
      <c r="G124" s="11"/>
      <c r="I124" s="38"/>
      <c r="J124" s="38"/>
      <c r="K124" s="10"/>
      <c r="L124" s="10"/>
      <c r="N124" s="11"/>
      <c r="O124" s="10"/>
      <c r="P124" s="31" t="str">
        <f aca="false">IF($A124="","",IF(IFERROR(IF(INDEX(drops!$I$2:$I$21,MATCH($A124,drops!$A$2:$A$21,0))="","",INDEX(drops!$I$2:$I$21,MATCH($A124,drops!$A$2:$A$21,0))),"")="OK",IFERROR(IF(INDEX(drops!$B$2:$B$21,MATCH($A124,drops!$A$2:$A$21,0))="","",INDEX(drops!$B$2:$B$21,MATCH($A124,drops!$A$2:$A$21,0))),""),""))</f>
        <v/>
      </c>
      <c r="Q124" s="30" t="str">
        <f aca="false">IF($B124="","",IFERROR(IF(INDEX(offices!$O$2:$O$61,MATCH($B124,offices!$A$2:$A$61,0))="","",INDEX(offices!$O$2:$O$61,MATCH($B124,offices!$A$2:$A$61,0))),""))</f>
        <v/>
      </c>
      <c r="R124" s="30" t="str">
        <f aca="false">IF($B124="","",IFERROR(IF(INDEX(offices!$P$2:$P$61,MATCH($B124,offices!$A$2:$A$61,0))="","",INDEX(offices!$P$2:$P$61,MATCH($B124,offices!$A$2:$A$61,0))),""))</f>
        <v/>
      </c>
      <c r="S124" s="30" t="str">
        <f aca="false">IF($B124="","",IFERROR(IF(INDEX(offices!$Q$2:$Q$61,MATCH($B124,offices!$A$2:$A$61,0))="","",INDEX(offices!$Q$2:$Q$61,MATCH($B124,offices!$A$2:$A$61,0))),""))</f>
        <v/>
      </c>
      <c r="T124" s="30" t="str">
        <f aca="false">IF($B124="","",IFERROR(IF(INDEX(offices!$Z$2:$Z$61,MATCH($B124,offices!$A$2:$A$61,0))="","",INDEX(offices!$Z$2:$Z$61,MATCH($B124,offices!$A$2:$A$61,0))),""))</f>
        <v/>
      </c>
      <c r="U124" s="30" t="str">
        <f aca="false">IF($B124="","",IFERROR(IF(INDEX(offices!$Y$2:$Y$61,MATCH($B124,offices!$A$2:$A$61,0))="","",INDEX(offices!$Y$2:$Y$61,MATCH($B124,offices!$A$2:$A$61,0))),""))</f>
        <v/>
      </c>
      <c r="V124" s="30" t="str">
        <f aca="false">IF($B124="","",IFERROR(IF(INDEX(offices!$V$2:$V$61,MATCH($B124,offices!$A$2:$A$61,0))="","",INDEX(offices!$V$2:$V$61,MATCH($B124,offices!$A$2:$A$61,0))),""))</f>
        <v/>
      </c>
      <c r="W124" s="30" t="str">
        <f aca="false">IF($B124="","",IFERROR(IF(INDEX(offices!$AJ$2:$AJ$61,MATCH($B124,offices!$A$2:$A$61,0))="","",INDEX(offices!$AJ$2:$AJ$61,MATCH($B124,offices!$A$2:$A$61,0))),""))</f>
        <v/>
      </c>
      <c r="X124" s="30" t="str">
        <f aca="false">IF($B124="","",IFERROR(IF(INDEX(offices!$G$2:$G$61,MATCH($B124,offices!$A$2:$A$61,0))="","",INDEX(offices!$G$2:$G$61,MATCH($B124,offices!$A$2:$A$61,0))),""))</f>
        <v/>
      </c>
      <c r="Y124" s="30" t="str">
        <f aca="false">IF($B124="","",IFERROR(IF(INDEX(offices!$I$2:$I$61,MATCH($B124,offices!$A$2:$A$61,0))="","",INDEX(offices!$I$2:$I$61,MATCH($B124,offices!$A$2:$A$61,0))),""))</f>
        <v/>
      </c>
      <c r="Z124" s="30" t="str">
        <f aca="false">IF($A124="","",COUNTIFS(approvals!$H$2:$H$251,$A124,approvals!$B$2:$B$251,$B124,approvals!$P$2:$P$251,"Y"))</f>
        <v/>
      </c>
      <c r="AA124" s="30" t="str">
        <f aca="false">IF($A124="","",SUMIFS(approvals!$S$2:$S$251,approvals!$H$2:$H$251,$A124,approvals!$B$2:$B$251,$B124,approvals!$P$2:$P$251,"Y"))</f>
        <v/>
      </c>
      <c r="AB124" s="30" t="str">
        <f aca="false">IF(OR($A124="",$P124=""),"",IF(COUNTIFS(stops!$B$2:$B$151,$B124,stops!$P$2:$P$151,"&lt;"&amp;$P124,stops!$L$2:$L$151,"&lt;&gt;not_delivered")=0,"Y","N"))</f>
        <v/>
      </c>
      <c r="AC124" s="30" t="str">
        <f aca="false">IF(OR($I124="",$J124=""),"",ROUND(($J124-$I124)*1440,0))</f>
        <v/>
      </c>
      <c r="AD124" s="30" t="str">
        <f aca="true">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30" t="str">
        <f aca="false">IF($B124="","",IFERROR(IF(INDEX(offices!$H$2:$H$61,MATCH($B124,offices!$A$2:$A$61,0))="","",INDEX(offices!$H$2:$H$61,MATCH($B124,offices!$A$2:$A$61,0))),""))</f>
        <v/>
      </c>
      <c r="AF124" s="30" t="str">
        <f aca="false">IF($A124="","",IF(AND($L124="declined",N($Z124)&gt;0,COUNTIFS(approvals!$H$2:$H$251,$A124,approvals!$B$2:$B$251,$B124,approvals!$P$2:$P$251,"Y",approvals!$U$2:$U$251,"&gt;0")=0),"Y",""))</f>
        <v/>
      </c>
    </row>
    <row r="125" customFormat="false" ht="15" hidden="false" customHeight="false" outlineLevel="0" collapsed="false">
      <c r="D125" s="38"/>
      <c r="E125" s="11"/>
      <c r="F125" s="11"/>
      <c r="G125" s="11"/>
      <c r="I125" s="38"/>
      <c r="J125" s="38"/>
      <c r="K125" s="10"/>
      <c r="L125" s="10"/>
      <c r="N125" s="11"/>
      <c r="O125" s="10"/>
      <c r="P125" s="31" t="str">
        <f aca="false">IF($A125="","",IF(IFERROR(IF(INDEX(drops!$I$2:$I$21,MATCH($A125,drops!$A$2:$A$21,0))="","",INDEX(drops!$I$2:$I$21,MATCH($A125,drops!$A$2:$A$21,0))),"")="OK",IFERROR(IF(INDEX(drops!$B$2:$B$21,MATCH($A125,drops!$A$2:$A$21,0))="","",INDEX(drops!$B$2:$B$21,MATCH($A125,drops!$A$2:$A$21,0))),""),""))</f>
        <v/>
      </c>
      <c r="Q125" s="30" t="str">
        <f aca="false">IF($B125="","",IFERROR(IF(INDEX(offices!$O$2:$O$61,MATCH($B125,offices!$A$2:$A$61,0))="","",INDEX(offices!$O$2:$O$61,MATCH($B125,offices!$A$2:$A$61,0))),""))</f>
        <v/>
      </c>
      <c r="R125" s="30" t="str">
        <f aca="false">IF($B125="","",IFERROR(IF(INDEX(offices!$P$2:$P$61,MATCH($B125,offices!$A$2:$A$61,0))="","",INDEX(offices!$P$2:$P$61,MATCH($B125,offices!$A$2:$A$61,0))),""))</f>
        <v/>
      </c>
      <c r="S125" s="30" t="str">
        <f aca="false">IF($B125="","",IFERROR(IF(INDEX(offices!$Q$2:$Q$61,MATCH($B125,offices!$A$2:$A$61,0))="","",INDEX(offices!$Q$2:$Q$61,MATCH($B125,offices!$A$2:$A$61,0))),""))</f>
        <v/>
      </c>
      <c r="T125" s="30" t="str">
        <f aca="false">IF($B125="","",IFERROR(IF(INDEX(offices!$Z$2:$Z$61,MATCH($B125,offices!$A$2:$A$61,0))="","",INDEX(offices!$Z$2:$Z$61,MATCH($B125,offices!$A$2:$A$61,0))),""))</f>
        <v/>
      </c>
      <c r="U125" s="30" t="str">
        <f aca="false">IF($B125="","",IFERROR(IF(INDEX(offices!$Y$2:$Y$61,MATCH($B125,offices!$A$2:$A$61,0))="","",INDEX(offices!$Y$2:$Y$61,MATCH($B125,offices!$A$2:$A$61,0))),""))</f>
        <v/>
      </c>
      <c r="V125" s="30" t="str">
        <f aca="false">IF($B125="","",IFERROR(IF(INDEX(offices!$V$2:$V$61,MATCH($B125,offices!$A$2:$A$61,0))="","",INDEX(offices!$V$2:$V$61,MATCH($B125,offices!$A$2:$A$61,0))),""))</f>
        <v/>
      </c>
      <c r="W125" s="30" t="str">
        <f aca="false">IF($B125="","",IFERROR(IF(INDEX(offices!$AJ$2:$AJ$61,MATCH($B125,offices!$A$2:$A$61,0))="","",INDEX(offices!$AJ$2:$AJ$61,MATCH($B125,offices!$A$2:$A$61,0))),""))</f>
        <v/>
      </c>
      <c r="X125" s="30" t="str">
        <f aca="false">IF($B125="","",IFERROR(IF(INDEX(offices!$G$2:$G$61,MATCH($B125,offices!$A$2:$A$61,0))="","",INDEX(offices!$G$2:$G$61,MATCH($B125,offices!$A$2:$A$61,0))),""))</f>
        <v/>
      </c>
      <c r="Y125" s="30" t="str">
        <f aca="false">IF($B125="","",IFERROR(IF(INDEX(offices!$I$2:$I$61,MATCH($B125,offices!$A$2:$A$61,0))="","",INDEX(offices!$I$2:$I$61,MATCH($B125,offices!$A$2:$A$61,0))),""))</f>
        <v/>
      </c>
      <c r="Z125" s="30" t="str">
        <f aca="false">IF($A125="","",COUNTIFS(approvals!$H$2:$H$251,$A125,approvals!$B$2:$B$251,$B125,approvals!$P$2:$P$251,"Y"))</f>
        <v/>
      </c>
      <c r="AA125" s="30" t="str">
        <f aca="false">IF($A125="","",SUMIFS(approvals!$S$2:$S$251,approvals!$H$2:$H$251,$A125,approvals!$B$2:$B$251,$B125,approvals!$P$2:$P$251,"Y"))</f>
        <v/>
      </c>
      <c r="AB125" s="30" t="str">
        <f aca="false">IF(OR($A125="",$P125=""),"",IF(COUNTIFS(stops!$B$2:$B$151,$B125,stops!$P$2:$P$151,"&lt;"&amp;$P125,stops!$L$2:$L$151,"&lt;&gt;not_delivered")=0,"Y","N"))</f>
        <v/>
      </c>
      <c r="AC125" s="30" t="str">
        <f aca="false">IF(OR($I125="",$J125=""),"",ROUND(($J125-$I125)*1440,0))</f>
        <v/>
      </c>
      <c r="AD125" s="30" t="str">
        <f aca="true">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30" t="str">
        <f aca="false">IF($B125="","",IFERROR(IF(INDEX(offices!$H$2:$H$61,MATCH($B125,offices!$A$2:$A$61,0))="","",INDEX(offices!$H$2:$H$61,MATCH($B125,offices!$A$2:$A$61,0))),""))</f>
        <v/>
      </c>
      <c r="AF125" s="30" t="str">
        <f aca="false">IF($A125="","",IF(AND($L125="declined",N($Z125)&gt;0,COUNTIFS(approvals!$H$2:$H$251,$A125,approvals!$B$2:$B$251,$B125,approvals!$P$2:$P$251,"Y",approvals!$U$2:$U$251,"&gt;0")=0),"Y",""))</f>
        <v/>
      </c>
    </row>
    <row r="126" customFormat="false" ht="15" hidden="false" customHeight="false" outlineLevel="0" collapsed="false">
      <c r="D126" s="38"/>
      <c r="E126" s="11"/>
      <c r="F126" s="11"/>
      <c r="G126" s="11"/>
      <c r="I126" s="38"/>
      <c r="J126" s="38"/>
      <c r="K126" s="10"/>
      <c r="L126" s="10"/>
      <c r="N126" s="11"/>
      <c r="O126" s="10"/>
      <c r="P126" s="31" t="str">
        <f aca="false">IF($A126="","",IF(IFERROR(IF(INDEX(drops!$I$2:$I$21,MATCH($A126,drops!$A$2:$A$21,0))="","",INDEX(drops!$I$2:$I$21,MATCH($A126,drops!$A$2:$A$21,0))),"")="OK",IFERROR(IF(INDEX(drops!$B$2:$B$21,MATCH($A126,drops!$A$2:$A$21,0))="","",INDEX(drops!$B$2:$B$21,MATCH($A126,drops!$A$2:$A$21,0))),""),""))</f>
        <v/>
      </c>
      <c r="Q126" s="30" t="str">
        <f aca="false">IF($B126="","",IFERROR(IF(INDEX(offices!$O$2:$O$61,MATCH($B126,offices!$A$2:$A$61,0))="","",INDEX(offices!$O$2:$O$61,MATCH($B126,offices!$A$2:$A$61,0))),""))</f>
        <v/>
      </c>
      <c r="R126" s="30" t="str">
        <f aca="false">IF($B126="","",IFERROR(IF(INDEX(offices!$P$2:$P$61,MATCH($B126,offices!$A$2:$A$61,0))="","",INDEX(offices!$P$2:$P$61,MATCH($B126,offices!$A$2:$A$61,0))),""))</f>
        <v/>
      </c>
      <c r="S126" s="30" t="str">
        <f aca="false">IF($B126="","",IFERROR(IF(INDEX(offices!$Q$2:$Q$61,MATCH($B126,offices!$A$2:$A$61,0))="","",INDEX(offices!$Q$2:$Q$61,MATCH($B126,offices!$A$2:$A$61,0))),""))</f>
        <v/>
      </c>
      <c r="T126" s="30" t="str">
        <f aca="false">IF($B126="","",IFERROR(IF(INDEX(offices!$Z$2:$Z$61,MATCH($B126,offices!$A$2:$A$61,0))="","",INDEX(offices!$Z$2:$Z$61,MATCH($B126,offices!$A$2:$A$61,0))),""))</f>
        <v/>
      </c>
      <c r="U126" s="30" t="str">
        <f aca="false">IF($B126="","",IFERROR(IF(INDEX(offices!$Y$2:$Y$61,MATCH($B126,offices!$A$2:$A$61,0))="","",INDEX(offices!$Y$2:$Y$61,MATCH($B126,offices!$A$2:$A$61,0))),""))</f>
        <v/>
      </c>
      <c r="V126" s="30" t="str">
        <f aca="false">IF($B126="","",IFERROR(IF(INDEX(offices!$V$2:$V$61,MATCH($B126,offices!$A$2:$A$61,0))="","",INDEX(offices!$V$2:$V$61,MATCH($B126,offices!$A$2:$A$61,0))),""))</f>
        <v/>
      </c>
      <c r="W126" s="30" t="str">
        <f aca="false">IF($B126="","",IFERROR(IF(INDEX(offices!$AJ$2:$AJ$61,MATCH($B126,offices!$A$2:$A$61,0))="","",INDEX(offices!$AJ$2:$AJ$61,MATCH($B126,offices!$A$2:$A$61,0))),""))</f>
        <v/>
      </c>
      <c r="X126" s="30" t="str">
        <f aca="false">IF($B126="","",IFERROR(IF(INDEX(offices!$G$2:$G$61,MATCH($B126,offices!$A$2:$A$61,0))="","",INDEX(offices!$G$2:$G$61,MATCH($B126,offices!$A$2:$A$61,0))),""))</f>
        <v/>
      </c>
      <c r="Y126" s="30" t="str">
        <f aca="false">IF($B126="","",IFERROR(IF(INDEX(offices!$I$2:$I$61,MATCH($B126,offices!$A$2:$A$61,0))="","",INDEX(offices!$I$2:$I$61,MATCH($B126,offices!$A$2:$A$61,0))),""))</f>
        <v/>
      </c>
      <c r="Z126" s="30" t="str">
        <f aca="false">IF($A126="","",COUNTIFS(approvals!$H$2:$H$251,$A126,approvals!$B$2:$B$251,$B126,approvals!$P$2:$P$251,"Y"))</f>
        <v/>
      </c>
      <c r="AA126" s="30" t="str">
        <f aca="false">IF($A126="","",SUMIFS(approvals!$S$2:$S$251,approvals!$H$2:$H$251,$A126,approvals!$B$2:$B$251,$B126,approvals!$P$2:$P$251,"Y"))</f>
        <v/>
      </c>
      <c r="AB126" s="30" t="str">
        <f aca="false">IF(OR($A126="",$P126=""),"",IF(COUNTIFS(stops!$B$2:$B$151,$B126,stops!$P$2:$P$151,"&lt;"&amp;$P126,stops!$L$2:$L$151,"&lt;&gt;not_delivered")=0,"Y","N"))</f>
        <v/>
      </c>
      <c r="AC126" s="30" t="str">
        <f aca="false">IF(OR($I126="",$J126=""),"",ROUND(($J126-$I126)*1440,0))</f>
        <v/>
      </c>
      <c r="AD126" s="30" t="str">
        <f aca="true">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30" t="str">
        <f aca="false">IF($B126="","",IFERROR(IF(INDEX(offices!$H$2:$H$61,MATCH($B126,offices!$A$2:$A$61,0))="","",INDEX(offices!$H$2:$H$61,MATCH($B126,offices!$A$2:$A$61,0))),""))</f>
        <v/>
      </c>
      <c r="AF126" s="30" t="str">
        <f aca="false">IF($A126="","",IF(AND($L126="declined",N($Z126)&gt;0,COUNTIFS(approvals!$H$2:$H$251,$A126,approvals!$B$2:$B$251,$B126,approvals!$P$2:$P$251,"Y",approvals!$U$2:$U$251,"&gt;0")=0),"Y",""))</f>
        <v/>
      </c>
    </row>
    <row r="127" customFormat="false" ht="15" hidden="false" customHeight="false" outlineLevel="0" collapsed="false">
      <c r="D127" s="38"/>
      <c r="E127" s="11"/>
      <c r="F127" s="11"/>
      <c r="G127" s="11"/>
      <c r="I127" s="38"/>
      <c r="J127" s="38"/>
      <c r="K127" s="10"/>
      <c r="L127" s="10"/>
      <c r="N127" s="11"/>
      <c r="O127" s="10"/>
      <c r="P127" s="31" t="str">
        <f aca="false">IF($A127="","",IF(IFERROR(IF(INDEX(drops!$I$2:$I$21,MATCH($A127,drops!$A$2:$A$21,0))="","",INDEX(drops!$I$2:$I$21,MATCH($A127,drops!$A$2:$A$21,0))),"")="OK",IFERROR(IF(INDEX(drops!$B$2:$B$21,MATCH($A127,drops!$A$2:$A$21,0))="","",INDEX(drops!$B$2:$B$21,MATCH($A127,drops!$A$2:$A$21,0))),""),""))</f>
        <v/>
      </c>
      <c r="Q127" s="30" t="str">
        <f aca="false">IF($B127="","",IFERROR(IF(INDEX(offices!$O$2:$O$61,MATCH($B127,offices!$A$2:$A$61,0))="","",INDEX(offices!$O$2:$O$61,MATCH($B127,offices!$A$2:$A$61,0))),""))</f>
        <v/>
      </c>
      <c r="R127" s="30" t="str">
        <f aca="false">IF($B127="","",IFERROR(IF(INDEX(offices!$P$2:$P$61,MATCH($B127,offices!$A$2:$A$61,0))="","",INDEX(offices!$P$2:$P$61,MATCH($B127,offices!$A$2:$A$61,0))),""))</f>
        <v/>
      </c>
      <c r="S127" s="30" t="str">
        <f aca="false">IF($B127="","",IFERROR(IF(INDEX(offices!$Q$2:$Q$61,MATCH($B127,offices!$A$2:$A$61,0))="","",INDEX(offices!$Q$2:$Q$61,MATCH($B127,offices!$A$2:$A$61,0))),""))</f>
        <v/>
      </c>
      <c r="T127" s="30" t="str">
        <f aca="false">IF($B127="","",IFERROR(IF(INDEX(offices!$Z$2:$Z$61,MATCH($B127,offices!$A$2:$A$61,0))="","",INDEX(offices!$Z$2:$Z$61,MATCH($B127,offices!$A$2:$A$61,0))),""))</f>
        <v/>
      </c>
      <c r="U127" s="30" t="str">
        <f aca="false">IF($B127="","",IFERROR(IF(INDEX(offices!$Y$2:$Y$61,MATCH($B127,offices!$A$2:$A$61,0))="","",INDEX(offices!$Y$2:$Y$61,MATCH($B127,offices!$A$2:$A$61,0))),""))</f>
        <v/>
      </c>
      <c r="V127" s="30" t="str">
        <f aca="false">IF($B127="","",IFERROR(IF(INDEX(offices!$V$2:$V$61,MATCH($B127,offices!$A$2:$A$61,0))="","",INDEX(offices!$V$2:$V$61,MATCH($B127,offices!$A$2:$A$61,0))),""))</f>
        <v/>
      </c>
      <c r="W127" s="30" t="str">
        <f aca="false">IF($B127="","",IFERROR(IF(INDEX(offices!$AJ$2:$AJ$61,MATCH($B127,offices!$A$2:$A$61,0))="","",INDEX(offices!$AJ$2:$AJ$61,MATCH($B127,offices!$A$2:$A$61,0))),""))</f>
        <v/>
      </c>
      <c r="X127" s="30" t="str">
        <f aca="false">IF($B127="","",IFERROR(IF(INDEX(offices!$G$2:$G$61,MATCH($B127,offices!$A$2:$A$61,0))="","",INDEX(offices!$G$2:$G$61,MATCH($B127,offices!$A$2:$A$61,0))),""))</f>
        <v/>
      </c>
      <c r="Y127" s="30" t="str">
        <f aca="false">IF($B127="","",IFERROR(IF(INDEX(offices!$I$2:$I$61,MATCH($B127,offices!$A$2:$A$61,0))="","",INDEX(offices!$I$2:$I$61,MATCH($B127,offices!$A$2:$A$61,0))),""))</f>
        <v/>
      </c>
      <c r="Z127" s="30" t="str">
        <f aca="false">IF($A127="","",COUNTIFS(approvals!$H$2:$H$251,$A127,approvals!$B$2:$B$251,$B127,approvals!$P$2:$P$251,"Y"))</f>
        <v/>
      </c>
      <c r="AA127" s="30" t="str">
        <f aca="false">IF($A127="","",SUMIFS(approvals!$S$2:$S$251,approvals!$H$2:$H$251,$A127,approvals!$B$2:$B$251,$B127,approvals!$P$2:$P$251,"Y"))</f>
        <v/>
      </c>
      <c r="AB127" s="30" t="str">
        <f aca="false">IF(OR($A127="",$P127=""),"",IF(COUNTIFS(stops!$B$2:$B$151,$B127,stops!$P$2:$P$151,"&lt;"&amp;$P127,stops!$L$2:$L$151,"&lt;&gt;not_delivered")=0,"Y","N"))</f>
        <v/>
      </c>
      <c r="AC127" s="30" t="str">
        <f aca="false">IF(OR($I127="",$J127=""),"",ROUND(($J127-$I127)*1440,0))</f>
        <v/>
      </c>
      <c r="AD127" s="30" t="str">
        <f aca="true">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30" t="str">
        <f aca="false">IF($B127="","",IFERROR(IF(INDEX(offices!$H$2:$H$61,MATCH($B127,offices!$A$2:$A$61,0))="","",INDEX(offices!$H$2:$H$61,MATCH($B127,offices!$A$2:$A$61,0))),""))</f>
        <v/>
      </c>
      <c r="AF127" s="30" t="str">
        <f aca="false">IF($A127="","",IF(AND($L127="declined",N($Z127)&gt;0,COUNTIFS(approvals!$H$2:$H$251,$A127,approvals!$B$2:$B$251,$B127,approvals!$P$2:$P$251,"Y",approvals!$U$2:$U$251,"&gt;0")=0),"Y",""))</f>
        <v/>
      </c>
    </row>
    <row r="128" customFormat="false" ht="15" hidden="false" customHeight="false" outlineLevel="0" collapsed="false">
      <c r="D128" s="38"/>
      <c r="E128" s="11"/>
      <c r="F128" s="11"/>
      <c r="G128" s="11"/>
      <c r="I128" s="38"/>
      <c r="J128" s="38"/>
      <c r="K128" s="10"/>
      <c r="L128" s="10"/>
      <c r="N128" s="11"/>
      <c r="O128" s="10"/>
      <c r="P128" s="31" t="str">
        <f aca="false">IF($A128="","",IF(IFERROR(IF(INDEX(drops!$I$2:$I$21,MATCH($A128,drops!$A$2:$A$21,0))="","",INDEX(drops!$I$2:$I$21,MATCH($A128,drops!$A$2:$A$21,0))),"")="OK",IFERROR(IF(INDEX(drops!$B$2:$B$21,MATCH($A128,drops!$A$2:$A$21,0))="","",INDEX(drops!$B$2:$B$21,MATCH($A128,drops!$A$2:$A$21,0))),""),""))</f>
        <v/>
      </c>
      <c r="Q128" s="30" t="str">
        <f aca="false">IF($B128="","",IFERROR(IF(INDEX(offices!$O$2:$O$61,MATCH($B128,offices!$A$2:$A$61,0))="","",INDEX(offices!$O$2:$O$61,MATCH($B128,offices!$A$2:$A$61,0))),""))</f>
        <v/>
      </c>
      <c r="R128" s="30" t="str">
        <f aca="false">IF($B128="","",IFERROR(IF(INDEX(offices!$P$2:$P$61,MATCH($B128,offices!$A$2:$A$61,0))="","",INDEX(offices!$P$2:$P$61,MATCH($B128,offices!$A$2:$A$61,0))),""))</f>
        <v/>
      </c>
      <c r="S128" s="30" t="str">
        <f aca="false">IF($B128="","",IFERROR(IF(INDEX(offices!$Q$2:$Q$61,MATCH($B128,offices!$A$2:$A$61,0))="","",INDEX(offices!$Q$2:$Q$61,MATCH($B128,offices!$A$2:$A$61,0))),""))</f>
        <v/>
      </c>
      <c r="T128" s="30" t="str">
        <f aca="false">IF($B128="","",IFERROR(IF(INDEX(offices!$Z$2:$Z$61,MATCH($B128,offices!$A$2:$A$61,0))="","",INDEX(offices!$Z$2:$Z$61,MATCH($B128,offices!$A$2:$A$61,0))),""))</f>
        <v/>
      </c>
      <c r="U128" s="30" t="str">
        <f aca="false">IF($B128="","",IFERROR(IF(INDEX(offices!$Y$2:$Y$61,MATCH($B128,offices!$A$2:$A$61,0))="","",INDEX(offices!$Y$2:$Y$61,MATCH($B128,offices!$A$2:$A$61,0))),""))</f>
        <v/>
      </c>
      <c r="V128" s="30" t="str">
        <f aca="false">IF($B128="","",IFERROR(IF(INDEX(offices!$V$2:$V$61,MATCH($B128,offices!$A$2:$A$61,0))="","",INDEX(offices!$V$2:$V$61,MATCH($B128,offices!$A$2:$A$61,0))),""))</f>
        <v/>
      </c>
      <c r="W128" s="30" t="str">
        <f aca="false">IF($B128="","",IFERROR(IF(INDEX(offices!$AJ$2:$AJ$61,MATCH($B128,offices!$A$2:$A$61,0))="","",INDEX(offices!$AJ$2:$AJ$61,MATCH($B128,offices!$A$2:$A$61,0))),""))</f>
        <v/>
      </c>
      <c r="X128" s="30" t="str">
        <f aca="false">IF($B128="","",IFERROR(IF(INDEX(offices!$G$2:$G$61,MATCH($B128,offices!$A$2:$A$61,0))="","",INDEX(offices!$G$2:$G$61,MATCH($B128,offices!$A$2:$A$61,0))),""))</f>
        <v/>
      </c>
      <c r="Y128" s="30" t="str">
        <f aca="false">IF($B128="","",IFERROR(IF(INDEX(offices!$I$2:$I$61,MATCH($B128,offices!$A$2:$A$61,0))="","",INDEX(offices!$I$2:$I$61,MATCH($B128,offices!$A$2:$A$61,0))),""))</f>
        <v/>
      </c>
      <c r="Z128" s="30" t="str">
        <f aca="false">IF($A128="","",COUNTIFS(approvals!$H$2:$H$251,$A128,approvals!$B$2:$B$251,$B128,approvals!$P$2:$P$251,"Y"))</f>
        <v/>
      </c>
      <c r="AA128" s="30" t="str">
        <f aca="false">IF($A128="","",SUMIFS(approvals!$S$2:$S$251,approvals!$H$2:$H$251,$A128,approvals!$B$2:$B$251,$B128,approvals!$P$2:$P$251,"Y"))</f>
        <v/>
      </c>
      <c r="AB128" s="30" t="str">
        <f aca="false">IF(OR($A128="",$P128=""),"",IF(COUNTIFS(stops!$B$2:$B$151,$B128,stops!$P$2:$P$151,"&lt;"&amp;$P128,stops!$L$2:$L$151,"&lt;&gt;not_delivered")=0,"Y","N"))</f>
        <v/>
      </c>
      <c r="AC128" s="30" t="str">
        <f aca="false">IF(OR($I128="",$J128=""),"",ROUND(($J128-$I128)*1440,0))</f>
        <v/>
      </c>
      <c r="AD128" s="30" t="str">
        <f aca="true">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30" t="str">
        <f aca="false">IF($B128="","",IFERROR(IF(INDEX(offices!$H$2:$H$61,MATCH($B128,offices!$A$2:$A$61,0))="","",INDEX(offices!$H$2:$H$61,MATCH($B128,offices!$A$2:$A$61,0))),""))</f>
        <v/>
      </c>
      <c r="AF128" s="30" t="str">
        <f aca="false">IF($A128="","",IF(AND($L128="declined",N($Z128)&gt;0,COUNTIFS(approvals!$H$2:$H$251,$A128,approvals!$B$2:$B$251,$B128,approvals!$P$2:$P$251,"Y",approvals!$U$2:$U$251,"&gt;0")=0),"Y",""))</f>
        <v/>
      </c>
    </row>
    <row r="129" customFormat="false" ht="15" hidden="false" customHeight="false" outlineLevel="0" collapsed="false">
      <c r="D129" s="38"/>
      <c r="E129" s="11"/>
      <c r="F129" s="11"/>
      <c r="G129" s="11"/>
      <c r="I129" s="38"/>
      <c r="J129" s="38"/>
      <c r="K129" s="10"/>
      <c r="L129" s="10"/>
      <c r="N129" s="11"/>
      <c r="O129" s="10"/>
      <c r="P129" s="31" t="str">
        <f aca="false">IF($A129="","",IF(IFERROR(IF(INDEX(drops!$I$2:$I$21,MATCH($A129,drops!$A$2:$A$21,0))="","",INDEX(drops!$I$2:$I$21,MATCH($A129,drops!$A$2:$A$21,0))),"")="OK",IFERROR(IF(INDEX(drops!$B$2:$B$21,MATCH($A129,drops!$A$2:$A$21,0))="","",INDEX(drops!$B$2:$B$21,MATCH($A129,drops!$A$2:$A$21,0))),""),""))</f>
        <v/>
      </c>
      <c r="Q129" s="30" t="str">
        <f aca="false">IF($B129="","",IFERROR(IF(INDEX(offices!$O$2:$O$61,MATCH($B129,offices!$A$2:$A$61,0))="","",INDEX(offices!$O$2:$O$61,MATCH($B129,offices!$A$2:$A$61,0))),""))</f>
        <v/>
      </c>
      <c r="R129" s="30" t="str">
        <f aca="false">IF($B129="","",IFERROR(IF(INDEX(offices!$P$2:$P$61,MATCH($B129,offices!$A$2:$A$61,0))="","",INDEX(offices!$P$2:$P$61,MATCH($B129,offices!$A$2:$A$61,0))),""))</f>
        <v/>
      </c>
      <c r="S129" s="30" t="str">
        <f aca="false">IF($B129="","",IFERROR(IF(INDEX(offices!$Q$2:$Q$61,MATCH($B129,offices!$A$2:$A$61,0))="","",INDEX(offices!$Q$2:$Q$61,MATCH($B129,offices!$A$2:$A$61,0))),""))</f>
        <v/>
      </c>
      <c r="T129" s="30" t="str">
        <f aca="false">IF($B129="","",IFERROR(IF(INDEX(offices!$Z$2:$Z$61,MATCH($B129,offices!$A$2:$A$61,0))="","",INDEX(offices!$Z$2:$Z$61,MATCH($B129,offices!$A$2:$A$61,0))),""))</f>
        <v/>
      </c>
      <c r="U129" s="30" t="str">
        <f aca="false">IF($B129="","",IFERROR(IF(INDEX(offices!$Y$2:$Y$61,MATCH($B129,offices!$A$2:$A$61,0))="","",INDEX(offices!$Y$2:$Y$61,MATCH($B129,offices!$A$2:$A$61,0))),""))</f>
        <v/>
      </c>
      <c r="V129" s="30" t="str">
        <f aca="false">IF($B129="","",IFERROR(IF(INDEX(offices!$V$2:$V$61,MATCH($B129,offices!$A$2:$A$61,0))="","",INDEX(offices!$V$2:$V$61,MATCH($B129,offices!$A$2:$A$61,0))),""))</f>
        <v/>
      </c>
      <c r="W129" s="30" t="str">
        <f aca="false">IF($B129="","",IFERROR(IF(INDEX(offices!$AJ$2:$AJ$61,MATCH($B129,offices!$A$2:$A$61,0))="","",INDEX(offices!$AJ$2:$AJ$61,MATCH($B129,offices!$A$2:$A$61,0))),""))</f>
        <v/>
      </c>
      <c r="X129" s="30" t="str">
        <f aca="false">IF($B129="","",IFERROR(IF(INDEX(offices!$G$2:$G$61,MATCH($B129,offices!$A$2:$A$61,0))="","",INDEX(offices!$G$2:$G$61,MATCH($B129,offices!$A$2:$A$61,0))),""))</f>
        <v/>
      </c>
      <c r="Y129" s="30" t="str">
        <f aca="false">IF($B129="","",IFERROR(IF(INDEX(offices!$I$2:$I$61,MATCH($B129,offices!$A$2:$A$61,0))="","",INDEX(offices!$I$2:$I$61,MATCH($B129,offices!$A$2:$A$61,0))),""))</f>
        <v/>
      </c>
      <c r="Z129" s="30" t="str">
        <f aca="false">IF($A129="","",COUNTIFS(approvals!$H$2:$H$251,$A129,approvals!$B$2:$B$251,$B129,approvals!$P$2:$P$251,"Y"))</f>
        <v/>
      </c>
      <c r="AA129" s="30" t="str">
        <f aca="false">IF($A129="","",SUMIFS(approvals!$S$2:$S$251,approvals!$H$2:$H$251,$A129,approvals!$B$2:$B$251,$B129,approvals!$P$2:$P$251,"Y"))</f>
        <v/>
      </c>
      <c r="AB129" s="30" t="str">
        <f aca="false">IF(OR($A129="",$P129=""),"",IF(COUNTIFS(stops!$B$2:$B$151,$B129,stops!$P$2:$P$151,"&lt;"&amp;$P129,stops!$L$2:$L$151,"&lt;&gt;not_delivered")=0,"Y","N"))</f>
        <v/>
      </c>
      <c r="AC129" s="30" t="str">
        <f aca="false">IF(OR($I129="",$J129=""),"",ROUND(($J129-$I129)*1440,0))</f>
        <v/>
      </c>
      <c r="AD129" s="30" t="str">
        <f aca="true">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30" t="str">
        <f aca="false">IF($B129="","",IFERROR(IF(INDEX(offices!$H$2:$H$61,MATCH($B129,offices!$A$2:$A$61,0))="","",INDEX(offices!$H$2:$H$61,MATCH($B129,offices!$A$2:$A$61,0))),""))</f>
        <v/>
      </c>
      <c r="AF129" s="30" t="str">
        <f aca="false">IF($A129="","",IF(AND($L129="declined",N($Z129)&gt;0,COUNTIFS(approvals!$H$2:$H$251,$A129,approvals!$B$2:$B$251,$B129,approvals!$P$2:$P$251,"Y",approvals!$U$2:$U$251,"&gt;0")=0),"Y",""))</f>
        <v/>
      </c>
    </row>
    <row r="130" customFormat="false" ht="15" hidden="false" customHeight="false" outlineLevel="0" collapsed="false">
      <c r="D130" s="38"/>
      <c r="E130" s="11"/>
      <c r="F130" s="11"/>
      <c r="G130" s="11"/>
      <c r="I130" s="38"/>
      <c r="J130" s="38"/>
      <c r="K130" s="10"/>
      <c r="L130" s="10"/>
      <c r="N130" s="11"/>
      <c r="O130" s="10"/>
      <c r="P130" s="31" t="str">
        <f aca="false">IF($A130="","",IF(IFERROR(IF(INDEX(drops!$I$2:$I$21,MATCH($A130,drops!$A$2:$A$21,0))="","",INDEX(drops!$I$2:$I$21,MATCH($A130,drops!$A$2:$A$21,0))),"")="OK",IFERROR(IF(INDEX(drops!$B$2:$B$21,MATCH($A130,drops!$A$2:$A$21,0))="","",INDEX(drops!$B$2:$B$21,MATCH($A130,drops!$A$2:$A$21,0))),""),""))</f>
        <v/>
      </c>
      <c r="Q130" s="30" t="str">
        <f aca="false">IF($B130="","",IFERROR(IF(INDEX(offices!$O$2:$O$61,MATCH($B130,offices!$A$2:$A$61,0))="","",INDEX(offices!$O$2:$O$61,MATCH($B130,offices!$A$2:$A$61,0))),""))</f>
        <v/>
      </c>
      <c r="R130" s="30" t="str">
        <f aca="false">IF($B130="","",IFERROR(IF(INDEX(offices!$P$2:$P$61,MATCH($B130,offices!$A$2:$A$61,0))="","",INDEX(offices!$P$2:$P$61,MATCH($B130,offices!$A$2:$A$61,0))),""))</f>
        <v/>
      </c>
      <c r="S130" s="30" t="str">
        <f aca="false">IF($B130="","",IFERROR(IF(INDEX(offices!$Q$2:$Q$61,MATCH($B130,offices!$A$2:$A$61,0))="","",INDEX(offices!$Q$2:$Q$61,MATCH($B130,offices!$A$2:$A$61,0))),""))</f>
        <v/>
      </c>
      <c r="T130" s="30" t="str">
        <f aca="false">IF($B130="","",IFERROR(IF(INDEX(offices!$Z$2:$Z$61,MATCH($B130,offices!$A$2:$A$61,0))="","",INDEX(offices!$Z$2:$Z$61,MATCH($B130,offices!$A$2:$A$61,0))),""))</f>
        <v/>
      </c>
      <c r="U130" s="30" t="str">
        <f aca="false">IF($B130="","",IFERROR(IF(INDEX(offices!$Y$2:$Y$61,MATCH($B130,offices!$A$2:$A$61,0))="","",INDEX(offices!$Y$2:$Y$61,MATCH($B130,offices!$A$2:$A$61,0))),""))</f>
        <v/>
      </c>
      <c r="V130" s="30" t="str">
        <f aca="false">IF($B130="","",IFERROR(IF(INDEX(offices!$V$2:$V$61,MATCH($B130,offices!$A$2:$A$61,0))="","",INDEX(offices!$V$2:$V$61,MATCH($B130,offices!$A$2:$A$61,0))),""))</f>
        <v/>
      </c>
      <c r="W130" s="30" t="str">
        <f aca="false">IF($B130="","",IFERROR(IF(INDEX(offices!$AJ$2:$AJ$61,MATCH($B130,offices!$A$2:$A$61,0))="","",INDEX(offices!$AJ$2:$AJ$61,MATCH($B130,offices!$A$2:$A$61,0))),""))</f>
        <v/>
      </c>
      <c r="X130" s="30" t="str">
        <f aca="false">IF($B130="","",IFERROR(IF(INDEX(offices!$G$2:$G$61,MATCH($B130,offices!$A$2:$A$61,0))="","",INDEX(offices!$G$2:$G$61,MATCH($B130,offices!$A$2:$A$61,0))),""))</f>
        <v/>
      </c>
      <c r="Y130" s="30" t="str">
        <f aca="false">IF($B130="","",IFERROR(IF(INDEX(offices!$I$2:$I$61,MATCH($B130,offices!$A$2:$A$61,0))="","",INDEX(offices!$I$2:$I$61,MATCH($B130,offices!$A$2:$A$61,0))),""))</f>
        <v/>
      </c>
      <c r="Z130" s="30" t="str">
        <f aca="false">IF($A130="","",COUNTIFS(approvals!$H$2:$H$251,$A130,approvals!$B$2:$B$251,$B130,approvals!$P$2:$P$251,"Y"))</f>
        <v/>
      </c>
      <c r="AA130" s="30" t="str">
        <f aca="false">IF($A130="","",SUMIFS(approvals!$S$2:$S$251,approvals!$H$2:$H$251,$A130,approvals!$B$2:$B$251,$B130,approvals!$P$2:$P$251,"Y"))</f>
        <v/>
      </c>
      <c r="AB130" s="30" t="str">
        <f aca="false">IF(OR($A130="",$P130=""),"",IF(COUNTIFS(stops!$B$2:$B$151,$B130,stops!$P$2:$P$151,"&lt;"&amp;$P130,stops!$L$2:$L$151,"&lt;&gt;not_delivered")=0,"Y","N"))</f>
        <v/>
      </c>
      <c r="AC130" s="30" t="str">
        <f aca="false">IF(OR($I130="",$J130=""),"",ROUND(($J130-$I130)*1440,0))</f>
        <v/>
      </c>
      <c r="AD130" s="30" t="str">
        <f aca="true">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30" t="str">
        <f aca="false">IF($B130="","",IFERROR(IF(INDEX(offices!$H$2:$H$61,MATCH($B130,offices!$A$2:$A$61,0))="","",INDEX(offices!$H$2:$H$61,MATCH($B130,offices!$A$2:$A$61,0))),""))</f>
        <v/>
      </c>
      <c r="AF130" s="30" t="str">
        <f aca="false">IF($A130="","",IF(AND($L130="declined",N($Z130)&gt;0,COUNTIFS(approvals!$H$2:$H$251,$A130,approvals!$B$2:$B$251,$B130,approvals!$P$2:$P$251,"Y",approvals!$U$2:$U$251,"&gt;0")=0),"Y",""))</f>
        <v/>
      </c>
    </row>
    <row r="131" customFormat="false" ht="15" hidden="false" customHeight="false" outlineLevel="0" collapsed="false">
      <c r="D131" s="38"/>
      <c r="E131" s="11"/>
      <c r="F131" s="11"/>
      <c r="G131" s="11"/>
      <c r="I131" s="38"/>
      <c r="J131" s="38"/>
      <c r="K131" s="10"/>
      <c r="L131" s="10"/>
      <c r="N131" s="11"/>
      <c r="O131" s="10"/>
      <c r="P131" s="31" t="str">
        <f aca="false">IF($A131="","",IF(IFERROR(IF(INDEX(drops!$I$2:$I$21,MATCH($A131,drops!$A$2:$A$21,0))="","",INDEX(drops!$I$2:$I$21,MATCH($A131,drops!$A$2:$A$21,0))),"")="OK",IFERROR(IF(INDEX(drops!$B$2:$B$21,MATCH($A131,drops!$A$2:$A$21,0))="","",INDEX(drops!$B$2:$B$21,MATCH($A131,drops!$A$2:$A$21,0))),""),""))</f>
        <v/>
      </c>
      <c r="Q131" s="30" t="str">
        <f aca="false">IF($B131="","",IFERROR(IF(INDEX(offices!$O$2:$O$61,MATCH($B131,offices!$A$2:$A$61,0))="","",INDEX(offices!$O$2:$O$61,MATCH($B131,offices!$A$2:$A$61,0))),""))</f>
        <v/>
      </c>
      <c r="R131" s="30" t="str">
        <f aca="false">IF($B131="","",IFERROR(IF(INDEX(offices!$P$2:$P$61,MATCH($B131,offices!$A$2:$A$61,0))="","",INDEX(offices!$P$2:$P$61,MATCH($B131,offices!$A$2:$A$61,0))),""))</f>
        <v/>
      </c>
      <c r="S131" s="30" t="str">
        <f aca="false">IF($B131="","",IFERROR(IF(INDEX(offices!$Q$2:$Q$61,MATCH($B131,offices!$A$2:$A$61,0))="","",INDEX(offices!$Q$2:$Q$61,MATCH($B131,offices!$A$2:$A$61,0))),""))</f>
        <v/>
      </c>
      <c r="T131" s="30" t="str">
        <f aca="false">IF($B131="","",IFERROR(IF(INDEX(offices!$Z$2:$Z$61,MATCH($B131,offices!$A$2:$A$61,0))="","",INDEX(offices!$Z$2:$Z$61,MATCH($B131,offices!$A$2:$A$61,0))),""))</f>
        <v/>
      </c>
      <c r="U131" s="30" t="str">
        <f aca="false">IF($B131="","",IFERROR(IF(INDEX(offices!$Y$2:$Y$61,MATCH($B131,offices!$A$2:$A$61,0))="","",INDEX(offices!$Y$2:$Y$61,MATCH($B131,offices!$A$2:$A$61,0))),""))</f>
        <v/>
      </c>
      <c r="V131" s="30" t="str">
        <f aca="false">IF($B131="","",IFERROR(IF(INDEX(offices!$V$2:$V$61,MATCH($B131,offices!$A$2:$A$61,0))="","",INDEX(offices!$V$2:$V$61,MATCH($B131,offices!$A$2:$A$61,0))),""))</f>
        <v/>
      </c>
      <c r="W131" s="30" t="str">
        <f aca="false">IF($B131="","",IFERROR(IF(INDEX(offices!$AJ$2:$AJ$61,MATCH($B131,offices!$A$2:$A$61,0))="","",INDEX(offices!$AJ$2:$AJ$61,MATCH($B131,offices!$A$2:$A$61,0))),""))</f>
        <v/>
      </c>
      <c r="X131" s="30" t="str">
        <f aca="false">IF($B131="","",IFERROR(IF(INDEX(offices!$G$2:$G$61,MATCH($B131,offices!$A$2:$A$61,0))="","",INDEX(offices!$G$2:$G$61,MATCH($B131,offices!$A$2:$A$61,0))),""))</f>
        <v/>
      </c>
      <c r="Y131" s="30" t="str">
        <f aca="false">IF($B131="","",IFERROR(IF(INDEX(offices!$I$2:$I$61,MATCH($B131,offices!$A$2:$A$61,0))="","",INDEX(offices!$I$2:$I$61,MATCH($B131,offices!$A$2:$A$61,0))),""))</f>
        <v/>
      </c>
      <c r="Z131" s="30" t="str">
        <f aca="false">IF($A131="","",COUNTIFS(approvals!$H$2:$H$251,$A131,approvals!$B$2:$B$251,$B131,approvals!$P$2:$P$251,"Y"))</f>
        <v/>
      </c>
      <c r="AA131" s="30" t="str">
        <f aca="false">IF($A131="","",SUMIFS(approvals!$S$2:$S$251,approvals!$H$2:$H$251,$A131,approvals!$B$2:$B$251,$B131,approvals!$P$2:$P$251,"Y"))</f>
        <v/>
      </c>
      <c r="AB131" s="30" t="str">
        <f aca="false">IF(OR($A131="",$P131=""),"",IF(COUNTIFS(stops!$B$2:$B$151,$B131,stops!$P$2:$P$151,"&lt;"&amp;$P131,stops!$L$2:$L$151,"&lt;&gt;not_delivered")=0,"Y","N"))</f>
        <v/>
      </c>
      <c r="AC131" s="30" t="str">
        <f aca="false">IF(OR($I131="",$J131=""),"",ROUND(($J131-$I131)*1440,0))</f>
        <v/>
      </c>
      <c r="AD131" s="30" t="str">
        <f aca="true">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30" t="str">
        <f aca="false">IF($B131="","",IFERROR(IF(INDEX(offices!$H$2:$H$61,MATCH($B131,offices!$A$2:$A$61,0))="","",INDEX(offices!$H$2:$H$61,MATCH($B131,offices!$A$2:$A$61,0))),""))</f>
        <v/>
      </c>
      <c r="AF131" s="30" t="str">
        <f aca="false">IF($A131="","",IF(AND($L131="declined",N($Z131)&gt;0,COUNTIFS(approvals!$H$2:$H$251,$A131,approvals!$B$2:$B$251,$B131,approvals!$P$2:$P$251,"Y",approvals!$U$2:$U$251,"&gt;0")=0),"Y",""))</f>
        <v/>
      </c>
    </row>
    <row r="132" customFormat="false" ht="15" hidden="false" customHeight="false" outlineLevel="0" collapsed="false">
      <c r="D132" s="38"/>
      <c r="E132" s="11"/>
      <c r="F132" s="11"/>
      <c r="G132" s="11"/>
      <c r="I132" s="38"/>
      <c r="J132" s="38"/>
      <c r="K132" s="10"/>
      <c r="L132" s="10"/>
      <c r="N132" s="11"/>
      <c r="O132" s="10"/>
      <c r="P132" s="31" t="str">
        <f aca="false">IF($A132="","",IF(IFERROR(IF(INDEX(drops!$I$2:$I$21,MATCH($A132,drops!$A$2:$A$21,0))="","",INDEX(drops!$I$2:$I$21,MATCH($A132,drops!$A$2:$A$21,0))),"")="OK",IFERROR(IF(INDEX(drops!$B$2:$B$21,MATCH($A132,drops!$A$2:$A$21,0))="","",INDEX(drops!$B$2:$B$21,MATCH($A132,drops!$A$2:$A$21,0))),""),""))</f>
        <v/>
      </c>
      <c r="Q132" s="30" t="str">
        <f aca="false">IF($B132="","",IFERROR(IF(INDEX(offices!$O$2:$O$61,MATCH($B132,offices!$A$2:$A$61,0))="","",INDEX(offices!$O$2:$O$61,MATCH($B132,offices!$A$2:$A$61,0))),""))</f>
        <v/>
      </c>
      <c r="R132" s="30" t="str">
        <f aca="false">IF($B132="","",IFERROR(IF(INDEX(offices!$P$2:$P$61,MATCH($B132,offices!$A$2:$A$61,0))="","",INDEX(offices!$P$2:$P$61,MATCH($B132,offices!$A$2:$A$61,0))),""))</f>
        <v/>
      </c>
      <c r="S132" s="30" t="str">
        <f aca="false">IF($B132="","",IFERROR(IF(INDEX(offices!$Q$2:$Q$61,MATCH($B132,offices!$A$2:$A$61,0))="","",INDEX(offices!$Q$2:$Q$61,MATCH($B132,offices!$A$2:$A$61,0))),""))</f>
        <v/>
      </c>
      <c r="T132" s="30" t="str">
        <f aca="false">IF($B132="","",IFERROR(IF(INDEX(offices!$Z$2:$Z$61,MATCH($B132,offices!$A$2:$A$61,0))="","",INDEX(offices!$Z$2:$Z$61,MATCH($B132,offices!$A$2:$A$61,0))),""))</f>
        <v/>
      </c>
      <c r="U132" s="30" t="str">
        <f aca="false">IF($B132="","",IFERROR(IF(INDEX(offices!$Y$2:$Y$61,MATCH($B132,offices!$A$2:$A$61,0))="","",INDEX(offices!$Y$2:$Y$61,MATCH($B132,offices!$A$2:$A$61,0))),""))</f>
        <v/>
      </c>
      <c r="V132" s="30" t="str">
        <f aca="false">IF($B132="","",IFERROR(IF(INDEX(offices!$V$2:$V$61,MATCH($B132,offices!$A$2:$A$61,0))="","",INDEX(offices!$V$2:$V$61,MATCH($B132,offices!$A$2:$A$61,0))),""))</f>
        <v/>
      </c>
      <c r="W132" s="30" t="str">
        <f aca="false">IF($B132="","",IFERROR(IF(INDEX(offices!$AJ$2:$AJ$61,MATCH($B132,offices!$A$2:$A$61,0))="","",INDEX(offices!$AJ$2:$AJ$61,MATCH($B132,offices!$A$2:$A$61,0))),""))</f>
        <v/>
      </c>
      <c r="X132" s="30" t="str">
        <f aca="false">IF($B132="","",IFERROR(IF(INDEX(offices!$G$2:$G$61,MATCH($B132,offices!$A$2:$A$61,0))="","",INDEX(offices!$G$2:$G$61,MATCH($B132,offices!$A$2:$A$61,0))),""))</f>
        <v/>
      </c>
      <c r="Y132" s="30" t="str">
        <f aca="false">IF($B132="","",IFERROR(IF(INDEX(offices!$I$2:$I$61,MATCH($B132,offices!$A$2:$A$61,0))="","",INDEX(offices!$I$2:$I$61,MATCH($B132,offices!$A$2:$A$61,0))),""))</f>
        <v/>
      </c>
      <c r="Z132" s="30" t="str">
        <f aca="false">IF($A132="","",COUNTIFS(approvals!$H$2:$H$251,$A132,approvals!$B$2:$B$251,$B132,approvals!$P$2:$P$251,"Y"))</f>
        <v/>
      </c>
      <c r="AA132" s="30" t="str">
        <f aca="false">IF($A132="","",SUMIFS(approvals!$S$2:$S$251,approvals!$H$2:$H$251,$A132,approvals!$B$2:$B$251,$B132,approvals!$P$2:$P$251,"Y"))</f>
        <v/>
      </c>
      <c r="AB132" s="30" t="str">
        <f aca="false">IF(OR($A132="",$P132=""),"",IF(COUNTIFS(stops!$B$2:$B$151,$B132,stops!$P$2:$P$151,"&lt;"&amp;$P132,stops!$L$2:$L$151,"&lt;&gt;not_delivered")=0,"Y","N"))</f>
        <v/>
      </c>
      <c r="AC132" s="30" t="str">
        <f aca="false">IF(OR($I132="",$J132=""),"",ROUND(($J132-$I132)*1440,0))</f>
        <v/>
      </c>
      <c r="AD132" s="30" t="str">
        <f aca="true">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30" t="str">
        <f aca="false">IF($B132="","",IFERROR(IF(INDEX(offices!$H$2:$H$61,MATCH($B132,offices!$A$2:$A$61,0))="","",INDEX(offices!$H$2:$H$61,MATCH($B132,offices!$A$2:$A$61,0))),""))</f>
        <v/>
      </c>
      <c r="AF132" s="30" t="str">
        <f aca="false">IF($A132="","",IF(AND($L132="declined",N($Z132)&gt;0,COUNTIFS(approvals!$H$2:$H$251,$A132,approvals!$B$2:$B$251,$B132,approvals!$P$2:$P$251,"Y",approvals!$U$2:$U$251,"&gt;0")=0),"Y",""))</f>
        <v/>
      </c>
    </row>
    <row r="133" customFormat="false" ht="15" hidden="false" customHeight="false" outlineLevel="0" collapsed="false">
      <c r="D133" s="38"/>
      <c r="E133" s="11"/>
      <c r="F133" s="11"/>
      <c r="G133" s="11"/>
      <c r="I133" s="38"/>
      <c r="J133" s="38"/>
      <c r="K133" s="10"/>
      <c r="L133" s="10"/>
      <c r="N133" s="11"/>
      <c r="O133" s="10"/>
      <c r="P133" s="31" t="str">
        <f aca="false">IF($A133="","",IF(IFERROR(IF(INDEX(drops!$I$2:$I$21,MATCH($A133,drops!$A$2:$A$21,0))="","",INDEX(drops!$I$2:$I$21,MATCH($A133,drops!$A$2:$A$21,0))),"")="OK",IFERROR(IF(INDEX(drops!$B$2:$B$21,MATCH($A133,drops!$A$2:$A$21,0))="","",INDEX(drops!$B$2:$B$21,MATCH($A133,drops!$A$2:$A$21,0))),""),""))</f>
        <v/>
      </c>
      <c r="Q133" s="30" t="str">
        <f aca="false">IF($B133="","",IFERROR(IF(INDEX(offices!$O$2:$O$61,MATCH($B133,offices!$A$2:$A$61,0))="","",INDEX(offices!$O$2:$O$61,MATCH($B133,offices!$A$2:$A$61,0))),""))</f>
        <v/>
      </c>
      <c r="R133" s="30" t="str">
        <f aca="false">IF($B133="","",IFERROR(IF(INDEX(offices!$P$2:$P$61,MATCH($B133,offices!$A$2:$A$61,0))="","",INDEX(offices!$P$2:$P$61,MATCH($B133,offices!$A$2:$A$61,0))),""))</f>
        <v/>
      </c>
      <c r="S133" s="30" t="str">
        <f aca="false">IF($B133="","",IFERROR(IF(INDEX(offices!$Q$2:$Q$61,MATCH($B133,offices!$A$2:$A$61,0))="","",INDEX(offices!$Q$2:$Q$61,MATCH($B133,offices!$A$2:$A$61,0))),""))</f>
        <v/>
      </c>
      <c r="T133" s="30" t="str">
        <f aca="false">IF($B133="","",IFERROR(IF(INDEX(offices!$Z$2:$Z$61,MATCH($B133,offices!$A$2:$A$61,0))="","",INDEX(offices!$Z$2:$Z$61,MATCH($B133,offices!$A$2:$A$61,0))),""))</f>
        <v/>
      </c>
      <c r="U133" s="30" t="str">
        <f aca="false">IF($B133="","",IFERROR(IF(INDEX(offices!$Y$2:$Y$61,MATCH($B133,offices!$A$2:$A$61,0))="","",INDEX(offices!$Y$2:$Y$61,MATCH($B133,offices!$A$2:$A$61,0))),""))</f>
        <v/>
      </c>
      <c r="V133" s="30" t="str">
        <f aca="false">IF($B133="","",IFERROR(IF(INDEX(offices!$V$2:$V$61,MATCH($B133,offices!$A$2:$A$61,0))="","",INDEX(offices!$V$2:$V$61,MATCH($B133,offices!$A$2:$A$61,0))),""))</f>
        <v/>
      </c>
      <c r="W133" s="30" t="str">
        <f aca="false">IF($B133="","",IFERROR(IF(INDEX(offices!$AJ$2:$AJ$61,MATCH($B133,offices!$A$2:$A$61,0))="","",INDEX(offices!$AJ$2:$AJ$61,MATCH($B133,offices!$A$2:$A$61,0))),""))</f>
        <v/>
      </c>
      <c r="X133" s="30" t="str">
        <f aca="false">IF($B133="","",IFERROR(IF(INDEX(offices!$G$2:$G$61,MATCH($B133,offices!$A$2:$A$61,0))="","",INDEX(offices!$G$2:$G$61,MATCH($B133,offices!$A$2:$A$61,0))),""))</f>
        <v/>
      </c>
      <c r="Y133" s="30" t="str">
        <f aca="false">IF($B133="","",IFERROR(IF(INDEX(offices!$I$2:$I$61,MATCH($B133,offices!$A$2:$A$61,0))="","",INDEX(offices!$I$2:$I$61,MATCH($B133,offices!$A$2:$A$61,0))),""))</f>
        <v/>
      </c>
      <c r="Z133" s="30" t="str">
        <f aca="false">IF($A133="","",COUNTIFS(approvals!$H$2:$H$251,$A133,approvals!$B$2:$B$251,$B133,approvals!$P$2:$P$251,"Y"))</f>
        <v/>
      </c>
      <c r="AA133" s="30" t="str">
        <f aca="false">IF($A133="","",SUMIFS(approvals!$S$2:$S$251,approvals!$H$2:$H$251,$A133,approvals!$B$2:$B$251,$B133,approvals!$P$2:$P$251,"Y"))</f>
        <v/>
      </c>
      <c r="AB133" s="30" t="str">
        <f aca="false">IF(OR($A133="",$P133=""),"",IF(COUNTIFS(stops!$B$2:$B$151,$B133,stops!$P$2:$P$151,"&lt;"&amp;$P133,stops!$L$2:$L$151,"&lt;&gt;not_delivered")=0,"Y","N"))</f>
        <v/>
      </c>
      <c r="AC133" s="30" t="str">
        <f aca="false">IF(OR($I133="",$J133=""),"",ROUND(($J133-$I133)*1440,0))</f>
        <v/>
      </c>
      <c r="AD133" s="30" t="str">
        <f aca="true">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30" t="str">
        <f aca="false">IF($B133="","",IFERROR(IF(INDEX(offices!$H$2:$H$61,MATCH($B133,offices!$A$2:$A$61,0))="","",INDEX(offices!$H$2:$H$61,MATCH($B133,offices!$A$2:$A$61,0))),""))</f>
        <v/>
      </c>
      <c r="AF133" s="30" t="str">
        <f aca="false">IF($A133="","",IF(AND($L133="declined",N($Z133)&gt;0,COUNTIFS(approvals!$H$2:$H$251,$A133,approvals!$B$2:$B$251,$B133,approvals!$P$2:$P$251,"Y",approvals!$U$2:$U$251,"&gt;0")=0),"Y",""))</f>
        <v/>
      </c>
    </row>
    <row r="134" customFormat="false" ht="15" hidden="false" customHeight="false" outlineLevel="0" collapsed="false">
      <c r="D134" s="38"/>
      <c r="E134" s="11"/>
      <c r="F134" s="11"/>
      <c r="G134" s="11"/>
      <c r="I134" s="38"/>
      <c r="J134" s="38"/>
      <c r="K134" s="10"/>
      <c r="L134" s="10"/>
      <c r="N134" s="11"/>
      <c r="O134" s="10"/>
      <c r="P134" s="31" t="str">
        <f aca="false">IF($A134="","",IF(IFERROR(IF(INDEX(drops!$I$2:$I$21,MATCH($A134,drops!$A$2:$A$21,0))="","",INDEX(drops!$I$2:$I$21,MATCH($A134,drops!$A$2:$A$21,0))),"")="OK",IFERROR(IF(INDEX(drops!$B$2:$B$21,MATCH($A134,drops!$A$2:$A$21,0))="","",INDEX(drops!$B$2:$B$21,MATCH($A134,drops!$A$2:$A$21,0))),""),""))</f>
        <v/>
      </c>
      <c r="Q134" s="30" t="str">
        <f aca="false">IF($B134="","",IFERROR(IF(INDEX(offices!$O$2:$O$61,MATCH($B134,offices!$A$2:$A$61,0))="","",INDEX(offices!$O$2:$O$61,MATCH($B134,offices!$A$2:$A$61,0))),""))</f>
        <v/>
      </c>
      <c r="R134" s="30" t="str">
        <f aca="false">IF($B134="","",IFERROR(IF(INDEX(offices!$P$2:$P$61,MATCH($B134,offices!$A$2:$A$61,0))="","",INDEX(offices!$P$2:$P$61,MATCH($B134,offices!$A$2:$A$61,0))),""))</f>
        <v/>
      </c>
      <c r="S134" s="30" t="str">
        <f aca="false">IF($B134="","",IFERROR(IF(INDEX(offices!$Q$2:$Q$61,MATCH($B134,offices!$A$2:$A$61,0))="","",INDEX(offices!$Q$2:$Q$61,MATCH($B134,offices!$A$2:$A$61,0))),""))</f>
        <v/>
      </c>
      <c r="T134" s="30" t="str">
        <f aca="false">IF($B134="","",IFERROR(IF(INDEX(offices!$Z$2:$Z$61,MATCH($B134,offices!$A$2:$A$61,0))="","",INDEX(offices!$Z$2:$Z$61,MATCH($B134,offices!$A$2:$A$61,0))),""))</f>
        <v/>
      </c>
      <c r="U134" s="30" t="str">
        <f aca="false">IF($B134="","",IFERROR(IF(INDEX(offices!$Y$2:$Y$61,MATCH($B134,offices!$A$2:$A$61,0))="","",INDEX(offices!$Y$2:$Y$61,MATCH($B134,offices!$A$2:$A$61,0))),""))</f>
        <v/>
      </c>
      <c r="V134" s="30" t="str">
        <f aca="false">IF($B134="","",IFERROR(IF(INDEX(offices!$V$2:$V$61,MATCH($B134,offices!$A$2:$A$61,0))="","",INDEX(offices!$V$2:$V$61,MATCH($B134,offices!$A$2:$A$61,0))),""))</f>
        <v/>
      </c>
      <c r="W134" s="30" t="str">
        <f aca="false">IF($B134="","",IFERROR(IF(INDEX(offices!$AJ$2:$AJ$61,MATCH($B134,offices!$A$2:$A$61,0))="","",INDEX(offices!$AJ$2:$AJ$61,MATCH($B134,offices!$A$2:$A$61,0))),""))</f>
        <v/>
      </c>
      <c r="X134" s="30" t="str">
        <f aca="false">IF($B134="","",IFERROR(IF(INDEX(offices!$G$2:$G$61,MATCH($B134,offices!$A$2:$A$61,0))="","",INDEX(offices!$G$2:$G$61,MATCH($B134,offices!$A$2:$A$61,0))),""))</f>
        <v/>
      </c>
      <c r="Y134" s="30" t="str">
        <f aca="false">IF($B134="","",IFERROR(IF(INDEX(offices!$I$2:$I$61,MATCH($B134,offices!$A$2:$A$61,0))="","",INDEX(offices!$I$2:$I$61,MATCH($B134,offices!$A$2:$A$61,0))),""))</f>
        <v/>
      </c>
      <c r="Z134" s="30" t="str">
        <f aca="false">IF($A134="","",COUNTIFS(approvals!$H$2:$H$251,$A134,approvals!$B$2:$B$251,$B134,approvals!$P$2:$P$251,"Y"))</f>
        <v/>
      </c>
      <c r="AA134" s="30" t="str">
        <f aca="false">IF($A134="","",SUMIFS(approvals!$S$2:$S$251,approvals!$H$2:$H$251,$A134,approvals!$B$2:$B$251,$B134,approvals!$P$2:$P$251,"Y"))</f>
        <v/>
      </c>
      <c r="AB134" s="30" t="str">
        <f aca="false">IF(OR($A134="",$P134=""),"",IF(COUNTIFS(stops!$B$2:$B$151,$B134,stops!$P$2:$P$151,"&lt;"&amp;$P134,stops!$L$2:$L$151,"&lt;&gt;not_delivered")=0,"Y","N"))</f>
        <v/>
      </c>
      <c r="AC134" s="30" t="str">
        <f aca="false">IF(OR($I134="",$J134=""),"",ROUND(($J134-$I134)*1440,0))</f>
        <v/>
      </c>
      <c r="AD134" s="30" t="str">
        <f aca="true">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30" t="str">
        <f aca="false">IF($B134="","",IFERROR(IF(INDEX(offices!$H$2:$H$61,MATCH($B134,offices!$A$2:$A$61,0))="","",INDEX(offices!$H$2:$H$61,MATCH($B134,offices!$A$2:$A$61,0))),""))</f>
        <v/>
      </c>
      <c r="AF134" s="30" t="str">
        <f aca="false">IF($A134="","",IF(AND($L134="declined",N($Z134)&gt;0,COUNTIFS(approvals!$H$2:$H$251,$A134,approvals!$B$2:$B$251,$B134,approvals!$P$2:$P$251,"Y",approvals!$U$2:$U$251,"&gt;0")=0),"Y",""))</f>
        <v/>
      </c>
    </row>
    <row r="135" customFormat="false" ht="15" hidden="false" customHeight="false" outlineLevel="0" collapsed="false">
      <c r="D135" s="38"/>
      <c r="E135" s="11"/>
      <c r="F135" s="11"/>
      <c r="G135" s="11"/>
      <c r="I135" s="38"/>
      <c r="J135" s="38"/>
      <c r="K135" s="10"/>
      <c r="L135" s="10"/>
      <c r="N135" s="11"/>
      <c r="O135" s="10"/>
      <c r="P135" s="31" t="str">
        <f aca="false">IF($A135="","",IF(IFERROR(IF(INDEX(drops!$I$2:$I$21,MATCH($A135,drops!$A$2:$A$21,0))="","",INDEX(drops!$I$2:$I$21,MATCH($A135,drops!$A$2:$A$21,0))),"")="OK",IFERROR(IF(INDEX(drops!$B$2:$B$21,MATCH($A135,drops!$A$2:$A$21,0))="","",INDEX(drops!$B$2:$B$21,MATCH($A135,drops!$A$2:$A$21,0))),""),""))</f>
        <v/>
      </c>
      <c r="Q135" s="30" t="str">
        <f aca="false">IF($B135="","",IFERROR(IF(INDEX(offices!$O$2:$O$61,MATCH($B135,offices!$A$2:$A$61,0))="","",INDEX(offices!$O$2:$O$61,MATCH($B135,offices!$A$2:$A$61,0))),""))</f>
        <v/>
      </c>
      <c r="R135" s="30" t="str">
        <f aca="false">IF($B135="","",IFERROR(IF(INDEX(offices!$P$2:$P$61,MATCH($B135,offices!$A$2:$A$61,0))="","",INDEX(offices!$P$2:$P$61,MATCH($B135,offices!$A$2:$A$61,0))),""))</f>
        <v/>
      </c>
      <c r="S135" s="30" t="str">
        <f aca="false">IF($B135="","",IFERROR(IF(INDEX(offices!$Q$2:$Q$61,MATCH($B135,offices!$A$2:$A$61,0))="","",INDEX(offices!$Q$2:$Q$61,MATCH($B135,offices!$A$2:$A$61,0))),""))</f>
        <v/>
      </c>
      <c r="T135" s="30" t="str">
        <f aca="false">IF($B135="","",IFERROR(IF(INDEX(offices!$Z$2:$Z$61,MATCH($B135,offices!$A$2:$A$61,0))="","",INDEX(offices!$Z$2:$Z$61,MATCH($B135,offices!$A$2:$A$61,0))),""))</f>
        <v/>
      </c>
      <c r="U135" s="30" t="str">
        <f aca="false">IF($B135="","",IFERROR(IF(INDEX(offices!$Y$2:$Y$61,MATCH($B135,offices!$A$2:$A$61,0))="","",INDEX(offices!$Y$2:$Y$61,MATCH($B135,offices!$A$2:$A$61,0))),""))</f>
        <v/>
      </c>
      <c r="V135" s="30" t="str">
        <f aca="false">IF($B135="","",IFERROR(IF(INDEX(offices!$V$2:$V$61,MATCH($B135,offices!$A$2:$A$61,0))="","",INDEX(offices!$V$2:$V$61,MATCH($B135,offices!$A$2:$A$61,0))),""))</f>
        <v/>
      </c>
      <c r="W135" s="30" t="str">
        <f aca="false">IF($B135="","",IFERROR(IF(INDEX(offices!$AJ$2:$AJ$61,MATCH($B135,offices!$A$2:$A$61,0))="","",INDEX(offices!$AJ$2:$AJ$61,MATCH($B135,offices!$A$2:$A$61,0))),""))</f>
        <v/>
      </c>
      <c r="X135" s="30" t="str">
        <f aca="false">IF($B135="","",IFERROR(IF(INDEX(offices!$G$2:$G$61,MATCH($B135,offices!$A$2:$A$61,0))="","",INDEX(offices!$G$2:$G$61,MATCH($B135,offices!$A$2:$A$61,0))),""))</f>
        <v/>
      </c>
      <c r="Y135" s="30" t="str">
        <f aca="false">IF($B135="","",IFERROR(IF(INDEX(offices!$I$2:$I$61,MATCH($B135,offices!$A$2:$A$61,0))="","",INDEX(offices!$I$2:$I$61,MATCH($B135,offices!$A$2:$A$61,0))),""))</f>
        <v/>
      </c>
      <c r="Z135" s="30" t="str">
        <f aca="false">IF($A135="","",COUNTIFS(approvals!$H$2:$H$251,$A135,approvals!$B$2:$B$251,$B135,approvals!$P$2:$P$251,"Y"))</f>
        <v/>
      </c>
      <c r="AA135" s="30" t="str">
        <f aca="false">IF($A135="","",SUMIFS(approvals!$S$2:$S$251,approvals!$H$2:$H$251,$A135,approvals!$B$2:$B$251,$B135,approvals!$P$2:$P$251,"Y"))</f>
        <v/>
      </c>
      <c r="AB135" s="30" t="str">
        <f aca="false">IF(OR($A135="",$P135=""),"",IF(COUNTIFS(stops!$B$2:$B$151,$B135,stops!$P$2:$P$151,"&lt;"&amp;$P135,stops!$L$2:$L$151,"&lt;&gt;not_delivered")=0,"Y","N"))</f>
        <v/>
      </c>
      <c r="AC135" s="30" t="str">
        <f aca="false">IF(OR($I135="",$J135=""),"",ROUND(($J135-$I135)*1440,0))</f>
        <v/>
      </c>
      <c r="AD135" s="30" t="str">
        <f aca="true">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30" t="str">
        <f aca="false">IF($B135="","",IFERROR(IF(INDEX(offices!$H$2:$H$61,MATCH($B135,offices!$A$2:$A$61,0))="","",INDEX(offices!$H$2:$H$61,MATCH($B135,offices!$A$2:$A$61,0))),""))</f>
        <v/>
      </c>
      <c r="AF135" s="30" t="str">
        <f aca="false">IF($A135="","",IF(AND($L135="declined",N($Z135)&gt;0,COUNTIFS(approvals!$H$2:$H$251,$A135,approvals!$B$2:$B$251,$B135,approvals!$P$2:$P$251,"Y",approvals!$U$2:$U$251,"&gt;0")=0),"Y",""))</f>
        <v/>
      </c>
    </row>
    <row r="136" customFormat="false" ht="15" hidden="false" customHeight="false" outlineLevel="0" collapsed="false">
      <c r="D136" s="38"/>
      <c r="E136" s="11"/>
      <c r="F136" s="11"/>
      <c r="G136" s="11"/>
      <c r="I136" s="38"/>
      <c r="J136" s="38"/>
      <c r="K136" s="10"/>
      <c r="L136" s="10"/>
      <c r="N136" s="11"/>
      <c r="O136" s="10"/>
      <c r="P136" s="31" t="str">
        <f aca="false">IF($A136="","",IF(IFERROR(IF(INDEX(drops!$I$2:$I$21,MATCH($A136,drops!$A$2:$A$21,0))="","",INDEX(drops!$I$2:$I$21,MATCH($A136,drops!$A$2:$A$21,0))),"")="OK",IFERROR(IF(INDEX(drops!$B$2:$B$21,MATCH($A136,drops!$A$2:$A$21,0))="","",INDEX(drops!$B$2:$B$21,MATCH($A136,drops!$A$2:$A$21,0))),""),""))</f>
        <v/>
      </c>
      <c r="Q136" s="30" t="str">
        <f aca="false">IF($B136="","",IFERROR(IF(INDEX(offices!$O$2:$O$61,MATCH($B136,offices!$A$2:$A$61,0))="","",INDEX(offices!$O$2:$O$61,MATCH($B136,offices!$A$2:$A$61,0))),""))</f>
        <v/>
      </c>
      <c r="R136" s="30" t="str">
        <f aca="false">IF($B136="","",IFERROR(IF(INDEX(offices!$P$2:$P$61,MATCH($B136,offices!$A$2:$A$61,0))="","",INDEX(offices!$P$2:$P$61,MATCH($B136,offices!$A$2:$A$61,0))),""))</f>
        <v/>
      </c>
      <c r="S136" s="30" t="str">
        <f aca="false">IF($B136="","",IFERROR(IF(INDEX(offices!$Q$2:$Q$61,MATCH($B136,offices!$A$2:$A$61,0))="","",INDEX(offices!$Q$2:$Q$61,MATCH($B136,offices!$A$2:$A$61,0))),""))</f>
        <v/>
      </c>
      <c r="T136" s="30" t="str">
        <f aca="false">IF($B136="","",IFERROR(IF(INDEX(offices!$Z$2:$Z$61,MATCH($B136,offices!$A$2:$A$61,0))="","",INDEX(offices!$Z$2:$Z$61,MATCH($B136,offices!$A$2:$A$61,0))),""))</f>
        <v/>
      </c>
      <c r="U136" s="30" t="str">
        <f aca="false">IF($B136="","",IFERROR(IF(INDEX(offices!$Y$2:$Y$61,MATCH($B136,offices!$A$2:$A$61,0))="","",INDEX(offices!$Y$2:$Y$61,MATCH($B136,offices!$A$2:$A$61,0))),""))</f>
        <v/>
      </c>
      <c r="V136" s="30" t="str">
        <f aca="false">IF($B136="","",IFERROR(IF(INDEX(offices!$V$2:$V$61,MATCH($B136,offices!$A$2:$A$61,0))="","",INDEX(offices!$V$2:$V$61,MATCH($B136,offices!$A$2:$A$61,0))),""))</f>
        <v/>
      </c>
      <c r="W136" s="30" t="str">
        <f aca="false">IF($B136="","",IFERROR(IF(INDEX(offices!$AJ$2:$AJ$61,MATCH($B136,offices!$A$2:$A$61,0))="","",INDEX(offices!$AJ$2:$AJ$61,MATCH($B136,offices!$A$2:$A$61,0))),""))</f>
        <v/>
      </c>
      <c r="X136" s="30" t="str">
        <f aca="false">IF($B136="","",IFERROR(IF(INDEX(offices!$G$2:$G$61,MATCH($B136,offices!$A$2:$A$61,0))="","",INDEX(offices!$G$2:$G$61,MATCH($B136,offices!$A$2:$A$61,0))),""))</f>
        <v/>
      </c>
      <c r="Y136" s="30" t="str">
        <f aca="false">IF($B136="","",IFERROR(IF(INDEX(offices!$I$2:$I$61,MATCH($B136,offices!$A$2:$A$61,0))="","",INDEX(offices!$I$2:$I$61,MATCH($B136,offices!$A$2:$A$61,0))),""))</f>
        <v/>
      </c>
      <c r="Z136" s="30" t="str">
        <f aca="false">IF($A136="","",COUNTIFS(approvals!$H$2:$H$251,$A136,approvals!$B$2:$B$251,$B136,approvals!$P$2:$P$251,"Y"))</f>
        <v/>
      </c>
      <c r="AA136" s="30" t="str">
        <f aca="false">IF($A136="","",SUMIFS(approvals!$S$2:$S$251,approvals!$H$2:$H$251,$A136,approvals!$B$2:$B$251,$B136,approvals!$P$2:$P$251,"Y"))</f>
        <v/>
      </c>
      <c r="AB136" s="30" t="str">
        <f aca="false">IF(OR($A136="",$P136=""),"",IF(COUNTIFS(stops!$B$2:$B$151,$B136,stops!$P$2:$P$151,"&lt;"&amp;$P136,stops!$L$2:$L$151,"&lt;&gt;not_delivered")=0,"Y","N"))</f>
        <v/>
      </c>
      <c r="AC136" s="30" t="str">
        <f aca="false">IF(OR($I136="",$J136=""),"",ROUND(($J136-$I136)*1440,0))</f>
        <v/>
      </c>
      <c r="AD136" s="30" t="str">
        <f aca="true">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30" t="str">
        <f aca="false">IF($B136="","",IFERROR(IF(INDEX(offices!$H$2:$H$61,MATCH($B136,offices!$A$2:$A$61,0))="","",INDEX(offices!$H$2:$H$61,MATCH($B136,offices!$A$2:$A$61,0))),""))</f>
        <v/>
      </c>
      <c r="AF136" s="30" t="str">
        <f aca="false">IF($A136="","",IF(AND($L136="declined",N($Z136)&gt;0,COUNTIFS(approvals!$H$2:$H$251,$A136,approvals!$B$2:$B$251,$B136,approvals!$P$2:$P$251,"Y",approvals!$U$2:$U$251,"&gt;0")=0),"Y",""))</f>
        <v/>
      </c>
    </row>
    <row r="137" customFormat="false" ht="15" hidden="false" customHeight="false" outlineLevel="0" collapsed="false">
      <c r="D137" s="38"/>
      <c r="E137" s="11"/>
      <c r="F137" s="11"/>
      <c r="G137" s="11"/>
      <c r="I137" s="38"/>
      <c r="J137" s="38"/>
      <c r="K137" s="10"/>
      <c r="L137" s="10"/>
      <c r="N137" s="11"/>
      <c r="O137" s="10"/>
      <c r="P137" s="31" t="str">
        <f aca="false">IF($A137="","",IF(IFERROR(IF(INDEX(drops!$I$2:$I$21,MATCH($A137,drops!$A$2:$A$21,0))="","",INDEX(drops!$I$2:$I$21,MATCH($A137,drops!$A$2:$A$21,0))),"")="OK",IFERROR(IF(INDEX(drops!$B$2:$B$21,MATCH($A137,drops!$A$2:$A$21,0))="","",INDEX(drops!$B$2:$B$21,MATCH($A137,drops!$A$2:$A$21,0))),""),""))</f>
        <v/>
      </c>
      <c r="Q137" s="30" t="str">
        <f aca="false">IF($B137="","",IFERROR(IF(INDEX(offices!$O$2:$O$61,MATCH($B137,offices!$A$2:$A$61,0))="","",INDEX(offices!$O$2:$O$61,MATCH($B137,offices!$A$2:$A$61,0))),""))</f>
        <v/>
      </c>
      <c r="R137" s="30" t="str">
        <f aca="false">IF($B137="","",IFERROR(IF(INDEX(offices!$P$2:$P$61,MATCH($B137,offices!$A$2:$A$61,0))="","",INDEX(offices!$P$2:$P$61,MATCH($B137,offices!$A$2:$A$61,0))),""))</f>
        <v/>
      </c>
      <c r="S137" s="30" t="str">
        <f aca="false">IF($B137="","",IFERROR(IF(INDEX(offices!$Q$2:$Q$61,MATCH($B137,offices!$A$2:$A$61,0))="","",INDEX(offices!$Q$2:$Q$61,MATCH($B137,offices!$A$2:$A$61,0))),""))</f>
        <v/>
      </c>
      <c r="T137" s="30" t="str">
        <f aca="false">IF($B137="","",IFERROR(IF(INDEX(offices!$Z$2:$Z$61,MATCH($B137,offices!$A$2:$A$61,0))="","",INDEX(offices!$Z$2:$Z$61,MATCH($B137,offices!$A$2:$A$61,0))),""))</f>
        <v/>
      </c>
      <c r="U137" s="30" t="str">
        <f aca="false">IF($B137="","",IFERROR(IF(INDEX(offices!$Y$2:$Y$61,MATCH($B137,offices!$A$2:$A$61,0))="","",INDEX(offices!$Y$2:$Y$61,MATCH($B137,offices!$A$2:$A$61,0))),""))</f>
        <v/>
      </c>
      <c r="V137" s="30" t="str">
        <f aca="false">IF($B137="","",IFERROR(IF(INDEX(offices!$V$2:$V$61,MATCH($B137,offices!$A$2:$A$61,0))="","",INDEX(offices!$V$2:$V$61,MATCH($B137,offices!$A$2:$A$61,0))),""))</f>
        <v/>
      </c>
      <c r="W137" s="30" t="str">
        <f aca="false">IF($B137="","",IFERROR(IF(INDEX(offices!$AJ$2:$AJ$61,MATCH($B137,offices!$A$2:$A$61,0))="","",INDEX(offices!$AJ$2:$AJ$61,MATCH($B137,offices!$A$2:$A$61,0))),""))</f>
        <v/>
      </c>
      <c r="X137" s="30" t="str">
        <f aca="false">IF($B137="","",IFERROR(IF(INDEX(offices!$G$2:$G$61,MATCH($B137,offices!$A$2:$A$61,0))="","",INDEX(offices!$G$2:$G$61,MATCH($B137,offices!$A$2:$A$61,0))),""))</f>
        <v/>
      </c>
      <c r="Y137" s="30" t="str">
        <f aca="false">IF($B137="","",IFERROR(IF(INDEX(offices!$I$2:$I$61,MATCH($B137,offices!$A$2:$A$61,0))="","",INDEX(offices!$I$2:$I$61,MATCH($B137,offices!$A$2:$A$61,0))),""))</f>
        <v/>
      </c>
      <c r="Z137" s="30" t="str">
        <f aca="false">IF($A137="","",COUNTIFS(approvals!$H$2:$H$251,$A137,approvals!$B$2:$B$251,$B137,approvals!$P$2:$P$251,"Y"))</f>
        <v/>
      </c>
      <c r="AA137" s="30" t="str">
        <f aca="false">IF($A137="","",SUMIFS(approvals!$S$2:$S$251,approvals!$H$2:$H$251,$A137,approvals!$B$2:$B$251,$B137,approvals!$P$2:$P$251,"Y"))</f>
        <v/>
      </c>
      <c r="AB137" s="30" t="str">
        <f aca="false">IF(OR($A137="",$P137=""),"",IF(COUNTIFS(stops!$B$2:$B$151,$B137,stops!$P$2:$P$151,"&lt;"&amp;$P137,stops!$L$2:$L$151,"&lt;&gt;not_delivered")=0,"Y","N"))</f>
        <v/>
      </c>
      <c r="AC137" s="30" t="str">
        <f aca="false">IF(OR($I137="",$J137=""),"",ROUND(($J137-$I137)*1440,0))</f>
        <v/>
      </c>
      <c r="AD137" s="30" t="str">
        <f aca="true">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30" t="str">
        <f aca="false">IF($B137="","",IFERROR(IF(INDEX(offices!$H$2:$H$61,MATCH($B137,offices!$A$2:$A$61,0))="","",INDEX(offices!$H$2:$H$61,MATCH($B137,offices!$A$2:$A$61,0))),""))</f>
        <v/>
      </c>
      <c r="AF137" s="30" t="str">
        <f aca="false">IF($A137="","",IF(AND($L137="declined",N($Z137)&gt;0,COUNTIFS(approvals!$H$2:$H$251,$A137,approvals!$B$2:$B$251,$B137,approvals!$P$2:$P$251,"Y",approvals!$U$2:$U$251,"&gt;0")=0),"Y",""))</f>
        <v/>
      </c>
    </row>
    <row r="138" customFormat="false" ht="15" hidden="false" customHeight="false" outlineLevel="0" collapsed="false">
      <c r="D138" s="38"/>
      <c r="E138" s="11"/>
      <c r="F138" s="11"/>
      <c r="G138" s="11"/>
      <c r="I138" s="38"/>
      <c r="J138" s="38"/>
      <c r="K138" s="10"/>
      <c r="L138" s="10"/>
      <c r="N138" s="11"/>
      <c r="O138" s="10"/>
      <c r="P138" s="31" t="str">
        <f aca="false">IF($A138="","",IF(IFERROR(IF(INDEX(drops!$I$2:$I$21,MATCH($A138,drops!$A$2:$A$21,0))="","",INDEX(drops!$I$2:$I$21,MATCH($A138,drops!$A$2:$A$21,0))),"")="OK",IFERROR(IF(INDEX(drops!$B$2:$B$21,MATCH($A138,drops!$A$2:$A$21,0))="","",INDEX(drops!$B$2:$B$21,MATCH($A138,drops!$A$2:$A$21,0))),""),""))</f>
        <v/>
      </c>
      <c r="Q138" s="30" t="str">
        <f aca="false">IF($B138="","",IFERROR(IF(INDEX(offices!$O$2:$O$61,MATCH($B138,offices!$A$2:$A$61,0))="","",INDEX(offices!$O$2:$O$61,MATCH($B138,offices!$A$2:$A$61,0))),""))</f>
        <v/>
      </c>
      <c r="R138" s="30" t="str">
        <f aca="false">IF($B138="","",IFERROR(IF(INDEX(offices!$P$2:$P$61,MATCH($B138,offices!$A$2:$A$61,0))="","",INDEX(offices!$P$2:$P$61,MATCH($B138,offices!$A$2:$A$61,0))),""))</f>
        <v/>
      </c>
      <c r="S138" s="30" t="str">
        <f aca="false">IF($B138="","",IFERROR(IF(INDEX(offices!$Q$2:$Q$61,MATCH($B138,offices!$A$2:$A$61,0))="","",INDEX(offices!$Q$2:$Q$61,MATCH($B138,offices!$A$2:$A$61,0))),""))</f>
        <v/>
      </c>
      <c r="T138" s="30" t="str">
        <f aca="false">IF($B138="","",IFERROR(IF(INDEX(offices!$Z$2:$Z$61,MATCH($B138,offices!$A$2:$A$61,0))="","",INDEX(offices!$Z$2:$Z$61,MATCH($B138,offices!$A$2:$A$61,0))),""))</f>
        <v/>
      </c>
      <c r="U138" s="30" t="str">
        <f aca="false">IF($B138="","",IFERROR(IF(INDEX(offices!$Y$2:$Y$61,MATCH($B138,offices!$A$2:$A$61,0))="","",INDEX(offices!$Y$2:$Y$61,MATCH($B138,offices!$A$2:$A$61,0))),""))</f>
        <v/>
      </c>
      <c r="V138" s="30" t="str">
        <f aca="false">IF($B138="","",IFERROR(IF(INDEX(offices!$V$2:$V$61,MATCH($B138,offices!$A$2:$A$61,0))="","",INDEX(offices!$V$2:$V$61,MATCH($B138,offices!$A$2:$A$61,0))),""))</f>
        <v/>
      </c>
      <c r="W138" s="30" t="str">
        <f aca="false">IF($B138="","",IFERROR(IF(INDEX(offices!$AJ$2:$AJ$61,MATCH($B138,offices!$A$2:$A$61,0))="","",INDEX(offices!$AJ$2:$AJ$61,MATCH($B138,offices!$A$2:$A$61,0))),""))</f>
        <v/>
      </c>
      <c r="X138" s="30" t="str">
        <f aca="false">IF($B138="","",IFERROR(IF(INDEX(offices!$G$2:$G$61,MATCH($B138,offices!$A$2:$A$61,0))="","",INDEX(offices!$G$2:$G$61,MATCH($B138,offices!$A$2:$A$61,0))),""))</f>
        <v/>
      </c>
      <c r="Y138" s="30" t="str">
        <f aca="false">IF($B138="","",IFERROR(IF(INDEX(offices!$I$2:$I$61,MATCH($B138,offices!$A$2:$A$61,0))="","",INDEX(offices!$I$2:$I$61,MATCH($B138,offices!$A$2:$A$61,0))),""))</f>
        <v/>
      </c>
      <c r="Z138" s="30" t="str">
        <f aca="false">IF($A138="","",COUNTIFS(approvals!$H$2:$H$251,$A138,approvals!$B$2:$B$251,$B138,approvals!$P$2:$P$251,"Y"))</f>
        <v/>
      </c>
      <c r="AA138" s="30" t="str">
        <f aca="false">IF($A138="","",SUMIFS(approvals!$S$2:$S$251,approvals!$H$2:$H$251,$A138,approvals!$B$2:$B$251,$B138,approvals!$P$2:$P$251,"Y"))</f>
        <v/>
      </c>
      <c r="AB138" s="30" t="str">
        <f aca="false">IF(OR($A138="",$P138=""),"",IF(COUNTIFS(stops!$B$2:$B$151,$B138,stops!$P$2:$P$151,"&lt;"&amp;$P138,stops!$L$2:$L$151,"&lt;&gt;not_delivered")=0,"Y","N"))</f>
        <v/>
      </c>
      <c r="AC138" s="30" t="str">
        <f aca="false">IF(OR($I138="",$J138=""),"",ROUND(($J138-$I138)*1440,0))</f>
        <v/>
      </c>
      <c r="AD138" s="30" t="str">
        <f aca="true">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30" t="str">
        <f aca="false">IF($B138="","",IFERROR(IF(INDEX(offices!$H$2:$H$61,MATCH($B138,offices!$A$2:$A$61,0))="","",INDEX(offices!$H$2:$H$61,MATCH($B138,offices!$A$2:$A$61,0))),""))</f>
        <v/>
      </c>
      <c r="AF138" s="30" t="str">
        <f aca="false">IF($A138="","",IF(AND($L138="declined",N($Z138)&gt;0,COUNTIFS(approvals!$H$2:$H$251,$A138,approvals!$B$2:$B$251,$B138,approvals!$P$2:$P$251,"Y",approvals!$U$2:$U$251,"&gt;0")=0),"Y",""))</f>
        <v/>
      </c>
    </row>
    <row r="139" customFormat="false" ht="15" hidden="false" customHeight="false" outlineLevel="0" collapsed="false">
      <c r="D139" s="38"/>
      <c r="E139" s="11"/>
      <c r="F139" s="11"/>
      <c r="G139" s="11"/>
      <c r="I139" s="38"/>
      <c r="J139" s="38"/>
      <c r="K139" s="10"/>
      <c r="L139" s="10"/>
      <c r="N139" s="11"/>
      <c r="O139" s="10"/>
      <c r="P139" s="31" t="str">
        <f aca="false">IF($A139="","",IF(IFERROR(IF(INDEX(drops!$I$2:$I$21,MATCH($A139,drops!$A$2:$A$21,0))="","",INDEX(drops!$I$2:$I$21,MATCH($A139,drops!$A$2:$A$21,0))),"")="OK",IFERROR(IF(INDEX(drops!$B$2:$B$21,MATCH($A139,drops!$A$2:$A$21,0))="","",INDEX(drops!$B$2:$B$21,MATCH($A139,drops!$A$2:$A$21,0))),""),""))</f>
        <v/>
      </c>
      <c r="Q139" s="30" t="str">
        <f aca="false">IF($B139="","",IFERROR(IF(INDEX(offices!$O$2:$O$61,MATCH($B139,offices!$A$2:$A$61,0))="","",INDEX(offices!$O$2:$O$61,MATCH($B139,offices!$A$2:$A$61,0))),""))</f>
        <v/>
      </c>
      <c r="R139" s="30" t="str">
        <f aca="false">IF($B139="","",IFERROR(IF(INDEX(offices!$P$2:$P$61,MATCH($B139,offices!$A$2:$A$61,0))="","",INDEX(offices!$P$2:$P$61,MATCH($B139,offices!$A$2:$A$61,0))),""))</f>
        <v/>
      </c>
      <c r="S139" s="30" t="str">
        <f aca="false">IF($B139="","",IFERROR(IF(INDEX(offices!$Q$2:$Q$61,MATCH($B139,offices!$A$2:$A$61,0))="","",INDEX(offices!$Q$2:$Q$61,MATCH($B139,offices!$A$2:$A$61,0))),""))</f>
        <v/>
      </c>
      <c r="T139" s="30" t="str">
        <f aca="false">IF($B139="","",IFERROR(IF(INDEX(offices!$Z$2:$Z$61,MATCH($B139,offices!$A$2:$A$61,0))="","",INDEX(offices!$Z$2:$Z$61,MATCH($B139,offices!$A$2:$A$61,0))),""))</f>
        <v/>
      </c>
      <c r="U139" s="30" t="str">
        <f aca="false">IF($B139="","",IFERROR(IF(INDEX(offices!$Y$2:$Y$61,MATCH($B139,offices!$A$2:$A$61,0))="","",INDEX(offices!$Y$2:$Y$61,MATCH($B139,offices!$A$2:$A$61,0))),""))</f>
        <v/>
      </c>
      <c r="V139" s="30" t="str">
        <f aca="false">IF($B139="","",IFERROR(IF(INDEX(offices!$V$2:$V$61,MATCH($B139,offices!$A$2:$A$61,0))="","",INDEX(offices!$V$2:$V$61,MATCH($B139,offices!$A$2:$A$61,0))),""))</f>
        <v/>
      </c>
      <c r="W139" s="30" t="str">
        <f aca="false">IF($B139="","",IFERROR(IF(INDEX(offices!$AJ$2:$AJ$61,MATCH($B139,offices!$A$2:$A$61,0))="","",INDEX(offices!$AJ$2:$AJ$61,MATCH($B139,offices!$A$2:$A$61,0))),""))</f>
        <v/>
      </c>
      <c r="X139" s="30" t="str">
        <f aca="false">IF($B139="","",IFERROR(IF(INDEX(offices!$G$2:$G$61,MATCH($B139,offices!$A$2:$A$61,0))="","",INDEX(offices!$G$2:$G$61,MATCH($B139,offices!$A$2:$A$61,0))),""))</f>
        <v/>
      </c>
      <c r="Y139" s="30" t="str">
        <f aca="false">IF($B139="","",IFERROR(IF(INDEX(offices!$I$2:$I$61,MATCH($B139,offices!$A$2:$A$61,0))="","",INDEX(offices!$I$2:$I$61,MATCH($B139,offices!$A$2:$A$61,0))),""))</f>
        <v/>
      </c>
      <c r="Z139" s="30" t="str">
        <f aca="false">IF($A139="","",COUNTIFS(approvals!$H$2:$H$251,$A139,approvals!$B$2:$B$251,$B139,approvals!$P$2:$P$251,"Y"))</f>
        <v/>
      </c>
      <c r="AA139" s="30" t="str">
        <f aca="false">IF($A139="","",SUMIFS(approvals!$S$2:$S$251,approvals!$H$2:$H$251,$A139,approvals!$B$2:$B$251,$B139,approvals!$P$2:$P$251,"Y"))</f>
        <v/>
      </c>
      <c r="AB139" s="30" t="str">
        <f aca="false">IF(OR($A139="",$P139=""),"",IF(COUNTIFS(stops!$B$2:$B$151,$B139,stops!$P$2:$P$151,"&lt;"&amp;$P139,stops!$L$2:$L$151,"&lt;&gt;not_delivered")=0,"Y","N"))</f>
        <v/>
      </c>
      <c r="AC139" s="30" t="str">
        <f aca="false">IF(OR($I139="",$J139=""),"",ROUND(($J139-$I139)*1440,0))</f>
        <v/>
      </c>
      <c r="AD139" s="30" t="str">
        <f aca="true">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30" t="str">
        <f aca="false">IF($B139="","",IFERROR(IF(INDEX(offices!$H$2:$H$61,MATCH($B139,offices!$A$2:$A$61,0))="","",INDEX(offices!$H$2:$H$61,MATCH($B139,offices!$A$2:$A$61,0))),""))</f>
        <v/>
      </c>
      <c r="AF139" s="30" t="str">
        <f aca="false">IF($A139="","",IF(AND($L139="declined",N($Z139)&gt;0,COUNTIFS(approvals!$H$2:$H$251,$A139,approvals!$B$2:$B$251,$B139,approvals!$P$2:$P$251,"Y",approvals!$U$2:$U$251,"&gt;0")=0),"Y",""))</f>
        <v/>
      </c>
    </row>
    <row r="140" customFormat="false" ht="15" hidden="false" customHeight="false" outlineLevel="0" collapsed="false">
      <c r="D140" s="38"/>
      <c r="E140" s="11"/>
      <c r="F140" s="11"/>
      <c r="G140" s="11"/>
      <c r="I140" s="38"/>
      <c r="J140" s="38"/>
      <c r="K140" s="10"/>
      <c r="L140" s="10"/>
      <c r="N140" s="11"/>
      <c r="O140" s="10"/>
      <c r="P140" s="31" t="str">
        <f aca="false">IF($A140="","",IF(IFERROR(IF(INDEX(drops!$I$2:$I$21,MATCH($A140,drops!$A$2:$A$21,0))="","",INDEX(drops!$I$2:$I$21,MATCH($A140,drops!$A$2:$A$21,0))),"")="OK",IFERROR(IF(INDEX(drops!$B$2:$B$21,MATCH($A140,drops!$A$2:$A$21,0))="","",INDEX(drops!$B$2:$B$21,MATCH($A140,drops!$A$2:$A$21,0))),""),""))</f>
        <v/>
      </c>
      <c r="Q140" s="30" t="str">
        <f aca="false">IF($B140="","",IFERROR(IF(INDEX(offices!$O$2:$O$61,MATCH($B140,offices!$A$2:$A$61,0))="","",INDEX(offices!$O$2:$O$61,MATCH($B140,offices!$A$2:$A$61,0))),""))</f>
        <v/>
      </c>
      <c r="R140" s="30" t="str">
        <f aca="false">IF($B140="","",IFERROR(IF(INDEX(offices!$P$2:$P$61,MATCH($B140,offices!$A$2:$A$61,0))="","",INDEX(offices!$P$2:$P$61,MATCH($B140,offices!$A$2:$A$61,0))),""))</f>
        <v/>
      </c>
      <c r="S140" s="30" t="str">
        <f aca="false">IF($B140="","",IFERROR(IF(INDEX(offices!$Q$2:$Q$61,MATCH($B140,offices!$A$2:$A$61,0))="","",INDEX(offices!$Q$2:$Q$61,MATCH($B140,offices!$A$2:$A$61,0))),""))</f>
        <v/>
      </c>
      <c r="T140" s="30" t="str">
        <f aca="false">IF($B140="","",IFERROR(IF(INDEX(offices!$Z$2:$Z$61,MATCH($B140,offices!$A$2:$A$61,0))="","",INDEX(offices!$Z$2:$Z$61,MATCH($B140,offices!$A$2:$A$61,0))),""))</f>
        <v/>
      </c>
      <c r="U140" s="30" t="str">
        <f aca="false">IF($B140="","",IFERROR(IF(INDEX(offices!$Y$2:$Y$61,MATCH($B140,offices!$A$2:$A$61,0))="","",INDEX(offices!$Y$2:$Y$61,MATCH($B140,offices!$A$2:$A$61,0))),""))</f>
        <v/>
      </c>
      <c r="V140" s="30" t="str">
        <f aca="false">IF($B140="","",IFERROR(IF(INDEX(offices!$V$2:$V$61,MATCH($B140,offices!$A$2:$A$61,0))="","",INDEX(offices!$V$2:$V$61,MATCH($B140,offices!$A$2:$A$61,0))),""))</f>
        <v/>
      </c>
      <c r="W140" s="30" t="str">
        <f aca="false">IF($B140="","",IFERROR(IF(INDEX(offices!$AJ$2:$AJ$61,MATCH($B140,offices!$A$2:$A$61,0))="","",INDEX(offices!$AJ$2:$AJ$61,MATCH($B140,offices!$A$2:$A$61,0))),""))</f>
        <v/>
      </c>
      <c r="X140" s="30" t="str">
        <f aca="false">IF($B140="","",IFERROR(IF(INDEX(offices!$G$2:$G$61,MATCH($B140,offices!$A$2:$A$61,0))="","",INDEX(offices!$G$2:$G$61,MATCH($B140,offices!$A$2:$A$61,0))),""))</f>
        <v/>
      </c>
      <c r="Y140" s="30" t="str">
        <f aca="false">IF($B140="","",IFERROR(IF(INDEX(offices!$I$2:$I$61,MATCH($B140,offices!$A$2:$A$61,0))="","",INDEX(offices!$I$2:$I$61,MATCH($B140,offices!$A$2:$A$61,0))),""))</f>
        <v/>
      </c>
      <c r="Z140" s="30" t="str">
        <f aca="false">IF($A140="","",COUNTIFS(approvals!$H$2:$H$251,$A140,approvals!$B$2:$B$251,$B140,approvals!$P$2:$P$251,"Y"))</f>
        <v/>
      </c>
      <c r="AA140" s="30" t="str">
        <f aca="false">IF($A140="","",SUMIFS(approvals!$S$2:$S$251,approvals!$H$2:$H$251,$A140,approvals!$B$2:$B$251,$B140,approvals!$P$2:$P$251,"Y"))</f>
        <v/>
      </c>
      <c r="AB140" s="30" t="str">
        <f aca="false">IF(OR($A140="",$P140=""),"",IF(COUNTIFS(stops!$B$2:$B$151,$B140,stops!$P$2:$P$151,"&lt;"&amp;$P140,stops!$L$2:$L$151,"&lt;&gt;not_delivered")=0,"Y","N"))</f>
        <v/>
      </c>
      <c r="AC140" s="30" t="str">
        <f aca="false">IF(OR($I140="",$J140=""),"",ROUND(($J140-$I140)*1440,0))</f>
        <v/>
      </c>
      <c r="AD140" s="30" t="str">
        <f aca="true">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30" t="str">
        <f aca="false">IF($B140="","",IFERROR(IF(INDEX(offices!$H$2:$H$61,MATCH($B140,offices!$A$2:$A$61,0))="","",INDEX(offices!$H$2:$H$61,MATCH($B140,offices!$A$2:$A$61,0))),""))</f>
        <v/>
      </c>
      <c r="AF140" s="30" t="str">
        <f aca="false">IF($A140="","",IF(AND($L140="declined",N($Z140)&gt;0,COUNTIFS(approvals!$H$2:$H$251,$A140,approvals!$B$2:$B$251,$B140,approvals!$P$2:$P$251,"Y",approvals!$U$2:$U$251,"&gt;0")=0),"Y",""))</f>
        <v/>
      </c>
    </row>
    <row r="141" customFormat="false" ht="15" hidden="false" customHeight="false" outlineLevel="0" collapsed="false">
      <c r="D141" s="38"/>
      <c r="E141" s="11"/>
      <c r="F141" s="11"/>
      <c r="G141" s="11"/>
      <c r="I141" s="38"/>
      <c r="J141" s="38"/>
      <c r="K141" s="10"/>
      <c r="L141" s="10"/>
      <c r="N141" s="11"/>
      <c r="O141" s="10"/>
      <c r="P141" s="31" t="str">
        <f aca="false">IF($A141="","",IF(IFERROR(IF(INDEX(drops!$I$2:$I$21,MATCH($A141,drops!$A$2:$A$21,0))="","",INDEX(drops!$I$2:$I$21,MATCH($A141,drops!$A$2:$A$21,0))),"")="OK",IFERROR(IF(INDEX(drops!$B$2:$B$21,MATCH($A141,drops!$A$2:$A$21,0))="","",INDEX(drops!$B$2:$B$21,MATCH($A141,drops!$A$2:$A$21,0))),""),""))</f>
        <v/>
      </c>
      <c r="Q141" s="30" t="str">
        <f aca="false">IF($B141="","",IFERROR(IF(INDEX(offices!$O$2:$O$61,MATCH($B141,offices!$A$2:$A$61,0))="","",INDEX(offices!$O$2:$O$61,MATCH($B141,offices!$A$2:$A$61,0))),""))</f>
        <v/>
      </c>
      <c r="R141" s="30" t="str">
        <f aca="false">IF($B141="","",IFERROR(IF(INDEX(offices!$P$2:$P$61,MATCH($B141,offices!$A$2:$A$61,0))="","",INDEX(offices!$P$2:$P$61,MATCH($B141,offices!$A$2:$A$61,0))),""))</f>
        <v/>
      </c>
      <c r="S141" s="30" t="str">
        <f aca="false">IF($B141="","",IFERROR(IF(INDEX(offices!$Q$2:$Q$61,MATCH($B141,offices!$A$2:$A$61,0))="","",INDEX(offices!$Q$2:$Q$61,MATCH($B141,offices!$A$2:$A$61,0))),""))</f>
        <v/>
      </c>
      <c r="T141" s="30" t="str">
        <f aca="false">IF($B141="","",IFERROR(IF(INDEX(offices!$Z$2:$Z$61,MATCH($B141,offices!$A$2:$A$61,0))="","",INDEX(offices!$Z$2:$Z$61,MATCH($B141,offices!$A$2:$A$61,0))),""))</f>
        <v/>
      </c>
      <c r="U141" s="30" t="str">
        <f aca="false">IF($B141="","",IFERROR(IF(INDEX(offices!$Y$2:$Y$61,MATCH($B141,offices!$A$2:$A$61,0))="","",INDEX(offices!$Y$2:$Y$61,MATCH($B141,offices!$A$2:$A$61,0))),""))</f>
        <v/>
      </c>
      <c r="V141" s="30" t="str">
        <f aca="false">IF($B141="","",IFERROR(IF(INDEX(offices!$V$2:$V$61,MATCH($B141,offices!$A$2:$A$61,0))="","",INDEX(offices!$V$2:$V$61,MATCH($B141,offices!$A$2:$A$61,0))),""))</f>
        <v/>
      </c>
      <c r="W141" s="30" t="str">
        <f aca="false">IF($B141="","",IFERROR(IF(INDEX(offices!$AJ$2:$AJ$61,MATCH($B141,offices!$A$2:$A$61,0))="","",INDEX(offices!$AJ$2:$AJ$61,MATCH($B141,offices!$A$2:$A$61,0))),""))</f>
        <v/>
      </c>
      <c r="X141" s="30" t="str">
        <f aca="false">IF($B141="","",IFERROR(IF(INDEX(offices!$G$2:$G$61,MATCH($B141,offices!$A$2:$A$61,0))="","",INDEX(offices!$G$2:$G$61,MATCH($B141,offices!$A$2:$A$61,0))),""))</f>
        <v/>
      </c>
      <c r="Y141" s="30" t="str">
        <f aca="false">IF($B141="","",IFERROR(IF(INDEX(offices!$I$2:$I$61,MATCH($B141,offices!$A$2:$A$61,0))="","",INDEX(offices!$I$2:$I$61,MATCH($B141,offices!$A$2:$A$61,0))),""))</f>
        <v/>
      </c>
      <c r="Z141" s="30" t="str">
        <f aca="false">IF($A141="","",COUNTIFS(approvals!$H$2:$H$251,$A141,approvals!$B$2:$B$251,$B141,approvals!$P$2:$P$251,"Y"))</f>
        <v/>
      </c>
      <c r="AA141" s="30" t="str">
        <f aca="false">IF($A141="","",SUMIFS(approvals!$S$2:$S$251,approvals!$H$2:$H$251,$A141,approvals!$B$2:$B$251,$B141,approvals!$P$2:$P$251,"Y"))</f>
        <v/>
      </c>
      <c r="AB141" s="30" t="str">
        <f aca="false">IF(OR($A141="",$P141=""),"",IF(COUNTIFS(stops!$B$2:$B$151,$B141,stops!$P$2:$P$151,"&lt;"&amp;$P141,stops!$L$2:$L$151,"&lt;&gt;not_delivered")=0,"Y","N"))</f>
        <v/>
      </c>
      <c r="AC141" s="30" t="str">
        <f aca="false">IF(OR($I141="",$J141=""),"",ROUND(($J141-$I141)*1440,0))</f>
        <v/>
      </c>
      <c r="AD141" s="30" t="str">
        <f aca="true">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30" t="str">
        <f aca="false">IF($B141="","",IFERROR(IF(INDEX(offices!$H$2:$H$61,MATCH($B141,offices!$A$2:$A$61,0))="","",INDEX(offices!$H$2:$H$61,MATCH($B141,offices!$A$2:$A$61,0))),""))</f>
        <v/>
      </c>
      <c r="AF141" s="30" t="str">
        <f aca="false">IF($A141="","",IF(AND($L141="declined",N($Z141)&gt;0,COUNTIFS(approvals!$H$2:$H$251,$A141,approvals!$B$2:$B$251,$B141,approvals!$P$2:$P$251,"Y",approvals!$U$2:$U$251,"&gt;0")=0),"Y",""))</f>
        <v/>
      </c>
    </row>
    <row r="142" customFormat="false" ht="15" hidden="false" customHeight="false" outlineLevel="0" collapsed="false">
      <c r="D142" s="38"/>
      <c r="E142" s="11"/>
      <c r="F142" s="11"/>
      <c r="G142" s="11"/>
      <c r="I142" s="38"/>
      <c r="J142" s="38"/>
      <c r="K142" s="10"/>
      <c r="L142" s="10"/>
      <c r="N142" s="11"/>
      <c r="O142" s="10"/>
      <c r="P142" s="31" t="str">
        <f aca="false">IF($A142="","",IF(IFERROR(IF(INDEX(drops!$I$2:$I$21,MATCH($A142,drops!$A$2:$A$21,0))="","",INDEX(drops!$I$2:$I$21,MATCH($A142,drops!$A$2:$A$21,0))),"")="OK",IFERROR(IF(INDEX(drops!$B$2:$B$21,MATCH($A142,drops!$A$2:$A$21,0))="","",INDEX(drops!$B$2:$B$21,MATCH($A142,drops!$A$2:$A$21,0))),""),""))</f>
        <v/>
      </c>
      <c r="Q142" s="30" t="str">
        <f aca="false">IF($B142="","",IFERROR(IF(INDEX(offices!$O$2:$O$61,MATCH($B142,offices!$A$2:$A$61,0))="","",INDEX(offices!$O$2:$O$61,MATCH($B142,offices!$A$2:$A$61,0))),""))</f>
        <v/>
      </c>
      <c r="R142" s="30" t="str">
        <f aca="false">IF($B142="","",IFERROR(IF(INDEX(offices!$P$2:$P$61,MATCH($B142,offices!$A$2:$A$61,0))="","",INDEX(offices!$P$2:$P$61,MATCH($B142,offices!$A$2:$A$61,0))),""))</f>
        <v/>
      </c>
      <c r="S142" s="30" t="str">
        <f aca="false">IF($B142="","",IFERROR(IF(INDEX(offices!$Q$2:$Q$61,MATCH($B142,offices!$A$2:$A$61,0))="","",INDEX(offices!$Q$2:$Q$61,MATCH($B142,offices!$A$2:$A$61,0))),""))</f>
        <v/>
      </c>
      <c r="T142" s="30" t="str">
        <f aca="false">IF($B142="","",IFERROR(IF(INDEX(offices!$Z$2:$Z$61,MATCH($B142,offices!$A$2:$A$61,0))="","",INDEX(offices!$Z$2:$Z$61,MATCH($B142,offices!$A$2:$A$61,0))),""))</f>
        <v/>
      </c>
      <c r="U142" s="30" t="str">
        <f aca="false">IF($B142="","",IFERROR(IF(INDEX(offices!$Y$2:$Y$61,MATCH($B142,offices!$A$2:$A$61,0))="","",INDEX(offices!$Y$2:$Y$61,MATCH($B142,offices!$A$2:$A$61,0))),""))</f>
        <v/>
      </c>
      <c r="V142" s="30" t="str">
        <f aca="false">IF($B142="","",IFERROR(IF(INDEX(offices!$V$2:$V$61,MATCH($B142,offices!$A$2:$A$61,0))="","",INDEX(offices!$V$2:$V$61,MATCH($B142,offices!$A$2:$A$61,0))),""))</f>
        <v/>
      </c>
      <c r="W142" s="30" t="str">
        <f aca="false">IF($B142="","",IFERROR(IF(INDEX(offices!$AJ$2:$AJ$61,MATCH($B142,offices!$A$2:$A$61,0))="","",INDEX(offices!$AJ$2:$AJ$61,MATCH($B142,offices!$A$2:$A$61,0))),""))</f>
        <v/>
      </c>
      <c r="X142" s="30" t="str">
        <f aca="false">IF($B142="","",IFERROR(IF(INDEX(offices!$G$2:$G$61,MATCH($B142,offices!$A$2:$A$61,0))="","",INDEX(offices!$G$2:$G$61,MATCH($B142,offices!$A$2:$A$61,0))),""))</f>
        <v/>
      </c>
      <c r="Y142" s="30" t="str">
        <f aca="false">IF($B142="","",IFERROR(IF(INDEX(offices!$I$2:$I$61,MATCH($B142,offices!$A$2:$A$61,0))="","",INDEX(offices!$I$2:$I$61,MATCH($B142,offices!$A$2:$A$61,0))),""))</f>
        <v/>
      </c>
      <c r="Z142" s="30" t="str">
        <f aca="false">IF($A142="","",COUNTIFS(approvals!$H$2:$H$251,$A142,approvals!$B$2:$B$251,$B142,approvals!$P$2:$P$251,"Y"))</f>
        <v/>
      </c>
      <c r="AA142" s="30" t="str">
        <f aca="false">IF($A142="","",SUMIFS(approvals!$S$2:$S$251,approvals!$H$2:$H$251,$A142,approvals!$B$2:$B$251,$B142,approvals!$P$2:$P$251,"Y"))</f>
        <v/>
      </c>
      <c r="AB142" s="30" t="str">
        <f aca="false">IF(OR($A142="",$P142=""),"",IF(COUNTIFS(stops!$B$2:$B$151,$B142,stops!$P$2:$P$151,"&lt;"&amp;$P142,stops!$L$2:$L$151,"&lt;&gt;not_delivered")=0,"Y","N"))</f>
        <v/>
      </c>
      <c r="AC142" s="30" t="str">
        <f aca="false">IF(OR($I142="",$J142=""),"",ROUND(($J142-$I142)*1440,0))</f>
        <v/>
      </c>
      <c r="AD142" s="30" t="str">
        <f aca="true">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30" t="str">
        <f aca="false">IF($B142="","",IFERROR(IF(INDEX(offices!$H$2:$H$61,MATCH($B142,offices!$A$2:$A$61,0))="","",INDEX(offices!$H$2:$H$61,MATCH($B142,offices!$A$2:$A$61,0))),""))</f>
        <v/>
      </c>
      <c r="AF142" s="30" t="str">
        <f aca="false">IF($A142="","",IF(AND($L142="declined",N($Z142)&gt;0,COUNTIFS(approvals!$H$2:$H$251,$A142,approvals!$B$2:$B$251,$B142,approvals!$P$2:$P$251,"Y",approvals!$U$2:$U$251,"&gt;0")=0),"Y",""))</f>
        <v/>
      </c>
    </row>
    <row r="143" customFormat="false" ht="15" hidden="false" customHeight="false" outlineLevel="0" collapsed="false">
      <c r="D143" s="38"/>
      <c r="E143" s="11"/>
      <c r="F143" s="11"/>
      <c r="G143" s="11"/>
      <c r="I143" s="38"/>
      <c r="J143" s="38"/>
      <c r="K143" s="10"/>
      <c r="L143" s="10"/>
      <c r="N143" s="11"/>
      <c r="O143" s="10"/>
      <c r="P143" s="31" t="str">
        <f aca="false">IF($A143="","",IF(IFERROR(IF(INDEX(drops!$I$2:$I$21,MATCH($A143,drops!$A$2:$A$21,0))="","",INDEX(drops!$I$2:$I$21,MATCH($A143,drops!$A$2:$A$21,0))),"")="OK",IFERROR(IF(INDEX(drops!$B$2:$B$21,MATCH($A143,drops!$A$2:$A$21,0))="","",INDEX(drops!$B$2:$B$21,MATCH($A143,drops!$A$2:$A$21,0))),""),""))</f>
        <v/>
      </c>
      <c r="Q143" s="30" t="str">
        <f aca="false">IF($B143="","",IFERROR(IF(INDEX(offices!$O$2:$O$61,MATCH($B143,offices!$A$2:$A$61,0))="","",INDEX(offices!$O$2:$O$61,MATCH($B143,offices!$A$2:$A$61,0))),""))</f>
        <v/>
      </c>
      <c r="R143" s="30" t="str">
        <f aca="false">IF($B143="","",IFERROR(IF(INDEX(offices!$P$2:$P$61,MATCH($B143,offices!$A$2:$A$61,0))="","",INDEX(offices!$P$2:$P$61,MATCH($B143,offices!$A$2:$A$61,0))),""))</f>
        <v/>
      </c>
      <c r="S143" s="30" t="str">
        <f aca="false">IF($B143="","",IFERROR(IF(INDEX(offices!$Q$2:$Q$61,MATCH($B143,offices!$A$2:$A$61,0))="","",INDEX(offices!$Q$2:$Q$61,MATCH($B143,offices!$A$2:$A$61,0))),""))</f>
        <v/>
      </c>
      <c r="T143" s="30" t="str">
        <f aca="false">IF($B143="","",IFERROR(IF(INDEX(offices!$Z$2:$Z$61,MATCH($B143,offices!$A$2:$A$61,0))="","",INDEX(offices!$Z$2:$Z$61,MATCH($B143,offices!$A$2:$A$61,0))),""))</f>
        <v/>
      </c>
      <c r="U143" s="30" t="str">
        <f aca="false">IF($B143="","",IFERROR(IF(INDEX(offices!$Y$2:$Y$61,MATCH($B143,offices!$A$2:$A$61,0))="","",INDEX(offices!$Y$2:$Y$61,MATCH($B143,offices!$A$2:$A$61,0))),""))</f>
        <v/>
      </c>
      <c r="V143" s="30" t="str">
        <f aca="false">IF($B143="","",IFERROR(IF(INDEX(offices!$V$2:$V$61,MATCH($B143,offices!$A$2:$A$61,0))="","",INDEX(offices!$V$2:$V$61,MATCH($B143,offices!$A$2:$A$61,0))),""))</f>
        <v/>
      </c>
      <c r="W143" s="30" t="str">
        <f aca="false">IF($B143="","",IFERROR(IF(INDEX(offices!$AJ$2:$AJ$61,MATCH($B143,offices!$A$2:$A$61,0))="","",INDEX(offices!$AJ$2:$AJ$61,MATCH($B143,offices!$A$2:$A$61,0))),""))</f>
        <v/>
      </c>
      <c r="X143" s="30" t="str">
        <f aca="false">IF($B143="","",IFERROR(IF(INDEX(offices!$G$2:$G$61,MATCH($B143,offices!$A$2:$A$61,0))="","",INDEX(offices!$G$2:$G$61,MATCH($B143,offices!$A$2:$A$61,0))),""))</f>
        <v/>
      </c>
      <c r="Y143" s="30" t="str">
        <f aca="false">IF($B143="","",IFERROR(IF(INDEX(offices!$I$2:$I$61,MATCH($B143,offices!$A$2:$A$61,0))="","",INDEX(offices!$I$2:$I$61,MATCH($B143,offices!$A$2:$A$61,0))),""))</f>
        <v/>
      </c>
      <c r="Z143" s="30" t="str">
        <f aca="false">IF($A143="","",COUNTIFS(approvals!$H$2:$H$251,$A143,approvals!$B$2:$B$251,$B143,approvals!$P$2:$P$251,"Y"))</f>
        <v/>
      </c>
      <c r="AA143" s="30" t="str">
        <f aca="false">IF($A143="","",SUMIFS(approvals!$S$2:$S$251,approvals!$H$2:$H$251,$A143,approvals!$B$2:$B$251,$B143,approvals!$P$2:$P$251,"Y"))</f>
        <v/>
      </c>
      <c r="AB143" s="30" t="str">
        <f aca="false">IF(OR($A143="",$P143=""),"",IF(COUNTIFS(stops!$B$2:$B$151,$B143,stops!$P$2:$P$151,"&lt;"&amp;$P143,stops!$L$2:$L$151,"&lt;&gt;not_delivered")=0,"Y","N"))</f>
        <v/>
      </c>
      <c r="AC143" s="30" t="str">
        <f aca="false">IF(OR($I143="",$J143=""),"",ROUND(($J143-$I143)*1440,0))</f>
        <v/>
      </c>
      <c r="AD143" s="30" t="str">
        <f aca="true">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30" t="str">
        <f aca="false">IF($B143="","",IFERROR(IF(INDEX(offices!$H$2:$H$61,MATCH($B143,offices!$A$2:$A$61,0))="","",INDEX(offices!$H$2:$H$61,MATCH($B143,offices!$A$2:$A$61,0))),""))</f>
        <v/>
      </c>
      <c r="AF143" s="30" t="str">
        <f aca="false">IF($A143="","",IF(AND($L143="declined",N($Z143)&gt;0,COUNTIFS(approvals!$H$2:$H$251,$A143,approvals!$B$2:$B$251,$B143,approvals!$P$2:$P$251,"Y",approvals!$U$2:$U$251,"&gt;0")=0),"Y",""))</f>
        <v/>
      </c>
    </row>
    <row r="144" customFormat="false" ht="15" hidden="false" customHeight="false" outlineLevel="0" collapsed="false">
      <c r="D144" s="38"/>
      <c r="E144" s="11"/>
      <c r="F144" s="11"/>
      <c r="G144" s="11"/>
      <c r="I144" s="38"/>
      <c r="J144" s="38"/>
      <c r="K144" s="10"/>
      <c r="L144" s="10"/>
      <c r="N144" s="11"/>
      <c r="O144" s="10"/>
      <c r="P144" s="31" t="str">
        <f aca="false">IF($A144="","",IF(IFERROR(IF(INDEX(drops!$I$2:$I$21,MATCH($A144,drops!$A$2:$A$21,0))="","",INDEX(drops!$I$2:$I$21,MATCH($A144,drops!$A$2:$A$21,0))),"")="OK",IFERROR(IF(INDEX(drops!$B$2:$B$21,MATCH($A144,drops!$A$2:$A$21,0))="","",INDEX(drops!$B$2:$B$21,MATCH($A144,drops!$A$2:$A$21,0))),""),""))</f>
        <v/>
      </c>
      <c r="Q144" s="30" t="str">
        <f aca="false">IF($B144="","",IFERROR(IF(INDEX(offices!$O$2:$O$61,MATCH($B144,offices!$A$2:$A$61,0))="","",INDEX(offices!$O$2:$O$61,MATCH($B144,offices!$A$2:$A$61,0))),""))</f>
        <v/>
      </c>
      <c r="R144" s="30" t="str">
        <f aca="false">IF($B144="","",IFERROR(IF(INDEX(offices!$P$2:$P$61,MATCH($B144,offices!$A$2:$A$61,0))="","",INDEX(offices!$P$2:$P$61,MATCH($B144,offices!$A$2:$A$61,0))),""))</f>
        <v/>
      </c>
      <c r="S144" s="30" t="str">
        <f aca="false">IF($B144="","",IFERROR(IF(INDEX(offices!$Q$2:$Q$61,MATCH($B144,offices!$A$2:$A$61,0))="","",INDEX(offices!$Q$2:$Q$61,MATCH($B144,offices!$A$2:$A$61,0))),""))</f>
        <v/>
      </c>
      <c r="T144" s="30" t="str">
        <f aca="false">IF($B144="","",IFERROR(IF(INDEX(offices!$Z$2:$Z$61,MATCH($B144,offices!$A$2:$A$61,0))="","",INDEX(offices!$Z$2:$Z$61,MATCH($B144,offices!$A$2:$A$61,0))),""))</f>
        <v/>
      </c>
      <c r="U144" s="30" t="str">
        <f aca="false">IF($B144="","",IFERROR(IF(INDEX(offices!$Y$2:$Y$61,MATCH($B144,offices!$A$2:$A$61,0))="","",INDEX(offices!$Y$2:$Y$61,MATCH($B144,offices!$A$2:$A$61,0))),""))</f>
        <v/>
      </c>
      <c r="V144" s="30" t="str">
        <f aca="false">IF($B144="","",IFERROR(IF(INDEX(offices!$V$2:$V$61,MATCH($B144,offices!$A$2:$A$61,0))="","",INDEX(offices!$V$2:$V$61,MATCH($B144,offices!$A$2:$A$61,0))),""))</f>
        <v/>
      </c>
      <c r="W144" s="30" t="str">
        <f aca="false">IF($B144="","",IFERROR(IF(INDEX(offices!$AJ$2:$AJ$61,MATCH($B144,offices!$A$2:$A$61,0))="","",INDEX(offices!$AJ$2:$AJ$61,MATCH($B144,offices!$A$2:$A$61,0))),""))</f>
        <v/>
      </c>
      <c r="X144" s="30" t="str">
        <f aca="false">IF($B144="","",IFERROR(IF(INDEX(offices!$G$2:$G$61,MATCH($B144,offices!$A$2:$A$61,0))="","",INDEX(offices!$G$2:$G$61,MATCH($B144,offices!$A$2:$A$61,0))),""))</f>
        <v/>
      </c>
      <c r="Y144" s="30" t="str">
        <f aca="false">IF($B144="","",IFERROR(IF(INDEX(offices!$I$2:$I$61,MATCH($B144,offices!$A$2:$A$61,0))="","",INDEX(offices!$I$2:$I$61,MATCH($B144,offices!$A$2:$A$61,0))),""))</f>
        <v/>
      </c>
      <c r="Z144" s="30" t="str">
        <f aca="false">IF($A144="","",COUNTIFS(approvals!$H$2:$H$251,$A144,approvals!$B$2:$B$251,$B144,approvals!$P$2:$P$251,"Y"))</f>
        <v/>
      </c>
      <c r="AA144" s="30" t="str">
        <f aca="false">IF($A144="","",SUMIFS(approvals!$S$2:$S$251,approvals!$H$2:$H$251,$A144,approvals!$B$2:$B$251,$B144,approvals!$P$2:$P$251,"Y"))</f>
        <v/>
      </c>
      <c r="AB144" s="30" t="str">
        <f aca="false">IF(OR($A144="",$P144=""),"",IF(COUNTIFS(stops!$B$2:$B$151,$B144,stops!$P$2:$P$151,"&lt;"&amp;$P144,stops!$L$2:$L$151,"&lt;&gt;not_delivered")=0,"Y","N"))</f>
        <v/>
      </c>
      <c r="AC144" s="30" t="str">
        <f aca="false">IF(OR($I144="",$J144=""),"",ROUND(($J144-$I144)*1440,0))</f>
        <v/>
      </c>
      <c r="AD144" s="30" t="str">
        <f aca="true">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30" t="str">
        <f aca="false">IF($B144="","",IFERROR(IF(INDEX(offices!$H$2:$H$61,MATCH($B144,offices!$A$2:$A$61,0))="","",INDEX(offices!$H$2:$H$61,MATCH($B144,offices!$A$2:$A$61,0))),""))</f>
        <v/>
      </c>
      <c r="AF144" s="30" t="str">
        <f aca="false">IF($A144="","",IF(AND($L144="declined",N($Z144)&gt;0,COUNTIFS(approvals!$H$2:$H$251,$A144,approvals!$B$2:$B$251,$B144,approvals!$P$2:$P$251,"Y",approvals!$U$2:$U$251,"&gt;0")=0),"Y",""))</f>
        <v/>
      </c>
    </row>
    <row r="145" customFormat="false" ht="15" hidden="false" customHeight="false" outlineLevel="0" collapsed="false">
      <c r="D145" s="38"/>
      <c r="E145" s="11"/>
      <c r="F145" s="11"/>
      <c r="G145" s="11"/>
      <c r="I145" s="38"/>
      <c r="J145" s="38"/>
      <c r="K145" s="10"/>
      <c r="L145" s="10"/>
      <c r="N145" s="11"/>
      <c r="O145" s="10"/>
      <c r="P145" s="31" t="str">
        <f aca="false">IF($A145="","",IF(IFERROR(IF(INDEX(drops!$I$2:$I$21,MATCH($A145,drops!$A$2:$A$21,0))="","",INDEX(drops!$I$2:$I$21,MATCH($A145,drops!$A$2:$A$21,0))),"")="OK",IFERROR(IF(INDEX(drops!$B$2:$B$21,MATCH($A145,drops!$A$2:$A$21,0))="","",INDEX(drops!$B$2:$B$21,MATCH($A145,drops!$A$2:$A$21,0))),""),""))</f>
        <v/>
      </c>
      <c r="Q145" s="30" t="str">
        <f aca="false">IF($B145="","",IFERROR(IF(INDEX(offices!$O$2:$O$61,MATCH($B145,offices!$A$2:$A$61,0))="","",INDEX(offices!$O$2:$O$61,MATCH($B145,offices!$A$2:$A$61,0))),""))</f>
        <v/>
      </c>
      <c r="R145" s="30" t="str">
        <f aca="false">IF($B145="","",IFERROR(IF(INDEX(offices!$P$2:$P$61,MATCH($B145,offices!$A$2:$A$61,0))="","",INDEX(offices!$P$2:$P$61,MATCH($B145,offices!$A$2:$A$61,0))),""))</f>
        <v/>
      </c>
      <c r="S145" s="30" t="str">
        <f aca="false">IF($B145="","",IFERROR(IF(INDEX(offices!$Q$2:$Q$61,MATCH($B145,offices!$A$2:$A$61,0))="","",INDEX(offices!$Q$2:$Q$61,MATCH($B145,offices!$A$2:$A$61,0))),""))</f>
        <v/>
      </c>
      <c r="T145" s="30" t="str">
        <f aca="false">IF($B145="","",IFERROR(IF(INDEX(offices!$Z$2:$Z$61,MATCH($B145,offices!$A$2:$A$61,0))="","",INDEX(offices!$Z$2:$Z$61,MATCH($B145,offices!$A$2:$A$61,0))),""))</f>
        <v/>
      </c>
      <c r="U145" s="30" t="str">
        <f aca="false">IF($B145="","",IFERROR(IF(INDEX(offices!$Y$2:$Y$61,MATCH($B145,offices!$A$2:$A$61,0))="","",INDEX(offices!$Y$2:$Y$61,MATCH($B145,offices!$A$2:$A$61,0))),""))</f>
        <v/>
      </c>
      <c r="V145" s="30" t="str">
        <f aca="false">IF($B145="","",IFERROR(IF(INDEX(offices!$V$2:$V$61,MATCH($B145,offices!$A$2:$A$61,0))="","",INDEX(offices!$V$2:$V$61,MATCH($B145,offices!$A$2:$A$61,0))),""))</f>
        <v/>
      </c>
      <c r="W145" s="30" t="str">
        <f aca="false">IF($B145="","",IFERROR(IF(INDEX(offices!$AJ$2:$AJ$61,MATCH($B145,offices!$A$2:$A$61,0))="","",INDEX(offices!$AJ$2:$AJ$61,MATCH($B145,offices!$A$2:$A$61,0))),""))</f>
        <v/>
      </c>
      <c r="X145" s="30" t="str">
        <f aca="false">IF($B145="","",IFERROR(IF(INDEX(offices!$G$2:$G$61,MATCH($B145,offices!$A$2:$A$61,0))="","",INDEX(offices!$G$2:$G$61,MATCH($B145,offices!$A$2:$A$61,0))),""))</f>
        <v/>
      </c>
      <c r="Y145" s="30" t="str">
        <f aca="false">IF($B145="","",IFERROR(IF(INDEX(offices!$I$2:$I$61,MATCH($B145,offices!$A$2:$A$61,0))="","",INDEX(offices!$I$2:$I$61,MATCH($B145,offices!$A$2:$A$61,0))),""))</f>
        <v/>
      </c>
      <c r="Z145" s="30" t="str">
        <f aca="false">IF($A145="","",COUNTIFS(approvals!$H$2:$H$251,$A145,approvals!$B$2:$B$251,$B145,approvals!$P$2:$P$251,"Y"))</f>
        <v/>
      </c>
      <c r="AA145" s="30" t="str">
        <f aca="false">IF($A145="","",SUMIFS(approvals!$S$2:$S$251,approvals!$H$2:$H$251,$A145,approvals!$B$2:$B$251,$B145,approvals!$P$2:$P$251,"Y"))</f>
        <v/>
      </c>
      <c r="AB145" s="30" t="str">
        <f aca="false">IF(OR($A145="",$P145=""),"",IF(COUNTIFS(stops!$B$2:$B$151,$B145,stops!$P$2:$P$151,"&lt;"&amp;$P145,stops!$L$2:$L$151,"&lt;&gt;not_delivered")=0,"Y","N"))</f>
        <v/>
      </c>
      <c r="AC145" s="30" t="str">
        <f aca="false">IF(OR($I145="",$J145=""),"",ROUND(($J145-$I145)*1440,0))</f>
        <v/>
      </c>
      <c r="AD145" s="30" t="str">
        <f aca="true">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30" t="str">
        <f aca="false">IF($B145="","",IFERROR(IF(INDEX(offices!$H$2:$H$61,MATCH($B145,offices!$A$2:$A$61,0))="","",INDEX(offices!$H$2:$H$61,MATCH($B145,offices!$A$2:$A$61,0))),""))</f>
        <v/>
      </c>
      <c r="AF145" s="30" t="str">
        <f aca="false">IF($A145="","",IF(AND($L145="declined",N($Z145)&gt;0,COUNTIFS(approvals!$H$2:$H$251,$A145,approvals!$B$2:$B$251,$B145,approvals!$P$2:$P$251,"Y",approvals!$U$2:$U$251,"&gt;0")=0),"Y",""))</f>
        <v/>
      </c>
    </row>
    <row r="146" customFormat="false" ht="15" hidden="false" customHeight="false" outlineLevel="0" collapsed="false">
      <c r="D146" s="38"/>
      <c r="E146" s="11"/>
      <c r="F146" s="11"/>
      <c r="G146" s="11"/>
      <c r="I146" s="38"/>
      <c r="J146" s="38"/>
      <c r="K146" s="10"/>
      <c r="L146" s="10"/>
      <c r="N146" s="11"/>
      <c r="O146" s="10"/>
      <c r="P146" s="31" t="str">
        <f aca="false">IF($A146="","",IF(IFERROR(IF(INDEX(drops!$I$2:$I$21,MATCH($A146,drops!$A$2:$A$21,0))="","",INDEX(drops!$I$2:$I$21,MATCH($A146,drops!$A$2:$A$21,0))),"")="OK",IFERROR(IF(INDEX(drops!$B$2:$B$21,MATCH($A146,drops!$A$2:$A$21,0))="","",INDEX(drops!$B$2:$B$21,MATCH($A146,drops!$A$2:$A$21,0))),""),""))</f>
        <v/>
      </c>
      <c r="Q146" s="30" t="str">
        <f aca="false">IF($B146="","",IFERROR(IF(INDEX(offices!$O$2:$O$61,MATCH($B146,offices!$A$2:$A$61,0))="","",INDEX(offices!$O$2:$O$61,MATCH($B146,offices!$A$2:$A$61,0))),""))</f>
        <v/>
      </c>
      <c r="R146" s="30" t="str">
        <f aca="false">IF($B146="","",IFERROR(IF(INDEX(offices!$P$2:$P$61,MATCH($B146,offices!$A$2:$A$61,0))="","",INDEX(offices!$P$2:$P$61,MATCH($B146,offices!$A$2:$A$61,0))),""))</f>
        <v/>
      </c>
      <c r="S146" s="30" t="str">
        <f aca="false">IF($B146="","",IFERROR(IF(INDEX(offices!$Q$2:$Q$61,MATCH($B146,offices!$A$2:$A$61,0))="","",INDEX(offices!$Q$2:$Q$61,MATCH($B146,offices!$A$2:$A$61,0))),""))</f>
        <v/>
      </c>
      <c r="T146" s="30" t="str">
        <f aca="false">IF($B146="","",IFERROR(IF(INDEX(offices!$Z$2:$Z$61,MATCH($B146,offices!$A$2:$A$61,0))="","",INDEX(offices!$Z$2:$Z$61,MATCH($B146,offices!$A$2:$A$61,0))),""))</f>
        <v/>
      </c>
      <c r="U146" s="30" t="str">
        <f aca="false">IF($B146="","",IFERROR(IF(INDEX(offices!$Y$2:$Y$61,MATCH($B146,offices!$A$2:$A$61,0))="","",INDEX(offices!$Y$2:$Y$61,MATCH($B146,offices!$A$2:$A$61,0))),""))</f>
        <v/>
      </c>
      <c r="V146" s="30" t="str">
        <f aca="false">IF($B146="","",IFERROR(IF(INDEX(offices!$V$2:$V$61,MATCH($B146,offices!$A$2:$A$61,0))="","",INDEX(offices!$V$2:$V$61,MATCH($B146,offices!$A$2:$A$61,0))),""))</f>
        <v/>
      </c>
      <c r="W146" s="30" t="str">
        <f aca="false">IF($B146="","",IFERROR(IF(INDEX(offices!$AJ$2:$AJ$61,MATCH($B146,offices!$A$2:$A$61,0))="","",INDEX(offices!$AJ$2:$AJ$61,MATCH($B146,offices!$A$2:$A$61,0))),""))</f>
        <v/>
      </c>
      <c r="X146" s="30" t="str">
        <f aca="false">IF($B146="","",IFERROR(IF(INDEX(offices!$G$2:$G$61,MATCH($B146,offices!$A$2:$A$61,0))="","",INDEX(offices!$G$2:$G$61,MATCH($B146,offices!$A$2:$A$61,0))),""))</f>
        <v/>
      </c>
      <c r="Y146" s="30" t="str">
        <f aca="false">IF($B146="","",IFERROR(IF(INDEX(offices!$I$2:$I$61,MATCH($B146,offices!$A$2:$A$61,0))="","",INDEX(offices!$I$2:$I$61,MATCH($B146,offices!$A$2:$A$61,0))),""))</f>
        <v/>
      </c>
      <c r="Z146" s="30" t="str">
        <f aca="false">IF($A146="","",COUNTIFS(approvals!$H$2:$H$251,$A146,approvals!$B$2:$B$251,$B146,approvals!$P$2:$P$251,"Y"))</f>
        <v/>
      </c>
      <c r="AA146" s="30" t="str">
        <f aca="false">IF($A146="","",SUMIFS(approvals!$S$2:$S$251,approvals!$H$2:$H$251,$A146,approvals!$B$2:$B$251,$B146,approvals!$P$2:$P$251,"Y"))</f>
        <v/>
      </c>
      <c r="AB146" s="30" t="str">
        <f aca="false">IF(OR($A146="",$P146=""),"",IF(COUNTIFS(stops!$B$2:$B$151,$B146,stops!$P$2:$P$151,"&lt;"&amp;$P146,stops!$L$2:$L$151,"&lt;&gt;not_delivered")=0,"Y","N"))</f>
        <v/>
      </c>
      <c r="AC146" s="30" t="str">
        <f aca="false">IF(OR($I146="",$J146=""),"",ROUND(($J146-$I146)*1440,0))</f>
        <v/>
      </c>
      <c r="AD146" s="30" t="str">
        <f aca="true">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30" t="str">
        <f aca="false">IF($B146="","",IFERROR(IF(INDEX(offices!$H$2:$H$61,MATCH($B146,offices!$A$2:$A$61,0))="","",INDEX(offices!$H$2:$H$61,MATCH($B146,offices!$A$2:$A$61,0))),""))</f>
        <v/>
      </c>
      <c r="AF146" s="30" t="str">
        <f aca="false">IF($A146="","",IF(AND($L146="declined",N($Z146)&gt;0,COUNTIFS(approvals!$H$2:$H$251,$A146,approvals!$B$2:$B$251,$B146,approvals!$P$2:$P$251,"Y",approvals!$U$2:$U$251,"&gt;0")=0),"Y",""))</f>
        <v/>
      </c>
    </row>
    <row r="147" customFormat="false" ht="15" hidden="false" customHeight="false" outlineLevel="0" collapsed="false">
      <c r="D147" s="38"/>
      <c r="E147" s="11"/>
      <c r="F147" s="11"/>
      <c r="G147" s="11"/>
      <c r="I147" s="38"/>
      <c r="J147" s="38"/>
      <c r="K147" s="10"/>
      <c r="L147" s="10"/>
      <c r="N147" s="11"/>
      <c r="O147" s="10"/>
      <c r="P147" s="31" t="str">
        <f aca="false">IF($A147="","",IF(IFERROR(IF(INDEX(drops!$I$2:$I$21,MATCH($A147,drops!$A$2:$A$21,0))="","",INDEX(drops!$I$2:$I$21,MATCH($A147,drops!$A$2:$A$21,0))),"")="OK",IFERROR(IF(INDEX(drops!$B$2:$B$21,MATCH($A147,drops!$A$2:$A$21,0))="","",INDEX(drops!$B$2:$B$21,MATCH($A147,drops!$A$2:$A$21,0))),""),""))</f>
        <v/>
      </c>
      <c r="Q147" s="30" t="str">
        <f aca="false">IF($B147="","",IFERROR(IF(INDEX(offices!$O$2:$O$61,MATCH($B147,offices!$A$2:$A$61,0))="","",INDEX(offices!$O$2:$O$61,MATCH($B147,offices!$A$2:$A$61,0))),""))</f>
        <v/>
      </c>
      <c r="R147" s="30" t="str">
        <f aca="false">IF($B147="","",IFERROR(IF(INDEX(offices!$P$2:$P$61,MATCH($B147,offices!$A$2:$A$61,0))="","",INDEX(offices!$P$2:$P$61,MATCH($B147,offices!$A$2:$A$61,0))),""))</f>
        <v/>
      </c>
      <c r="S147" s="30" t="str">
        <f aca="false">IF($B147="","",IFERROR(IF(INDEX(offices!$Q$2:$Q$61,MATCH($B147,offices!$A$2:$A$61,0))="","",INDEX(offices!$Q$2:$Q$61,MATCH($B147,offices!$A$2:$A$61,0))),""))</f>
        <v/>
      </c>
      <c r="T147" s="30" t="str">
        <f aca="false">IF($B147="","",IFERROR(IF(INDEX(offices!$Z$2:$Z$61,MATCH($B147,offices!$A$2:$A$61,0))="","",INDEX(offices!$Z$2:$Z$61,MATCH($B147,offices!$A$2:$A$61,0))),""))</f>
        <v/>
      </c>
      <c r="U147" s="30" t="str">
        <f aca="false">IF($B147="","",IFERROR(IF(INDEX(offices!$Y$2:$Y$61,MATCH($B147,offices!$A$2:$A$61,0))="","",INDEX(offices!$Y$2:$Y$61,MATCH($B147,offices!$A$2:$A$61,0))),""))</f>
        <v/>
      </c>
      <c r="V147" s="30" t="str">
        <f aca="false">IF($B147="","",IFERROR(IF(INDEX(offices!$V$2:$V$61,MATCH($B147,offices!$A$2:$A$61,0))="","",INDEX(offices!$V$2:$V$61,MATCH($B147,offices!$A$2:$A$61,0))),""))</f>
        <v/>
      </c>
      <c r="W147" s="30" t="str">
        <f aca="false">IF($B147="","",IFERROR(IF(INDEX(offices!$AJ$2:$AJ$61,MATCH($B147,offices!$A$2:$A$61,0))="","",INDEX(offices!$AJ$2:$AJ$61,MATCH($B147,offices!$A$2:$A$61,0))),""))</f>
        <v/>
      </c>
      <c r="X147" s="30" t="str">
        <f aca="false">IF($B147="","",IFERROR(IF(INDEX(offices!$G$2:$G$61,MATCH($B147,offices!$A$2:$A$61,0))="","",INDEX(offices!$G$2:$G$61,MATCH($B147,offices!$A$2:$A$61,0))),""))</f>
        <v/>
      </c>
      <c r="Y147" s="30" t="str">
        <f aca="false">IF($B147="","",IFERROR(IF(INDEX(offices!$I$2:$I$61,MATCH($B147,offices!$A$2:$A$61,0))="","",INDEX(offices!$I$2:$I$61,MATCH($B147,offices!$A$2:$A$61,0))),""))</f>
        <v/>
      </c>
      <c r="Z147" s="30" t="str">
        <f aca="false">IF($A147="","",COUNTIFS(approvals!$H$2:$H$251,$A147,approvals!$B$2:$B$251,$B147,approvals!$P$2:$P$251,"Y"))</f>
        <v/>
      </c>
      <c r="AA147" s="30" t="str">
        <f aca="false">IF($A147="","",SUMIFS(approvals!$S$2:$S$251,approvals!$H$2:$H$251,$A147,approvals!$B$2:$B$251,$B147,approvals!$P$2:$P$251,"Y"))</f>
        <v/>
      </c>
      <c r="AB147" s="30" t="str">
        <f aca="false">IF(OR($A147="",$P147=""),"",IF(COUNTIFS(stops!$B$2:$B$151,$B147,stops!$P$2:$P$151,"&lt;"&amp;$P147,stops!$L$2:$L$151,"&lt;&gt;not_delivered")=0,"Y","N"))</f>
        <v/>
      </c>
      <c r="AC147" s="30" t="str">
        <f aca="false">IF(OR($I147="",$J147=""),"",ROUND(($J147-$I147)*1440,0))</f>
        <v/>
      </c>
      <c r="AD147" s="30" t="str">
        <f aca="true">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30" t="str">
        <f aca="false">IF($B147="","",IFERROR(IF(INDEX(offices!$H$2:$H$61,MATCH($B147,offices!$A$2:$A$61,0))="","",INDEX(offices!$H$2:$H$61,MATCH($B147,offices!$A$2:$A$61,0))),""))</f>
        <v/>
      </c>
      <c r="AF147" s="30" t="str">
        <f aca="false">IF($A147="","",IF(AND($L147="declined",N($Z147)&gt;0,COUNTIFS(approvals!$H$2:$H$251,$A147,approvals!$B$2:$B$251,$B147,approvals!$P$2:$P$251,"Y",approvals!$U$2:$U$251,"&gt;0")=0),"Y",""))</f>
        <v/>
      </c>
    </row>
    <row r="148" customFormat="false" ht="15" hidden="false" customHeight="false" outlineLevel="0" collapsed="false">
      <c r="D148" s="38"/>
      <c r="E148" s="11"/>
      <c r="F148" s="11"/>
      <c r="G148" s="11"/>
      <c r="I148" s="38"/>
      <c r="J148" s="38"/>
      <c r="K148" s="10"/>
      <c r="L148" s="10"/>
      <c r="N148" s="11"/>
      <c r="O148" s="10"/>
      <c r="P148" s="31" t="str">
        <f aca="false">IF($A148="","",IF(IFERROR(IF(INDEX(drops!$I$2:$I$21,MATCH($A148,drops!$A$2:$A$21,0))="","",INDEX(drops!$I$2:$I$21,MATCH($A148,drops!$A$2:$A$21,0))),"")="OK",IFERROR(IF(INDEX(drops!$B$2:$B$21,MATCH($A148,drops!$A$2:$A$21,0))="","",INDEX(drops!$B$2:$B$21,MATCH($A148,drops!$A$2:$A$21,0))),""),""))</f>
        <v/>
      </c>
      <c r="Q148" s="30" t="str">
        <f aca="false">IF($B148="","",IFERROR(IF(INDEX(offices!$O$2:$O$61,MATCH($B148,offices!$A$2:$A$61,0))="","",INDEX(offices!$O$2:$O$61,MATCH($B148,offices!$A$2:$A$61,0))),""))</f>
        <v/>
      </c>
      <c r="R148" s="30" t="str">
        <f aca="false">IF($B148="","",IFERROR(IF(INDEX(offices!$P$2:$P$61,MATCH($B148,offices!$A$2:$A$61,0))="","",INDEX(offices!$P$2:$P$61,MATCH($B148,offices!$A$2:$A$61,0))),""))</f>
        <v/>
      </c>
      <c r="S148" s="30" t="str">
        <f aca="false">IF($B148="","",IFERROR(IF(INDEX(offices!$Q$2:$Q$61,MATCH($B148,offices!$A$2:$A$61,0))="","",INDEX(offices!$Q$2:$Q$61,MATCH($B148,offices!$A$2:$A$61,0))),""))</f>
        <v/>
      </c>
      <c r="T148" s="30" t="str">
        <f aca="false">IF($B148="","",IFERROR(IF(INDEX(offices!$Z$2:$Z$61,MATCH($B148,offices!$A$2:$A$61,0))="","",INDEX(offices!$Z$2:$Z$61,MATCH($B148,offices!$A$2:$A$61,0))),""))</f>
        <v/>
      </c>
      <c r="U148" s="30" t="str">
        <f aca="false">IF($B148="","",IFERROR(IF(INDEX(offices!$Y$2:$Y$61,MATCH($B148,offices!$A$2:$A$61,0))="","",INDEX(offices!$Y$2:$Y$61,MATCH($B148,offices!$A$2:$A$61,0))),""))</f>
        <v/>
      </c>
      <c r="V148" s="30" t="str">
        <f aca="false">IF($B148="","",IFERROR(IF(INDEX(offices!$V$2:$V$61,MATCH($B148,offices!$A$2:$A$61,0))="","",INDEX(offices!$V$2:$V$61,MATCH($B148,offices!$A$2:$A$61,0))),""))</f>
        <v/>
      </c>
      <c r="W148" s="30" t="str">
        <f aca="false">IF($B148="","",IFERROR(IF(INDEX(offices!$AJ$2:$AJ$61,MATCH($B148,offices!$A$2:$A$61,0))="","",INDEX(offices!$AJ$2:$AJ$61,MATCH($B148,offices!$A$2:$A$61,0))),""))</f>
        <v/>
      </c>
      <c r="X148" s="30" t="str">
        <f aca="false">IF($B148="","",IFERROR(IF(INDEX(offices!$G$2:$G$61,MATCH($B148,offices!$A$2:$A$61,0))="","",INDEX(offices!$G$2:$G$61,MATCH($B148,offices!$A$2:$A$61,0))),""))</f>
        <v/>
      </c>
      <c r="Y148" s="30" t="str">
        <f aca="false">IF($B148="","",IFERROR(IF(INDEX(offices!$I$2:$I$61,MATCH($B148,offices!$A$2:$A$61,0))="","",INDEX(offices!$I$2:$I$61,MATCH($B148,offices!$A$2:$A$61,0))),""))</f>
        <v/>
      </c>
      <c r="Z148" s="30" t="str">
        <f aca="false">IF($A148="","",COUNTIFS(approvals!$H$2:$H$251,$A148,approvals!$B$2:$B$251,$B148,approvals!$P$2:$P$251,"Y"))</f>
        <v/>
      </c>
      <c r="AA148" s="30" t="str">
        <f aca="false">IF($A148="","",SUMIFS(approvals!$S$2:$S$251,approvals!$H$2:$H$251,$A148,approvals!$B$2:$B$251,$B148,approvals!$P$2:$P$251,"Y"))</f>
        <v/>
      </c>
      <c r="AB148" s="30" t="str">
        <f aca="false">IF(OR($A148="",$P148=""),"",IF(COUNTIFS(stops!$B$2:$B$151,$B148,stops!$P$2:$P$151,"&lt;"&amp;$P148,stops!$L$2:$L$151,"&lt;&gt;not_delivered")=0,"Y","N"))</f>
        <v/>
      </c>
      <c r="AC148" s="30" t="str">
        <f aca="false">IF(OR($I148="",$J148=""),"",ROUND(($J148-$I148)*1440,0))</f>
        <v/>
      </c>
      <c r="AD148" s="30" t="str">
        <f aca="true">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30" t="str">
        <f aca="false">IF($B148="","",IFERROR(IF(INDEX(offices!$H$2:$H$61,MATCH($B148,offices!$A$2:$A$61,0))="","",INDEX(offices!$H$2:$H$61,MATCH($B148,offices!$A$2:$A$61,0))),""))</f>
        <v/>
      </c>
      <c r="AF148" s="30" t="str">
        <f aca="false">IF($A148="","",IF(AND($L148="declined",N($Z148)&gt;0,COUNTIFS(approvals!$H$2:$H$251,$A148,approvals!$B$2:$B$251,$B148,approvals!$P$2:$P$251,"Y",approvals!$U$2:$U$251,"&gt;0")=0),"Y",""))</f>
        <v/>
      </c>
    </row>
    <row r="149" customFormat="false" ht="15" hidden="false" customHeight="false" outlineLevel="0" collapsed="false">
      <c r="D149" s="38"/>
      <c r="E149" s="11"/>
      <c r="F149" s="11"/>
      <c r="G149" s="11"/>
      <c r="I149" s="38"/>
      <c r="J149" s="38"/>
      <c r="K149" s="10"/>
      <c r="L149" s="10"/>
      <c r="N149" s="11"/>
      <c r="O149" s="10"/>
      <c r="P149" s="31" t="str">
        <f aca="false">IF($A149="","",IF(IFERROR(IF(INDEX(drops!$I$2:$I$21,MATCH($A149,drops!$A$2:$A$21,0))="","",INDEX(drops!$I$2:$I$21,MATCH($A149,drops!$A$2:$A$21,0))),"")="OK",IFERROR(IF(INDEX(drops!$B$2:$B$21,MATCH($A149,drops!$A$2:$A$21,0))="","",INDEX(drops!$B$2:$B$21,MATCH($A149,drops!$A$2:$A$21,0))),""),""))</f>
        <v/>
      </c>
      <c r="Q149" s="30" t="str">
        <f aca="false">IF($B149="","",IFERROR(IF(INDEX(offices!$O$2:$O$61,MATCH($B149,offices!$A$2:$A$61,0))="","",INDEX(offices!$O$2:$O$61,MATCH($B149,offices!$A$2:$A$61,0))),""))</f>
        <v/>
      </c>
      <c r="R149" s="30" t="str">
        <f aca="false">IF($B149="","",IFERROR(IF(INDEX(offices!$P$2:$P$61,MATCH($B149,offices!$A$2:$A$61,0))="","",INDEX(offices!$P$2:$P$61,MATCH($B149,offices!$A$2:$A$61,0))),""))</f>
        <v/>
      </c>
      <c r="S149" s="30" t="str">
        <f aca="false">IF($B149="","",IFERROR(IF(INDEX(offices!$Q$2:$Q$61,MATCH($B149,offices!$A$2:$A$61,0))="","",INDEX(offices!$Q$2:$Q$61,MATCH($B149,offices!$A$2:$A$61,0))),""))</f>
        <v/>
      </c>
      <c r="T149" s="30" t="str">
        <f aca="false">IF($B149="","",IFERROR(IF(INDEX(offices!$Z$2:$Z$61,MATCH($B149,offices!$A$2:$A$61,0))="","",INDEX(offices!$Z$2:$Z$61,MATCH($B149,offices!$A$2:$A$61,0))),""))</f>
        <v/>
      </c>
      <c r="U149" s="30" t="str">
        <f aca="false">IF($B149="","",IFERROR(IF(INDEX(offices!$Y$2:$Y$61,MATCH($B149,offices!$A$2:$A$61,0))="","",INDEX(offices!$Y$2:$Y$61,MATCH($B149,offices!$A$2:$A$61,0))),""))</f>
        <v/>
      </c>
      <c r="V149" s="30" t="str">
        <f aca="false">IF($B149="","",IFERROR(IF(INDEX(offices!$V$2:$V$61,MATCH($B149,offices!$A$2:$A$61,0))="","",INDEX(offices!$V$2:$V$61,MATCH($B149,offices!$A$2:$A$61,0))),""))</f>
        <v/>
      </c>
      <c r="W149" s="30" t="str">
        <f aca="false">IF($B149="","",IFERROR(IF(INDEX(offices!$AJ$2:$AJ$61,MATCH($B149,offices!$A$2:$A$61,0))="","",INDEX(offices!$AJ$2:$AJ$61,MATCH($B149,offices!$A$2:$A$61,0))),""))</f>
        <v/>
      </c>
      <c r="X149" s="30" t="str">
        <f aca="false">IF($B149="","",IFERROR(IF(INDEX(offices!$G$2:$G$61,MATCH($B149,offices!$A$2:$A$61,0))="","",INDEX(offices!$G$2:$G$61,MATCH($B149,offices!$A$2:$A$61,0))),""))</f>
        <v/>
      </c>
      <c r="Y149" s="30" t="str">
        <f aca="false">IF($B149="","",IFERROR(IF(INDEX(offices!$I$2:$I$61,MATCH($B149,offices!$A$2:$A$61,0))="","",INDEX(offices!$I$2:$I$61,MATCH($B149,offices!$A$2:$A$61,0))),""))</f>
        <v/>
      </c>
      <c r="Z149" s="30" t="str">
        <f aca="false">IF($A149="","",COUNTIFS(approvals!$H$2:$H$251,$A149,approvals!$B$2:$B$251,$B149,approvals!$P$2:$P$251,"Y"))</f>
        <v/>
      </c>
      <c r="AA149" s="30" t="str">
        <f aca="false">IF($A149="","",SUMIFS(approvals!$S$2:$S$251,approvals!$H$2:$H$251,$A149,approvals!$B$2:$B$251,$B149,approvals!$P$2:$P$251,"Y"))</f>
        <v/>
      </c>
      <c r="AB149" s="30" t="str">
        <f aca="false">IF(OR($A149="",$P149=""),"",IF(COUNTIFS(stops!$B$2:$B$151,$B149,stops!$P$2:$P$151,"&lt;"&amp;$P149,stops!$L$2:$L$151,"&lt;&gt;not_delivered")=0,"Y","N"))</f>
        <v/>
      </c>
      <c r="AC149" s="30" t="str">
        <f aca="false">IF(OR($I149="",$J149=""),"",ROUND(($J149-$I149)*1440,0))</f>
        <v/>
      </c>
      <c r="AD149" s="30" t="str">
        <f aca="true">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30" t="str">
        <f aca="false">IF($B149="","",IFERROR(IF(INDEX(offices!$H$2:$H$61,MATCH($B149,offices!$A$2:$A$61,0))="","",INDEX(offices!$H$2:$H$61,MATCH($B149,offices!$A$2:$A$61,0))),""))</f>
        <v/>
      </c>
      <c r="AF149" s="30" t="str">
        <f aca="false">IF($A149="","",IF(AND($L149="declined",N($Z149)&gt;0,COUNTIFS(approvals!$H$2:$H$251,$A149,approvals!$B$2:$B$251,$B149,approvals!$P$2:$P$251,"Y",approvals!$U$2:$U$251,"&gt;0")=0),"Y",""))</f>
        <v/>
      </c>
    </row>
    <row r="150" customFormat="false" ht="15" hidden="false" customHeight="false" outlineLevel="0" collapsed="false">
      <c r="D150" s="38"/>
      <c r="E150" s="11"/>
      <c r="F150" s="11"/>
      <c r="G150" s="11"/>
      <c r="I150" s="38"/>
      <c r="J150" s="38"/>
      <c r="K150" s="10"/>
      <c r="L150" s="10"/>
      <c r="N150" s="11"/>
      <c r="O150" s="10"/>
      <c r="P150" s="31" t="str">
        <f aca="false">IF($A150="","",IF(IFERROR(IF(INDEX(drops!$I$2:$I$21,MATCH($A150,drops!$A$2:$A$21,0))="","",INDEX(drops!$I$2:$I$21,MATCH($A150,drops!$A$2:$A$21,0))),"")="OK",IFERROR(IF(INDEX(drops!$B$2:$B$21,MATCH($A150,drops!$A$2:$A$21,0))="","",INDEX(drops!$B$2:$B$21,MATCH($A150,drops!$A$2:$A$21,0))),""),""))</f>
        <v/>
      </c>
      <c r="Q150" s="30" t="str">
        <f aca="false">IF($B150="","",IFERROR(IF(INDEX(offices!$O$2:$O$61,MATCH($B150,offices!$A$2:$A$61,0))="","",INDEX(offices!$O$2:$O$61,MATCH($B150,offices!$A$2:$A$61,0))),""))</f>
        <v/>
      </c>
      <c r="R150" s="30" t="str">
        <f aca="false">IF($B150="","",IFERROR(IF(INDEX(offices!$P$2:$P$61,MATCH($B150,offices!$A$2:$A$61,0))="","",INDEX(offices!$P$2:$P$61,MATCH($B150,offices!$A$2:$A$61,0))),""))</f>
        <v/>
      </c>
      <c r="S150" s="30" t="str">
        <f aca="false">IF($B150="","",IFERROR(IF(INDEX(offices!$Q$2:$Q$61,MATCH($B150,offices!$A$2:$A$61,0))="","",INDEX(offices!$Q$2:$Q$61,MATCH($B150,offices!$A$2:$A$61,0))),""))</f>
        <v/>
      </c>
      <c r="T150" s="30" t="str">
        <f aca="false">IF($B150="","",IFERROR(IF(INDEX(offices!$Z$2:$Z$61,MATCH($B150,offices!$A$2:$A$61,0))="","",INDEX(offices!$Z$2:$Z$61,MATCH($B150,offices!$A$2:$A$61,0))),""))</f>
        <v/>
      </c>
      <c r="U150" s="30" t="str">
        <f aca="false">IF($B150="","",IFERROR(IF(INDEX(offices!$Y$2:$Y$61,MATCH($B150,offices!$A$2:$A$61,0))="","",INDEX(offices!$Y$2:$Y$61,MATCH($B150,offices!$A$2:$A$61,0))),""))</f>
        <v/>
      </c>
      <c r="V150" s="30" t="str">
        <f aca="false">IF($B150="","",IFERROR(IF(INDEX(offices!$V$2:$V$61,MATCH($B150,offices!$A$2:$A$61,0))="","",INDEX(offices!$V$2:$V$61,MATCH($B150,offices!$A$2:$A$61,0))),""))</f>
        <v/>
      </c>
      <c r="W150" s="30" t="str">
        <f aca="false">IF($B150="","",IFERROR(IF(INDEX(offices!$AJ$2:$AJ$61,MATCH($B150,offices!$A$2:$A$61,0))="","",INDEX(offices!$AJ$2:$AJ$61,MATCH($B150,offices!$A$2:$A$61,0))),""))</f>
        <v/>
      </c>
      <c r="X150" s="30" t="str">
        <f aca="false">IF($B150="","",IFERROR(IF(INDEX(offices!$G$2:$G$61,MATCH($B150,offices!$A$2:$A$61,0))="","",INDEX(offices!$G$2:$G$61,MATCH($B150,offices!$A$2:$A$61,0))),""))</f>
        <v/>
      </c>
      <c r="Y150" s="30" t="str">
        <f aca="false">IF($B150="","",IFERROR(IF(INDEX(offices!$I$2:$I$61,MATCH($B150,offices!$A$2:$A$61,0))="","",INDEX(offices!$I$2:$I$61,MATCH($B150,offices!$A$2:$A$61,0))),""))</f>
        <v/>
      </c>
      <c r="Z150" s="30" t="str">
        <f aca="false">IF($A150="","",COUNTIFS(approvals!$H$2:$H$251,$A150,approvals!$B$2:$B$251,$B150,approvals!$P$2:$P$251,"Y"))</f>
        <v/>
      </c>
      <c r="AA150" s="30" t="str">
        <f aca="false">IF($A150="","",SUMIFS(approvals!$S$2:$S$251,approvals!$H$2:$H$251,$A150,approvals!$B$2:$B$251,$B150,approvals!$P$2:$P$251,"Y"))</f>
        <v/>
      </c>
      <c r="AB150" s="30" t="str">
        <f aca="false">IF(OR($A150="",$P150=""),"",IF(COUNTIFS(stops!$B$2:$B$151,$B150,stops!$P$2:$P$151,"&lt;"&amp;$P150,stops!$L$2:$L$151,"&lt;&gt;not_delivered")=0,"Y","N"))</f>
        <v/>
      </c>
      <c r="AC150" s="30" t="str">
        <f aca="false">IF(OR($I150="",$J150=""),"",ROUND(($J150-$I150)*1440,0))</f>
        <v/>
      </c>
      <c r="AD150" s="30" t="str">
        <f aca="true">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30" t="str">
        <f aca="false">IF($B150="","",IFERROR(IF(INDEX(offices!$H$2:$H$61,MATCH($B150,offices!$A$2:$A$61,0))="","",INDEX(offices!$H$2:$H$61,MATCH($B150,offices!$A$2:$A$61,0))),""))</f>
        <v/>
      </c>
      <c r="AF150" s="30" t="str">
        <f aca="false">IF($A150="","",IF(AND($L150="declined",N($Z150)&gt;0,COUNTIFS(approvals!$H$2:$H$251,$A150,approvals!$B$2:$B$251,$B150,approvals!$P$2:$P$251,"Y",approvals!$U$2:$U$251,"&gt;0")=0),"Y",""))</f>
        <v/>
      </c>
    </row>
    <row r="151" customFormat="false" ht="15" hidden="false" customHeight="false" outlineLevel="0" collapsed="false">
      <c r="D151" s="38"/>
      <c r="E151" s="11"/>
      <c r="F151" s="11"/>
      <c r="G151" s="11"/>
      <c r="I151" s="38"/>
      <c r="J151" s="38"/>
      <c r="K151" s="10"/>
      <c r="L151" s="10"/>
      <c r="N151" s="11"/>
      <c r="O151" s="10"/>
      <c r="P151" s="31" t="str">
        <f aca="false">IF($A151="","",IF(IFERROR(IF(INDEX(drops!$I$2:$I$21,MATCH($A151,drops!$A$2:$A$21,0))="","",INDEX(drops!$I$2:$I$21,MATCH($A151,drops!$A$2:$A$21,0))),"")="OK",IFERROR(IF(INDEX(drops!$B$2:$B$21,MATCH($A151,drops!$A$2:$A$21,0))="","",INDEX(drops!$B$2:$B$21,MATCH($A151,drops!$A$2:$A$21,0))),""),""))</f>
        <v/>
      </c>
      <c r="Q151" s="30" t="str">
        <f aca="false">IF($B151="","",IFERROR(IF(INDEX(offices!$O$2:$O$61,MATCH($B151,offices!$A$2:$A$61,0))="","",INDEX(offices!$O$2:$O$61,MATCH($B151,offices!$A$2:$A$61,0))),""))</f>
        <v/>
      </c>
      <c r="R151" s="30" t="str">
        <f aca="false">IF($B151="","",IFERROR(IF(INDEX(offices!$P$2:$P$61,MATCH($B151,offices!$A$2:$A$61,0))="","",INDEX(offices!$P$2:$P$61,MATCH($B151,offices!$A$2:$A$61,0))),""))</f>
        <v/>
      </c>
      <c r="S151" s="30" t="str">
        <f aca="false">IF($B151="","",IFERROR(IF(INDEX(offices!$Q$2:$Q$61,MATCH($B151,offices!$A$2:$A$61,0))="","",INDEX(offices!$Q$2:$Q$61,MATCH($B151,offices!$A$2:$A$61,0))),""))</f>
        <v/>
      </c>
      <c r="T151" s="30" t="str">
        <f aca="false">IF($B151="","",IFERROR(IF(INDEX(offices!$Z$2:$Z$61,MATCH($B151,offices!$A$2:$A$61,0))="","",INDEX(offices!$Z$2:$Z$61,MATCH($B151,offices!$A$2:$A$61,0))),""))</f>
        <v/>
      </c>
      <c r="U151" s="30" t="str">
        <f aca="false">IF($B151="","",IFERROR(IF(INDEX(offices!$Y$2:$Y$61,MATCH($B151,offices!$A$2:$A$61,0))="","",INDEX(offices!$Y$2:$Y$61,MATCH($B151,offices!$A$2:$A$61,0))),""))</f>
        <v/>
      </c>
      <c r="V151" s="30" t="str">
        <f aca="false">IF($B151="","",IFERROR(IF(INDEX(offices!$V$2:$V$61,MATCH($B151,offices!$A$2:$A$61,0))="","",INDEX(offices!$V$2:$V$61,MATCH($B151,offices!$A$2:$A$61,0))),""))</f>
        <v/>
      </c>
      <c r="W151" s="30" t="str">
        <f aca="false">IF($B151="","",IFERROR(IF(INDEX(offices!$AJ$2:$AJ$61,MATCH($B151,offices!$A$2:$A$61,0))="","",INDEX(offices!$AJ$2:$AJ$61,MATCH($B151,offices!$A$2:$A$61,0))),""))</f>
        <v/>
      </c>
      <c r="X151" s="30" t="str">
        <f aca="false">IF($B151="","",IFERROR(IF(INDEX(offices!$G$2:$G$61,MATCH($B151,offices!$A$2:$A$61,0))="","",INDEX(offices!$G$2:$G$61,MATCH($B151,offices!$A$2:$A$61,0))),""))</f>
        <v/>
      </c>
      <c r="Y151" s="30" t="str">
        <f aca="false">IF($B151="","",IFERROR(IF(INDEX(offices!$I$2:$I$61,MATCH($B151,offices!$A$2:$A$61,0))="","",INDEX(offices!$I$2:$I$61,MATCH($B151,offices!$A$2:$A$61,0))),""))</f>
        <v/>
      </c>
      <c r="Z151" s="30" t="str">
        <f aca="false">IF($A151="","",COUNTIFS(approvals!$H$2:$H$251,$A151,approvals!$B$2:$B$251,$B151,approvals!$P$2:$P$251,"Y"))</f>
        <v/>
      </c>
      <c r="AA151" s="30" t="str">
        <f aca="false">IF($A151="","",SUMIFS(approvals!$S$2:$S$251,approvals!$H$2:$H$251,$A151,approvals!$B$2:$B$251,$B151,approvals!$P$2:$P$251,"Y"))</f>
        <v/>
      </c>
      <c r="AB151" s="30" t="str">
        <f aca="false">IF(OR($A151="",$P151=""),"",IF(COUNTIFS(stops!$B$2:$B$151,$B151,stops!$P$2:$P$151,"&lt;"&amp;$P151,stops!$L$2:$L$151,"&lt;&gt;not_delivered")=0,"Y","N"))</f>
        <v/>
      </c>
      <c r="AC151" s="30" t="str">
        <f aca="false">IF(OR($I151="",$J151=""),"",ROUND(($J151-$I151)*1440,0))</f>
        <v/>
      </c>
      <c r="AD151" s="30" t="str">
        <f aca="true">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30" t="str">
        <f aca="false">IF($B151="","",IFERROR(IF(INDEX(offices!$H$2:$H$61,MATCH($B151,offices!$A$2:$A$61,0))="","",INDEX(offices!$H$2:$H$61,MATCH($B151,offices!$A$2:$A$61,0))),""))</f>
        <v/>
      </c>
      <c r="AF151" s="30" t="str">
        <f aca="false">IF($A151="","",IF(AND($L151="declined",N($Z151)&gt;0,COUNTIFS(approvals!$H$2:$H$251,$A151,approvals!$B$2:$B$251,$B151,approvals!$P$2:$P$251,"Y",approvals!$U$2:$U$251,"&gt;0")=0),"Y",""))</f>
        <v/>
      </c>
    </row>
  </sheetData>
  <conditionalFormatting sqref="AD2:AD151">
    <cfRule type="expression" priority="2" aboveAverage="0" equalAverage="0" bottom="0" percent="0" rank="0" text="" dxfId="1">
      <formula>LEN(AD2)&gt;0</formula>
    </cfRule>
  </conditionalFormatting>
  <dataValidations count="3">
    <dataValidation allowBlank="true" error="Pick a value from the list." errorStyle="stop" errorTitle="Not on the list" operator="between" showDropDown="false" showErrorMessage="true" showInputMessage="false" sqref="K2:K151" type="list">
      <formula1>"pantry owner,front desk,other staff,carrier"</formula1>
      <formula2>0</formula2>
    </dataValidation>
    <dataValidation allowBlank="true" error="Pick a value from the list." errorStyle="stop" errorTitle="Not on the list" operator="between" showDropDown="false" showErrorMessage="true" showInputMessage="false" sqref="L2:L151" type="list">
      <formula1>"handed_to_owner,front_desk_agreed,placed_by_us,carrier_delivered,owner_absent_return,declined,building_refused,not_delivered"</formula1>
      <formula2>0</formula2>
    </dataValidation>
    <dataValidation allowBlank="true" error="Pick a value from the list." errorStyle="stop" errorTitle="Not on the list" operator="between" showDropDown="false" showErrorMessage="true" showInputMessage="false" sqref="O2:O151" type="list">
      <formula1>"yes,maybe,no"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R8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6" min="3" style="0" width="14"/>
    <col collapsed="false" customWidth="true" hidden="false" outlineLevel="0" max="7" min="7" style="0" width="6"/>
    <col collapsed="false" customWidth="true" hidden="false" outlineLevel="0" max="10" min="8" style="0" width="14"/>
    <col collapsed="false" customWidth="true" hidden="false" outlineLevel="0" max="11" min="11" style="0" width="24"/>
    <col collapsed="false" customWidth="true" hidden="false" outlineLevel="0" max="12" min="12" style="0" width="14"/>
    <col collapsed="false" customWidth="true" hidden="false" outlineLevel="0" max="16" min="13" style="0" width="7"/>
    <col collapsed="false" customWidth="true" hidden="false" outlineLevel="0" max="17" min="17" style="0" width="30"/>
    <col collapsed="false" customWidth="true" hidden="false" outlineLevel="0" max="18" min="18" style="0" width="20"/>
  </cols>
  <sheetData>
    <row r="1" customFormat="false" ht="15" hidden="false" customHeight="false" outlineLevel="0" collapsed="false">
      <c r="A1" s="28" t="s">
        <v>77</v>
      </c>
      <c r="B1" s="28" t="s">
        <v>780</v>
      </c>
      <c r="C1" s="28" t="s">
        <v>358</v>
      </c>
      <c r="D1" s="28" t="s">
        <v>642</v>
      </c>
      <c r="E1" s="28" t="s">
        <v>781</v>
      </c>
      <c r="F1" s="28" t="s">
        <v>782</v>
      </c>
      <c r="G1" s="28" t="s">
        <v>783</v>
      </c>
      <c r="H1" s="28" t="s">
        <v>784</v>
      </c>
      <c r="I1" s="28" t="s">
        <v>785</v>
      </c>
      <c r="J1" s="28" t="s">
        <v>786</v>
      </c>
      <c r="K1" s="28" t="s">
        <v>178</v>
      </c>
      <c r="L1" s="29" t="s">
        <v>300</v>
      </c>
      <c r="M1" s="29" t="s">
        <v>787</v>
      </c>
      <c r="N1" s="29" t="s">
        <v>788</v>
      </c>
      <c r="O1" s="29" t="s">
        <v>789</v>
      </c>
      <c r="P1" s="29" t="s">
        <v>790</v>
      </c>
      <c r="Q1" s="29" t="s">
        <v>120</v>
      </c>
      <c r="R1" s="29" t="s">
        <v>176</v>
      </c>
    </row>
    <row r="2" customFormat="false" ht="15" hidden="false" customHeight="false" outlineLevel="0" collapsed="false">
      <c r="A2" s="11" t="n">
        <v>46384</v>
      </c>
      <c r="B2" s="38" t="n">
        <v>0.638888888888889</v>
      </c>
      <c r="C2" s="10" t="s">
        <v>472</v>
      </c>
      <c r="E2" s="10" t="s">
        <v>685</v>
      </c>
      <c r="G2" s="0" t="n">
        <v>276</v>
      </c>
      <c r="H2" s="10" t="s">
        <v>791</v>
      </c>
      <c r="I2" s="11" t="n">
        <v>46568</v>
      </c>
      <c r="J2" s="10" t="s">
        <v>792</v>
      </c>
      <c r="K2" s="10" t="s">
        <v>793</v>
      </c>
      <c r="L2" s="31" t="n">
        <f aca="false">IF($C2="","",IFERROR(IF(INDEX(campaigns!$BG$2:$BG$51,MATCH($C2,campaigns!$A$2:$A$51,0))="","",INDEX(campaigns!$BG$2:$BG$51,MATCH($C2,campaigns!$A$2:$A$51,0))),""))</f>
        <v>46399</v>
      </c>
      <c r="M2" s="30" t="n">
        <f aca="false">IF($C2="","",IF(OR($E2="received"),N($G2),IF(OR($E2="rejected",$E2="delivered",$E2="topped_up"),-N($G2),IF(AND(OR($E2="returned_to_brand",$E2="given_to_roster_office",$E2="released_to_office",$E2="disposed"),IF($F2="","reserve",$F2)="reserve"),-N($G2),IF(AND($E2="correction",IF($F2="","reserve",$F2)="reserve"),N($G2),0)))))</f>
        <v>276</v>
      </c>
      <c r="N2" s="30" t="n">
        <f aca="false">IF($C2="","",IF($E2="rejected",N($G2),IF(AND(OR($E2="returned_to_brand",$E2="given_to_roster_office",$E2="released_to_office",$E2="disposed"),IF($F2="","reserve",$F2)="rejected"),-N($G2),IF(AND($E2="correction",IF($F2="","reserve",$F2)="rejected"),N($G2),0))))</f>
        <v>0</v>
      </c>
      <c r="O2" s="30" t="n">
        <f aca="false">IF($C2="","",IF($E2="collected",N($G2),IF(AND(OR($E2="returned_to_brand",$E2="given_to_roster_office",$E2="released_to_office",$E2="disposed"),IF($F2="","reserve",$F2)="leftover"),-N($G2),IF(AND($E2="correction",IF($F2="","reserve",$F2)="leftover"),N($G2),0))))</f>
        <v>0</v>
      </c>
      <c r="P2" s="30" t="str">
        <f aca="false">IF(OR($E2&lt;&gt;"received",$I2="",$L2=""),"",IF($I2&gt;=$L2+config!$B$19,"Y","N"))</f>
        <v>Y</v>
      </c>
      <c r="Q2" s="30" t="str">
        <f aca="false">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30" t="str">
        <f aca="false">IF($C2="","",$C2&amp;"|"&amp;$D2&amp;"|"&amp;$E2)</f>
        <v>SAMPLE-CMP-001||received</v>
      </c>
    </row>
    <row r="3" customFormat="false" ht="15" hidden="false" customHeight="false" outlineLevel="0" collapsed="false">
      <c r="A3" s="11" t="n">
        <v>46386</v>
      </c>
      <c r="B3" s="38" t="n">
        <v>0.461805555555556</v>
      </c>
      <c r="C3" s="10" t="s">
        <v>498</v>
      </c>
      <c r="E3" s="10" t="s">
        <v>685</v>
      </c>
      <c r="G3" s="0" t="n">
        <v>263</v>
      </c>
      <c r="H3" s="10" t="s">
        <v>794</v>
      </c>
      <c r="I3" s="11" t="n">
        <v>46631</v>
      </c>
      <c r="J3" s="10" t="s">
        <v>792</v>
      </c>
      <c r="L3" s="31" t="n">
        <f aca="false">IF($C3="","",IFERROR(IF(INDEX(campaigns!$BG$2:$BG$51,MATCH($C3,campaigns!$A$2:$A$51,0))="","",INDEX(campaigns!$BG$2:$BG$51,MATCH($C3,campaigns!$A$2:$A$51,0))),""))</f>
        <v>46399</v>
      </c>
      <c r="M3" s="30" t="n">
        <f aca="false">IF($C3="","",IF(OR($E3="received"),N($G3),IF(OR($E3="rejected",$E3="delivered",$E3="topped_up"),-N($G3),IF(AND(OR($E3="returned_to_brand",$E3="given_to_roster_office",$E3="released_to_office",$E3="disposed"),IF($F3="","reserve",$F3)="reserve"),-N($G3),IF(AND($E3="correction",IF($F3="","reserve",$F3)="reserve"),N($G3),0)))))</f>
        <v>263</v>
      </c>
      <c r="N3" s="30" t="n">
        <f aca="false">IF($C3="","",IF($E3="rejected",N($G3),IF(AND(OR($E3="returned_to_brand",$E3="given_to_roster_office",$E3="released_to_office",$E3="disposed"),IF($F3="","reserve",$F3)="rejected"),-N($G3),IF(AND($E3="correction",IF($F3="","reserve",$F3)="rejected"),N($G3),0))))</f>
        <v>0</v>
      </c>
      <c r="O3" s="30" t="n">
        <f aca="false">IF($C3="","",IF($E3="collected",N($G3),IF(AND(OR($E3="returned_to_brand",$E3="given_to_roster_office",$E3="released_to_office",$E3="disposed"),IF($F3="","reserve",$F3)="leftover"),-N($G3),IF(AND($E3="correction",IF($F3="","reserve",$F3)="leftover"),N($G3),0))))</f>
        <v>0</v>
      </c>
      <c r="P3" s="30" t="str">
        <f aca="false">IF(OR($E3&lt;&gt;"received",$I3="",$L3=""),"",IF($I3&gt;=$L3+config!$B$19,"Y","N"))</f>
        <v>Y</v>
      </c>
      <c r="Q3" s="30" t="str">
        <f aca="false">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30" t="str">
        <f aca="false">IF($C3="","",$C3&amp;"|"&amp;$D3&amp;"|"&amp;$E3)</f>
        <v>SAMPLE-CMP-002||received</v>
      </c>
    </row>
    <row r="4" customFormat="false" ht="15" hidden="false" customHeight="false" outlineLevel="0" collapsed="false">
      <c r="A4" s="11" t="n">
        <v>46386</v>
      </c>
      <c r="B4" s="38" t="n">
        <v>0.461805555555556</v>
      </c>
      <c r="C4" s="10" t="s">
        <v>498</v>
      </c>
      <c r="E4" s="10" t="s">
        <v>685</v>
      </c>
      <c r="G4" s="0" t="n">
        <v>12</v>
      </c>
      <c r="H4" s="10" t="s">
        <v>795</v>
      </c>
      <c r="I4" s="11" t="n">
        <v>46447</v>
      </c>
      <c r="J4" s="10" t="s">
        <v>792</v>
      </c>
      <c r="K4" s="10" t="s">
        <v>796</v>
      </c>
      <c r="L4" s="31" t="n">
        <f aca="false">IF($C4="","",IFERROR(IF(INDEX(campaigns!$BG$2:$BG$51,MATCH($C4,campaigns!$A$2:$A$51,0))="","",INDEX(campaigns!$BG$2:$BG$51,MATCH($C4,campaigns!$A$2:$A$51,0))),""))</f>
        <v>46399</v>
      </c>
      <c r="M4" s="30" t="n">
        <f aca="false">IF($C4="","",IF(OR($E4="received"),N($G4),IF(OR($E4="rejected",$E4="delivered",$E4="topped_up"),-N($G4),IF(AND(OR($E4="returned_to_brand",$E4="given_to_roster_office",$E4="released_to_office",$E4="disposed"),IF($F4="","reserve",$F4)="reserve"),-N($G4),IF(AND($E4="correction",IF($F4="","reserve",$F4)="reserve"),N($G4),0)))))</f>
        <v>12</v>
      </c>
      <c r="N4" s="30" t="n">
        <f aca="false">IF($C4="","",IF($E4="rejected",N($G4),IF(AND(OR($E4="returned_to_brand",$E4="given_to_roster_office",$E4="released_to_office",$E4="disposed"),IF($F4="","reserve",$F4)="rejected"),-N($G4),IF(AND($E4="correction",IF($F4="","reserve",$F4)="rejected"),N($G4),0))))</f>
        <v>0</v>
      </c>
      <c r="O4" s="30" t="n">
        <f aca="false">IF($C4="","",IF($E4="collected",N($G4),IF(AND(OR($E4="returned_to_brand",$E4="given_to_roster_office",$E4="released_to_office",$E4="disposed"),IF($F4="","reserve",$F4)="leftover"),-N($G4),IF(AND($E4="correction",IF($F4="","reserve",$F4)="leftover"),N($G4),0))))</f>
        <v>0</v>
      </c>
      <c r="P4" s="30" t="str">
        <f aca="false">IF(OR($E4&lt;&gt;"received",$I4="",$L4=""),"",IF($I4&gt;=$L4+config!$B$19,"Y","N"))</f>
        <v>N</v>
      </c>
      <c r="Q4" s="30" t="str">
        <f aca="false">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30" t="str">
        <f aca="false">IF($C4="","",$C4&amp;"|"&amp;$D4&amp;"|"&amp;$E4)</f>
        <v>SAMPLE-CMP-002||received</v>
      </c>
    </row>
    <row r="5" customFormat="false" ht="15" hidden="false" customHeight="false" outlineLevel="0" collapsed="false">
      <c r="A5" s="11" t="n">
        <v>46386</v>
      </c>
      <c r="B5" s="38" t="n">
        <v>0.479166666666667</v>
      </c>
      <c r="C5" s="10" t="s">
        <v>498</v>
      </c>
      <c r="E5" s="10" t="s">
        <v>797</v>
      </c>
      <c r="G5" s="0" t="n">
        <v>12</v>
      </c>
      <c r="H5" s="10" t="s">
        <v>795</v>
      </c>
      <c r="I5" s="11"/>
      <c r="J5" s="10"/>
      <c r="K5" s="10" t="s">
        <v>798</v>
      </c>
      <c r="L5" s="31" t="n">
        <f aca="false">IF($C5="","",IFERROR(IF(INDEX(campaigns!$BG$2:$BG$51,MATCH($C5,campaigns!$A$2:$A$51,0))="","",INDEX(campaigns!$BG$2:$BG$51,MATCH($C5,campaigns!$A$2:$A$51,0))),""))</f>
        <v>46399</v>
      </c>
      <c r="M5" s="30" t="n">
        <f aca="false">IF($C5="","",IF(OR($E5="received"),N($G5),IF(OR($E5="rejected",$E5="delivered",$E5="topped_up"),-N($G5),IF(AND(OR($E5="returned_to_brand",$E5="given_to_roster_office",$E5="released_to_office",$E5="disposed"),IF($F5="","reserve",$F5)="reserve"),-N($G5),IF(AND($E5="correction",IF($F5="","reserve",$F5)="reserve"),N($G5),0)))))</f>
        <v>-12</v>
      </c>
      <c r="N5" s="30" t="n">
        <f aca="false">IF($C5="","",IF($E5="rejected",N($G5),IF(AND(OR($E5="returned_to_brand",$E5="given_to_roster_office",$E5="released_to_office",$E5="disposed"),IF($F5="","reserve",$F5)="rejected"),-N($G5),IF(AND($E5="correction",IF($F5="","reserve",$F5)="rejected"),N($G5),0))))</f>
        <v>12</v>
      </c>
      <c r="O5" s="30" t="n">
        <f aca="false">IF($C5="","",IF($E5="collected",N($G5),IF(AND(OR($E5="returned_to_brand",$E5="given_to_roster_office",$E5="released_to_office",$E5="disposed"),IF($F5="","reserve",$F5)="leftover"),-N($G5),IF(AND($E5="correction",IF($F5="","reserve",$F5)="leftover"),N($G5),0))))</f>
        <v>0</v>
      </c>
      <c r="P5" s="30" t="str">
        <f aca="false">IF(OR($E5&lt;&gt;"received",$I5="",$L5=""),"",IF($I5&gt;=$L5+config!$B$19,"Y","N"))</f>
        <v/>
      </c>
      <c r="Q5" s="30" t="str">
        <f aca="false">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30" t="str">
        <f aca="false">IF($C5="","",$C5&amp;"|"&amp;$D5&amp;"|"&amp;$E5)</f>
        <v>SAMPLE-CMP-002||rejected</v>
      </c>
    </row>
    <row r="6" customFormat="false" ht="15" hidden="false" customHeight="false" outlineLevel="0" collapsed="false">
      <c r="A6" s="11" t="n">
        <v>46386</v>
      </c>
      <c r="B6" s="38" t="n">
        <v>0.479166666666667</v>
      </c>
      <c r="C6" s="10" t="s">
        <v>498</v>
      </c>
      <c r="E6" s="10" t="s">
        <v>797</v>
      </c>
      <c r="G6" s="0" t="n">
        <v>4</v>
      </c>
      <c r="H6" s="10" t="s">
        <v>794</v>
      </c>
      <c r="I6" s="11"/>
      <c r="J6" s="10"/>
      <c r="K6" s="10" t="s">
        <v>799</v>
      </c>
      <c r="L6" s="31" t="n">
        <f aca="false">IF($C6="","",IFERROR(IF(INDEX(campaigns!$BG$2:$BG$51,MATCH($C6,campaigns!$A$2:$A$51,0))="","",INDEX(campaigns!$BG$2:$BG$51,MATCH($C6,campaigns!$A$2:$A$51,0))),""))</f>
        <v>46399</v>
      </c>
      <c r="M6" s="30" t="n">
        <f aca="false">IF($C6="","",IF(OR($E6="received"),N($G6),IF(OR($E6="rejected",$E6="delivered",$E6="topped_up"),-N($G6),IF(AND(OR($E6="returned_to_brand",$E6="given_to_roster_office",$E6="released_to_office",$E6="disposed"),IF($F6="","reserve",$F6)="reserve"),-N($G6),IF(AND($E6="correction",IF($F6="","reserve",$F6)="reserve"),N($G6),0)))))</f>
        <v>-4</v>
      </c>
      <c r="N6" s="30" t="n">
        <f aca="false">IF($C6="","",IF($E6="rejected",N($G6),IF(AND(OR($E6="returned_to_brand",$E6="given_to_roster_office",$E6="released_to_office",$E6="disposed"),IF($F6="","reserve",$F6)="rejected"),-N($G6),IF(AND($E6="correction",IF($F6="","reserve",$F6)="rejected"),N($G6),0))))</f>
        <v>4</v>
      </c>
      <c r="O6" s="30" t="n">
        <f aca="false">IF($C6="","",IF($E6="collected",N($G6),IF(AND(OR($E6="returned_to_brand",$E6="given_to_roster_office",$E6="released_to_office",$E6="disposed"),IF($F6="","reserve",$F6)="leftover"),-N($G6),IF(AND($E6="correction",IF($F6="","reserve",$F6)="leftover"),N($G6),0))))</f>
        <v>0</v>
      </c>
      <c r="P6" s="30" t="str">
        <f aca="false">IF(OR($E6&lt;&gt;"received",$I6="",$L6=""),"",IF($I6&gt;=$L6+config!$B$19,"Y","N"))</f>
        <v/>
      </c>
      <c r="Q6" s="30" t="str">
        <f aca="false">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30" t="str">
        <f aca="false">IF($C6="","",$C6&amp;"|"&amp;$D6&amp;"|"&amp;$E6)</f>
        <v>SAMPLE-CMP-002||rejected</v>
      </c>
    </row>
    <row r="7" customFormat="false" ht="15" hidden="false" customHeight="false" outlineLevel="0" collapsed="false">
      <c r="A7" s="11" t="n">
        <v>46399</v>
      </c>
      <c r="B7" s="38" t="n">
        <v>0.347222222222222</v>
      </c>
      <c r="C7" s="10" t="s">
        <v>472</v>
      </c>
      <c r="D7" s="10" t="s">
        <v>678</v>
      </c>
      <c r="E7" s="10" t="s">
        <v>105</v>
      </c>
      <c r="G7" s="0" t="n">
        <v>40</v>
      </c>
      <c r="I7" s="11"/>
      <c r="J7" s="10" t="s">
        <v>792</v>
      </c>
      <c r="L7" s="31" t="n">
        <f aca="false">IF($C7="","",IFERROR(IF(INDEX(campaigns!$BG$2:$BG$51,MATCH($C7,campaigns!$A$2:$A$51,0))="","",INDEX(campaigns!$BG$2:$BG$51,MATCH($C7,campaigns!$A$2:$A$51,0))),""))</f>
        <v>46399</v>
      </c>
      <c r="M7" s="30" t="n">
        <f aca="false">IF($C7="","",IF(OR($E7="received"),N($G7),IF(OR($E7="rejected",$E7="delivered",$E7="topped_up"),-N($G7),IF(AND(OR($E7="returned_to_brand",$E7="given_to_roster_office",$E7="released_to_office",$E7="disposed"),IF($F7="","reserve",$F7)="reserve"),-N($G7),IF(AND($E7="correction",IF($F7="","reserve",$F7)="reserve"),N($G7),0)))))</f>
        <v>-40</v>
      </c>
      <c r="N7" s="30" t="n">
        <f aca="false">IF($C7="","",IF($E7="rejected",N($G7),IF(AND(OR($E7="returned_to_brand",$E7="given_to_roster_office",$E7="released_to_office",$E7="disposed"),IF($F7="","reserve",$F7)="rejected"),-N($G7),IF(AND($E7="correction",IF($F7="","reserve",$F7)="rejected"),N($G7),0))))</f>
        <v>0</v>
      </c>
      <c r="O7" s="30" t="n">
        <f aca="false">IF($C7="","",IF($E7="collected",N($G7),IF(AND(OR($E7="returned_to_brand",$E7="given_to_roster_office",$E7="released_to_office",$E7="disposed"),IF($F7="","reserve",$F7)="leftover"),-N($G7),IF(AND($E7="correction",IF($F7="","reserve",$F7)="leftover"),N($G7),0))))</f>
        <v>0</v>
      </c>
      <c r="P7" s="30" t="str">
        <f aca="false">IF(OR($E7&lt;&gt;"received",$I7="",$L7=""),"",IF($I7&gt;=$L7+config!$B$19,"Y","N"))</f>
        <v/>
      </c>
      <c r="Q7" s="30" t="str">
        <f aca="false">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30" t="str">
        <f aca="false">IF($C7="","",$C7&amp;"|"&amp;$D7&amp;"|"&amp;$E7)</f>
        <v>SAMPLE-CMP-001|SAMPLE-O-001|delivered</v>
      </c>
    </row>
    <row r="8" customFormat="false" ht="15" hidden="false" customHeight="false" outlineLevel="0" collapsed="false">
      <c r="A8" s="11" t="n">
        <v>46399</v>
      </c>
      <c r="B8" s="38" t="n">
        <v>0.396527777777778</v>
      </c>
      <c r="C8" s="10" t="s">
        <v>472</v>
      </c>
      <c r="D8" s="10" t="s">
        <v>681</v>
      </c>
      <c r="E8" s="10" t="s">
        <v>105</v>
      </c>
      <c r="G8" s="0" t="n">
        <v>40</v>
      </c>
      <c r="I8" s="11"/>
      <c r="J8" s="10" t="s">
        <v>792</v>
      </c>
      <c r="L8" s="31" t="n">
        <f aca="false">IF($C8="","",IFERROR(IF(INDEX(campaigns!$BG$2:$BG$51,MATCH($C8,campaigns!$A$2:$A$51,0))="","",INDEX(campaigns!$BG$2:$BG$51,MATCH($C8,campaigns!$A$2:$A$51,0))),""))</f>
        <v>46399</v>
      </c>
      <c r="M8" s="30" t="n">
        <f aca="false">IF($C8="","",IF(OR($E8="received"),N($G8),IF(OR($E8="rejected",$E8="delivered",$E8="topped_up"),-N($G8),IF(AND(OR($E8="returned_to_brand",$E8="given_to_roster_office",$E8="released_to_office",$E8="disposed"),IF($F8="","reserve",$F8)="reserve"),-N($G8),IF(AND($E8="correction",IF($F8="","reserve",$F8)="reserve"),N($G8),0)))))</f>
        <v>-40</v>
      </c>
      <c r="N8" s="30" t="n">
        <f aca="false">IF($C8="","",IF($E8="rejected",N($G8),IF(AND(OR($E8="returned_to_brand",$E8="given_to_roster_office",$E8="released_to_office",$E8="disposed"),IF($F8="","reserve",$F8)="rejected"),-N($G8),IF(AND($E8="correction",IF($F8="","reserve",$F8)="rejected"),N($G8),0))))</f>
        <v>0</v>
      </c>
      <c r="O8" s="30" t="n">
        <f aca="false">IF($C8="","",IF($E8="collected",N($G8),IF(AND(OR($E8="returned_to_brand",$E8="given_to_roster_office",$E8="released_to_office",$E8="disposed"),IF($F8="","reserve",$F8)="leftover"),-N($G8),IF(AND($E8="correction",IF($F8="","reserve",$F8)="leftover"),N($G8),0))))</f>
        <v>0</v>
      </c>
      <c r="P8" s="30" t="str">
        <f aca="false">IF(OR($E8&lt;&gt;"received",$I8="",$L8=""),"",IF($I8&gt;=$L8+config!$B$19,"Y","N"))</f>
        <v/>
      </c>
      <c r="Q8" s="30" t="str">
        <f aca="false">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30" t="str">
        <f aca="false">IF($C8="","",$C8&amp;"|"&amp;$D8&amp;"|"&amp;$E8)</f>
        <v>SAMPLE-CMP-001|SAMPLE-O-002|delivered</v>
      </c>
    </row>
    <row r="9" customFormat="false" ht="15" hidden="false" customHeight="false" outlineLevel="0" collapsed="false">
      <c r="A9" s="11" t="n">
        <v>46399</v>
      </c>
      <c r="B9" s="38" t="n">
        <v>0.372916666666667</v>
      </c>
      <c r="C9" s="10" t="s">
        <v>472</v>
      </c>
      <c r="D9" s="10" t="s">
        <v>683</v>
      </c>
      <c r="E9" s="10" t="s">
        <v>105</v>
      </c>
      <c r="G9" s="0" t="n">
        <v>50</v>
      </c>
      <c r="I9" s="11"/>
      <c r="J9" s="10" t="s">
        <v>792</v>
      </c>
      <c r="L9" s="31" t="n">
        <f aca="false">IF($C9="","",IFERROR(IF(INDEX(campaigns!$BG$2:$BG$51,MATCH($C9,campaigns!$A$2:$A$51,0))="","",INDEX(campaigns!$BG$2:$BG$51,MATCH($C9,campaigns!$A$2:$A$51,0))),""))</f>
        <v>46399</v>
      </c>
      <c r="M9" s="30" t="n">
        <f aca="false">IF($C9="","",IF(OR($E9="received"),N($G9),IF(OR($E9="rejected",$E9="delivered",$E9="topped_up"),-N($G9),IF(AND(OR($E9="returned_to_brand",$E9="given_to_roster_office",$E9="released_to_office",$E9="disposed"),IF($F9="","reserve",$F9)="reserve"),-N($G9),IF(AND($E9="correction",IF($F9="","reserve",$F9)="reserve"),N($G9),0)))))</f>
        <v>-50</v>
      </c>
      <c r="N9" s="30" t="n">
        <f aca="false">IF($C9="","",IF($E9="rejected",N($G9),IF(AND(OR($E9="returned_to_brand",$E9="given_to_roster_office",$E9="released_to_office",$E9="disposed"),IF($F9="","reserve",$F9)="rejected"),-N($G9),IF(AND($E9="correction",IF($F9="","reserve",$F9)="rejected"),N($G9),0))))</f>
        <v>0</v>
      </c>
      <c r="O9" s="30" t="n">
        <f aca="false">IF($C9="","",IF($E9="collected",N($G9),IF(AND(OR($E9="returned_to_brand",$E9="given_to_roster_office",$E9="released_to_office",$E9="disposed"),IF($F9="","reserve",$F9)="leftover"),-N($G9),IF(AND($E9="correction",IF($F9="","reserve",$F9)="leftover"),N($G9),0))))</f>
        <v>0</v>
      </c>
      <c r="P9" s="30" t="str">
        <f aca="false">IF(OR($E9&lt;&gt;"received",$I9="",$L9=""),"",IF($I9&gt;=$L9+config!$B$19,"Y","N"))</f>
        <v/>
      </c>
      <c r="Q9" s="30" t="str">
        <f aca="false">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30" t="str">
        <f aca="false">IF($C9="","",$C9&amp;"|"&amp;$D9&amp;"|"&amp;$E9)</f>
        <v>SAMPLE-CMP-001|SAMPLE-O-003|delivered</v>
      </c>
    </row>
    <row r="10" customFormat="false" ht="15" hidden="false" customHeight="false" outlineLevel="0" collapsed="false">
      <c r="A10" s="11" t="n">
        <v>46399</v>
      </c>
      <c r="B10" s="38" t="n">
        <v>0.452777777777778</v>
      </c>
      <c r="C10" s="10" t="s">
        <v>472</v>
      </c>
      <c r="D10" s="10" t="s">
        <v>686</v>
      </c>
      <c r="E10" s="10" t="s">
        <v>105</v>
      </c>
      <c r="G10" s="0" t="n">
        <v>50</v>
      </c>
      <c r="I10" s="11"/>
      <c r="J10" s="10" t="s">
        <v>792</v>
      </c>
      <c r="L10" s="31" t="n">
        <f aca="false">IF($C10="","",IFERROR(IF(INDEX(campaigns!$BG$2:$BG$51,MATCH($C10,campaigns!$A$2:$A$51,0))="","",INDEX(campaigns!$BG$2:$BG$51,MATCH($C10,campaigns!$A$2:$A$51,0))),""))</f>
        <v>46399</v>
      </c>
      <c r="M10" s="30" t="n">
        <f aca="false">IF($C10="","",IF(OR($E10="received"),N($G10),IF(OR($E10="rejected",$E10="delivered",$E10="topped_up"),-N($G10),IF(AND(OR($E10="returned_to_brand",$E10="given_to_roster_office",$E10="released_to_office",$E10="disposed"),IF($F10="","reserve",$F10)="reserve"),-N($G10),IF(AND($E10="correction",IF($F10="","reserve",$F10)="reserve"),N($G10),0)))))</f>
        <v>-50</v>
      </c>
      <c r="N10" s="30" t="n">
        <f aca="false">IF($C10="","",IF($E10="rejected",N($G10),IF(AND(OR($E10="returned_to_brand",$E10="given_to_roster_office",$E10="released_to_office",$E10="disposed"),IF($F10="","reserve",$F10)="rejected"),-N($G10),IF(AND($E10="correction",IF($F10="","reserve",$F10)="rejected"),N($G10),0))))</f>
        <v>0</v>
      </c>
      <c r="O10" s="30" t="n">
        <f aca="false">IF($C10="","",IF($E10="collected",N($G10),IF(AND(OR($E10="returned_to_brand",$E10="given_to_roster_office",$E10="released_to_office",$E10="disposed"),IF($F10="","reserve",$F10)="leftover"),-N($G10),IF(AND($E10="correction",IF($F10="","reserve",$F10)="leftover"),N($G10),0))))</f>
        <v>0</v>
      </c>
      <c r="P10" s="30" t="str">
        <f aca="false">IF(OR($E10&lt;&gt;"received",$I10="",$L10=""),"",IF($I10&gt;=$L10+config!$B$19,"Y","N"))</f>
        <v/>
      </c>
      <c r="Q10" s="30" t="str">
        <f aca="false">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30" t="str">
        <f aca="false">IF($C10="","",$C10&amp;"|"&amp;$D10&amp;"|"&amp;$E10)</f>
        <v>SAMPLE-CMP-001|SAMPLE-O-004|delivered</v>
      </c>
    </row>
    <row r="11" customFormat="false" ht="15" hidden="false" customHeight="false" outlineLevel="0" collapsed="false">
      <c r="A11" s="11" t="n">
        <v>46399</v>
      </c>
      <c r="B11" s="38" t="n">
        <v>0.426388888888889</v>
      </c>
      <c r="C11" s="10" t="s">
        <v>472</v>
      </c>
      <c r="D11" s="10" t="s">
        <v>688</v>
      </c>
      <c r="E11" s="10" t="s">
        <v>105</v>
      </c>
      <c r="G11" s="0" t="n">
        <v>70</v>
      </c>
      <c r="I11" s="11"/>
      <c r="J11" s="10" t="s">
        <v>792</v>
      </c>
      <c r="L11" s="31" t="n">
        <f aca="false">IF($C11="","",IFERROR(IF(INDEX(campaigns!$BG$2:$BG$51,MATCH($C11,campaigns!$A$2:$A$51,0))="","",INDEX(campaigns!$BG$2:$BG$51,MATCH($C11,campaigns!$A$2:$A$51,0))),""))</f>
        <v>46399</v>
      </c>
      <c r="M11" s="30" t="n">
        <f aca="false">IF($C11="","",IF(OR($E11="received"),N($G11),IF(OR($E11="rejected",$E11="delivered",$E11="topped_up"),-N($G11),IF(AND(OR($E11="returned_to_brand",$E11="given_to_roster_office",$E11="released_to_office",$E11="disposed"),IF($F11="","reserve",$F11)="reserve"),-N($G11),IF(AND($E11="correction",IF($F11="","reserve",$F11)="reserve"),N($G11),0)))))</f>
        <v>-70</v>
      </c>
      <c r="N11" s="30" t="n">
        <f aca="false">IF($C11="","",IF($E11="rejected",N($G11),IF(AND(OR($E11="returned_to_brand",$E11="given_to_roster_office",$E11="released_to_office",$E11="disposed"),IF($F11="","reserve",$F11)="rejected"),-N($G11),IF(AND($E11="correction",IF($F11="","reserve",$F11)="rejected"),N($G11),0))))</f>
        <v>0</v>
      </c>
      <c r="O11" s="30" t="n">
        <f aca="false">IF($C11="","",IF($E11="collected",N($G11),IF(AND(OR($E11="returned_to_brand",$E11="given_to_roster_office",$E11="released_to_office",$E11="disposed"),IF($F11="","reserve",$F11)="leftover"),-N($G11),IF(AND($E11="correction",IF($F11="","reserve",$F11)="leftover"),N($G11),0))))</f>
        <v>0</v>
      </c>
      <c r="P11" s="30" t="str">
        <f aca="false">IF(OR($E11&lt;&gt;"received",$I11="",$L11=""),"",IF($I11&gt;=$L11+config!$B$19,"Y","N"))</f>
        <v/>
      </c>
      <c r="Q11" s="30" t="str">
        <f aca="false">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30" t="str">
        <f aca="false">IF($C11="","",$C11&amp;"|"&amp;$D11&amp;"|"&amp;$E11)</f>
        <v>SAMPLE-CMP-001|SAMPLE-O-005|delivered</v>
      </c>
    </row>
    <row r="12" customFormat="false" ht="15" hidden="false" customHeight="false" outlineLevel="0" collapsed="false">
      <c r="A12" s="11" t="n">
        <v>46399</v>
      </c>
      <c r="B12" s="38" t="n">
        <v>0.347222222222222</v>
      </c>
      <c r="C12" s="10" t="s">
        <v>498</v>
      </c>
      <c r="D12" s="10" t="s">
        <v>678</v>
      </c>
      <c r="E12" s="10" t="s">
        <v>105</v>
      </c>
      <c r="G12" s="0" t="n">
        <v>40</v>
      </c>
      <c r="I12" s="11"/>
      <c r="J12" s="10" t="s">
        <v>792</v>
      </c>
      <c r="L12" s="31" t="n">
        <f aca="false">IF($C12="","",IFERROR(IF(INDEX(campaigns!$BG$2:$BG$51,MATCH($C12,campaigns!$A$2:$A$51,0))="","",INDEX(campaigns!$BG$2:$BG$51,MATCH($C12,campaigns!$A$2:$A$51,0))),""))</f>
        <v>46399</v>
      </c>
      <c r="M12" s="30" t="n">
        <f aca="false">IF($C12="","",IF(OR($E12="received"),N($G12),IF(OR($E12="rejected",$E12="delivered",$E12="topped_up"),-N($G12),IF(AND(OR($E12="returned_to_brand",$E12="given_to_roster_office",$E12="released_to_office",$E12="disposed"),IF($F12="","reserve",$F12)="reserve"),-N($G12),IF(AND($E12="correction",IF($F12="","reserve",$F12)="reserve"),N($G12),0)))))</f>
        <v>-40</v>
      </c>
      <c r="N12" s="30" t="n">
        <f aca="false">IF($C12="","",IF($E12="rejected",N($G12),IF(AND(OR($E12="returned_to_brand",$E12="given_to_roster_office",$E12="released_to_office",$E12="disposed"),IF($F12="","reserve",$F12)="rejected"),-N($G12),IF(AND($E12="correction",IF($F12="","reserve",$F12)="rejected"),N($G12),0))))</f>
        <v>0</v>
      </c>
      <c r="O12" s="30" t="n">
        <f aca="false">IF($C12="","",IF($E12="collected",N($G12),IF(AND(OR($E12="returned_to_brand",$E12="given_to_roster_office",$E12="released_to_office",$E12="disposed"),IF($F12="","reserve",$F12)="leftover"),-N($G12),IF(AND($E12="correction",IF($F12="","reserve",$F12)="leftover"),N($G12),0))))</f>
        <v>0</v>
      </c>
      <c r="P12" s="30" t="str">
        <f aca="false">IF(OR($E12&lt;&gt;"received",$I12="",$L12=""),"",IF($I12&gt;=$L12+config!$B$19,"Y","N"))</f>
        <v/>
      </c>
      <c r="Q12" s="30" t="str">
        <f aca="false">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30" t="str">
        <f aca="false">IF($C12="","",$C12&amp;"|"&amp;$D12&amp;"|"&amp;$E12)</f>
        <v>SAMPLE-CMP-002|SAMPLE-O-001|delivered</v>
      </c>
    </row>
    <row r="13" customFormat="false" ht="15" hidden="false" customHeight="false" outlineLevel="0" collapsed="false">
      <c r="A13" s="11" t="n">
        <v>46399</v>
      </c>
      <c r="B13" s="38" t="n">
        <v>0.396527777777778</v>
      </c>
      <c r="C13" s="10" t="s">
        <v>498</v>
      </c>
      <c r="D13" s="10" t="s">
        <v>681</v>
      </c>
      <c r="E13" s="10" t="s">
        <v>105</v>
      </c>
      <c r="G13" s="0" t="n">
        <v>40</v>
      </c>
      <c r="I13" s="11"/>
      <c r="J13" s="10" t="s">
        <v>792</v>
      </c>
      <c r="L13" s="31" t="n">
        <f aca="false">IF($C13="","",IFERROR(IF(INDEX(campaigns!$BG$2:$BG$51,MATCH($C13,campaigns!$A$2:$A$51,0))="","",INDEX(campaigns!$BG$2:$BG$51,MATCH($C13,campaigns!$A$2:$A$51,0))),""))</f>
        <v>46399</v>
      </c>
      <c r="M13" s="30" t="n">
        <f aca="false">IF($C13="","",IF(OR($E13="received"),N($G13),IF(OR($E13="rejected",$E13="delivered",$E13="topped_up"),-N($G13),IF(AND(OR($E13="returned_to_brand",$E13="given_to_roster_office",$E13="released_to_office",$E13="disposed"),IF($F13="","reserve",$F13)="reserve"),-N($G13),IF(AND($E13="correction",IF($F13="","reserve",$F13)="reserve"),N($G13),0)))))</f>
        <v>-40</v>
      </c>
      <c r="N13" s="30" t="n">
        <f aca="false">IF($C13="","",IF($E13="rejected",N($G13),IF(AND(OR($E13="returned_to_brand",$E13="given_to_roster_office",$E13="released_to_office",$E13="disposed"),IF($F13="","reserve",$F13)="rejected"),-N($G13),IF(AND($E13="correction",IF($F13="","reserve",$F13)="rejected"),N($G13),0))))</f>
        <v>0</v>
      </c>
      <c r="O13" s="30" t="n">
        <f aca="false">IF($C13="","",IF($E13="collected",N($G13),IF(AND(OR($E13="returned_to_brand",$E13="given_to_roster_office",$E13="released_to_office",$E13="disposed"),IF($F13="","reserve",$F13)="leftover"),-N($G13),IF(AND($E13="correction",IF($F13="","reserve",$F13)="leftover"),N($G13),0))))</f>
        <v>0</v>
      </c>
      <c r="P13" s="30" t="str">
        <f aca="false">IF(OR($E13&lt;&gt;"received",$I13="",$L13=""),"",IF($I13&gt;=$L13+config!$B$19,"Y","N"))</f>
        <v/>
      </c>
      <c r="Q13" s="30" t="str">
        <f aca="false">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30" t="str">
        <f aca="false">IF($C13="","",$C13&amp;"|"&amp;$D13&amp;"|"&amp;$E13)</f>
        <v>SAMPLE-CMP-002|SAMPLE-O-002|delivered</v>
      </c>
    </row>
    <row r="14" customFormat="false" ht="15" hidden="false" customHeight="false" outlineLevel="0" collapsed="false">
      <c r="A14" s="11" t="n">
        <v>46399</v>
      </c>
      <c r="B14" s="38" t="n">
        <v>0.372916666666667</v>
      </c>
      <c r="C14" s="10" t="s">
        <v>498</v>
      </c>
      <c r="D14" s="10" t="s">
        <v>683</v>
      </c>
      <c r="E14" s="10" t="s">
        <v>105</v>
      </c>
      <c r="G14" s="0" t="n">
        <v>50</v>
      </c>
      <c r="I14" s="11"/>
      <c r="J14" s="10" t="s">
        <v>792</v>
      </c>
      <c r="L14" s="31" t="n">
        <f aca="false">IF($C14="","",IFERROR(IF(INDEX(campaigns!$BG$2:$BG$51,MATCH($C14,campaigns!$A$2:$A$51,0))="","",INDEX(campaigns!$BG$2:$BG$51,MATCH($C14,campaigns!$A$2:$A$51,0))),""))</f>
        <v>46399</v>
      </c>
      <c r="M14" s="30" t="n">
        <f aca="false">IF($C14="","",IF(OR($E14="received"),N($G14),IF(OR($E14="rejected",$E14="delivered",$E14="topped_up"),-N($G14),IF(AND(OR($E14="returned_to_brand",$E14="given_to_roster_office",$E14="released_to_office",$E14="disposed"),IF($F14="","reserve",$F14)="reserve"),-N($G14),IF(AND($E14="correction",IF($F14="","reserve",$F14)="reserve"),N($G14),0)))))</f>
        <v>-50</v>
      </c>
      <c r="N14" s="30" t="n">
        <f aca="false">IF($C14="","",IF($E14="rejected",N($G14),IF(AND(OR($E14="returned_to_brand",$E14="given_to_roster_office",$E14="released_to_office",$E14="disposed"),IF($F14="","reserve",$F14)="rejected"),-N($G14),IF(AND($E14="correction",IF($F14="","reserve",$F14)="rejected"),N($G14),0))))</f>
        <v>0</v>
      </c>
      <c r="O14" s="30" t="n">
        <f aca="false">IF($C14="","",IF($E14="collected",N($G14),IF(AND(OR($E14="returned_to_brand",$E14="given_to_roster_office",$E14="released_to_office",$E14="disposed"),IF($F14="","reserve",$F14)="leftover"),-N($G14),IF(AND($E14="correction",IF($F14="","reserve",$F14)="leftover"),N($G14),0))))</f>
        <v>0</v>
      </c>
      <c r="P14" s="30" t="str">
        <f aca="false">IF(OR($E14&lt;&gt;"received",$I14="",$L14=""),"",IF($I14&gt;=$L14+config!$B$19,"Y","N"))</f>
        <v/>
      </c>
      <c r="Q14" s="30" t="str">
        <f aca="false">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30" t="str">
        <f aca="false">IF($C14="","",$C14&amp;"|"&amp;$D14&amp;"|"&amp;$E14)</f>
        <v>SAMPLE-CMP-002|SAMPLE-O-003|delivered</v>
      </c>
    </row>
    <row r="15" customFormat="false" ht="15" hidden="false" customHeight="false" outlineLevel="0" collapsed="false">
      <c r="A15" s="11" t="n">
        <v>46399</v>
      </c>
      <c r="B15" s="38" t="n">
        <v>0.452777777777778</v>
      </c>
      <c r="C15" s="10" t="s">
        <v>498</v>
      </c>
      <c r="D15" s="10" t="s">
        <v>686</v>
      </c>
      <c r="E15" s="10" t="s">
        <v>105</v>
      </c>
      <c r="G15" s="0" t="n">
        <v>50</v>
      </c>
      <c r="I15" s="11"/>
      <c r="J15" s="10" t="s">
        <v>792</v>
      </c>
      <c r="L15" s="31" t="n">
        <f aca="false">IF($C15="","",IFERROR(IF(INDEX(campaigns!$BG$2:$BG$51,MATCH($C15,campaigns!$A$2:$A$51,0))="","",INDEX(campaigns!$BG$2:$BG$51,MATCH($C15,campaigns!$A$2:$A$51,0))),""))</f>
        <v>46399</v>
      </c>
      <c r="M15" s="30" t="n">
        <f aca="false">IF($C15="","",IF(OR($E15="received"),N($G15),IF(OR($E15="rejected",$E15="delivered",$E15="topped_up"),-N($G15),IF(AND(OR($E15="returned_to_brand",$E15="given_to_roster_office",$E15="released_to_office",$E15="disposed"),IF($F15="","reserve",$F15)="reserve"),-N($G15),IF(AND($E15="correction",IF($F15="","reserve",$F15)="reserve"),N($G15),0)))))</f>
        <v>-50</v>
      </c>
      <c r="N15" s="30" t="n">
        <f aca="false">IF($C15="","",IF($E15="rejected",N($G15),IF(AND(OR($E15="returned_to_brand",$E15="given_to_roster_office",$E15="released_to_office",$E15="disposed"),IF($F15="","reserve",$F15)="rejected"),-N($G15),IF(AND($E15="correction",IF($F15="","reserve",$F15)="rejected"),N($G15),0))))</f>
        <v>0</v>
      </c>
      <c r="O15" s="30" t="n">
        <f aca="false">IF($C15="","",IF($E15="collected",N($G15),IF(AND(OR($E15="returned_to_brand",$E15="given_to_roster_office",$E15="released_to_office",$E15="disposed"),IF($F15="","reserve",$F15)="leftover"),-N($G15),IF(AND($E15="correction",IF($F15="","reserve",$F15)="leftover"),N($G15),0))))</f>
        <v>0</v>
      </c>
      <c r="P15" s="30" t="str">
        <f aca="false">IF(OR($E15&lt;&gt;"received",$I15="",$L15=""),"",IF($I15&gt;=$L15+config!$B$19,"Y","N"))</f>
        <v/>
      </c>
      <c r="Q15" s="30" t="str">
        <f aca="false">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30" t="str">
        <f aca="false">IF($C15="","",$C15&amp;"|"&amp;$D15&amp;"|"&amp;$E15)</f>
        <v>SAMPLE-CMP-002|SAMPLE-O-004|delivered</v>
      </c>
    </row>
    <row r="16" customFormat="false" ht="15" hidden="false" customHeight="false" outlineLevel="0" collapsed="false">
      <c r="A16" s="11" t="n">
        <v>46399</v>
      </c>
      <c r="B16" s="38" t="n">
        <v>0.426388888888889</v>
      </c>
      <c r="C16" s="10" t="s">
        <v>498</v>
      </c>
      <c r="D16" s="10" t="s">
        <v>688</v>
      </c>
      <c r="E16" s="10" t="s">
        <v>105</v>
      </c>
      <c r="G16" s="0" t="n">
        <v>70</v>
      </c>
      <c r="I16" s="11"/>
      <c r="J16" s="10" t="s">
        <v>792</v>
      </c>
      <c r="L16" s="31" t="n">
        <f aca="false">IF($C16="","",IFERROR(IF(INDEX(campaigns!$BG$2:$BG$51,MATCH($C16,campaigns!$A$2:$A$51,0))="","",INDEX(campaigns!$BG$2:$BG$51,MATCH($C16,campaigns!$A$2:$A$51,0))),""))</f>
        <v>46399</v>
      </c>
      <c r="M16" s="30" t="n">
        <f aca="false">IF($C16="","",IF(OR($E16="received"),N($G16),IF(OR($E16="rejected",$E16="delivered",$E16="topped_up"),-N($G16),IF(AND(OR($E16="returned_to_brand",$E16="given_to_roster_office",$E16="released_to_office",$E16="disposed"),IF($F16="","reserve",$F16)="reserve"),-N($G16),IF(AND($E16="correction",IF($F16="","reserve",$F16)="reserve"),N($G16),0)))))</f>
        <v>-70</v>
      </c>
      <c r="N16" s="30" t="n">
        <f aca="false">IF($C16="","",IF($E16="rejected",N($G16),IF(AND(OR($E16="returned_to_brand",$E16="given_to_roster_office",$E16="released_to_office",$E16="disposed"),IF($F16="","reserve",$F16)="rejected"),-N($G16),IF(AND($E16="correction",IF($F16="","reserve",$F16)="rejected"),N($G16),0))))</f>
        <v>0</v>
      </c>
      <c r="O16" s="30" t="n">
        <f aca="false">IF($C16="","",IF($E16="collected",N($G16),IF(AND(OR($E16="returned_to_brand",$E16="given_to_roster_office",$E16="released_to_office",$E16="disposed"),IF($F16="","reserve",$F16)="leftover"),-N($G16),IF(AND($E16="correction",IF($F16="","reserve",$F16)="leftover"),N($G16),0))))</f>
        <v>0</v>
      </c>
      <c r="P16" s="30" t="str">
        <f aca="false">IF(OR($E16&lt;&gt;"received",$I16="",$L16=""),"",IF($I16&gt;=$L16+config!$B$19,"Y","N"))</f>
        <v/>
      </c>
      <c r="Q16" s="30" t="str">
        <f aca="false">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30" t="str">
        <f aca="false">IF($C16="","",$C16&amp;"|"&amp;$D16&amp;"|"&amp;$E16)</f>
        <v>SAMPLE-CMP-002|SAMPLE-O-005|delivered</v>
      </c>
    </row>
    <row r="17" customFormat="false" ht="15" hidden="false" customHeight="false" outlineLevel="0" collapsed="false">
      <c r="A17" s="11" t="n">
        <v>46401</v>
      </c>
      <c r="B17" s="38" t="n">
        <v>0.520833333333333</v>
      </c>
      <c r="C17" s="10" t="s">
        <v>472</v>
      </c>
      <c r="D17" s="10" t="s">
        <v>678</v>
      </c>
      <c r="E17" s="10" t="s">
        <v>800</v>
      </c>
      <c r="G17" s="0" t="n">
        <v>5</v>
      </c>
      <c r="I17" s="11"/>
      <c r="J17" s="10" t="s">
        <v>792</v>
      </c>
      <c r="L17" s="31" t="n">
        <f aca="false">IF($C17="","",IFERROR(IF(INDEX(campaigns!$BG$2:$BG$51,MATCH($C17,campaigns!$A$2:$A$51,0))="","",INDEX(campaigns!$BG$2:$BG$51,MATCH($C17,campaigns!$A$2:$A$51,0))),""))</f>
        <v>46399</v>
      </c>
      <c r="M17" s="30" t="n">
        <f aca="false">IF($C17="","",IF(OR($E17="received"),N($G17),IF(OR($E17="rejected",$E17="delivered",$E17="topped_up"),-N($G17),IF(AND(OR($E17="returned_to_brand",$E17="given_to_roster_office",$E17="released_to_office",$E17="disposed"),IF($F17="","reserve",$F17)="reserve"),-N($G17),IF(AND($E17="correction",IF($F17="","reserve",$F17)="reserve"),N($G17),0)))))</f>
        <v>-5</v>
      </c>
      <c r="N17" s="30" t="n">
        <f aca="false">IF($C17="","",IF($E17="rejected",N($G17),IF(AND(OR($E17="returned_to_brand",$E17="given_to_roster_office",$E17="released_to_office",$E17="disposed"),IF($F17="","reserve",$F17)="rejected"),-N($G17),IF(AND($E17="correction",IF($F17="","reserve",$F17)="rejected"),N($G17),0))))</f>
        <v>0</v>
      </c>
      <c r="O17" s="30" t="n">
        <f aca="false">IF($C17="","",IF($E17="collected",N($G17),IF(AND(OR($E17="returned_to_brand",$E17="given_to_roster_office",$E17="released_to_office",$E17="disposed"),IF($F17="","reserve",$F17)="leftover"),-N($G17),IF(AND($E17="correction",IF($F17="","reserve",$F17)="leftover"),N($G17),0))))</f>
        <v>0</v>
      </c>
      <c r="P17" s="30" t="str">
        <f aca="false">IF(OR($E17&lt;&gt;"received",$I17="",$L17=""),"",IF($I17&gt;=$L17+config!$B$19,"Y","N"))</f>
        <v/>
      </c>
      <c r="Q17" s="30" t="str">
        <f aca="false">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30" t="str">
        <f aca="false">IF($C17="","",$C17&amp;"|"&amp;$D17&amp;"|"&amp;$E17)</f>
        <v>SAMPLE-CMP-001|SAMPLE-O-001|topped_up</v>
      </c>
    </row>
    <row r="18" customFormat="false" ht="15" hidden="false" customHeight="false" outlineLevel="0" collapsed="false">
      <c r="A18" s="11" t="n">
        <v>46401</v>
      </c>
      <c r="B18" s="38" t="n">
        <v>0.534722222222222</v>
      </c>
      <c r="C18" s="10" t="s">
        <v>498</v>
      </c>
      <c r="D18" s="10" t="s">
        <v>683</v>
      </c>
      <c r="E18" s="10" t="s">
        <v>800</v>
      </c>
      <c r="G18" s="0" t="n">
        <v>6</v>
      </c>
      <c r="I18" s="11"/>
      <c r="J18" s="10" t="s">
        <v>792</v>
      </c>
      <c r="L18" s="31" t="n">
        <f aca="false">IF($C18="","",IFERROR(IF(INDEX(campaigns!$BG$2:$BG$51,MATCH($C18,campaigns!$A$2:$A$51,0))="","",INDEX(campaigns!$BG$2:$BG$51,MATCH($C18,campaigns!$A$2:$A$51,0))),""))</f>
        <v>46399</v>
      </c>
      <c r="M18" s="30" t="n">
        <f aca="false">IF($C18="","",IF(OR($E18="received"),N($G18),IF(OR($E18="rejected",$E18="delivered",$E18="topped_up"),-N($G18),IF(AND(OR($E18="returned_to_brand",$E18="given_to_roster_office",$E18="released_to_office",$E18="disposed"),IF($F18="","reserve",$F18)="reserve"),-N($G18),IF(AND($E18="correction",IF($F18="","reserve",$F18)="reserve"),N($G18),0)))))</f>
        <v>-6</v>
      </c>
      <c r="N18" s="30" t="n">
        <f aca="false">IF($C18="","",IF($E18="rejected",N($G18),IF(AND(OR($E18="returned_to_brand",$E18="given_to_roster_office",$E18="released_to_office",$E18="disposed"),IF($F18="","reserve",$F18)="rejected"),-N($G18),IF(AND($E18="correction",IF($F18="","reserve",$F18)="rejected"),N($G18),0))))</f>
        <v>0</v>
      </c>
      <c r="O18" s="30" t="n">
        <f aca="false">IF($C18="","",IF($E18="collected",N($G18),IF(AND(OR($E18="returned_to_brand",$E18="given_to_roster_office",$E18="released_to_office",$E18="disposed"),IF($F18="","reserve",$F18)="leftover"),-N($G18),IF(AND($E18="correction",IF($F18="","reserve",$F18)="leftover"),N($G18),0))))</f>
        <v>0</v>
      </c>
      <c r="P18" s="30" t="str">
        <f aca="false">IF(OR($E18&lt;&gt;"received",$I18="",$L18=""),"",IF($I18&gt;=$L18+config!$B$19,"Y","N"))</f>
        <v/>
      </c>
      <c r="Q18" s="30" t="str">
        <f aca="false">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30" t="str">
        <f aca="false">IF($C18="","",$C18&amp;"|"&amp;$D18&amp;"|"&amp;$E18)</f>
        <v>SAMPLE-CMP-002|SAMPLE-O-003|topped_up</v>
      </c>
    </row>
    <row r="19" customFormat="false" ht="15" hidden="false" customHeight="false" outlineLevel="0" collapsed="false">
      <c r="A19" s="11" t="n">
        <v>46406</v>
      </c>
      <c r="B19" s="38" t="n">
        <v>0.6875</v>
      </c>
      <c r="C19" s="10" t="s">
        <v>472</v>
      </c>
      <c r="D19" s="10" t="s">
        <v>678</v>
      </c>
      <c r="E19" s="10" t="s">
        <v>801</v>
      </c>
      <c r="F19" s="0" t="s">
        <v>802</v>
      </c>
      <c r="G19" s="0" t="n">
        <v>10</v>
      </c>
      <c r="I19" s="11"/>
      <c r="J19" s="10" t="s">
        <v>792</v>
      </c>
      <c r="K19" s="10" t="s">
        <v>803</v>
      </c>
      <c r="L19" s="31" t="n">
        <f aca="false">IF($C19="","",IFERROR(IF(INDEX(campaigns!$BG$2:$BG$51,MATCH($C19,campaigns!$A$2:$A$51,0))="","",INDEX(campaigns!$BG$2:$BG$51,MATCH($C19,campaigns!$A$2:$A$51,0))),""))</f>
        <v>46399</v>
      </c>
      <c r="M19" s="30" t="n">
        <f aca="false">IF($C19="","",IF(OR($E19="received"),N($G19),IF(OR($E19="rejected",$E19="delivered",$E19="topped_up"),-N($G19),IF(AND(OR($E19="returned_to_brand",$E19="given_to_roster_office",$E19="released_to_office",$E19="disposed"),IF($F19="","reserve",$F19)="reserve"),-N($G19),IF(AND($E19="correction",IF($F19="","reserve",$F19)="reserve"),N($G19),0)))))</f>
        <v>-10</v>
      </c>
      <c r="N19" s="30" t="n">
        <f aca="false">IF($C19="","",IF($E19="rejected",N($G19),IF(AND(OR($E19="returned_to_brand",$E19="given_to_roster_office",$E19="released_to_office",$E19="disposed"),IF($F19="","reserve",$F19)="rejected"),-N($G19),IF(AND($E19="correction",IF($F19="","reserve",$F19)="rejected"),N($G19),0))))</f>
        <v>0</v>
      </c>
      <c r="O19" s="30" t="n">
        <f aca="false">IF($C19="","",IF($E19="collected",N($G19),IF(AND(OR($E19="returned_to_brand",$E19="given_to_roster_office",$E19="released_to_office",$E19="disposed"),IF($F19="","reserve",$F19)="leftover"),-N($G19),IF(AND($E19="correction",IF($F19="","reserve",$F19)="leftover"),N($G19),0))))</f>
        <v>0</v>
      </c>
      <c r="P19" s="30" t="str">
        <f aca="false">IF(OR($E19&lt;&gt;"received",$I19="",$L19=""),"",IF($I19&gt;=$L19+config!$B$19,"Y","N"))</f>
        <v/>
      </c>
      <c r="Q19" s="30" t="str">
        <f aca="false">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30" t="str">
        <f aca="false">IF($C19="","",$C19&amp;"|"&amp;$D19&amp;"|"&amp;$E19)</f>
        <v>SAMPLE-CMP-001|SAMPLE-O-001|released_to_office</v>
      </c>
    </row>
    <row r="20" customFormat="false" ht="15" hidden="false" customHeight="false" outlineLevel="0" collapsed="false">
      <c r="A20" s="11" t="n">
        <v>46406</v>
      </c>
      <c r="B20" s="38" t="n">
        <v>0.694444444444444</v>
      </c>
      <c r="C20" s="10" t="s">
        <v>472</v>
      </c>
      <c r="D20" s="10" t="s">
        <v>683</v>
      </c>
      <c r="E20" s="10" t="s">
        <v>801</v>
      </c>
      <c r="F20" s="0" t="s">
        <v>802</v>
      </c>
      <c r="G20" s="0" t="n">
        <v>11</v>
      </c>
      <c r="I20" s="11"/>
      <c r="J20" s="10" t="s">
        <v>792</v>
      </c>
      <c r="K20" s="10" t="s">
        <v>803</v>
      </c>
      <c r="L20" s="31" t="n">
        <f aca="false">IF($C20="","",IFERROR(IF(INDEX(campaigns!$BG$2:$BG$51,MATCH($C20,campaigns!$A$2:$A$51,0))="","",INDEX(campaigns!$BG$2:$BG$51,MATCH($C20,campaigns!$A$2:$A$51,0))),""))</f>
        <v>46399</v>
      </c>
      <c r="M20" s="30" t="n">
        <f aca="false">IF($C20="","",IF(OR($E20="received"),N($G20),IF(OR($E20="rejected",$E20="delivered",$E20="topped_up"),-N($G20),IF(AND(OR($E20="returned_to_brand",$E20="given_to_roster_office",$E20="released_to_office",$E20="disposed"),IF($F20="","reserve",$F20)="reserve"),-N($G20),IF(AND($E20="correction",IF($F20="","reserve",$F20)="reserve"),N($G20),0)))))</f>
        <v>-11</v>
      </c>
      <c r="N20" s="30" t="n">
        <f aca="false">IF($C20="","",IF($E20="rejected",N($G20),IF(AND(OR($E20="returned_to_brand",$E20="given_to_roster_office",$E20="released_to_office",$E20="disposed"),IF($F20="","reserve",$F20)="rejected"),-N($G20),IF(AND($E20="correction",IF($F20="","reserve",$F20)="rejected"),N($G20),0))))</f>
        <v>0</v>
      </c>
      <c r="O20" s="30" t="n">
        <f aca="false">IF($C20="","",IF($E20="collected",N($G20),IF(AND(OR($E20="returned_to_brand",$E20="given_to_roster_office",$E20="released_to_office",$E20="disposed"),IF($F20="","reserve",$F20)="leftover"),-N($G20),IF(AND($E20="correction",IF($F20="","reserve",$F20)="leftover"),N($G20),0))))</f>
        <v>0</v>
      </c>
      <c r="P20" s="30" t="str">
        <f aca="false">IF(OR($E20&lt;&gt;"received",$I20="",$L20=""),"",IF($I20&gt;=$L20+config!$B$19,"Y","N"))</f>
        <v/>
      </c>
      <c r="Q20" s="30" t="str">
        <f aca="false">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30" t="str">
        <f aca="false">IF($C20="","",$C20&amp;"|"&amp;$D20&amp;"|"&amp;$E20)</f>
        <v>SAMPLE-CMP-001|SAMPLE-O-003|released_to_office</v>
      </c>
    </row>
    <row r="21" customFormat="false" ht="15" hidden="false" customHeight="false" outlineLevel="0" collapsed="false">
      <c r="A21" s="11" t="n">
        <v>46406</v>
      </c>
      <c r="B21" s="38" t="n">
        <v>0.666666666666667</v>
      </c>
      <c r="C21" s="10" t="s">
        <v>498</v>
      </c>
      <c r="D21" s="10" t="s">
        <v>678</v>
      </c>
      <c r="E21" s="10" t="s">
        <v>804</v>
      </c>
      <c r="G21" s="0" t="n">
        <v>3</v>
      </c>
      <c r="I21" s="11"/>
      <c r="J21" s="10" t="s">
        <v>792</v>
      </c>
      <c r="L21" s="31" t="n">
        <f aca="false">IF($C21="","",IFERROR(IF(INDEX(campaigns!$BG$2:$BG$51,MATCH($C21,campaigns!$A$2:$A$51,0))="","",INDEX(campaigns!$BG$2:$BG$51,MATCH($C21,campaigns!$A$2:$A$51,0))),""))</f>
        <v>46399</v>
      </c>
      <c r="M21" s="30" t="n">
        <f aca="false">IF($C21="","",IF(OR($E21="received"),N($G21),IF(OR($E21="rejected",$E21="delivered",$E21="topped_up"),-N($G21),IF(AND(OR($E21="returned_to_brand",$E21="given_to_roster_office",$E21="released_to_office",$E21="disposed"),IF($F21="","reserve",$F21)="reserve"),-N($G21),IF(AND($E21="correction",IF($F21="","reserve",$F21)="reserve"),N($G21),0)))))</f>
        <v>0</v>
      </c>
      <c r="N21" s="30" t="n">
        <f aca="false">IF($C21="","",IF($E21="rejected",N($G21),IF(AND(OR($E21="returned_to_brand",$E21="given_to_roster_office",$E21="released_to_office",$E21="disposed"),IF($F21="","reserve",$F21)="rejected"),-N($G21),IF(AND($E21="correction",IF($F21="","reserve",$F21)="rejected"),N($G21),0))))</f>
        <v>0</v>
      </c>
      <c r="O21" s="30" t="n">
        <f aca="false">IF($C21="","",IF($E21="collected",N($G21),IF(AND(OR($E21="returned_to_brand",$E21="given_to_roster_office",$E21="released_to_office",$E21="disposed"),IF($F21="","reserve",$F21)="leftover"),-N($G21),IF(AND($E21="correction",IF($F21="","reserve",$F21)="leftover"),N($G21),0))))</f>
        <v>3</v>
      </c>
      <c r="P21" s="30" t="str">
        <f aca="false">IF(OR($E21&lt;&gt;"received",$I21="",$L21=""),"",IF($I21&gt;=$L21+config!$B$19,"Y","N"))</f>
        <v/>
      </c>
      <c r="Q21" s="30" t="str">
        <f aca="false">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30" t="str">
        <f aca="false">IF($C21="","",$C21&amp;"|"&amp;$D21&amp;"|"&amp;$E21)</f>
        <v>SAMPLE-CMP-002|SAMPLE-O-001|collected</v>
      </c>
    </row>
    <row r="22" customFormat="false" ht="15" hidden="false" customHeight="false" outlineLevel="0" collapsed="false">
      <c r="A22" s="11" t="n">
        <v>46406</v>
      </c>
      <c r="B22" s="38" t="n">
        <v>0.666666666666667</v>
      </c>
      <c r="C22" s="10" t="s">
        <v>498</v>
      </c>
      <c r="D22" s="10" t="s">
        <v>681</v>
      </c>
      <c r="E22" s="10" t="s">
        <v>804</v>
      </c>
      <c r="G22" s="0" t="n">
        <v>4</v>
      </c>
      <c r="I22" s="11"/>
      <c r="J22" s="10" t="s">
        <v>792</v>
      </c>
      <c r="L22" s="31" t="n">
        <f aca="false">IF($C22="","",IFERROR(IF(INDEX(campaigns!$BG$2:$BG$51,MATCH($C22,campaigns!$A$2:$A$51,0))="","",INDEX(campaigns!$BG$2:$BG$51,MATCH($C22,campaigns!$A$2:$A$51,0))),""))</f>
        <v>46399</v>
      </c>
      <c r="M22" s="30" t="n">
        <f aca="false">IF($C22="","",IF(OR($E22="received"),N($G22),IF(OR($E22="rejected",$E22="delivered",$E22="topped_up"),-N($G22),IF(AND(OR($E22="returned_to_brand",$E22="given_to_roster_office",$E22="released_to_office",$E22="disposed"),IF($F22="","reserve",$F22)="reserve"),-N($G22),IF(AND($E22="correction",IF($F22="","reserve",$F22)="reserve"),N($G22),0)))))</f>
        <v>0</v>
      </c>
      <c r="N22" s="30" t="n">
        <f aca="false">IF($C22="","",IF($E22="rejected",N($G22),IF(AND(OR($E22="returned_to_brand",$E22="given_to_roster_office",$E22="released_to_office",$E22="disposed"),IF($F22="","reserve",$F22)="rejected"),-N($G22),IF(AND($E22="correction",IF($F22="","reserve",$F22)="rejected"),N($G22),0))))</f>
        <v>0</v>
      </c>
      <c r="O22" s="30" t="n">
        <f aca="false">IF($C22="","",IF($E22="collected",N($G22),IF(AND(OR($E22="returned_to_brand",$E22="given_to_roster_office",$E22="released_to_office",$E22="disposed"),IF($F22="","reserve",$F22)="leftover"),-N($G22),IF(AND($E22="correction",IF($F22="","reserve",$F22)="leftover"),N($G22),0))))</f>
        <v>4</v>
      </c>
      <c r="P22" s="30" t="str">
        <f aca="false">IF(OR($E22&lt;&gt;"received",$I22="",$L22=""),"",IF($I22&gt;=$L22+config!$B$19,"Y","N"))</f>
        <v/>
      </c>
      <c r="Q22" s="30" t="str">
        <f aca="false">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30" t="str">
        <f aca="false">IF($C22="","",$C22&amp;"|"&amp;$D22&amp;"|"&amp;$E22)</f>
        <v>SAMPLE-CMP-002|SAMPLE-O-002|collected</v>
      </c>
    </row>
    <row r="23" customFormat="false" ht="15" hidden="false" customHeight="false" outlineLevel="0" collapsed="false">
      <c r="A23" s="11" t="n">
        <v>46406</v>
      </c>
      <c r="B23" s="38" t="n">
        <v>0.666666666666667</v>
      </c>
      <c r="C23" s="10" t="s">
        <v>498</v>
      </c>
      <c r="D23" s="10" t="s">
        <v>683</v>
      </c>
      <c r="E23" s="10" t="s">
        <v>804</v>
      </c>
      <c r="G23" s="0" t="n">
        <v>6</v>
      </c>
      <c r="I23" s="11"/>
      <c r="J23" s="10" t="s">
        <v>792</v>
      </c>
      <c r="L23" s="31" t="n">
        <f aca="false">IF($C23="","",IFERROR(IF(INDEX(campaigns!$BG$2:$BG$51,MATCH($C23,campaigns!$A$2:$A$51,0))="","",INDEX(campaigns!$BG$2:$BG$51,MATCH($C23,campaigns!$A$2:$A$51,0))),""))</f>
        <v>46399</v>
      </c>
      <c r="M23" s="30" t="n">
        <f aca="false">IF($C23="","",IF(OR($E23="received"),N($G23),IF(OR($E23="rejected",$E23="delivered",$E23="topped_up"),-N($G23),IF(AND(OR($E23="returned_to_brand",$E23="given_to_roster_office",$E23="released_to_office",$E23="disposed"),IF($F23="","reserve",$F23)="reserve"),-N($G23),IF(AND($E23="correction",IF($F23="","reserve",$F23)="reserve"),N($G23),0)))))</f>
        <v>0</v>
      </c>
      <c r="N23" s="30" t="n">
        <f aca="false">IF($C23="","",IF($E23="rejected",N($G23),IF(AND(OR($E23="returned_to_brand",$E23="given_to_roster_office",$E23="released_to_office",$E23="disposed"),IF($F23="","reserve",$F23)="rejected"),-N($G23),IF(AND($E23="correction",IF($F23="","reserve",$F23)="rejected"),N($G23),0))))</f>
        <v>0</v>
      </c>
      <c r="O23" s="30" t="n">
        <f aca="false">IF($C23="","",IF($E23="collected",N($G23),IF(AND(OR($E23="returned_to_brand",$E23="given_to_roster_office",$E23="released_to_office",$E23="disposed"),IF($F23="","reserve",$F23)="leftover"),-N($G23),IF(AND($E23="correction",IF($F23="","reserve",$F23)="leftover"),N($G23),0))))</f>
        <v>6</v>
      </c>
      <c r="P23" s="30" t="str">
        <f aca="false">IF(OR($E23&lt;&gt;"received",$I23="",$L23=""),"",IF($I23&gt;=$L23+config!$B$19,"Y","N"))</f>
        <v/>
      </c>
      <c r="Q23" s="30" t="str">
        <f aca="false">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30" t="str">
        <f aca="false">IF($C23="","",$C23&amp;"|"&amp;$D23&amp;"|"&amp;$E23)</f>
        <v>SAMPLE-CMP-002|SAMPLE-O-003|collected</v>
      </c>
    </row>
    <row r="24" customFormat="false" ht="15" hidden="false" customHeight="false" outlineLevel="0" collapsed="false">
      <c r="A24" s="11" t="n">
        <v>46406</v>
      </c>
      <c r="B24" s="38" t="n">
        <v>0.666666666666667</v>
      </c>
      <c r="C24" s="10" t="s">
        <v>498</v>
      </c>
      <c r="D24" s="10" t="s">
        <v>686</v>
      </c>
      <c r="E24" s="10" t="s">
        <v>804</v>
      </c>
      <c r="G24" s="0" t="n">
        <v>2</v>
      </c>
      <c r="I24" s="11"/>
      <c r="J24" s="10" t="s">
        <v>792</v>
      </c>
      <c r="L24" s="31" t="n">
        <f aca="false">IF($C24="","",IFERROR(IF(INDEX(campaigns!$BG$2:$BG$51,MATCH($C24,campaigns!$A$2:$A$51,0))="","",INDEX(campaigns!$BG$2:$BG$51,MATCH($C24,campaigns!$A$2:$A$51,0))),""))</f>
        <v>46399</v>
      </c>
      <c r="M24" s="30" t="n">
        <f aca="false">IF($C24="","",IF(OR($E24="received"),N($G24),IF(OR($E24="rejected",$E24="delivered",$E24="topped_up"),-N($G24),IF(AND(OR($E24="returned_to_brand",$E24="given_to_roster_office",$E24="released_to_office",$E24="disposed"),IF($F24="","reserve",$F24)="reserve"),-N($G24),IF(AND($E24="correction",IF($F24="","reserve",$F24)="reserve"),N($G24),0)))))</f>
        <v>0</v>
      </c>
      <c r="N24" s="30" t="n">
        <f aca="false">IF($C24="","",IF($E24="rejected",N($G24),IF(AND(OR($E24="returned_to_brand",$E24="given_to_roster_office",$E24="released_to_office",$E24="disposed"),IF($F24="","reserve",$F24)="rejected"),-N($G24),IF(AND($E24="correction",IF($F24="","reserve",$F24)="rejected"),N($G24),0))))</f>
        <v>0</v>
      </c>
      <c r="O24" s="30" t="n">
        <f aca="false">IF($C24="","",IF($E24="collected",N($G24),IF(AND(OR($E24="returned_to_brand",$E24="given_to_roster_office",$E24="released_to_office",$E24="disposed"),IF($F24="","reserve",$F24)="leftover"),-N($G24),IF(AND($E24="correction",IF($F24="","reserve",$F24)="leftover"),N($G24),0))))</f>
        <v>2</v>
      </c>
      <c r="P24" s="30" t="str">
        <f aca="false">IF(OR($E24&lt;&gt;"received",$I24="",$L24=""),"",IF($I24&gt;=$L24+config!$B$19,"Y","N"))</f>
        <v/>
      </c>
      <c r="Q24" s="30" t="str">
        <f aca="false">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30" t="str">
        <f aca="false">IF($C24="","",$C24&amp;"|"&amp;$D24&amp;"|"&amp;$E24)</f>
        <v>SAMPLE-CMP-002|SAMPLE-O-004|collected</v>
      </c>
    </row>
    <row r="25" customFormat="false" ht="15" hidden="false" customHeight="false" outlineLevel="0" collapsed="false">
      <c r="A25" s="11" t="n">
        <v>46406</v>
      </c>
      <c r="B25" s="38" t="n">
        <v>0.666666666666667</v>
      </c>
      <c r="C25" s="10" t="s">
        <v>498</v>
      </c>
      <c r="D25" s="10" t="s">
        <v>688</v>
      </c>
      <c r="E25" s="10" t="s">
        <v>804</v>
      </c>
      <c r="G25" s="0" t="n">
        <v>3</v>
      </c>
      <c r="I25" s="11"/>
      <c r="J25" s="10" t="s">
        <v>792</v>
      </c>
      <c r="L25" s="31" t="n">
        <f aca="false">IF($C25="","",IFERROR(IF(INDEX(campaigns!$BG$2:$BG$51,MATCH($C25,campaigns!$A$2:$A$51,0))="","",INDEX(campaigns!$BG$2:$BG$51,MATCH($C25,campaigns!$A$2:$A$51,0))),""))</f>
        <v>46399</v>
      </c>
      <c r="M25" s="30" t="n">
        <f aca="false">IF($C25="","",IF(OR($E25="received"),N($G25),IF(OR($E25="rejected",$E25="delivered",$E25="topped_up"),-N($G25),IF(AND(OR($E25="returned_to_brand",$E25="given_to_roster_office",$E25="released_to_office",$E25="disposed"),IF($F25="","reserve",$F25)="reserve"),-N($G25),IF(AND($E25="correction",IF($F25="","reserve",$F25)="reserve"),N($G25),0)))))</f>
        <v>0</v>
      </c>
      <c r="N25" s="30" t="n">
        <f aca="false">IF($C25="","",IF($E25="rejected",N($G25),IF(AND(OR($E25="returned_to_brand",$E25="given_to_roster_office",$E25="released_to_office",$E25="disposed"),IF($F25="","reserve",$F25)="rejected"),-N($G25),IF(AND($E25="correction",IF($F25="","reserve",$F25)="rejected"),N($G25),0))))</f>
        <v>0</v>
      </c>
      <c r="O25" s="30" t="n">
        <f aca="false">IF($C25="","",IF($E25="collected",N($G25),IF(AND(OR($E25="returned_to_brand",$E25="given_to_roster_office",$E25="released_to_office",$E25="disposed"),IF($F25="","reserve",$F25)="leftover"),-N($G25),IF(AND($E25="correction",IF($F25="","reserve",$F25)="leftover"),N($G25),0))))</f>
        <v>3</v>
      </c>
      <c r="P25" s="30" t="str">
        <f aca="false">IF(OR($E25&lt;&gt;"received",$I25="",$L25=""),"",IF($I25&gt;=$L25+config!$B$19,"Y","N"))</f>
        <v/>
      </c>
      <c r="Q25" s="30" t="str">
        <f aca="false">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30" t="str">
        <f aca="false">IF($C25="","",$C25&amp;"|"&amp;$D25&amp;"|"&amp;$E25)</f>
        <v>SAMPLE-CMP-002|SAMPLE-O-005|collected</v>
      </c>
    </row>
    <row r="26" customFormat="false" ht="15" hidden="false" customHeight="false" outlineLevel="0" collapsed="false">
      <c r="A26" s="11" t="n">
        <v>46409</v>
      </c>
      <c r="B26" s="38" t="n">
        <v>0.416666666666667</v>
      </c>
      <c r="C26" s="10" t="s">
        <v>498</v>
      </c>
      <c r="E26" s="10" t="s">
        <v>805</v>
      </c>
      <c r="F26" s="0" t="s">
        <v>802</v>
      </c>
      <c r="G26" s="0" t="n">
        <v>3</v>
      </c>
      <c r="I26" s="11"/>
      <c r="J26" s="10" t="s">
        <v>792</v>
      </c>
      <c r="K26" s="10" t="s">
        <v>806</v>
      </c>
      <c r="L26" s="31" t="n">
        <f aca="false">IF($C26="","",IFERROR(IF(INDEX(campaigns!$BG$2:$BG$51,MATCH($C26,campaigns!$A$2:$A$51,0))="","",INDEX(campaigns!$BG$2:$BG$51,MATCH($C26,campaigns!$A$2:$A$51,0))),""))</f>
        <v>46399</v>
      </c>
      <c r="M26" s="30" t="n">
        <f aca="false">IF($C26="","",IF(OR($E26="received"),N($G26),IF(OR($E26="rejected",$E26="delivered",$E26="topped_up"),-N($G26),IF(AND(OR($E26="returned_to_brand",$E26="given_to_roster_office",$E26="released_to_office",$E26="disposed"),IF($F26="","reserve",$F26)="reserve"),-N($G26),IF(AND($E26="correction",IF($F26="","reserve",$F26)="reserve"),N($G26),0)))))</f>
        <v>-3</v>
      </c>
      <c r="N26" s="30" t="n">
        <f aca="false">IF($C26="","",IF($E26="rejected",N($G26),IF(AND(OR($E26="returned_to_brand",$E26="given_to_roster_office",$E26="released_to_office",$E26="disposed"),IF($F26="","reserve",$F26)="rejected"),-N($G26),IF(AND($E26="correction",IF($F26="","reserve",$F26)="rejected"),N($G26),0))))</f>
        <v>0</v>
      </c>
      <c r="O26" s="30" t="n">
        <f aca="false">IF($C26="","",IF($E26="collected",N($G26),IF(AND(OR($E26="returned_to_brand",$E26="given_to_roster_office",$E26="released_to_office",$E26="disposed"),IF($F26="","reserve",$F26)="leftover"),-N($G26),IF(AND($E26="correction",IF($F26="","reserve",$F26)="leftover"),N($G26),0))))</f>
        <v>0</v>
      </c>
      <c r="P26" s="30" t="str">
        <f aca="false">IF(OR($E26&lt;&gt;"received",$I26="",$L26=""),"",IF($I26&gt;=$L26+config!$B$19,"Y","N"))</f>
        <v/>
      </c>
      <c r="Q26" s="30" t="str">
        <f aca="false">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30" t="str">
        <f aca="false">IF($C26="","",$C26&amp;"|"&amp;$D26&amp;"|"&amp;$E26)</f>
        <v>SAMPLE-CMP-002||returned_to_brand</v>
      </c>
    </row>
    <row r="27" customFormat="false" ht="15" hidden="false" customHeight="false" outlineLevel="0" collapsed="false">
      <c r="A27" s="11" t="n">
        <v>46409</v>
      </c>
      <c r="B27" s="38" t="n">
        <v>0.416666666666667</v>
      </c>
      <c r="C27" s="10" t="s">
        <v>498</v>
      </c>
      <c r="E27" s="10" t="s">
        <v>805</v>
      </c>
      <c r="F27" s="0" t="s">
        <v>807</v>
      </c>
      <c r="G27" s="0" t="n">
        <v>18</v>
      </c>
      <c r="I27" s="11"/>
      <c r="J27" s="10" t="s">
        <v>792</v>
      </c>
      <c r="L27" s="31" t="n">
        <f aca="false">IF($C27="","",IFERROR(IF(INDEX(campaigns!$BG$2:$BG$51,MATCH($C27,campaigns!$A$2:$A$51,0))="","",INDEX(campaigns!$BG$2:$BG$51,MATCH($C27,campaigns!$A$2:$A$51,0))),""))</f>
        <v>46399</v>
      </c>
      <c r="M27" s="30" t="n">
        <f aca="false">IF($C27="","",IF(OR($E27="received"),N($G27),IF(OR($E27="rejected",$E27="delivered",$E27="topped_up"),-N($G27),IF(AND(OR($E27="returned_to_brand",$E27="given_to_roster_office",$E27="released_to_office",$E27="disposed"),IF($F27="","reserve",$F27)="reserve"),-N($G27),IF(AND($E27="correction",IF($F27="","reserve",$F27)="reserve"),N($G27),0)))))</f>
        <v>0</v>
      </c>
      <c r="N27" s="30" t="n">
        <f aca="false">IF($C27="","",IF($E27="rejected",N($G27),IF(AND(OR($E27="returned_to_brand",$E27="given_to_roster_office",$E27="released_to_office",$E27="disposed"),IF($F27="","reserve",$F27)="rejected"),-N($G27),IF(AND($E27="correction",IF($F27="","reserve",$F27)="rejected"),N($G27),0))))</f>
        <v>0</v>
      </c>
      <c r="O27" s="30" t="n">
        <f aca="false">IF($C27="","",IF($E27="collected",N($G27),IF(AND(OR($E27="returned_to_brand",$E27="given_to_roster_office",$E27="released_to_office",$E27="disposed"),IF($F27="","reserve",$F27)="leftover"),-N($G27),IF(AND($E27="correction",IF($F27="","reserve",$F27)="leftover"),N($G27),0))))</f>
        <v>-18</v>
      </c>
      <c r="P27" s="30" t="str">
        <f aca="false">IF(OR($E27&lt;&gt;"received",$I27="",$L27=""),"",IF($I27&gt;=$L27+config!$B$19,"Y","N"))</f>
        <v/>
      </c>
      <c r="Q27" s="30" t="str">
        <f aca="false">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30" t="str">
        <f aca="false">IF($C27="","",$C27&amp;"|"&amp;$D27&amp;"|"&amp;$E27)</f>
        <v>SAMPLE-CMP-002||returned_to_brand</v>
      </c>
    </row>
    <row r="28" customFormat="false" ht="15" hidden="false" customHeight="false" outlineLevel="0" collapsed="false">
      <c r="A28" s="11" t="n">
        <v>46409</v>
      </c>
      <c r="B28" s="38" t="n">
        <v>0.416666666666667</v>
      </c>
      <c r="C28" s="10" t="s">
        <v>498</v>
      </c>
      <c r="E28" s="10" t="s">
        <v>805</v>
      </c>
      <c r="F28" s="0" t="s">
        <v>797</v>
      </c>
      <c r="G28" s="0" t="n">
        <v>16</v>
      </c>
      <c r="I28" s="11"/>
      <c r="J28" s="10" t="s">
        <v>792</v>
      </c>
      <c r="L28" s="31" t="n">
        <f aca="false">IF($C28="","",IFERROR(IF(INDEX(campaigns!$BG$2:$BG$51,MATCH($C28,campaigns!$A$2:$A$51,0))="","",INDEX(campaigns!$BG$2:$BG$51,MATCH($C28,campaigns!$A$2:$A$51,0))),""))</f>
        <v>46399</v>
      </c>
      <c r="M28" s="30" t="n">
        <f aca="false">IF($C28="","",IF(OR($E28="received"),N($G28),IF(OR($E28="rejected",$E28="delivered",$E28="topped_up"),-N($G28),IF(AND(OR($E28="returned_to_brand",$E28="given_to_roster_office",$E28="released_to_office",$E28="disposed"),IF($F28="","reserve",$F28)="reserve"),-N($G28),IF(AND($E28="correction",IF($F28="","reserve",$F28)="reserve"),N($G28),0)))))</f>
        <v>0</v>
      </c>
      <c r="N28" s="30" t="n">
        <f aca="false">IF($C28="","",IF($E28="rejected",N($G28),IF(AND(OR($E28="returned_to_brand",$E28="given_to_roster_office",$E28="released_to_office",$E28="disposed"),IF($F28="","reserve",$F28)="rejected"),-N($G28),IF(AND($E28="correction",IF($F28="","reserve",$F28)="rejected"),N($G28),0))))</f>
        <v>-16</v>
      </c>
      <c r="O28" s="30" t="n">
        <f aca="false">IF($C28="","",IF($E28="collected",N($G28),IF(AND(OR($E28="returned_to_brand",$E28="given_to_roster_office",$E28="released_to_office",$E28="disposed"),IF($F28="","reserve",$F28)="leftover"),-N($G28),IF(AND($E28="correction",IF($F28="","reserve",$F28)="leftover"),N($G28),0))))</f>
        <v>0</v>
      </c>
      <c r="P28" s="30" t="str">
        <f aca="false">IF(OR($E28&lt;&gt;"received",$I28="",$L28=""),"",IF($I28&gt;=$L28+config!$B$19,"Y","N"))</f>
        <v/>
      </c>
      <c r="Q28" s="30" t="str">
        <f aca="false">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30" t="str">
        <f aca="false">IF($C28="","",$C28&amp;"|"&amp;$D28&amp;"|"&amp;$E28)</f>
        <v>SAMPLE-CMP-002||returned_to_brand</v>
      </c>
    </row>
    <row r="29" customFormat="false" ht="15" hidden="false" customHeight="false" outlineLevel="0" collapsed="false">
      <c r="A29" s="11" t="n">
        <v>46416</v>
      </c>
      <c r="B29" s="38" t="n">
        <v>0.583333333333333</v>
      </c>
      <c r="C29" s="10" t="s">
        <v>516</v>
      </c>
      <c r="E29" s="10" t="s">
        <v>685</v>
      </c>
      <c r="G29" s="0" t="n">
        <v>510</v>
      </c>
      <c r="H29" s="10" t="s">
        <v>808</v>
      </c>
      <c r="I29" s="11" t="n">
        <v>46599</v>
      </c>
      <c r="J29" s="10" t="s">
        <v>792</v>
      </c>
      <c r="L29" s="31" t="n">
        <f aca="false">IF($C29="","",IFERROR(IF(INDEX(campaigns!$BG$2:$BG$51,MATCH($C29,campaigns!$A$2:$A$51,0))="","",INDEX(campaigns!$BG$2:$BG$51,MATCH($C29,campaigns!$A$2:$A$51,0))),""))</f>
        <v>46427</v>
      </c>
      <c r="M29" s="30" t="n">
        <f aca="false">IF($C29="","",IF(OR($E29="received"),N($G29),IF(OR($E29="rejected",$E29="delivered",$E29="topped_up"),-N($G29),IF(AND(OR($E29="returned_to_brand",$E29="given_to_roster_office",$E29="released_to_office",$E29="disposed"),IF($F29="","reserve",$F29)="reserve"),-N($G29),IF(AND($E29="correction",IF($F29="","reserve",$F29)="reserve"),N($G29),0)))))</f>
        <v>510</v>
      </c>
      <c r="N29" s="30" t="n">
        <f aca="false">IF($C29="","",IF($E29="rejected",N($G29),IF(AND(OR($E29="returned_to_brand",$E29="given_to_roster_office",$E29="released_to_office",$E29="disposed"),IF($F29="","reserve",$F29)="rejected"),-N($G29),IF(AND($E29="correction",IF($F29="","reserve",$F29)="rejected"),N($G29),0))))</f>
        <v>0</v>
      </c>
      <c r="O29" s="30" t="n">
        <f aca="false">IF($C29="","",IF($E29="collected",N($G29),IF(AND(OR($E29="returned_to_brand",$E29="given_to_roster_office",$E29="released_to_office",$E29="disposed"),IF($F29="","reserve",$F29)="leftover"),-N($G29),IF(AND($E29="correction",IF($F29="","reserve",$F29)="leftover"),N($G29),0))))</f>
        <v>0</v>
      </c>
      <c r="P29" s="30" t="str">
        <f aca="false">IF(OR($E29&lt;&gt;"received",$I29="",$L29=""),"",IF($I29&gt;=$L29+config!$B$19,"Y","N"))</f>
        <v>Y</v>
      </c>
      <c r="Q29" s="30" t="str">
        <f aca="false">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30" t="str">
        <f aca="false">IF($C29="","",$C29&amp;"|"&amp;$D29&amp;"|"&amp;$E29)</f>
        <v>SAMPLE-CMP-003||received</v>
      </c>
    </row>
    <row r="30" customFormat="false" ht="15" hidden="false" customHeight="false" outlineLevel="0" collapsed="false">
      <c r="A30" s="11" t="n">
        <v>46415</v>
      </c>
      <c r="B30" s="38" t="n">
        <v>0.583333333333333</v>
      </c>
      <c r="C30" s="10" t="s">
        <v>532</v>
      </c>
      <c r="E30" s="10" t="s">
        <v>685</v>
      </c>
      <c r="G30" s="0" t="n">
        <v>501</v>
      </c>
      <c r="H30" s="10" t="s">
        <v>809</v>
      </c>
      <c r="I30" s="11" t="n">
        <v>46568</v>
      </c>
      <c r="J30" s="10" t="s">
        <v>792</v>
      </c>
      <c r="L30" s="31" t="n">
        <f aca="false">IF($C30="","",IFERROR(IF(INDEX(campaigns!$BG$2:$BG$51,MATCH($C30,campaigns!$A$2:$A$51,0))="","",INDEX(campaigns!$BG$2:$BG$51,MATCH($C30,campaigns!$A$2:$A$51,0))),""))</f>
        <v>46427</v>
      </c>
      <c r="M30" s="30" t="n">
        <f aca="false">IF($C30="","",IF(OR($E30="received"),N($G30),IF(OR($E30="rejected",$E30="delivered",$E30="topped_up"),-N($G30),IF(AND(OR($E30="returned_to_brand",$E30="given_to_roster_office",$E30="released_to_office",$E30="disposed"),IF($F30="","reserve",$F30)="reserve"),-N($G30),IF(AND($E30="correction",IF($F30="","reserve",$F30)="reserve"),N($G30),0)))))</f>
        <v>501</v>
      </c>
      <c r="N30" s="30" t="n">
        <f aca="false">IF($C30="","",IF($E30="rejected",N($G30),IF(AND(OR($E30="returned_to_brand",$E30="given_to_roster_office",$E30="released_to_office",$E30="disposed"),IF($F30="","reserve",$F30)="rejected"),-N($G30),IF(AND($E30="correction",IF($F30="","reserve",$F30)="rejected"),N($G30),0))))</f>
        <v>0</v>
      </c>
      <c r="O30" s="30" t="n">
        <f aca="false">IF($C30="","",IF($E30="collected",N($G30),IF(AND(OR($E30="returned_to_brand",$E30="given_to_roster_office",$E30="released_to_office",$E30="disposed"),IF($F30="","reserve",$F30)="leftover"),-N($G30),IF(AND($E30="correction",IF($F30="","reserve",$F30)="leftover"),N($G30),0))))</f>
        <v>0</v>
      </c>
      <c r="P30" s="30" t="str">
        <f aca="false">IF(OR($E30&lt;&gt;"received",$I30="",$L30=""),"",IF($I30&gt;=$L30+config!$B$19,"Y","N"))</f>
        <v>Y</v>
      </c>
      <c r="Q30" s="30" t="str">
        <f aca="false">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30" t="str">
        <f aca="false">IF($C30="","",$C30&amp;"|"&amp;$D30&amp;"|"&amp;$E30)</f>
        <v>SAMPLE-CMP-004||received</v>
      </c>
    </row>
    <row r="31" customFormat="false" ht="15" hidden="false" customHeight="false" outlineLevel="0" collapsed="false">
      <c r="A31" s="11" t="n">
        <v>46419</v>
      </c>
      <c r="B31" s="38" t="n">
        <v>0.583333333333333</v>
      </c>
      <c r="C31" s="10" t="s">
        <v>549</v>
      </c>
      <c r="E31" s="10" t="s">
        <v>685</v>
      </c>
      <c r="G31" s="0" t="n">
        <v>567</v>
      </c>
      <c r="H31" s="10" t="s">
        <v>810</v>
      </c>
      <c r="I31" s="11" t="n">
        <v>46522</v>
      </c>
      <c r="J31" s="10" t="s">
        <v>792</v>
      </c>
      <c r="L31" s="31" t="n">
        <f aca="false">IF($C31="","",IFERROR(IF(INDEX(campaigns!$BG$2:$BG$51,MATCH($C31,campaigns!$A$2:$A$51,0))="","",INDEX(campaigns!$BG$2:$BG$51,MATCH($C31,campaigns!$A$2:$A$51,0))),""))</f>
        <v>46427</v>
      </c>
      <c r="M31" s="30" t="n">
        <f aca="false">IF($C31="","",IF(OR($E31="received"),N($G31),IF(OR($E31="rejected",$E31="delivered",$E31="topped_up"),-N($G31),IF(AND(OR($E31="returned_to_brand",$E31="given_to_roster_office",$E31="released_to_office",$E31="disposed"),IF($F31="","reserve",$F31)="reserve"),-N($G31),IF(AND($E31="correction",IF($F31="","reserve",$F31)="reserve"),N($G31),0)))))</f>
        <v>567</v>
      </c>
      <c r="N31" s="30" t="n">
        <f aca="false">IF($C31="","",IF($E31="rejected",N($G31),IF(AND(OR($E31="returned_to_brand",$E31="given_to_roster_office",$E31="released_to_office",$E31="disposed"),IF($F31="","reserve",$F31)="rejected"),-N($G31),IF(AND($E31="correction",IF($F31="","reserve",$F31)="rejected"),N($G31),0))))</f>
        <v>0</v>
      </c>
      <c r="O31" s="30" t="n">
        <f aca="false">IF($C31="","",IF($E31="collected",N($G31),IF(AND(OR($E31="returned_to_brand",$E31="given_to_roster_office",$E31="released_to_office",$E31="disposed"),IF($F31="","reserve",$F31)="leftover"),-N($G31),IF(AND($E31="correction",IF($F31="","reserve",$F31)="leftover"),N($G31),0))))</f>
        <v>0</v>
      </c>
      <c r="P31" s="30" t="str">
        <f aca="false">IF(OR($E31&lt;&gt;"received",$I31="",$L31=""),"",IF($I31&gt;=$L31+config!$B$19,"Y","N"))</f>
        <v>Y</v>
      </c>
      <c r="Q31" s="30" t="str">
        <f aca="false">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30" t="str">
        <f aca="false">IF($C31="","",$C31&amp;"|"&amp;$D31&amp;"|"&amp;$E31)</f>
        <v>SAMPLE-CMP-005||received</v>
      </c>
    </row>
    <row r="32" customFormat="false" ht="15" hidden="false" customHeight="false" outlineLevel="0" collapsed="false">
      <c r="A32" s="11" t="n">
        <v>46427</v>
      </c>
      <c r="B32" s="38" t="n">
        <v>0.3375</v>
      </c>
      <c r="C32" s="10" t="s">
        <v>516</v>
      </c>
      <c r="D32" s="10" t="s">
        <v>678</v>
      </c>
      <c r="E32" s="10" t="s">
        <v>105</v>
      </c>
      <c r="G32" s="0" t="n">
        <v>37</v>
      </c>
      <c r="I32" s="11"/>
      <c r="J32" s="10" t="s">
        <v>811</v>
      </c>
      <c r="L32" s="31" t="n">
        <f aca="false">IF($C32="","",IFERROR(IF(INDEX(campaigns!$BG$2:$BG$51,MATCH($C32,campaigns!$A$2:$A$51,0))="","",INDEX(campaigns!$BG$2:$BG$51,MATCH($C32,campaigns!$A$2:$A$51,0))),""))</f>
        <v>46427</v>
      </c>
      <c r="M32" s="30" t="n">
        <f aca="false">IF($C32="","",IF(OR($E32="received"),N($G32),IF(OR($E32="rejected",$E32="delivered",$E32="topped_up"),-N($G32),IF(AND(OR($E32="returned_to_brand",$E32="given_to_roster_office",$E32="released_to_office",$E32="disposed"),IF($F32="","reserve",$F32)="reserve"),-N($G32),IF(AND($E32="correction",IF($F32="","reserve",$F32)="reserve"),N($G32),0)))))</f>
        <v>-37</v>
      </c>
      <c r="N32" s="30" t="n">
        <f aca="false">IF($C32="","",IF($E32="rejected",N($G32),IF(AND(OR($E32="returned_to_brand",$E32="given_to_roster_office",$E32="released_to_office",$E32="disposed"),IF($F32="","reserve",$F32)="rejected"),-N($G32),IF(AND($E32="correction",IF($F32="","reserve",$F32)="rejected"),N($G32),0))))</f>
        <v>0</v>
      </c>
      <c r="O32" s="30" t="n">
        <f aca="false">IF($C32="","",IF($E32="collected",N($G32),IF(AND(OR($E32="returned_to_brand",$E32="given_to_roster_office",$E32="released_to_office",$E32="disposed"),IF($F32="","reserve",$F32)="leftover"),-N($G32),IF(AND($E32="correction",IF($F32="","reserve",$F32)="leftover"),N($G32),0))))</f>
        <v>0</v>
      </c>
      <c r="P32" s="30" t="str">
        <f aca="false">IF(OR($E32&lt;&gt;"received",$I32="",$L32=""),"",IF($I32&gt;=$L32+config!$B$19,"Y","N"))</f>
        <v/>
      </c>
      <c r="Q32" s="30" t="str">
        <f aca="false">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30" t="str">
        <f aca="false">IF($C32="","",$C32&amp;"|"&amp;$D32&amp;"|"&amp;$E32)</f>
        <v>SAMPLE-CMP-003|SAMPLE-O-001|delivered</v>
      </c>
    </row>
    <row r="33" customFormat="false" ht="15" hidden="false" customHeight="false" outlineLevel="0" collapsed="false">
      <c r="A33" s="11" t="n">
        <v>46427</v>
      </c>
      <c r="B33" s="38" t="n">
        <v>0.389583333333333</v>
      </c>
      <c r="C33" s="10" t="s">
        <v>516</v>
      </c>
      <c r="D33" s="10" t="s">
        <v>681</v>
      </c>
      <c r="E33" s="10" t="s">
        <v>105</v>
      </c>
      <c r="G33" s="0" t="n">
        <v>37</v>
      </c>
      <c r="I33" s="11"/>
      <c r="J33" s="10" t="s">
        <v>811</v>
      </c>
      <c r="L33" s="31" t="n">
        <f aca="false">IF($C33="","",IFERROR(IF(INDEX(campaigns!$BG$2:$BG$51,MATCH($C33,campaigns!$A$2:$A$51,0))="","",INDEX(campaigns!$BG$2:$BG$51,MATCH($C33,campaigns!$A$2:$A$51,0))),""))</f>
        <v>46427</v>
      </c>
      <c r="M33" s="30" t="n">
        <f aca="false">IF($C33="","",IF(OR($E33="received"),N($G33),IF(OR($E33="rejected",$E33="delivered",$E33="topped_up"),-N($G33),IF(AND(OR($E33="returned_to_brand",$E33="given_to_roster_office",$E33="released_to_office",$E33="disposed"),IF($F33="","reserve",$F33)="reserve"),-N($G33),IF(AND($E33="correction",IF($F33="","reserve",$F33)="reserve"),N($G33),0)))))</f>
        <v>-37</v>
      </c>
      <c r="N33" s="30" t="n">
        <f aca="false">IF($C33="","",IF($E33="rejected",N($G33),IF(AND(OR($E33="returned_to_brand",$E33="given_to_roster_office",$E33="released_to_office",$E33="disposed"),IF($F33="","reserve",$F33)="rejected"),-N($G33),IF(AND($E33="correction",IF($F33="","reserve",$F33)="rejected"),N($G33),0))))</f>
        <v>0</v>
      </c>
      <c r="O33" s="30" t="n">
        <f aca="false">IF($C33="","",IF($E33="collected",N($G33),IF(AND(OR($E33="returned_to_brand",$E33="given_to_roster_office",$E33="released_to_office",$E33="disposed"),IF($F33="","reserve",$F33)="leftover"),-N($G33),IF(AND($E33="correction",IF($F33="","reserve",$F33)="leftover"),N($G33),0))))</f>
        <v>0</v>
      </c>
      <c r="P33" s="30" t="str">
        <f aca="false">IF(OR($E33&lt;&gt;"received",$I33="",$L33=""),"",IF($I33&gt;=$L33+config!$B$19,"Y","N"))</f>
        <v/>
      </c>
      <c r="Q33" s="30" t="str">
        <f aca="false">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30" t="str">
        <f aca="false">IF($C33="","",$C33&amp;"|"&amp;$D33&amp;"|"&amp;$E33)</f>
        <v>SAMPLE-CMP-003|SAMPLE-O-002|delivered</v>
      </c>
    </row>
    <row r="34" customFormat="false" ht="15" hidden="false" customHeight="false" outlineLevel="0" collapsed="false">
      <c r="A34" s="11" t="n">
        <v>46427</v>
      </c>
      <c r="B34" s="38" t="n">
        <v>0.377083333333333</v>
      </c>
      <c r="C34" s="10" t="s">
        <v>516</v>
      </c>
      <c r="D34" s="10" t="s">
        <v>683</v>
      </c>
      <c r="E34" s="10" t="s">
        <v>105</v>
      </c>
      <c r="G34" s="0" t="n">
        <v>47</v>
      </c>
      <c r="I34" s="11"/>
      <c r="J34" s="10" t="s">
        <v>811</v>
      </c>
      <c r="L34" s="31" t="n">
        <f aca="false">IF($C34="","",IFERROR(IF(INDEX(campaigns!$BG$2:$BG$51,MATCH($C34,campaigns!$A$2:$A$51,0))="","",INDEX(campaigns!$BG$2:$BG$51,MATCH($C34,campaigns!$A$2:$A$51,0))),""))</f>
        <v>46427</v>
      </c>
      <c r="M34" s="30" t="n">
        <f aca="false">IF($C34="","",IF(OR($E34="received"),N($G34),IF(OR($E34="rejected",$E34="delivered",$E34="topped_up"),-N($G34),IF(AND(OR($E34="returned_to_brand",$E34="given_to_roster_office",$E34="released_to_office",$E34="disposed"),IF($F34="","reserve",$F34)="reserve"),-N($G34),IF(AND($E34="correction",IF($F34="","reserve",$F34)="reserve"),N($G34),0)))))</f>
        <v>-47</v>
      </c>
      <c r="N34" s="30" t="n">
        <f aca="false">IF($C34="","",IF($E34="rejected",N($G34),IF(AND(OR($E34="returned_to_brand",$E34="given_to_roster_office",$E34="released_to_office",$E34="disposed"),IF($F34="","reserve",$F34)="rejected"),-N($G34),IF(AND($E34="correction",IF($F34="","reserve",$F34)="rejected"),N($G34),0))))</f>
        <v>0</v>
      </c>
      <c r="O34" s="30" t="n">
        <f aca="false">IF($C34="","",IF($E34="collected",N($G34),IF(AND(OR($E34="returned_to_brand",$E34="given_to_roster_office",$E34="released_to_office",$E34="disposed"),IF($F34="","reserve",$F34)="leftover"),-N($G34),IF(AND($E34="correction",IF($F34="","reserve",$F34)="leftover"),N($G34),0))))</f>
        <v>0</v>
      </c>
      <c r="P34" s="30" t="str">
        <f aca="false">IF(OR($E34&lt;&gt;"received",$I34="",$L34=""),"",IF($I34&gt;=$L34+config!$B$19,"Y","N"))</f>
        <v/>
      </c>
      <c r="Q34" s="30" t="str">
        <f aca="false">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30" t="str">
        <f aca="false">IF($C34="","",$C34&amp;"|"&amp;$D34&amp;"|"&amp;$E34)</f>
        <v>SAMPLE-CMP-003|SAMPLE-O-003|delivered</v>
      </c>
    </row>
    <row r="35" customFormat="false" ht="15" hidden="false" customHeight="false" outlineLevel="0" collapsed="false">
      <c r="A35" s="11" t="n">
        <v>46427</v>
      </c>
      <c r="B35" s="38" t="n">
        <v>0.429861111111111</v>
      </c>
      <c r="C35" s="10" t="s">
        <v>516</v>
      </c>
      <c r="D35" s="10" t="s">
        <v>686</v>
      </c>
      <c r="E35" s="10" t="s">
        <v>105</v>
      </c>
      <c r="G35" s="0" t="n">
        <v>47</v>
      </c>
      <c r="I35" s="11"/>
      <c r="J35" s="10" t="s">
        <v>811</v>
      </c>
      <c r="L35" s="31" t="n">
        <f aca="false">IF($C35="","",IFERROR(IF(INDEX(campaigns!$BG$2:$BG$51,MATCH($C35,campaigns!$A$2:$A$51,0))="","",INDEX(campaigns!$BG$2:$BG$51,MATCH($C35,campaigns!$A$2:$A$51,0))),""))</f>
        <v>46427</v>
      </c>
      <c r="M35" s="30" t="n">
        <f aca="false">IF($C35="","",IF(OR($E35="received"),N($G35),IF(OR($E35="rejected",$E35="delivered",$E35="topped_up"),-N($G35),IF(AND(OR($E35="returned_to_brand",$E35="given_to_roster_office",$E35="released_to_office",$E35="disposed"),IF($F35="","reserve",$F35)="reserve"),-N($G35),IF(AND($E35="correction",IF($F35="","reserve",$F35)="reserve"),N($G35),0)))))</f>
        <v>-47</v>
      </c>
      <c r="N35" s="30" t="n">
        <f aca="false">IF($C35="","",IF($E35="rejected",N($G35),IF(AND(OR($E35="returned_to_brand",$E35="given_to_roster_office",$E35="released_to_office",$E35="disposed"),IF($F35="","reserve",$F35)="rejected"),-N($G35),IF(AND($E35="correction",IF($F35="","reserve",$F35)="rejected"),N($G35),0))))</f>
        <v>0</v>
      </c>
      <c r="O35" s="30" t="n">
        <f aca="false">IF($C35="","",IF($E35="collected",N($G35),IF(AND(OR($E35="returned_to_brand",$E35="given_to_roster_office",$E35="released_to_office",$E35="disposed"),IF($F35="","reserve",$F35)="leftover"),-N($G35),IF(AND($E35="correction",IF($F35="","reserve",$F35)="leftover"),N($G35),0))))</f>
        <v>0</v>
      </c>
      <c r="P35" s="30" t="str">
        <f aca="false">IF(OR($E35&lt;&gt;"received",$I35="",$L35=""),"",IF($I35&gt;=$L35+config!$B$19,"Y","N"))</f>
        <v/>
      </c>
      <c r="Q35" s="30" t="str">
        <f aca="false">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30" t="str">
        <f aca="false">IF($C35="","",$C35&amp;"|"&amp;$D35&amp;"|"&amp;$E35)</f>
        <v>SAMPLE-CMP-003|SAMPLE-O-004|delivered</v>
      </c>
    </row>
    <row r="36" customFormat="false" ht="15" hidden="false" customHeight="false" outlineLevel="0" collapsed="false">
      <c r="A36" s="11" t="n">
        <v>46427</v>
      </c>
      <c r="B36" s="38" t="n">
        <v>0.445138888888889</v>
      </c>
      <c r="C36" s="10" t="s">
        <v>516</v>
      </c>
      <c r="D36" s="10" t="s">
        <v>688</v>
      </c>
      <c r="E36" s="10" t="s">
        <v>105</v>
      </c>
      <c r="G36" s="0" t="n">
        <v>67</v>
      </c>
      <c r="I36" s="11"/>
      <c r="J36" s="10" t="s">
        <v>811</v>
      </c>
      <c r="L36" s="31" t="n">
        <f aca="false">IF($C36="","",IFERROR(IF(INDEX(campaigns!$BG$2:$BG$51,MATCH($C36,campaigns!$A$2:$A$51,0))="","",INDEX(campaigns!$BG$2:$BG$51,MATCH($C36,campaigns!$A$2:$A$51,0))),""))</f>
        <v>46427</v>
      </c>
      <c r="M36" s="30" t="n">
        <f aca="false">IF($C36="","",IF(OR($E36="received"),N($G36),IF(OR($E36="rejected",$E36="delivered",$E36="topped_up"),-N($G36),IF(AND(OR($E36="returned_to_brand",$E36="given_to_roster_office",$E36="released_to_office",$E36="disposed"),IF($F36="","reserve",$F36)="reserve"),-N($G36),IF(AND($E36="correction",IF($F36="","reserve",$F36)="reserve"),N($G36),0)))))</f>
        <v>-67</v>
      </c>
      <c r="N36" s="30" t="n">
        <f aca="false">IF($C36="","",IF($E36="rejected",N($G36),IF(AND(OR($E36="returned_to_brand",$E36="given_to_roster_office",$E36="released_to_office",$E36="disposed"),IF($F36="","reserve",$F36)="rejected"),-N($G36),IF(AND($E36="correction",IF($F36="","reserve",$F36)="rejected"),N($G36),0))))</f>
        <v>0</v>
      </c>
      <c r="O36" s="30" t="n">
        <f aca="false">IF($C36="","",IF($E36="collected",N($G36),IF(AND(OR($E36="returned_to_brand",$E36="given_to_roster_office",$E36="released_to_office",$E36="disposed"),IF($F36="","reserve",$F36)="leftover"),-N($G36),IF(AND($E36="correction",IF($F36="","reserve",$F36)="leftover"),N($G36),0))))</f>
        <v>0</v>
      </c>
      <c r="P36" s="30" t="str">
        <f aca="false">IF(OR($E36&lt;&gt;"received",$I36="",$L36=""),"",IF($I36&gt;=$L36+config!$B$19,"Y","N"))</f>
        <v/>
      </c>
      <c r="Q36" s="30" t="str">
        <f aca="false">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30" t="str">
        <f aca="false">IF($C36="","",$C36&amp;"|"&amp;$D36&amp;"|"&amp;$E36)</f>
        <v>SAMPLE-CMP-003|SAMPLE-O-005|delivered</v>
      </c>
    </row>
    <row r="37" customFormat="false" ht="15" hidden="false" customHeight="false" outlineLevel="0" collapsed="false">
      <c r="A37" s="11" t="n">
        <v>46427</v>
      </c>
      <c r="B37" s="38" t="n">
        <v>0.349305555555556</v>
      </c>
      <c r="C37" s="10" t="s">
        <v>516</v>
      </c>
      <c r="D37" s="10" t="s">
        <v>690</v>
      </c>
      <c r="E37" s="10" t="s">
        <v>105</v>
      </c>
      <c r="G37" s="0" t="n">
        <v>42</v>
      </c>
      <c r="I37" s="11"/>
      <c r="J37" s="10" t="s">
        <v>811</v>
      </c>
      <c r="L37" s="31" t="n">
        <f aca="false">IF($C37="","",IFERROR(IF(INDEX(campaigns!$BG$2:$BG$51,MATCH($C37,campaigns!$A$2:$A$51,0))="","",INDEX(campaigns!$BG$2:$BG$51,MATCH($C37,campaigns!$A$2:$A$51,0))),""))</f>
        <v>46427</v>
      </c>
      <c r="M37" s="30" t="n">
        <f aca="false">IF($C37="","",IF(OR($E37="received"),N($G37),IF(OR($E37="rejected",$E37="delivered",$E37="topped_up"),-N($G37),IF(AND(OR($E37="returned_to_brand",$E37="given_to_roster_office",$E37="released_to_office",$E37="disposed"),IF($F37="","reserve",$F37)="reserve"),-N($G37),IF(AND($E37="correction",IF($F37="","reserve",$F37)="reserve"),N($G37),0)))))</f>
        <v>-42</v>
      </c>
      <c r="N37" s="30" t="n">
        <f aca="false">IF($C37="","",IF($E37="rejected",N($G37),IF(AND(OR($E37="returned_to_brand",$E37="given_to_roster_office",$E37="released_to_office",$E37="disposed"),IF($F37="","reserve",$F37)="rejected"),-N($G37),IF(AND($E37="correction",IF($F37="","reserve",$F37)="rejected"),N($G37),0))))</f>
        <v>0</v>
      </c>
      <c r="O37" s="30" t="n">
        <f aca="false">IF($C37="","",IF($E37="collected",N($G37),IF(AND(OR($E37="returned_to_brand",$E37="given_to_roster_office",$E37="released_to_office",$E37="disposed"),IF($F37="","reserve",$F37)="leftover"),-N($G37),IF(AND($E37="correction",IF($F37="","reserve",$F37)="leftover"),N($G37),0))))</f>
        <v>0</v>
      </c>
      <c r="P37" s="30" t="str">
        <f aca="false">IF(OR($E37&lt;&gt;"received",$I37="",$L37=""),"",IF($I37&gt;=$L37+config!$B$19,"Y","N"))</f>
        <v/>
      </c>
      <c r="Q37" s="30" t="str">
        <f aca="false">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30" t="str">
        <f aca="false">IF($C37="","",$C37&amp;"|"&amp;$D37&amp;"|"&amp;$E37)</f>
        <v>SAMPLE-CMP-003|SAMPLE-O-006|delivered</v>
      </c>
    </row>
    <row r="38" customFormat="false" ht="15" hidden="false" customHeight="false" outlineLevel="0" collapsed="false">
      <c r="A38" s="11" t="n">
        <v>46427</v>
      </c>
      <c r="B38" s="38" t="n">
        <v>0.402083333333333</v>
      </c>
      <c r="C38" s="10" t="s">
        <v>516</v>
      </c>
      <c r="D38" s="10" t="s">
        <v>692</v>
      </c>
      <c r="E38" s="10" t="s">
        <v>105</v>
      </c>
      <c r="G38" s="0" t="n">
        <v>57</v>
      </c>
      <c r="I38" s="11"/>
      <c r="J38" s="10" t="s">
        <v>811</v>
      </c>
      <c r="L38" s="31" t="n">
        <f aca="false">IF($C38="","",IFERROR(IF(INDEX(campaigns!$BG$2:$BG$51,MATCH($C38,campaigns!$A$2:$A$51,0))="","",INDEX(campaigns!$BG$2:$BG$51,MATCH($C38,campaigns!$A$2:$A$51,0))),""))</f>
        <v>46427</v>
      </c>
      <c r="M38" s="30" t="n">
        <f aca="false">IF($C38="","",IF(OR($E38="received"),N($G38),IF(OR($E38="rejected",$E38="delivered",$E38="topped_up"),-N($G38),IF(AND(OR($E38="returned_to_brand",$E38="given_to_roster_office",$E38="released_to_office",$E38="disposed"),IF($F38="","reserve",$F38)="reserve"),-N($G38),IF(AND($E38="correction",IF($F38="","reserve",$F38)="reserve"),N($G38),0)))))</f>
        <v>-57</v>
      </c>
      <c r="N38" s="30" t="n">
        <f aca="false">IF($C38="","",IF($E38="rejected",N($G38),IF(AND(OR($E38="returned_to_brand",$E38="given_to_roster_office",$E38="released_to_office",$E38="disposed"),IF($F38="","reserve",$F38)="rejected"),-N($G38),IF(AND($E38="correction",IF($F38="","reserve",$F38)="rejected"),N($G38),0))))</f>
        <v>0</v>
      </c>
      <c r="O38" s="30" t="n">
        <f aca="false">IF($C38="","",IF($E38="collected",N($G38),IF(AND(OR($E38="returned_to_brand",$E38="given_to_roster_office",$E38="released_to_office",$E38="disposed"),IF($F38="","reserve",$F38)="leftover"),-N($G38),IF(AND($E38="correction",IF($F38="","reserve",$F38)="leftover"),N($G38),0))))</f>
        <v>0</v>
      </c>
      <c r="P38" s="30" t="str">
        <f aca="false">IF(OR($E38&lt;&gt;"received",$I38="",$L38=""),"",IF($I38&gt;=$L38+config!$B$19,"Y","N"))</f>
        <v/>
      </c>
      <c r="Q38" s="30" t="str">
        <f aca="false">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30" t="str">
        <f aca="false">IF($C38="","",$C38&amp;"|"&amp;$D38&amp;"|"&amp;$E38)</f>
        <v>SAMPLE-CMP-003|SAMPLE-O-007|delivered</v>
      </c>
    </row>
    <row r="39" customFormat="false" ht="15" hidden="false" customHeight="false" outlineLevel="0" collapsed="false">
      <c r="A39" s="11" t="n">
        <v>46427</v>
      </c>
      <c r="B39" s="38" t="n">
        <v>0.415972222222222</v>
      </c>
      <c r="C39" s="10" t="s">
        <v>516</v>
      </c>
      <c r="D39" s="10" t="s">
        <v>694</v>
      </c>
      <c r="E39" s="10" t="s">
        <v>105</v>
      </c>
      <c r="G39" s="0" t="n">
        <v>42</v>
      </c>
      <c r="I39" s="11"/>
      <c r="J39" s="10" t="s">
        <v>811</v>
      </c>
      <c r="L39" s="31" t="n">
        <f aca="false">IF($C39="","",IFERROR(IF(INDEX(campaigns!$BG$2:$BG$51,MATCH($C39,campaigns!$A$2:$A$51,0))="","",INDEX(campaigns!$BG$2:$BG$51,MATCH($C39,campaigns!$A$2:$A$51,0))),""))</f>
        <v>46427</v>
      </c>
      <c r="M39" s="30" t="n">
        <f aca="false">IF($C39="","",IF(OR($E39="received"),N($G39),IF(OR($E39="rejected",$E39="delivered",$E39="topped_up"),-N($G39),IF(AND(OR($E39="returned_to_brand",$E39="given_to_roster_office",$E39="released_to_office",$E39="disposed"),IF($F39="","reserve",$F39)="reserve"),-N($G39),IF(AND($E39="correction",IF($F39="","reserve",$F39)="reserve"),N($G39),0)))))</f>
        <v>-42</v>
      </c>
      <c r="N39" s="30" t="n">
        <f aca="false">IF($C39="","",IF($E39="rejected",N($G39),IF(AND(OR($E39="returned_to_brand",$E39="given_to_roster_office",$E39="released_to_office",$E39="disposed"),IF($F39="","reserve",$F39)="rejected"),-N($G39),IF(AND($E39="correction",IF($F39="","reserve",$F39)="rejected"),N($G39),0))))</f>
        <v>0</v>
      </c>
      <c r="O39" s="30" t="n">
        <f aca="false">IF($C39="","",IF($E39="collected",N($G39),IF(AND(OR($E39="returned_to_brand",$E39="given_to_roster_office",$E39="released_to_office",$E39="disposed"),IF($F39="","reserve",$F39)="leftover"),-N($G39),IF(AND($E39="correction",IF($F39="","reserve",$F39)="leftover"),N($G39),0))))</f>
        <v>0</v>
      </c>
      <c r="P39" s="30" t="str">
        <f aca="false">IF(OR($E39&lt;&gt;"received",$I39="",$L39=""),"",IF($I39&gt;=$L39+config!$B$19,"Y","N"))</f>
        <v/>
      </c>
      <c r="Q39" s="30" t="str">
        <f aca="false">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30" t="str">
        <f aca="false">IF($C39="","",$C39&amp;"|"&amp;$D39&amp;"|"&amp;$E39)</f>
        <v>SAMPLE-CMP-003|SAMPLE-O-008|delivered</v>
      </c>
    </row>
    <row r="40" customFormat="false" ht="15" hidden="false" customHeight="false" outlineLevel="0" collapsed="false">
      <c r="A40" s="11" t="n">
        <v>46428</v>
      </c>
      <c r="B40" s="38" t="n">
        <v>0.361111111111111</v>
      </c>
      <c r="C40" s="10" t="s">
        <v>516</v>
      </c>
      <c r="D40" s="10" t="s">
        <v>696</v>
      </c>
      <c r="E40" s="10" t="s">
        <v>105</v>
      </c>
      <c r="G40" s="0" t="n">
        <v>72</v>
      </c>
      <c r="I40" s="11"/>
      <c r="J40" s="10" t="s">
        <v>792</v>
      </c>
      <c r="L40" s="31" t="n">
        <f aca="false">IF($C40="","",IFERROR(IF(INDEX(campaigns!$BG$2:$BG$51,MATCH($C40,campaigns!$A$2:$A$51,0))="","",INDEX(campaigns!$BG$2:$BG$51,MATCH($C40,campaigns!$A$2:$A$51,0))),""))</f>
        <v>46427</v>
      </c>
      <c r="M40" s="30" t="n">
        <f aca="false">IF($C40="","",IF(OR($E40="received"),N($G40),IF(OR($E40="rejected",$E40="delivered",$E40="topped_up"),-N($G40),IF(AND(OR($E40="returned_to_brand",$E40="given_to_roster_office",$E40="released_to_office",$E40="disposed"),IF($F40="","reserve",$F40)="reserve"),-N($G40),IF(AND($E40="correction",IF($F40="","reserve",$F40)="reserve"),N($G40),0)))))</f>
        <v>-72</v>
      </c>
      <c r="N40" s="30" t="n">
        <f aca="false">IF($C40="","",IF($E40="rejected",N($G40),IF(AND(OR($E40="returned_to_brand",$E40="given_to_roster_office",$E40="released_to_office",$E40="disposed"),IF($F40="","reserve",$F40)="rejected"),-N($G40),IF(AND($E40="correction",IF($F40="","reserve",$F40)="rejected"),N($G40),0))))</f>
        <v>0</v>
      </c>
      <c r="O40" s="30" t="n">
        <f aca="false">IF($C40="","",IF($E40="collected",N($G40),IF(AND(OR($E40="returned_to_brand",$E40="given_to_roster_office",$E40="released_to_office",$E40="disposed"),IF($F40="","reserve",$F40)="leftover"),-N($G40),IF(AND($E40="correction",IF($F40="","reserve",$F40)="leftover"),N($G40),0))))</f>
        <v>0</v>
      </c>
      <c r="P40" s="30" t="str">
        <f aca="false">IF(OR($E40&lt;&gt;"received",$I40="",$L40=""),"",IF($I40&gt;=$L40+config!$B$19,"Y","N"))</f>
        <v/>
      </c>
      <c r="Q40" s="30" t="str">
        <f aca="false">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30" t="str">
        <f aca="false">IF($C40="","",$C40&amp;"|"&amp;$D40&amp;"|"&amp;$E40)</f>
        <v>SAMPLE-CMP-003|SAMPLE-O-009|delivered</v>
      </c>
    </row>
    <row r="41" customFormat="false" ht="15" hidden="false" customHeight="false" outlineLevel="0" collapsed="false">
      <c r="A41" s="11" t="n">
        <v>46427</v>
      </c>
      <c r="B41" s="38" t="n">
        <v>0.361805555555556</v>
      </c>
      <c r="C41" s="10" t="s">
        <v>516</v>
      </c>
      <c r="D41" s="10" t="s">
        <v>698</v>
      </c>
      <c r="E41" s="10" t="s">
        <v>105</v>
      </c>
      <c r="G41" s="0" t="n">
        <v>37</v>
      </c>
      <c r="I41" s="11"/>
      <c r="J41" s="10" t="s">
        <v>811</v>
      </c>
      <c r="L41" s="31" t="n">
        <f aca="false">IF($C41="","",IFERROR(IF(INDEX(campaigns!$BG$2:$BG$51,MATCH($C41,campaigns!$A$2:$A$51,0))="","",INDEX(campaigns!$BG$2:$BG$51,MATCH($C41,campaigns!$A$2:$A$51,0))),""))</f>
        <v>46427</v>
      </c>
      <c r="M41" s="30" t="n">
        <f aca="false">IF($C41="","",IF(OR($E41="received"),N($G41),IF(OR($E41="rejected",$E41="delivered",$E41="topped_up"),-N($G41),IF(AND(OR($E41="returned_to_brand",$E41="given_to_roster_office",$E41="released_to_office",$E41="disposed"),IF($F41="","reserve",$F41)="reserve"),-N($G41),IF(AND($E41="correction",IF($F41="","reserve",$F41)="reserve"),N($G41),0)))))</f>
        <v>-37</v>
      </c>
      <c r="N41" s="30" t="n">
        <f aca="false">IF($C41="","",IF($E41="rejected",N($G41),IF(AND(OR($E41="returned_to_brand",$E41="given_to_roster_office",$E41="released_to_office",$E41="disposed"),IF($F41="","reserve",$F41)="rejected"),-N($G41),IF(AND($E41="correction",IF($F41="","reserve",$F41)="rejected"),N($G41),0))))</f>
        <v>0</v>
      </c>
      <c r="O41" s="30" t="n">
        <f aca="false">IF($C41="","",IF($E41="collected",N($G41),IF(AND(OR($E41="returned_to_brand",$E41="given_to_roster_office",$E41="released_to_office",$E41="disposed"),IF($F41="","reserve",$F41)="leftover"),-N($G41),IF(AND($E41="correction",IF($F41="","reserve",$F41)="leftover"),N($G41),0))))</f>
        <v>0</v>
      </c>
      <c r="P41" s="30" t="str">
        <f aca="false">IF(OR($E41&lt;&gt;"received",$I41="",$L41=""),"",IF($I41&gt;=$L41+config!$B$19,"Y","N"))</f>
        <v/>
      </c>
      <c r="Q41" s="30" t="str">
        <f aca="false">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30" t="str">
        <f aca="false">IF($C41="","",$C41&amp;"|"&amp;$D41&amp;"|"&amp;$E41)</f>
        <v>SAMPLE-CMP-003|SAMPLE-O-010|delivered</v>
      </c>
    </row>
    <row r="42" customFormat="false" ht="15" hidden="false" customHeight="false" outlineLevel="0" collapsed="false">
      <c r="A42" s="11" t="n">
        <v>46427</v>
      </c>
      <c r="B42" s="38" t="n">
        <v>0.3375</v>
      </c>
      <c r="C42" s="10" t="s">
        <v>532</v>
      </c>
      <c r="D42" s="10" t="s">
        <v>678</v>
      </c>
      <c r="E42" s="10" t="s">
        <v>105</v>
      </c>
      <c r="G42" s="0" t="n">
        <v>40</v>
      </c>
      <c r="I42" s="11"/>
      <c r="J42" s="10" t="s">
        <v>811</v>
      </c>
      <c r="L42" s="31" t="n">
        <f aca="false">IF($C42="","",IFERROR(IF(INDEX(campaigns!$BG$2:$BG$51,MATCH($C42,campaigns!$A$2:$A$51,0))="","",INDEX(campaigns!$BG$2:$BG$51,MATCH($C42,campaigns!$A$2:$A$51,0))),""))</f>
        <v>46427</v>
      </c>
      <c r="M42" s="30" t="n">
        <f aca="false">IF($C42="","",IF(OR($E42="received"),N($G42),IF(OR($E42="rejected",$E42="delivered",$E42="topped_up"),-N($G42),IF(AND(OR($E42="returned_to_brand",$E42="given_to_roster_office",$E42="released_to_office",$E42="disposed"),IF($F42="","reserve",$F42)="reserve"),-N($G42),IF(AND($E42="correction",IF($F42="","reserve",$F42)="reserve"),N($G42),0)))))</f>
        <v>-40</v>
      </c>
      <c r="N42" s="30" t="n">
        <f aca="false">IF($C42="","",IF($E42="rejected",N($G42),IF(AND(OR($E42="returned_to_brand",$E42="given_to_roster_office",$E42="released_to_office",$E42="disposed"),IF($F42="","reserve",$F42)="rejected"),-N($G42),IF(AND($E42="correction",IF($F42="","reserve",$F42)="rejected"),N($G42),0))))</f>
        <v>0</v>
      </c>
      <c r="O42" s="30" t="n">
        <f aca="false">IF($C42="","",IF($E42="collected",N($G42),IF(AND(OR($E42="returned_to_brand",$E42="given_to_roster_office",$E42="released_to_office",$E42="disposed"),IF($F42="","reserve",$F42)="leftover"),-N($G42),IF(AND($E42="correction",IF($F42="","reserve",$F42)="leftover"),N($G42),0))))</f>
        <v>0</v>
      </c>
      <c r="P42" s="30" t="str">
        <f aca="false">IF(OR($E42&lt;&gt;"received",$I42="",$L42=""),"",IF($I42&gt;=$L42+config!$B$19,"Y","N"))</f>
        <v/>
      </c>
      <c r="Q42" s="30" t="str">
        <f aca="false">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30" t="str">
        <f aca="false">IF($C42="","",$C42&amp;"|"&amp;$D42&amp;"|"&amp;$E42)</f>
        <v>SAMPLE-CMP-004|SAMPLE-O-001|delivered</v>
      </c>
    </row>
    <row r="43" customFormat="false" ht="15" hidden="false" customHeight="false" outlineLevel="0" collapsed="false">
      <c r="A43" s="11" t="n">
        <v>46427</v>
      </c>
      <c r="B43" s="38" t="n">
        <v>0.389583333333333</v>
      </c>
      <c r="C43" s="10" t="s">
        <v>532</v>
      </c>
      <c r="D43" s="10" t="s">
        <v>681</v>
      </c>
      <c r="E43" s="10" t="s">
        <v>105</v>
      </c>
      <c r="G43" s="0" t="n">
        <v>40</v>
      </c>
      <c r="I43" s="11"/>
      <c r="J43" s="10" t="s">
        <v>811</v>
      </c>
      <c r="L43" s="31" t="n">
        <f aca="false">IF($C43="","",IFERROR(IF(INDEX(campaigns!$BG$2:$BG$51,MATCH($C43,campaigns!$A$2:$A$51,0))="","",INDEX(campaigns!$BG$2:$BG$51,MATCH($C43,campaigns!$A$2:$A$51,0))),""))</f>
        <v>46427</v>
      </c>
      <c r="M43" s="30" t="n">
        <f aca="false">IF($C43="","",IF(OR($E43="received"),N($G43),IF(OR($E43="rejected",$E43="delivered",$E43="topped_up"),-N($G43),IF(AND(OR($E43="returned_to_brand",$E43="given_to_roster_office",$E43="released_to_office",$E43="disposed"),IF($F43="","reserve",$F43)="reserve"),-N($G43),IF(AND($E43="correction",IF($F43="","reserve",$F43)="reserve"),N($G43),0)))))</f>
        <v>-40</v>
      </c>
      <c r="N43" s="30" t="n">
        <f aca="false">IF($C43="","",IF($E43="rejected",N($G43),IF(AND(OR($E43="returned_to_brand",$E43="given_to_roster_office",$E43="released_to_office",$E43="disposed"),IF($F43="","reserve",$F43)="rejected"),-N($G43),IF(AND($E43="correction",IF($F43="","reserve",$F43)="rejected"),N($G43),0))))</f>
        <v>0</v>
      </c>
      <c r="O43" s="30" t="n">
        <f aca="false">IF($C43="","",IF($E43="collected",N($G43),IF(AND(OR($E43="returned_to_brand",$E43="given_to_roster_office",$E43="released_to_office",$E43="disposed"),IF($F43="","reserve",$F43)="leftover"),-N($G43),IF(AND($E43="correction",IF($F43="","reserve",$F43)="leftover"),N($G43),0))))</f>
        <v>0</v>
      </c>
      <c r="P43" s="30" t="str">
        <f aca="false">IF(OR($E43&lt;&gt;"received",$I43="",$L43=""),"",IF($I43&gt;=$L43+config!$B$19,"Y","N"))</f>
        <v/>
      </c>
      <c r="Q43" s="30" t="str">
        <f aca="false">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30" t="str">
        <f aca="false">IF($C43="","",$C43&amp;"|"&amp;$D43&amp;"|"&amp;$E43)</f>
        <v>SAMPLE-CMP-004|SAMPLE-O-002|delivered</v>
      </c>
    </row>
    <row r="44" customFormat="false" ht="15" hidden="false" customHeight="false" outlineLevel="0" collapsed="false">
      <c r="A44" s="11" t="n">
        <v>46427</v>
      </c>
      <c r="B44" s="38" t="n">
        <v>0.377083333333333</v>
      </c>
      <c r="C44" s="10" t="s">
        <v>532</v>
      </c>
      <c r="D44" s="10" t="s">
        <v>683</v>
      </c>
      <c r="E44" s="10" t="s">
        <v>105</v>
      </c>
      <c r="G44" s="0" t="n">
        <v>50</v>
      </c>
      <c r="I44" s="11"/>
      <c r="J44" s="10" t="s">
        <v>811</v>
      </c>
      <c r="L44" s="31" t="n">
        <f aca="false">IF($C44="","",IFERROR(IF(INDEX(campaigns!$BG$2:$BG$51,MATCH($C44,campaigns!$A$2:$A$51,0))="","",INDEX(campaigns!$BG$2:$BG$51,MATCH($C44,campaigns!$A$2:$A$51,0))),""))</f>
        <v>46427</v>
      </c>
      <c r="M44" s="30" t="n">
        <f aca="false">IF($C44="","",IF(OR($E44="received"),N($G44),IF(OR($E44="rejected",$E44="delivered",$E44="topped_up"),-N($G44),IF(AND(OR($E44="returned_to_brand",$E44="given_to_roster_office",$E44="released_to_office",$E44="disposed"),IF($F44="","reserve",$F44)="reserve"),-N($G44),IF(AND($E44="correction",IF($F44="","reserve",$F44)="reserve"),N($G44),0)))))</f>
        <v>-50</v>
      </c>
      <c r="N44" s="30" t="n">
        <f aca="false">IF($C44="","",IF($E44="rejected",N($G44),IF(AND(OR($E44="returned_to_brand",$E44="given_to_roster_office",$E44="released_to_office",$E44="disposed"),IF($F44="","reserve",$F44)="rejected"),-N($G44),IF(AND($E44="correction",IF($F44="","reserve",$F44)="rejected"),N($G44),0))))</f>
        <v>0</v>
      </c>
      <c r="O44" s="30" t="n">
        <f aca="false">IF($C44="","",IF($E44="collected",N($G44),IF(AND(OR($E44="returned_to_brand",$E44="given_to_roster_office",$E44="released_to_office",$E44="disposed"),IF($F44="","reserve",$F44)="leftover"),-N($G44),IF(AND($E44="correction",IF($F44="","reserve",$F44)="leftover"),N($G44),0))))</f>
        <v>0</v>
      </c>
      <c r="P44" s="30" t="str">
        <f aca="false">IF(OR($E44&lt;&gt;"received",$I44="",$L44=""),"",IF($I44&gt;=$L44+config!$B$19,"Y","N"))</f>
        <v/>
      </c>
      <c r="Q44" s="30" t="str">
        <f aca="false">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30" t="str">
        <f aca="false">IF($C44="","",$C44&amp;"|"&amp;$D44&amp;"|"&amp;$E44)</f>
        <v>SAMPLE-CMP-004|SAMPLE-O-003|delivered</v>
      </c>
    </row>
    <row r="45" customFormat="false" ht="15" hidden="false" customHeight="false" outlineLevel="0" collapsed="false">
      <c r="A45" s="11" t="n">
        <v>46427</v>
      </c>
      <c r="B45" s="38" t="n">
        <v>0.429861111111111</v>
      </c>
      <c r="C45" s="10" t="s">
        <v>532</v>
      </c>
      <c r="D45" s="10" t="s">
        <v>686</v>
      </c>
      <c r="E45" s="10" t="s">
        <v>105</v>
      </c>
      <c r="G45" s="0" t="n">
        <v>50</v>
      </c>
      <c r="I45" s="11"/>
      <c r="J45" s="10" t="s">
        <v>811</v>
      </c>
      <c r="L45" s="31" t="n">
        <f aca="false">IF($C45="","",IFERROR(IF(INDEX(campaigns!$BG$2:$BG$51,MATCH($C45,campaigns!$A$2:$A$51,0))="","",INDEX(campaigns!$BG$2:$BG$51,MATCH($C45,campaigns!$A$2:$A$51,0))),""))</f>
        <v>46427</v>
      </c>
      <c r="M45" s="30" t="n">
        <f aca="false">IF($C45="","",IF(OR($E45="received"),N($G45),IF(OR($E45="rejected",$E45="delivered",$E45="topped_up"),-N($G45),IF(AND(OR($E45="returned_to_brand",$E45="given_to_roster_office",$E45="released_to_office",$E45="disposed"),IF($F45="","reserve",$F45)="reserve"),-N($G45),IF(AND($E45="correction",IF($F45="","reserve",$F45)="reserve"),N($G45),0)))))</f>
        <v>-50</v>
      </c>
      <c r="N45" s="30" t="n">
        <f aca="false">IF($C45="","",IF($E45="rejected",N($G45),IF(AND(OR($E45="returned_to_brand",$E45="given_to_roster_office",$E45="released_to_office",$E45="disposed"),IF($F45="","reserve",$F45)="rejected"),-N($G45),IF(AND($E45="correction",IF($F45="","reserve",$F45)="rejected"),N($G45),0))))</f>
        <v>0</v>
      </c>
      <c r="O45" s="30" t="n">
        <f aca="false">IF($C45="","",IF($E45="collected",N($G45),IF(AND(OR($E45="returned_to_brand",$E45="given_to_roster_office",$E45="released_to_office",$E45="disposed"),IF($F45="","reserve",$F45)="leftover"),-N($G45),IF(AND($E45="correction",IF($F45="","reserve",$F45)="leftover"),N($G45),0))))</f>
        <v>0</v>
      </c>
      <c r="P45" s="30" t="str">
        <f aca="false">IF(OR($E45&lt;&gt;"received",$I45="",$L45=""),"",IF($I45&gt;=$L45+config!$B$19,"Y","N"))</f>
        <v/>
      </c>
      <c r="Q45" s="30" t="str">
        <f aca="false">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30" t="str">
        <f aca="false">IF($C45="","",$C45&amp;"|"&amp;$D45&amp;"|"&amp;$E45)</f>
        <v>SAMPLE-CMP-004|SAMPLE-O-004|delivered</v>
      </c>
    </row>
    <row r="46" customFormat="false" ht="15" hidden="false" customHeight="false" outlineLevel="0" collapsed="false">
      <c r="A46" s="11" t="n">
        <v>46427</v>
      </c>
      <c r="B46" s="38" t="n">
        <v>0.445138888888889</v>
      </c>
      <c r="C46" s="10" t="s">
        <v>532</v>
      </c>
      <c r="D46" s="10" t="s">
        <v>688</v>
      </c>
      <c r="E46" s="10" t="s">
        <v>105</v>
      </c>
      <c r="G46" s="0" t="n">
        <v>70</v>
      </c>
      <c r="I46" s="11"/>
      <c r="J46" s="10" t="s">
        <v>811</v>
      </c>
      <c r="L46" s="31" t="n">
        <f aca="false">IF($C46="","",IFERROR(IF(INDEX(campaigns!$BG$2:$BG$51,MATCH($C46,campaigns!$A$2:$A$51,0))="","",INDEX(campaigns!$BG$2:$BG$51,MATCH($C46,campaigns!$A$2:$A$51,0))),""))</f>
        <v>46427</v>
      </c>
      <c r="M46" s="30" t="n">
        <f aca="false">IF($C46="","",IF(OR($E46="received"),N($G46),IF(OR($E46="rejected",$E46="delivered",$E46="topped_up"),-N($G46),IF(AND(OR($E46="returned_to_brand",$E46="given_to_roster_office",$E46="released_to_office",$E46="disposed"),IF($F46="","reserve",$F46)="reserve"),-N($G46),IF(AND($E46="correction",IF($F46="","reserve",$F46)="reserve"),N($G46),0)))))</f>
        <v>-70</v>
      </c>
      <c r="N46" s="30" t="n">
        <f aca="false">IF($C46="","",IF($E46="rejected",N($G46),IF(AND(OR($E46="returned_to_brand",$E46="given_to_roster_office",$E46="released_to_office",$E46="disposed"),IF($F46="","reserve",$F46)="rejected"),-N($G46),IF(AND($E46="correction",IF($F46="","reserve",$F46)="rejected"),N($G46),0))))</f>
        <v>0</v>
      </c>
      <c r="O46" s="30" t="n">
        <f aca="false">IF($C46="","",IF($E46="collected",N($G46),IF(AND(OR($E46="returned_to_brand",$E46="given_to_roster_office",$E46="released_to_office",$E46="disposed"),IF($F46="","reserve",$F46)="leftover"),-N($G46),IF(AND($E46="correction",IF($F46="","reserve",$F46)="leftover"),N($G46),0))))</f>
        <v>0</v>
      </c>
      <c r="P46" s="30" t="str">
        <f aca="false">IF(OR($E46&lt;&gt;"received",$I46="",$L46=""),"",IF($I46&gt;=$L46+config!$B$19,"Y","N"))</f>
        <v/>
      </c>
      <c r="Q46" s="30" t="str">
        <f aca="false">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30" t="str">
        <f aca="false">IF($C46="","",$C46&amp;"|"&amp;$D46&amp;"|"&amp;$E46)</f>
        <v>SAMPLE-CMP-004|SAMPLE-O-005|delivered</v>
      </c>
    </row>
    <row r="47" customFormat="false" ht="15" hidden="false" customHeight="false" outlineLevel="0" collapsed="false">
      <c r="A47" s="11" t="n">
        <v>46427</v>
      </c>
      <c r="B47" s="38" t="n">
        <v>0.349305555555556</v>
      </c>
      <c r="C47" s="10" t="s">
        <v>532</v>
      </c>
      <c r="D47" s="10" t="s">
        <v>690</v>
      </c>
      <c r="E47" s="10" t="s">
        <v>105</v>
      </c>
      <c r="G47" s="0" t="n">
        <v>45</v>
      </c>
      <c r="I47" s="11"/>
      <c r="J47" s="10" t="s">
        <v>811</v>
      </c>
      <c r="L47" s="31" t="n">
        <f aca="false">IF($C47="","",IFERROR(IF(INDEX(campaigns!$BG$2:$BG$51,MATCH($C47,campaigns!$A$2:$A$51,0))="","",INDEX(campaigns!$BG$2:$BG$51,MATCH($C47,campaigns!$A$2:$A$51,0))),""))</f>
        <v>46427</v>
      </c>
      <c r="M47" s="30" t="n">
        <f aca="false">IF($C47="","",IF(OR($E47="received"),N($G47),IF(OR($E47="rejected",$E47="delivered",$E47="topped_up"),-N($G47),IF(AND(OR($E47="returned_to_brand",$E47="given_to_roster_office",$E47="released_to_office",$E47="disposed"),IF($F47="","reserve",$F47)="reserve"),-N($G47),IF(AND($E47="correction",IF($F47="","reserve",$F47)="reserve"),N($G47),0)))))</f>
        <v>-45</v>
      </c>
      <c r="N47" s="30" t="n">
        <f aca="false">IF($C47="","",IF($E47="rejected",N($G47),IF(AND(OR($E47="returned_to_brand",$E47="given_to_roster_office",$E47="released_to_office",$E47="disposed"),IF($F47="","reserve",$F47)="rejected"),-N($G47),IF(AND($E47="correction",IF($F47="","reserve",$F47)="rejected"),N($G47),0))))</f>
        <v>0</v>
      </c>
      <c r="O47" s="30" t="n">
        <f aca="false">IF($C47="","",IF($E47="collected",N($G47),IF(AND(OR($E47="returned_to_brand",$E47="given_to_roster_office",$E47="released_to_office",$E47="disposed"),IF($F47="","reserve",$F47)="leftover"),-N($G47),IF(AND($E47="correction",IF($F47="","reserve",$F47)="leftover"),N($G47),0))))</f>
        <v>0</v>
      </c>
      <c r="P47" s="30" t="str">
        <f aca="false">IF(OR($E47&lt;&gt;"received",$I47="",$L47=""),"",IF($I47&gt;=$L47+config!$B$19,"Y","N"))</f>
        <v/>
      </c>
      <c r="Q47" s="30" t="str">
        <f aca="false">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30" t="str">
        <f aca="false">IF($C47="","",$C47&amp;"|"&amp;$D47&amp;"|"&amp;$E47)</f>
        <v>SAMPLE-CMP-004|SAMPLE-O-006|delivered</v>
      </c>
    </row>
    <row r="48" customFormat="false" ht="15" hidden="false" customHeight="false" outlineLevel="0" collapsed="false">
      <c r="A48" s="11" t="n">
        <v>46427</v>
      </c>
      <c r="B48" s="38" t="n">
        <v>0.415972222222222</v>
      </c>
      <c r="C48" s="10" t="s">
        <v>532</v>
      </c>
      <c r="D48" s="10" t="s">
        <v>694</v>
      </c>
      <c r="E48" s="10" t="s">
        <v>105</v>
      </c>
      <c r="G48" s="0" t="n">
        <v>45</v>
      </c>
      <c r="I48" s="11"/>
      <c r="J48" s="10" t="s">
        <v>811</v>
      </c>
      <c r="L48" s="31" t="n">
        <f aca="false">IF($C48="","",IFERROR(IF(INDEX(campaigns!$BG$2:$BG$51,MATCH($C48,campaigns!$A$2:$A$51,0))="","",INDEX(campaigns!$BG$2:$BG$51,MATCH($C48,campaigns!$A$2:$A$51,0))),""))</f>
        <v>46427</v>
      </c>
      <c r="M48" s="30" t="n">
        <f aca="false">IF($C48="","",IF(OR($E48="received"),N($G48),IF(OR($E48="rejected",$E48="delivered",$E48="topped_up"),-N($G48),IF(AND(OR($E48="returned_to_brand",$E48="given_to_roster_office",$E48="released_to_office",$E48="disposed"),IF($F48="","reserve",$F48)="reserve"),-N($G48),IF(AND($E48="correction",IF($F48="","reserve",$F48)="reserve"),N($G48),0)))))</f>
        <v>-45</v>
      </c>
      <c r="N48" s="30" t="n">
        <f aca="false">IF($C48="","",IF($E48="rejected",N($G48),IF(AND(OR($E48="returned_to_brand",$E48="given_to_roster_office",$E48="released_to_office",$E48="disposed"),IF($F48="","reserve",$F48)="rejected"),-N($G48),IF(AND($E48="correction",IF($F48="","reserve",$F48)="rejected"),N($G48),0))))</f>
        <v>0</v>
      </c>
      <c r="O48" s="30" t="n">
        <f aca="false">IF($C48="","",IF($E48="collected",N($G48),IF(AND(OR($E48="returned_to_brand",$E48="given_to_roster_office",$E48="released_to_office",$E48="disposed"),IF($F48="","reserve",$F48)="leftover"),-N($G48),IF(AND($E48="correction",IF($F48="","reserve",$F48)="leftover"),N($G48),0))))</f>
        <v>0</v>
      </c>
      <c r="P48" s="30" t="str">
        <f aca="false">IF(OR($E48&lt;&gt;"received",$I48="",$L48=""),"",IF($I48&gt;=$L48+config!$B$19,"Y","N"))</f>
        <v/>
      </c>
      <c r="Q48" s="30" t="str">
        <f aca="false">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30" t="str">
        <f aca="false">IF($C48="","",$C48&amp;"|"&amp;$D48&amp;"|"&amp;$E48)</f>
        <v>SAMPLE-CMP-004|SAMPLE-O-008|delivered</v>
      </c>
    </row>
    <row r="49" customFormat="false" ht="15" hidden="false" customHeight="false" outlineLevel="0" collapsed="false">
      <c r="A49" s="11" t="n">
        <v>46428</v>
      </c>
      <c r="B49" s="38" t="n">
        <v>0.361111111111111</v>
      </c>
      <c r="C49" s="10" t="s">
        <v>532</v>
      </c>
      <c r="D49" s="10" t="s">
        <v>696</v>
      </c>
      <c r="E49" s="10" t="s">
        <v>105</v>
      </c>
      <c r="G49" s="0" t="n">
        <v>75</v>
      </c>
      <c r="I49" s="11"/>
      <c r="J49" s="10" t="s">
        <v>792</v>
      </c>
      <c r="L49" s="31" t="n">
        <f aca="false">IF($C49="","",IFERROR(IF(INDEX(campaigns!$BG$2:$BG$51,MATCH($C49,campaigns!$A$2:$A$51,0))="","",INDEX(campaigns!$BG$2:$BG$51,MATCH($C49,campaigns!$A$2:$A$51,0))),""))</f>
        <v>46427</v>
      </c>
      <c r="M49" s="30" t="n">
        <f aca="false">IF($C49="","",IF(OR($E49="received"),N($G49),IF(OR($E49="rejected",$E49="delivered",$E49="topped_up"),-N($G49),IF(AND(OR($E49="returned_to_brand",$E49="given_to_roster_office",$E49="released_to_office",$E49="disposed"),IF($F49="","reserve",$F49)="reserve"),-N($G49),IF(AND($E49="correction",IF($F49="","reserve",$F49)="reserve"),N($G49),0)))))</f>
        <v>-75</v>
      </c>
      <c r="N49" s="30" t="n">
        <f aca="false">IF($C49="","",IF($E49="rejected",N($G49),IF(AND(OR($E49="returned_to_brand",$E49="given_to_roster_office",$E49="released_to_office",$E49="disposed"),IF($F49="","reserve",$F49)="rejected"),-N($G49),IF(AND($E49="correction",IF($F49="","reserve",$F49)="rejected"),N($G49),0))))</f>
        <v>0</v>
      </c>
      <c r="O49" s="30" t="n">
        <f aca="false">IF($C49="","",IF($E49="collected",N($G49),IF(AND(OR($E49="returned_to_brand",$E49="given_to_roster_office",$E49="released_to_office",$E49="disposed"),IF($F49="","reserve",$F49)="leftover"),-N($G49),IF(AND($E49="correction",IF($F49="","reserve",$F49)="leftover"),N($G49),0))))</f>
        <v>0</v>
      </c>
      <c r="P49" s="30" t="str">
        <f aca="false">IF(OR($E49&lt;&gt;"received",$I49="",$L49=""),"",IF($I49&gt;=$L49+config!$B$19,"Y","N"))</f>
        <v/>
      </c>
      <c r="Q49" s="30" t="str">
        <f aca="false">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30" t="str">
        <f aca="false">IF($C49="","",$C49&amp;"|"&amp;$D49&amp;"|"&amp;$E49)</f>
        <v>SAMPLE-CMP-004|SAMPLE-O-009|delivered</v>
      </c>
    </row>
    <row r="50" customFormat="false" ht="15" hidden="false" customHeight="false" outlineLevel="0" collapsed="false">
      <c r="A50" s="11" t="n">
        <v>46429</v>
      </c>
      <c r="B50" s="38" t="n">
        <v>0.541666666666667</v>
      </c>
      <c r="C50" s="10" t="s">
        <v>532</v>
      </c>
      <c r="D50" s="10" t="s">
        <v>696</v>
      </c>
      <c r="E50" s="10" t="s">
        <v>800</v>
      </c>
      <c r="G50" s="0" t="n">
        <v>6</v>
      </c>
      <c r="I50" s="11"/>
      <c r="J50" s="10" t="s">
        <v>792</v>
      </c>
      <c r="L50" s="31" t="n">
        <f aca="false">IF($C50="","",IFERROR(IF(INDEX(campaigns!$BG$2:$BG$51,MATCH($C50,campaigns!$A$2:$A$51,0))="","",INDEX(campaigns!$BG$2:$BG$51,MATCH($C50,campaigns!$A$2:$A$51,0))),""))</f>
        <v>46427</v>
      </c>
      <c r="M50" s="30" t="n">
        <f aca="false">IF($C50="","",IF(OR($E50="received"),N($G50),IF(OR($E50="rejected",$E50="delivered",$E50="topped_up"),-N($G50),IF(AND(OR($E50="returned_to_brand",$E50="given_to_roster_office",$E50="released_to_office",$E50="disposed"),IF($F50="","reserve",$F50)="reserve"),-N($G50),IF(AND($E50="correction",IF($F50="","reserve",$F50)="reserve"),N($G50),0)))))</f>
        <v>-6</v>
      </c>
      <c r="N50" s="30" t="n">
        <f aca="false">IF($C50="","",IF($E50="rejected",N($G50),IF(AND(OR($E50="returned_to_brand",$E50="given_to_roster_office",$E50="released_to_office",$E50="disposed"),IF($F50="","reserve",$F50)="rejected"),-N($G50),IF(AND($E50="correction",IF($F50="","reserve",$F50)="rejected"),N($G50),0))))</f>
        <v>0</v>
      </c>
      <c r="O50" s="30" t="n">
        <f aca="false">IF($C50="","",IF($E50="collected",N($G50),IF(AND(OR($E50="returned_to_brand",$E50="given_to_roster_office",$E50="released_to_office",$E50="disposed"),IF($F50="","reserve",$F50)="leftover"),-N($G50),IF(AND($E50="correction",IF($F50="","reserve",$F50)="leftover"),N($G50),0))))</f>
        <v>0</v>
      </c>
      <c r="P50" s="30" t="str">
        <f aca="false">IF(OR($E50&lt;&gt;"received",$I50="",$L50=""),"",IF($I50&gt;=$L50+config!$B$19,"Y","N"))</f>
        <v/>
      </c>
      <c r="Q50" s="30" t="str">
        <f aca="false">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30" t="str">
        <f aca="false">IF($C50="","",$C50&amp;"|"&amp;$D50&amp;"|"&amp;$E50)</f>
        <v>SAMPLE-CMP-004|SAMPLE-O-009|topped_up</v>
      </c>
    </row>
    <row r="51" customFormat="false" ht="15" hidden="false" customHeight="false" outlineLevel="0" collapsed="false">
      <c r="A51" s="11" t="n">
        <v>46427</v>
      </c>
      <c r="B51" s="38" t="n">
        <v>0.361805555555556</v>
      </c>
      <c r="C51" s="10" t="s">
        <v>532</v>
      </c>
      <c r="D51" s="10" t="s">
        <v>698</v>
      </c>
      <c r="E51" s="10" t="s">
        <v>105</v>
      </c>
      <c r="G51" s="0" t="n">
        <v>40</v>
      </c>
      <c r="I51" s="11"/>
      <c r="J51" s="10" t="s">
        <v>811</v>
      </c>
      <c r="L51" s="31" t="n">
        <f aca="false">IF($C51="","",IFERROR(IF(INDEX(campaigns!$BG$2:$BG$51,MATCH($C51,campaigns!$A$2:$A$51,0))="","",INDEX(campaigns!$BG$2:$BG$51,MATCH($C51,campaigns!$A$2:$A$51,0))),""))</f>
        <v>46427</v>
      </c>
      <c r="M51" s="30" t="n">
        <f aca="false">IF($C51="","",IF(OR($E51="received"),N($G51),IF(OR($E51="rejected",$E51="delivered",$E51="topped_up"),-N($G51),IF(AND(OR($E51="returned_to_brand",$E51="given_to_roster_office",$E51="released_to_office",$E51="disposed"),IF($F51="","reserve",$F51)="reserve"),-N($G51),IF(AND($E51="correction",IF($F51="","reserve",$F51)="reserve"),N($G51),0)))))</f>
        <v>-40</v>
      </c>
      <c r="N51" s="30" t="n">
        <f aca="false">IF($C51="","",IF($E51="rejected",N($G51),IF(AND(OR($E51="returned_to_brand",$E51="given_to_roster_office",$E51="released_to_office",$E51="disposed"),IF($F51="","reserve",$F51)="rejected"),-N($G51),IF(AND($E51="correction",IF($F51="","reserve",$F51)="rejected"),N($G51),0))))</f>
        <v>0</v>
      </c>
      <c r="O51" s="30" t="n">
        <f aca="false">IF($C51="","",IF($E51="collected",N($G51),IF(AND(OR($E51="returned_to_brand",$E51="given_to_roster_office",$E51="released_to_office",$E51="disposed"),IF($F51="","reserve",$F51)="leftover"),-N($G51),IF(AND($E51="correction",IF($F51="","reserve",$F51)="leftover"),N($G51),0))))</f>
        <v>0</v>
      </c>
      <c r="P51" s="30" t="str">
        <f aca="false">IF(OR($E51&lt;&gt;"received",$I51="",$L51=""),"",IF($I51&gt;=$L51+config!$B$19,"Y","N"))</f>
        <v/>
      </c>
      <c r="Q51" s="30" t="str">
        <f aca="false">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30" t="str">
        <f aca="false">IF($C51="","",$C51&amp;"|"&amp;$D51&amp;"|"&amp;$E51)</f>
        <v>SAMPLE-CMP-004|SAMPLE-O-010|delivered</v>
      </c>
    </row>
    <row r="52" customFormat="false" ht="15" hidden="false" customHeight="false" outlineLevel="0" collapsed="false">
      <c r="A52" s="11" t="n">
        <v>46427</v>
      </c>
      <c r="B52" s="38" t="n">
        <v>0.3375</v>
      </c>
      <c r="C52" s="10" t="s">
        <v>549</v>
      </c>
      <c r="D52" s="10" t="s">
        <v>678</v>
      </c>
      <c r="E52" s="10" t="s">
        <v>105</v>
      </c>
      <c r="G52" s="0" t="n">
        <v>40</v>
      </c>
      <c r="I52" s="11"/>
      <c r="J52" s="10" t="s">
        <v>811</v>
      </c>
      <c r="L52" s="31" t="n">
        <f aca="false">IF($C52="","",IFERROR(IF(INDEX(campaigns!$BG$2:$BG$51,MATCH($C52,campaigns!$A$2:$A$51,0))="","",INDEX(campaigns!$BG$2:$BG$51,MATCH($C52,campaigns!$A$2:$A$51,0))),""))</f>
        <v>46427</v>
      </c>
      <c r="M52" s="30" t="n">
        <f aca="false">IF($C52="","",IF(OR($E52="received"),N($G52),IF(OR($E52="rejected",$E52="delivered",$E52="topped_up"),-N($G52),IF(AND(OR($E52="returned_to_brand",$E52="given_to_roster_office",$E52="released_to_office",$E52="disposed"),IF($F52="","reserve",$F52)="reserve"),-N($G52),IF(AND($E52="correction",IF($F52="","reserve",$F52)="reserve"),N($G52),0)))))</f>
        <v>-40</v>
      </c>
      <c r="N52" s="30" t="n">
        <f aca="false">IF($C52="","",IF($E52="rejected",N($G52),IF(AND(OR($E52="returned_to_brand",$E52="given_to_roster_office",$E52="released_to_office",$E52="disposed"),IF($F52="","reserve",$F52)="rejected"),-N($G52),IF(AND($E52="correction",IF($F52="","reserve",$F52)="rejected"),N($G52),0))))</f>
        <v>0</v>
      </c>
      <c r="O52" s="30" t="n">
        <f aca="false">IF($C52="","",IF($E52="collected",N($G52),IF(AND(OR($E52="returned_to_brand",$E52="given_to_roster_office",$E52="released_to_office",$E52="disposed"),IF($F52="","reserve",$F52)="leftover"),-N($G52),IF(AND($E52="correction",IF($F52="","reserve",$F52)="leftover"),N($G52),0))))</f>
        <v>0</v>
      </c>
      <c r="P52" s="30" t="str">
        <f aca="false">IF(OR($E52&lt;&gt;"received",$I52="",$L52=""),"",IF($I52&gt;=$L52+config!$B$19,"Y","N"))</f>
        <v/>
      </c>
      <c r="Q52" s="30" t="str">
        <f aca="false">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30" t="str">
        <f aca="false">IF($C52="","",$C52&amp;"|"&amp;$D52&amp;"|"&amp;$E52)</f>
        <v>SAMPLE-CMP-005|SAMPLE-O-001|delivered</v>
      </c>
    </row>
    <row r="53" customFormat="false" ht="15" hidden="false" customHeight="false" outlineLevel="0" collapsed="false">
      <c r="A53" s="11" t="n">
        <v>46427</v>
      </c>
      <c r="B53" s="38" t="n">
        <v>0.389583333333333</v>
      </c>
      <c r="C53" s="10" t="s">
        <v>549</v>
      </c>
      <c r="D53" s="10" t="s">
        <v>681</v>
      </c>
      <c r="E53" s="10" t="s">
        <v>105</v>
      </c>
      <c r="G53" s="0" t="n">
        <v>40</v>
      </c>
      <c r="I53" s="11"/>
      <c r="J53" s="10" t="s">
        <v>811</v>
      </c>
      <c r="L53" s="31" t="n">
        <f aca="false">IF($C53="","",IFERROR(IF(INDEX(campaigns!$BG$2:$BG$51,MATCH($C53,campaigns!$A$2:$A$51,0))="","",INDEX(campaigns!$BG$2:$BG$51,MATCH($C53,campaigns!$A$2:$A$51,0))),""))</f>
        <v>46427</v>
      </c>
      <c r="M53" s="30" t="n">
        <f aca="false">IF($C53="","",IF(OR($E53="received"),N($G53),IF(OR($E53="rejected",$E53="delivered",$E53="topped_up"),-N($G53),IF(AND(OR($E53="returned_to_brand",$E53="given_to_roster_office",$E53="released_to_office",$E53="disposed"),IF($F53="","reserve",$F53)="reserve"),-N($G53),IF(AND($E53="correction",IF($F53="","reserve",$F53)="reserve"),N($G53),0)))))</f>
        <v>-40</v>
      </c>
      <c r="N53" s="30" t="n">
        <f aca="false">IF($C53="","",IF($E53="rejected",N($G53),IF(AND(OR($E53="returned_to_brand",$E53="given_to_roster_office",$E53="released_to_office",$E53="disposed"),IF($F53="","reserve",$F53)="rejected"),-N($G53),IF(AND($E53="correction",IF($F53="","reserve",$F53)="rejected"),N($G53),0))))</f>
        <v>0</v>
      </c>
      <c r="O53" s="30" t="n">
        <f aca="false">IF($C53="","",IF($E53="collected",N($G53),IF(AND(OR($E53="returned_to_brand",$E53="given_to_roster_office",$E53="released_to_office",$E53="disposed"),IF($F53="","reserve",$F53)="leftover"),-N($G53),IF(AND($E53="correction",IF($F53="","reserve",$F53)="leftover"),N($G53),0))))</f>
        <v>0</v>
      </c>
      <c r="P53" s="30" t="str">
        <f aca="false">IF(OR($E53&lt;&gt;"received",$I53="",$L53=""),"",IF($I53&gt;=$L53+config!$B$19,"Y","N"))</f>
        <v/>
      </c>
      <c r="Q53" s="30" t="str">
        <f aca="false">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30" t="str">
        <f aca="false">IF($C53="","",$C53&amp;"|"&amp;$D53&amp;"|"&amp;$E53)</f>
        <v>SAMPLE-CMP-005|SAMPLE-O-002|delivered</v>
      </c>
    </row>
    <row r="54" customFormat="false" ht="15" hidden="false" customHeight="false" outlineLevel="0" collapsed="false">
      <c r="A54" s="11" t="n">
        <v>46427</v>
      </c>
      <c r="B54" s="38" t="n">
        <v>0.377083333333333</v>
      </c>
      <c r="C54" s="10" t="s">
        <v>549</v>
      </c>
      <c r="D54" s="10" t="s">
        <v>683</v>
      </c>
      <c r="E54" s="10" t="s">
        <v>105</v>
      </c>
      <c r="G54" s="0" t="n">
        <v>50</v>
      </c>
      <c r="I54" s="11"/>
      <c r="J54" s="10" t="s">
        <v>811</v>
      </c>
      <c r="L54" s="31" t="n">
        <f aca="false">IF($C54="","",IFERROR(IF(INDEX(campaigns!$BG$2:$BG$51,MATCH($C54,campaigns!$A$2:$A$51,0))="","",INDEX(campaigns!$BG$2:$BG$51,MATCH($C54,campaigns!$A$2:$A$51,0))),""))</f>
        <v>46427</v>
      </c>
      <c r="M54" s="30" t="n">
        <f aca="false">IF($C54="","",IF(OR($E54="received"),N($G54),IF(OR($E54="rejected",$E54="delivered",$E54="topped_up"),-N($G54),IF(AND(OR($E54="returned_to_brand",$E54="given_to_roster_office",$E54="released_to_office",$E54="disposed"),IF($F54="","reserve",$F54)="reserve"),-N($G54),IF(AND($E54="correction",IF($F54="","reserve",$F54)="reserve"),N($G54),0)))))</f>
        <v>-50</v>
      </c>
      <c r="N54" s="30" t="n">
        <f aca="false">IF($C54="","",IF($E54="rejected",N($G54),IF(AND(OR($E54="returned_to_brand",$E54="given_to_roster_office",$E54="released_to_office",$E54="disposed"),IF($F54="","reserve",$F54)="rejected"),-N($G54),IF(AND($E54="correction",IF($F54="","reserve",$F54)="rejected"),N($G54),0))))</f>
        <v>0</v>
      </c>
      <c r="O54" s="30" t="n">
        <f aca="false">IF($C54="","",IF($E54="collected",N($G54),IF(AND(OR($E54="returned_to_brand",$E54="given_to_roster_office",$E54="released_to_office",$E54="disposed"),IF($F54="","reserve",$F54)="leftover"),-N($G54),IF(AND($E54="correction",IF($F54="","reserve",$F54)="leftover"),N($G54),0))))</f>
        <v>0</v>
      </c>
      <c r="P54" s="30" t="str">
        <f aca="false">IF(OR($E54&lt;&gt;"received",$I54="",$L54=""),"",IF($I54&gt;=$L54+config!$B$19,"Y","N"))</f>
        <v/>
      </c>
      <c r="Q54" s="30" t="str">
        <f aca="false">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30" t="str">
        <f aca="false">IF($C54="","",$C54&amp;"|"&amp;$D54&amp;"|"&amp;$E54)</f>
        <v>SAMPLE-CMP-005|SAMPLE-O-003|delivered</v>
      </c>
    </row>
    <row r="55" customFormat="false" ht="15" hidden="false" customHeight="false" outlineLevel="0" collapsed="false">
      <c r="A55" s="11" t="n">
        <v>46427</v>
      </c>
      <c r="B55" s="38" t="n">
        <v>0.429861111111111</v>
      </c>
      <c r="C55" s="10" t="s">
        <v>549</v>
      </c>
      <c r="D55" s="10" t="s">
        <v>686</v>
      </c>
      <c r="E55" s="10" t="s">
        <v>105</v>
      </c>
      <c r="G55" s="0" t="n">
        <v>50</v>
      </c>
      <c r="I55" s="11"/>
      <c r="J55" s="10" t="s">
        <v>811</v>
      </c>
      <c r="L55" s="31" t="n">
        <f aca="false">IF($C55="","",IFERROR(IF(INDEX(campaigns!$BG$2:$BG$51,MATCH($C55,campaigns!$A$2:$A$51,0))="","",INDEX(campaigns!$BG$2:$BG$51,MATCH($C55,campaigns!$A$2:$A$51,0))),""))</f>
        <v>46427</v>
      </c>
      <c r="M55" s="30" t="n">
        <f aca="false">IF($C55="","",IF(OR($E55="received"),N($G55),IF(OR($E55="rejected",$E55="delivered",$E55="topped_up"),-N($G55),IF(AND(OR($E55="returned_to_brand",$E55="given_to_roster_office",$E55="released_to_office",$E55="disposed"),IF($F55="","reserve",$F55)="reserve"),-N($G55),IF(AND($E55="correction",IF($F55="","reserve",$F55)="reserve"),N($G55),0)))))</f>
        <v>-50</v>
      </c>
      <c r="N55" s="30" t="n">
        <f aca="false">IF($C55="","",IF($E55="rejected",N($G55),IF(AND(OR($E55="returned_to_brand",$E55="given_to_roster_office",$E55="released_to_office",$E55="disposed"),IF($F55="","reserve",$F55)="rejected"),-N($G55),IF(AND($E55="correction",IF($F55="","reserve",$F55)="rejected"),N($G55),0))))</f>
        <v>0</v>
      </c>
      <c r="O55" s="30" t="n">
        <f aca="false">IF($C55="","",IF($E55="collected",N($G55),IF(AND(OR($E55="returned_to_brand",$E55="given_to_roster_office",$E55="released_to_office",$E55="disposed"),IF($F55="","reserve",$F55)="leftover"),-N($G55),IF(AND($E55="correction",IF($F55="","reserve",$F55)="leftover"),N($G55),0))))</f>
        <v>0</v>
      </c>
      <c r="P55" s="30" t="str">
        <f aca="false">IF(OR($E55&lt;&gt;"received",$I55="",$L55=""),"",IF($I55&gt;=$L55+config!$B$19,"Y","N"))</f>
        <v/>
      </c>
      <c r="Q55" s="30" t="str">
        <f aca="false">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30" t="str">
        <f aca="false">IF($C55="","",$C55&amp;"|"&amp;$D55&amp;"|"&amp;$E55)</f>
        <v>SAMPLE-CMP-005|SAMPLE-O-004|delivered</v>
      </c>
    </row>
    <row r="56" customFormat="false" ht="15" hidden="false" customHeight="false" outlineLevel="0" collapsed="false">
      <c r="A56" s="11" t="n">
        <v>46427</v>
      </c>
      <c r="B56" s="38" t="n">
        <v>0.445138888888889</v>
      </c>
      <c r="C56" s="10" t="s">
        <v>549</v>
      </c>
      <c r="D56" s="10" t="s">
        <v>688</v>
      </c>
      <c r="E56" s="10" t="s">
        <v>105</v>
      </c>
      <c r="G56" s="0" t="n">
        <v>70</v>
      </c>
      <c r="I56" s="11"/>
      <c r="J56" s="10" t="s">
        <v>811</v>
      </c>
      <c r="L56" s="31" t="n">
        <f aca="false">IF($C56="","",IFERROR(IF(INDEX(campaigns!$BG$2:$BG$51,MATCH($C56,campaigns!$A$2:$A$51,0))="","",INDEX(campaigns!$BG$2:$BG$51,MATCH($C56,campaigns!$A$2:$A$51,0))),""))</f>
        <v>46427</v>
      </c>
      <c r="M56" s="30" t="n">
        <f aca="false">IF($C56="","",IF(OR($E56="received"),N($G56),IF(OR($E56="rejected",$E56="delivered",$E56="topped_up"),-N($G56),IF(AND(OR($E56="returned_to_brand",$E56="given_to_roster_office",$E56="released_to_office",$E56="disposed"),IF($F56="","reserve",$F56)="reserve"),-N($G56),IF(AND($E56="correction",IF($F56="","reserve",$F56)="reserve"),N($G56),0)))))</f>
        <v>-70</v>
      </c>
      <c r="N56" s="30" t="n">
        <f aca="false">IF($C56="","",IF($E56="rejected",N($G56),IF(AND(OR($E56="returned_to_brand",$E56="given_to_roster_office",$E56="released_to_office",$E56="disposed"),IF($F56="","reserve",$F56)="rejected"),-N($G56),IF(AND($E56="correction",IF($F56="","reserve",$F56)="rejected"),N($G56),0))))</f>
        <v>0</v>
      </c>
      <c r="O56" s="30" t="n">
        <f aca="false">IF($C56="","",IF($E56="collected",N($G56),IF(AND(OR($E56="returned_to_brand",$E56="given_to_roster_office",$E56="released_to_office",$E56="disposed"),IF($F56="","reserve",$F56)="leftover"),-N($G56),IF(AND($E56="correction",IF($F56="","reserve",$F56)="leftover"),N($G56),0))))</f>
        <v>0</v>
      </c>
      <c r="P56" s="30" t="str">
        <f aca="false">IF(OR($E56&lt;&gt;"received",$I56="",$L56=""),"",IF($I56&gt;=$L56+config!$B$19,"Y","N"))</f>
        <v/>
      </c>
      <c r="Q56" s="30" t="str">
        <f aca="false">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30" t="str">
        <f aca="false">IF($C56="","",$C56&amp;"|"&amp;$D56&amp;"|"&amp;$E56)</f>
        <v>SAMPLE-CMP-005|SAMPLE-O-005|delivered</v>
      </c>
    </row>
    <row r="57" customFormat="false" ht="15" hidden="false" customHeight="false" outlineLevel="0" collapsed="false">
      <c r="A57" s="11" t="n">
        <v>46427</v>
      </c>
      <c r="B57" s="38" t="n">
        <v>0.349305555555556</v>
      </c>
      <c r="C57" s="10" t="s">
        <v>549</v>
      </c>
      <c r="D57" s="10" t="s">
        <v>690</v>
      </c>
      <c r="E57" s="10" t="s">
        <v>105</v>
      </c>
      <c r="G57" s="0" t="n">
        <v>45</v>
      </c>
      <c r="I57" s="11"/>
      <c r="J57" s="10" t="s">
        <v>811</v>
      </c>
      <c r="L57" s="31" t="n">
        <f aca="false">IF($C57="","",IFERROR(IF(INDEX(campaigns!$BG$2:$BG$51,MATCH($C57,campaigns!$A$2:$A$51,0))="","",INDEX(campaigns!$BG$2:$BG$51,MATCH($C57,campaigns!$A$2:$A$51,0))),""))</f>
        <v>46427</v>
      </c>
      <c r="M57" s="30" t="n">
        <f aca="false">IF($C57="","",IF(OR($E57="received"),N($G57),IF(OR($E57="rejected",$E57="delivered",$E57="topped_up"),-N($G57),IF(AND(OR($E57="returned_to_brand",$E57="given_to_roster_office",$E57="released_to_office",$E57="disposed"),IF($F57="","reserve",$F57)="reserve"),-N($G57),IF(AND($E57="correction",IF($F57="","reserve",$F57)="reserve"),N($G57),0)))))</f>
        <v>-45</v>
      </c>
      <c r="N57" s="30" t="n">
        <f aca="false">IF($C57="","",IF($E57="rejected",N($G57),IF(AND(OR($E57="returned_to_brand",$E57="given_to_roster_office",$E57="released_to_office",$E57="disposed"),IF($F57="","reserve",$F57)="rejected"),-N($G57),IF(AND($E57="correction",IF($F57="","reserve",$F57)="rejected"),N($G57),0))))</f>
        <v>0</v>
      </c>
      <c r="O57" s="30" t="n">
        <f aca="false">IF($C57="","",IF($E57="collected",N($G57),IF(AND(OR($E57="returned_to_brand",$E57="given_to_roster_office",$E57="released_to_office",$E57="disposed"),IF($F57="","reserve",$F57)="leftover"),-N($G57),IF(AND($E57="correction",IF($F57="","reserve",$F57)="leftover"),N($G57),0))))</f>
        <v>0</v>
      </c>
      <c r="P57" s="30" t="str">
        <f aca="false">IF(OR($E57&lt;&gt;"received",$I57="",$L57=""),"",IF($I57&gt;=$L57+config!$B$19,"Y","N"))</f>
        <v/>
      </c>
      <c r="Q57" s="30" t="str">
        <f aca="false">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30" t="str">
        <f aca="false">IF($C57="","",$C57&amp;"|"&amp;$D57&amp;"|"&amp;$E57)</f>
        <v>SAMPLE-CMP-005|SAMPLE-O-006|delivered</v>
      </c>
    </row>
    <row r="58" customFormat="false" ht="15" hidden="false" customHeight="false" outlineLevel="0" collapsed="false">
      <c r="A58" s="11" t="n">
        <v>46427</v>
      </c>
      <c r="B58" s="38" t="n">
        <v>0.402083333333333</v>
      </c>
      <c r="C58" s="10" t="s">
        <v>549</v>
      </c>
      <c r="D58" s="10" t="s">
        <v>692</v>
      </c>
      <c r="E58" s="10" t="s">
        <v>105</v>
      </c>
      <c r="G58" s="0" t="n">
        <v>60</v>
      </c>
      <c r="I58" s="11"/>
      <c r="J58" s="10" t="s">
        <v>811</v>
      </c>
      <c r="L58" s="31" t="n">
        <f aca="false">IF($C58="","",IFERROR(IF(INDEX(campaigns!$BG$2:$BG$51,MATCH($C58,campaigns!$A$2:$A$51,0))="","",INDEX(campaigns!$BG$2:$BG$51,MATCH($C58,campaigns!$A$2:$A$51,0))),""))</f>
        <v>46427</v>
      </c>
      <c r="M58" s="30" t="n">
        <f aca="false">IF($C58="","",IF(OR($E58="received"),N($G58),IF(OR($E58="rejected",$E58="delivered",$E58="topped_up"),-N($G58),IF(AND(OR($E58="returned_to_brand",$E58="given_to_roster_office",$E58="released_to_office",$E58="disposed"),IF($F58="","reserve",$F58)="reserve"),-N($G58),IF(AND($E58="correction",IF($F58="","reserve",$F58)="reserve"),N($G58),0)))))</f>
        <v>-60</v>
      </c>
      <c r="N58" s="30" t="n">
        <f aca="false">IF($C58="","",IF($E58="rejected",N($G58),IF(AND(OR($E58="returned_to_brand",$E58="given_to_roster_office",$E58="released_to_office",$E58="disposed"),IF($F58="","reserve",$F58)="rejected"),-N($G58),IF(AND($E58="correction",IF($F58="","reserve",$F58)="rejected"),N($G58),0))))</f>
        <v>0</v>
      </c>
      <c r="O58" s="30" t="n">
        <f aca="false">IF($C58="","",IF($E58="collected",N($G58),IF(AND(OR($E58="returned_to_brand",$E58="given_to_roster_office",$E58="released_to_office",$E58="disposed"),IF($F58="","reserve",$F58)="leftover"),-N($G58),IF(AND($E58="correction",IF($F58="","reserve",$F58)="leftover"),N($G58),0))))</f>
        <v>0</v>
      </c>
      <c r="P58" s="30" t="str">
        <f aca="false">IF(OR($E58&lt;&gt;"received",$I58="",$L58=""),"",IF($I58&gt;=$L58+config!$B$19,"Y","N"))</f>
        <v/>
      </c>
      <c r="Q58" s="30" t="str">
        <f aca="false">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30" t="str">
        <f aca="false">IF($C58="","",$C58&amp;"|"&amp;$D58&amp;"|"&amp;$E58)</f>
        <v>SAMPLE-CMP-005|SAMPLE-O-007|delivered</v>
      </c>
    </row>
    <row r="59" customFormat="false" ht="15" hidden="false" customHeight="false" outlineLevel="0" collapsed="false">
      <c r="A59" s="11" t="n">
        <v>46427</v>
      </c>
      <c r="B59" s="38" t="n">
        <v>0.415972222222222</v>
      </c>
      <c r="C59" s="10" t="s">
        <v>549</v>
      </c>
      <c r="D59" s="10" t="s">
        <v>694</v>
      </c>
      <c r="E59" s="10" t="s">
        <v>105</v>
      </c>
      <c r="G59" s="0" t="n">
        <v>45</v>
      </c>
      <c r="I59" s="11"/>
      <c r="J59" s="10" t="s">
        <v>811</v>
      </c>
      <c r="L59" s="31" t="n">
        <f aca="false">IF($C59="","",IFERROR(IF(INDEX(campaigns!$BG$2:$BG$51,MATCH($C59,campaigns!$A$2:$A$51,0))="","",INDEX(campaigns!$BG$2:$BG$51,MATCH($C59,campaigns!$A$2:$A$51,0))),""))</f>
        <v>46427</v>
      </c>
      <c r="M59" s="30" t="n">
        <f aca="false">IF($C59="","",IF(OR($E59="received"),N($G59),IF(OR($E59="rejected",$E59="delivered",$E59="topped_up"),-N($G59),IF(AND(OR($E59="returned_to_brand",$E59="given_to_roster_office",$E59="released_to_office",$E59="disposed"),IF($F59="","reserve",$F59)="reserve"),-N($G59),IF(AND($E59="correction",IF($F59="","reserve",$F59)="reserve"),N($G59),0)))))</f>
        <v>-45</v>
      </c>
      <c r="N59" s="30" t="n">
        <f aca="false">IF($C59="","",IF($E59="rejected",N($G59),IF(AND(OR($E59="returned_to_brand",$E59="given_to_roster_office",$E59="released_to_office",$E59="disposed"),IF($F59="","reserve",$F59)="rejected"),-N($G59),IF(AND($E59="correction",IF($F59="","reserve",$F59)="rejected"),N($G59),0))))</f>
        <v>0</v>
      </c>
      <c r="O59" s="30" t="n">
        <f aca="false">IF($C59="","",IF($E59="collected",N($G59),IF(AND(OR($E59="returned_to_brand",$E59="given_to_roster_office",$E59="released_to_office",$E59="disposed"),IF($F59="","reserve",$F59)="leftover"),-N($G59),IF(AND($E59="correction",IF($F59="","reserve",$F59)="leftover"),N($G59),0))))</f>
        <v>0</v>
      </c>
      <c r="P59" s="30" t="str">
        <f aca="false">IF(OR($E59&lt;&gt;"received",$I59="",$L59=""),"",IF($I59&gt;=$L59+config!$B$19,"Y","N"))</f>
        <v/>
      </c>
      <c r="Q59" s="30" t="str">
        <f aca="false">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30" t="str">
        <f aca="false">IF($C59="","",$C59&amp;"|"&amp;$D59&amp;"|"&amp;$E59)</f>
        <v>SAMPLE-CMP-005|SAMPLE-O-008|delivered</v>
      </c>
    </row>
    <row r="60" customFormat="false" ht="15" hidden="false" customHeight="false" outlineLevel="0" collapsed="false">
      <c r="A60" s="11" t="n">
        <v>46428</v>
      </c>
      <c r="B60" s="38" t="n">
        <v>0.361111111111111</v>
      </c>
      <c r="C60" s="10" t="s">
        <v>549</v>
      </c>
      <c r="D60" s="10" t="s">
        <v>696</v>
      </c>
      <c r="E60" s="10" t="s">
        <v>105</v>
      </c>
      <c r="G60" s="0" t="n">
        <v>75</v>
      </c>
      <c r="I60" s="11"/>
      <c r="J60" s="10" t="s">
        <v>792</v>
      </c>
      <c r="L60" s="31" t="n">
        <f aca="false">IF($C60="","",IFERROR(IF(INDEX(campaigns!$BG$2:$BG$51,MATCH($C60,campaigns!$A$2:$A$51,0))="","",INDEX(campaigns!$BG$2:$BG$51,MATCH($C60,campaigns!$A$2:$A$51,0))),""))</f>
        <v>46427</v>
      </c>
      <c r="M60" s="30" t="n">
        <f aca="false">IF($C60="","",IF(OR($E60="received"),N($G60),IF(OR($E60="rejected",$E60="delivered",$E60="topped_up"),-N($G60),IF(AND(OR($E60="returned_to_brand",$E60="given_to_roster_office",$E60="released_to_office",$E60="disposed"),IF($F60="","reserve",$F60)="reserve"),-N($G60),IF(AND($E60="correction",IF($F60="","reserve",$F60)="reserve"),N($G60),0)))))</f>
        <v>-75</v>
      </c>
      <c r="N60" s="30" t="n">
        <f aca="false">IF($C60="","",IF($E60="rejected",N($G60),IF(AND(OR($E60="returned_to_brand",$E60="given_to_roster_office",$E60="released_to_office",$E60="disposed"),IF($F60="","reserve",$F60)="rejected"),-N($G60),IF(AND($E60="correction",IF($F60="","reserve",$F60)="rejected"),N($G60),0))))</f>
        <v>0</v>
      </c>
      <c r="O60" s="30" t="n">
        <f aca="false">IF($C60="","",IF($E60="collected",N($G60),IF(AND(OR($E60="returned_to_brand",$E60="given_to_roster_office",$E60="released_to_office",$E60="disposed"),IF($F60="","reserve",$F60)="leftover"),-N($G60),IF(AND($E60="correction",IF($F60="","reserve",$F60)="leftover"),N($G60),0))))</f>
        <v>0</v>
      </c>
      <c r="P60" s="30" t="str">
        <f aca="false">IF(OR($E60&lt;&gt;"received",$I60="",$L60=""),"",IF($I60&gt;=$L60+config!$B$19,"Y","N"))</f>
        <v/>
      </c>
      <c r="Q60" s="30" t="str">
        <f aca="false">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30" t="str">
        <f aca="false">IF($C60="","",$C60&amp;"|"&amp;$D60&amp;"|"&amp;$E60)</f>
        <v>SAMPLE-CMP-005|SAMPLE-O-009|delivered</v>
      </c>
    </row>
    <row r="61" customFormat="false" ht="15" hidden="false" customHeight="false" outlineLevel="0" collapsed="false">
      <c r="A61" s="11" t="n">
        <v>46429</v>
      </c>
      <c r="B61" s="38" t="n">
        <v>0.541666666666667</v>
      </c>
      <c r="C61" s="10" t="s">
        <v>549</v>
      </c>
      <c r="D61" s="10" t="s">
        <v>696</v>
      </c>
      <c r="E61" s="10" t="s">
        <v>800</v>
      </c>
      <c r="G61" s="0" t="n">
        <v>6</v>
      </c>
      <c r="I61" s="11"/>
      <c r="J61" s="10" t="s">
        <v>792</v>
      </c>
      <c r="L61" s="31" t="n">
        <f aca="false">IF($C61="","",IFERROR(IF(INDEX(campaigns!$BG$2:$BG$51,MATCH($C61,campaigns!$A$2:$A$51,0))="","",INDEX(campaigns!$BG$2:$BG$51,MATCH($C61,campaigns!$A$2:$A$51,0))),""))</f>
        <v>46427</v>
      </c>
      <c r="M61" s="30" t="n">
        <f aca="false">IF($C61="","",IF(OR($E61="received"),N($G61),IF(OR($E61="rejected",$E61="delivered",$E61="topped_up"),-N($G61),IF(AND(OR($E61="returned_to_brand",$E61="given_to_roster_office",$E61="released_to_office",$E61="disposed"),IF($F61="","reserve",$F61)="reserve"),-N($G61),IF(AND($E61="correction",IF($F61="","reserve",$F61)="reserve"),N($G61),0)))))</f>
        <v>-6</v>
      </c>
      <c r="N61" s="30" t="n">
        <f aca="false">IF($C61="","",IF($E61="rejected",N($G61),IF(AND(OR($E61="returned_to_brand",$E61="given_to_roster_office",$E61="released_to_office",$E61="disposed"),IF($F61="","reserve",$F61)="rejected"),-N($G61),IF(AND($E61="correction",IF($F61="","reserve",$F61)="rejected"),N($G61),0))))</f>
        <v>0</v>
      </c>
      <c r="O61" s="30" t="n">
        <f aca="false">IF($C61="","",IF($E61="collected",N($G61),IF(AND(OR($E61="returned_to_brand",$E61="given_to_roster_office",$E61="released_to_office",$E61="disposed"),IF($F61="","reserve",$F61)="leftover"),-N($G61),IF(AND($E61="correction",IF($F61="","reserve",$F61)="leftover"),N($G61),0))))</f>
        <v>0</v>
      </c>
      <c r="P61" s="30" t="str">
        <f aca="false">IF(OR($E61&lt;&gt;"received",$I61="",$L61=""),"",IF($I61&gt;=$L61+config!$B$19,"Y","N"))</f>
        <v/>
      </c>
      <c r="Q61" s="30" t="str">
        <f aca="false">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30" t="str">
        <f aca="false">IF($C61="","",$C61&amp;"|"&amp;$D61&amp;"|"&amp;$E61)</f>
        <v>SAMPLE-CMP-005|SAMPLE-O-009|topped_up</v>
      </c>
    </row>
    <row r="62" customFormat="false" ht="15" hidden="false" customHeight="false" outlineLevel="0" collapsed="false">
      <c r="A62" s="11" t="n">
        <v>46427</v>
      </c>
      <c r="B62" s="38" t="n">
        <v>0.361805555555556</v>
      </c>
      <c r="C62" s="10" t="s">
        <v>549</v>
      </c>
      <c r="D62" s="10" t="s">
        <v>698</v>
      </c>
      <c r="E62" s="10" t="s">
        <v>105</v>
      </c>
      <c r="G62" s="0" t="n">
        <v>40</v>
      </c>
      <c r="I62" s="11"/>
      <c r="J62" s="10" t="s">
        <v>811</v>
      </c>
      <c r="L62" s="31" t="n">
        <f aca="false">IF($C62="","",IFERROR(IF(INDEX(campaigns!$BG$2:$BG$51,MATCH($C62,campaigns!$A$2:$A$51,0))="","",INDEX(campaigns!$BG$2:$BG$51,MATCH($C62,campaigns!$A$2:$A$51,0))),""))</f>
        <v>46427</v>
      </c>
      <c r="M62" s="30" t="n">
        <f aca="false">IF($C62="","",IF(OR($E62="received"),N($G62),IF(OR($E62="rejected",$E62="delivered",$E62="topped_up"),-N($G62),IF(AND(OR($E62="returned_to_brand",$E62="given_to_roster_office",$E62="released_to_office",$E62="disposed"),IF($F62="","reserve",$F62)="reserve"),-N($G62),IF(AND($E62="correction",IF($F62="","reserve",$F62)="reserve"),N($G62),0)))))</f>
        <v>-40</v>
      </c>
      <c r="N62" s="30" t="n">
        <f aca="false">IF($C62="","",IF($E62="rejected",N($G62),IF(AND(OR($E62="returned_to_brand",$E62="given_to_roster_office",$E62="released_to_office",$E62="disposed"),IF($F62="","reserve",$F62)="rejected"),-N($G62),IF(AND($E62="correction",IF($F62="","reserve",$F62)="rejected"),N($G62),0))))</f>
        <v>0</v>
      </c>
      <c r="O62" s="30" t="n">
        <f aca="false">IF($C62="","",IF($E62="collected",N($G62),IF(AND(OR($E62="returned_to_brand",$E62="given_to_roster_office",$E62="released_to_office",$E62="disposed"),IF($F62="","reserve",$F62)="leftover"),-N($G62),IF(AND($E62="correction",IF($F62="","reserve",$F62)="leftover"),N($G62),0))))</f>
        <v>0</v>
      </c>
      <c r="P62" s="30" t="str">
        <f aca="false">IF(OR($E62&lt;&gt;"received",$I62="",$L62=""),"",IF($I62&gt;=$L62+config!$B$19,"Y","N"))</f>
        <v/>
      </c>
      <c r="Q62" s="30" t="str">
        <f aca="false">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30" t="str">
        <f aca="false">IF($C62="","",$C62&amp;"|"&amp;$D62&amp;"|"&amp;$E62)</f>
        <v>SAMPLE-CMP-005|SAMPLE-O-010|delivered</v>
      </c>
    </row>
    <row r="63" customFormat="false" ht="15" hidden="false" customHeight="false" outlineLevel="0" collapsed="false">
      <c r="A63" s="11" t="n">
        <v>46429</v>
      </c>
      <c r="B63" s="38" t="n">
        <v>0.541666666666667</v>
      </c>
      <c r="C63" s="10" t="s">
        <v>549</v>
      </c>
      <c r="D63" s="10" t="s">
        <v>698</v>
      </c>
      <c r="E63" s="10" t="s">
        <v>800</v>
      </c>
      <c r="G63" s="0" t="n">
        <v>6</v>
      </c>
      <c r="I63" s="11"/>
      <c r="J63" s="10" t="s">
        <v>792</v>
      </c>
      <c r="L63" s="31" t="n">
        <f aca="false">IF($C63="","",IFERROR(IF(INDEX(campaigns!$BG$2:$BG$51,MATCH($C63,campaigns!$A$2:$A$51,0))="","",INDEX(campaigns!$BG$2:$BG$51,MATCH($C63,campaigns!$A$2:$A$51,0))),""))</f>
        <v>46427</v>
      </c>
      <c r="M63" s="30" t="n">
        <f aca="false">IF($C63="","",IF(OR($E63="received"),N($G63),IF(OR($E63="rejected",$E63="delivered",$E63="topped_up"),-N($G63),IF(AND(OR($E63="returned_to_brand",$E63="given_to_roster_office",$E63="released_to_office",$E63="disposed"),IF($F63="","reserve",$F63)="reserve"),-N($G63),IF(AND($E63="correction",IF($F63="","reserve",$F63)="reserve"),N($G63),0)))))</f>
        <v>-6</v>
      </c>
      <c r="N63" s="30" t="n">
        <f aca="false">IF($C63="","",IF($E63="rejected",N($G63),IF(AND(OR($E63="returned_to_brand",$E63="given_to_roster_office",$E63="released_to_office",$E63="disposed"),IF($F63="","reserve",$F63)="rejected"),-N($G63),IF(AND($E63="correction",IF($F63="","reserve",$F63)="rejected"),N($G63),0))))</f>
        <v>0</v>
      </c>
      <c r="O63" s="30" t="n">
        <f aca="false">IF($C63="","",IF($E63="collected",N($G63),IF(AND(OR($E63="returned_to_brand",$E63="given_to_roster_office",$E63="released_to_office",$E63="disposed"),IF($F63="","reserve",$F63)="leftover"),-N($G63),IF(AND($E63="correction",IF($F63="","reserve",$F63)="leftover"),N($G63),0))))</f>
        <v>0</v>
      </c>
      <c r="P63" s="30" t="str">
        <f aca="false">IF(OR($E63&lt;&gt;"received",$I63="",$L63=""),"",IF($I63&gt;=$L63+config!$B$19,"Y","N"))</f>
        <v/>
      </c>
      <c r="Q63" s="30" t="str">
        <f aca="false">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30" t="str">
        <f aca="false">IF($C63="","",$C63&amp;"|"&amp;$D63&amp;"|"&amp;$E63)</f>
        <v>SAMPLE-CMP-005|SAMPLE-O-010|topped_up</v>
      </c>
    </row>
    <row r="64" customFormat="false" ht="15" hidden="false" customHeight="false" outlineLevel="0" collapsed="false">
      <c r="A64" s="11" t="n">
        <v>46434</v>
      </c>
      <c r="B64" s="38" t="n">
        <v>0.708333333333333</v>
      </c>
      <c r="C64" s="10" t="s">
        <v>516</v>
      </c>
      <c r="D64" s="10" t="s">
        <v>688</v>
      </c>
      <c r="E64" s="10" t="s">
        <v>801</v>
      </c>
      <c r="F64" s="0" t="s">
        <v>802</v>
      </c>
      <c r="G64" s="0" t="n">
        <v>25</v>
      </c>
      <c r="I64" s="11"/>
      <c r="J64" s="10" t="s">
        <v>792</v>
      </c>
      <c r="K64" s="10" t="s">
        <v>812</v>
      </c>
      <c r="L64" s="31" t="n">
        <f aca="false">IF($C64="","",IFERROR(IF(INDEX(campaigns!$BG$2:$BG$51,MATCH($C64,campaigns!$A$2:$A$51,0))="","",INDEX(campaigns!$BG$2:$BG$51,MATCH($C64,campaigns!$A$2:$A$51,0))),""))</f>
        <v>46427</v>
      </c>
      <c r="M64" s="30" t="n">
        <f aca="false">IF($C64="","",IF(OR($E64="received"),N($G64),IF(OR($E64="rejected",$E64="delivered",$E64="topped_up"),-N($G64),IF(AND(OR($E64="returned_to_brand",$E64="given_to_roster_office",$E64="released_to_office",$E64="disposed"),IF($F64="","reserve",$F64)="reserve"),-N($G64),IF(AND($E64="correction",IF($F64="","reserve",$F64)="reserve"),N($G64),0)))))</f>
        <v>-25</v>
      </c>
      <c r="N64" s="30" t="n">
        <f aca="false">IF($C64="","",IF($E64="rejected",N($G64),IF(AND(OR($E64="returned_to_brand",$E64="given_to_roster_office",$E64="released_to_office",$E64="disposed"),IF($F64="","reserve",$F64)="rejected"),-N($G64),IF(AND($E64="correction",IF($F64="","reserve",$F64)="rejected"),N($G64),0))))</f>
        <v>0</v>
      </c>
      <c r="O64" s="30" t="n">
        <f aca="false">IF($C64="","",IF($E64="collected",N($G64),IF(AND(OR($E64="returned_to_brand",$E64="given_to_roster_office",$E64="released_to_office",$E64="disposed"),IF($F64="","reserve",$F64)="leftover"),-N($G64),IF(AND($E64="correction",IF($F64="","reserve",$F64)="leftover"),N($G64),0))))</f>
        <v>0</v>
      </c>
      <c r="P64" s="30" t="str">
        <f aca="false">IF(OR($E64&lt;&gt;"received",$I64="",$L64=""),"",IF($I64&gt;=$L64+config!$B$19,"Y","N"))</f>
        <v/>
      </c>
      <c r="Q64" s="30" t="str">
        <f aca="false">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30" t="str">
        <f aca="false">IF($C64="","",$C64&amp;"|"&amp;$D64&amp;"|"&amp;$E64)</f>
        <v>SAMPLE-CMP-003|SAMPLE-O-005|released_to_office</v>
      </c>
    </row>
    <row r="65" customFormat="false" ht="15" hidden="false" customHeight="false" outlineLevel="0" collapsed="false">
      <c r="A65" s="11" t="n">
        <v>46434</v>
      </c>
      <c r="B65" s="38" t="n">
        <v>0.6875</v>
      </c>
      <c r="C65" s="10" t="s">
        <v>532</v>
      </c>
      <c r="D65" s="10" t="s">
        <v>678</v>
      </c>
      <c r="E65" s="10" t="s">
        <v>804</v>
      </c>
      <c r="G65" s="0" t="n">
        <v>2</v>
      </c>
      <c r="I65" s="11"/>
      <c r="J65" s="10" t="s">
        <v>792</v>
      </c>
      <c r="L65" s="31" t="n">
        <f aca="false">IF($C65="","",IFERROR(IF(INDEX(campaigns!$BG$2:$BG$51,MATCH($C65,campaigns!$A$2:$A$51,0))="","",INDEX(campaigns!$BG$2:$BG$51,MATCH($C65,campaigns!$A$2:$A$51,0))),""))</f>
        <v>46427</v>
      </c>
      <c r="M65" s="30" t="n">
        <f aca="false">IF($C65="","",IF(OR($E65="received"),N($G65),IF(OR($E65="rejected",$E65="delivered",$E65="topped_up"),-N($G65),IF(AND(OR($E65="returned_to_brand",$E65="given_to_roster_office",$E65="released_to_office",$E65="disposed"),IF($F65="","reserve",$F65)="reserve"),-N($G65),IF(AND($E65="correction",IF($F65="","reserve",$F65)="reserve"),N($G65),0)))))</f>
        <v>0</v>
      </c>
      <c r="N65" s="30" t="n">
        <f aca="false">IF($C65="","",IF($E65="rejected",N($G65),IF(AND(OR($E65="returned_to_brand",$E65="given_to_roster_office",$E65="released_to_office",$E65="disposed"),IF($F65="","reserve",$F65)="rejected"),-N($G65),IF(AND($E65="correction",IF($F65="","reserve",$F65)="rejected"),N($G65),0))))</f>
        <v>0</v>
      </c>
      <c r="O65" s="30" t="n">
        <f aca="false">IF($C65="","",IF($E65="collected",N($G65),IF(AND(OR($E65="returned_to_brand",$E65="given_to_roster_office",$E65="released_to_office",$E65="disposed"),IF($F65="","reserve",$F65)="leftover"),-N($G65),IF(AND($E65="correction",IF($F65="","reserve",$F65)="leftover"),N($G65),0))))</f>
        <v>2</v>
      </c>
      <c r="P65" s="30" t="str">
        <f aca="false">IF(OR($E65&lt;&gt;"received",$I65="",$L65=""),"",IF($I65&gt;=$L65+config!$B$19,"Y","N"))</f>
        <v/>
      </c>
      <c r="Q65" s="30" t="str">
        <f aca="false">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30" t="str">
        <f aca="false">IF($C65="","",$C65&amp;"|"&amp;$D65&amp;"|"&amp;$E65)</f>
        <v>SAMPLE-CMP-004|SAMPLE-O-001|collected</v>
      </c>
    </row>
    <row r="66" customFormat="false" ht="15" hidden="false" customHeight="false" outlineLevel="0" collapsed="false">
      <c r="A66" s="11" t="n">
        <v>46434</v>
      </c>
      <c r="B66" s="38" t="n">
        <v>0.6875</v>
      </c>
      <c r="C66" s="10" t="s">
        <v>532</v>
      </c>
      <c r="D66" s="10" t="s">
        <v>681</v>
      </c>
      <c r="E66" s="10" t="s">
        <v>804</v>
      </c>
      <c r="G66" s="0" t="n">
        <v>4</v>
      </c>
      <c r="I66" s="11"/>
      <c r="J66" s="10" t="s">
        <v>792</v>
      </c>
      <c r="L66" s="31" t="n">
        <f aca="false">IF($C66="","",IFERROR(IF(INDEX(campaigns!$BG$2:$BG$51,MATCH($C66,campaigns!$A$2:$A$51,0))="","",INDEX(campaigns!$BG$2:$BG$51,MATCH($C66,campaigns!$A$2:$A$51,0))),""))</f>
        <v>46427</v>
      </c>
      <c r="M66" s="30" t="n">
        <f aca="false">IF($C66="","",IF(OR($E66="received"),N($G66),IF(OR($E66="rejected",$E66="delivered",$E66="topped_up"),-N($G66),IF(AND(OR($E66="returned_to_brand",$E66="given_to_roster_office",$E66="released_to_office",$E66="disposed"),IF($F66="","reserve",$F66)="reserve"),-N($G66),IF(AND($E66="correction",IF($F66="","reserve",$F66)="reserve"),N($G66),0)))))</f>
        <v>0</v>
      </c>
      <c r="N66" s="30" t="n">
        <f aca="false">IF($C66="","",IF($E66="rejected",N($G66),IF(AND(OR($E66="returned_to_brand",$E66="given_to_roster_office",$E66="released_to_office",$E66="disposed"),IF($F66="","reserve",$F66)="rejected"),-N($G66),IF(AND($E66="correction",IF($F66="","reserve",$F66)="rejected"),N($G66),0))))</f>
        <v>0</v>
      </c>
      <c r="O66" s="30" t="n">
        <f aca="false">IF($C66="","",IF($E66="collected",N($G66),IF(AND(OR($E66="returned_to_brand",$E66="given_to_roster_office",$E66="released_to_office",$E66="disposed"),IF($F66="","reserve",$F66)="leftover"),-N($G66),IF(AND($E66="correction",IF($F66="","reserve",$F66)="leftover"),N($G66),0))))</f>
        <v>4</v>
      </c>
      <c r="P66" s="30" t="str">
        <f aca="false">IF(OR($E66&lt;&gt;"received",$I66="",$L66=""),"",IF($I66&gt;=$L66+config!$B$19,"Y","N"))</f>
        <v/>
      </c>
      <c r="Q66" s="30" t="str">
        <f aca="false">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30" t="str">
        <f aca="false">IF($C66="","",$C66&amp;"|"&amp;$D66&amp;"|"&amp;$E66)</f>
        <v>SAMPLE-CMP-004|SAMPLE-O-002|collected</v>
      </c>
    </row>
    <row r="67" customFormat="false" ht="15" hidden="false" customHeight="false" outlineLevel="0" collapsed="false">
      <c r="A67" s="11" t="n">
        <v>46434</v>
      </c>
      <c r="B67" s="38" t="n">
        <v>0.6875</v>
      </c>
      <c r="C67" s="10" t="s">
        <v>532</v>
      </c>
      <c r="D67" s="10" t="s">
        <v>683</v>
      </c>
      <c r="E67" s="10" t="s">
        <v>804</v>
      </c>
      <c r="G67" s="0" t="n">
        <v>2</v>
      </c>
      <c r="I67" s="11"/>
      <c r="J67" s="10" t="s">
        <v>792</v>
      </c>
      <c r="L67" s="31" t="n">
        <f aca="false">IF($C67="","",IFERROR(IF(INDEX(campaigns!$BG$2:$BG$51,MATCH($C67,campaigns!$A$2:$A$51,0))="","",INDEX(campaigns!$BG$2:$BG$51,MATCH($C67,campaigns!$A$2:$A$51,0))),""))</f>
        <v>46427</v>
      </c>
      <c r="M67" s="30" t="n">
        <f aca="false">IF($C67="","",IF(OR($E67="received"),N($G67),IF(OR($E67="rejected",$E67="delivered",$E67="topped_up"),-N($G67),IF(AND(OR($E67="returned_to_brand",$E67="given_to_roster_office",$E67="released_to_office",$E67="disposed"),IF($F67="","reserve",$F67)="reserve"),-N($G67),IF(AND($E67="correction",IF($F67="","reserve",$F67)="reserve"),N($G67),0)))))</f>
        <v>0</v>
      </c>
      <c r="N67" s="30" t="n">
        <f aca="false">IF($C67="","",IF($E67="rejected",N($G67),IF(AND(OR($E67="returned_to_brand",$E67="given_to_roster_office",$E67="released_to_office",$E67="disposed"),IF($F67="","reserve",$F67)="rejected"),-N($G67),IF(AND($E67="correction",IF($F67="","reserve",$F67)="rejected"),N($G67),0))))</f>
        <v>0</v>
      </c>
      <c r="O67" s="30" t="n">
        <f aca="false">IF($C67="","",IF($E67="collected",N($G67),IF(AND(OR($E67="returned_to_brand",$E67="given_to_roster_office",$E67="released_to_office",$E67="disposed"),IF($F67="","reserve",$F67)="leftover"),-N($G67),IF(AND($E67="correction",IF($F67="","reserve",$F67)="leftover"),N($G67),0))))</f>
        <v>2</v>
      </c>
      <c r="P67" s="30" t="str">
        <f aca="false">IF(OR($E67&lt;&gt;"received",$I67="",$L67=""),"",IF($I67&gt;=$L67+config!$B$19,"Y","N"))</f>
        <v/>
      </c>
      <c r="Q67" s="30" t="str">
        <f aca="false">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30" t="str">
        <f aca="false">IF($C67="","",$C67&amp;"|"&amp;$D67&amp;"|"&amp;$E67)</f>
        <v>SAMPLE-CMP-004|SAMPLE-O-003|collected</v>
      </c>
    </row>
    <row r="68" customFormat="false" ht="15" hidden="false" customHeight="false" outlineLevel="0" collapsed="false">
      <c r="A68" s="11" t="n">
        <v>46434</v>
      </c>
      <c r="B68" s="38" t="n">
        <v>0.6875</v>
      </c>
      <c r="C68" s="10" t="s">
        <v>532</v>
      </c>
      <c r="D68" s="10" t="s">
        <v>686</v>
      </c>
      <c r="E68" s="10" t="s">
        <v>804</v>
      </c>
      <c r="G68" s="0" t="n">
        <v>6</v>
      </c>
      <c r="I68" s="11"/>
      <c r="J68" s="10" t="s">
        <v>792</v>
      </c>
      <c r="L68" s="31" t="n">
        <f aca="false">IF($C68="","",IFERROR(IF(INDEX(campaigns!$BG$2:$BG$51,MATCH($C68,campaigns!$A$2:$A$51,0))="","",INDEX(campaigns!$BG$2:$BG$51,MATCH($C68,campaigns!$A$2:$A$51,0))),""))</f>
        <v>46427</v>
      </c>
      <c r="M68" s="30" t="n">
        <f aca="false">IF($C68="","",IF(OR($E68="received"),N($G68),IF(OR($E68="rejected",$E68="delivered",$E68="topped_up"),-N($G68),IF(AND(OR($E68="returned_to_brand",$E68="given_to_roster_office",$E68="released_to_office",$E68="disposed"),IF($F68="","reserve",$F68)="reserve"),-N($G68),IF(AND($E68="correction",IF($F68="","reserve",$F68)="reserve"),N($G68),0)))))</f>
        <v>0</v>
      </c>
      <c r="N68" s="30" t="n">
        <f aca="false">IF($C68="","",IF($E68="rejected",N($G68),IF(AND(OR($E68="returned_to_brand",$E68="given_to_roster_office",$E68="released_to_office",$E68="disposed"),IF($F68="","reserve",$F68)="rejected"),-N($G68),IF(AND($E68="correction",IF($F68="","reserve",$F68)="rejected"),N($G68),0))))</f>
        <v>0</v>
      </c>
      <c r="O68" s="30" t="n">
        <f aca="false">IF($C68="","",IF($E68="collected",N($G68),IF(AND(OR($E68="returned_to_brand",$E68="given_to_roster_office",$E68="released_to_office",$E68="disposed"),IF($F68="","reserve",$F68)="leftover"),-N($G68),IF(AND($E68="correction",IF($F68="","reserve",$F68)="leftover"),N($G68),0))))</f>
        <v>6</v>
      </c>
      <c r="P68" s="30" t="str">
        <f aca="false">IF(OR($E68&lt;&gt;"received",$I68="",$L68=""),"",IF($I68&gt;=$L68+config!$B$19,"Y","N"))</f>
        <v/>
      </c>
      <c r="Q68" s="30" t="str">
        <f aca="false">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30" t="str">
        <f aca="false">IF($C68="","",$C68&amp;"|"&amp;$D68&amp;"|"&amp;$E68)</f>
        <v>SAMPLE-CMP-004|SAMPLE-O-004|collected</v>
      </c>
    </row>
    <row r="69" customFormat="false" ht="15" hidden="false" customHeight="false" outlineLevel="0" collapsed="false">
      <c r="A69" s="11" t="n">
        <v>46434</v>
      </c>
      <c r="B69" s="38" t="n">
        <v>0.6875</v>
      </c>
      <c r="C69" s="10" t="s">
        <v>532</v>
      </c>
      <c r="D69" s="10" t="s">
        <v>688</v>
      </c>
      <c r="E69" s="10" t="s">
        <v>804</v>
      </c>
      <c r="G69" s="0" t="n">
        <v>6</v>
      </c>
      <c r="I69" s="11"/>
      <c r="J69" s="10" t="s">
        <v>792</v>
      </c>
      <c r="L69" s="31" t="n">
        <f aca="false">IF($C69="","",IFERROR(IF(INDEX(campaigns!$BG$2:$BG$51,MATCH($C69,campaigns!$A$2:$A$51,0))="","",INDEX(campaigns!$BG$2:$BG$51,MATCH($C69,campaigns!$A$2:$A$51,0))),""))</f>
        <v>46427</v>
      </c>
      <c r="M69" s="30" t="n">
        <f aca="false">IF($C69="","",IF(OR($E69="received"),N($G69),IF(OR($E69="rejected",$E69="delivered",$E69="topped_up"),-N($G69),IF(AND(OR($E69="returned_to_brand",$E69="given_to_roster_office",$E69="released_to_office",$E69="disposed"),IF($F69="","reserve",$F69)="reserve"),-N($G69),IF(AND($E69="correction",IF($F69="","reserve",$F69)="reserve"),N($G69),0)))))</f>
        <v>0</v>
      </c>
      <c r="N69" s="30" t="n">
        <f aca="false">IF($C69="","",IF($E69="rejected",N($G69),IF(AND(OR($E69="returned_to_brand",$E69="given_to_roster_office",$E69="released_to_office",$E69="disposed"),IF($F69="","reserve",$F69)="rejected"),-N($G69),IF(AND($E69="correction",IF($F69="","reserve",$F69)="rejected"),N($G69),0))))</f>
        <v>0</v>
      </c>
      <c r="O69" s="30" t="n">
        <f aca="false">IF($C69="","",IF($E69="collected",N($G69),IF(AND(OR($E69="returned_to_brand",$E69="given_to_roster_office",$E69="released_to_office",$E69="disposed"),IF($F69="","reserve",$F69)="leftover"),-N($G69),IF(AND($E69="correction",IF($F69="","reserve",$F69)="leftover"),N($G69),0))))</f>
        <v>6</v>
      </c>
      <c r="P69" s="30" t="str">
        <f aca="false">IF(OR($E69&lt;&gt;"received",$I69="",$L69=""),"",IF($I69&gt;=$L69+config!$B$19,"Y","N"))</f>
        <v/>
      </c>
      <c r="Q69" s="30" t="str">
        <f aca="false">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30" t="str">
        <f aca="false">IF($C69="","",$C69&amp;"|"&amp;$D69&amp;"|"&amp;$E69)</f>
        <v>SAMPLE-CMP-004|SAMPLE-O-005|collected</v>
      </c>
    </row>
    <row r="70" customFormat="false" ht="15" hidden="false" customHeight="false" outlineLevel="0" collapsed="false">
      <c r="A70" s="11" t="n">
        <v>46434</v>
      </c>
      <c r="B70" s="38" t="n">
        <v>0.6875</v>
      </c>
      <c r="C70" s="10" t="s">
        <v>532</v>
      </c>
      <c r="D70" s="10" t="s">
        <v>690</v>
      </c>
      <c r="E70" s="10" t="s">
        <v>804</v>
      </c>
      <c r="G70" s="0" t="n">
        <v>4</v>
      </c>
      <c r="I70" s="11"/>
      <c r="J70" s="10" t="s">
        <v>792</v>
      </c>
      <c r="L70" s="31" t="n">
        <f aca="false">IF($C70="","",IFERROR(IF(INDEX(campaigns!$BG$2:$BG$51,MATCH($C70,campaigns!$A$2:$A$51,0))="","",INDEX(campaigns!$BG$2:$BG$51,MATCH($C70,campaigns!$A$2:$A$51,0))),""))</f>
        <v>46427</v>
      </c>
      <c r="M70" s="30" t="n">
        <f aca="false">IF($C70="","",IF(OR($E70="received"),N($G70),IF(OR($E70="rejected",$E70="delivered",$E70="topped_up"),-N($G70),IF(AND(OR($E70="returned_to_brand",$E70="given_to_roster_office",$E70="released_to_office",$E70="disposed"),IF($F70="","reserve",$F70)="reserve"),-N($G70),IF(AND($E70="correction",IF($F70="","reserve",$F70)="reserve"),N($G70),0)))))</f>
        <v>0</v>
      </c>
      <c r="N70" s="30" t="n">
        <f aca="false">IF($C70="","",IF($E70="rejected",N($G70),IF(AND(OR($E70="returned_to_brand",$E70="given_to_roster_office",$E70="released_to_office",$E70="disposed"),IF($F70="","reserve",$F70)="rejected"),-N($G70),IF(AND($E70="correction",IF($F70="","reserve",$F70)="rejected"),N($G70),0))))</f>
        <v>0</v>
      </c>
      <c r="O70" s="30" t="n">
        <f aca="false">IF($C70="","",IF($E70="collected",N($G70),IF(AND(OR($E70="returned_to_brand",$E70="given_to_roster_office",$E70="released_to_office",$E70="disposed"),IF($F70="","reserve",$F70)="leftover"),-N($G70),IF(AND($E70="correction",IF($F70="","reserve",$F70)="leftover"),N($G70),0))))</f>
        <v>4</v>
      </c>
      <c r="P70" s="30" t="str">
        <f aca="false">IF(OR($E70&lt;&gt;"received",$I70="",$L70=""),"",IF($I70&gt;=$L70+config!$B$19,"Y","N"))</f>
        <v/>
      </c>
      <c r="Q70" s="30" t="str">
        <f aca="false">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30" t="str">
        <f aca="false">IF($C70="","",$C70&amp;"|"&amp;$D70&amp;"|"&amp;$E70)</f>
        <v>SAMPLE-CMP-004|SAMPLE-O-006|collected</v>
      </c>
    </row>
    <row r="71" customFormat="false" ht="15" hidden="false" customHeight="false" outlineLevel="0" collapsed="false">
      <c r="A71" s="11" t="n">
        <v>46434</v>
      </c>
      <c r="B71" s="38" t="n">
        <v>0.6875</v>
      </c>
      <c r="C71" s="10" t="s">
        <v>532</v>
      </c>
      <c r="D71" s="10" t="s">
        <v>694</v>
      </c>
      <c r="E71" s="10" t="s">
        <v>804</v>
      </c>
      <c r="G71" s="0" t="n">
        <v>2</v>
      </c>
      <c r="I71" s="11"/>
      <c r="J71" s="10" t="s">
        <v>792</v>
      </c>
      <c r="L71" s="31" t="n">
        <f aca="false">IF($C71="","",IFERROR(IF(INDEX(campaigns!$BG$2:$BG$51,MATCH($C71,campaigns!$A$2:$A$51,0))="","",INDEX(campaigns!$BG$2:$BG$51,MATCH($C71,campaigns!$A$2:$A$51,0))),""))</f>
        <v>46427</v>
      </c>
      <c r="M71" s="30" t="n">
        <f aca="false">IF($C71="","",IF(OR($E71="received"),N($G71),IF(OR($E71="rejected",$E71="delivered",$E71="topped_up"),-N($G71),IF(AND(OR($E71="returned_to_brand",$E71="given_to_roster_office",$E71="released_to_office",$E71="disposed"),IF($F71="","reserve",$F71)="reserve"),-N($G71),IF(AND($E71="correction",IF($F71="","reserve",$F71)="reserve"),N($G71),0)))))</f>
        <v>0</v>
      </c>
      <c r="N71" s="30" t="n">
        <f aca="false">IF($C71="","",IF($E71="rejected",N($G71),IF(AND(OR($E71="returned_to_brand",$E71="given_to_roster_office",$E71="released_to_office",$E71="disposed"),IF($F71="","reserve",$F71)="rejected"),-N($G71),IF(AND($E71="correction",IF($F71="","reserve",$F71)="rejected"),N($G71),0))))</f>
        <v>0</v>
      </c>
      <c r="O71" s="30" t="n">
        <f aca="false">IF($C71="","",IF($E71="collected",N($G71),IF(AND(OR($E71="returned_to_brand",$E71="given_to_roster_office",$E71="released_to_office",$E71="disposed"),IF($F71="","reserve",$F71)="leftover"),-N($G71),IF(AND($E71="correction",IF($F71="","reserve",$F71)="leftover"),N($G71),0))))</f>
        <v>2</v>
      </c>
      <c r="P71" s="30" t="str">
        <f aca="false">IF(OR($E71&lt;&gt;"received",$I71="",$L71=""),"",IF($I71&gt;=$L71+config!$B$19,"Y","N"))</f>
        <v/>
      </c>
      <c r="Q71" s="30" t="str">
        <f aca="false">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30" t="str">
        <f aca="false">IF($C71="","",$C71&amp;"|"&amp;$D71&amp;"|"&amp;$E71)</f>
        <v>SAMPLE-CMP-004|SAMPLE-O-008|collected</v>
      </c>
    </row>
    <row r="72" customFormat="false" ht="15" hidden="false" customHeight="false" outlineLevel="0" collapsed="false">
      <c r="A72" s="11" t="n">
        <v>46434</v>
      </c>
      <c r="B72" s="38" t="n">
        <v>0.6875</v>
      </c>
      <c r="C72" s="10" t="s">
        <v>532</v>
      </c>
      <c r="D72" s="10" t="s">
        <v>696</v>
      </c>
      <c r="E72" s="10" t="s">
        <v>804</v>
      </c>
      <c r="G72" s="0" t="n">
        <v>3</v>
      </c>
      <c r="I72" s="11"/>
      <c r="J72" s="10" t="s">
        <v>792</v>
      </c>
      <c r="L72" s="31" t="n">
        <f aca="false">IF($C72="","",IFERROR(IF(INDEX(campaigns!$BG$2:$BG$51,MATCH($C72,campaigns!$A$2:$A$51,0))="","",INDEX(campaigns!$BG$2:$BG$51,MATCH($C72,campaigns!$A$2:$A$51,0))),""))</f>
        <v>46427</v>
      </c>
      <c r="M72" s="30" t="n">
        <f aca="false">IF($C72="","",IF(OR($E72="received"),N($G72),IF(OR($E72="rejected",$E72="delivered",$E72="topped_up"),-N($G72),IF(AND(OR($E72="returned_to_brand",$E72="given_to_roster_office",$E72="released_to_office",$E72="disposed"),IF($F72="","reserve",$F72)="reserve"),-N($G72),IF(AND($E72="correction",IF($F72="","reserve",$F72)="reserve"),N($G72),0)))))</f>
        <v>0</v>
      </c>
      <c r="N72" s="30" t="n">
        <f aca="false">IF($C72="","",IF($E72="rejected",N($G72),IF(AND(OR($E72="returned_to_brand",$E72="given_to_roster_office",$E72="released_to_office",$E72="disposed"),IF($F72="","reserve",$F72)="rejected"),-N($G72),IF(AND($E72="correction",IF($F72="","reserve",$F72)="rejected"),N($G72),0))))</f>
        <v>0</v>
      </c>
      <c r="O72" s="30" t="n">
        <f aca="false">IF($C72="","",IF($E72="collected",N($G72),IF(AND(OR($E72="returned_to_brand",$E72="given_to_roster_office",$E72="released_to_office",$E72="disposed"),IF($F72="","reserve",$F72)="leftover"),-N($G72),IF(AND($E72="correction",IF($F72="","reserve",$F72)="leftover"),N($G72),0))))</f>
        <v>3</v>
      </c>
      <c r="P72" s="30" t="str">
        <f aca="false">IF(OR($E72&lt;&gt;"received",$I72="",$L72=""),"",IF($I72&gt;=$L72+config!$B$19,"Y","N"))</f>
        <v/>
      </c>
      <c r="Q72" s="30" t="str">
        <f aca="false">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30" t="str">
        <f aca="false">IF($C72="","",$C72&amp;"|"&amp;$D72&amp;"|"&amp;$E72)</f>
        <v>SAMPLE-CMP-004|SAMPLE-O-009|collected</v>
      </c>
    </row>
    <row r="73" customFormat="false" ht="15" hidden="false" customHeight="false" outlineLevel="0" collapsed="false">
      <c r="A73" s="11" t="n">
        <v>46434</v>
      </c>
      <c r="B73" s="38" t="n">
        <v>0.6875</v>
      </c>
      <c r="C73" s="10" t="s">
        <v>532</v>
      </c>
      <c r="D73" s="10" t="s">
        <v>698</v>
      </c>
      <c r="E73" s="10" t="s">
        <v>804</v>
      </c>
      <c r="G73" s="0" t="n">
        <v>4</v>
      </c>
      <c r="I73" s="11"/>
      <c r="J73" s="10" t="s">
        <v>792</v>
      </c>
      <c r="L73" s="31" t="n">
        <f aca="false">IF($C73="","",IFERROR(IF(INDEX(campaigns!$BG$2:$BG$51,MATCH($C73,campaigns!$A$2:$A$51,0))="","",INDEX(campaigns!$BG$2:$BG$51,MATCH($C73,campaigns!$A$2:$A$51,0))),""))</f>
        <v>46427</v>
      </c>
      <c r="M73" s="30" t="n">
        <f aca="false">IF($C73="","",IF(OR($E73="received"),N($G73),IF(OR($E73="rejected",$E73="delivered",$E73="topped_up"),-N($G73),IF(AND(OR($E73="returned_to_brand",$E73="given_to_roster_office",$E73="released_to_office",$E73="disposed"),IF($F73="","reserve",$F73)="reserve"),-N($G73),IF(AND($E73="correction",IF($F73="","reserve",$F73)="reserve"),N($G73),0)))))</f>
        <v>0</v>
      </c>
      <c r="N73" s="30" t="n">
        <f aca="false">IF($C73="","",IF($E73="rejected",N($G73),IF(AND(OR($E73="returned_to_brand",$E73="given_to_roster_office",$E73="released_to_office",$E73="disposed"),IF($F73="","reserve",$F73)="rejected"),-N($G73),IF(AND($E73="correction",IF($F73="","reserve",$F73)="rejected"),N($G73),0))))</f>
        <v>0</v>
      </c>
      <c r="O73" s="30" t="n">
        <f aca="false">IF($C73="","",IF($E73="collected",N($G73),IF(AND(OR($E73="returned_to_brand",$E73="given_to_roster_office",$E73="released_to_office",$E73="disposed"),IF($F73="","reserve",$F73)="leftover"),-N($G73),IF(AND($E73="correction",IF($F73="","reserve",$F73)="leftover"),N($G73),0))))</f>
        <v>4</v>
      </c>
      <c r="P73" s="30" t="str">
        <f aca="false">IF(OR($E73&lt;&gt;"received",$I73="",$L73=""),"",IF($I73&gt;=$L73+config!$B$19,"Y","N"))</f>
        <v/>
      </c>
      <c r="Q73" s="30" t="str">
        <f aca="false">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30" t="str">
        <f aca="false">IF($C73="","",$C73&amp;"|"&amp;$D73&amp;"|"&amp;$E73)</f>
        <v>SAMPLE-CMP-004|SAMPLE-O-010|collected</v>
      </c>
    </row>
    <row r="74" customFormat="false" ht="15" hidden="false" customHeight="false" outlineLevel="0" collapsed="false">
      <c r="A74" s="11" t="n">
        <v>46437</v>
      </c>
      <c r="B74" s="38" t="n">
        <v>0.416666666666667</v>
      </c>
      <c r="C74" s="10" t="s">
        <v>532</v>
      </c>
      <c r="E74" s="10" t="s">
        <v>805</v>
      </c>
      <c r="F74" s="0" t="s">
        <v>802</v>
      </c>
      <c r="G74" s="0" t="n">
        <v>40</v>
      </c>
      <c r="I74" s="11"/>
      <c r="J74" s="10" t="s">
        <v>792</v>
      </c>
      <c r="L74" s="31" t="n">
        <f aca="false">IF($C74="","",IFERROR(IF(INDEX(campaigns!$BG$2:$BG$51,MATCH($C74,campaigns!$A$2:$A$51,0))="","",INDEX(campaigns!$BG$2:$BG$51,MATCH($C74,campaigns!$A$2:$A$51,0))),""))</f>
        <v>46427</v>
      </c>
      <c r="M74" s="30" t="n">
        <f aca="false">IF($C74="","",IF(OR($E74="received"),N($G74),IF(OR($E74="rejected",$E74="delivered",$E74="topped_up"),-N($G74),IF(AND(OR($E74="returned_to_brand",$E74="given_to_roster_office",$E74="released_to_office",$E74="disposed"),IF($F74="","reserve",$F74)="reserve"),-N($G74),IF(AND($E74="correction",IF($F74="","reserve",$F74)="reserve"),N($G74),0)))))</f>
        <v>-40</v>
      </c>
      <c r="N74" s="30" t="n">
        <f aca="false">IF($C74="","",IF($E74="rejected",N($G74),IF(AND(OR($E74="returned_to_brand",$E74="given_to_roster_office",$E74="released_to_office",$E74="disposed"),IF($F74="","reserve",$F74)="rejected"),-N($G74),IF(AND($E74="correction",IF($F74="","reserve",$F74)="rejected"),N($G74),0))))</f>
        <v>0</v>
      </c>
      <c r="O74" s="30" t="n">
        <f aca="false">IF($C74="","",IF($E74="collected",N($G74),IF(AND(OR($E74="returned_to_brand",$E74="given_to_roster_office",$E74="released_to_office",$E74="disposed"),IF($F74="","reserve",$F74)="leftover"),-N($G74),IF(AND($E74="correction",IF($F74="","reserve",$F74)="leftover"),N($G74),0))))</f>
        <v>0</v>
      </c>
      <c r="P74" s="30" t="str">
        <f aca="false">IF(OR($E74&lt;&gt;"received",$I74="",$L74=""),"",IF($I74&gt;=$L74+config!$B$19,"Y","N"))</f>
        <v/>
      </c>
      <c r="Q74" s="30" t="str">
        <f aca="false">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30" t="str">
        <f aca="false">IF($C74="","",$C74&amp;"|"&amp;$D74&amp;"|"&amp;$E74)</f>
        <v>SAMPLE-CMP-004||returned_to_brand</v>
      </c>
    </row>
    <row r="75" customFormat="false" ht="15" hidden="false" customHeight="false" outlineLevel="0" collapsed="false">
      <c r="A75" s="11" t="n">
        <v>46437</v>
      </c>
      <c r="B75" s="38" t="n">
        <v>0.416666666666667</v>
      </c>
      <c r="C75" s="10" t="s">
        <v>532</v>
      </c>
      <c r="E75" s="10" t="s">
        <v>805</v>
      </c>
      <c r="F75" s="0" t="s">
        <v>807</v>
      </c>
      <c r="G75" s="0" t="n">
        <v>33</v>
      </c>
      <c r="I75" s="11"/>
      <c r="J75" s="10" t="s">
        <v>792</v>
      </c>
      <c r="L75" s="31" t="n">
        <f aca="false">IF($C75="","",IFERROR(IF(INDEX(campaigns!$BG$2:$BG$51,MATCH($C75,campaigns!$A$2:$A$51,0))="","",INDEX(campaigns!$BG$2:$BG$51,MATCH($C75,campaigns!$A$2:$A$51,0))),""))</f>
        <v>46427</v>
      </c>
      <c r="M75" s="30" t="n">
        <f aca="false">IF($C75="","",IF(OR($E75="received"),N($G75),IF(OR($E75="rejected",$E75="delivered",$E75="topped_up"),-N($G75),IF(AND(OR($E75="returned_to_brand",$E75="given_to_roster_office",$E75="released_to_office",$E75="disposed"),IF($F75="","reserve",$F75)="reserve"),-N($G75),IF(AND($E75="correction",IF($F75="","reserve",$F75)="reserve"),N($G75),0)))))</f>
        <v>0</v>
      </c>
      <c r="N75" s="30" t="n">
        <f aca="false">IF($C75="","",IF($E75="rejected",N($G75),IF(AND(OR($E75="returned_to_brand",$E75="given_to_roster_office",$E75="released_to_office",$E75="disposed"),IF($F75="","reserve",$F75)="rejected"),-N($G75),IF(AND($E75="correction",IF($F75="","reserve",$F75)="rejected"),N($G75),0))))</f>
        <v>0</v>
      </c>
      <c r="O75" s="30" t="n">
        <f aca="false">IF($C75="","",IF($E75="collected",N($G75),IF(AND(OR($E75="returned_to_brand",$E75="given_to_roster_office",$E75="released_to_office",$E75="disposed"),IF($F75="","reserve",$F75)="leftover"),-N($G75),IF(AND($E75="correction",IF($F75="","reserve",$F75)="leftover"),N($G75),0))))</f>
        <v>-33</v>
      </c>
      <c r="P75" s="30" t="str">
        <f aca="false">IF(OR($E75&lt;&gt;"received",$I75="",$L75=""),"",IF($I75&gt;=$L75+config!$B$19,"Y","N"))</f>
        <v/>
      </c>
      <c r="Q75" s="30" t="str">
        <f aca="false">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30" t="str">
        <f aca="false">IF($C75="","",$C75&amp;"|"&amp;$D75&amp;"|"&amp;$E75)</f>
        <v>SAMPLE-CMP-004||returned_to_brand</v>
      </c>
    </row>
    <row r="76" customFormat="false" ht="15" hidden="false" customHeight="false" outlineLevel="0" collapsed="false">
      <c r="A76" s="11" t="n">
        <v>46434</v>
      </c>
      <c r="B76" s="38" t="n">
        <v>0.708333333333333</v>
      </c>
      <c r="C76" s="10" t="s">
        <v>549</v>
      </c>
      <c r="D76" s="10" t="s">
        <v>688</v>
      </c>
      <c r="E76" s="10" t="s">
        <v>801</v>
      </c>
      <c r="F76" s="0" t="s">
        <v>802</v>
      </c>
      <c r="G76" s="0" t="n">
        <v>40</v>
      </c>
      <c r="I76" s="11"/>
      <c r="J76" s="10" t="s">
        <v>792</v>
      </c>
      <c r="K76" s="10" t="s">
        <v>812</v>
      </c>
      <c r="L76" s="31" t="n">
        <f aca="false">IF($C76="","",IFERROR(IF(INDEX(campaigns!$BG$2:$BG$51,MATCH($C76,campaigns!$A$2:$A$51,0))="","",INDEX(campaigns!$BG$2:$BG$51,MATCH($C76,campaigns!$A$2:$A$51,0))),""))</f>
        <v>46427</v>
      </c>
      <c r="M76" s="30" t="n">
        <f aca="false">IF($C76="","",IF(OR($E76="received"),N($G76),IF(OR($E76="rejected",$E76="delivered",$E76="topped_up"),-N($G76),IF(AND(OR($E76="returned_to_brand",$E76="given_to_roster_office",$E76="released_to_office",$E76="disposed"),IF($F76="","reserve",$F76)="reserve"),-N($G76),IF(AND($E76="correction",IF($F76="","reserve",$F76)="reserve"),N($G76),0)))))</f>
        <v>-40</v>
      </c>
      <c r="N76" s="30" t="n">
        <f aca="false">IF($C76="","",IF($E76="rejected",N($G76),IF(AND(OR($E76="returned_to_brand",$E76="given_to_roster_office",$E76="released_to_office",$E76="disposed"),IF($F76="","reserve",$F76)="rejected"),-N($G76),IF(AND($E76="correction",IF($F76="","reserve",$F76)="rejected"),N($G76),0))))</f>
        <v>0</v>
      </c>
      <c r="O76" s="30" t="n">
        <f aca="false">IF($C76="","",IF($E76="collected",N($G76),IF(AND(OR($E76="returned_to_brand",$E76="given_to_roster_office",$E76="released_to_office",$E76="disposed"),IF($F76="","reserve",$F76)="leftover"),-N($G76),IF(AND($E76="correction",IF($F76="","reserve",$F76)="leftover"),N($G76),0))))</f>
        <v>0</v>
      </c>
      <c r="P76" s="30" t="str">
        <f aca="false">IF(OR($E76&lt;&gt;"received",$I76="",$L76=""),"",IF($I76&gt;=$L76+config!$B$19,"Y","N"))</f>
        <v/>
      </c>
      <c r="Q76" s="30" t="str">
        <f aca="false">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30" t="str">
        <f aca="false">IF($C76="","",$C76&amp;"|"&amp;$D76&amp;"|"&amp;$E76)</f>
        <v>SAMPLE-CMP-005|SAMPLE-O-005|released_to_office</v>
      </c>
    </row>
    <row r="77" customFormat="false" ht="15" hidden="false" customHeight="false" outlineLevel="0" collapsed="false">
      <c r="A77" s="11" t="n">
        <v>46430</v>
      </c>
      <c r="B77" s="38" t="n">
        <v>0.583333333333333</v>
      </c>
      <c r="C77" s="10" t="s">
        <v>563</v>
      </c>
      <c r="E77" s="10" t="s">
        <v>685</v>
      </c>
      <c r="G77" s="0" t="n">
        <v>480</v>
      </c>
      <c r="H77" s="10" t="s">
        <v>813</v>
      </c>
      <c r="I77" s="11" t="n">
        <v>46630</v>
      </c>
      <c r="J77" s="10" t="s">
        <v>792</v>
      </c>
      <c r="K77" s="10" t="s">
        <v>814</v>
      </c>
      <c r="L77" s="31" t="n">
        <f aca="false">IF($C77="","",IFERROR(IF(INDEX(campaigns!$BG$2:$BG$51,MATCH($C77,campaigns!$A$2:$A$51,0))="","",INDEX(campaigns!$BG$2:$BG$51,MATCH($C77,campaigns!$A$2:$A$51,0))),""))</f>
        <v>46441</v>
      </c>
      <c r="M77" s="30" t="n">
        <f aca="false">IF($C77="","",IF(OR($E77="received"),N($G77),IF(OR($E77="rejected",$E77="delivered",$E77="topped_up"),-N($G77),IF(AND(OR($E77="returned_to_brand",$E77="given_to_roster_office",$E77="released_to_office",$E77="disposed"),IF($F77="","reserve",$F77)="reserve"),-N($G77),IF(AND($E77="correction",IF($F77="","reserve",$F77)="reserve"),N($G77),0)))))</f>
        <v>480</v>
      </c>
      <c r="N77" s="30" t="n">
        <f aca="false">IF($C77="","",IF($E77="rejected",N($G77),IF(AND(OR($E77="returned_to_brand",$E77="given_to_roster_office",$E77="released_to_office",$E77="disposed"),IF($F77="","reserve",$F77)="rejected"),-N($G77),IF(AND($E77="correction",IF($F77="","reserve",$F77)="rejected"),N($G77),0))))</f>
        <v>0</v>
      </c>
      <c r="O77" s="30" t="n">
        <f aca="false">IF($C77="","",IF($E77="collected",N($G77),IF(AND(OR($E77="returned_to_brand",$E77="given_to_roster_office",$E77="released_to_office",$E77="disposed"),IF($F77="","reserve",$F77)="leftover"),-N($G77),IF(AND($E77="correction",IF($F77="","reserve",$F77)="leftover"),N($G77),0))))</f>
        <v>0</v>
      </c>
      <c r="P77" s="30" t="str">
        <f aca="false">IF(OR($E77&lt;&gt;"received",$I77="",$L77=""),"",IF($I77&gt;=$L77+config!$B$19,"Y","N"))</f>
        <v>Y</v>
      </c>
      <c r="Q77" s="30" t="str">
        <f aca="false">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30" t="str">
        <f aca="false">IF($C77="","",$C77&amp;"|"&amp;$D77&amp;"|"&amp;$E77)</f>
        <v>SAMPLE-CMP-006||received</v>
      </c>
    </row>
    <row r="78" customFormat="false" ht="15" hidden="false" customHeight="false" outlineLevel="0" collapsed="false">
      <c r="A78" s="11" t="n">
        <v>46441</v>
      </c>
      <c r="B78" s="38" t="n">
        <v>0.3375</v>
      </c>
      <c r="C78" s="10" t="s">
        <v>563</v>
      </c>
      <c r="D78" s="10" t="s">
        <v>678</v>
      </c>
      <c r="E78" s="10" t="s">
        <v>105</v>
      </c>
      <c r="G78" s="0" t="n">
        <v>35</v>
      </c>
      <c r="I78" s="11"/>
      <c r="J78" s="10" t="s">
        <v>811</v>
      </c>
      <c r="L78" s="31" t="n">
        <f aca="false">IF($C78="","",IFERROR(IF(INDEX(campaigns!$BG$2:$BG$51,MATCH($C78,campaigns!$A$2:$A$51,0))="","",INDEX(campaigns!$BG$2:$BG$51,MATCH($C78,campaigns!$A$2:$A$51,0))),""))</f>
        <v>46441</v>
      </c>
      <c r="M78" s="30" t="n">
        <f aca="false">IF($C78="","",IF(OR($E78="received"),N($G78),IF(OR($E78="rejected",$E78="delivered",$E78="topped_up"),-N($G78),IF(AND(OR($E78="returned_to_brand",$E78="given_to_roster_office",$E78="released_to_office",$E78="disposed"),IF($F78="","reserve",$F78)="reserve"),-N($G78),IF(AND($E78="correction",IF($F78="","reserve",$F78)="reserve"),N($G78),0)))))</f>
        <v>-35</v>
      </c>
      <c r="N78" s="30" t="n">
        <f aca="false">IF($C78="","",IF($E78="rejected",N($G78),IF(AND(OR($E78="returned_to_brand",$E78="given_to_roster_office",$E78="released_to_office",$E78="disposed"),IF($F78="","reserve",$F78)="rejected"),-N($G78),IF(AND($E78="correction",IF($F78="","reserve",$F78)="rejected"),N($G78),0))))</f>
        <v>0</v>
      </c>
      <c r="O78" s="30" t="n">
        <f aca="false">IF($C78="","",IF($E78="collected",N($G78),IF(AND(OR($E78="returned_to_brand",$E78="given_to_roster_office",$E78="released_to_office",$E78="disposed"),IF($F78="","reserve",$F78)="leftover"),-N($G78),IF(AND($E78="correction",IF($F78="","reserve",$F78)="leftover"),N($G78),0))))</f>
        <v>0</v>
      </c>
      <c r="P78" s="30" t="str">
        <f aca="false">IF(OR($E78&lt;&gt;"received",$I78="",$L78=""),"",IF($I78&gt;=$L78+config!$B$19,"Y","N"))</f>
        <v/>
      </c>
      <c r="Q78" s="30" t="str">
        <f aca="false">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30" t="str">
        <f aca="false">IF($C78="","",$C78&amp;"|"&amp;$D78&amp;"|"&amp;$E78)</f>
        <v>SAMPLE-CMP-006|SAMPLE-O-001|delivered</v>
      </c>
    </row>
    <row r="79" customFormat="false" ht="15" hidden="false" customHeight="false" outlineLevel="0" collapsed="false">
      <c r="A79" s="11" t="n">
        <v>46441</v>
      </c>
      <c r="B79" s="38" t="n">
        <v>0.389583333333333</v>
      </c>
      <c r="C79" s="10" t="s">
        <v>563</v>
      </c>
      <c r="D79" s="10" t="s">
        <v>681</v>
      </c>
      <c r="E79" s="10" t="s">
        <v>105</v>
      </c>
      <c r="G79" s="0" t="n">
        <v>35</v>
      </c>
      <c r="I79" s="11"/>
      <c r="J79" s="10" t="s">
        <v>811</v>
      </c>
      <c r="L79" s="31" t="n">
        <f aca="false">IF($C79="","",IFERROR(IF(INDEX(campaigns!$BG$2:$BG$51,MATCH($C79,campaigns!$A$2:$A$51,0))="","",INDEX(campaigns!$BG$2:$BG$51,MATCH($C79,campaigns!$A$2:$A$51,0))),""))</f>
        <v>46441</v>
      </c>
      <c r="M79" s="30" t="n">
        <f aca="false">IF($C79="","",IF(OR($E79="received"),N($G79),IF(OR($E79="rejected",$E79="delivered",$E79="topped_up"),-N($G79),IF(AND(OR($E79="returned_to_brand",$E79="given_to_roster_office",$E79="released_to_office",$E79="disposed"),IF($F79="","reserve",$F79)="reserve"),-N($G79),IF(AND($E79="correction",IF($F79="","reserve",$F79)="reserve"),N($G79),0)))))</f>
        <v>-35</v>
      </c>
      <c r="N79" s="30" t="n">
        <f aca="false">IF($C79="","",IF($E79="rejected",N($G79),IF(AND(OR($E79="returned_to_brand",$E79="given_to_roster_office",$E79="released_to_office",$E79="disposed"),IF($F79="","reserve",$F79)="rejected"),-N($G79),IF(AND($E79="correction",IF($F79="","reserve",$F79)="rejected"),N($G79),0))))</f>
        <v>0</v>
      </c>
      <c r="O79" s="30" t="n">
        <f aca="false">IF($C79="","",IF($E79="collected",N($G79),IF(AND(OR($E79="returned_to_brand",$E79="given_to_roster_office",$E79="released_to_office",$E79="disposed"),IF($F79="","reserve",$F79)="leftover"),-N($G79),IF(AND($E79="correction",IF($F79="","reserve",$F79)="leftover"),N($G79),0))))</f>
        <v>0</v>
      </c>
      <c r="P79" s="30" t="str">
        <f aca="false">IF(OR($E79&lt;&gt;"received",$I79="",$L79=""),"",IF($I79&gt;=$L79+config!$B$19,"Y","N"))</f>
        <v/>
      </c>
      <c r="Q79" s="30" t="str">
        <f aca="false">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30" t="str">
        <f aca="false">IF($C79="","",$C79&amp;"|"&amp;$D79&amp;"|"&amp;$E79)</f>
        <v>SAMPLE-CMP-006|SAMPLE-O-002|delivered</v>
      </c>
    </row>
    <row r="80" customFormat="false" ht="15" hidden="false" customHeight="false" outlineLevel="0" collapsed="false">
      <c r="A80" s="11" t="n">
        <v>46441</v>
      </c>
      <c r="B80" s="38" t="n">
        <v>0.377083333333333</v>
      </c>
      <c r="C80" s="10" t="s">
        <v>563</v>
      </c>
      <c r="D80" s="10" t="s">
        <v>683</v>
      </c>
      <c r="E80" s="10" t="s">
        <v>105</v>
      </c>
      <c r="G80" s="0" t="n">
        <v>45</v>
      </c>
      <c r="I80" s="11"/>
      <c r="J80" s="10" t="s">
        <v>811</v>
      </c>
      <c r="L80" s="31" t="n">
        <f aca="false">IF($C80="","",IFERROR(IF(INDEX(campaigns!$BG$2:$BG$51,MATCH($C80,campaigns!$A$2:$A$51,0))="","",INDEX(campaigns!$BG$2:$BG$51,MATCH($C80,campaigns!$A$2:$A$51,0))),""))</f>
        <v>46441</v>
      </c>
      <c r="M80" s="30" t="n">
        <f aca="false">IF($C80="","",IF(OR($E80="received"),N($G80),IF(OR($E80="rejected",$E80="delivered",$E80="topped_up"),-N($G80),IF(AND(OR($E80="returned_to_brand",$E80="given_to_roster_office",$E80="released_to_office",$E80="disposed"),IF($F80="","reserve",$F80)="reserve"),-N($G80),IF(AND($E80="correction",IF($F80="","reserve",$F80)="reserve"),N($G80),0)))))</f>
        <v>-45</v>
      </c>
      <c r="N80" s="30" t="n">
        <f aca="false">IF($C80="","",IF($E80="rejected",N($G80),IF(AND(OR($E80="returned_to_brand",$E80="given_to_roster_office",$E80="released_to_office",$E80="disposed"),IF($F80="","reserve",$F80)="rejected"),-N($G80),IF(AND($E80="correction",IF($F80="","reserve",$F80)="rejected"),N($G80),0))))</f>
        <v>0</v>
      </c>
      <c r="O80" s="30" t="n">
        <f aca="false">IF($C80="","",IF($E80="collected",N($G80),IF(AND(OR($E80="returned_to_brand",$E80="given_to_roster_office",$E80="released_to_office",$E80="disposed"),IF($F80="","reserve",$F80)="leftover"),-N($G80),IF(AND($E80="correction",IF($F80="","reserve",$F80)="leftover"),N($G80),0))))</f>
        <v>0</v>
      </c>
      <c r="P80" s="30" t="str">
        <f aca="false">IF(OR($E80&lt;&gt;"received",$I80="",$L80=""),"",IF($I80&gt;=$L80+config!$B$19,"Y","N"))</f>
        <v/>
      </c>
      <c r="Q80" s="30" t="str">
        <f aca="false">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30" t="str">
        <f aca="false">IF($C80="","",$C80&amp;"|"&amp;$D80&amp;"|"&amp;$E80)</f>
        <v>SAMPLE-CMP-006|SAMPLE-O-003|delivered</v>
      </c>
    </row>
    <row r="81" customFormat="false" ht="15" hidden="false" customHeight="false" outlineLevel="0" collapsed="false">
      <c r="A81" s="11" t="n">
        <v>46441</v>
      </c>
      <c r="B81" s="38" t="n">
        <v>0.429861111111111</v>
      </c>
      <c r="C81" s="10" t="s">
        <v>563</v>
      </c>
      <c r="D81" s="10" t="s">
        <v>686</v>
      </c>
      <c r="E81" s="10" t="s">
        <v>105</v>
      </c>
      <c r="G81" s="0" t="n">
        <v>45</v>
      </c>
      <c r="I81" s="11"/>
      <c r="J81" s="10" t="s">
        <v>811</v>
      </c>
      <c r="L81" s="31" t="n">
        <f aca="false">IF($C81="","",IFERROR(IF(INDEX(campaigns!$BG$2:$BG$51,MATCH($C81,campaigns!$A$2:$A$51,0))="","",INDEX(campaigns!$BG$2:$BG$51,MATCH($C81,campaigns!$A$2:$A$51,0))),""))</f>
        <v>46441</v>
      </c>
      <c r="M81" s="30" t="n">
        <f aca="false">IF($C81="","",IF(OR($E81="received"),N($G81),IF(OR($E81="rejected",$E81="delivered",$E81="topped_up"),-N($G81),IF(AND(OR($E81="returned_to_brand",$E81="given_to_roster_office",$E81="released_to_office",$E81="disposed"),IF($F81="","reserve",$F81)="reserve"),-N($G81),IF(AND($E81="correction",IF($F81="","reserve",$F81)="reserve"),N($G81),0)))))</f>
        <v>-45</v>
      </c>
      <c r="N81" s="30" t="n">
        <f aca="false">IF($C81="","",IF($E81="rejected",N($G81),IF(AND(OR($E81="returned_to_brand",$E81="given_to_roster_office",$E81="released_to_office",$E81="disposed"),IF($F81="","reserve",$F81)="rejected"),-N($G81),IF(AND($E81="correction",IF($F81="","reserve",$F81)="rejected"),N($G81),0))))</f>
        <v>0</v>
      </c>
      <c r="O81" s="30" t="n">
        <f aca="false">IF($C81="","",IF($E81="collected",N($G81),IF(AND(OR($E81="returned_to_brand",$E81="given_to_roster_office",$E81="released_to_office",$E81="disposed"),IF($F81="","reserve",$F81)="leftover"),-N($G81),IF(AND($E81="correction",IF($F81="","reserve",$F81)="leftover"),N($G81),0))))</f>
        <v>0</v>
      </c>
      <c r="P81" s="30" t="str">
        <f aca="false">IF(OR($E81&lt;&gt;"received",$I81="",$L81=""),"",IF($I81&gt;=$L81+config!$B$19,"Y","N"))</f>
        <v/>
      </c>
      <c r="Q81" s="30" t="str">
        <f aca="false">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30" t="str">
        <f aca="false">IF($C81="","",$C81&amp;"|"&amp;$D81&amp;"|"&amp;$E81)</f>
        <v>SAMPLE-CMP-006|SAMPLE-O-004|delivered</v>
      </c>
    </row>
    <row r="82" customFormat="false" ht="15" hidden="false" customHeight="false" outlineLevel="0" collapsed="false">
      <c r="A82" s="11" t="n">
        <v>46441</v>
      </c>
      <c r="B82" s="38" t="n">
        <v>0.445138888888889</v>
      </c>
      <c r="C82" s="10" t="s">
        <v>563</v>
      </c>
      <c r="D82" s="10" t="s">
        <v>688</v>
      </c>
      <c r="E82" s="10" t="s">
        <v>105</v>
      </c>
      <c r="G82" s="0" t="n">
        <v>65</v>
      </c>
      <c r="I82" s="11"/>
      <c r="J82" s="10" t="s">
        <v>811</v>
      </c>
      <c r="L82" s="31" t="n">
        <f aca="false">IF($C82="","",IFERROR(IF(INDEX(campaigns!$BG$2:$BG$51,MATCH($C82,campaigns!$A$2:$A$51,0))="","",INDEX(campaigns!$BG$2:$BG$51,MATCH($C82,campaigns!$A$2:$A$51,0))),""))</f>
        <v>46441</v>
      </c>
      <c r="M82" s="30" t="n">
        <f aca="false">IF($C82="","",IF(OR($E82="received"),N($G82),IF(OR($E82="rejected",$E82="delivered",$E82="topped_up"),-N($G82),IF(AND(OR($E82="returned_to_brand",$E82="given_to_roster_office",$E82="released_to_office",$E82="disposed"),IF($F82="","reserve",$F82)="reserve"),-N($G82),IF(AND($E82="correction",IF($F82="","reserve",$F82)="reserve"),N($G82),0)))))</f>
        <v>-65</v>
      </c>
      <c r="N82" s="30" t="n">
        <f aca="false">IF($C82="","",IF($E82="rejected",N($G82),IF(AND(OR($E82="returned_to_brand",$E82="given_to_roster_office",$E82="released_to_office",$E82="disposed"),IF($F82="","reserve",$F82)="rejected"),-N($G82),IF(AND($E82="correction",IF($F82="","reserve",$F82)="rejected"),N($G82),0))))</f>
        <v>0</v>
      </c>
      <c r="O82" s="30" t="n">
        <f aca="false">IF($C82="","",IF($E82="collected",N($G82),IF(AND(OR($E82="returned_to_brand",$E82="given_to_roster_office",$E82="released_to_office",$E82="disposed"),IF($F82="","reserve",$F82)="leftover"),-N($G82),IF(AND($E82="correction",IF($F82="","reserve",$F82)="leftover"),N($G82),0))))</f>
        <v>0</v>
      </c>
      <c r="P82" s="30" t="str">
        <f aca="false">IF(OR($E82&lt;&gt;"received",$I82="",$L82=""),"",IF($I82&gt;=$L82+config!$B$19,"Y","N"))</f>
        <v/>
      </c>
      <c r="Q82" s="30" t="str">
        <f aca="false">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30" t="str">
        <f aca="false">IF($C82="","",$C82&amp;"|"&amp;$D82&amp;"|"&amp;$E82)</f>
        <v>SAMPLE-CMP-006|SAMPLE-O-005|delivered</v>
      </c>
    </row>
    <row r="83" customFormat="false" ht="15" hidden="false" customHeight="false" outlineLevel="0" collapsed="false">
      <c r="A83" s="11" t="n">
        <v>46443</v>
      </c>
      <c r="B83" s="38" t="n">
        <v>0.541666666666667</v>
      </c>
      <c r="C83" s="10" t="s">
        <v>563</v>
      </c>
      <c r="D83" s="10" t="s">
        <v>688</v>
      </c>
      <c r="E83" s="10" t="s">
        <v>800</v>
      </c>
      <c r="G83" s="0" t="n">
        <v>6</v>
      </c>
      <c r="I83" s="11"/>
      <c r="J83" s="10" t="s">
        <v>792</v>
      </c>
      <c r="L83" s="31" t="n">
        <f aca="false">IF($C83="","",IFERROR(IF(INDEX(campaigns!$BG$2:$BG$51,MATCH($C83,campaigns!$A$2:$A$51,0))="","",INDEX(campaigns!$BG$2:$BG$51,MATCH($C83,campaigns!$A$2:$A$51,0))),""))</f>
        <v>46441</v>
      </c>
      <c r="M83" s="30" t="n">
        <f aca="false">IF($C83="","",IF(OR($E83="received"),N($G83),IF(OR($E83="rejected",$E83="delivered",$E83="topped_up"),-N($G83),IF(AND(OR($E83="returned_to_brand",$E83="given_to_roster_office",$E83="released_to_office",$E83="disposed"),IF($F83="","reserve",$F83)="reserve"),-N($G83),IF(AND($E83="correction",IF($F83="","reserve",$F83)="reserve"),N($G83),0)))))</f>
        <v>-6</v>
      </c>
      <c r="N83" s="30" t="n">
        <f aca="false">IF($C83="","",IF($E83="rejected",N($G83),IF(AND(OR($E83="returned_to_brand",$E83="given_to_roster_office",$E83="released_to_office",$E83="disposed"),IF($F83="","reserve",$F83)="rejected"),-N($G83),IF(AND($E83="correction",IF($F83="","reserve",$F83)="rejected"),N($G83),0))))</f>
        <v>0</v>
      </c>
      <c r="O83" s="30" t="n">
        <f aca="false">IF($C83="","",IF($E83="collected",N($G83),IF(AND(OR($E83="returned_to_brand",$E83="given_to_roster_office",$E83="released_to_office",$E83="disposed"),IF($F83="","reserve",$F83)="leftover"),-N($G83),IF(AND($E83="correction",IF($F83="","reserve",$F83)="leftover"),N($G83),0))))</f>
        <v>0</v>
      </c>
      <c r="P83" s="30" t="str">
        <f aca="false">IF(OR($E83&lt;&gt;"received",$I83="",$L83=""),"",IF($I83&gt;=$L83+config!$B$19,"Y","N"))</f>
        <v/>
      </c>
      <c r="Q83" s="30" t="str">
        <f aca="false">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30" t="str">
        <f aca="false">IF($C83="","",$C83&amp;"|"&amp;$D83&amp;"|"&amp;$E83)</f>
        <v>SAMPLE-CMP-006|SAMPLE-O-005|topped_up</v>
      </c>
    </row>
    <row r="84" customFormat="false" ht="15" hidden="false" customHeight="false" outlineLevel="0" collapsed="false">
      <c r="A84" s="11" t="n">
        <v>46441</v>
      </c>
      <c r="B84" s="38" t="n">
        <v>0.402083333333333</v>
      </c>
      <c r="C84" s="10" t="s">
        <v>563</v>
      </c>
      <c r="D84" s="10" t="s">
        <v>692</v>
      </c>
      <c r="E84" s="10" t="s">
        <v>105</v>
      </c>
      <c r="G84" s="0" t="n">
        <v>55</v>
      </c>
      <c r="I84" s="11"/>
      <c r="J84" s="10" t="s">
        <v>811</v>
      </c>
      <c r="L84" s="31" t="n">
        <f aca="false">IF($C84="","",IFERROR(IF(INDEX(campaigns!$BG$2:$BG$51,MATCH($C84,campaigns!$A$2:$A$51,0))="","",INDEX(campaigns!$BG$2:$BG$51,MATCH($C84,campaigns!$A$2:$A$51,0))),""))</f>
        <v>46441</v>
      </c>
      <c r="M84" s="30" t="n">
        <f aca="false">IF($C84="","",IF(OR($E84="received"),N($G84),IF(OR($E84="rejected",$E84="delivered",$E84="topped_up"),-N($G84),IF(AND(OR($E84="returned_to_brand",$E84="given_to_roster_office",$E84="released_to_office",$E84="disposed"),IF($F84="","reserve",$F84)="reserve"),-N($G84),IF(AND($E84="correction",IF($F84="","reserve",$F84)="reserve"),N($G84),0)))))</f>
        <v>-55</v>
      </c>
      <c r="N84" s="30" t="n">
        <f aca="false">IF($C84="","",IF($E84="rejected",N($G84),IF(AND(OR($E84="returned_to_brand",$E84="given_to_roster_office",$E84="released_to_office",$E84="disposed"),IF($F84="","reserve",$F84)="rejected"),-N($G84),IF(AND($E84="correction",IF($F84="","reserve",$F84)="rejected"),N($G84),0))))</f>
        <v>0</v>
      </c>
      <c r="O84" s="30" t="n">
        <f aca="false">IF($C84="","",IF($E84="collected",N($G84),IF(AND(OR($E84="returned_to_brand",$E84="given_to_roster_office",$E84="released_to_office",$E84="disposed"),IF($F84="","reserve",$F84)="leftover"),-N($G84),IF(AND($E84="correction",IF($F84="","reserve",$F84)="leftover"),N($G84),0))))</f>
        <v>0</v>
      </c>
      <c r="P84" s="30" t="str">
        <f aca="false">IF(OR($E84&lt;&gt;"received",$I84="",$L84=""),"",IF($I84&gt;=$L84+config!$B$19,"Y","N"))</f>
        <v/>
      </c>
      <c r="Q84" s="30" t="str">
        <f aca="false">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30" t="str">
        <f aca="false">IF($C84="","",$C84&amp;"|"&amp;$D84&amp;"|"&amp;$E84)</f>
        <v>SAMPLE-CMP-006|SAMPLE-O-007|delivered</v>
      </c>
    </row>
    <row r="85" customFormat="false" ht="15" hidden="false" customHeight="false" outlineLevel="0" collapsed="false">
      <c r="A85" s="11" t="n">
        <v>46441</v>
      </c>
      <c r="B85" s="38" t="n">
        <v>0.415972222222222</v>
      </c>
      <c r="C85" s="10" t="s">
        <v>563</v>
      </c>
      <c r="D85" s="10" t="s">
        <v>694</v>
      </c>
      <c r="E85" s="10" t="s">
        <v>105</v>
      </c>
      <c r="G85" s="0" t="n">
        <v>40</v>
      </c>
      <c r="I85" s="11"/>
      <c r="J85" s="10" t="s">
        <v>811</v>
      </c>
      <c r="L85" s="31" t="n">
        <f aca="false">IF($C85="","",IFERROR(IF(INDEX(campaigns!$BG$2:$BG$51,MATCH($C85,campaigns!$A$2:$A$51,0))="","",INDEX(campaigns!$BG$2:$BG$51,MATCH($C85,campaigns!$A$2:$A$51,0))),""))</f>
        <v>46441</v>
      </c>
      <c r="M85" s="30" t="n">
        <f aca="false">IF($C85="","",IF(OR($E85="received"),N($G85),IF(OR($E85="rejected",$E85="delivered",$E85="topped_up"),-N($G85),IF(AND(OR($E85="returned_to_brand",$E85="given_to_roster_office",$E85="released_to_office",$E85="disposed"),IF($F85="","reserve",$F85)="reserve"),-N($G85),IF(AND($E85="correction",IF($F85="","reserve",$F85)="reserve"),N($G85),0)))))</f>
        <v>-40</v>
      </c>
      <c r="N85" s="30" t="n">
        <f aca="false">IF($C85="","",IF($E85="rejected",N($G85),IF(AND(OR($E85="returned_to_brand",$E85="given_to_roster_office",$E85="released_to_office",$E85="disposed"),IF($F85="","reserve",$F85)="rejected"),-N($G85),IF(AND($E85="correction",IF($F85="","reserve",$F85)="rejected"),N($G85),0))))</f>
        <v>0</v>
      </c>
      <c r="O85" s="30" t="n">
        <f aca="false">IF($C85="","",IF($E85="collected",N($G85),IF(AND(OR($E85="returned_to_brand",$E85="given_to_roster_office",$E85="released_to_office",$E85="disposed"),IF($F85="","reserve",$F85)="leftover"),-N($G85),IF(AND($E85="correction",IF($F85="","reserve",$F85)="leftover"),N($G85),0))))</f>
        <v>0</v>
      </c>
      <c r="P85" s="30" t="str">
        <f aca="false">IF(OR($E85&lt;&gt;"received",$I85="",$L85=""),"",IF($I85&gt;=$L85+config!$B$19,"Y","N"))</f>
        <v/>
      </c>
      <c r="Q85" s="30" t="str">
        <f aca="false">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30" t="str">
        <f aca="false">IF($C85="","",$C85&amp;"|"&amp;$D85&amp;"|"&amp;$E85)</f>
        <v>SAMPLE-CMP-006|SAMPLE-O-008|delivered</v>
      </c>
    </row>
    <row r="86" customFormat="false" ht="15" hidden="false" customHeight="false" outlineLevel="0" collapsed="false">
      <c r="A86" s="11" t="n">
        <v>46441</v>
      </c>
      <c r="B86" s="38" t="n">
        <v>0.460416666666667</v>
      </c>
      <c r="C86" s="10" t="s">
        <v>563</v>
      </c>
      <c r="D86" s="10" t="s">
        <v>696</v>
      </c>
      <c r="E86" s="10" t="s">
        <v>105</v>
      </c>
      <c r="G86" s="0" t="n">
        <v>70</v>
      </c>
      <c r="I86" s="11"/>
      <c r="J86" s="10" t="s">
        <v>811</v>
      </c>
      <c r="L86" s="31" t="n">
        <f aca="false">IF($C86="","",IFERROR(IF(INDEX(campaigns!$BG$2:$BG$51,MATCH($C86,campaigns!$A$2:$A$51,0))="","",INDEX(campaigns!$BG$2:$BG$51,MATCH($C86,campaigns!$A$2:$A$51,0))),""))</f>
        <v>46441</v>
      </c>
      <c r="M86" s="30" t="n">
        <f aca="false">IF($C86="","",IF(OR($E86="received"),N($G86),IF(OR($E86="rejected",$E86="delivered",$E86="topped_up"),-N($G86),IF(AND(OR($E86="returned_to_brand",$E86="given_to_roster_office",$E86="released_to_office",$E86="disposed"),IF($F86="","reserve",$F86)="reserve"),-N($G86),IF(AND($E86="correction",IF($F86="","reserve",$F86)="reserve"),N($G86),0)))))</f>
        <v>-70</v>
      </c>
      <c r="N86" s="30" t="n">
        <f aca="false">IF($C86="","",IF($E86="rejected",N($G86),IF(AND(OR($E86="returned_to_brand",$E86="given_to_roster_office",$E86="released_to_office",$E86="disposed"),IF($F86="","reserve",$F86)="rejected"),-N($G86),IF(AND($E86="correction",IF($F86="","reserve",$F86)="rejected"),N($G86),0))))</f>
        <v>0</v>
      </c>
      <c r="O86" s="30" t="n">
        <f aca="false">IF($C86="","",IF($E86="collected",N($G86),IF(AND(OR($E86="returned_to_brand",$E86="given_to_roster_office",$E86="released_to_office",$E86="disposed"),IF($F86="","reserve",$F86)="leftover"),-N($G86),IF(AND($E86="correction",IF($F86="","reserve",$F86)="leftover"),N($G86),0))))</f>
        <v>0</v>
      </c>
      <c r="P86" s="30" t="str">
        <f aca="false">IF(OR($E86&lt;&gt;"received",$I86="",$L86=""),"",IF($I86&gt;=$L86+config!$B$19,"Y","N"))</f>
        <v/>
      </c>
      <c r="Q86" s="30" t="str">
        <f aca="false">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30" t="str">
        <f aca="false">IF($C86="","",$C86&amp;"|"&amp;$D86&amp;"|"&amp;$E86)</f>
        <v>SAMPLE-CMP-006|SAMPLE-O-009|delivered</v>
      </c>
    </row>
    <row r="87" customFormat="false" ht="15" hidden="false" customHeight="false" outlineLevel="0" collapsed="false">
      <c r="A87" s="11" t="n">
        <v>46443</v>
      </c>
      <c r="B87" s="38" t="n">
        <v>0.541666666666667</v>
      </c>
      <c r="C87" s="10" t="s">
        <v>563</v>
      </c>
      <c r="D87" s="10" t="s">
        <v>696</v>
      </c>
      <c r="E87" s="10" t="s">
        <v>800</v>
      </c>
      <c r="G87" s="0" t="n">
        <v>6</v>
      </c>
      <c r="I87" s="11"/>
      <c r="J87" s="10" t="s">
        <v>792</v>
      </c>
      <c r="L87" s="31" t="n">
        <f aca="false">IF($C87="","",IFERROR(IF(INDEX(campaigns!$BG$2:$BG$51,MATCH($C87,campaigns!$A$2:$A$51,0))="","",INDEX(campaigns!$BG$2:$BG$51,MATCH($C87,campaigns!$A$2:$A$51,0))),""))</f>
        <v>46441</v>
      </c>
      <c r="M87" s="30" t="n">
        <f aca="false">IF($C87="","",IF(OR($E87="received"),N($G87),IF(OR($E87="rejected",$E87="delivered",$E87="topped_up"),-N($G87),IF(AND(OR($E87="returned_to_brand",$E87="given_to_roster_office",$E87="released_to_office",$E87="disposed"),IF($F87="","reserve",$F87)="reserve"),-N($G87),IF(AND($E87="correction",IF($F87="","reserve",$F87)="reserve"),N($G87),0)))))</f>
        <v>-6</v>
      </c>
      <c r="N87" s="30" t="n">
        <f aca="false">IF($C87="","",IF($E87="rejected",N($G87),IF(AND(OR($E87="returned_to_brand",$E87="given_to_roster_office",$E87="released_to_office",$E87="disposed"),IF($F87="","reserve",$F87)="rejected"),-N($G87),IF(AND($E87="correction",IF($F87="","reserve",$F87)="rejected"),N($G87),0))))</f>
        <v>0</v>
      </c>
      <c r="O87" s="30" t="n">
        <f aca="false">IF($C87="","",IF($E87="collected",N($G87),IF(AND(OR($E87="returned_to_brand",$E87="given_to_roster_office",$E87="released_to_office",$E87="disposed"),IF($F87="","reserve",$F87)="leftover"),-N($G87),IF(AND($E87="correction",IF($F87="","reserve",$F87)="leftover"),N($G87),0))))</f>
        <v>0</v>
      </c>
      <c r="P87" s="30" t="str">
        <f aca="false">IF(OR($E87&lt;&gt;"received",$I87="",$L87=""),"",IF($I87&gt;=$L87+config!$B$19,"Y","N"))</f>
        <v/>
      </c>
      <c r="Q87" s="30" t="str">
        <f aca="false">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30" t="str">
        <f aca="false">IF($C87="","",$C87&amp;"|"&amp;$D87&amp;"|"&amp;$E87)</f>
        <v>SAMPLE-CMP-006|SAMPLE-O-009|topped_up</v>
      </c>
    </row>
    <row r="88" customFormat="false" ht="15" hidden="false" customHeight="false" outlineLevel="0" collapsed="false">
      <c r="A88" s="11" t="n">
        <v>46441</v>
      </c>
      <c r="B88" s="38" t="n">
        <v>0.361805555555556</v>
      </c>
      <c r="C88" s="10" t="s">
        <v>563</v>
      </c>
      <c r="D88" s="10" t="s">
        <v>698</v>
      </c>
      <c r="E88" s="10" t="s">
        <v>105</v>
      </c>
      <c r="G88" s="0" t="n">
        <v>35</v>
      </c>
      <c r="I88" s="11"/>
      <c r="J88" s="10" t="s">
        <v>811</v>
      </c>
      <c r="L88" s="31" t="n">
        <f aca="false">IF($C88="","",IFERROR(IF(INDEX(campaigns!$BG$2:$BG$51,MATCH($C88,campaigns!$A$2:$A$51,0))="","",INDEX(campaigns!$BG$2:$BG$51,MATCH($C88,campaigns!$A$2:$A$51,0))),""))</f>
        <v>46441</v>
      </c>
      <c r="M88" s="30" t="n">
        <f aca="false">IF($C88="","",IF(OR($E88="received"),N($G88),IF(OR($E88="rejected",$E88="delivered",$E88="topped_up"),-N($G88),IF(AND(OR($E88="returned_to_brand",$E88="given_to_roster_office",$E88="released_to_office",$E88="disposed"),IF($F88="","reserve",$F88)="reserve"),-N($G88),IF(AND($E88="correction",IF($F88="","reserve",$F88)="reserve"),N($G88),0)))))</f>
        <v>-35</v>
      </c>
      <c r="N88" s="30" t="n">
        <f aca="false">IF($C88="","",IF($E88="rejected",N($G88),IF(AND(OR($E88="returned_to_brand",$E88="given_to_roster_office",$E88="released_to_office",$E88="disposed"),IF($F88="","reserve",$F88)="rejected"),-N($G88),IF(AND($E88="correction",IF($F88="","reserve",$F88)="rejected"),N($G88),0))))</f>
        <v>0</v>
      </c>
      <c r="O88" s="30" t="n">
        <f aca="false">IF($C88="","",IF($E88="collected",N($G88),IF(AND(OR($E88="returned_to_brand",$E88="given_to_roster_office",$E88="released_to_office",$E88="disposed"),IF($F88="","reserve",$F88)="leftover"),-N($G88),IF(AND($E88="correction",IF($F88="","reserve",$F88)="leftover"),N($G88),0))))</f>
        <v>0</v>
      </c>
      <c r="P88" s="30" t="str">
        <f aca="false">IF(OR($E88&lt;&gt;"received",$I88="",$L88=""),"",IF($I88&gt;=$L88+config!$B$19,"Y","N"))</f>
        <v/>
      </c>
      <c r="Q88" s="30" t="str">
        <f aca="false">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30" t="str">
        <f aca="false">IF($C88="","",$C88&amp;"|"&amp;$D88&amp;"|"&amp;$E88)</f>
        <v>SAMPLE-CMP-006|SAMPLE-O-010|delivered</v>
      </c>
    </row>
    <row r="89" customFormat="false" ht="15" hidden="false" customHeight="false" outlineLevel="0" collapsed="false">
      <c r="A89" s="11" t="n">
        <v>46447</v>
      </c>
      <c r="B89" s="38" t="n">
        <v>0.708333333333333</v>
      </c>
      <c r="C89" s="10" t="s">
        <v>563</v>
      </c>
      <c r="D89" s="10" t="s">
        <v>688</v>
      </c>
      <c r="E89" s="10" t="s">
        <v>801</v>
      </c>
      <c r="F89" s="0" t="s">
        <v>802</v>
      </c>
      <c r="G89" s="0" t="n">
        <v>43</v>
      </c>
      <c r="I89" s="11"/>
      <c r="J89" s="10" t="s">
        <v>792</v>
      </c>
      <c r="K89" s="10" t="s">
        <v>815</v>
      </c>
      <c r="L89" s="31" t="n">
        <f aca="false">IF($C89="","",IFERROR(IF(INDEX(campaigns!$BG$2:$BG$51,MATCH($C89,campaigns!$A$2:$A$51,0))="","",INDEX(campaigns!$BG$2:$BG$51,MATCH($C89,campaigns!$A$2:$A$51,0))),""))</f>
        <v>46441</v>
      </c>
      <c r="M89" s="30" t="n">
        <f aca="false">IF($C89="","",IF(OR($E89="received"),N($G89),IF(OR($E89="rejected",$E89="delivered",$E89="topped_up"),-N($G89),IF(AND(OR($E89="returned_to_brand",$E89="given_to_roster_office",$E89="released_to_office",$E89="disposed"),IF($F89="","reserve",$F89)="reserve"),-N($G89),IF(AND($E89="correction",IF($F89="","reserve",$F89)="reserve"),N($G89),0)))))</f>
        <v>-43</v>
      </c>
      <c r="N89" s="30" t="n">
        <f aca="false">IF($C89="","",IF($E89="rejected",N($G89),IF(AND(OR($E89="returned_to_brand",$E89="given_to_roster_office",$E89="released_to_office",$E89="disposed"),IF($F89="","reserve",$F89)="rejected"),-N($G89),IF(AND($E89="correction",IF($F89="","reserve",$F89)="rejected"),N($G89),0))))</f>
        <v>0</v>
      </c>
      <c r="O89" s="30" t="n">
        <f aca="false">IF($C89="","",IF($E89="collected",N($G89),IF(AND(OR($E89="returned_to_brand",$E89="given_to_roster_office",$E89="released_to_office",$E89="disposed"),IF($F89="","reserve",$F89)="leftover"),-N($G89),IF(AND($E89="correction",IF($F89="","reserve",$F89)="leftover"),N($G89),0))))</f>
        <v>0</v>
      </c>
      <c r="P89" s="30" t="str">
        <f aca="false">IF(OR($E89&lt;&gt;"received",$I89="",$L89=""),"",IF($I89&gt;=$L89+config!$B$19,"Y","N"))</f>
        <v/>
      </c>
      <c r="Q89" s="30" t="str">
        <f aca="false">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30" t="str">
        <f aca="false">IF($C89="","",$C89&amp;"|"&amp;$D89&amp;"|"&amp;$E89)</f>
        <v>SAMPLE-CMP-006|SAMPLE-O-005|released_to_office</v>
      </c>
    </row>
    <row r="90" customFormat="false" ht="15" hidden="false" customHeight="false" outlineLevel="0" collapsed="false">
      <c r="A90" s="11" t="n">
        <v>46462</v>
      </c>
      <c r="B90" s="38" t="n">
        <v>0.583333333333333</v>
      </c>
      <c r="C90" s="10" t="s">
        <v>576</v>
      </c>
      <c r="E90" s="10" t="s">
        <v>685</v>
      </c>
      <c r="G90" s="0" t="n">
        <v>52</v>
      </c>
      <c r="H90" s="10" t="s">
        <v>816</v>
      </c>
      <c r="I90" s="11" t="n">
        <v>46630</v>
      </c>
      <c r="J90" s="10" t="s">
        <v>792</v>
      </c>
      <c r="K90" s="10" t="s">
        <v>817</v>
      </c>
      <c r="L90" s="31" t="n">
        <f aca="false">IF($C90="","",IFERROR(IF(INDEX(campaigns!$BG$2:$BG$51,MATCH($C90,campaigns!$A$2:$A$51,0))="","",INDEX(campaigns!$BG$2:$BG$51,MATCH($C90,campaigns!$A$2:$A$51,0))),""))</f>
        <v>46469</v>
      </c>
      <c r="M90" s="30" t="n">
        <f aca="false">IF($C90="","",IF(OR($E90="received"),N($G90),IF(OR($E90="rejected",$E90="delivered",$E90="topped_up"),-N($G90),IF(AND(OR($E90="returned_to_brand",$E90="given_to_roster_office",$E90="released_to_office",$E90="disposed"),IF($F90="","reserve",$F90)="reserve"),-N($G90),IF(AND($E90="correction",IF($F90="","reserve",$F90)="reserve"),N($G90),0)))))</f>
        <v>52</v>
      </c>
      <c r="N90" s="30" t="n">
        <f aca="false">IF($C90="","",IF($E90="rejected",N($G90),IF(AND(OR($E90="returned_to_brand",$E90="given_to_roster_office",$E90="released_to_office",$E90="disposed"),IF($F90="","reserve",$F90)="rejected"),-N($G90),IF(AND($E90="correction",IF($F90="","reserve",$F90)="rejected"),N($G90),0))))</f>
        <v>0</v>
      </c>
      <c r="O90" s="30" t="n">
        <f aca="false">IF($C90="","",IF($E90="collected",N($G90),IF(AND(OR($E90="returned_to_brand",$E90="given_to_roster_office",$E90="released_to_office",$E90="disposed"),IF($F90="","reserve",$F90)="leftover"),-N($G90),IF(AND($E90="correction",IF($F90="","reserve",$F90)="leftover"),N($G90),0))))</f>
        <v>0</v>
      </c>
      <c r="P90" s="30" t="str">
        <f aca="false">IF(OR($E90&lt;&gt;"received",$I90="",$L90=""),"",IF($I90&gt;=$L90+config!$B$19,"Y","N"))</f>
        <v>Y</v>
      </c>
      <c r="Q90" s="30" t="str">
        <f aca="false">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30" t="str">
        <f aca="false">IF($C90="","",$C90&amp;"|"&amp;$D90&amp;"|"&amp;$E90)</f>
        <v>SAMPLE-CMP-007||received</v>
      </c>
    </row>
    <row r="91" customFormat="false" ht="15" hidden="false" customHeight="false" outlineLevel="0" collapsed="false">
      <c r="A91" s="11" t="n">
        <v>46462</v>
      </c>
      <c r="B91" s="38" t="n">
        <v>0.586805555555556</v>
      </c>
      <c r="C91" s="10" t="s">
        <v>576</v>
      </c>
      <c r="E91" s="10" t="s">
        <v>685</v>
      </c>
      <c r="G91" s="0" t="n">
        <v>75</v>
      </c>
      <c r="H91" s="10" t="s">
        <v>816</v>
      </c>
      <c r="I91" s="11" t="n">
        <v>46630</v>
      </c>
      <c r="J91" s="10" t="s">
        <v>792</v>
      </c>
      <c r="K91" s="10" t="s">
        <v>818</v>
      </c>
      <c r="L91" s="31" t="n">
        <f aca="false">IF($C91="","",IFERROR(IF(INDEX(campaigns!$BG$2:$BG$51,MATCH($C91,campaigns!$A$2:$A$51,0))="","",INDEX(campaigns!$BG$2:$BG$51,MATCH($C91,campaigns!$A$2:$A$51,0))),""))</f>
        <v>46469</v>
      </c>
      <c r="M91" s="30" t="n">
        <f aca="false">IF($C91="","",IF(OR($E91="received"),N($G91),IF(OR($E91="rejected",$E91="delivered",$E91="topped_up"),-N($G91),IF(AND(OR($E91="returned_to_brand",$E91="given_to_roster_office",$E91="released_to_office",$E91="disposed"),IF($F91="","reserve",$F91)="reserve"),-N($G91),IF(AND($E91="correction",IF($F91="","reserve",$F91)="reserve"),N($G91),0)))))</f>
        <v>75</v>
      </c>
      <c r="N91" s="30" t="n">
        <f aca="false">IF($C91="","",IF($E91="rejected",N($G91),IF(AND(OR($E91="returned_to_brand",$E91="given_to_roster_office",$E91="released_to_office",$E91="disposed"),IF($F91="","reserve",$F91)="rejected"),-N($G91),IF(AND($E91="correction",IF($F91="","reserve",$F91)="rejected"),N($G91),0))))</f>
        <v>0</v>
      </c>
      <c r="O91" s="30" t="n">
        <f aca="false">IF($C91="","",IF($E91="collected",N($G91),IF(AND(OR($E91="returned_to_brand",$E91="given_to_roster_office",$E91="released_to_office",$E91="disposed"),IF($F91="","reserve",$F91)="leftover"),-N($G91),IF(AND($E91="correction",IF($F91="","reserve",$F91)="leftover"),N($G91),0))))</f>
        <v>0</v>
      </c>
      <c r="P91" s="30" t="str">
        <f aca="false">IF(OR($E91&lt;&gt;"received",$I91="",$L91=""),"",IF($I91&gt;=$L91+config!$B$19,"Y","N"))</f>
        <v>Y</v>
      </c>
      <c r="Q91" s="30" t="str">
        <f aca="false">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30" t="str">
        <f aca="false">IF($C91="","",$C91&amp;"|"&amp;$D91&amp;"|"&amp;$E91)</f>
        <v>SAMPLE-CMP-007||received</v>
      </c>
    </row>
    <row r="92" customFormat="false" ht="15" hidden="false" customHeight="false" outlineLevel="0" collapsed="false">
      <c r="A92" s="11" t="n">
        <v>46462</v>
      </c>
      <c r="B92" s="38" t="n">
        <v>0.583333333333333</v>
      </c>
      <c r="C92" s="10" t="s">
        <v>584</v>
      </c>
      <c r="E92" s="10" t="s">
        <v>685</v>
      </c>
      <c r="G92" s="0" t="n">
        <v>52</v>
      </c>
      <c r="H92" s="10" t="s">
        <v>819</v>
      </c>
      <c r="I92" s="11" t="n">
        <v>46660</v>
      </c>
      <c r="J92" s="10" t="s">
        <v>792</v>
      </c>
      <c r="K92" s="10" t="s">
        <v>817</v>
      </c>
      <c r="L92" s="31" t="n">
        <f aca="false">IF($C92="","",IFERROR(IF(INDEX(campaigns!$BG$2:$BG$51,MATCH($C92,campaigns!$A$2:$A$51,0))="","",INDEX(campaigns!$BG$2:$BG$51,MATCH($C92,campaigns!$A$2:$A$51,0))),""))</f>
        <v>46469</v>
      </c>
      <c r="M92" s="30" t="n">
        <f aca="false">IF($C92="","",IF(OR($E92="received"),N($G92),IF(OR($E92="rejected",$E92="delivered",$E92="topped_up"),-N($G92),IF(AND(OR($E92="returned_to_brand",$E92="given_to_roster_office",$E92="released_to_office",$E92="disposed"),IF($F92="","reserve",$F92)="reserve"),-N($G92),IF(AND($E92="correction",IF($F92="","reserve",$F92)="reserve"),N($G92),0)))))</f>
        <v>52</v>
      </c>
      <c r="N92" s="30" t="n">
        <f aca="false">IF($C92="","",IF($E92="rejected",N($G92),IF(AND(OR($E92="returned_to_brand",$E92="given_to_roster_office",$E92="released_to_office",$E92="disposed"),IF($F92="","reserve",$F92)="rejected"),-N($G92),IF(AND($E92="correction",IF($F92="","reserve",$F92)="rejected"),N($G92),0))))</f>
        <v>0</v>
      </c>
      <c r="O92" s="30" t="n">
        <f aca="false">IF($C92="","",IF($E92="collected",N($G92),IF(AND(OR($E92="returned_to_brand",$E92="given_to_roster_office",$E92="released_to_office",$E92="disposed"),IF($F92="","reserve",$F92)="leftover"),-N($G92),IF(AND($E92="correction",IF($F92="","reserve",$F92)="leftover"),N($G92),0))))</f>
        <v>0</v>
      </c>
      <c r="P92" s="30" t="str">
        <f aca="false">IF(OR($E92&lt;&gt;"received",$I92="",$L92=""),"",IF($I92&gt;=$L92+config!$B$19,"Y","N"))</f>
        <v>Y</v>
      </c>
      <c r="Q92" s="30" t="str">
        <f aca="false">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30" t="str">
        <f aca="false">IF($C92="","",$C92&amp;"|"&amp;$D92&amp;"|"&amp;$E92)</f>
        <v>SAMPLE-CMP-008||received</v>
      </c>
    </row>
    <row r="93" customFormat="false" ht="15" hidden="false" customHeight="false" outlineLevel="0" collapsed="false">
      <c r="A93" s="11" t="n">
        <v>46462</v>
      </c>
      <c r="B93" s="38" t="n">
        <v>0.586805555555556</v>
      </c>
      <c r="C93" s="10" t="s">
        <v>584</v>
      </c>
      <c r="E93" s="10" t="s">
        <v>685</v>
      </c>
      <c r="G93" s="0" t="n">
        <v>75</v>
      </c>
      <c r="H93" s="10" t="s">
        <v>819</v>
      </c>
      <c r="I93" s="11" t="n">
        <v>46660</v>
      </c>
      <c r="J93" s="10" t="s">
        <v>792</v>
      </c>
      <c r="K93" s="10" t="s">
        <v>818</v>
      </c>
      <c r="L93" s="31" t="n">
        <f aca="false">IF($C93="","",IFERROR(IF(INDEX(campaigns!$BG$2:$BG$51,MATCH($C93,campaigns!$A$2:$A$51,0))="","",INDEX(campaigns!$BG$2:$BG$51,MATCH($C93,campaigns!$A$2:$A$51,0))),""))</f>
        <v>46469</v>
      </c>
      <c r="M93" s="30" t="n">
        <f aca="false">IF($C93="","",IF(OR($E93="received"),N($G93),IF(OR($E93="rejected",$E93="delivered",$E93="topped_up"),-N($G93),IF(AND(OR($E93="returned_to_brand",$E93="given_to_roster_office",$E93="released_to_office",$E93="disposed"),IF($F93="","reserve",$F93)="reserve"),-N($G93),IF(AND($E93="correction",IF($F93="","reserve",$F93)="reserve"),N($G93),0)))))</f>
        <v>75</v>
      </c>
      <c r="N93" s="30" t="n">
        <f aca="false">IF($C93="","",IF($E93="rejected",N($G93),IF(AND(OR($E93="returned_to_brand",$E93="given_to_roster_office",$E93="released_to_office",$E93="disposed"),IF($F93="","reserve",$F93)="rejected"),-N($G93),IF(AND($E93="correction",IF($F93="","reserve",$F93)="rejected"),N($G93),0))))</f>
        <v>0</v>
      </c>
      <c r="O93" s="30" t="n">
        <f aca="false">IF($C93="","",IF($E93="collected",N($G93),IF(AND(OR($E93="returned_to_brand",$E93="given_to_roster_office",$E93="released_to_office",$E93="disposed"),IF($F93="","reserve",$F93)="leftover"),-N($G93),IF(AND($E93="correction",IF($F93="","reserve",$F93)="leftover"),N($G93),0))))</f>
        <v>0</v>
      </c>
      <c r="P93" s="30" t="str">
        <f aca="false">IF(OR($E93&lt;&gt;"received",$I93="",$L93=""),"",IF($I93&gt;=$L93+config!$B$19,"Y","N"))</f>
        <v>Y</v>
      </c>
      <c r="Q93" s="30" t="str">
        <f aca="false">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30" t="str">
        <f aca="false">IF($C93="","",$C93&amp;"|"&amp;$D93&amp;"|"&amp;$E93)</f>
        <v>SAMPLE-CMP-008||received</v>
      </c>
    </row>
    <row r="94" customFormat="false" ht="15" hidden="false" customHeight="false" outlineLevel="0" collapsed="false">
      <c r="A94" s="11" t="n">
        <v>46469</v>
      </c>
      <c r="B94" s="38" t="n">
        <v>0.424305555555556</v>
      </c>
      <c r="C94" s="10" t="s">
        <v>576</v>
      </c>
      <c r="D94" s="10" t="s">
        <v>678</v>
      </c>
      <c r="E94" s="10" t="s">
        <v>685</v>
      </c>
      <c r="G94" s="0" t="n">
        <v>40</v>
      </c>
      <c r="H94" s="10" t="s">
        <v>816</v>
      </c>
      <c r="I94" s="11" t="n">
        <v>46630</v>
      </c>
      <c r="J94" s="10" t="s">
        <v>820</v>
      </c>
      <c r="K94" s="10" t="s">
        <v>821</v>
      </c>
      <c r="L94" s="31" t="n">
        <f aca="false">IF($C94="","",IFERROR(IF(INDEX(campaigns!$BG$2:$BG$51,MATCH($C94,campaigns!$A$2:$A$51,0))="","",INDEX(campaigns!$BG$2:$BG$51,MATCH($C94,campaigns!$A$2:$A$51,0))),""))</f>
        <v>46469</v>
      </c>
      <c r="M94" s="30" t="n">
        <f aca="false">IF($C94="","",IF(OR($E94="received"),N($G94),IF(OR($E94="rejected",$E94="delivered",$E94="topped_up"),-N($G94),IF(AND(OR($E94="returned_to_brand",$E94="given_to_roster_office",$E94="released_to_office",$E94="disposed"),IF($F94="","reserve",$F94)="reserve"),-N($G94),IF(AND($E94="correction",IF($F94="","reserve",$F94)="reserve"),N($G94),0)))))</f>
        <v>40</v>
      </c>
      <c r="N94" s="30" t="n">
        <f aca="false">IF($C94="","",IF($E94="rejected",N($G94),IF(AND(OR($E94="returned_to_brand",$E94="given_to_roster_office",$E94="released_to_office",$E94="disposed"),IF($F94="","reserve",$F94)="rejected"),-N($G94),IF(AND($E94="correction",IF($F94="","reserve",$F94)="rejected"),N($G94),0))))</f>
        <v>0</v>
      </c>
      <c r="O94" s="30" t="n">
        <f aca="false">IF($C94="","",IF($E94="collected",N($G94),IF(AND(OR($E94="returned_to_brand",$E94="given_to_roster_office",$E94="released_to_office",$E94="disposed"),IF($F94="","reserve",$F94)="leftover"),-N($G94),IF(AND($E94="correction",IF($F94="","reserve",$F94)="leftover"),N($G94),0))))</f>
        <v>0</v>
      </c>
      <c r="P94" s="30" t="str">
        <f aca="false">IF(OR($E94&lt;&gt;"received",$I94="",$L94=""),"",IF($I94&gt;=$L94+config!$B$19,"Y","N"))</f>
        <v>Y</v>
      </c>
      <c r="Q94" s="30" t="str">
        <f aca="false">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30" t="str">
        <f aca="false">IF($C94="","",$C94&amp;"|"&amp;$D94&amp;"|"&amp;$E94)</f>
        <v>SAMPLE-CMP-007|SAMPLE-O-001|received</v>
      </c>
    </row>
    <row r="95" customFormat="false" ht="15" hidden="false" customHeight="false" outlineLevel="0" collapsed="false">
      <c r="A95" s="11" t="n">
        <v>46469</v>
      </c>
      <c r="B95" s="38" t="n">
        <v>0.424305555555556</v>
      </c>
      <c r="C95" s="10" t="s">
        <v>576</v>
      </c>
      <c r="D95" s="10" t="s">
        <v>678</v>
      </c>
      <c r="E95" s="10" t="s">
        <v>105</v>
      </c>
      <c r="G95" s="0" t="n">
        <v>40</v>
      </c>
      <c r="I95" s="11"/>
      <c r="J95" s="10" t="s">
        <v>820</v>
      </c>
      <c r="L95" s="31" t="n">
        <f aca="false">IF($C95="","",IFERROR(IF(INDEX(campaigns!$BG$2:$BG$51,MATCH($C95,campaigns!$A$2:$A$51,0))="","",INDEX(campaigns!$BG$2:$BG$51,MATCH($C95,campaigns!$A$2:$A$51,0))),""))</f>
        <v>46469</v>
      </c>
      <c r="M95" s="30" t="n">
        <f aca="false">IF($C95="","",IF(OR($E95="received"),N($G95),IF(OR($E95="rejected",$E95="delivered",$E95="topped_up"),-N($G95),IF(AND(OR($E95="returned_to_brand",$E95="given_to_roster_office",$E95="released_to_office",$E95="disposed"),IF($F95="","reserve",$F95)="reserve"),-N($G95),IF(AND($E95="correction",IF($F95="","reserve",$F95)="reserve"),N($G95),0)))))</f>
        <v>-40</v>
      </c>
      <c r="N95" s="30" t="n">
        <f aca="false">IF($C95="","",IF($E95="rejected",N($G95),IF(AND(OR($E95="returned_to_brand",$E95="given_to_roster_office",$E95="released_to_office",$E95="disposed"),IF($F95="","reserve",$F95)="rejected"),-N($G95),IF(AND($E95="correction",IF($F95="","reserve",$F95)="rejected"),N($G95),0))))</f>
        <v>0</v>
      </c>
      <c r="O95" s="30" t="n">
        <f aca="false">IF($C95="","",IF($E95="collected",N($G95),IF(AND(OR($E95="returned_to_brand",$E95="given_to_roster_office",$E95="released_to_office",$E95="disposed"),IF($F95="","reserve",$F95)="leftover"),-N($G95),IF(AND($E95="correction",IF($F95="","reserve",$F95)="leftover"),N($G95),0))))</f>
        <v>0</v>
      </c>
      <c r="P95" s="30" t="str">
        <f aca="false">IF(OR($E95&lt;&gt;"received",$I95="",$L95=""),"",IF($I95&gt;=$L95+config!$B$19,"Y","N"))</f>
        <v/>
      </c>
      <c r="Q95" s="30" t="str">
        <f aca="false">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30" t="str">
        <f aca="false">IF($C95="","",$C95&amp;"|"&amp;$D95&amp;"|"&amp;$E95)</f>
        <v>SAMPLE-CMP-007|SAMPLE-O-001|delivered</v>
      </c>
    </row>
    <row r="96" customFormat="false" ht="15" hidden="false" customHeight="false" outlineLevel="0" collapsed="false">
      <c r="A96" s="11" t="n">
        <v>46469</v>
      </c>
      <c r="B96" s="38" t="n">
        <v>0.425</v>
      </c>
      <c r="C96" s="10" t="s">
        <v>576</v>
      </c>
      <c r="D96" s="10" t="s">
        <v>681</v>
      </c>
      <c r="E96" s="10" t="s">
        <v>685</v>
      </c>
      <c r="G96" s="0" t="n">
        <v>40</v>
      </c>
      <c r="H96" s="10" t="s">
        <v>816</v>
      </c>
      <c r="I96" s="11" t="n">
        <v>46630</v>
      </c>
      <c r="J96" s="10" t="s">
        <v>820</v>
      </c>
      <c r="K96" s="10" t="s">
        <v>821</v>
      </c>
      <c r="L96" s="31" t="n">
        <f aca="false">IF($C96="","",IFERROR(IF(INDEX(campaigns!$BG$2:$BG$51,MATCH($C96,campaigns!$A$2:$A$51,0))="","",INDEX(campaigns!$BG$2:$BG$51,MATCH($C96,campaigns!$A$2:$A$51,0))),""))</f>
        <v>46469</v>
      </c>
      <c r="M96" s="30" t="n">
        <f aca="false">IF($C96="","",IF(OR($E96="received"),N($G96),IF(OR($E96="rejected",$E96="delivered",$E96="topped_up"),-N($G96),IF(AND(OR($E96="returned_to_brand",$E96="given_to_roster_office",$E96="released_to_office",$E96="disposed"),IF($F96="","reserve",$F96)="reserve"),-N($G96),IF(AND($E96="correction",IF($F96="","reserve",$F96)="reserve"),N($G96),0)))))</f>
        <v>40</v>
      </c>
      <c r="N96" s="30" t="n">
        <f aca="false">IF($C96="","",IF($E96="rejected",N($G96),IF(AND(OR($E96="returned_to_brand",$E96="given_to_roster_office",$E96="released_to_office",$E96="disposed"),IF($F96="","reserve",$F96)="rejected"),-N($G96),IF(AND($E96="correction",IF($F96="","reserve",$F96)="rejected"),N($G96),0))))</f>
        <v>0</v>
      </c>
      <c r="O96" s="30" t="n">
        <f aca="false">IF($C96="","",IF($E96="collected",N($G96),IF(AND(OR($E96="returned_to_brand",$E96="given_to_roster_office",$E96="released_to_office",$E96="disposed"),IF($F96="","reserve",$F96)="leftover"),-N($G96),IF(AND($E96="correction",IF($F96="","reserve",$F96)="leftover"),N($G96),0))))</f>
        <v>0</v>
      </c>
      <c r="P96" s="30" t="str">
        <f aca="false">IF(OR($E96&lt;&gt;"received",$I96="",$L96=""),"",IF($I96&gt;=$L96+config!$B$19,"Y","N"))</f>
        <v>Y</v>
      </c>
      <c r="Q96" s="30" t="str">
        <f aca="false">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30" t="str">
        <f aca="false">IF($C96="","",$C96&amp;"|"&amp;$D96&amp;"|"&amp;$E96)</f>
        <v>SAMPLE-CMP-007|SAMPLE-O-002|received</v>
      </c>
    </row>
    <row r="97" customFormat="false" ht="15" hidden="false" customHeight="false" outlineLevel="0" collapsed="false">
      <c r="A97" s="11" t="n">
        <v>46469</v>
      </c>
      <c r="B97" s="38" t="n">
        <v>0.425</v>
      </c>
      <c r="C97" s="10" t="s">
        <v>576</v>
      </c>
      <c r="D97" s="10" t="s">
        <v>681</v>
      </c>
      <c r="E97" s="10" t="s">
        <v>105</v>
      </c>
      <c r="G97" s="0" t="n">
        <v>40</v>
      </c>
      <c r="I97" s="11"/>
      <c r="J97" s="10" t="s">
        <v>820</v>
      </c>
      <c r="L97" s="31" t="n">
        <f aca="false">IF($C97="","",IFERROR(IF(INDEX(campaigns!$BG$2:$BG$51,MATCH($C97,campaigns!$A$2:$A$51,0))="","",INDEX(campaigns!$BG$2:$BG$51,MATCH($C97,campaigns!$A$2:$A$51,0))),""))</f>
        <v>46469</v>
      </c>
      <c r="M97" s="30" t="n">
        <f aca="false">IF($C97="","",IF(OR($E97="received"),N($G97),IF(OR($E97="rejected",$E97="delivered",$E97="topped_up"),-N($G97),IF(AND(OR($E97="returned_to_brand",$E97="given_to_roster_office",$E97="released_to_office",$E97="disposed"),IF($F97="","reserve",$F97)="reserve"),-N($G97),IF(AND($E97="correction",IF($F97="","reserve",$F97)="reserve"),N($G97),0)))))</f>
        <v>-40</v>
      </c>
      <c r="N97" s="30" t="n">
        <f aca="false">IF($C97="","",IF($E97="rejected",N($G97),IF(AND(OR($E97="returned_to_brand",$E97="given_to_roster_office",$E97="released_to_office",$E97="disposed"),IF($F97="","reserve",$F97)="rejected"),-N($G97),IF(AND($E97="correction",IF($F97="","reserve",$F97)="rejected"),N($G97),0))))</f>
        <v>0</v>
      </c>
      <c r="O97" s="30" t="n">
        <f aca="false">IF($C97="","",IF($E97="collected",N($G97),IF(AND(OR($E97="returned_to_brand",$E97="given_to_roster_office",$E97="released_to_office",$E97="disposed"),IF($F97="","reserve",$F97)="leftover"),-N($G97),IF(AND($E97="correction",IF($F97="","reserve",$F97)="leftover"),N($G97),0))))</f>
        <v>0</v>
      </c>
      <c r="P97" s="30" t="str">
        <f aca="false">IF(OR($E97&lt;&gt;"received",$I97="",$L97=""),"",IF($I97&gt;=$L97+config!$B$19,"Y","N"))</f>
        <v/>
      </c>
      <c r="Q97" s="30" t="str">
        <f aca="false">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30" t="str">
        <f aca="false">IF($C97="","",$C97&amp;"|"&amp;$D97&amp;"|"&amp;$E97)</f>
        <v>SAMPLE-CMP-007|SAMPLE-O-002|delivered</v>
      </c>
    </row>
    <row r="98" customFormat="false" ht="15" hidden="false" customHeight="false" outlineLevel="0" collapsed="false">
      <c r="A98" s="11" t="n">
        <v>46469</v>
      </c>
      <c r="B98" s="38" t="n">
        <v>0.425694444444444</v>
      </c>
      <c r="C98" s="10" t="s">
        <v>576</v>
      </c>
      <c r="D98" s="10" t="s">
        <v>683</v>
      </c>
      <c r="E98" s="10" t="s">
        <v>685</v>
      </c>
      <c r="G98" s="0" t="n">
        <v>26</v>
      </c>
      <c r="H98" s="10" t="s">
        <v>816</v>
      </c>
      <c r="I98" s="11" t="n">
        <v>46630</v>
      </c>
      <c r="J98" s="10" t="s">
        <v>820</v>
      </c>
      <c r="K98" s="10" t="s">
        <v>821</v>
      </c>
      <c r="L98" s="31" t="n">
        <f aca="false">IF($C98="","",IFERROR(IF(INDEX(campaigns!$BG$2:$BG$51,MATCH($C98,campaigns!$A$2:$A$51,0))="","",INDEX(campaigns!$BG$2:$BG$51,MATCH($C98,campaigns!$A$2:$A$51,0))),""))</f>
        <v>46469</v>
      </c>
      <c r="M98" s="30" t="n">
        <f aca="false">IF($C98="","",IF(OR($E98="received"),N($G98),IF(OR($E98="rejected",$E98="delivered",$E98="topped_up"),-N($G98),IF(AND(OR($E98="returned_to_brand",$E98="given_to_roster_office",$E98="released_to_office",$E98="disposed"),IF($F98="","reserve",$F98)="reserve"),-N($G98),IF(AND($E98="correction",IF($F98="","reserve",$F98)="reserve"),N($G98),0)))))</f>
        <v>26</v>
      </c>
      <c r="N98" s="30" t="n">
        <f aca="false">IF($C98="","",IF($E98="rejected",N($G98),IF(AND(OR($E98="returned_to_brand",$E98="given_to_roster_office",$E98="released_to_office",$E98="disposed"),IF($F98="","reserve",$F98)="rejected"),-N($G98),IF(AND($E98="correction",IF($F98="","reserve",$F98)="rejected"),N($G98),0))))</f>
        <v>0</v>
      </c>
      <c r="O98" s="30" t="n">
        <f aca="false">IF($C98="","",IF($E98="collected",N($G98),IF(AND(OR($E98="returned_to_brand",$E98="given_to_roster_office",$E98="released_to_office",$E98="disposed"),IF($F98="","reserve",$F98)="leftover"),-N($G98),IF(AND($E98="correction",IF($F98="","reserve",$F98)="leftover"),N($G98),0))))</f>
        <v>0</v>
      </c>
      <c r="P98" s="30" t="str">
        <f aca="false">IF(OR($E98&lt;&gt;"received",$I98="",$L98=""),"",IF($I98&gt;=$L98+config!$B$19,"Y","N"))</f>
        <v>Y</v>
      </c>
      <c r="Q98" s="30" t="str">
        <f aca="false">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30" t="str">
        <f aca="false">IF($C98="","",$C98&amp;"|"&amp;$D98&amp;"|"&amp;$E98)</f>
        <v>SAMPLE-CMP-007|SAMPLE-O-003|received</v>
      </c>
    </row>
    <row r="99" customFormat="false" ht="15" hidden="false" customHeight="false" outlineLevel="0" collapsed="false">
      <c r="A99" s="11" t="n">
        <v>46469</v>
      </c>
      <c r="B99" s="38" t="n">
        <v>0.425694444444444</v>
      </c>
      <c r="C99" s="10" t="s">
        <v>576</v>
      </c>
      <c r="D99" s="10" t="s">
        <v>683</v>
      </c>
      <c r="E99" s="10" t="s">
        <v>105</v>
      </c>
      <c r="G99" s="0" t="n">
        <v>26</v>
      </c>
      <c r="I99" s="11"/>
      <c r="J99" s="10" t="s">
        <v>820</v>
      </c>
      <c r="L99" s="31" t="n">
        <f aca="false">IF($C99="","",IFERROR(IF(INDEX(campaigns!$BG$2:$BG$51,MATCH($C99,campaigns!$A$2:$A$51,0))="","",INDEX(campaigns!$BG$2:$BG$51,MATCH($C99,campaigns!$A$2:$A$51,0))),""))</f>
        <v>46469</v>
      </c>
      <c r="M99" s="30" t="n">
        <f aca="false">IF($C99="","",IF(OR($E99="received"),N($G99),IF(OR($E99="rejected",$E99="delivered",$E99="topped_up"),-N($G99),IF(AND(OR($E99="returned_to_brand",$E99="given_to_roster_office",$E99="released_to_office",$E99="disposed"),IF($F99="","reserve",$F99)="reserve"),-N($G99),IF(AND($E99="correction",IF($F99="","reserve",$F99)="reserve"),N($G99),0)))))</f>
        <v>-26</v>
      </c>
      <c r="N99" s="30" t="n">
        <f aca="false">IF($C99="","",IF($E99="rejected",N($G99),IF(AND(OR($E99="returned_to_brand",$E99="given_to_roster_office",$E99="released_to_office",$E99="disposed"),IF($F99="","reserve",$F99)="rejected"),-N($G99),IF(AND($E99="correction",IF($F99="","reserve",$F99)="rejected"),N($G99),0))))</f>
        <v>0</v>
      </c>
      <c r="O99" s="30" t="n">
        <f aca="false">IF($C99="","",IF($E99="collected",N($G99),IF(AND(OR($E99="returned_to_brand",$E99="given_to_roster_office",$E99="released_to_office",$E99="disposed"),IF($F99="","reserve",$F99)="leftover"),-N($G99),IF(AND($E99="correction",IF($F99="","reserve",$F99)="leftover"),N($G99),0))))</f>
        <v>0</v>
      </c>
      <c r="P99" s="30" t="str">
        <f aca="false">IF(OR($E99&lt;&gt;"received",$I99="",$L99=""),"",IF($I99&gt;=$L99+config!$B$19,"Y","N"))</f>
        <v/>
      </c>
      <c r="Q99" s="30" t="str">
        <f aca="false">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30" t="str">
        <f aca="false">IF($C99="","",$C99&amp;"|"&amp;$D99&amp;"|"&amp;$E99)</f>
        <v>SAMPLE-CMP-007|SAMPLE-O-003|delivered</v>
      </c>
    </row>
    <row r="100" customFormat="false" ht="15" hidden="false" customHeight="false" outlineLevel="0" collapsed="false">
      <c r="A100" s="11" t="n">
        <v>46471</v>
      </c>
      <c r="B100" s="38" t="n">
        <v>0.541666666666667</v>
      </c>
      <c r="C100" s="10" t="s">
        <v>576</v>
      </c>
      <c r="D100" s="10" t="s">
        <v>683</v>
      </c>
      <c r="E100" s="10" t="s">
        <v>800</v>
      </c>
      <c r="G100" s="0" t="n">
        <v>20</v>
      </c>
      <c r="I100" s="11"/>
      <c r="J100" s="10" t="s">
        <v>792</v>
      </c>
      <c r="L100" s="31" t="n">
        <f aca="false">IF($C100="","",IFERROR(IF(INDEX(campaigns!$BG$2:$BG$51,MATCH($C100,campaigns!$A$2:$A$51,0))="","",INDEX(campaigns!$BG$2:$BG$51,MATCH($C100,campaigns!$A$2:$A$51,0))),""))</f>
        <v>46469</v>
      </c>
      <c r="M100" s="30" t="n">
        <f aca="false">IF($C100="","",IF(OR($E100="received"),N($G100),IF(OR($E100="rejected",$E100="delivered",$E100="topped_up"),-N($G100),IF(AND(OR($E100="returned_to_brand",$E100="given_to_roster_office",$E100="released_to_office",$E100="disposed"),IF($F100="","reserve",$F100)="reserve"),-N($G100),IF(AND($E100="correction",IF($F100="","reserve",$F100)="reserve"),N($G100),0)))))</f>
        <v>-20</v>
      </c>
      <c r="N100" s="30" t="n">
        <f aca="false">IF($C100="","",IF($E100="rejected",N($G100),IF(AND(OR($E100="returned_to_brand",$E100="given_to_roster_office",$E100="released_to_office",$E100="disposed"),IF($F100="","reserve",$F100)="rejected"),-N($G100),IF(AND($E100="correction",IF($F100="","reserve",$F100)="rejected"),N($G100),0))))</f>
        <v>0</v>
      </c>
      <c r="O100" s="30" t="n">
        <f aca="false">IF($C100="","",IF($E100="collected",N($G100),IF(AND(OR($E100="returned_to_brand",$E100="given_to_roster_office",$E100="released_to_office",$E100="disposed"),IF($F100="","reserve",$F100)="leftover"),-N($G100),IF(AND($E100="correction",IF($F100="","reserve",$F100)="leftover"),N($G100),0))))</f>
        <v>0</v>
      </c>
      <c r="P100" s="30" t="str">
        <f aca="false">IF(OR($E100&lt;&gt;"received",$I100="",$L100=""),"",IF($I100&gt;=$L100+config!$B$19,"Y","N"))</f>
        <v/>
      </c>
      <c r="Q100" s="30" t="str">
        <f aca="false">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30" t="str">
        <f aca="false">IF($C100="","",$C100&amp;"|"&amp;$D100&amp;"|"&amp;$E100)</f>
        <v>SAMPLE-CMP-007|SAMPLE-O-003|topped_up</v>
      </c>
    </row>
    <row r="101" customFormat="false" ht="15" hidden="false" customHeight="false" outlineLevel="0" collapsed="false">
      <c r="A101" s="11" t="n">
        <v>46469</v>
      </c>
      <c r="B101" s="38" t="n">
        <v>0.426388888888889</v>
      </c>
      <c r="C101" s="10" t="s">
        <v>576</v>
      </c>
      <c r="D101" s="10" t="s">
        <v>686</v>
      </c>
      <c r="E101" s="10" t="s">
        <v>685</v>
      </c>
      <c r="G101" s="0" t="n">
        <v>50</v>
      </c>
      <c r="H101" s="10" t="s">
        <v>816</v>
      </c>
      <c r="I101" s="11" t="n">
        <v>46630</v>
      </c>
      <c r="J101" s="10" t="s">
        <v>820</v>
      </c>
      <c r="K101" s="10" t="s">
        <v>821</v>
      </c>
      <c r="L101" s="31" t="n">
        <f aca="false">IF($C101="","",IFERROR(IF(INDEX(campaigns!$BG$2:$BG$51,MATCH($C101,campaigns!$A$2:$A$51,0))="","",INDEX(campaigns!$BG$2:$BG$51,MATCH($C101,campaigns!$A$2:$A$51,0))),""))</f>
        <v>46469</v>
      </c>
      <c r="M101" s="30" t="n">
        <f aca="false">IF($C101="","",IF(OR($E101="received"),N($G101),IF(OR($E101="rejected",$E101="delivered",$E101="topped_up"),-N($G101),IF(AND(OR($E101="returned_to_brand",$E101="given_to_roster_office",$E101="released_to_office",$E101="disposed"),IF($F101="","reserve",$F101)="reserve"),-N($G101),IF(AND($E101="correction",IF($F101="","reserve",$F101)="reserve"),N($G101),0)))))</f>
        <v>50</v>
      </c>
      <c r="N101" s="30" t="n">
        <f aca="false">IF($C101="","",IF($E101="rejected",N($G101),IF(AND(OR($E101="returned_to_brand",$E101="given_to_roster_office",$E101="released_to_office",$E101="disposed"),IF($F101="","reserve",$F101)="rejected"),-N($G101),IF(AND($E101="correction",IF($F101="","reserve",$F101)="rejected"),N($G101),0))))</f>
        <v>0</v>
      </c>
      <c r="O101" s="30" t="n">
        <f aca="false">IF($C101="","",IF($E101="collected",N($G101),IF(AND(OR($E101="returned_to_brand",$E101="given_to_roster_office",$E101="released_to_office",$E101="disposed"),IF($F101="","reserve",$F101)="leftover"),-N($G101),IF(AND($E101="correction",IF($F101="","reserve",$F101)="leftover"),N($G101),0))))</f>
        <v>0</v>
      </c>
      <c r="P101" s="30" t="str">
        <f aca="false">IF(OR($E101&lt;&gt;"received",$I101="",$L101=""),"",IF($I101&gt;=$L101+config!$B$19,"Y","N"))</f>
        <v>Y</v>
      </c>
      <c r="Q101" s="30" t="str">
        <f aca="false">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30" t="str">
        <f aca="false">IF($C101="","",$C101&amp;"|"&amp;$D101&amp;"|"&amp;$E101)</f>
        <v>SAMPLE-CMP-007|SAMPLE-O-004|received</v>
      </c>
    </row>
    <row r="102" customFormat="false" ht="15" hidden="false" customHeight="false" outlineLevel="0" collapsed="false">
      <c r="A102" s="11" t="n">
        <v>46469</v>
      </c>
      <c r="B102" s="38" t="n">
        <v>0.426388888888889</v>
      </c>
      <c r="C102" s="10" t="s">
        <v>576</v>
      </c>
      <c r="D102" s="10" t="s">
        <v>686</v>
      </c>
      <c r="E102" s="10" t="s">
        <v>105</v>
      </c>
      <c r="G102" s="0" t="n">
        <v>50</v>
      </c>
      <c r="I102" s="11"/>
      <c r="J102" s="10" t="s">
        <v>820</v>
      </c>
      <c r="L102" s="31" t="n">
        <f aca="false">IF($C102="","",IFERROR(IF(INDEX(campaigns!$BG$2:$BG$51,MATCH($C102,campaigns!$A$2:$A$51,0))="","",INDEX(campaigns!$BG$2:$BG$51,MATCH($C102,campaigns!$A$2:$A$51,0))),""))</f>
        <v>46469</v>
      </c>
      <c r="M102" s="30" t="n">
        <f aca="false">IF($C102="","",IF(OR($E102="received"),N($G102),IF(OR($E102="rejected",$E102="delivered",$E102="topped_up"),-N($G102),IF(AND(OR($E102="returned_to_brand",$E102="given_to_roster_office",$E102="released_to_office",$E102="disposed"),IF($F102="","reserve",$F102)="reserve"),-N($G102),IF(AND($E102="correction",IF($F102="","reserve",$F102)="reserve"),N($G102),0)))))</f>
        <v>-50</v>
      </c>
      <c r="N102" s="30" t="n">
        <f aca="false">IF($C102="","",IF($E102="rejected",N($G102),IF(AND(OR($E102="returned_to_brand",$E102="given_to_roster_office",$E102="released_to_office",$E102="disposed"),IF($F102="","reserve",$F102)="rejected"),-N($G102),IF(AND($E102="correction",IF($F102="","reserve",$F102)="rejected"),N($G102),0))))</f>
        <v>0</v>
      </c>
      <c r="O102" s="30" t="n">
        <f aca="false">IF($C102="","",IF($E102="collected",N($G102),IF(AND(OR($E102="returned_to_brand",$E102="given_to_roster_office",$E102="released_to_office",$E102="disposed"),IF($F102="","reserve",$F102)="leftover"),-N($G102),IF(AND($E102="correction",IF($F102="","reserve",$F102)="leftover"),N($G102),0))))</f>
        <v>0</v>
      </c>
      <c r="P102" s="30" t="str">
        <f aca="false">IF(OR($E102&lt;&gt;"received",$I102="",$L102=""),"",IF($I102&gt;=$L102+config!$B$19,"Y","N"))</f>
        <v/>
      </c>
      <c r="Q102" s="30" t="str">
        <f aca="false">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30" t="str">
        <f aca="false">IF($C102="","",$C102&amp;"|"&amp;$D102&amp;"|"&amp;$E102)</f>
        <v>SAMPLE-CMP-007|SAMPLE-O-004|delivered</v>
      </c>
    </row>
    <row r="103" customFormat="false" ht="15" hidden="false" customHeight="false" outlineLevel="0" collapsed="false">
      <c r="A103" s="11" t="n">
        <v>46469</v>
      </c>
      <c r="B103" s="38" t="n">
        <v>0.427083333333333</v>
      </c>
      <c r="C103" s="10" t="s">
        <v>576</v>
      </c>
      <c r="D103" s="10" t="s">
        <v>688</v>
      </c>
      <c r="E103" s="10" t="s">
        <v>685</v>
      </c>
      <c r="G103" s="0" t="n">
        <v>70</v>
      </c>
      <c r="H103" s="10" t="s">
        <v>816</v>
      </c>
      <c r="I103" s="11" t="n">
        <v>46630</v>
      </c>
      <c r="J103" s="10" t="s">
        <v>820</v>
      </c>
      <c r="K103" s="10" t="s">
        <v>821</v>
      </c>
      <c r="L103" s="31" t="n">
        <f aca="false">IF($C103="","",IFERROR(IF(INDEX(campaigns!$BG$2:$BG$51,MATCH($C103,campaigns!$A$2:$A$51,0))="","",INDEX(campaigns!$BG$2:$BG$51,MATCH($C103,campaigns!$A$2:$A$51,0))),""))</f>
        <v>46469</v>
      </c>
      <c r="M103" s="30" t="n">
        <f aca="false">IF($C103="","",IF(OR($E103="received"),N($G103),IF(OR($E103="rejected",$E103="delivered",$E103="topped_up"),-N($G103),IF(AND(OR($E103="returned_to_brand",$E103="given_to_roster_office",$E103="released_to_office",$E103="disposed"),IF($F103="","reserve",$F103)="reserve"),-N($G103),IF(AND($E103="correction",IF($F103="","reserve",$F103)="reserve"),N($G103),0)))))</f>
        <v>70</v>
      </c>
      <c r="N103" s="30" t="n">
        <f aca="false">IF($C103="","",IF($E103="rejected",N($G103),IF(AND(OR($E103="returned_to_brand",$E103="given_to_roster_office",$E103="released_to_office",$E103="disposed"),IF($F103="","reserve",$F103)="rejected"),-N($G103),IF(AND($E103="correction",IF($F103="","reserve",$F103)="rejected"),N($G103),0))))</f>
        <v>0</v>
      </c>
      <c r="O103" s="30" t="n">
        <f aca="false">IF($C103="","",IF($E103="collected",N($G103),IF(AND(OR($E103="returned_to_brand",$E103="given_to_roster_office",$E103="released_to_office",$E103="disposed"),IF($F103="","reserve",$F103)="leftover"),-N($G103),IF(AND($E103="correction",IF($F103="","reserve",$F103)="leftover"),N($G103),0))))</f>
        <v>0</v>
      </c>
      <c r="P103" s="30" t="str">
        <f aca="false">IF(OR($E103&lt;&gt;"received",$I103="",$L103=""),"",IF($I103&gt;=$L103+config!$B$19,"Y","N"))</f>
        <v>Y</v>
      </c>
      <c r="Q103" s="30" t="str">
        <f aca="false">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30" t="str">
        <f aca="false">IF($C103="","",$C103&amp;"|"&amp;$D103&amp;"|"&amp;$E103)</f>
        <v>SAMPLE-CMP-007|SAMPLE-O-005|received</v>
      </c>
    </row>
    <row r="104" customFormat="false" ht="15" hidden="false" customHeight="false" outlineLevel="0" collapsed="false">
      <c r="A104" s="11" t="n">
        <v>46469</v>
      </c>
      <c r="B104" s="38" t="n">
        <v>0.427083333333333</v>
      </c>
      <c r="C104" s="10" t="s">
        <v>576</v>
      </c>
      <c r="D104" s="10" t="s">
        <v>688</v>
      </c>
      <c r="E104" s="10" t="s">
        <v>105</v>
      </c>
      <c r="G104" s="0" t="n">
        <v>70</v>
      </c>
      <c r="I104" s="11"/>
      <c r="J104" s="10" t="s">
        <v>820</v>
      </c>
      <c r="L104" s="31" t="n">
        <f aca="false">IF($C104="","",IFERROR(IF(INDEX(campaigns!$BG$2:$BG$51,MATCH($C104,campaigns!$A$2:$A$51,0))="","",INDEX(campaigns!$BG$2:$BG$51,MATCH($C104,campaigns!$A$2:$A$51,0))),""))</f>
        <v>46469</v>
      </c>
      <c r="M104" s="30" t="n">
        <f aca="false">IF($C104="","",IF(OR($E104="received"),N($G104),IF(OR($E104="rejected",$E104="delivered",$E104="topped_up"),-N($G104),IF(AND(OR($E104="returned_to_brand",$E104="given_to_roster_office",$E104="released_to_office",$E104="disposed"),IF($F104="","reserve",$F104)="reserve"),-N($G104),IF(AND($E104="correction",IF($F104="","reserve",$F104)="reserve"),N($G104),0)))))</f>
        <v>-70</v>
      </c>
      <c r="N104" s="30" t="n">
        <f aca="false">IF($C104="","",IF($E104="rejected",N($G104),IF(AND(OR($E104="returned_to_brand",$E104="given_to_roster_office",$E104="released_to_office",$E104="disposed"),IF($F104="","reserve",$F104)="rejected"),-N($G104),IF(AND($E104="correction",IF($F104="","reserve",$F104)="rejected"),N($G104),0))))</f>
        <v>0</v>
      </c>
      <c r="O104" s="30" t="n">
        <f aca="false">IF($C104="","",IF($E104="collected",N($G104),IF(AND(OR($E104="returned_to_brand",$E104="given_to_roster_office",$E104="released_to_office",$E104="disposed"),IF($F104="","reserve",$F104)="leftover"),-N($G104),IF(AND($E104="correction",IF($F104="","reserve",$F104)="leftover"),N($G104),0))))</f>
        <v>0</v>
      </c>
      <c r="P104" s="30" t="str">
        <f aca="false">IF(OR($E104&lt;&gt;"received",$I104="",$L104=""),"",IF($I104&gt;=$L104+config!$B$19,"Y","N"))</f>
        <v/>
      </c>
      <c r="Q104" s="30" t="str">
        <f aca="false">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30" t="str">
        <f aca="false">IF($C104="","",$C104&amp;"|"&amp;$D104&amp;"|"&amp;$E104)</f>
        <v>SAMPLE-CMP-007|SAMPLE-O-005|delivered</v>
      </c>
    </row>
    <row r="105" customFormat="false" ht="15" hidden="false" customHeight="false" outlineLevel="0" collapsed="false">
      <c r="A105" s="11" t="n">
        <v>46469</v>
      </c>
      <c r="B105" s="38" t="n">
        <v>0.427777777777778</v>
      </c>
      <c r="C105" s="10" t="s">
        <v>576</v>
      </c>
      <c r="D105" s="10" t="s">
        <v>690</v>
      </c>
      <c r="E105" s="10" t="s">
        <v>685</v>
      </c>
      <c r="G105" s="0" t="n">
        <v>45</v>
      </c>
      <c r="H105" s="10" t="s">
        <v>816</v>
      </c>
      <c r="I105" s="11" t="n">
        <v>46630</v>
      </c>
      <c r="J105" s="10" t="s">
        <v>820</v>
      </c>
      <c r="K105" s="10" t="s">
        <v>821</v>
      </c>
      <c r="L105" s="31" t="n">
        <f aca="false">IF($C105="","",IFERROR(IF(INDEX(campaigns!$BG$2:$BG$51,MATCH($C105,campaigns!$A$2:$A$51,0))="","",INDEX(campaigns!$BG$2:$BG$51,MATCH($C105,campaigns!$A$2:$A$51,0))),""))</f>
        <v>46469</v>
      </c>
      <c r="M105" s="30" t="n">
        <f aca="false">IF($C105="","",IF(OR($E105="received"),N($G105),IF(OR($E105="rejected",$E105="delivered",$E105="topped_up"),-N($G105),IF(AND(OR($E105="returned_to_brand",$E105="given_to_roster_office",$E105="released_to_office",$E105="disposed"),IF($F105="","reserve",$F105)="reserve"),-N($G105),IF(AND($E105="correction",IF($F105="","reserve",$F105)="reserve"),N($G105),0)))))</f>
        <v>45</v>
      </c>
      <c r="N105" s="30" t="n">
        <f aca="false">IF($C105="","",IF($E105="rejected",N($G105),IF(AND(OR($E105="returned_to_brand",$E105="given_to_roster_office",$E105="released_to_office",$E105="disposed"),IF($F105="","reserve",$F105)="rejected"),-N($G105),IF(AND($E105="correction",IF($F105="","reserve",$F105)="rejected"),N($G105),0))))</f>
        <v>0</v>
      </c>
      <c r="O105" s="30" t="n">
        <f aca="false">IF($C105="","",IF($E105="collected",N($G105),IF(AND(OR($E105="returned_to_brand",$E105="given_to_roster_office",$E105="released_to_office",$E105="disposed"),IF($F105="","reserve",$F105)="leftover"),-N($G105),IF(AND($E105="correction",IF($F105="","reserve",$F105)="leftover"),N($G105),0))))</f>
        <v>0</v>
      </c>
      <c r="P105" s="30" t="str">
        <f aca="false">IF(OR($E105&lt;&gt;"received",$I105="",$L105=""),"",IF($I105&gt;=$L105+config!$B$19,"Y","N"))</f>
        <v>Y</v>
      </c>
      <c r="Q105" s="30" t="str">
        <f aca="false">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30" t="str">
        <f aca="false">IF($C105="","",$C105&amp;"|"&amp;$D105&amp;"|"&amp;$E105)</f>
        <v>SAMPLE-CMP-007|SAMPLE-O-006|received</v>
      </c>
    </row>
    <row r="106" customFormat="false" ht="15" hidden="false" customHeight="false" outlineLevel="0" collapsed="false">
      <c r="A106" s="11" t="n">
        <v>46469</v>
      </c>
      <c r="B106" s="38" t="n">
        <v>0.427777777777778</v>
      </c>
      <c r="C106" s="10" t="s">
        <v>576</v>
      </c>
      <c r="D106" s="10" t="s">
        <v>690</v>
      </c>
      <c r="E106" s="10" t="s">
        <v>105</v>
      </c>
      <c r="G106" s="0" t="n">
        <v>45</v>
      </c>
      <c r="I106" s="11"/>
      <c r="J106" s="10" t="s">
        <v>820</v>
      </c>
      <c r="L106" s="31" t="n">
        <f aca="false">IF($C106="","",IFERROR(IF(INDEX(campaigns!$BG$2:$BG$51,MATCH($C106,campaigns!$A$2:$A$51,0))="","",INDEX(campaigns!$BG$2:$BG$51,MATCH($C106,campaigns!$A$2:$A$51,0))),""))</f>
        <v>46469</v>
      </c>
      <c r="M106" s="30" t="n">
        <f aca="false">IF($C106="","",IF(OR($E106="received"),N($G106),IF(OR($E106="rejected",$E106="delivered",$E106="topped_up"),-N($G106),IF(AND(OR($E106="returned_to_brand",$E106="given_to_roster_office",$E106="released_to_office",$E106="disposed"),IF($F106="","reserve",$F106)="reserve"),-N($G106),IF(AND($E106="correction",IF($F106="","reserve",$F106)="reserve"),N($G106),0)))))</f>
        <v>-45</v>
      </c>
      <c r="N106" s="30" t="n">
        <f aca="false">IF($C106="","",IF($E106="rejected",N($G106),IF(AND(OR($E106="returned_to_brand",$E106="given_to_roster_office",$E106="released_to_office",$E106="disposed"),IF($F106="","reserve",$F106)="rejected"),-N($G106),IF(AND($E106="correction",IF($F106="","reserve",$F106)="rejected"),N($G106),0))))</f>
        <v>0</v>
      </c>
      <c r="O106" s="30" t="n">
        <f aca="false">IF($C106="","",IF($E106="collected",N($G106),IF(AND(OR($E106="returned_to_brand",$E106="given_to_roster_office",$E106="released_to_office",$E106="disposed"),IF($F106="","reserve",$F106)="leftover"),-N($G106),IF(AND($E106="correction",IF($F106="","reserve",$F106)="leftover"),N($G106),0))))</f>
        <v>0</v>
      </c>
      <c r="P106" s="30" t="str">
        <f aca="false">IF(OR($E106&lt;&gt;"received",$I106="",$L106=""),"",IF($I106&gt;=$L106+config!$B$19,"Y","N"))</f>
        <v/>
      </c>
      <c r="Q106" s="30" t="str">
        <f aca="false">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30" t="str">
        <f aca="false">IF($C106="","",$C106&amp;"|"&amp;$D106&amp;"|"&amp;$E106)</f>
        <v>SAMPLE-CMP-007|SAMPLE-O-006|delivered</v>
      </c>
    </row>
    <row r="107" customFormat="false" ht="15" hidden="false" customHeight="false" outlineLevel="0" collapsed="false">
      <c r="A107" s="11" t="n">
        <v>46469</v>
      </c>
      <c r="B107" s="38" t="n">
        <v>0.428472222222222</v>
      </c>
      <c r="C107" s="10" t="s">
        <v>576</v>
      </c>
      <c r="D107" s="10" t="s">
        <v>692</v>
      </c>
      <c r="E107" s="10" t="s">
        <v>685</v>
      </c>
      <c r="G107" s="0" t="n">
        <v>60</v>
      </c>
      <c r="H107" s="10" t="s">
        <v>816</v>
      </c>
      <c r="I107" s="11" t="n">
        <v>46630</v>
      </c>
      <c r="J107" s="10" t="s">
        <v>820</v>
      </c>
      <c r="K107" s="10" t="s">
        <v>821</v>
      </c>
      <c r="L107" s="31" t="n">
        <f aca="false">IF($C107="","",IFERROR(IF(INDEX(campaigns!$BG$2:$BG$51,MATCH($C107,campaigns!$A$2:$A$51,0))="","",INDEX(campaigns!$BG$2:$BG$51,MATCH($C107,campaigns!$A$2:$A$51,0))),""))</f>
        <v>46469</v>
      </c>
      <c r="M107" s="30" t="n">
        <f aca="false">IF($C107="","",IF(OR($E107="received"),N($G107),IF(OR($E107="rejected",$E107="delivered",$E107="topped_up"),-N($G107),IF(AND(OR($E107="returned_to_brand",$E107="given_to_roster_office",$E107="released_to_office",$E107="disposed"),IF($F107="","reserve",$F107)="reserve"),-N($G107),IF(AND($E107="correction",IF($F107="","reserve",$F107)="reserve"),N($G107),0)))))</f>
        <v>60</v>
      </c>
      <c r="N107" s="30" t="n">
        <f aca="false">IF($C107="","",IF($E107="rejected",N($G107),IF(AND(OR($E107="returned_to_brand",$E107="given_to_roster_office",$E107="released_to_office",$E107="disposed"),IF($F107="","reserve",$F107)="rejected"),-N($G107),IF(AND($E107="correction",IF($F107="","reserve",$F107)="rejected"),N($G107),0))))</f>
        <v>0</v>
      </c>
      <c r="O107" s="30" t="n">
        <f aca="false">IF($C107="","",IF($E107="collected",N($G107),IF(AND(OR($E107="returned_to_brand",$E107="given_to_roster_office",$E107="released_to_office",$E107="disposed"),IF($F107="","reserve",$F107)="leftover"),-N($G107),IF(AND($E107="correction",IF($F107="","reserve",$F107)="leftover"),N($G107),0))))</f>
        <v>0</v>
      </c>
      <c r="P107" s="30" t="str">
        <f aca="false">IF(OR($E107&lt;&gt;"received",$I107="",$L107=""),"",IF($I107&gt;=$L107+config!$B$19,"Y","N"))</f>
        <v>Y</v>
      </c>
      <c r="Q107" s="30" t="str">
        <f aca="false">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30" t="str">
        <f aca="false">IF($C107="","",$C107&amp;"|"&amp;$D107&amp;"|"&amp;$E107)</f>
        <v>SAMPLE-CMP-007|SAMPLE-O-007|received</v>
      </c>
    </row>
    <row r="108" customFormat="false" ht="15" hidden="false" customHeight="false" outlineLevel="0" collapsed="false">
      <c r="A108" s="11" t="n">
        <v>46469</v>
      </c>
      <c r="B108" s="38" t="n">
        <v>0.428472222222222</v>
      </c>
      <c r="C108" s="10" t="s">
        <v>576</v>
      </c>
      <c r="D108" s="10" t="s">
        <v>692</v>
      </c>
      <c r="E108" s="10" t="s">
        <v>105</v>
      </c>
      <c r="G108" s="0" t="n">
        <v>60</v>
      </c>
      <c r="I108" s="11"/>
      <c r="J108" s="10" t="s">
        <v>820</v>
      </c>
      <c r="L108" s="31" t="n">
        <f aca="false">IF($C108="","",IFERROR(IF(INDEX(campaigns!$BG$2:$BG$51,MATCH($C108,campaigns!$A$2:$A$51,0))="","",INDEX(campaigns!$BG$2:$BG$51,MATCH($C108,campaigns!$A$2:$A$51,0))),""))</f>
        <v>46469</v>
      </c>
      <c r="M108" s="30" t="n">
        <f aca="false">IF($C108="","",IF(OR($E108="received"),N($G108),IF(OR($E108="rejected",$E108="delivered",$E108="topped_up"),-N($G108),IF(AND(OR($E108="returned_to_brand",$E108="given_to_roster_office",$E108="released_to_office",$E108="disposed"),IF($F108="","reserve",$F108)="reserve"),-N($G108),IF(AND($E108="correction",IF($F108="","reserve",$F108)="reserve"),N($G108),0)))))</f>
        <v>-60</v>
      </c>
      <c r="N108" s="30" t="n">
        <f aca="false">IF($C108="","",IF($E108="rejected",N($G108),IF(AND(OR($E108="returned_to_brand",$E108="given_to_roster_office",$E108="released_to_office",$E108="disposed"),IF($F108="","reserve",$F108)="rejected"),-N($G108),IF(AND($E108="correction",IF($F108="","reserve",$F108)="rejected"),N($G108),0))))</f>
        <v>0</v>
      </c>
      <c r="O108" s="30" t="n">
        <f aca="false">IF($C108="","",IF($E108="collected",N($G108),IF(AND(OR($E108="returned_to_brand",$E108="given_to_roster_office",$E108="released_to_office",$E108="disposed"),IF($F108="","reserve",$F108)="leftover"),-N($G108),IF(AND($E108="correction",IF($F108="","reserve",$F108)="leftover"),N($G108),0))))</f>
        <v>0</v>
      </c>
      <c r="P108" s="30" t="str">
        <f aca="false">IF(OR($E108&lt;&gt;"received",$I108="",$L108=""),"",IF($I108&gt;=$L108+config!$B$19,"Y","N"))</f>
        <v/>
      </c>
      <c r="Q108" s="30" t="str">
        <f aca="false">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30" t="str">
        <f aca="false">IF($C108="","",$C108&amp;"|"&amp;$D108&amp;"|"&amp;$E108)</f>
        <v>SAMPLE-CMP-007|SAMPLE-O-007|delivered</v>
      </c>
    </row>
    <row r="109" customFormat="false" ht="15" hidden="false" customHeight="false" outlineLevel="0" collapsed="false">
      <c r="A109" s="11" t="n">
        <v>46469</v>
      </c>
      <c r="B109" s="38" t="n">
        <v>0.429166666666667</v>
      </c>
      <c r="C109" s="10" t="s">
        <v>576</v>
      </c>
      <c r="D109" s="10" t="s">
        <v>694</v>
      </c>
      <c r="E109" s="10" t="s">
        <v>685</v>
      </c>
      <c r="G109" s="0" t="n">
        <v>45</v>
      </c>
      <c r="H109" s="10" t="s">
        <v>816</v>
      </c>
      <c r="I109" s="11" t="n">
        <v>46630</v>
      </c>
      <c r="J109" s="10" t="s">
        <v>820</v>
      </c>
      <c r="K109" s="10" t="s">
        <v>821</v>
      </c>
      <c r="L109" s="31" t="n">
        <f aca="false">IF($C109="","",IFERROR(IF(INDEX(campaigns!$BG$2:$BG$51,MATCH($C109,campaigns!$A$2:$A$51,0))="","",INDEX(campaigns!$BG$2:$BG$51,MATCH($C109,campaigns!$A$2:$A$51,0))),""))</f>
        <v>46469</v>
      </c>
      <c r="M109" s="30" t="n">
        <f aca="false">IF($C109="","",IF(OR($E109="received"),N($G109),IF(OR($E109="rejected",$E109="delivered",$E109="topped_up"),-N($G109),IF(AND(OR($E109="returned_to_brand",$E109="given_to_roster_office",$E109="released_to_office",$E109="disposed"),IF($F109="","reserve",$F109)="reserve"),-N($G109),IF(AND($E109="correction",IF($F109="","reserve",$F109)="reserve"),N($G109),0)))))</f>
        <v>45</v>
      </c>
      <c r="N109" s="30" t="n">
        <f aca="false">IF($C109="","",IF($E109="rejected",N($G109),IF(AND(OR($E109="returned_to_brand",$E109="given_to_roster_office",$E109="released_to_office",$E109="disposed"),IF($F109="","reserve",$F109)="rejected"),-N($G109),IF(AND($E109="correction",IF($F109="","reserve",$F109)="rejected"),N($G109),0))))</f>
        <v>0</v>
      </c>
      <c r="O109" s="30" t="n">
        <f aca="false">IF($C109="","",IF($E109="collected",N($G109),IF(AND(OR($E109="returned_to_brand",$E109="given_to_roster_office",$E109="released_to_office",$E109="disposed"),IF($F109="","reserve",$F109)="leftover"),-N($G109),IF(AND($E109="correction",IF($F109="","reserve",$F109)="leftover"),N($G109),0))))</f>
        <v>0</v>
      </c>
      <c r="P109" s="30" t="str">
        <f aca="false">IF(OR($E109&lt;&gt;"received",$I109="",$L109=""),"",IF($I109&gt;=$L109+config!$B$19,"Y","N"))</f>
        <v>Y</v>
      </c>
      <c r="Q109" s="30" t="str">
        <f aca="false">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30" t="str">
        <f aca="false">IF($C109="","",$C109&amp;"|"&amp;$D109&amp;"|"&amp;$E109)</f>
        <v>SAMPLE-CMP-007|SAMPLE-O-008|received</v>
      </c>
    </row>
    <row r="110" customFormat="false" ht="15" hidden="false" customHeight="false" outlineLevel="0" collapsed="false">
      <c r="A110" s="11" t="n">
        <v>46469</v>
      </c>
      <c r="B110" s="38" t="n">
        <v>0.429166666666667</v>
      </c>
      <c r="C110" s="10" t="s">
        <v>576</v>
      </c>
      <c r="D110" s="10" t="s">
        <v>694</v>
      </c>
      <c r="E110" s="10" t="s">
        <v>105</v>
      </c>
      <c r="G110" s="0" t="n">
        <v>45</v>
      </c>
      <c r="I110" s="11"/>
      <c r="J110" s="10" t="s">
        <v>820</v>
      </c>
      <c r="L110" s="31" t="n">
        <f aca="false">IF($C110="","",IFERROR(IF(INDEX(campaigns!$BG$2:$BG$51,MATCH($C110,campaigns!$A$2:$A$51,0))="","",INDEX(campaigns!$BG$2:$BG$51,MATCH($C110,campaigns!$A$2:$A$51,0))),""))</f>
        <v>46469</v>
      </c>
      <c r="M110" s="30" t="n">
        <f aca="false">IF($C110="","",IF(OR($E110="received"),N($G110),IF(OR($E110="rejected",$E110="delivered",$E110="topped_up"),-N($G110),IF(AND(OR($E110="returned_to_brand",$E110="given_to_roster_office",$E110="released_to_office",$E110="disposed"),IF($F110="","reserve",$F110)="reserve"),-N($G110),IF(AND($E110="correction",IF($F110="","reserve",$F110)="reserve"),N($G110),0)))))</f>
        <v>-45</v>
      </c>
      <c r="N110" s="30" t="n">
        <f aca="false">IF($C110="","",IF($E110="rejected",N($G110),IF(AND(OR($E110="returned_to_brand",$E110="given_to_roster_office",$E110="released_to_office",$E110="disposed"),IF($F110="","reserve",$F110)="rejected"),-N($G110),IF(AND($E110="correction",IF($F110="","reserve",$F110)="rejected"),N($G110),0))))</f>
        <v>0</v>
      </c>
      <c r="O110" s="30" t="n">
        <f aca="false">IF($C110="","",IF($E110="collected",N($G110),IF(AND(OR($E110="returned_to_brand",$E110="given_to_roster_office",$E110="released_to_office",$E110="disposed"),IF($F110="","reserve",$F110)="leftover"),-N($G110),IF(AND($E110="correction",IF($F110="","reserve",$F110)="leftover"),N($G110),0))))</f>
        <v>0</v>
      </c>
      <c r="P110" s="30" t="str">
        <f aca="false">IF(OR($E110&lt;&gt;"received",$I110="",$L110=""),"",IF($I110&gt;=$L110+config!$B$19,"Y","N"))</f>
        <v/>
      </c>
      <c r="Q110" s="30" t="str">
        <f aca="false">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30" t="str">
        <f aca="false">IF($C110="","",$C110&amp;"|"&amp;$D110&amp;"|"&amp;$E110)</f>
        <v>SAMPLE-CMP-007|SAMPLE-O-008|delivered</v>
      </c>
    </row>
    <row r="111" customFormat="false" ht="15" hidden="false" customHeight="false" outlineLevel="0" collapsed="false">
      <c r="A111" s="11" t="n">
        <v>46469</v>
      </c>
      <c r="B111" s="38" t="n">
        <v>0.438888888888889</v>
      </c>
      <c r="C111" s="10" t="s">
        <v>576</v>
      </c>
      <c r="D111" s="10" t="s">
        <v>696</v>
      </c>
      <c r="E111" s="10" t="s">
        <v>105</v>
      </c>
      <c r="G111" s="0" t="n">
        <v>75</v>
      </c>
      <c r="I111" s="11"/>
      <c r="J111" s="10" t="s">
        <v>792</v>
      </c>
      <c r="L111" s="31" t="n">
        <f aca="false">IF($C111="","",IFERROR(IF(INDEX(campaigns!$BG$2:$BG$51,MATCH($C111,campaigns!$A$2:$A$51,0))="","",INDEX(campaigns!$BG$2:$BG$51,MATCH($C111,campaigns!$A$2:$A$51,0))),""))</f>
        <v>46469</v>
      </c>
      <c r="M111" s="30" t="n">
        <f aca="false">IF($C111="","",IF(OR($E111="received"),N($G111),IF(OR($E111="rejected",$E111="delivered",$E111="topped_up"),-N($G111),IF(AND(OR($E111="returned_to_brand",$E111="given_to_roster_office",$E111="released_to_office",$E111="disposed"),IF($F111="","reserve",$F111)="reserve"),-N($G111),IF(AND($E111="correction",IF($F111="","reserve",$F111)="reserve"),N($G111),0)))))</f>
        <v>-75</v>
      </c>
      <c r="N111" s="30" t="n">
        <f aca="false">IF($C111="","",IF($E111="rejected",N($G111),IF(AND(OR($E111="returned_to_brand",$E111="given_to_roster_office",$E111="released_to_office",$E111="disposed"),IF($F111="","reserve",$F111)="rejected"),-N($G111),IF(AND($E111="correction",IF($F111="","reserve",$F111)="rejected"),N($G111),0))))</f>
        <v>0</v>
      </c>
      <c r="O111" s="30" t="n">
        <f aca="false">IF($C111="","",IF($E111="collected",N($G111),IF(AND(OR($E111="returned_to_brand",$E111="given_to_roster_office",$E111="released_to_office",$E111="disposed"),IF($F111="","reserve",$F111)="leftover"),-N($G111),IF(AND($E111="correction",IF($F111="","reserve",$F111)="leftover"),N($G111),0))))</f>
        <v>0</v>
      </c>
      <c r="P111" s="30" t="str">
        <f aca="false">IF(OR($E111&lt;&gt;"received",$I111="",$L111=""),"",IF($I111&gt;=$L111+config!$B$19,"Y","N"))</f>
        <v/>
      </c>
      <c r="Q111" s="30" t="str">
        <f aca="false">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30" t="str">
        <f aca="false">IF($C111="","",$C111&amp;"|"&amp;$D111&amp;"|"&amp;$E111)</f>
        <v>SAMPLE-CMP-007|SAMPLE-O-009|delivered</v>
      </c>
    </row>
    <row r="112" customFormat="false" ht="15" hidden="false" customHeight="false" outlineLevel="0" collapsed="false">
      <c r="A112" s="11" t="n">
        <v>46469</v>
      </c>
      <c r="B112" s="38" t="n">
        <v>0.430555555555556</v>
      </c>
      <c r="C112" s="10" t="s">
        <v>576</v>
      </c>
      <c r="D112" s="10" t="s">
        <v>698</v>
      </c>
      <c r="E112" s="10" t="s">
        <v>685</v>
      </c>
      <c r="G112" s="0" t="n">
        <v>40</v>
      </c>
      <c r="H112" s="10" t="s">
        <v>816</v>
      </c>
      <c r="I112" s="11" t="n">
        <v>46630</v>
      </c>
      <c r="J112" s="10" t="s">
        <v>820</v>
      </c>
      <c r="K112" s="10" t="s">
        <v>821</v>
      </c>
      <c r="L112" s="31" t="n">
        <f aca="false">IF($C112="","",IFERROR(IF(INDEX(campaigns!$BG$2:$BG$51,MATCH($C112,campaigns!$A$2:$A$51,0))="","",INDEX(campaigns!$BG$2:$BG$51,MATCH($C112,campaigns!$A$2:$A$51,0))),""))</f>
        <v>46469</v>
      </c>
      <c r="M112" s="30" t="n">
        <f aca="false">IF($C112="","",IF(OR($E112="received"),N($G112),IF(OR($E112="rejected",$E112="delivered",$E112="topped_up"),-N($G112),IF(AND(OR($E112="returned_to_brand",$E112="given_to_roster_office",$E112="released_to_office",$E112="disposed"),IF($F112="","reserve",$F112)="reserve"),-N($G112),IF(AND($E112="correction",IF($F112="","reserve",$F112)="reserve"),N($G112),0)))))</f>
        <v>40</v>
      </c>
      <c r="N112" s="30" t="n">
        <f aca="false">IF($C112="","",IF($E112="rejected",N($G112),IF(AND(OR($E112="returned_to_brand",$E112="given_to_roster_office",$E112="released_to_office",$E112="disposed"),IF($F112="","reserve",$F112)="rejected"),-N($G112),IF(AND($E112="correction",IF($F112="","reserve",$F112)="rejected"),N($G112),0))))</f>
        <v>0</v>
      </c>
      <c r="O112" s="30" t="n">
        <f aca="false">IF($C112="","",IF($E112="collected",N($G112),IF(AND(OR($E112="returned_to_brand",$E112="given_to_roster_office",$E112="released_to_office",$E112="disposed"),IF($F112="","reserve",$F112)="leftover"),-N($G112),IF(AND($E112="correction",IF($F112="","reserve",$F112)="leftover"),N($G112),0))))</f>
        <v>0</v>
      </c>
      <c r="P112" s="30" t="str">
        <f aca="false">IF(OR($E112&lt;&gt;"received",$I112="",$L112=""),"",IF($I112&gt;=$L112+config!$B$19,"Y","N"))</f>
        <v>Y</v>
      </c>
      <c r="Q112" s="30" t="str">
        <f aca="false">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30" t="str">
        <f aca="false">IF($C112="","",$C112&amp;"|"&amp;$D112&amp;"|"&amp;$E112)</f>
        <v>SAMPLE-CMP-007|SAMPLE-O-010|received</v>
      </c>
    </row>
    <row r="113" customFormat="false" ht="15" hidden="false" customHeight="false" outlineLevel="0" collapsed="false">
      <c r="A113" s="11" t="n">
        <v>46469</v>
      </c>
      <c r="B113" s="38" t="n">
        <v>0.430555555555556</v>
      </c>
      <c r="C113" s="10" t="s">
        <v>576</v>
      </c>
      <c r="D113" s="10" t="s">
        <v>698</v>
      </c>
      <c r="E113" s="10" t="s">
        <v>105</v>
      </c>
      <c r="G113" s="0" t="n">
        <v>40</v>
      </c>
      <c r="I113" s="11"/>
      <c r="J113" s="10" t="s">
        <v>820</v>
      </c>
      <c r="L113" s="31" t="n">
        <f aca="false">IF($C113="","",IFERROR(IF(INDEX(campaigns!$BG$2:$BG$51,MATCH($C113,campaigns!$A$2:$A$51,0))="","",INDEX(campaigns!$BG$2:$BG$51,MATCH($C113,campaigns!$A$2:$A$51,0))),""))</f>
        <v>46469</v>
      </c>
      <c r="M113" s="30" t="n">
        <f aca="false">IF($C113="","",IF(OR($E113="received"),N($G113),IF(OR($E113="rejected",$E113="delivered",$E113="topped_up"),-N($G113),IF(AND(OR($E113="returned_to_brand",$E113="given_to_roster_office",$E113="released_to_office",$E113="disposed"),IF($F113="","reserve",$F113)="reserve"),-N($G113),IF(AND($E113="correction",IF($F113="","reserve",$F113)="reserve"),N($G113),0)))))</f>
        <v>-40</v>
      </c>
      <c r="N113" s="30" t="n">
        <f aca="false">IF($C113="","",IF($E113="rejected",N($G113),IF(AND(OR($E113="returned_to_brand",$E113="given_to_roster_office",$E113="released_to_office",$E113="disposed"),IF($F113="","reserve",$F113)="rejected"),-N($G113),IF(AND($E113="correction",IF($F113="","reserve",$F113)="rejected"),N($G113),0))))</f>
        <v>0</v>
      </c>
      <c r="O113" s="30" t="n">
        <f aca="false">IF($C113="","",IF($E113="collected",N($G113),IF(AND(OR($E113="returned_to_brand",$E113="given_to_roster_office",$E113="released_to_office",$E113="disposed"),IF($F113="","reserve",$F113)="leftover"),-N($G113),IF(AND($E113="correction",IF($F113="","reserve",$F113)="leftover"),N($G113),0))))</f>
        <v>0</v>
      </c>
      <c r="P113" s="30" t="str">
        <f aca="false">IF(OR($E113&lt;&gt;"received",$I113="",$L113=""),"",IF($I113&gt;=$L113+config!$B$19,"Y","N"))</f>
        <v/>
      </c>
      <c r="Q113" s="30" t="str">
        <f aca="false">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30" t="str">
        <f aca="false">IF($C113="","",$C113&amp;"|"&amp;$D113&amp;"|"&amp;$E113)</f>
        <v>SAMPLE-CMP-007|SAMPLE-O-010|delivered</v>
      </c>
    </row>
    <row r="114" customFormat="false" ht="15" hidden="false" customHeight="false" outlineLevel="0" collapsed="false">
      <c r="A114" s="11" t="n">
        <v>46469</v>
      </c>
      <c r="B114" s="38" t="n">
        <v>0.424305555555556</v>
      </c>
      <c r="C114" s="10" t="s">
        <v>584</v>
      </c>
      <c r="D114" s="10" t="s">
        <v>678</v>
      </c>
      <c r="E114" s="10" t="s">
        <v>685</v>
      </c>
      <c r="G114" s="0" t="n">
        <v>40</v>
      </c>
      <c r="H114" s="10" t="s">
        <v>819</v>
      </c>
      <c r="I114" s="11" t="n">
        <v>46660</v>
      </c>
      <c r="J114" s="10" t="s">
        <v>820</v>
      </c>
      <c r="K114" s="10" t="s">
        <v>821</v>
      </c>
      <c r="L114" s="31" t="n">
        <f aca="false">IF($C114="","",IFERROR(IF(INDEX(campaigns!$BG$2:$BG$51,MATCH($C114,campaigns!$A$2:$A$51,0))="","",INDEX(campaigns!$BG$2:$BG$51,MATCH($C114,campaigns!$A$2:$A$51,0))),""))</f>
        <v>46469</v>
      </c>
      <c r="M114" s="30" t="n">
        <f aca="false">IF($C114="","",IF(OR($E114="received"),N($G114),IF(OR($E114="rejected",$E114="delivered",$E114="topped_up"),-N($G114),IF(AND(OR($E114="returned_to_brand",$E114="given_to_roster_office",$E114="released_to_office",$E114="disposed"),IF($F114="","reserve",$F114)="reserve"),-N($G114),IF(AND($E114="correction",IF($F114="","reserve",$F114)="reserve"),N($G114),0)))))</f>
        <v>40</v>
      </c>
      <c r="N114" s="30" t="n">
        <f aca="false">IF($C114="","",IF($E114="rejected",N($G114),IF(AND(OR($E114="returned_to_brand",$E114="given_to_roster_office",$E114="released_to_office",$E114="disposed"),IF($F114="","reserve",$F114)="rejected"),-N($G114),IF(AND($E114="correction",IF($F114="","reserve",$F114)="rejected"),N($G114),0))))</f>
        <v>0</v>
      </c>
      <c r="O114" s="30" t="n">
        <f aca="false">IF($C114="","",IF($E114="collected",N($G114),IF(AND(OR($E114="returned_to_brand",$E114="given_to_roster_office",$E114="released_to_office",$E114="disposed"),IF($F114="","reserve",$F114)="leftover"),-N($G114),IF(AND($E114="correction",IF($F114="","reserve",$F114)="leftover"),N($G114),0))))</f>
        <v>0</v>
      </c>
      <c r="P114" s="30" t="str">
        <f aca="false">IF(OR($E114&lt;&gt;"received",$I114="",$L114=""),"",IF($I114&gt;=$L114+config!$B$19,"Y","N"))</f>
        <v>Y</v>
      </c>
      <c r="Q114" s="30" t="str">
        <f aca="false">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30" t="str">
        <f aca="false">IF($C114="","",$C114&amp;"|"&amp;$D114&amp;"|"&amp;$E114)</f>
        <v>SAMPLE-CMP-008|SAMPLE-O-001|received</v>
      </c>
    </row>
    <row r="115" customFormat="false" ht="15" hidden="false" customHeight="false" outlineLevel="0" collapsed="false">
      <c r="A115" s="11" t="n">
        <v>46469</v>
      </c>
      <c r="B115" s="38" t="n">
        <v>0.424305555555556</v>
      </c>
      <c r="C115" s="10" t="s">
        <v>584</v>
      </c>
      <c r="D115" s="10" t="s">
        <v>678</v>
      </c>
      <c r="E115" s="10" t="s">
        <v>105</v>
      </c>
      <c r="G115" s="0" t="n">
        <v>40</v>
      </c>
      <c r="I115" s="11"/>
      <c r="J115" s="10" t="s">
        <v>820</v>
      </c>
      <c r="L115" s="31" t="n">
        <f aca="false">IF($C115="","",IFERROR(IF(INDEX(campaigns!$BG$2:$BG$51,MATCH($C115,campaigns!$A$2:$A$51,0))="","",INDEX(campaigns!$BG$2:$BG$51,MATCH($C115,campaigns!$A$2:$A$51,0))),""))</f>
        <v>46469</v>
      </c>
      <c r="M115" s="30" t="n">
        <f aca="false">IF($C115="","",IF(OR($E115="received"),N($G115),IF(OR($E115="rejected",$E115="delivered",$E115="topped_up"),-N($G115),IF(AND(OR($E115="returned_to_brand",$E115="given_to_roster_office",$E115="released_to_office",$E115="disposed"),IF($F115="","reserve",$F115)="reserve"),-N($G115),IF(AND($E115="correction",IF($F115="","reserve",$F115)="reserve"),N($G115),0)))))</f>
        <v>-40</v>
      </c>
      <c r="N115" s="30" t="n">
        <f aca="false">IF($C115="","",IF($E115="rejected",N($G115),IF(AND(OR($E115="returned_to_brand",$E115="given_to_roster_office",$E115="released_to_office",$E115="disposed"),IF($F115="","reserve",$F115)="rejected"),-N($G115),IF(AND($E115="correction",IF($F115="","reserve",$F115)="rejected"),N($G115),0))))</f>
        <v>0</v>
      </c>
      <c r="O115" s="30" t="n">
        <f aca="false">IF($C115="","",IF($E115="collected",N($G115),IF(AND(OR($E115="returned_to_brand",$E115="given_to_roster_office",$E115="released_to_office",$E115="disposed"),IF($F115="","reserve",$F115)="leftover"),-N($G115),IF(AND($E115="correction",IF($F115="","reserve",$F115)="leftover"),N($G115),0))))</f>
        <v>0</v>
      </c>
      <c r="P115" s="30" t="str">
        <f aca="false">IF(OR($E115&lt;&gt;"received",$I115="",$L115=""),"",IF($I115&gt;=$L115+config!$B$19,"Y","N"))</f>
        <v/>
      </c>
      <c r="Q115" s="30" t="str">
        <f aca="false">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30" t="str">
        <f aca="false">IF($C115="","",$C115&amp;"|"&amp;$D115&amp;"|"&amp;$E115)</f>
        <v>SAMPLE-CMP-008|SAMPLE-O-001|delivered</v>
      </c>
    </row>
    <row r="116" customFormat="false" ht="15" hidden="false" customHeight="false" outlineLevel="0" collapsed="false">
      <c r="A116" s="11" t="n">
        <v>46469</v>
      </c>
      <c r="B116" s="38" t="n">
        <v>0.425</v>
      </c>
      <c r="C116" s="10" t="s">
        <v>584</v>
      </c>
      <c r="D116" s="10" t="s">
        <v>681</v>
      </c>
      <c r="E116" s="10" t="s">
        <v>685</v>
      </c>
      <c r="G116" s="0" t="n">
        <v>40</v>
      </c>
      <c r="H116" s="10" t="s">
        <v>819</v>
      </c>
      <c r="I116" s="11" t="n">
        <v>46660</v>
      </c>
      <c r="J116" s="10" t="s">
        <v>820</v>
      </c>
      <c r="K116" s="10" t="s">
        <v>821</v>
      </c>
      <c r="L116" s="31" t="n">
        <f aca="false">IF($C116="","",IFERROR(IF(INDEX(campaigns!$BG$2:$BG$51,MATCH($C116,campaigns!$A$2:$A$51,0))="","",INDEX(campaigns!$BG$2:$BG$51,MATCH($C116,campaigns!$A$2:$A$51,0))),""))</f>
        <v>46469</v>
      </c>
      <c r="M116" s="30" t="n">
        <f aca="false">IF($C116="","",IF(OR($E116="received"),N($G116),IF(OR($E116="rejected",$E116="delivered",$E116="topped_up"),-N($G116),IF(AND(OR($E116="returned_to_brand",$E116="given_to_roster_office",$E116="released_to_office",$E116="disposed"),IF($F116="","reserve",$F116)="reserve"),-N($G116),IF(AND($E116="correction",IF($F116="","reserve",$F116)="reserve"),N($G116),0)))))</f>
        <v>40</v>
      </c>
      <c r="N116" s="30" t="n">
        <f aca="false">IF($C116="","",IF($E116="rejected",N($G116),IF(AND(OR($E116="returned_to_brand",$E116="given_to_roster_office",$E116="released_to_office",$E116="disposed"),IF($F116="","reserve",$F116)="rejected"),-N($G116),IF(AND($E116="correction",IF($F116="","reserve",$F116)="rejected"),N($G116),0))))</f>
        <v>0</v>
      </c>
      <c r="O116" s="30" t="n">
        <f aca="false">IF($C116="","",IF($E116="collected",N($G116),IF(AND(OR($E116="returned_to_brand",$E116="given_to_roster_office",$E116="released_to_office",$E116="disposed"),IF($F116="","reserve",$F116)="leftover"),-N($G116),IF(AND($E116="correction",IF($F116="","reserve",$F116)="leftover"),N($G116),0))))</f>
        <v>0</v>
      </c>
      <c r="P116" s="30" t="str">
        <f aca="false">IF(OR($E116&lt;&gt;"received",$I116="",$L116=""),"",IF($I116&gt;=$L116+config!$B$19,"Y","N"))</f>
        <v>Y</v>
      </c>
      <c r="Q116" s="30" t="str">
        <f aca="false">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30" t="str">
        <f aca="false">IF($C116="","",$C116&amp;"|"&amp;$D116&amp;"|"&amp;$E116)</f>
        <v>SAMPLE-CMP-008|SAMPLE-O-002|received</v>
      </c>
    </row>
    <row r="117" customFormat="false" ht="15" hidden="false" customHeight="false" outlineLevel="0" collapsed="false">
      <c r="A117" s="11" t="n">
        <v>46469</v>
      </c>
      <c r="B117" s="38" t="n">
        <v>0.425</v>
      </c>
      <c r="C117" s="10" t="s">
        <v>584</v>
      </c>
      <c r="D117" s="10" t="s">
        <v>681</v>
      </c>
      <c r="E117" s="10" t="s">
        <v>105</v>
      </c>
      <c r="G117" s="0" t="n">
        <v>40</v>
      </c>
      <c r="I117" s="11"/>
      <c r="J117" s="10" t="s">
        <v>820</v>
      </c>
      <c r="L117" s="31" t="n">
        <f aca="false">IF($C117="","",IFERROR(IF(INDEX(campaigns!$BG$2:$BG$51,MATCH($C117,campaigns!$A$2:$A$51,0))="","",INDEX(campaigns!$BG$2:$BG$51,MATCH($C117,campaigns!$A$2:$A$51,0))),""))</f>
        <v>46469</v>
      </c>
      <c r="M117" s="30" t="n">
        <f aca="false">IF($C117="","",IF(OR($E117="received"),N($G117),IF(OR($E117="rejected",$E117="delivered",$E117="topped_up"),-N($G117),IF(AND(OR($E117="returned_to_brand",$E117="given_to_roster_office",$E117="released_to_office",$E117="disposed"),IF($F117="","reserve",$F117)="reserve"),-N($G117),IF(AND($E117="correction",IF($F117="","reserve",$F117)="reserve"),N($G117),0)))))</f>
        <v>-40</v>
      </c>
      <c r="N117" s="30" t="n">
        <f aca="false">IF($C117="","",IF($E117="rejected",N($G117),IF(AND(OR($E117="returned_to_brand",$E117="given_to_roster_office",$E117="released_to_office",$E117="disposed"),IF($F117="","reserve",$F117)="rejected"),-N($G117),IF(AND($E117="correction",IF($F117="","reserve",$F117)="rejected"),N($G117),0))))</f>
        <v>0</v>
      </c>
      <c r="O117" s="30" t="n">
        <f aca="false">IF($C117="","",IF($E117="collected",N($G117),IF(AND(OR($E117="returned_to_brand",$E117="given_to_roster_office",$E117="released_to_office",$E117="disposed"),IF($F117="","reserve",$F117)="leftover"),-N($G117),IF(AND($E117="correction",IF($F117="","reserve",$F117)="leftover"),N($G117),0))))</f>
        <v>0</v>
      </c>
      <c r="P117" s="30" t="str">
        <f aca="false">IF(OR($E117&lt;&gt;"received",$I117="",$L117=""),"",IF($I117&gt;=$L117+config!$B$19,"Y","N"))</f>
        <v/>
      </c>
      <c r="Q117" s="30" t="str">
        <f aca="false">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30" t="str">
        <f aca="false">IF($C117="","",$C117&amp;"|"&amp;$D117&amp;"|"&amp;$E117)</f>
        <v>SAMPLE-CMP-008|SAMPLE-O-002|delivered</v>
      </c>
    </row>
    <row r="118" customFormat="false" ht="15" hidden="false" customHeight="false" outlineLevel="0" collapsed="false">
      <c r="A118" s="11" t="n">
        <v>46469</v>
      </c>
      <c r="B118" s="38" t="n">
        <v>0.425694444444444</v>
      </c>
      <c r="C118" s="10" t="s">
        <v>584</v>
      </c>
      <c r="D118" s="10" t="s">
        <v>683</v>
      </c>
      <c r="E118" s="10" t="s">
        <v>685</v>
      </c>
      <c r="G118" s="0" t="n">
        <v>50</v>
      </c>
      <c r="H118" s="10" t="s">
        <v>819</v>
      </c>
      <c r="I118" s="11" t="n">
        <v>46660</v>
      </c>
      <c r="J118" s="10" t="s">
        <v>820</v>
      </c>
      <c r="K118" s="10" t="s">
        <v>821</v>
      </c>
      <c r="L118" s="31" t="n">
        <f aca="false">IF($C118="","",IFERROR(IF(INDEX(campaigns!$BG$2:$BG$51,MATCH($C118,campaigns!$A$2:$A$51,0))="","",INDEX(campaigns!$BG$2:$BG$51,MATCH($C118,campaigns!$A$2:$A$51,0))),""))</f>
        <v>46469</v>
      </c>
      <c r="M118" s="30" t="n">
        <f aca="false">IF($C118="","",IF(OR($E118="received"),N($G118),IF(OR($E118="rejected",$E118="delivered",$E118="topped_up"),-N($G118),IF(AND(OR($E118="returned_to_brand",$E118="given_to_roster_office",$E118="released_to_office",$E118="disposed"),IF($F118="","reserve",$F118)="reserve"),-N($G118),IF(AND($E118="correction",IF($F118="","reserve",$F118)="reserve"),N($G118),0)))))</f>
        <v>50</v>
      </c>
      <c r="N118" s="30" t="n">
        <f aca="false">IF($C118="","",IF($E118="rejected",N($G118),IF(AND(OR($E118="returned_to_brand",$E118="given_to_roster_office",$E118="released_to_office",$E118="disposed"),IF($F118="","reserve",$F118)="rejected"),-N($G118),IF(AND($E118="correction",IF($F118="","reserve",$F118)="rejected"),N($G118),0))))</f>
        <v>0</v>
      </c>
      <c r="O118" s="30" t="n">
        <f aca="false">IF($C118="","",IF($E118="collected",N($G118),IF(AND(OR($E118="returned_to_brand",$E118="given_to_roster_office",$E118="released_to_office",$E118="disposed"),IF($F118="","reserve",$F118)="leftover"),-N($G118),IF(AND($E118="correction",IF($F118="","reserve",$F118)="leftover"),N($G118),0))))</f>
        <v>0</v>
      </c>
      <c r="P118" s="30" t="str">
        <f aca="false">IF(OR($E118&lt;&gt;"received",$I118="",$L118=""),"",IF($I118&gt;=$L118+config!$B$19,"Y","N"))</f>
        <v>Y</v>
      </c>
      <c r="Q118" s="30" t="str">
        <f aca="false">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30" t="str">
        <f aca="false">IF($C118="","",$C118&amp;"|"&amp;$D118&amp;"|"&amp;$E118)</f>
        <v>SAMPLE-CMP-008|SAMPLE-O-003|received</v>
      </c>
    </row>
    <row r="119" customFormat="false" ht="15" hidden="false" customHeight="false" outlineLevel="0" collapsed="false">
      <c r="A119" s="11" t="n">
        <v>46469</v>
      </c>
      <c r="B119" s="38" t="n">
        <v>0.425694444444444</v>
      </c>
      <c r="C119" s="10" t="s">
        <v>584</v>
      </c>
      <c r="D119" s="10" t="s">
        <v>683</v>
      </c>
      <c r="E119" s="10" t="s">
        <v>105</v>
      </c>
      <c r="G119" s="0" t="n">
        <v>50</v>
      </c>
      <c r="I119" s="11"/>
      <c r="J119" s="10" t="s">
        <v>820</v>
      </c>
      <c r="L119" s="31" t="n">
        <f aca="false">IF($C119="","",IFERROR(IF(INDEX(campaigns!$BG$2:$BG$51,MATCH($C119,campaigns!$A$2:$A$51,0))="","",INDEX(campaigns!$BG$2:$BG$51,MATCH($C119,campaigns!$A$2:$A$51,0))),""))</f>
        <v>46469</v>
      </c>
      <c r="M119" s="30" t="n">
        <f aca="false">IF($C119="","",IF(OR($E119="received"),N($G119),IF(OR($E119="rejected",$E119="delivered",$E119="topped_up"),-N($G119),IF(AND(OR($E119="returned_to_brand",$E119="given_to_roster_office",$E119="released_to_office",$E119="disposed"),IF($F119="","reserve",$F119)="reserve"),-N($G119),IF(AND($E119="correction",IF($F119="","reserve",$F119)="reserve"),N($G119),0)))))</f>
        <v>-50</v>
      </c>
      <c r="N119" s="30" t="n">
        <f aca="false">IF($C119="","",IF($E119="rejected",N($G119),IF(AND(OR($E119="returned_to_brand",$E119="given_to_roster_office",$E119="released_to_office",$E119="disposed"),IF($F119="","reserve",$F119)="rejected"),-N($G119),IF(AND($E119="correction",IF($F119="","reserve",$F119)="rejected"),N($G119),0))))</f>
        <v>0</v>
      </c>
      <c r="O119" s="30" t="n">
        <f aca="false">IF($C119="","",IF($E119="collected",N($G119),IF(AND(OR($E119="returned_to_brand",$E119="given_to_roster_office",$E119="released_to_office",$E119="disposed"),IF($F119="","reserve",$F119)="leftover"),-N($G119),IF(AND($E119="correction",IF($F119="","reserve",$F119)="leftover"),N($G119),0))))</f>
        <v>0</v>
      </c>
      <c r="P119" s="30" t="str">
        <f aca="false">IF(OR($E119&lt;&gt;"received",$I119="",$L119=""),"",IF($I119&gt;=$L119+config!$B$19,"Y","N"))</f>
        <v/>
      </c>
      <c r="Q119" s="30" t="str">
        <f aca="false">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30" t="str">
        <f aca="false">IF($C119="","",$C119&amp;"|"&amp;$D119&amp;"|"&amp;$E119)</f>
        <v>SAMPLE-CMP-008|SAMPLE-O-003|delivered</v>
      </c>
    </row>
    <row r="120" customFormat="false" ht="15" hidden="false" customHeight="false" outlineLevel="0" collapsed="false">
      <c r="A120" s="11" t="n">
        <v>46469</v>
      </c>
      <c r="B120" s="38" t="n">
        <v>0.426388888888889</v>
      </c>
      <c r="C120" s="10" t="s">
        <v>584</v>
      </c>
      <c r="D120" s="10" t="s">
        <v>686</v>
      </c>
      <c r="E120" s="10" t="s">
        <v>685</v>
      </c>
      <c r="G120" s="0" t="n">
        <v>50</v>
      </c>
      <c r="H120" s="10" t="s">
        <v>819</v>
      </c>
      <c r="I120" s="11" t="n">
        <v>46660</v>
      </c>
      <c r="J120" s="10" t="s">
        <v>820</v>
      </c>
      <c r="K120" s="10" t="s">
        <v>821</v>
      </c>
      <c r="L120" s="31" t="n">
        <f aca="false">IF($C120="","",IFERROR(IF(INDEX(campaigns!$BG$2:$BG$51,MATCH($C120,campaigns!$A$2:$A$51,0))="","",INDEX(campaigns!$BG$2:$BG$51,MATCH($C120,campaigns!$A$2:$A$51,0))),""))</f>
        <v>46469</v>
      </c>
      <c r="M120" s="30" t="n">
        <f aca="false">IF($C120="","",IF(OR($E120="received"),N($G120),IF(OR($E120="rejected",$E120="delivered",$E120="topped_up"),-N($G120),IF(AND(OR($E120="returned_to_brand",$E120="given_to_roster_office",$E120="released_to_office",$E120="disposed"),IF($F120="","reserve",$F120)="reserve"),-N($G120),IF(AND($E120="correction",IF($F120="","reserve",$F120)="reserve"),N($G120),0)))))</f>
        <v>50</v>
      </c>
      <c r="N120" s="30" t="n">
        <f aca="false">IF($C120="","",IF($E120="rejected",N($G120),IF(AND(OR($E120="returned_to_brand",$E120="given_to_roster_office",$E120="released_to_office",$E120="disposed"),IF($F120="","reserve",$F120)="rejected"),-N($G120),IF(AND($E120="correction",IF($F120="","reserve",$F120)="rejected"),N($G120),0))))</f>
        <v>0</v>
      </c>
      <c r="O120" s="30" t="n">
        <f aca="false">IF($C120="","",IF($E120="collected",N($G120),IF(AND(OR($E120="returned_to_brand",$E120="given_to_roster_office",$E120="released_to_office",$E120="disposed"),IF($F120="","reserve",$F120)="leftover"),-N($G120),IF(AND($E120="correction",IF($F120="","reserve",$F120)="leftover"),N($G120),0))))</f>
        <v>0</v>
      </c>
      <c r="P120" s="30" t="str">
        <f aca="false">IF(OR($E120&lt;&gt;"received",$I120="",$L120=""),"",IF($I120&gt;=$L120+config!$B$19,"Y","N"))</f>
        <v>Y</v>
      </c>
      <c r="Q120" s="30" t="str">
        <f aca="false">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30" t="str">
        <f aca="false">IF($C120="","",$C120&amp;"|"&amp;$D120&amp;"|"&amp;$E120)</f>
        <v>SAMPLE-CMP-008|SAMPLE-O-004|received</v>
      </c>
    </row>
    <row r="121" customFormat="false" ht="15" hidden="false" customHeight="false" outlineLevel="0" collapsed="false">
      <c r="A121" s="11" t="n">
        <v>46469</v>
      </c>
      <c r="B121" s="38" t="n">
        <v>0.426388888888889</v>
      </c>
      <c r="C121" s="10" t="s">
        <v>584</v>
      </c>
      <c r="D121" s="10" t="s">
        <v>686</v>
      </c>
      <c r="E121" s="10" t="s">
        <v>105</v>
      </c>
      <c r="G121" s="0" t="n">
        <v>50</v>
      </c>
      <c r="I121" s="11"/>
      <c r="J121" s="10" t="s">
        <v>820</v>
      </c>
      <c r="L121" s="31" t="n">
        <f aca="false">IF($C121="","",IFERROR(IF(INDEX(campaigns!$BG$2:$BG$51,MATCH($C121,campaigns!$A$2:$A$51,0))="","",INDEX(campaigns!$BG$2:$BG$51,MATCH($C121,campaigns!$A$2:$A$51,0))),""))</f>
        <v>46469</v>
      </c>
      <c r="M121" s="30" t="n">
        <f aca="false">IF($C121="","",IF(OR($E121="received"),N($G121),IF(OR($E121="rejected",$E121="delivered",$E121="topped_up"),-N($G121),IF(AND(OR($E121="returned_to_brand",$E121="given_to_roster_office",$E121="released_to_office",$E121="disposed"),IF($F121="","reserve",$F121)="reserve"),-N($G121),IF(AND($E121="correction",IF($F121="","reserve",$F121)="reserve"),N($G121),0)))))</f>
        <v>-50</v>
      </c>
      <c r="N121" s="30" t="n">
        <f aca="false">IF($C121="","",IF($E121="rejected",N($G121),IF(AND(OR($E121="returned_to_brand",$E121="given_to_roster_office",$E121="released_to_office",$E121="disposed"),IF($F121="","reserve",$F121)="rejected"),-N($G121),IF(AND($E121="correction",IF($F121="","reserve",$F121)="rejected"),N($G121),0))))</f>
        <v>0</v>
      </c>
      <c r="O121" s="30" t="n">
        <f aca="false">IF($C121="","",IF($E121="collected",N($G121),IF(AND(OR($E121="returned_to_brand",$E121="given_to_roster_office",$E121="released_to_office",$E121="disposed"),IF($F121="","reserve",$F121)="leftover"),-N($G121),IF(AND($E121="correction",IF($F121="","reserve",$F121)="leftover"),N($G121),0))))</f>
        <v>0</v>
      </c>
      <c r="P121" s="30" t="str">
        <f aca="false">IF(OR($E121&lt;&gt;"received",$I121="",$L121=""),"",IF($I121&gt;=$L121+config!$B$19,"Y","N"))</f>
        <v/>
      </c>
      <c r="Q121" s="30" t="str">
        <f aca="false">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30" t="str">
        <f aca="false">IF($C121="","",$C121&amp;"|"&amp;$D121&amp;"|"&amp;$E121)</f>
        <v>SAMPLE-CMP-008|SAMPLE-O-004|delivered</v>
      </c>
    </row>
    <row r="122" customFormat="false" ht="15" hidden="false" customHeight="false" outlineLevel="0" collapsed="false">
      <c r="A122" s="11" t="n">
        <v>46469</v>
      </c>
      <c r="B122" s="38" t="n">
        <v>0.427083333333333</v>
      </c>
      <c r="C122" s="10" t="s">
        <v>584</v>
      </c>
      <c r="D122" s="10" t="s">
        <v>688</v>
      </c>
      <c r="E122" s="10" t="s">
        <v>685</v>
      </c>
      <c r="G122" s="0" t="n">
        <v>70</v>
      </c>
      <c r="H122" s="10" t="s">
        <v>819</v>
      </c>
      <c r="I122" s="11" t="n">
        <v>46660</v>
      </c>
      <c r="J122" s="10" t="s">
        <v>820</v>
      </c>
      <c r="K122" s="10" t="s">
        <v>821</v>
      </c>
      <c r="L122" s="31" t="n">
        <f aca="false">IF($C122="","",IFERROR(IF(INDEX(campaigns!$BG$2:$BG$51,MATCH($C122,campaigns!$A$2:$A$51,0))="","",INDEX(campaigns!$BG$2:$BG$51,MATCH($C122,campaigns!$A$2:$A$51,0))),""))</f>
        <v>46469</v>
      </c>
      <c r="M122" s="30" t="n">
        <f aca="false">IF($C122="","",IF(OR($E122="received"),N($G122),IF(OR($E122="rejected",$E122="delivered",$E122="topped_up"),-N($G122),IF(AND(OR($E122="returned_to_brand",$E122="given_to_roster_office",$E122="released_to_office",$E122="disposed"),IF($F122="","reserve",$F122)="reserve"),-N($G122),IF(AND($E122="correction",IF($F122="","reserve",$F122)="reserve"),N($G122),0)))))</f>
        <v>70</v>
      </c>
      <c r="N122" s="30" t="n">
        <f aca="false">IF($C122="","",IF($E122="rejected",N($G122),IF(AND(OR($E122="returned_to_brand",$E122="given_to_roster_office",$E122="released_to_office",$E122="disposed"),IF($F122="","reserve",$F122)="rejected"),-N($G122),IF(AND($E122="correction",IF($F122="","reserve",$F122)="rejected"),N($G122),0))))</f>
        <v>0</v>
      </c>
      <c r="O122" s="30" t="n">
        <f aca="false">IF($C122="","",IF($E122="collected",N($G122),IF(AND(OR($E122="returned_to_brand",$E122="given_to_roster_office",$E122="released_to_office",$E122="disposed"),IF($F122="","reserve",$F122)="leftover"),-N($G122),IF(AND($E122="correction",IF($F122="","reserve",$F122)="leftover"),N($G122),0))))</f>
        <v>0</v>
      </c>
      <c r="P122" s="30" t="str">
        <f aca="false">IF(OR($E122&lt;&gt;"received",$I122="",$L122=""),"",IF($I122&gt;=$L122+config!$B$19,"Y","N"))</f>
        <v>Y</v>
      </c>
      <c r="Q122" s="30" t="str">
        <f aca="false">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30" t="str">
        <f aca="false">IF($C122="","",$C122&amp;"|"&amp;$D122&amp;"|"&amp;$E122)</f>
        <v>SAMPLE-CMP-008|SAMPLE-O-005|received</v>
      </c>
    </row>
    <row r="123" customFormat="false" ht="15" hidden="false" customHeight="false" outlineLevel="0" collapsed="false">
      <c r="A123" s="11" t="n">
        <v>46469</v>
      </c>
      <c r="B123" s="38" t="n">
        <v>0.427083333333333</v>
      </c>
      <c r="C123" s="10" t="s">
        <v>584</v>
      </c>
      <c r="D123" s="10" t="s">
        <v>688</v>
      </c>
      <c r="E123" s="10" t="s">
        <v>105</v>
      </c>
      <c r="G123" s="0" t="n">
        <v>70</v>
      </c>
      <c r="I123" s="11"/>
      <c r="J123" s="10" t="s">
        <v>820</v>
      </c>
      <c r="L123" s="31" t="n">
        <f aca="false">IF($C123="","",IFERROR(IF(INDEX(campaigns!$BG$2:$BG$51,MATCH($C123,campaigns!$A$2:$A$51,0))="","",INDEX(campaigns!$BG$2:$BG$51,MATCH($C123,campaigns!$A$2:$A$51,0))),""))</f>
        <v>46469</v>
      </c>
      <c r="M123" s="30" t="n">
        <f aca="false">IF($C123="","",IF(OR($E123="received"),N($G123),IF(OR($E123="rejected",$E123="delivered",$E123="topped_up"),-N($G123),IF(AND(OR($E123="returned_to_brand",$E123="given_to_roster_office",$E123="released_to_office",$E123="disposed"),IF($F123="","reserve",$F123)="reserve"),-N($G123),IF(AND($E123="correction",IF($F123="","reserve",$F123)="reserve"),N($G123),0)))))</f>
        <v>-70</v>
      </c>
      <c r="N123" s="30" t="n">
        <f aca="false">IF($C123="","",IF($E123="rejected",N($G123),IF(AND(OR($E123="returned_to_brand",$E123="given_to_roster_office",$E123="released_to_office",$E123="disposed"),IF($F123="","reserve",$F123)="rejected"),-N($G123),IF(AND($E123="correction",IF($F123="","reserve",$F123)="rejected"),N($G123),0))))</f>
        <v>0</v>
      </c>
      <c r="O123" s="30" t="n">
        <f aca="false">IF($C123="","",IF($E123="collected",N($G123),IF(AND(OR($E123="returned_to_brand",$E123="given_to_roster_office",$E123="released_to_office",$E123="disposed"),IF($F123="","reserve",$F123)="leftover"),-N($G123),IF(AND($E123="correction",IF($F123="","reserve",$F123)="leftover"),N($G123),0))))</f>
        <v>0</v>
      </c>
      <c r="P123" s="30" t="str">
        <f aca="false">IF(OR($E123&lt;&gt;"received",$I123="",$L123=""),"",IF($I123&gt;=$L123+config!$B$19,"Y","N"))</f>
        <v/>
      </c>
      <c r="Q123" s="30" t="str">
        <f aca="false">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30" t="str">
        <f aca="false">IF($C123="","",$C123&amp;"|"&amp;$D123&amp;"|"&amp;$E123)</f>
        <v>SAMPLE-CMP-008|SAMPLE-O-005|delivered</v>
      </c>
    </row>
    <row r="124" customFormat="false" ht="15" hidden="false" customHeight="false" outlineLevel="0" collapsed="false">
      <c r="A124" s="11" t="n">
        <v>46469</v>
      </c>
      <c r="B124" s="38" t="n">
        <v>0.427777777777778</v>
      </c>
      <c r="C124" s="10" t="s">
        <v>584</v>
      </c>
      <c r="D124" s="10" t="s">
        <v>690</v>
      </c>
      <c r="E124" s="10" t="s">
        <v>685</v>
      </c>
      <c r="G124" s="0" t="n">
        <v>45</v>
      </c>
      <c r="H124" s="10" t="s">
        <v>819</v>
      </c>
      <c r="I124" s="11" t="n">
        <v>46660</v>
      </c>
      <c r="J124" s="10" t="s">
        <v>820</v>
      </c>
      <c r="K124" s="10" t="s">
        <v>821</v>
      </c>
      <c r="L124" s="31" t="n">
        <f aca="false">IF($C124="","",IFERROR(IF(INDEX(campaigns!$BG$2:$BG$51,MATCH($C124,campaigns!$A$2:$A$51,0))="","",INDEX(campaigns!$BG$2:$BG$51,MATCH($C124,campaigns!$A$2:$A$51,0))),""))</f>
        <v>46469</v>
      </c>
      <c r="M124" s="30" t="n">
        <f aca="false">IF($C124="","",IF(OR($E124="received"),N($G124),IF(OR($E124="rejected",$E124="delivered",$E124="topped_up"),-N($G124),IF(AND(OR($E124="returned_to_brand",$E124="given_to_roster_office",$E124="released_to_office",$E124="disposed"),IF($F124="","reserve",$F124)="reserve"),-N($G124),IF(AND($E124="correction",IF($F124="","reserve",$F124)="reserve"),N($G124),0)))))</f>
        <v>45</v>
      </c>
      <c r="N124" s="30" t="n">
        <f aca="false">IF($C124="","",IF($E124="rejected",N($G124),IF(AND(OR($E124="returned_to_brand",$E124="given_to_roster_office",$E124="released_to_office",$E124="disposed"),IF($F124="","reserve",$F124)="rejected"),-N($G124),IF(AND($E124="correction",IF($F124="","reserve",$F124)="rejected"),N($G124),0))))</f>
        <v>0</v>
      </c>
      <c r="O124" s="30" t="n">
        <f aca="false">IF($C124="","",IF($E124="collected",N($G124),IF(AND(OR($E124="returned_to_brand",$E124="given_to_roster_office",$E124="released_to_office",$E124="disposed"),IF($F124="","reserve",$F124)="leftover"),-N($G124),IF(AND($E124="correction",IF($F124="","reserve",$F124)="leftover"),N($G124),0))))</f>
        <v>0</v>
      </c>
      <c r="P124" s="30" t="str">
        <f aca="false">IF(OR($E124&lt;&gt;"received",$I124="",$L124=""),"",IF($I124&gt;=$L124+config!$B$19,"Y","N"))</f>
        <v>Y</v>
      </c>
      <c r="Q124" s="30" t="str">
        <f aca="false">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30" t="str">
        <f aca="false">IF($C124="","",$C124&amp;"|"&amp;$D124&amp;"|"&amp;$E124)</f>
        <v>SAMPLE-CMP-008|SAMPLE-O-006|received</v>
      </c>
    </row>
    <row r="125" customFormat="false" ht="15" hidden="false" customHeight="false" outlineLevel="0" collapsed="false">
      <c r="A125" s="11" t="n">
        <v>46469</v>
      </c>
      <c r="B125" s="38" t="n">
        <v>0.427777777777778</v>
      </c>
      <c r="C125" s="10" t="s">
        <v>584</v>
      </c>
      <c r="D125" s="10" t="s">
        <v>690</v>
      </c>
      <c r="E125" s="10" t="s">
        <v>105</v>
      </c>
      <c r="G125" s="0" t="n">
        <v>45</v>
      </c>
      <c r="I125" s="11"/>
      <c r="J125" s="10" t="s">
        <v>820</v>
      </c>
      <c r="L125" s="31" t="n">
        <f aca="false">IF($C125="","",IFERROR(IF(INDEX(campaigns!$BG$2:$BG$51,MATCH($C125,campaigns!$A$2:$A$51,0))="","",INDEX(campaigns!$BG$2:$BG$51,MATCH($C125,campaigns!$A$2:$A$51,0))),""))</f>
        <v>46469</v>
      </c>
      <c r="M125" s="30" t="n">
        <f aca="false">IF($C125="","",IF(OR($E125="received"),N($G125),IF(OR($E125="rejected",$E125="delivered",$E125="topped_up"),-N($G125),IF(AND(OR($E125="returned_to_brand",$E125="given_to_roster_office",$E125="released_to_office",$E125="disposed"),IF($F125="","reserve",$F125)="reserve"),-N($G125),IF(AND($E125="correction",IF($F125="","reserve",$F125)="reserve"),N($G125),0)))))</f>
        <v>-45</v>
      </c>
      <c r="N125" s="30" t="n">
        <f aca="false">IF($C125="","",IF($E125="rejected",N($G125),IF(AND(OR($E125="returned_to_brand",$E125="given_to_roster_office",$E125="released_to_office",$E125="disposed"),IF($F125="","reserve",$F125)="rejected"),-N($G125),IF(AND($E125="correction",IF($F125="","reserve",$F125)="rejected"),N($G125),0))))</f>
        <v>0</v>
      </c>
      <c r="O125" s="30" t="n">
        <f aca="false">IF($C125="","",IF($E125="collected",N($G125),IF(AND(OR($E125="returned_to_brand",$E125="given_to_roster_office",$E125="released_to_office",$E125="disposed"),IF($F125="","reserve",$F125)="leftover"),-N($G125),IF(AND($E125="correction",IF($F125="","reserve",$F125)="leftover"),N($G125),0))))</f>
        <v>0</v>
      </c>
      <c r="P125" s="30" t="str">
        <f aca="false">IF(OR($E125&lt;&gt;"received",$I125="",$L125=""),"",IF($I125&gt;=$L125+config!$B$19,"Y","N"))</f>
        <v/>
      </c>
      <c r="Q125" s="30" t="str">
        <f aca="false">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30" t="str">
        <f aca="false">IF($C125="","",$C125&amp;"|"&amp;$D125&amp;"|"&amp;$E125)</f>
        <v>SAMPLE-CMP-008|SAMPLE-O-006|delivered</v>
      </c>
    </row>
    <row r="126" customFormat="false" ht="15" hidden="false" customHeight="false" outlineLevel="0" collapsed="false">
      <c r="A126" s="11" t="n">
        <v>46469</v>
      </c>
      <c r="B126" s="38" t="n">
        <v>0.428472222222222</v>
      </c>
      <c r="C126" s="10" t="s">
        <v>584</v>
      </c>
      <c r="D126" s="10" t="s">
        <v>692</v>
      </c>
      <c r="E126" s="10" t="s">
        <v>685</v>
      </c>
      <c r="G126" s="0" t="n">
        <v>60</v>
      </c>
      <c r="H126" s="10" t="s">
        <v>819</v>
      </c>
      <c r="I126" s="11" t="n">
        <v>46660</v>
      </c>
      <c r="J126" s="10" t="s">
        <v>820</v>
      </c>
      <c r="K126" s="10" t="s">
        <v>821</v>
      </c>
      <c r="L126" s="31" t="n">
        <f aca="false">IF($C126="","",IFERROR(IF(INDEX(campaigns!$BG$2:$BG$51,MATCH($C126,campaigns!$A$2:$A$51,0))="","",INDEX(campaigns!$BG$2:$BG$51,MATCH($C126,campaigns!$A$2:$A$51,0))),""))</f>
        <v>46469</v>
      </c>
      <c r="M126" s="30" t="n">
        <f aca="false">IF($C126="","",IF(OR($E126="received"),N($G126),IF(OR($E126="rejected",$E126="delivered",$E126="topped_up"),-N($G126),IF(AND(OR($E126="returned_to_brand",$E126="given_to_roster_office",$E126="released_to_office",$E126="disposed"),IF($F126="","reserve",$F126)="reserve"),-N($G126),IF(AND($E126="correction",IF($F126="","reserve",$F126)="reserve"),N($G126),0)))))</f>
        <v>60</v>
      </c>
      <c r="N126" s="30" t="n">
        <f aca="false">IF($C126="","",IF($E126="rejected",N($G126),IF(AND(OR($E126="returned_to_brand",$E126="given_to_roster_office",$E126="released_to_office",$E126="disposed"),IF($F126="","reserve",$F126)="rejected"),-N($G126),IF(AND($E126="correction",IF($F126="","reserve",$F126)="rejected"),N($G126),0))))</f>
        <v>0</v>
      </c>
      <c r="O126" s="30" t="n">
        <f aca="false">IF($C126="","",IF($E126="collected",N($G126),IF(AND(OR($E126="returned_to_brand",$E126="given_to_roster_office",$E126="released_to_office",$E126="disposed"),IF($F126="","reserve",$F126)="leftover"),-N($G126),IF(AND($E126="correction",IF($F126="","reserve",$F126)="leftover"),N($G126),0))))</f>
        <v>0</v>
      </c>
      <c r="P126" s="30" t="str">
        <f aca="false">IF(OR($E126&lt;&gt;"received",$I126="",$L126=""),"",IF($I126&gt;=$L126+config!$B$19,"Y","N"))</f>
        <v>Y</v>
      </c>
      <c r="Q126" s="30" t="str">
        <f aca="false">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30" t="str">
        <f aca="false">IF($C126="","",$C126&amp;"|"&amp;$D126&amp;"|"&amp;$E126)</f>
        <v>SAMPLE-CMP-008|SAMPLE-O-007|received</v>
      </c>
    </row>
    <row r="127" customFormat="false" ht="15" hidden="false" customHeight="false" outlineLevel="0" collapsed="false">
      <c r="A127" s="11" t="n">
        <v>46469</v>
      </c>
      <c r="B127" s="38" t="n">
        <v>0.428472222222222</v>
      </c>
      <c r="C127" s="10" t="s">
        <v>584</v>
      </c>
      <c r="D127" s="10" t="s">
        <v>692</v>
      </c>
      <c r="E127" s="10" t="s">
        <v>105</v>
      </c>
      <c r="G127" s="0" t="n">
        <v>60</v>
      </c>
      <c r="I127" s="11"/>
      <c r="J127" s="10" t="s">
        <v>820</v>
      </c>
      <c r="L127" s="31" t="n">
        <f aca="false">IF($C127="","",IFERROR(IF(INDEX(campaigns!$BG$2:$BG$51,MATCH($C127,campaigns!$A$2:$A$51,0))="","",INDEX(campaigns!$BG$2:$BG$51,MATCH($C127,campaigns!$A$2:$A$51,0))),""))</f>
        <v>46469</v>
      </c>
      <c r="M127" s="30" t="n">
        <f aca="false">IF($C127="","",IF(OR($E127="received"),N($G127),IF(OR($E127="rejected",$E127="delivered",$E127="topped_up"),-N($G127),IF(AND(OR($E127="returned_to_brand",$E127="given_to_roster_office",$E127="released_to_office",$E127="disposed"),IF($F127="","reserve",$F127)="reserve"),-N($G127),IF(AND($E127="correction",IF($F127="","reserve",$F127)="reserve"),N($G127),0)))))</f>
        <v>-60</v>
      </c>
      <c r="N127" s="30" t="n">
        <f aca="false">IF($C127="","",IF($E127="rejected",N($G127),IF(AND(OR($E127="returned_to_brand",$E127="given_to_roster_office",$E127="released_to_office",$E127="disposed"),IF($F127="","reserve",$F127)="rejected"),-N($G127),IF(AND($E127="correction",IF($F127="","reserve",$F127)="rejected"),N($G127),0))))</f>
        <v>0</v>
      </c>
      <c r="O127" s="30" t="n">
        <f aca="false">IF($C127="","",IF($E127="collected",N($G127),IF(AND(OR($E127="returned_to_brand",$E127="given_to_roster_office",$E127="released_to_office",$E127="disposed"),IF($F127="","reserve",$F127)="leftover"),-N($G127),IF(AND($E127="correction",IF($F127="","reserve",$F127)="leftover"),N($G127),0))))</f>
        <v>0</v>
      </c>
      <c r="P127" s="30" t="str">
        <f aca="false">IF(OR($E127&lt;&gt;"received",$I127="",$L127=""),"",IF($I127&gt;=$L127+config!$B$19,"Y","N"))</f>
        <v/>
      </c>
      <c r="Q127" s="30" t="str">
        <f aca="false">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30" t="str">
        <f aca="false">IF($C127="","",$C127&amp;"|"&amp;$D127&amp;"|"&amp;$E127)</f>
        <v>SAMPLE-CMP-008|SAMPLE-O-007|delivered</v>
      </c>
    </row>
    <row r="128" customFormat="false" ht="15" hidden="false" customHeight="false" outlineLevel="0" collapsed="false">
      <c r="A128" s="11" t="n">
        <v>46469</v>
      </c>
      <c r="B128" s="38" t="n">
        <v>0.438888888888889</v>
      </c>
      <c r="C128" s="10" t="s">
        <v>584</v>
      </c>
      <c r="D128" s="10" t="s">
        <v>696</v>
      </c>
      <c r="E128" s="10" t="s">
        <v>105</v>
      </c>
      <c r="G128" s="0" t="n">
        <v>75</v>
      </c>
      <c r="I128" s="11"/>
      <c r="J128" s="10" t="s">
        <v>792</v>
      </c>
      <c r="L128" s="31" t="n">
        <f aca="false">IF($C128="","",IFERROR(IF(INDEX(campaigns!$BG$2:$BG$51,MATCH($C128,campaigns!$A$2:$A$51,0))="","",INDEX(campaigns!$BG$2:$BG$51,MATCH($C128,campaigns!$A$2:$A$51,0))),""))</f>
        <v>46469</v>
      </c>
      <c r="M128" s="30" t="n">
        <f aca="false">IF($C128="","",IF(OR($E128="received"),N($G128),IF(OR($E128="rejected",$E128="delivered",$E128="topped_up"),-N($G128),IF(AND(OR($E128="returned_to_brand",$E128="given_to_roster_office",$E128="released_to_office",$E128="disposed"),IF($F128="","reserve",$F128)="reserve"),-N($G128),IF(AND($E128="correction",IF($F128="","reserve",$F128)="reserve"),N($G128),0)))))</f>
        <v>-75</v>
      </c>
      <c r="N128" s="30" t="n">
        <f aca="false">IF($C128="","",IF($E128="rejected",N($G128),IF(AND(OR($E128="returned_to_brand",$E128="given_to_roster_office",$E128="released_to_office",$E128="disposed"),IF($F128="","reserve",$F128)="rejected"),-N($G128),IF(AND($E128="correction",IF($F128="","reserve",$F128)="rejected"),N($G128),0))))</f>
        <v>0</v>
      </c>
      <c r="O128" s="30" t="n">
        <f aca="false">IF($C128="","",IF($E128="collected",N($G128),IF(AND(OR($E128="returned_to_brand",$E128="given_to_roster_office",$E128="released_to_office",$E128="disposed"),IF($F128="","reserve",$F128)="leftover"),-N($G128),IF(AND($E128="correction",IF($F128="","reserve",$F128)="leftover"),N($G128),0))))</f>
        <v>0</v>
      </c>
      <c r="P128" s="30" t="str">
        <f aca="false">IF(OR($E128&lt;&gt;"received",$I128="",$L128=""),"",IF($I128&gt;=$L128+config!$B$19,"Y","N"))</f>
        <v/>
      </c>
      <c r="Q128" s="30" t="str">
        <f aca="false">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30" t="str">
        <f aca="false">IF($C128="","",$C128&amp;"|"&amp;$D128&amp;"|"&amp;$E128)</f>
        <v>SAMPLE-CMP-008|SAMPLE-O-009|delivered</v>
      </c>
    </row>
    <row r="129" customFormat="false" ht="15" hidden="false" customHeight="false" outlineLevel="0" collapsed="false">
      <c r="A129" s="11" t="n">
        <v>46471</v>
      </c>
      <c r="B129" s="38" t="n">
        <v>0.541666666666667</v>
      </c>
      <c r="C129" s="10" t="s">
        <v>584</v>
      </c>
      <c r="D129" s="10" t="s">
        <v>696</v>
      </c>
      <c r="E129" s="10" t="s">
        <v>800</v>
      </c>
      <c r="G129" s="0" t="n">
        <v>6</v>
      </c>
      <c r="I129" s="11"/>
      <c r="J129" s="10" t="s">
        <v>792</v>
      </c>
      <c r="L129" s="31" t="n">
        <f aca="false">IF($C129="","",IFERROR(IF(INDEX(campaigns!$BG$2:$BG$51,MATCH($C129,campaigns!$A$2:$A$51,0))="","",INDEX(campaigns!$BG$2:$BG$51,MATCH($C129,campaigns!$A$2:$A$51,0))),""))</f>
        <v>46469</v>
      </c>
      <c r="M129" s="30" t="n">
        <f aca="false">IF($C129="","",IF(OR($E129="received"),N($G129),IF(OR($E129="rejected",$E129="delivered",$E129="topped_up"),-N($G129),IF(AND(OR($E129="returned_to_brand",$E129="given_to_roster_office",$E129="released_to_office",$E129="disposed"),IF($F129="","reserve",$F129)="reserve"),-N($G129),IF(AND($E129="correction",IF($F129="","reserve",$F129)="reserve"),N($G129),0)))))</f>
        <v>-6</v>
      </c>
      <c r="N129" s="30" t="n">
        <f aca="false">IF($C129="","",IF($E129="rejected",N($G129),IF(AND(OR($E129="returned_to_brand",$E129="given_to_roster_office",$E129="released_to_office",$E129="disposed"),IF($F129="","reserve",$F129)="rejected"),-N($G129),IF(AND($E129="correction",IF($F129="","reserve",$F129)="rejected"),N($G129),0))))</f>
        <v>0</v>
      </c>
      <c r="O129" s="30" t="n">
        <f aca="false">IF($C129="","",IF($E129="collected",N($G129),IF(AND(OR($E129="returned_to_brand",$E129="given_to_roster_office",$E129="released_to_office",$E129="disposed"),IF($F129="","reserve",$F129)="leftover"),-N($G129),IF(AND($E129="correction",IF($F129="","reserve",$F129)="leftover"),N($G129),0))))</f>
        <v>0</v>
      </c>
      <c r="P129" s="30" t="str">
        <f aca="false">IF(OR($E129&lt;&gt;"received",$I129="",$L129=""),"",IF($I129&gt;=$L129+config!$B$19,"Y","N"))</f>
        <v/>
      </c>
      <c r="Q129" s="30" t="str">
        <f aca="false">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30" t="str">
        <f aca="false">IF($C129="","",$C129&amp;"|"&amp;$D129&amp;"|"&amp;$E129)</f>
        <v>SAMPLE-CMP-008|SAMPLE-O-009|topped_up</v>
      </c>
    </row>
    <row r="130" customFormat="false" ht="15" hidden="false" customHeight="false" outlineLevel="0" collapsed="false">
      <c r="A130" s="11" t="n">
        <v>46469</v>
      </c>
      <c r="B130" s="38" t="n">
        <v>0.430555555555556</v>
      </c>
      <c r="C130" s="10" t="s">
        <v>584</v>
      </c>
      <c r="D130" s="10" t="s">
        <v>698</v>
      </c>
      <c r="E130" s="10" t="s">
        <v>685</v>
      </c>
      <c r="G130" s="0" t="n">
        <v>40</v>
      </c>
      <c r="H130" s="10" t="s">
        <v>819</v>
      </c>
      <c r="I130" s="11" t="n">
        <v>46660</v>
      </c>
      <c r="J130" s="10" t="s">
        <v>820</v>
      </c>
      <c r="K130" s="10" t="s">
        <v>821</v>
      </c>
      <c r="L130" s="31" t="n">
        <f aca="false">IF($C130="","",IFERROR(IF(INDEX(campaigns!$BG$2:$BG$51,MATCH($C130,campaigns!$A$2:$A$51,0))="","",INDEX(campaigns!$BG$2:$BG$51,MATCH($C130,campaigns!$A$2:$A$51,0))),""))</f>
        <v>46469</v>
      </c>
      <c r="M130" s="30" t="n">
        <f aca="false">IF($C130="","",IF(OR($E130="received"),N($G130),IF(OR($E130="rejected",$E130="delivered",$E130="topped_up"),-N($G130),IF(AND(OR($E130="returned_to_brand",$E130="given_to_roster_office",$E130="released_to_office",$E130="disposed"),IF($F130="","reserve",$F130)="reserve"),-N($G130),IF(AND($E130="correction",IF($F130="","reserve",$F130)="reserve"),N($G130),0)))))</f>
        <v>40</v>
      </c>
      <c r="N130" s="30" t="n">
        <f aca="false">IF($C130="","",IF($E130="rejected",N($G130),IF(AND(OR($E130="returned_to_brand",$E130="given_to_roster_office",$E130="released_to_office",$E130="disposed"),IF($F130="","reserve",$F130)="rejected"),-N($G130),IF(AND($E130="correction",IF($F130="","reserve",$F130)="rejected"),N($G130),0))))</f>
        <v>0</v>
      </c>
      <c r="O130" s="30" t="n">
        <f aca="false">IF($C130="","",IF($E130="collected",N($G130),IF(AND(OR($E130="returned_to_brand",$E130="given_to_roster_office",$E130="released_to_office",$E130="disposed"),IF($F130="","reserve",$F130)="leftover"),-N($G130),IF(AND($E130="correction",IF($F130="","reserve",$F130)="leftover"),N($G130),0))))</f>
        <v>0</v>
      </c>
      <c r="P130" s="30" t="str">
        <f aca="false">IF(OR($E130&lt;&gt;"received",$I130="",$L130=""),"",IF($I130&gt;=$L130+config!$B$19,"Y","N"))</f>
        <v>Y</v>
      </c>
      <c r="Q130" s="30" t="str">
        <f aca="false">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30" t="str">
        <f aca="false">IF($C130="","",$C130&amp;"|"&amp;$D130&amp;"|"&amp;$E130)</f>
        <v>SAMPLE-CMP-008|SAMPLE-O-010|received</v>
      </c>
    </row>
    <row r="131" customFormat="false" ht="15" hidden="false" customHeight="false" outlineLevel="0" collapsed="false">
      <c r="A131" s="11" t="n">
        <v>46469</v>
      </c>
      <c r="B131" s="38" t="n">
        <v>0.430555555555556</v>
      </c>
      <c r="C131" s="10" t="s">
        <v>584</v>
      </c>
      <c r="D131" s="10" t="s">
        <v>698</v>
      </c>
      <c r="E131" s="10" t="s">
        <v>105</v>
      </c>
      <c r="G131" s="0" t="n">
        <v>40</v>
      </c>
      <c r="I131" s="11"/>
      <c r="J131" s="10" t="s">
        <v>820</v>
      </c>
      <c r="L131" s="31" t="n">
        <f aca="false">IF($C131="","",IFERROR(IF(INDEX(campaigns!$BG$2:$BG$51,MATCH($C131,campaigns!$A$2:$A$51,0))="","",INDEX(campaigns!$BG$2:$BG$51,MATCH($C131,campaigns!$A$2:$A$51,0))),""))</f>
        <v>46469</v>
      </c>
      <c r="M131" s="30" t="n">
        <f aca="false">IF($C131="","",IF(OR($E131="received"),N($G131),IF(OR($E131="rejected",$E131="delivered",$E131="topped_up"),-N($G131),IF(AND(OR($E131="returned_to_brand",$E131="given_to_roster_office",$E131="released_to_office",$E131="disposed"),IF($F131="","reserve",$F131)="reserve"),-N($G131),IF(AND($E131="correction",IF($F131="","reserve",$F131)="reserve"),N($G131),0)))))</f>
        <v>-40</v>
      </c>
      <c r="N131" s="30" t="n">
        <f aca="false">IF($C131="","",IF($E131="rejected",N($G131),IF(AND(OR($E131="returned_to_brand",$E131="given_to_roster_office",$E131="released_to_office",$E131="disposed"),IF($F131="","reserve",$F131)="rejected"),-N($G131),IF(AND($E131="correction",IF($F131="","reserve",$F131)="rejected"),N($G131),0))))</f>
        <v>0</v>
      </c>
      <c r="O131" s="30" t="n">
        <f aca="false">IF($C131="","",IF($E131="collected",N($G131),IF(AND(OR($E131="returned_to_brand",$E131="given_to_roster_office",$E131="released_to_office",$E131="disposed"),IF($F131="","reserve",$F131)="leftover"),-N($G131),IF(AND($E131="correction",IF($F131="","reserve",$F131)="leftover"),N($G131),0))))</f>
        <v>0</v>
      </c>
      <c r="P131" s="30" t="str">
        <f aca="false">IF(OR($E131&lt;&gt;"received",$I131="",$L131=""),"",IF($I131&gt;=$L131+config!$B$19,"Y","N"))</f>
        <v/>
      </c>
      <c r="Q131" s="30" t="str">
        <f aca="false">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30" t="str">
        <f aca="false">IF($C131="","",$C131&amp;"|"&amp;$D131&amp;"|"&amp;$E131)</f>
        <v>SAMPLE-CMP-008|SAMPLE-O-010|delivered</v>
      </c>
    </row>
    <row r="132" customFormat="false" ht="15" hidden="false" customHeight="false" outlineLevel="0" collapsed="false">
      <c r="A132" s="11" t="n">
        <v>46475</v>
      </c>
      <c r="B132" s="38" t="n">
        <v>0.708333333333333</v>
      </c>
      <c r="C132" s="10" t="s">
        <v>576</v>
      </c>
      <c r="D132" s="10" t="s">
        <v>688</v>
      </c>
      <c r="E132" s="10" t="s">
        <v>801</v>
      </c>
      <c r="F132" s="0" t="s">
        <v>802</v>
      </c>
      <c r="G132" s="0" t="n">
        <v>32</v>
      </c>
      <c r="I132" s="11"/>
      <c r="J132" s="10" t="s">
        <v>792</v>
      </c>
      <c r="K132" s="10" t="s">
        <v>815</v>
      </c>
      <c r="L132" s="31" t="n">
        <f aca="false">IF($C132="","",IFERROR(IF(INDEX(campaigns!$BG$2:$BG$51,MATCH($C132,campaigns!$A$2:$A$51,0))="","",INDEX(campaigns!$BG$2:$BG$51,MATCH($C132,campaigns!$A$2:$A$51,0))),""))</f>
        <v>46469</v>
      </c>
      <c r="M132" s="30" t="n">
        <f aca="false">IF($C132="","",IF(OR($E132="received"),N($G132),IF(OR($E132="rejected",$E132="delivered",$E132="topped_up"),-N($G132),IF(AND(OR($E132="returned_to_brand",$E132="given_to_roster_office",$E132="released_to_office",$E132="disposed"),IF($F132="","reserve",$F132)="reserve"),-N($G132),IF(AND($E132="correction",IF($F132="","reserve",$F132)="reserve"),N($G132),0)))))</f>
        <v>-32</v>
      </c>
      <c r="N132" s="30" t="n">
        <f aca="false">IF($C132="","",IF($E132="rejected",N($G132),IF(AND(OR($E132="returned_to_brand",$E132="given_to_roster_office",$E132="released_to_office",$E132="disposed"),IF($F132="","reserve",$F132)="rejected"),-N($G132),IF(AND($E132="correction",IF($F132="","reserve",$F132)="rejected"),N($G132),0))))</f>
        <v>0</v>
      </c>
      <c r="O132" s="30" t="n">
        <f aca="false">IF($C132="","",IF($E132="collected",N($G132),IF(AND(OR($E132="returned_to_brand",$E132="given_to_roster_office",$E132="released_to_office",$E132="disposed"),IF($F132="","reserve",$F132)="leftover"),-N($G132),IF(AND($E132="correction",IF($F132="","reserve",$F132)="leftover"),N($G132),0))))</f>
        <v>0</v>
      </c>
      <c r="P132" s="30" t="str">
        <f aca="false">IF(OR($E132&lt;&gt;"received",$I132="",$L132=""),"",IF($I132&gt;=$L132+config!$B$19,"Y","N"))</f>
        <v/>
      </c>
      <c r="Q132" s="30" t="str">
        <f aca="false">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30" t="str">
        <f aca="false">IF($C132="","",$C132&amp;"|"&amp;$D132&amp;"|"&amp;$E132)</f>
        <v>SAMPLE-CMP-007|SAMPLE-O-005|released_to_office</v>
      </c>
    </row>
    <row r="133" customFormat="false" ht="15" hidden="false" customHeight="false" outlineLevel="0" collapsed="false">
      <c r="A133" s="11" t="n">
        <v>46475</v>
      </c>
      <c r="B133" s="38" t="n">
        <v>0.708333333333333</v>
      </c>
      <c r="C133" s="10" t="s">
        <v>584</v>
      </c>
      <c r="D133" s="10" t="s">
        <v>688</v>
      </c>
      <c r="E133" s="10" t="s">
        <v>801</v>
      </c>
      <c r="F133" s="0" t="s">
        <v>802</v>
      </c>
      <c r="G133" s="0" t="n">
        <v>46</v>
      </c>
      <c r="I133" s="11"/>
      <c r="J133" s="10" t="s">
        <v>792</v>
      </c>
      <c r="K133" s="10" t="s">
        <v>815</v>
      </c>
      <c r="L133" s="31" t="n">
        <f aca="false">IF($C133="","",IFERROR(IF(INDEX(campaigns!$BG$2:$BG$51,MATCH($C133,campaigns!$A$2:$A$51,0))="","",INDEX(campaigns!$BG$2:$BG$51,MATCH($C133,campaigns!$A$2:$A$51,0))),""))</f>
        <v>46469</v>
      </c>
      <c r="M133" s="30" t="n">
        <f aca="false">IF($C133="","",IF(OR($E133="received"),N($G133),IF(OR($E133="rejected",$E133="delivered",$E133="topped_up"),-N($G133),IF(AND(OR($E133="returned_to_brand",$E133="given_to_roster_office",$E133="released_to_office",$E133="disposed"),IF($F133="","reserve",$F133)="reserve"),-N($G133),IF(AND($E133="correction",IF($F133="","reserve",$F133)="reserve"),N($G133),0)))))</f>
        <v>-46</v>
      </c>
      <c r="N133" s="30" t="n">
        <f aca="false">IF($C133="","",IF($E133="rejected",N($G133),IF(AND(OR($E133="returned_to_brand",$E133="given_to_roster_office",$E133="released_to_office",$E133="disposed"),IF($F133="","reserve",$F133)="rejected"),-N($G133),IF(AND($E133="correction",IF($F133="","reserve",$F133)="rejected"),N($G133),0))))</f>
        <v>0</v>
      </c>
      <c r="O133" s="30" t="n">
        <f aca="false">IF($C133="","",IF($E133="collected",N($G133),IF(AND(OR($E133="returned_to_brand",$E133="given_to_roster_office",$E133="released_to_office",$E133="disposed"),IF($F133="","reserve",$F133)="leftover"),-N($G133),IF(AND($E133="correction",IF($F133="","reserve",$F133)="leftover"),N($G133),0))))</f>
        <v>0</v>
      </c>
      <c r="P133" s="30" t="str">
        <f aca="false">IF(OR($E133&lt;&gt;"received",$I133="",$L133=""),"",IF($I133&gt;=$L133+config!$B$19,"Y","N"))</f>
        <v/>
      </c>
      <c r="Q133" s="30" t="str">
        <f aca="false">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30" t="str">
        <f aca="false">IF($C133="","",$C133&amp;"|"&amp;$D133&amp;"|"&amp;$E133)</f>
        <v>SAMPLE-CMP-008|SAMPLE-O-005|released_to_office</v>
      </c>
    </row>
    <row r="134" customFormat="false" ht="15" hidden="false" customHeight="false" outlineLevel="0" collapsed="false">
      <c r="A134" s="11"/>
      <c r="B134" s="38"/>
      <c r="E134" s="10"/>
      <c r="I134" s="11"/>
      <c r="J134" s="10"/>
      <c r="L134" s="31" t="str">
        <f aca="false">IF($C134="","",IFERROR(IF(INDEX(campaigns!$BG$2:$BG$51,MATCH($C134,campaigns!$A$2:$A$51,0))="","",INDEX(campaigns!$BG$2:$BG$51,MATCH($C134,campaigns!$A$2:$A$51,0))),""))</f>
        <v/>
      </c>
      <c r="M134" s="30" t="str">
        <f aca="false">IF($C134="","",IF(OR($E134="received"),N($G134),IF(OR($E134="rejected",$E134="delivered",$E134="topped_up"),-N($G134),IF(AND(OR($E134="returned_to_brand",$E134="given_to_roster_office",$E134="released_to_office",$E134="disposed"),IF($F134="","reserve",$F134)="reserve"),-N($G134),IF(AND($E134="correction",IF($F134="","reserve",$F134)="reserve"),N($G134),0)))))</f>
        <v/>
      </c>
      <c r="N134" s="30" t="str">
        <f aca="false">IF($C134="","",IF($E134="rejected",N($G134),IF(AND(OR($E134="returned_to_brand",$E134="given_to_roster_office",$E134="released_to_office",$E134="disposed"),IF($F134="","reserve",$F134)="rejected"),-N($G134),IF(AND($E134="correction",IF($F134="","reserve",$F134)="rejected"),N($G134),0))))</f>
        <v/>
      </c>
      <c r="O134" s="30" t="str">
        <f aca="false">IF($C134="","",IF($E134="collected",N($G134),IF(AND(OR($E134="returned_to_brand",$E134="given_to_roster_office",$E134="released_to_office",$E134="disposed"),IF($F134="","reserve",$F134)="leftover"),-N($G134),IF(AND($E134="correction",IF($F134="","reserve",$F134)="leftover"),N($G134),0))))</f>
        <v/>
      </c>
      <c r="P134" s="30" t="str">
        <f aca="false">IF(OR($E134&lt;&gt;"received",$I134="",$L134=""),"",IF($I134&gt;=$L134+config!$B$19,"Y","N"))</f>
        <v/>
      </c>
      <c r="Q134" s="30" t="str">
        <f aca="false">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30" t="str">
        <f aca="false">IF($C134="","",$C134&amp;"|"&amp;$D134&amp;"|"&amp;$E134)</f>
        <v/>
      </c>
    </row>
    <row r="135" customFormat="false" ht="15" hidden="false" customHeight="false" outlineLevel="0" collapsed="false">
      <c r="A135" s="11"/>
      <c r="B135" s="38"/>
      <c r="E135" s="10"/>
      <c r="I135" s="11"/>
      <c r="J135" s="10"/>
      <c r="L135" s="31" t="str">
        <f aca="false">IF($C135="","",IFERROR(IF(INDEX(campaigns!$BG$2:$BG$51,MATCH($C135,campaigns!$A$2:$A$51,0))="","",INDEX(campaigns!$BG$2:$BG$51,MATCH($C135,campaigns!$A$2:$A$51,0))),""))</f>
        <v/>
      </c>
      <c r="M135" s="30" t="str">
        <f aca="false">IF($C135="","",IF(OR($E135="received"),N($G135),IF(OR($E135="rejected",$E135="delivered",$E135="topped_up"),-N($G135),IF(AND(OR($E135="returned_to_brand",$E135="given_to_roster_office",$E135="released_to_office",$E135="disposed"),IF($F135="","reserve",$F135)="reserve"),-N($G135),IF(AND($E135="correction",IF($F135="","reserve",$F135)="reserve"),N($G135),0)))))</f>
        <v/>
      </c>
      <c r="N135" s="30" t="str">
        <f aca="false">IF($C135="","",IF($E135="rejected",N($G135),IF(AND(OR($E135="returned_to_brand",$E135="given_to_roster_office",$E135="released_to_office",$E135="disposed"),IF($F135="","reserve",$F135)="rejected"),-N($G135),IF(AND($E135="correction",IF($F135="","reserve",$F135)="rejected"),N($G135),0))))</f>
        <v/>
      </c>
      <c r="O135" s="30" t="str">
        <f aca="false">IF($C135="","",IF($E135="collected",N($G135),IF(AND(OR($E135="returned_to_brand",$E135="given_to_roster_office",$E135="released_to_office",$E135="disposed"),IF($F135="","reserve",$F135)="leftover"),-N($G135),IF(AND($E135="correction",IF($F135="","reserve",$F135)="leftover"),N($G135),0))))</f>
        <v/>
      </c>
      <c r="P135" s="30" t="str">
        <f aca="false">IF(OR($E135&lt;&gt;"received",$I135="",$L135=""),"",IF($I135&gt;=$L135+config!$B$19,"Y","N"))</f>
        <v/>
      </c>
      <c r="Q135" s="30" t="str">
        <f aca="false">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30" t="str">
        <f aca="false">IF($C135="","",$C135&amp;"|"&amp;$D135&amp;"|"&amp;$E135)</f>
        <v/>
      </c>
    </row>
    <row r="136" customFormat="false" ht="15" hidden="false" customHeight="false" outlineLevel="0" collapsed="false">
      <c r="A136" s="11"/>
      <c r="B136" s="38"/>
      <c r="E136" s="10"/>
      <c r="I136" s="11"/>
      <c r="J136" s="10"/>
      <c r="L136" s="31" t="str">
        <f aca="false">IF($C136="","",IFERROR(IF(INDEX(campaigns!$BG$2:$BG$51,MATCH($C136,campaigns!$A$2:$A$51,0))="","",INDEX(campaigns!$BG$2:$BG$51,MATCH($C136,campaigns!$A$2:$A$51,0))),""))</f>
        <v/>
      </c>
      <c r="M136" s="30" t="str">
        <f aca="false">IF($C136="","",IF(OR($E136="received"),N($G136),IF(OR($E136="rejected",$E136="delivered",$E136="topped_up"),-N($G136),IF(AND(OR($E136="returned_to_brand",$E136="given_to_roster_office",$E136="released_to_office",$E136="disposed"),IF($F136="","reserve",$F136)="reserve"),-N($G136),IF(AND($E136="correction",IF($F136="","reserve",$F136)="reserve"),N($G136),0)))))</f>
        <v/>
      </c>
      <c r="N136" s="30" t="str">
        <f aca="false">IF($C136="","",IF($E136="rejected",N($G136),IF(AND(OR($E136="returned_to_brand",$E136="given_to_roster_office",$E136="released_to_office",$E136="disposed"),IF($F136="","reserve",$F136)="rejected"),-N($G136),IF(AND($E136="correction",IF($F136="","reserve",$F136)="rejected"),N($G136),0))))</f>
        <v/>
      </c>
      <c r="O136" s="30" t="str">
        <f aca="false">IF($C136="","",IF($E136="collected",N($G136),IF(AND(OR($E136="returned_to_brand",$E136="given_to_roster_office",$E136="released_to_office",$E136="disposed"),IF($F136="","reserve",$F136)="leftover"),-N($G136),IF(AND($E136="correction",IF($F136="","reserve",$F136)="leftover"),N($G136),0))))</f>
        <v/>
      </c>
      <c r="P136" s="30" t="str">
        <f aca="false">IF(OR($E136&lt;&gt;"received",$I136="",$L136=""),"",IF($I136&gt;=$L136+config!$B$19,"Y","N"))</f>
        <v/>
      </c>
      <c r="Q136" s="30" t="str">
        <f aca="false">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30" t="str">
        <f aca="false">IF($C136="","",$C136&amp;"|"&amp;$D136&amp;"|"&amp;$E136)</f>
        <v/>
      </c>
    </row>
    <row r="137" customFormat="false" ht="15" hidden="false" customHeight="false" outlineLevel="0" collapsed="false">
      <c r="A137" s="11"/>
      <c r="B137" s="38"/>
      <c r="E137" s="10"/>
      <c r="I137" s="11"/>
      <c r="J137" s="10"/>
      <c r="L137" s="31" t="str">
        <f aca="false">IF($C137="","",IFERROR(IF(INDEX(campaigns!$BG$2:$BG$51,MATCH($C137,campaigns!$A$2:$A$51,0))="","",INDEX(campaigns!$BG$2:$BG$51,MATCH($C137,campaigns!$A$2:$A$51,0))),""))</f>
        <v/>
      </c>
      <c r="M137" s="30" t="str">
        <f aca="false">IF($C137="","",IF(OR($E137="received"),N($G137),IF(OR($E137="rejected",$E137="delivered",$E137="topped_up"),-N($G137),IF(AND(OR($E137="returned_to_brand",$E137="given_to_roster_office",$E137="released_to_office",$E137="disposed"),IF($F137="","reserve",$F137)="reserve"),-N($G137),IF(AND($E137="correction",IF($F137="","reserve",$F137)="reserve"),N($G137),0)))))</f>
        <v/>
      </c>
      <c r="N137" s="30" t="str">
        <f aca="false">IF($C137="","",IF($E137="rejected",N($G137),IF(AND(OR($E137="returned_to_brand",$E137="given_to_roster_office",$E137="released_to_office",$E137="disposed"),IF($F137="","reserve",$F137)="rejected"),-N($G137),IF(AND($E137="correction",IF($F137="","reserve",$F137)="rejected"),N($G137),0))))</f>
        <v/>
      </c>
      <c r="O137" s="30" t="str">
        <f aca="false">IF($C137="","",IF($E137="collected",N($G137),IF(AND(OR($E137="returned_to_brand",$E137="given_to_roster_office",$E137="released_to_office",$E137="disposed"),IF($F137="","reserve",$F137)="leftover"),-N($G137),IF(AND($E137="correction",IF($F137="","reserve",$F137)="leftover"),N($G137),0))))</f>
        <v/>
      </c>
      <c r="P137" s="30" t="str">
        <f aca="false">IF(OR($E137&lt;&gt;"received",$I137="",$L137=""),"",IF($I137&gt;=$L137+config!$B$19,"Y","N"))</f>
        <v/>
      </c>
      <c r="Q137" s="30" t="str">
        <f aca="false">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30" t="str">
        <f aca="false">IF($C137="","",$C137&amp;"|"&amp;$D137&amp;"|"&amp;$E137)</f>
        <v/>
      </c>
    </row>
    <row r="138" customFormat="false" ht="15" hidden="false" customHeight="false" outlineLevel="0" collapsed="false">
      <c r="A138" s="11"/>
      <c r="B138" s="38"/>
      <c r="E138" s="10"/>
      <c r="I138" s="11"/>
      <c r="J138" s="10"/>
      <c r="L138" s="31" t="str">
        <f aca="false">IF($C138="","",IFERROR(IF(INDEX(campaigns!$BG$2:$BG$51,MATCH($C138,campaigns!$A$2:$A$51,0))="","",INDEX(campaigns!$BG$2:$BG$51,MATCH($C138,campaigns!$A$2:$A$51,0))),""))</f>
        <v/>
      </c>
      <c r="M138" s="30" t="str">
        <f aca="false">IF($C138="","",IF(OR($E138="received"),N($G138),IF(OR($E138="rejected",$E138="delivered",$E138="topped_up"),-N($G138),IF(AND(OR($E138="returned_to_brand",$E138="given_to_roster_office",$E138="released_to_office",$E138="disposed"),IF($F138="","reserve",$F138)="reserve"),-N($G138),IF(AND($E138="correction",IF($F138="","reserve",$F138)="reserve"),N($G138),0)))))</f>
        <v/>
      </c>
      <c r="N138" s="30" t="str">
        <f aca="false">IF($C138="","",IF($E138="rejected",N($G138),IF(AND(OR($E138="returned_to_brand",$E138="given_to_roster_office",$E138="released_to_office",$E138="disposed"),IF($F138="","reserve",$F138)="rejected"),-N($G138),IF(AND($E138="correction",IF($F138="","reserve",$F138)="rejected"),N($G138),0))))</f>
        <v/>
      </c>
      <c r="O138" s="30" t="str">
        <f aca="false">IF($C138="","",IF($E138="collected",N($G138),IF(AND(OR($E138="returned_to_brand",$E138="given_to_roster_office",$E138="released_to_office",$E138="disposed"),IF($F138="","reserve",$F138)="leftover"),-N($G138),IF(AND($E138="correction",IF($F138="","reserve",$F138)="leftover"),N($G138),0))))</f>
        <v/>
      </c>
      <c r="P138" s="30" t="str">
        <f aca="false">IF(OR($E138&lt;&gt;"received",$I138="",$L138=""),"",IF($I138&gt;=$L138+config!$B$19,"Y","N"))</f>
        <v/>
      </c>
      <c r="Q138" s="30" t="str">
        <f aca="false">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30" t="str">
        <f aca="false">IF($C138="","",$C138&amp;"|"&amp;$D138&amp;"|"&amp;$E138)</f>
        <v/>
      </c>
    </row>
    <row r="139" customFormat="false" ht="15" hidden="false" customHeight="false" outlineLevel="0" collapsed="false">
      <c r="A139" s="11"/>
      <c r="B139" s="38"/>
      <c r="E139" s="10"/>
      <c r="I139" s="11"/>
      <c r="J139" s="10"/>
      <c r="L139" s="31" t="str">
        <f aca="false">IF($C139="","",IFERROR(IF(INDEX(campaigns!$BG$2:$BG$51,MATCH($C139,campaigns!$A$2:$A$51,0))="","",INDEX(campaigns!$BG$2:$BG$51,MATCH($C139,campaigns!$A$2:$A$51,0))),""))</f>
        <v/>
      </c>
      <c r="M139" s="30" t="str">
        <f aca="false">IF($C139="","",IF(OR($E139="received"),N($G139),IF(OR($E139="rejected",$E139="delivered",$E139="topped_up"),-N($G139),IF(AND(OR($E139="returned_to_brand",$E139="given_to_roster_office",$E139="released_to_office",$E139="disposed"),IF($F139="","reserve",$F139)="reserve"),-N($G139),IF(AND($E139="correction",IF($F139="","reserve",$F139)="reserve"),N($G139),0)))))</f>
        <v/>
      </c>
      <c r="N139" s="30" t="str">
        <f aca="false">IF($C139="","",IF($E139="rejected",N($G139),IF(AND(OR($E139="returned_to_brand",$E139="given_to_roster_office",$E139="released_to_office",$E139="disposed"),IF($F139="","reserve",$F139)="rejected"),-N($G139),IF(AND($E139="correction",IF($F139="","reserve",$F139)="rejected"),N($G139),0))))</f>
        <v/>
      </c>
      <c r="O139" s="30" t="str">
        <f aca="false">IF($C139="","",IF($E139="collected",N($G139),IF(AND(OR($E139="returned_to_brand",$E139="given_to_roster_office",$E139="released_to_office",$E139="disposed"),IF($F139="","reserve",$F139)="leftover"),-N($G139),IF(AND($E139="correction",IF($F139="","reserve",$F139)="leftover"),N($G139),0))))</f>
        <v/>
      </c>
      <c r="P139" s="30" t="str">
        <f aca="false">IF(OR($E139&lt;&gt;"received",$I139="",$L139=""),"",IF($I139&gt;=$L139+config!$B$19,"Y","N"))</f>
        <v/>
      </c>
      <c r="Q139" s="30" t="str">
        <f aca="false">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30" t="str">
        <f aca="false">IF($C139="","",$C139&amp;"|"&amp;$D139&amp;"|"&amp;$E139)</f>
        <v/>
      </c>
    </row>
    <row r="140" customFormat="false" ht="15" hidden="false" customHeight="false" outlineLevel="0" collapsed="false">
      <c r="A140" s="11"/>
      <c r="B140" s="38"/>
      <c r="E140" s="10"/>
      <c r="I140" s="11"/>
      <c r="J140" s="10"/>
      <c r="L140" s="31" t="str">
        <f aca="false">IF($C140="","",IFERROR(IF(INDEX(campaigns!$BG$2:$BG$51,MATCH($C140,campaigns!$A$2:$A$51,0))="","",INDEX(campaigns!$BG$2:$BG$51,MATCH($C140,campaigns!$A$2:$A$51,0))),""))</f>
        <v/>
      </c>
      <c r="M140" s="30" t="str">
        <f aca="false">IF($C140="","",IF(OR($E140="received"),N($G140),IF(OR($E140="rejected",$E140="delivered",$E140="topped_up"),-N($G140),IF(AND(OR($E140="returned_to_brand",$E140="given_to_roster_office",$E140="released_to_office",$E140="disposed"),IF($F140="","reserve",$F140)="reserve"),-N($G140),IF(AND($E140="correction",IF($F140="","reserve",$F140)="reserve"),N($G140),0)))))</f>
        <v/>
      </c>
      <c r="N140" s="30" t="str">
        <f aca="false">IF($C140="","",IF($E140="rejected",N($G140),IF(AND(OR($E140="returned_to_brand",$E140="given_to_roster_office",$E140="released_to_office",$E140="disposed"),IF($F140="","reserve",$F140)="rejected"),-N($G140),IF(AND($E140="correction",IF($F140="","reserve",$F140)="rejected"),N($G140),0))))</f>
        <v/>
      </c>
      <c r="O140" s="30" t="str">
        <f aca="false">IF($C140="","",IF($E140="collected",N($G140),IF(AND(OR($E140="returned_to_brand",$E140="given_to_roster_office",$E140="released_to_office",$E140="disposed"),IF($F140="","reserve",$F140)="leftover"),-N($G140),IF(AND($E140="correction",IF($F140="","reserve",$F140)="leftover"),N($G140),0))))</f>
        <v/>
      </c>
      <c r="P140" s="30" t="str">
        <f aca="false">IF(OR($E140&lt;&gt;"received",$I140="",$L140=""),"",IF($I140&gt;=$L140+config!$B$19,"Y","N"))</f>
        <v/>
      </c>
      <c r="Q140" s="30" t="str">
        <f aca="false">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30" t="str">
        <f aca="false">IF($C140="","",$C140&amp;"|"&amp;$D140&amp;"|"&amp;$E140)</f>
        <v/>
      </c>
    </row>
    <row r="141" customFormat="false" ht="15" hidden="false" customHeight="false" outlineLevel="0" collapsed="false">
      <c r="A141" s="11"/>
      <c r="B141" s="38"/>
      <c r="E141" s="10"/>
      <c r="I141" s="11"/>
      <c r="J141" s="10"/>
      <c r="L141" s="31" t="str">
        <f aca="false">IF($C141="","",IFERROR(IF(INDEX(campaigns!$BG$2:$BG$51,MATCH($C141,campaigns!$A$2:$A$51,0))="","",INDEX(campaigns!$BG$2:$BG$51,MATCH($C141,campaigns!$A$2:$A$51,0))),""))</f>
        <v/>
      </c>
      <c r="M141" s="30" t="str">
        <f aca="false">IF($C141="","",IF(OR($E141="received"),N($G141),IF(OR($E141="rejected",$E141="delivered",$E141="topped_up"),-N($G141),IF(AND(OR($E141="returned_to_brand",$E141="given_to_roster_office",$E141="released_to_office",$E141="disposed"),IF($F141="","reserve",$F141)="reserve"),-N($G141),IF(AND($E141="correction",IF($F141="","reserve",$F141)="reserve"),N($G141),0)))))</f>
        <v/>
      </c>
      <c r="N141" s="30" t="str">
        <f aca="false">IF($C141="","",IF($E141="rejected",N($G141),IF(AND(OR($E141="returned_to_brand",$E141="given_to_roster_office",$E141="released_to_office",$E141="disposed"),IF($F141="","reserve",$F141)="rejected"),-N($G141),IF(AND($E141="correction",IF($F141="","reserve",$F141)="rejected"),N($G141),0))))</f>
        <v/>
      </c>
      <c r="O141" s="30" t="str">
        <f aca="false">IF($C141="","",IF($E141="collected",N($G141),IF(AND(OR($E141="returned_to_brand",$E141="given_to_roster_office",$E141="released_to_office",$E141="disposed"),IF($F141="","reserve",$F141)="leftover"),-N($G141),IF(AND($E141="correction",IF($F141="","reserve",$F141)="leftover"),N($G141),0))))</f>
        <v/>
      </c>
      <c r="P141" s="30" t="str">
        <f aca="false">IF(OR($E141&lt;&gt;"received",$I141="",$L141=""),"",IF($I141&gt;=$L141+config!$B$19,"Y","N"))</f>
        <v/>
      </c>
      <c r="Q141" s="30" t="str">
        <f aca="false">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30" t="str">
        <f aca="false">IF($C141="","",$C141&amp;"|"&amp;$D141&amp;"|"&amp;$E141)</f>
        <v/>
      </c>
    </row>
    <row r="142" customFormat="false" ht="15" hidden="false" customHeight="false" outlineLevel="0" collapsed="false">
      <c r="A142" s="11"/>
      <c r="B142" s="38"/>
      <c r="E142" s="10"/>
      <c r="I142" s="11"/>
      <c r="J142" s="10"/>
      <c r="L142" s="31" t="str">
        <f aca="false">IF($C142="","",IFERROR(IF(INDEX(campaigns!$BG$2:$BG$51,MATCH($C142,campaigns!$A$2:$A$51,0))="","",INDEX(campaigns!$BG$2:$BG$51,MATCH($C142,campaigns!$A$2:$A$51,0))),""))</f>
        <v/>
      </c>
      <c r="M142" s="30" t="str">
        <f aca="false">IF($C142="","",IF(OR($E142="received"),N($G142),IF(OR($E142="rejected",$E142="delivered",$E142="topped_up"),-N($G142),IF(AND(OR($E142="returned_to_brand",$E142="given_to_roster_office",$E142="released_to_office",$E142="disposed"),IF($F142="","reserve",$F142)="reserve"),-N($G142),IF(AND($E142="correction",IF($F142="","reserve",$F142)="reserve"),N($G142),0)))))</f>
        <v/>
      </c>
      <c r="N142" s="30" t="str">
        <f aca="false">IF($C142="","",IF($E142="rejected",N($G142),IF(AND(OR($E142="returned_to_brand",$E142="given_to_roster_office",$E142="released_to_office",$E142="disposed"),IF($F142="","reserve",$F142)="rejected"),-N($G142),IF(AND($E142="correction",IF($F142="","reserve",$F142)="rejected"),N($G142),0))))</f>
        <v/>
      </c>
      <c r="O142" s="30" t="str">
        <f aca="false">IF($C142="","",IF($E142="collected",N($G142),IF(AND(OR($E142="returned_to_brand",$E142="given_to_roster_office",$E142="released_to_office",$E142="disposed"),IF($F142="","reserve",$F142)="leftover"),-N($G142),IF(AND($E142="correction",IF($F142="","reserve",$F142)="leftover"),N($G142),0))))</f>
        <v/>
      </c>
      <c r="P142" s="30" t="str">
        <f aca="false">IF(OR($E142&lt;&gt;"received",$I142="",$L142=""),"",IF($I142&gt;=$L142+config!$B$19,"Y","N"))</f>
        <v/>
      </c>
      <c r="Q142" s="30" t="str">
        <f aca="false">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30" t="str">
        <f aca="false">IF($C142="","",$C142&amp;"|"&amp;$D142&amp;"|"&amp;$E142)</f>
        <v/>
      </c>
    </row>
    <row r="143" customFormat="false" ht="15" hidden="false" customHeight="false" outlineLevel="0" collapsed="false">
      <c r="A143" s="11"/>
      <c r="B143" s="38"/>
      <c r="E143" s="10"/>
      <c r="I143" s="11"/>
      <c r="J143" s="10"/>
      <c r="L143" s="31" t="str">
        <f aca="false">IF($C143="","",IFERROR(IF(INDEX(campaigns!$BG$2:$BG$51,MATCH($C143,campaigns!$A$2:$A$51,0))="","",INDEX(campaigns!$BG$2:$BG$51,MATCH($C143,campaigns!$A$2:$A$51,0))),""))</f>
        <v/>
      </c>
      <c r="M143" s="30" t="str">
        <f aca="false">IF($C143="","",IF(OR($E143="received"),N($G143),IF(OR($E143="rejected",$E143="delivered",$E143="topped_up"),-N($G143),IF(AND(OR($E143="returned_to_brand",$E143="given_to_roster_office",$E143="released_to_office",$E143="disposed"),IF($F143="","reserve",$F143)="reserve"),-N($G143),IF(AND($E143="correction",IF($F143="","reserve",$F143)="reserve"),N($G143),0)))))</f>
        <v/>
      </c>
      <c r="N143" s="30" t="str">
        <f aca="false">IF($C143="","",IF($E143="rejected",N($G143),IF(AND(OR($E143="returned_to_brand",$E143="given_to_roster_office",$E143="released_to_office",$E143="disposed"),IF($F143="","reserve",$F143)="rejected"),-N($G143),IF(AND($E143="correction",IF($F143="","reserve",$F143)="rejected"),N($G143),0))))</f>
        <v/>
      </c>
      <c r="O143" s="30" t="str">
        <f aca="false">IF($C143="","",IF($E143="collected",N($G143),IF(AND(OR($E143="returned_to_brand",$E143="given_to_roster_office",$E143="released_to_office",$E143="disposed"),IF($F143="","reserve",$F143)="leftover"),-N($G143),IF(AND($E143="correction",IF($F143="","reserve",$F143)="leftover"),N($G143),0))))</f>
        <v/>
      </c>
      <c r="P143" s="30" t="str">
        <f aca="false">IF(OR($E143&lt;&gt;"received",$I143="",$L143=""),"",IF($I143&gt;=$L143+config!$B$19,"Y","N"))</f>
        <v/>
      </c>
      <c r="Q143" s="30" t="str">
        <f aca="false">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30" t="str">
        <f aca="false">IF($C143="","",$C143&amp;"|"&amp;$D143&amp;"|"&amp;$E143)</f>
        <v/>
      </c>
    </row>
    <row r="144" customFormat="false" ht="15" hidden="false" customHeight="false" outlineLevel="0" collapsed="false">
      <c r="A144" s="11"/>
      <c r="B144" s="38"/>
      <c r="E144" s="10"/>
      <c r="I144" s="11"/>
      <c r="J144" s="10"/>
      <c r="L144" s="31" t="str">
        <f aca="false">IF($C144="","",IFERROR(IF(INDEX(campaigns!$BG$2:$BG$51,MATCH($C144,campaigns!$A$2:$A$51,0))="","",INDEX(campaigns!$BG$2:$BG$51,MATCH($C144,campaigns!$A$2:$A$51,0))),""))</f>
        <v/>
      </c>
      <c r="M144" s="30" t="str">
        <f aca="false">IF($C144="","",IF(OR($E144="received"),N($G144),IF(OR($E144="rejected",$E144="delivered",$E144="topped_up"),-N($G144),IF(AND(OR($E144="returned_to_brand",$E144="given_to_roster_office",$E144="released_to_office",$E144="disposed"),IF($F144="","reserve",$F144)="reserve"),-N($G144),IF(AND($E144="correction",IF($F144="","reserve",$F144)="reserve"),N($G144),0)))))</f>
        <v/>
      </c>
      <c r="N144" s="30" t="str">
        <f aca="false">IF($C144="","",IF($E144="rejected",N($G144),IF(AND(OR($E144="returned_to_brand",$E144="given_to_roster_office",$E144="released_to_office",$E144="disposed"),IF($F144="","reserve",$F144)="rejected"),-N($G144),IF(AND($E144="correction",IF($F144="","reserve",$F144)="rejected"),N($G144),0))))</f>
        <v/>
      </c>
      <c r="O144" s="30" t="str">
        <f aca="false">IF($C144="","",IF($E144="collected",N($G144),IF(AND(OR($E144="returned_to_brand",$E144="given_to_roster_office",$E144="released_to_office",$E144="disposed"),IF($F144="","reserve",$F144)="leftover"),-N($G144),IF(AND($E144="correction",IF($F144="","reserve",$F144)="leftover"),N($G144),0))))</f>
        <v/>
      </c>
      <c r="P144" s="30" t="str">
        <f aca="false">IF(OR($E144&lt;&gt;"received",$I144="",$L144=""),"",IF($I144&gt;=$L144+config!$B$19,"Y","N"))</f>
        <v/>
      </c>
      <c r="Q144" s="30" t="str">
        <f aca="false">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30" t="str">
        <f aca="false">IF($C144="","",$C144&amp;"|"&amp;$D144&amp;"|"&amp;$E144)</f>
        <v/>
      </c>
    </row>
    <row r="145" customFormat="false" ht="15" hidden="false" customHeight="false" outlineLevel="0" collapsed="false">
      <c r="A145" s="11"/>
      <c r="B145" s="38"/>
      <c r="E145" s="10"/>
      <c r="I145" s="11"/>
      <c r="J145" s="10"/>
      <c r="L145" s="31" t="str">
        <f aca="false">IF($C145="","",IFERROR(IF(INDEX(campaigns!$BG$2:$BG$51,MATCH($C145,campaigns!$A$2:$A$51,0))="","",INDEX(campaigns!$BG$2:$BG$51,MATCH($C145,campaigns!$A$2:$A$51,0))),""))</f>
        <v/>
      </c>
      <c r="M145" s="30" t="str">
        <f aca="false">IF($C145="","",IF(OR($E145="received"),N($G145),IF(OR($E145="rejected",$E145="delivered",$E145="topped_up"),-N($G145),IF(AND(OR($E145="returned_to_brand",$E145="given_to_roster_office",$E145="released_to_office",$E145="disposed"),IF($F145="","reserve",$F145)="reserve"),-N($G145),IF(AND($E145="correction",IF($F145="","reserve",$F145)="reserve"),N($G145),0)))))</f>
        <v/>
      </c>
      <c r="N145" s="30" t="str">
        <f aca="false">IF($C145="","",IF($E145="rejected",N($G145),IF(AND(OR($E145="returned_to_brand",$E145="given_to_roster_office",$E145="released_to_office",$E145="disposed"),IF($F145="","reserve",$F145)="rejected"),-N($G145),IF(AND($E145="correction",IF($F145="","reserve",$F145)="rejected"),N($G145),0))))</f>
        <v/>
      </c>
      <c r="O145" s="30" t="str">
        <f aca="false">IF($C145="","",IF($E145="collected",N($G145),IF(AND(OR($E145="returned_to_brand",$E145="given_to_roster_office",$E145="released_to_office",$E145="disposed"),IF($F145="","reserve",$F145)="leftover"),-N($G145),IF(AND($E145="correction",IF($F145="","reserve",$F145)="leftover"),N($G145),0))))</f>
        <v/>
      </c>
      <c r="P145" s="30" t="str">
        <f aca="false">IF(OR($E145&lt;&gt;"received",$I145="",$L145=""),"",IF($I145&gt;=$L145+config!$B$19,"Y","N"))</f>
        <v/>
      </c>
      <c r="Q145" s="30" t="str">
        <f aca="false">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30" t="str">
        <f aca="false">IF($C145="","",$C145&amp;"|"&amp;$D145&amp;"|"&amp;$E145)</f>
        <v/>
      </c>
    </row>
    <row r="146" customFormat="false" ht="15" hidden="false" customHeight="false" outlineLevel="0" collapsed="false">
      <c r="A146" s="11"/>
      <c r="B146" s="38"/>
      <c r="E146" s="10"/>
      <c r="I146" s="11"/>
      <c r="J146" s="10"/>
      <c r="L146" s="31" t="str">
        <f aca="false">IF($C146="","",IFERROR(IF(INDEX(campaigns!$BG$2:$BG$51,MATCH($C146,campaigns!$A$2:$A$51,0))="","",INDEX(campaigns!$BG$2:$BG$51,MATCH($C146,campaigns!$A$2:$A$51,0))),""))</f>
        <v/>
      </c>
      <c r="M146" s="30" t="str">
        <f aca="false">IF($C146="","",IF(OR($E146="received"),N($G146),IF(OR($E146="rejected",$E146="delivered",$E146="topped_up"),-N($G146),IF(AND(OR($E146="returned_to_brand",$E146="given_to_roster_office",$E146="released_to_office",$E146="disposed"),IF($F146="","reserve",$F146)="reserve"),-N($G146),IF(AND($E146="correction",IF($F146="","reserve",$F146)="reserve"),N($G146),0)))))</f>
        <v/>
      </c>
      <c r="N146" s="30" t="str">
        <f aca="false">IF($C146="","",IF($E146="rejected",N($G146),IF(AND(OR($E146="returned_to_brand",$E146="given_to_roster_office",$E146="released_to_office",$E146="disposed"),IF($F146="","reserve",$F146)="rejected"),-N($G146),IF(AND($E146="correction",IF($F146="","reserve",$F146)="rejected"),N($G146),0))))</f>
        <v/>
      </c>
      <c r="O146" s="30" t="str">
        <f aca="false">IF($C146="","",IF($E146="collected",N($G146),IF(AND(OR($E146="returned_to_brand",$E146="given_to_roster_office",$E146="released_to_office",$E146="disposed"),IF($F146="","reserve",$F146)="leftover"),-N($G146),IF(AND($E146="correction",IF($F146="","reserve",$F146)="leftover"),N($G146),0))))</f>
        <v/>
      </c>
      <c r="P146" s="30" t="str">
        <f aca="false">IF(OR($E146&lt;&gt;"received",$I146="",$L146=""),"",IF($I146&gt;=$L146+config!$B$19,"Y","N"))</f>
        <v/>
      </c>
      <c r="Q146" s="30" t="str">
        <f aca="false">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30" t="str">
        <f aca="false">IF($C146="","",$C146&amp;"|"&amp;$D146&amp;"|"&amp;$E146)</f>
        <v/>
      </c>
    </row>
    <row r="147" customFormat="false" ht="15" hidden="false" customHeight="false" outlineLevel="0" collapsed="false">
      <c r="A147" s="11"/>
      <c r="B147" s="38"/>
      <c r="E147" s="10"/>
      <c r="I147" s="11"/>
      <c r="J147" s="10"/>
      <c r="L147" s="31" t="str">
        <f aca="false">IF($C147="","",IFERROR(IF(INDEX(campaigns!$BG$2:$BG$51,MATCH($C147,campaigns!$A$2:$A$51,0))="","",INDEX(campaigns!$BG$2:$BG$51,MATCH($C147,campaigns!$A$2:$A$51,0))),""))</f>
        <v/>
      </c>
      <c r="M147" s="30" t="str">
        <f aca="false">IF($C147="","",IF(OR($E147="received"),N($G147),IF(OR($E147="rejected",$E147="delivered",$E147="topped_up"),-N($G147),IF(AND(OR($E147="returned_to_brand",$E147="given_to_roster_office",$E147="released_to_office",$E147="disposed"),IF($F147="","reserve",$F147)="reserve"),-N($G147),IF(AND($E147="correction",IF($F147="","reserve",$F147)="reserve"),N($G147),0)))))</f>
        <v/>
      </c>
      <c r="N147" s="30" t="str">
        <f aca="false">IF($C147="","",IF($E147="rejected",N($G147),IF(AND(OR($E147="returned_to_brand",$E147="given_to_roster_office",$E147="released_to_office",$E147="disposed"),IF($F147="","reserve",$F147)="rejected"),-N($G147),IF(AND($E147="correction",IF($F147="","reserve",$F147)="rejected"),N($G147),0))))</f>
        <v/>
      </c>
      <c r="O147" s="30" t="str">
        <f aca="false">IF($C147="","",IF($E147="collected",N($G147),IF(AND(OR($E147="returned_to_brand",$E147="given_to_roster_office",$E147="released_to_office",$E147="disposed"),IF($F147="","reserve",$F147)="leftover"),-N($G147),IF(AND($E147="correction",IF($F147="","reserve",$F147)="leftover"),N($G147),0))))</f>
        <v/>
      </c>
      <c r="P147" s="30" t="str">
        <f aca="false">IF(OR($E147&lt;&gt;"received",$I147="",$L147=""),"",IF($I147&gt;=$L147+config!$B$19,"Y","N"))</f>
        <v/>
      </c>
      <c r="Q147" s="30" t="str">
        <f aca="false">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30" t="str">
        <f aca="false">IF($C147="","",$C147&amp;"|"&amp;$D147&amp;"|"&amp;$E147)</f>
        <v/>
      </c>
    </row>
    <row r="148" customFormat="false" ht="15" hidden="false" customHeight="false" outlineLevel="0" collapsed="false">
      <c r="A148" s="11"/>
      <c r="B148" s="38"/>
      <c r="E148" s="10"/>
      <c r="I148" s="11"/>
      <c r="J148" s="10"/>
      <c r="L148" s="31" t="str">
        <f aca="false">IF($C148="","",IFERROR(IF(INDEX(campaigns!$BG$2:$BG$51,MATCH($C148,campaigns!$A$2:$A$51,0))="","",INDEX(campaigns!$BG$2:$BG$51,MATCH($C148,campaigns!$A$2:$A$51,0))),""))</f>
        <v/>
      </c>
      <c r="M148" s="30" t="str">
        <f aca="false">IF($C148="","",IF(OR($E148="received"),N($G148),IF(OR($E148="rejected",$E148="delivered",$E148="topped_up"),-N($G148),IF(AND(OR($E148="returned_to_brand",$E148="given_to_roster_office",$E148="released_to_office",$E148="disposed"),IF($F148="","reserve",$F148)="reserve"),-N($G148),IF(AND($E148="correction",IF($F148="","reserve",$F148)="reserve"),N($G148),0)))))</f>
        <v/>
      </c>
      <c r="N148" s="30" t="str">
        <f aca="false">IF($C148="","",IF($E148="rejected",N($G148),IF(AND(OR($E148="returned_to_brand",$E148="given_to_roster_office",$E148="released_to_office",$E148="disposed"),IF($F148="","reserve",$F148)="rejected"),-N($G148),IF(AND($E148="correction",IF($F148="","reserve",$F148)="rejected"),N($G148),0))))</f>
        <v/>
      </c>
      <c r="O148" s="30" t="str">
        <f aca="false">IF($C148="","",IF($E148="collected",N($G148),IF(AND(OR($E148="returned_to_brand",$E148="given_to_roster_office",$E148="released_to_office",$E148="disposed"),IF($F148="","reserve",$F148)="leftover"),-N($G148),IF(AND($E148="correction",IF($F148="","reserve",$F148)="leftover"),N($G148),0))))</f>
        <v/>
      </c>
      <c r="P148" s="30" t="str">
        <f aca="false">IF(OR($E148&lt;&gt;"received",$I148="",$L148=""),"",IF($I148&gt;=$L148+config!$B$19,"Y","N"))</f>
        <v/>
      </c>
      <c r="Q148" s="30" t="str">
        <f aca="false">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30" t="str">
        <f aca="false">IF($C148="","",$C148&amp;"|"&amp;$D148&amp;"|"&amp;$E148)</f>
        <v/>
      </c>
    </row>
    <row r="149" customFormat="false" ht="15" hidden="false" customHeight="false" outlineLevel="0" collapsed="false">
      <c r="A149" s="11"/>
      <c r="B149" s="38"/>
      <c r="E149" s="10"/>
      <c r="I149" s="11"/>
      <c r="J149" s="10"/>
      <c r="L149" s="31" t="str">
        <f aca="false">IF($C149="","",IFERROR(IF(INDEX(campaigns!$BG$2:$BG$51,MATCH($C149,campaigns!$A$2:$A$51,0))="","",INDEX(campaigns!$BG$2:$BG$51,MATCH($C149,campaigns!$A$2:$A$51,0))),""))</f>
        <v/>
      </c>
      <c r="M149" s="30" t="str">
        <f aca="false">IF($C149="","",IF(OR($E149="received"),N($G149),IF(OR($E149="rejected",$E149="delivered",$E149="topped_up"),-N($G149),IF(AND(OR($E149="returned_to_brand",$E149="given_to_roster_office",$E149="released_to_office",$E149="disposed"),IF($F149="","reserve",$F149)="reserve"),-N($G149),IF(AND($E149="correction",IF($F149="","reserve",$F149)="reserve"),N($G149),0)))))</f>
        <v/>
      </c>
      <c r="N149" s="30" t="str">
        <f aca="false">IF($C149="","",IF($E149="rejected",N($G149),IF(AND(OR($E149="returned_to_brand",$E149="given_to_roster_office",$E149="released_to_office",$E149="disposed"),IF($F149="","reserve",$F149)="rejected"),-N($G149),IF(AND($E149="correction",IF($F149="","reserve",$F149)="rejected"),N($G149),0))))</f>
        <v/>
      </c>
      <c r="O149" s="30" t="str">
        <f aca="false">IF($C149="","",IF($E149="collected",N($G149),IF(AND(OR($E149="returned_to_brand",$E149="given_to_roster_office",$E149="released_to_office",$E149="disposed"),IF($F149="","reserve",$F149)="leftover"),-N($G149),IF(AND($E149="correction",IF($F149="","reserve",$F149)="leftover"),N($G149),0))))</f>
        <v/>
      </c>
      <c r="P149" s="30" t="str">
        <f aca="false">IF(OR($E149&lt;&gt;"received",$I149="",$L149=""),"",IF($I149&gt;=$L149+config!$B$19,"Y","N"))</f>
        <v/>
      </c>
      <c r="Q149" s="30" t="str">
        <f aca="false">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30" t="str">
        <f aca="false">IF($C149="","",$C149&amp;"|"&amp;$D149&amp;"|"&amp;$E149)</f>
        <v/>
      </c>
    </row>
    <row r="150" customFormat="false" ht="15" hidden="false" customHeight="false" outlineLevel="0" collapsed="false">
      <c r="A150" s="11"/>
      <c r="B150" s="38"/>
      <c r="E150" s="10"/>
      <c r="I150" s="11"/>
      <c r="J150" s="10"/>
      <c r="L150" s="31" t="str">
        <f aca="false">IF($C150="","",IFERROR(IF(INDEX(campaigns!$BG$2:$BG$51,MATCH($C150,campaigns!$A$2:$A$51,0))="","",INDEX(campaigns!$BG$2:$BG$51,MATCH($C150,campaigns!$A$2:$A$51,0))),""))</f>
        <v/>
      </c>
      <c r="M150" s="30" t="str">
        <f aca="false">IF($C150="","",IF(OR($E150="received"),N($G150),IF(OR($E150="rejected",$E150="delivered",$E150="topped_up"),-N($G150),IF(AND(OR($E150="returned_to_brand",$E150="given_to_roster_office",$E150="released_to_office",$E150="disposed"),IF($F150="","reserve",$F150)="reserve"),-N($G150),IF(AND($E150="correction",IF($F150="","reserve",$F150)="reserve"),N($G150),0)))))</f>
        <v/>
      </c>
      <c r="N150" s="30" t="str">
        <f aca="false">IF($C150="","",IF($E150="rejected",N($G150),IF(AND(OR($E150="returned_to_brand",$E150="given_to_roster_office",$E150="released_to_office",$E150="disposed"),IF($F150="","reserve",$F150)="rejected"),-N($G150),IF(AND($E150="correction",IF($F150="","reserve",$F150)="rejected"),N($G150),0))))</f>
        <v/>
      </c>
      <c r="O150" s="30" t="str">
        <f aca="false">IF($C150="","",IF($E150="collected",N($G150),IF(AND(OR($E150="returned_to_brand",$E150="given_to_roster_office",$E150="released_to_office",$E150="disposed"),IF($F150="","reserve",$F150)="leftover"),-N($G150),IF(AND($E150="correction",IF($F150="","reserve",$F150)="leftover"),N($G150),0))))</f>
        <v/>
      </c>
      <c r="P150" s="30" t="str">
        <f aca="false">IF(OR($E150&lt;&gt;"received",$I150="",$L150=""),"",IF($I150&gt;=$L150+config!$B$19,"Y","N"))</f>
        <v/>
      </c>
      <c r="Q150" s="30" t="str">
        <f aca="false">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30" t="str">
        <f aca="false">IF($C150="","",$C150&amp;"|"&amp;$D150&amp;"|"&amp;$E150)</f>
        <v/>
      </c>
    </row>
    <row r="151" customFormat="false" ht="15" hidden="false" customHeight="false" outlineLevel="0" collapsed="false">
      <c r="A151" s="11"/>
      <c r="B151" s="38"/>
      <c r="E151" s="10"/>
      <c r="I151" s="11"/>
      <c r="J151" s="10"/>
      <c r="L151" s="31" t="str">
        <f aca="false">IF($C151="","",IFERROR(IF(INDEX(campaigns!$BG$2:$BG$51,MATCH($C151,campaigns!$A$2:$A$51,0))="","",INDEX(campaigns!$BG$2:$BG$51,MATCH($C151,campaigns!$A$2:$A$51,0))),""))</f>
        <v/>
      </c>
      <c r="M151" s="30" t="str">
        <f aca="false">IF($C151="","",IF(OR($E151="received"),N($G151),IF(OR($E151="rejected",$E151="delivered",$E151="topped_up"),-N($G151),IF(AND(OR($E151="returned_to_brand",$E151="given_to_roster_office",$E151="released_to_office",$E151="disposed"),IF($F151="","reserve",$F151)="reserve"),-N($G151),IF(AND($E151="correction",IF($F151="","reserve",$F151)="reserve"),N($G151),0)))))</f>
        <v/>
      </c>
      <c r="N151" s="30" t="str">
        <f aca="false">IF($C151="","",IF($E151="rejected",N($G151),IF(AND(OR($E151="returned_to_brand",$E151="given_to_roster_office",$E151="released_to_office",$E151="disposed"),IF($F151="","reserve",$F151)="rejected"),-N($G151),IF(AND($E151="correction",IF($F151="","reserve",$F151)="rejected"),N($G151),0))))</f>
        <v/>
      </c>
      <c r="O151" s="30" t="str">
        <f aca="false">IF($C151="","",IF($E151="collected",N($G151),IF(AND(OR($E151="returned_to_brand",$E151="given_to_roster_office",$E151="released_to_office",$E151="disposed"),IF($F151="","reserve",$F151)="leftover"),-N($G151),IF(AND($E151="correction",IF($F151="","reserve",$F151)="leftover"),N($G151),0))))</f>
        <v/>
      </c>
      <c r="P151" s="30" t="str">
        <f aca="false">IF(OR($E151&lt;&gt;"received",$I151="",$L151=""),"",IF($I151&gt;=$L151+config!$B$19,"Y","N"))</f>
        <v/>
      </c>
      <c r="Q151" s="30" t="str">
        <f aca="false">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30" t="str">
        <f aca="false">IF($C151="","",$C151&amp;"|"&amp;$D151&amp;"|"&amp;$E151)</f>
        <v/>
      </c>
    </row>
    <row r="152" customFormat="false" ht="15" hidden="false" customHeight="false" outlineLevel="0" collapsed="false">
      <c r="A152" s="11"/>
      <c r="B152" s="38"/>
      <c r="E152" s="10"/>
      <c r="I152" s="11"/>
      <c r="J152" s="10"/>
      <c r="L152" s="31" t="str">
        <f aca="false">IF($C152="","",IFERROR(IF(INDEX(campaigns!$BG$2:$BG$51,MATCH($C152,campaigns!$A$2:$A$51,0))="","",INDEX(campaigns!$BG$2:$BG$51,MATCH($C152,campaigns!$A$2:$A$51,0))),""))</f>
        <v/>
      </c>
      <c r="M152" s="30" t="str">
        <f aca="false">IF($C152="","",IF(OR($E152="received"),N($G152),IF(OR($E152="rejected",$E152="delivered",$E152="topped_up"),-N($G152),IF(AND(OR($E152="returned_to_brand",$E152="given_to_roster_office",$E152="released_to_office",$E152="disposed"),IF($F152="","reserve",$F152)="reserve"),-N($G152),IF(AND($E152="correction",IF($F152="","reserve",$F152)="reserve"),N($G152),0)))))</f>
        <v/>
      </c>
      <c r="N152" s="30" t="str">
        <f aca="false">IF($C152="","",IF($E152="rejected",N($G152),IF(AND(OR($E152="returned_to_brand",$E152="given_to_roster_office",$E152="released_to_office",$E152="disposed"),IF($F152="","reserve",$F152)="rejected"),-N($G152),IF(AND($E152="correction",IF($F152="","reserve",$F152)="rejected"),N($G152),0))))</f>
        <v/>
      </c>
      <c r="O152" s="30" t="str">
        <f aca="false">IF($C152="","",IF($E152="collected",N($G152),IF(AND(OR($E152="returned_to_brand",$E152="given_to_roster_office",$E152="released_to_office",$E152="disposed"),IF($F152="","reserve",$F152)="leftover"),-N($G152),IF(AND($E152="correction",IF($F152="","reserve",$F152)="leftover"),N($G152),0))))</f>
        <v/>
      </c>
      <c r="P152" s="30" t="str">
        <f aca="false">IF(OR($E152&lt;&gt;"received",$I152="",$L152=""),"",IF($I152&gt;=$L152+config!$B$19,"Y","N"))</f>
        <v/>
      </c>
      <c r="Q152" s="30" t="str">
        <f aca="false">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30" t="str">
        <f aca="false">IF($C152="","",$C152&amp;"|"&amp;$D152&amp;"|"&amp;$E152)</f>
        <v/>
      </c>
    </row>
    <row r="153" customFormat="false" ht="15" hidden="false" customHeight="false" outlineLevel="0" collapsed="false">
      <c r="A153" s="11"/>
      <c r="B153" s="38"/>
      <c r="E153" s="10"/>
      <c r="I153" s="11"/>
      <c r="J153" s="10"/>
      <c r="L153" s="31" t="str">
        <f aca="false">IF($C153="","",IFERROR(IF(INDEX(campaigns!$BG$2:$BG$51,MATCH($C153,campaigns!$A$2:$A$51,0))="","",INDEX(campaigns!$BG$2:$BG$51,MATCH($C153,campaigns!$A$2:$A$51,0))),""))</f>
        <v/>
      </c>
      <c r="M153" s="30" t="str">
        <f aca="false">IF($C153="","",IF(OR($E153="received"),N($G153),IF(OR($E153="rejected",$E153="delivered",$E153="topped_up"),-N($G153),IF(AND(OR($E153="returned_to_brand",$E153="given_to_roster_office",$E153="released_to_office",$E153="disposed"),IF($F153="","reserve",$F153)="reserve"),-N($G153),IF(AND($E153="correction",IF($F153="","reserve",$F153)="reserve"),N($G153),0)))))</f>
        <v/>
      </c>
      <c r="N153" s="30" t="str">
        <f aca="false">IF($C153="","",IF($E153="rejected",N($G153),IF(AND(OR($E153="returned_to_brand",$E153="given_to_roster_office",$E153="released_to_office",$E153="disposed"),IF($F153="","reserve",$F153)="rejected"),-N($G153),IF(AND($E153="correction",IF($F153="","reserve",$F153)="rejected"),N($G153),0))))</f>
        <v/>
      </c>
      <c r="O153" s="30" t="str">
        <f aca="false">IF($C153="","",IF($E153="collected",N($G153),IF(AND(OR($E153="returned_to_brand",$E153="given_to_roster_office",$E153="released_to_office",$E153="disposed"),IF($F153="","reserve",$F153)="leftover"),-N($G153),IF(AND($E153="correction",IF($F153="","reserve",$F153)="leftover"),N($G153),0))))</f>
        <v/>
      </c>
      <c r="P153" s="30" t="str">
        <f aca="false">IF(OR($E153&lt;&gt;"received",$I153="",$L153=""),"",IF($I153&gt;=$L153+config!$B$19,"Y","N"))</f>
        <v/>
      </c>
      <c r="Q153" s="30" t="str">
        <f aca="false">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30" t="str">
        <f aca="false">IF($C153="","",$C153&amp;"|"&amp;$D153&amp;"|"&amp;$E153)</f>
        <v/>
      </c>
    </row>
    <row r="154" customFormat="false" ht="15" hidden="false" customHeight="false" outlineLevel="0" collapsed="false">
      <c r="A154" s="11"/>
      <c r="B154" s="38"/>
      <c r="E154" s="10"/>
      <c r="I154" s="11"/>
      <c r="J154" s="10"/>
      <c r="L154" s="31" t="str">
        <f aca="false">IF($C154="","",IFERROR(IF(INDEX(campaigns!$BG$2:$BG$51,MATCH($C154,campaigns!$A$2:$A$51,0))="","",INDEX(campaigns!$BG$2:$BG$51,MATCH($C154,campaigns!$A$2:$A$51,0))),""))</f>
        <v/>
      </c>
      <c r="M154" s="30" t="str">
        <f aca="false">IF($C154="","",IF(OR($E154="received"),N($G154),IF(OR($E154="rejected",$E154="delivered",$E154="topped_up"),-N($G154),IF(AND(OR($E154="returned_to_brand",$E154="given_to_roster_office",$E154="released_to_office",$E154="disposed"),IF($F154="","reserve",$F154)="reserve"),-N($G154),IF(AND($E154="correction",IF($F154="","reserve",$F154)="reserve"),N($G154),0)))))</f>
        <v/>
      </c>
      <c r="N154" s="30" t="str">
        <f aca="false">IF($C154="","",IF($E154="rejected",N($G154),IF(AND(OR($E154="returned_to_brand",$E154="given_to_roster_office",$E154="released_to_office",$E154="disposed"),IF($F154="","reserve",$F154)="rejected"),-N($G154),IF(AND($E154="correction",IF($F154="","reserve",$F154)="rejected"),N($G154),0))))</f>
        <v/>
      </c>
      <c r="O154" s="30" t="str">
        <f aca="false">IF($C154="","",IF($E154="collected",N($G154),IF(AND(OR($E154="returned_to_brand",$E154="given_to_roster_office",$E154="released_to_office",$E154="disposed"),IF($F154="","reserve",$F154)="leftover"),-N($G154),IF(AND($E154="correction",IF($F154="","reserve",$F154)="leftover"),N($G154),0))))</f>
        <v/>
      </c>
      <c r="P154" s="30" t="str">
        <f aca="false">IF(OR($E154&lt;&gt;"received",$I154="",$L154=""),"",IF($I154&gt;=$L154+config!$B$19,"Y","N"))</f>
        <v/>
      </c>
      <c r="Q154" s="30" t="str">
        <f aca="false">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30" t="str">
        <f aca="false">IF($C154="","",$C154&amp;"|"&amp;$D154&amp;"|"&amp;$E154)</f>
        <v/>
      </c>
    </row>
    <row r="155" customFormat="false" ht="15" hidden="false" customHeight="false" outlineLevel="0" collapsed="false">
      <c r="A155" s="11"/>
      <c r="B155" s="38"/>
      <c r="E155" s="10"/>
      <c r="I155" s="11"/>
      <c r="J155" s="10"/>
      <c r="L155" s="31" t="str">
        <f aca="false">IF($C155="","",IFERROR(IF(INDEX(campaigns!$BG$2:$BG$51,MATCH($C155,campaigns!$A$2:$A$51,0))="","",INDEX(campaigns!$BG$2:$BG$51,MATCH($C155,campaigns!$A$2:$A$51,0))),""))</f>
        <v/>
      </c>
      <c r="M155" s="30" t="str">
        <f aca="false">IF($C155="","",IF(OR($E155="received"),N($G155),IF(OR($E155="rejected",$E155="delivered",$E155="topped_up"),-N($G155),IF(AND(OR($E155="returned_to_brand",$E155="given_to_roster_office",$E155="released_to_office",$E155="disposed"),IF($F155="","reserve",$F155)="reserve"),-N($G155),IF(AND($E155="correction",IF($F155="","reserve",$F155)="reserve"),N($G155),0)))))</f>
        <v/>
      </c>
      <c r="N155" s="30" t="str">
        <f aca="false">IF($C155="","",IF($E155="rejected",N($G155),IF(AND(OR($E155="returned_to_brand",$E155="given_to_roster_office",$E155="released_to_office",$E155="disposed"),IF($F155="","reserve",$F155)="rejected"),-N($G155),IF(AND($E155="correction",IF($F155="","reserve",$F155)="rejected"),N($G155),0))))</f>
        <v/>
      </c>
      <c r="O155" s="30" t="str">
        <f aca="false">IF($C155="","",IF($E155="collected",N($G155),IF(AND(OR($E155="returned_to_brand",$E155="given_to_roster_office",$E155="released_to_office",$E155="disposed"),IF($F155="","reserve",$F155)="leftover"),-N($G155),IF(AND($E155="correction",IF($F155="","reserve",$F155)="leftover"),N($G155),0))))</f>
        <v/>
      </c>
      <c r="P155" s="30" t="str">
        <f aca="false">IF(OR($E155&lt;&gt;"received",$I155="",$L155=""),"",IF($I155&gt;=$L155+config!$B$19,"Y","N"))</f>
        <v/>
      </c>
      <c r="Q155" s="30" t="str">
        <f aca="false">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30" t="str">
        <f aca="false">IF($C155="","",$C155&amp;"|"&amp;$D155&amp;"|"&amp;$E155)</f>
        <v/>
      </c>
    </row>
    <row r="156" customFormat="false" ht="15" hidden="false" customHeight="false" outlineLevel="0" collapsed="false">
      <c r="A156" s="11"/>
      <c r="B156" s="38"/>
      <c r="E156" s="10"/>
      <c r="I156" s="11"/>
      <c r="J156" s="10"/>
      <c r="L156" s="31" t="str">
        <f aca="false">IF($C156="","",IFERROR(IF(INDEX(campaigns!$BG$2:$BG$51,MATCH($C156,campaigns!$A$2:$A$51,0))="","",INDEX(campaigns!$BG$2:$BG$51,MATCH($C156,campaigns!$A$2:$A$51,0))),""))</f>
        <v/>
      </c>
      <c r="M156" s="30" t="str">
        <f aca="false">IF($C156="","",IF(OR($E156="received"),N($G156),IF(OR($E156="rejected",$E156="delivered",$E156="topped_up"),-N($G156),IF(AND(OR($E156="returned_to_brand",$E156="given_to_roster_office",$E156="released_to_office",$E156="disposed"),IF($F156="","reserve",$F156)="reserve"),-N($G156),IF(AND($E156="correction",IF($F156="","reserve",$F156)="reserve"),N($G156),0)))))</f>
        <v/>
      </c>
      <c r="N156" s="30" t="str">
        <f aca="false">IF($C156="","",IF($E156="rejected",N($G156),IF(AND(OR($E156="returned_to_brand",$E156="given_to_roster_office",$E156="released_to_office",$E156="disposed"),IF($F156="","reserve",$F156)="rejected"),-N($G156),IF(AND($E156="correction",IF($F156="","reserve",$F156)="rejected"),N($G156),0))))</f>
        <v/>
      </c>
      <c r="O156" s="30" t="str">
        <f aca="false">IF($C156="","",IF($E156="collected",N($G156),IF(AND(OR($E156="returned_to_brand",$E156="given_to_roster_office",$E156="released_to_office",$E156="disposed"),IF($F156="","reserve",$F156)="leftover"),-N($G156),IF(AND($E156="correction",IF($F156="","reserve",$F156)="leftover"),N($G156),0))))</f>
        <v/>
      </c>
      <c r="P156" s="30" t="str">
        <f aca="false">IF(OR($E156&lt;&gt;"received",$I156="",$L156=""),"",IF($I156&gt;=$L156+config!$B$19,"Y","N"))</f>
        <v/>
      </c>
      <c r="Q156" s="30" t="str">
        <f aca="false">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30" t="str">
        <f aca="false">IF($C156="","",$C156&amp;"|"&amp;$D156&amp;"|"&amp;$E156)</f>
        <v/>
      </c>
    </row>
    <row r="157" customFormat="false" ht="15" hidden="false" customHeight="false" outlineLevel="0" collapsed="false">
      <c r="A157" s="11"/>
      <c r="B157" s="38"/>
      <c r="E157" s="10"/>
      <c r="I157" s="11"/>
      <c r="J157" s="10"/>
      <c r="L157" s="31" t="str">
        <f aca="false">IF($C157="","",IFERROR(IF(INDEX(campaigns!$BG$2:$BG$51,MATCH($C157,campaigns!$A$2:$A$51,0))="","",INDEX(campaigns!$BG$2:$BG$51,MATCH($C157,campaigns!$A$2:$A$51,0))),""))</f>
        <v/>
      </c>
      <c r="M157" s="30" t="str">
        <f aca="false">IF($C157="","",IF(OR($E157="received"),N($G157),IF(OR($E157="rejected",$E157="delivered",$E157="topped_up"),-N($G157),IF(AND(OR($E157="returned_to_brand",$E157="given_to_roster_office",$E157="released_to_office",$E157="disposed"),IF($F157="","reserve",$F157)="reserve"),-N($G157),IF(AND($E157="correction",IF($F157="","reserve",$F157)="reserve"),N($G157),0)))))</f>
        <v/>
      </c>
      <c r="N157" s="30" t="str">
        <f aca="false">IF($C157="","",IF($E157="rejected",N($G157),IF(AND(OR($E157="returned_to_brand",$E157="given_to_roster_office",$E157="released_to_office",$E157="disposed"),IF($F157="","reserve",$F157)="rejected"),-N($G157),IF(AND($E157="correction",IF($F157="","reserve",$F157)="rejected"),N($G157),0))))</f>
        <v/>
      </c>
      <c r="O157" s="30" t="str">
        <f aca="false">IF($C157="","",IF($E157="collected",N($G157),IF(AND(OR($E157="returned_to_brand",$E157="given_to_roster_office",$E157="released_to_office",$E157="disposed"),IF($F157="","reserve",$F157)="leftover"),-N($G157),IF(AND($E157="correction",IF($F157="","reserve",$F157)="leftover"),N($G157),0))))</f>
        <v/>
      </c>
      <c r="P157" s="30" t="str">
        <f aca="false">IF(OR($E157&lt;&gt;"received",$I157="",$L157=""),"",IF($I157&gt;=$L157+config!$B$19,"Y","N"))</f>
        <v/>
      </c>
      <c r="Q157" s="30" t="str">
        <f aca="false">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30" t="str">
        <f aca="false">IF($C157="","",$C157&amp;"|"&amp;$D157&amp;"|"&amp;$E157)</f>
        <v/>
      </c>
    </row>
    <row r="158" customFormat="false" ht="15" hidden="false" customHeight="false" outlineLevel="0" collapsed="false">
      <c r="A158" s="11"/>
      <c r="B158" s="38"/>
      <c r="E158" s="10"/>
      <c r="I158" s="11"/>
      <c r="J158" s="10"/>
      <c r="L158" s="31" t="str">
        <f aca="false">IF($C158="","",IFERROR(IF(INDEX(campaigns!$BG$2:$BG$51,MATCH($C158,campaigns!$A$2:$A$51,0))="","",INDEX(campaigns!$BG$2:$BG$51,MATCH($C158,campaigns!$A$2:$A$51,0))),""))</f>
        <v/>
      </c>
      <c r="M158" s="30" t="str">
        <f aca="false">IF($C158="","",IF(OR($E158="received"),N($G158),IF(OR($E158="rejected",$E158="delivered",$E158="topped_up"),-N($G158),IF(AND(OR($E158="returned_to_brand",$E158="given_to_roster_office",$E158="released_to_office",$E158="disposed"),IF($F158="","reserve",$F158)="reserve"),-N($G158),IF(AND($E158="correction",IF($F158="","reserve",$F158)="reserve"),N($G158),0)))))</f>
        <v/>
      </c>
      <c r="N158" s="30" t="str">
        <f aca="false">IF($C158="","",IF($E158="rejected",N($G158),IF(AND(OR($E158="returned_to_brand",$E158="given_to_roster_office",$E158="released_to_office",$E158="disposed"),IF($F158="","reserve",$F158)="rejected"),-N($G158),IF(AND($E158="correction",IF($F158="","reserve",$F158)="rejected"),N($G158),0))))</f>
        <v/>
      </c>
      <c r="O158" s="30" t="str">
        <f aca="false">IF($C158="","",IF($E158="collected",N($G158),IF(AND(OR($E158="returned_to_brand",$E158="given_to_roster_office",$E158="released_to_office",$E158="disposed"),IF($F158="","reserve",$F158)="leftover"),-N($G158),IF(AND($E158="correction",IF($F158="","reserve",$F158)="leftover"),N($G158),0))))</f>
        <v/>
      </c>
      <c r="P158" s="30" t="str">
        <f aca="false">IF(OR($E158&lt;&gt;"received",$I158="",$L158=""),"",IF($I158&gt;=$L158+config!$B$19,"Y","N"))</f>
        <v/>
      </c>
      <c r="Q158" s="30" t="str">
        <f aca="false">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30" t="str">
        <f aca="false">IF($C158="","",$C158&amp;"|"&amp;$D158&amp;"|"&amp;$E158)</f>
        <v/>
      </c>
    </row>
    <row r="159" customFormat="false" ht="15" hidden="false" customHeight="false" outlineLevel="0" collapsed="false">
      <c r="A159" s="11"/>
      <c r="B159" s="38"/>
      <c r="E159" s="10"/>
      <c r="I159" s="11"/>
      <c r="J159" s="10"/>
      <c r="L159" s="31" t="str">
        <f aca="false">IF($C159="","",IFERROR(IF(INDEX(campaigns!$BG$2:$BG$51,MATCH($C159,campaigns!$A$2:$A$51,0))="","",INDEX(campaigns!$BG$2:$BG$51,MATCH($C159,campaigns!$A$2:$A$51,0))),""))</f>
        <v/>
      </c>
      <c r="M159" s="30" t="str">
        <f aca="false">IF($C159="","",IF(OR($E159="received"),N($G159),IF(OR($E159="rejected",$E159="delivered",$E159="topped_up"),-N($G159),IF(AND(OR($E159="returned_to_brand",$E159="given_to_roster_office",$E159="released_to_office",$E159="disposed"),IF($F159="","reserve",$F159)="reserve"),-N($G159),IF(AND($E159="correction",IF($F159="","reserve",$F159)="reserve"),N($G159),0)))))</f>
        <v/>
      </c>
      <c r="N159" s="30" t="str">
        <f aca="false">IF($C159="","",IF($E159="rejected",N($G159),IF(AND(OR($E159="returned_to_brand",$E159="given_to_roster_office",$E159="released_to_office",$E159="disposed"),IF($F159="","reserve",$F159)="rejected"),-N($G159),IF(AND($E159="correction",IF($F159="","reserve",$F159)="rejected"),N($G159),0))))</f>
        <v/>
      </c>
      <c r="O159" s="30" t="str">
        <f aca="false">IF($C159="","",IF($E159="collected",N($G159),IF(AND(OR($E159="returned_to_brand",$E159="given_to_roster_office",$E159="released_to_office",$E159="disposed"),IF($F159="","reserve",$F159)="leftover"),-N($G159),IF(AND($E159="correction",IF($F159="","reserve",$F159)="leftover"),N($G159),0))))</f>
        <v/>
      </c>
      <c r="P159" s="30" t="str">
        <f aca="false">IF(OR($E159&lt;&gt;"received",$I159="",$L159=""),"",IF($I159&gt;=$L159+config!$B$19,"Y","N"))</f>
        <v/>
      </c>
      <c r="Q159" s="30" t="str">
        <f aca="false">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30" t="str">
        <f aca="false">IF($C159="","",$C159&amp;"|"&amp;$D159&amp;"|"&amp;$E159)</f>
        <v/>
      </c>
    </row>
    <row r="160" customFormat="false" ht="15" hidden="false" customHeight="false" outlineLevel="0" collapsed="false">
      <c r="A160" s="11"/>
      <c r="B160" s="38"/>
      <c r="E160" s="10"/>
      <c r="I160" s="11"/>
      <c r="J160" s="10"/>
      <c r="L160" s="31" t="str">
        <f aca="false">IF($C160="","",IFERROR(IF(INDEX(campaigns!$BG$2:$BG$51,MATCH($C160,campaigns!$A$2:$A$51,0))="","",INDEX(campaigns!$BG$2:$BG$51,MATCH($C160,campaigns!$A$2:$A$51,0))),""))</f>
        <v/>
      </c>
      <c r="M160" s="30" t="str">
        <f aca="false">IF($C160="","",IF(OR($E160="received"),N($G160),IF(OR($E160="rejected",$E160="delivered",$E160="topped_up"),-N($G160),IF(AND(OR($E160="returned_to_brand",$E160="given_to_roster_office",$E160="released_to_office",$E160="disposed"),IF($F160="","reserve",$F160)="reserve"),-N($G160),IF(AND($E160="correction",IF($F160="","reserve",$F160)="reserve"),N($G160),0)))))</f>
        <v/>
      </c>
      <c r="N160" s="30" t="str">
        <f aca="false">IF($C160="","",IF($E160="rejected",N($G160),IF(AND(OR($E160="returned_to_brand",$E160="given_to_roster_office",$E160="released_to_office",$E160="disposed"),IF($F160="","reserve",$F160)="rejected"),-N($G160),IF(AND($E160="correction",IF($F160="","reserve",$F160)="rejected"),N($G160),0))))</f>
        <v/>
      </c>
      <c r="O160" s="30" t="str">
        <f aca="false">IF($C160="","",IF($E160="collected",N($G160),IF(AND(OR($E160="returned_to_brand",$E160="given_to_roster_office",$E160="released_to_office",$E160="disposed"),IF($F160="","reserve",$F160)="leftover"),-N($G160),IF(AND($E160="correction",IF($F160="","reserve",$F160)="leftover"),N($G160),0))))</f>
        <v/>
      </c>
      <c r="P160" s="30" t="str">
        <f aca="false">IF(OR($E160&lt;&gt;"received",$I160="",$L160=""),"",IF($I160&gt;=$L160+config!$B$19,"Y","N"))</f>
        <v/>
      </c>
      <c r="Q160" s="30" t="str">
        <f aca="false">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30" t="str">
        <f aca="false">IF($C160="","",$C160&amp;"|"&amp;$D160&amp;"|"&amp;$E160)</f>
        <v/>
      </c>
    </row>
    <row r="161" customFormat="false" ht="15" hidden="false" customHeight="false" outlineLevel="0" collapsed="false">
      <c r="A161" s="11"/>
      <c r="B161" s="38"/>
      <c r="E161" s="10"/>
      <c r="I161" s="11"/>
      <c r="J161" s="10"/>
      <c r="L161" s="31" t="str">
        <f aca="false">IF($C161="","",IFERROR(IF(INDEX(campaigns!$BG$2:$BG$51,MATCH($C161,campaigns!$A$2:$A$51,0))="","",INDEX(campaigns!$BG$2:$BG$51,MATCH($C161,campaigns!$A$2:$A$51,0))),""))</f>
        <v/>
      </c>
      <c r="M161" s="30" t="str">
        <f aca="false">IF($C161="","",IF(OR($E161="received"),N($G161),IF(OR($E161="rejected",$E161="delivered",$E161="topped_up"),-N($G161),IF(AND(OR($E161="returned_to_brand",$E161="given_to_roster_office",$E161="released_to_office",$E161="disposed"),IF($F161="","reserve",$F161)="reserve"),-N($G161),IF(AND($E161="correction",IF($F161="","reserve",$F161)="reserve"),N($G161),0)))))</f>
        <v/>
      </c>
      <c r="N161" s="30" t="str">
        <f aca="false">IF($C161="","",IF($E161="rejected",N($G161),IF(AND(OR($E161="returned_to_brand",$E161="given_to_roster_office",$E161="released_to_office",$E161="disposed"),IF($F161="","reserve",$F161)="rejected"),-N($G161),IF(AND($E161="correction",IF($F161="","reserve",$F161)="rejected"),N($G161),0))))</f>
        <v/>
      </c>
      <c r="O161" s="30" t="str">
        <f aca="false">IF($C161="","",IF($E161="collected",N($G161),IF(AND(OR($E161="returned_to_brand",$E161="given_to_roster_office",$E161="released_to_office",$E161="disposed"),IF($F161="","reserve",$F161)="leftover"),-N($G161),IF(AND($E161="correction",IF($F161="","reserve",$F161)="leftover"),N($G161),0))))</f>
        <v/>
      </c>
      <c r="P161" s="30" t="str">
        <f aca="false">IF(OR($E161&lt;&gt;"received",$I161="",$L161=""),"",IF($I161&gt;=$L161+config!$B$19,"Y","N"))</f>
        <v/>
      </c>
      <c r="Q161" s="30" t="str">
        <f aca="false">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30" t="str">
        <f aca="false">IF($C161="","",$C161&amp;"|"&amp;$D161&amp;"|"&amp;$E161)</f>
        <v/>
      </c>
    </row>
    <row r="162" customFormat="false" ht="15" hidden="false" customHeight="false" outlineLevel="0" collapsed="false">
      <c r="A162" s="11"/>
      <c r="B162" s="38"/>
      <c r="E162" s="10"/>
      <c r="I162" s="11"/>
      <c r="J162" s="10"/>
      <c r="L162" s="31" t="str">
        <f aca="false">IF($C162="","",IFERROR(IF(INDEX(campaigns!$BG$2:$BG$51,MATCH($C162,campaigns!$A$2:$A$51,0))="","",INDEX(campaigns!$BG$2:$BG$51,MATCH($C162,campaigns!$A$2:$A$51,0))),""))</f>
        <v/>
      </c>
      <c r="M162" s="30" t="str">
        <f aca="false">IF($C162="","",IF(OR($E162="received"),N($G162),IF(OR($E162="rejected",$E162="delivered",$E162="topped_up"),-N($G162),IF(AND(OR($E162="returned_to_brand",$E162="given_to_roster_office",$E162="released_to_office",$E162="disposed"),IF($F162="","reserve",$F162)="reserve"),-N($G162),IF(AND($E162="correction",IF($F162="","reserve",$F162)="reserve"),N($G162),0)))))</f>
        <v/>
      </c>
      <c r="N162" s="30" t="str">
        <f aca="false">IF($C162="","",IF($E162="rejected",N($G162),IF(AND(OR($E162="returned_to_brand",$E162="given_to_roster_office",$E162="released_to_office",$E162="disposed"),IF($F162="","reserve",$F162)="rejected"),-N($G162),IF(AND($E162="correction",IF($F162="","reserve",$F162)="rejected"),N($G162),0))))</f>
        <v/>
      </c>
      <c r="O162" s="30" t="str">
        <f aca="false">IF($C162="","",IF($E162="collected",N($G162),IF(AND(OR($E162="returned_to_brand",$E162="given_to_roster_office",$E162="released_to_office",$E162="disposed"),IF($F162="","reserve",$F162)="leftover"),-N($G162),IF(AND($E162="correction",IF($F162="","reserve",$F162)="leftover"),N($G162),0))))</f>
        <v/>
      </c>
      <c r="P162" s="30" t="str">
        <f aca="false">IF(OR($E162&lt;&gt;"received",$I162="",$L162=""),"",IF($I162&gt;=$L162+config!$B$19,"Y","N"))</f>
        <v/>
      </c>
      <c r="Q162" s="30" t="str">
        <f aca="false">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30" t="str">
        <f aca="false">IF($C162="","",$C162&amp;"|"&amp;$D162&amp;"|"&amp;$E162)</f>
        <v/>
      </c>
    </row>
    <row r="163" customFormat="false" ht="15" hidden="false" customHeight="false" outlineLevel="0" collapsed="false">
      <c r="A163" s="11"/>
      <c r="B163" s="38"/>
      <c r="E163" s="10"/>
      <c r="I163" s="11"/>
      <c r="J163" s="10"/>
      <c r="L163" s="31" t="str">
        <f aca="false">IF($C163="","",IFERROR(IF(INDEX(campaigns!$BG$2:$BG$51,MATCH($C163,campaigns!$A$2:$A$51,0))="","",INDEX(campaigns!$BG$2:$BG$51,MATCH($C163,campaigns!$A$2:$A$51,0))),""))</f>
        <v/>
      </c>
      <c r="M163" s="30" t="str">
        <f aca="false">IF($C163="","",IF(OR($E163="received"),N($G163),IF(OR($E163="rejected",$E163="delivered",$E163="topped_up"),-N($G163),IF(AND(OR($E163="returned_to_brand",$E163="given_to_roster_office",$E163="released_to_office",$E163="disposed"),IF($F163="","reserve",$F163)="reserve"),-N($G163),IF(AND($E163="correction",IF($F163="","reserve",$F163)="reserve"),N($G163),0)))))</f>
        <v/>
      </c>
      <c r="N163" s="30" t="str">
        <f aca="false">IF($C163="","",IF($E163="rejected",N($G163),IF(AND(OR($E163="returned_to_brand",$E163="given_to_roster_office",$E163="released_to_office",$E163="disposed"),IF($F163="","reserve",$F163)="rejected"),-N($G163),IF(AND($E163="correction",IF($F163="","reserve",$F163)="rejected"),N($G163),0))))</f>
        <v/>
      </c>
      <c r="O163" s="30" t="str">
        <f aca="false">IF($C163="","",IF($E163="collected",N($G163),IF(AND(OR($E163="returned_to_brand",$E163="given_to_roster_office",$E163="released_to_office",$E163="disposed"),IF($F163="","reserve",$F163)="leftover"),-N($G163),IF(AND($E163="correction",IF($F163="","reserve",$F163)="leftover"),N($G163),0))))</f>
        <v/>
      </c>
      <c r="P163" s="30" t="str">
        <f aca="false">IF(OR($E163&lt;&gt;"received",$I163="",$L163=""),"",IF($I163&gt;=$L163+config!$B$19,"Y","N"))</f>
        <v/>
      </c>
      <c r="Q163" s="30" t="str">
        <f aca="false">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30" t="str">
        <f aca="false">IF($C163="","",$C163&amp;"|"&amp;$D163&amp;"|"&amp;$E163)</f>
        <v/>
      </c>
    </row>
    <row r="164" customFormat="false" ht="15" hidden="false" customHeight="false" outlineLevel="0" collapsed="false">
      <c r="A164" s="11"/>
      <c r="B164" s="38"/>
      <c r="E164" s="10"/>
      <c r="I164" s="11"/>
      <c r="J164" s="10"/>
      <c r="L164" s="31" t="str">
        <f aca="false">IF($C164="","",IFERROR(IF(INDEX(campaigns!$BG$2:$BG$51,MATCH($C164,campaigns!$A$2:$A$51,0))="","",INDEX(campaigns!$BG$2:$BG$51,MATCH($C164,campaigns!$A$2:$A$51,0))),""))</f>
        <v/>
      </c>
      <c r="M164" s="30" t="str">
        <f aca="false">IF($C164="","",IF(OR($E164="received"),N($G164),IF(OR($E164="rejected",$E164="delivered",$E164="topped_up"),-N($G164),IF(AND(OR($E164="returned_to_brand",$E164="given_to_roster_office",$E164="released_to_office",$E164="disposed"),IF($F164="","reserve",$F164)="reserve"),-N($G164),IF(AND($E164="correction",IF($F164="","reserve",$F164)="reserve"),N($G164),0)))))</f>
        <v/>
      </c>
      <c r="N164" s="30" t="str">
        <f aca="false">IF($C164="","",IF($E164="rejected",N($G164),IF(AND(OR($E164="returned_to_brand",$E164="given_to_roster_office",$E164="released_to_office",$E164="disposed"),IF($F164="","reserve",$F164)="rejected"),-N($G164),IF(AND($E164="correction",IF($F164="","reserve",$F164)="rejected"),N($G164),0))))</f>
        <v/>
      </c>
      <c r="O164" s="30" t="str">
        <f aca="false">IF($C164="","",IF($E164="collected",N($G164),IF(AND(OR($E164="returned_to_brand",$E164="given_to_roster_office",$E164="released_to_office",$E164="disposed"),IF($F164="","reserve",$F164)="leftover"),-N($G164),IF(AND($E164="correction",IF($F164="","reserve",$F164)="leftover"),N($G164),0))))</f>
        <v/>
      </c>
      <c r="P164" s="30" t="str">
        <f aca="false">IF(OR($E164&lt;&gt;"received",$I164="",$L164=""),"",IF($I164&gt;=$L164+config!$B$19,"Y","N"))</f>
        <v/>
      </c>
      <c r="Q164" s="30" t="str">
        <f aca="false">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30" t="str">
        <f aca="false">IF($C164="","",$C164&amp;"|"&amp;$D164&amp;"|"&amp;$E164)</f>
        <v/>
      </c>
    </row>
    <row r="165" customFormat="false" ht="15" hidden="false" customHeight="false" outlineLevel="0" collapsed="false">
      <c r="A165" s="11"/>
      <c r="B165" s="38"/>
      <c r="E165" s="10"/>
      <c r="I165" s="11"/>
      <c r="J165" s="10"/>
      <c r="L165" s="31" t="str">
        <f aca="false">IF($C165="","",IFERROR(IF(INDEX(campaigns!$BG$2:$BG$51,MATCH($C165,campaigns!$A$2:$A$51,0))="","",INDEX(campaigns!$BG$2:$BG$51,MATCH($C165,campaigns!$A$2:$A$51,0))),""))</f>
        <v/>
      </c>
      <c r="M165" s="30" t="str">
        <f aca="false">IF($C165="","",IF(OR($E165="received"),N($G165),IF(OR($E165="rejected",$E165="delivered",$E165="topped_up"),-N($G165),IF(AND(OR($E165="returned_to_brand",$E165="given_to_roster_office",$E165="released_to_office",$E165="disposed"),IF($F165="","reserve",$F165)="reserve"),-N($G165),IF(AND($E165="correction",IF($F165="","reserve",$F165)="reserve"),N($G165),0)))))</f>
        <v/>
      </c>
      <c r="N165" s="30" t="str">
        <f aca="false">IF($C165="","",IF($E165="rejected",N($G165),IF(AND(OR($E165="returned_to_brand",$E165="given_to_roster_office",$E165="released_to_office",$E165="disposed"),IF($F165="","reserve",$F165)="rejected"),-N($G165),IF(AND($E165="correction",IF($F165="","reserve",$F165)="rejected"),N($G165),0))))</f>
        <v/>
      </c>
      <c r="O165" s="30" t="str">
        <f aca="false">IF($C165="","",IF($E165="collected",N($G165),IF(AND(OR($E165="returned_to_brand",$E165="given_to_roster_office",$E165="released_to_office",$E165="disposed"),IF($F165="","reserve",$F165)="leftover"),-N($G165),IF(AND($E165="correction",IF($F165="","reserve",$F165)="leftover"),N($G165),0))))</f>
        <v/>
      </c>
      <c r="P165" s="30" t="str">
        <f aca="false">IF(OR($E165&lt;&gt;"received",$I165="",$L165=""),"",IF($I165&gt;=$L165+config!$B$19,"Y","N"))</f>
        <v/>
      </c>
      <c r="Q165" s="30" t="str">
        <f aca="false">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30" t="str">
        <f aca="false">IF($C165="","",$C165&amp;"|"&amp;$D165&amp;"|"&amp;$E165)</f>
        <v/>
      </c>
    </row>
    <row r="166" customFormat="false" ht="15" hidden="false" customHeight="false" outlineLevel="0" collapsed="false">
      <c r="A166" s="11"/>
      <c r="B166" s="38"/>
      <c r="E166" s="10"/>
      <c r="I166" s="11"/>
      <c r="J166" s="10"/>
      <c r="L166" s="31" t="str">
        <f aca="false">IF($C166="","",IFERROR(IF(INDEX(campaigns!$BG$2:$BG$51,MATCH($C166,campaigns!$A$2:$A$51,0))="","",INDEX(campaigns!$BG$2:$BG$51,MATCH($C166,campaigns!$A$2:$A$51,0))),""))</f>
        <v/>
      </c>
      <c r="M166" s="30" t="str">
        <f aca="false">IF($C166="","",IF(OR($E166="received"),N($G166),IF(OR($E166="rejected",$E166="delivered",$E166="topped_up"),-N($G166),IF(AND(OR($E166="returned_to_brand",$E166="given_to_roster_office",$E166="released_to_office",$E166="disposed"),IF($F166="","reserve",$F166)="reserve"),-N($G166),IF(AND($E166="correction",IF($F166="","reserve",$F166)="reserve"),N($G166),0)))))</f>
        <v/>
      </c>
      <c r="N166" s="30" t="str">
        <f aca="false">IF($C166="","",IF($E166="rejected",N($G166),IF(AND(OR($E166="returned_to_brand",$E166="given_to_roster_office",$E166="released_to_office",$E166="disposed"),IF($F166="","reserve",$F166)="rejected"),-N($G166),IF(AND($E166="correction",IF($F166="","reserve",$F166)="rejected"),N($G166),0))))</f>
        <v/>
      </c>
      <c r="O166" s="30" t="str">
        <f aca="false">IF($C166="","",IF($E166="collected",N($G166),IF(AND(OR($E166="returned_to_brand",$E166="given_to_roster_office",$E166="released_to_office",$E166="disposed"),IF($F166="","reserve",$F166)="leftover"),-N($G166),IF(AND($E166="correction",IF($F166="","reserve",$F166)="leftover"),N($G166),0))))</f>
        <v/>
      </c>
      <c r="P166" s="30" t="str">
        <f aca="false">IF(OR($E166&lt;&gt;"received",$I166="",$L166=""),"",IF($I166&gt;=$L166+config!$B$19,"Y","N"))</f>
        <v/>
      </c>
      <c r="Q166" s="30" t="str">
        <f aca="false">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30" t="str">
        <f aca="false">IF($C166="","",$C166&amp;"|"&amp;$D166&amp;"|"&amp;$E166)</f>
        <v/>
      </c>
    </row>
    <row r="167" customFormat="false" ht="15" hidden="false" customHeight="false" outlineLevel="0" collapsed="false">
      <c r="A167" s="11"/>
      <c r="B167" s="38"/>
      <c r="E167" s="10"/>
      <c r="I167" s="11"/>
      <c r="J167" s="10"/>
      <c r="L167" s="31" t="str">
        <f aca="false">IF($C167="","",IFERROR(IF(INDEX(campaigns!$BG$2:$BG$51,MATCH($C167,campaigns!$A$2:$A$51,0))="","",INDEX(campaigns!$BG$2:$BG$51,MATCH($C167,campaigns!$A$2:$A$51,0))),""))</f>
        <v/>
      </c>
      <c r="M167" s="30" t="str">
        <f aca="false">IF($C167="","",IF(OR($E167="received"),N($G167),IF(OR($E167="rejected",$E167="delivered",$E167="topped_up"),-N($G167),IF(AND(OR($E167="returned_to_brand",$E167="given_to_roster_office",$E167="released_to_office",$E167="disposed"),IF($F167="","reserve",$F167)="reserve"),-N($G167),IF(AND($E167="correction",IF($F167="","reserve",$F167)="reserve"),N($G167),0)))))</f>
        <v/>
      </c>
      <c r="N167" s="30" t="str">
        <f aca="false">IF($C167="","",IF($E167="rejected",N($G167),IF(AND(OR($E167="returned_to_brand",$E167="given_to_roster_office",$E167="released_to_office",$E167="disposed"),IF($F167="","reserve",$F167)="rejected"),-N($G167),IF(AND($E167="correction",IF($F167="","reserve",$F167)="rejected"),N($G167),0))))</f>
        <v/>
      </c>
      <c r="O167" s="30" t="str">
        <f aca="false">IF($C167="","",IF($E167="collected",N($G167),IF(AND(OR($E167="returned_to_brand",$E167="given_to_roster_office",$E167="released_to_office",$E167="disposed"),IF($F167="","reserve",$F167)="leftover"),-N($G167),IF(AND($E167="correction",IF($F167="","reserve",$F167)="leftover"),N($G167),0))))</f>
        <v/>
      </c>
      <c r="P167" s="30" t="str">
        <f aca="false">IF(OR($E167&lt;&gt;"received",$I167="",$L167=""),"",IF($I167&gt;=$L167+config!$B$19,"Y","N"))</f>
        <v/>
      </c>
      <c r="Q167" s="30" t="str">
        <f aca="false">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30" t="str">
        <f aca="false">IF($C167="","",$C167&amp;"|"&amp;$D167&amp;"|"&amp;$E167)</f>
        <v/>
      </c>
    </row>
    <row r="168" customFormat="false" ht="15" hidden="false" customHeight="false" outlineLevel="0" collapsed="false">
      <c r="A168" s="11"/>
      <c r="B168" s="38"/>
      <c r="E168" s="10"/>
      <c r="I168" s="11"/>
      <c r="J168" s="10"/>
      <c r="L168" s="31" t="str">
        <f aca="false">IF($C168="","",IFERROR(IF(INDEX(campaigns!$BG$2:$BG$51,MATCH($C168,campaigns!$A$2:$A$51,0))="","",INDEX(campaigns!$BG$2:$BG$51,MATCH($C168,campaigns!$A$2:$A$51,0))),""))</f>
        <v/>
      </c>
      <c r="M168" s="30" t="str">
        <f aca="false">IF($C168="","",IF(OR($E168="received"),N($G168),IF(OR($E168="rejected",$E168="delivered",$E168="topped_up"),-N($G168),IF(AND(OR($E168="returned_to_brand",$E168="given_to_roster_office",$E168="released_to_office",$E168="disposed"),IF($F168="","reserve",$F168)="reserve"),-N($G168),IF(AND($E168="correction",IF($F168="","reserve",$F168)="reserve"),N($G168),0)))))</f>
        <v/>
      </c>
      <c r="N168" s="30" t="str">
        <f aca="false">IF($C168="","",IF($E168="rejected",N($G168),IF(AND(OR($E168="returned_to_brand",$E168="given_to_roster_office",$E168="released_to_office",$E168="disposed"),IF($F168="","reserve",$F168)="rejected"),-N($G168),IF(AND($E168="correction",IF($F168="","reserve",$F168)="rejected"),N($G168),0))))</f>
        <v/>
      </c>
      <c r="O168" s="30" t="str">
        <f aca="false">IF($C168="","",IF($E168="collected",N($G168),IF(AND(OR($E168="returned_to_brand",$E168="given_to_roster_office",$E168="released_to_office",$E168="disposed"),IF($F168="","reserve",$F168)="leftover"),-N($G168),IF(AND($E168="correction",IF($F168="","reserve",$F168)="leftover"),N($G168),0))))</f>
        <v/>
      </c>
      <c r="P168" s="30" t="str">
        <f aca="false">IF(OR($E168&lt;&gt;"received",$I168="",$L168=""),"",IF($I168&gt;=$L168+config!$B$19,"Y","N"))</f>
        <v/>
      </c>
      <c r="Q168" s="30" t="str">
        <f aca="false">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30" t="str">
        <f aca="false">IF($C168="","",$C168&amp;"|"&amp;$D168&amp;"|"&amp;$E168)</f>
        <v/>
      </c>
    </row>
    <row r="169" customFormat="false" ht="15" hidden="false" customHeight="false" outlineLevel="0" collapsed="false">
      <c r="A169" s="11"/>
      <c r="B169" s="38"/>
      <c r="E169" s="10"/>
      <c r="I169" s="11"/>
      <c r="J169" s="10"/>
      <c r="L169" s="31" t="str">
        <f aca="false">IF($C169="","",IFERROR(IF(INDEX(campaigns!$BG$2:$BG$51,MATCH($C169,campaigns!$A$2:$A$51,0))="","",INDEX(campaigns!$BG$2:$BG$51,MATCH($C169,campaigns!$A$2:$A$51,0))),""))</f>
        <v/>
      </c>
      <c r="M169" s="30" t="str">
        <f aca="false">IF($C169="","",IF(OR($E169="received"),N($G169),IF(OR($E169="rejected",$E169="delivered",$E169="topped_up"),-N($G169),IF(AND(OR($E169="returned_to_brand",$E169="given_to_roster_office",$E169="released_to_office",$E169="disposed"),IF($F169="","reserve",$F169)="reserve"),-N($G169),IF(AND($E169="correction",IF($F169="","reserve",$F169)="reserve"),N($G169),0)))))</f>
        <v/>
      </c>
      <c r="N169" s="30" t="str">
        <f aca="false">IF($C169="","",IF($E169="rejected",N($G169),IF(AND(OR($E169="returned_to_brand",$E169="given_to_roster_office",$E169="released_to_office",$E169="disposed"),IF($F169="","reserve",$F169)="rejected"),-N($G169),IF(AND($E169="correction",IF($F169="","reserve",$F169)="rejected"),N($G169),0))))</f>
        <v/>
      </c>
      <c r="O169" s="30" t="str">
        <f aca="false">IF($C169="","",IF($E169="collected",N($G169),IF(AND(OR($E169="returned_to_brand",$E169="given_to_roster_office",$E169="released_to_office",$E169="disposed"),IF($F169="","reserve",$F169)="leftover"),-N($G169),IF(AND($E169="correction",IF($F169="","reserve",$F169)="leftover"),N($G169),0))))</f>
        <v/>
      </c>
      <c r="P169" s="30" t="str">
        <f aca="false">IF(OR($E169&lt;&gt;"received",$I169="",$L169=""),"",IF($I169&gt;=$L169+config!$B$19,"Y","N"))</f>
        <v/>
      </c>
      <c r="Q169" s="30" t="str">
        <f aca="false">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30" t="str">
        <f aca="false">IF($C169="","",$C169&amp;"|"&amp;$D169&amp;"|"&amp;$E169)</f>
        <v/>
      </c>
    </row>
    <row r="170" customFormat="false" ht="15" hidden="false" customHeight="false" outlineLevel="0" collapsed="false">
      <c r="A170" s="11"/>
      <c r="B170" s="38"/>
      <c r="E170" s="10"/>
      <c r="I170" s="11"/>
      <c r="J170" s="10"/>
      <c r="L170" s="31" t="str">
        <f aca="false">IF($C170="","",IFERROR(IF(INDEX(campaigns!$BG$2:$BG$51,MATCH($C170,campaigns!$A$2:$A$51,0))="","",INDEX(campaigns!$BG$2:$BG$51,MATCH($C170,campaigns!$A$2:$A$51,0))),""))</f>
        <v/>
      </c>
      <c r="M170" s="30" t="str">
        <f aca="false">IF($C170="","",IF(OR($E170="received"),N($G170),IF(OR($E170="rejected",$E170="delivered",$E170="topped_up"),-N($G170),IF(AND(OR($E170="returned_to_brand",$E170="given_to_roster_office",$E170="released_to_office",$E170="disposed"),IF($F170="","reserve",$F170)="reserve"),-N($G170),IF(AND($E170="correction",IF($F170="","reserve",$F170)="reserve"),N($G170),0)))))</f>
        <v/>
      </c>
      <c r="N170" s="30" t="str">
        <f aca="false">IF($C170="","",IF($E170="rejected",N($G170),IF(AND(OR($E170="returned_to_brand",$E170="given_to_roster_office",$E170="released_to_office",$E170="disposed"),IF($F170="","reserve",$F170)="rejected"),-N($G170),IF(AND($E170="correction",IF($F170="","reserve",$F170)="rejected"),N($G170),0))))</f>
        <v/>
      </c>
      <c r="O170" s="30" t="str">
        <f aca="false">IF($C170="","",IF($E170="collected",N($G170),IF(AND(OR($E170="returned_to_brand",$E170="given_to_roster_office",$E170="released_to_office",$E170="disposed"),IF($F170="","reserve",$F170)="leftover"),-N($G170),IF(AND($E170="correction",IF($F170="","reserve",$F170)="leftover"),N($G170),0))))</f>
        <v/>
      </c>
      <c r="P170" s="30" t="str">
        <f aca="false">IF(OR($E170&lt;&gt;"received",$I170="",$L170=""),"",IF($I170&gt;=$L170+config!$B$19,"Y","N"))</f>
        <v/>
      </c>
      <c r="Q170" s="30" t="str">
        <f aca="false">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30" t="str">
        <f aca="false">IF($C170="","",$C170&amp;"|"&amp;$D170&amp;"|"&amp;$E170)</f>
        <v/>
      </c>
    </row>
    <row r="171" customFormat="false" ht="15" hidden="false" customHeight="false" outlineLevel="0" collapsed="false">
      <c r="A171" s="11"/>
      <c r="B171" s="38"/>
      <c r="E171" s="10"/>
      <c r="I171" s="11"/>
      <c r="J171" s="10"/>
      <c r="L171" s="31" t="str">
        <f aca="false">IF($C171="","",IFERROR(IF(INDEX(campaigns!$BG$2:$BG$51,MATCH($C171,campaigns!$A$2:$A$51,0))="","",INDEX(campaigns!$BG$2:$BG$51,MATCH($C171,campaigns!$A$2:$A$51,0))),""))</f>
        <v/>
      </c>
      <c r="M171" s="30" t="str">
        <f aca="false">IF($C171="","",IF(OR($E171="received"),N($G171),IF(OR($E171="rejected",$E171="delivered",$E171="topped_up"),-N($G171),IF(AND(OR($E171="returned_to_brand",$E171="given_to_roster_office",$E171="released_to_office",$E171="disposed"),IF($F171="","reserve",$F171)="reserve"),-N($G171),IF(AND($E171="correction",IF($F171="","reserve",$F171)="reserve"),N($G171),0)))))</f>
        <v/>
      </c>
      <c r="N171" s="30" t="str">
        <f aca="false">IF($C171="","",IF($E171="rejected",N($G171),IF(AND(OR($E171="returned_to_brand",$E171="given_to_roster_office",$E171="released_to_office",$E171="disposed"),IF($F171="","reserve",$F171)="rejected"),-N($G171),IF(AND($E171="correction",IF($F171="","reserve",$F171)="rejected"),N($G171),0))))</f>
        <v/>
      </c>
      <c r="O171" s="30" t="str">
        <f aca="false">IF($C171="","",IF($E171="collected",N($G171),IF(AND(OR($E171="returned_to_brand",$E171="given_to_roster_office",$E171="released_to_office",$E171="disposed"),IF($F171="","reserve",$F171)="leftover"),-N($G171),IF(AND($E171="correction",IF($F171="","reserve",$F171)="leftover"),N($G171),0))))</f>
        <v/>
      </c>
      <c r="P171" s="30" t="str">
        <f aca="false">IF(OR($E171&lt;&gt;"received",$I171="",$L171=""),"",IF($I171&gt;=$L171+config!$B$19,"Y","N"))</f>
        <v/>
      </c>
      <c r="Q171" s="30" t="str">
        <f aca="false">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30" t="str">
        <f aca="false">IF($C171="","",$C171&amp;"|"&amp;$D171&amp;"|"&amp;$E171)</f>
        <v/>
      </c>
    </row>
    <row r="172" customFormat="false" ht="15" hidden="false" customHeight="false" outlineLevel="0" collapsed="false">
      <c r="A172" s="11"/>
      <c r="B172" s="38"/>
      <c r="E172" s="10"/>
      <c r="I172" s="11"/>
      <c r="J172" s="10"/>
      <c r="L172" s="31" t="str">
        <f aca="false">IF($C172="","",IFERROR(IF(INDEX(campaigns!$BG$2:$BG$51,MATCH($C172,campaigns!$A$2:$A$51,0))="","",INDEX(campaigns!$BG$2:$BG$51,MATCH($C172,campaigns!$A$2:$A$51,0))),""))</f>
        <v/>
      </c>
      <c r="M172" s="30" t="str">
        <f aca="false">IF($C172="","",IF(OR($E172="received"),N($G172),IF(OR($E172="rejected",$E172="delivered",$E172="topped_up"),-N($G172),IF(AND(OR($E172="returned_to_brand",$E172="given_to_roster_office",$E172="released_to_office",$E172="disposed"),IF($F172="","reserve",$F172)="reserve"),-N($G172),IF(AND($E172="correction",IF($F172="","reserve",$F172)="reserve"),N($G172),0)))))</f>
        <v/>
      </c>
      <c r="N172" s="30" t="str">
        <f aca="false">IF($C172="","",IF($E172="rejected",N($G172),IF(AND(OR($E172="returned_to_brand",$E172="given_to_roster_office",$E172="released_to_office",$E172="disposed"),IF($F172="","reserve",$F172)="rejected"),-N($G172),IF(AND($E172="correction",IF($F172="","reserve",$F172)="rejected"),N($G172),0))))</f>
        <v/>
      </c>
      <c r="O172" s="30" t="str">
        <f aca="false">IF($C172="","",IF($E172="collected",N($G172),IF(AND(OR($E172="returned_to_brand",$E172="given_to_roster_office",$E172="released_to_office",$E172="disposed"),IF($F172="","reserve",$F172)="leftover"),-N($G172),IF(AND($E172="correction",IF($F172="","reserve",$F172)="leftover"),N($G172),0))))</f>
        <v/>
      </c>
      <c r="P172" s="30" t="str">
        <f aca="false">IF(OR($E172&lt;&gt;"received",$I172="",$L172=""),"",IF($I172&gt;=$L172+config!$B$19,"Y","N"))</f>
        <v/>
      </c>
      <c r="Q172" s="30" t="str">
        <f aca="false">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30" t="str">
        <f aca="false">IF($C172="","",$C172&amp;"|"&amp;$D172&amp;"|"&amp;$E172)</f>
        <v/>
      </c>
    </row>
    <row r="173" customFormat="false" ht="15" hidden="false" customHeight="false" outlineLevel="0" collapsed="false">
      <c r="A173" s="11"/>
      <c r="B173" s="38"/>
      <c r="E173" s="10"/>
      <c r="I173" s="11"/>
      <c r="J173" s="10"/>
      <c r="L173" s="31" t="str">
        <f aca="false">IF($C173="","",IFERROR(IF(INDEX(campaigns!$BG$2:$BG$51,MATCH($C173,campaigns!$A$2:$A$51,0))="","",INDEX(campaigns!$BG$2:$BG$51,MATCH($C173,campaigns!$A$2:$A$51,0))),""))</f>
        <v/>
      </c>
      <c r="M173" s="30" t="str">
        <f aca="false">IF($C173="","",IF(OR($E173="received"),N($G173),IF(OR($E173="rejected",$E173="delivered",$E173="topped_up"),-N($G173),IF(AND(OR($E173="returned_to_brand",$E173="given_to_roster_office",$E173="released_to_office",$E173="disposed"),IF($F173="","reserve",$F173)="reserve"),-N($G173),IF(AND($E173="correction",IF($F173="","reserve",$F173)="reserve"),N($G173),0)))))</f>
        <v/>
      </c>
      <c r="N173" s="30" t="str">
        <f aca="false">IF($C173="","",IF($E173="rejected",N($G173),IF(AND(OR($E173="returned_to_brand",$E173="given_to_roster_office",$E173="released_to_office",$E173="disposed"),IF($F173="","reserve",$F173)="rejected"),-N($G173),IF(AND($E173="correction",IF($F173="","reserve",$F173)="rejected"),N($G173),0))))</f>
        <v/>
      </c>
      <c r="O173" s="30" t="str">
        <f aca="false">IF($C173="","",IF($E173="collected",N($G173),IF(AND(OR($E173="returned_to_brand",$E173="given_to_roster_office",$E173="released_to_office",$E173="disposed"),IF($F173="","reserve",$F173)="leftover"),-N($G173),IF(AND($E173="correction",IF($F173="","reserve",$F173)="leftover"),N($G173),0))))</f>
        <v/>
      </c>
      <c r="P173" s="30" t="str">
        <f aca="false">IF(OR($E173&lt;&gt;"received",$I173="",$L173=""),"",IF($I173&gt;=$L173+config!$B$19,"Y","N"))</f>
        <v/>
      </c>
      <c r="Q173" s="30" t="str">
        <f aca="false">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30" t="str">
        <f aca="false">IF($C173="","",$C173&amp;"|"&amp;$D173&amp;"|"&amp;$E173)</f>
        <v/>
      </c>
    </row>
    <row r="174" customFormat="false" ht="15" hidden="false" customHeight="false" outlineLevel="0" collapsed="false">
      <c r="A174" s="11"/>
      <c r="B174" s="38"/>
      <c r="E174" s="10"/>
      <c r="I174" s="11"/>
      <c r="J174" s="10"/>
      <c r="L174" s="31" t="str">
        <f aca="false">IF($C174="","",IFERROR(IF(INDEX(campaigns!$BG$2:$BG$51,MATCH($C174,campaigns!$A$2:$A$51,0))="","",INDEX(campaigns!$BG$2:$BG$51,MATCH($C174,campaigns!$A$2:$A$51,0))),""))</f>
        <v/>
      </c>
      <c r="M174" s="30" t="str">
        <f aca="false">IF($C174="","",IF(OR($E174="received"),N($G174),IF(OR($E174="rejected",$E174="delivered",$E174="topped_up"),-N($G174),IF(AND(OR($E174="returned_to_brand",$E174="given_to_roster_office",$E174="released_to_office",$E174="disposed"),IF($F174="","reserve",$F174)="reserve"),-N($G174),IF(AND($E174="correction",IF($F174="","reserve",$F174)="reserve"),N($G174),0)))))</f>
        <v/>
      </c>
      <c r="N174" s="30" t="str">
        <f aca="false">IF($C174="","",IF($E174="rejected",N($G174),IF(AND(OR($E174="returned_to_brand",$E174="given_to_roster_office",$E174="released_to_office",$E174="disposed"),IF($F174="","reserve",$F174)="rejected"),-N($G174),IF(AND($E174="correction",IF($F174="","reserve",$F174)="rejected"),N($G174),0))))</f>
        <v/>
      </c>
      <c r="O174" s="30" t="str">
        <f aca="false">IF($C174="","",IF($E174="collected",N($G174),IF(AND(OR($E174="returned_to_brand",$E174="given_to_roster_office",$E174="released_to_office",$E174="disposed"),IF($F174="","reserve",$F174)="leftover"),-N($G174),IF(AND($E174="correction",IF($F174="","reserve",$F174)="leftover"),N($G174),0))))</f>
        <v/>
      </c>
      <c r="P174" s="30" t="str">
        <f aca="false">IF(OR($E174&lt;&gt;"received",$I174="",$L174=""),"",IF($I174&gt;=$L174+config!$B$19,"Y","N"))</f>
        <v/>
      </c>
      <c r="Q174" s="30" t="str">
        <f aca="false">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30" t="str">
        <f aca="false">IF($C174="","",$C174&amp;"|"&amp;$D174&amp;"|"&amp;$E174)</f>
        <v/>
      </c>
    </row>
    <row r="175" customFormat="false" ht="15" hidden="false" customHeight="false" outlineLevel="0" collapsed="false">
      <c r="A175" s="11"/>
      <c r="B175" s="38"/>
      <c r="E175" s="10"/>
      <c r="I175" s="11"/>
      <c r="J175" s="10"/>
      <c r="L175" s="31" t="str">
        <f aca="false">IF($C175="","",IFERROR(IF(INDEX(campaigns!$BG$2:$BG$51,MATCH($C175,campaigns!$A$2:$A$51,0))="","",INDEX(campaigns!$BG$2:$BG$51,MATCH($C175,campaigns!$A$2:$A$51,0))),""))</f>
        <v/>
      </c>
      <c r="M175" s="30" t="str">
        <f aca="false">IF($C175="","",IF(OR($E175="received"),N($G175),IF(OR($E175="rejected",$E175="delivered",$E175="topped_up"),-N($G175),IF(AND(OR($E175="returned_to_brand",$E175="given_to_roster_office",$E175="released_to_office",$E175="disposed"),IF($F175="","reserve",$F175)="reserve"),-N($G175),IF(AND($E175="correction",IF($F175="","reserve",$F175)="reserve"),N($G175),0)))))</f>
        <v/>
      </c>
      <c r="N175" s="30" t="str">
        <f aca="false">IF($C175="","",IF($E175="rejected",N($G175),IF(AND(OR($E175="returned_to_brand",$E175="given_to_roster_office",$E175="released_to_office",$E175="disposed"),IF($F175="","reserve",$F175)="rejected"),-N($G175),IF(AND($E175="correction",IF($F175="","reserve",$F175)="rejected"),N($G175),0))))</f>
        <v/>
      </c>
      <c r="O175" s="30" t="str">
        <f aca="false">IF($C175="","",IF($E175="collected",N($G175),IF(AND(OR($E175="returned_to_brand",$E175="given_to_roster_office",$E175="released_to_office",$E175="disposed"),IF($F175="","reserve",$F175)="leftover"),-N($G175),IF(AND($E175="correction",IF($F175="","reserve",$F175)="leftover"),N($G175),0))))</f>
        <v/>
      </c>
      <c r="P175" s="30" t="str">
        <f aca="false">IF(OR($E175&lt;&gt;"received",$I175="",$L175=""),"",IF($I175&gt;=$L175+config!$B$19,"Y","N"))</f>
        <v/>
      </c>
      <c r="Q175" s="30" t="str">
        <f aca="false">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30" t="str">
        <f aca="false">IF($C175="","",$C175&amp;"|"&amp;$D175&amp;"|"&amp;$E175)</f>
        <v/>
      </c>
    </row>
    <row r="176" customFormat="false" ht="15" hidden="false" customHeight="false" outlineLevel="0" collapsed="false">
      <c r="A176" s="11"/>
      <c r="B176" s="38"/>
      <c r="E176" s="10"/>
      <c r="I176" s="11"/>
      <c r="J176" s="10"/>
      <c r="L176" s="31" t="str">
        <f aca="false">IF($C176="","",IFERROR(IF(INDEX(campaigns!$BG$2:$BG$51,MATCH($C176,campaigns!$A$2:$A$51,0))="","",INDEX(campaigns!$BG$2:$BG$51,MATCH($C176,campaigns!$A$2:$A$51,0))),""))</f>
        <v/>
      </c>
      <c r="M176" s="30" t="str">
        <f aca="false">IF($C176="","",IF(OR($E176="received"),N($G176),IF(OR($E176="rejected",$E176="delivered",$E176="topped_up"),-N($G176),IF(AND(OR($E176="returned_to_brand",$E176="given_to_roster_office",$E176="released_to_office",$E176="disposed"),IF($F176="","reserve",$F176)="reserve"),-N($G176),IF(AND($E176="correction",IF($F176="","reserve",$F176)="reserve"),N($G176),0)))))</f>
        <v/>
      </c>
      <c r="N176" s="30" t="str">
        <f aca="false">IF($C176="","",IF($E176="rejected",N($G176),IF(AND(OR($E176="returned_to_brand",$E176="given_to_roster_office",$E176="released_to_office",$E176="disposed"),IF($F176="","reserve",$F176)="rejected"),-N($G176),IF(AND($E176="correction",IF($F176="","reserve",$F176)="rejected"),N($G176),0))))</f>
        <v/>
      </c>
      <c r="O176" s="30" t="str">
        <f aca="false">IF($C176="","",IF($E176="collected",N($G176),IF(AND(OR($E176="returned_to_brand",$E176="given_to_roster_office",$E176="released_to_office",$E176="disposed"),IF($F176="","reserve",$F176)="leftover"),-N($G176),IF(AND($E176="correction",IF($F176="","reserve",$F176)="leftover"),N($G176),0))))</f>
        <v/>
      </c>
      <c r="P176" s="30" t="str">
        <f aca="false">IF(OR($E176&lt;&gt;"received",$I176="",$L176=""),"",IF($I176&gt;=$L176+config!$B$19,"Y","N"))</f>
        <v/>
      </c>
      <c r="Q176" s="30" t="str">
        <f aca="false">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30" t="str">
        <f aca="false">IF($C176="","",$C176&amp;"|"&amp;$D176&amp;"|"&amp;$E176)</f>
        <v/>
      </c>
    </row>
    <row r="177" customFormat="false" ht="15" hidden="false" customHeight="false" outlineLevel="0" collapsed="false">
      <c r="A177" s="11"/>
      <c r="B177" s="38"/>
      <c r="E177" s="10"/>
      <c r="I177" s="11"/>
      <c r="J177" s="10"/>
      <c r="L177" s="31" t="str">
        <f aca="false">IF($C177="","",IFERROR(IF(INDEX(campaigns!$BG$2:$BG$51,MATCH($C177,campaigns!$A$2:$A$51,0))="","",INDEX(campaigns!$BG$2:$BG$51,MATCH($C177,campaigns!$A$2:$A$51,0))),""))</f>
        <v/>
      </c>
      <c r="M177" s="30" t="str">
        <f aca="false">IF($C177="","",IF(OR($E177="received"),N($G177),IF(OR($E177="rejected",$E177="delivered",$E177="topped_up"),-N($G177),IF(AND(OR($E177="returned_to_brand",$E177="given_to_roster_office",$E177="released_to_office",$E177="disposed"),IF($F177="","reserve",$F177)="reserve"),-N($G177),IF(AND($E177="correction",IF($F177="","reserve",$F177)="reserve"),N($G177),0)))))</f>
        <v/>
      </c>
      <c r="N177" s="30" t="str">
        <f aca="false">IF($C177="","",IF($E177="rejected",N($G177),IF(AND(OR($E177="returned_to_brand",$E177="given_to_roster_office",$E177="released_to_office",$E177="disposed"),IF($F177="","reserve",$F177)="rejected"),-N($G177),IF(AND($E177="correction",IF($F177="","reserve",$F177)="rejected"),N($G177),0))))</f>
        <v/>
      </c>
      <c r="O177" s="30" t="str">
        <f aca="false">IF($C177="","",IF($E177="collected",N($G177),IF(AND(OR($E177="returned_to_brand",$E177="given_to_roster_office",$E177="released_to_office",$E177="disposed"),IF($F177="","reserve",$F177)="leftover"),-N($G177),IF(AND($E177="correction",IF($F177="","reserve",$F177)="leftover"),N($G177),0))))</f>
        <v/>
      </c>
      <c r="P177" s="30" t="str">
        <f aca="false">IF(OR($E177&lt;&gt;"received",$I177="",$L177=""),"",IF($I177&gt;=$L177+config!$B$19,"Y","N"))</f>
        <v/>
      </c>
      <c r="Q177" s="30" t="str">
        <f aca="false">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30" t="str">
        <f aca="false">IF($C177="","",$C177&amp;"|"&amp;$D177&amp;"|"&amp;$E177)</f>
        <v/>
      </c>
    </row>
    <row r="178" customFormat="false" ht="15" hidden="false" customHeight="false" outlineLevel="0" collapsed="false">
      <c r="A178" s="11"/>
      <c r="B178" s="38"/>
      <c r="E178" s="10"/>
      <c r="I178" s="11"/>
      <c r="J178" s="10"/>
      <c r="L178" s="31" t="str">
        <f aca="false">IF($C178="","",IFERROR(IF(INDEX(campaigns!$BG$2:$BG$51,MATCH($C178,campaigns!$A$2:$A$51,0))="","",INDEX(campaigns!$BG$2:$BG$51,MATCH($C178,campaigns!$A$2:$A$51,0))),""))</f>
        <v/>
      </c>
      <c r="M178" s="30" t="str">
        <f aca="false">IF($C178="","",IF(OR($E178="received"),N($G178),IF(OR($E178="rejected",$E178="delivered",$E178="topped_up"),-N($G178),IF(AND(OR($E178="returned_to_brand",$E178="given_to_roster_office",$E178="released_to_office",$E178="disposed"),IF($F178="","reserve",$F178)="reserve"),-N($G178),IF(AND($E178="correction",IF($F178="","reserve",$F178)="reserve"),N($G178),0)))))</f>
        <v/>
      </c>
      <c r="N178" s="30" t="str">
        <f aca="false">IF($C178="","",IF($E178="rejected",N($G178),IF(AND(OR($E178="returned_to_brand",$E178="given_to_roster_office",$E178="released_to_office",$E178="disposed"),IF($F178="","reserve",$F178)="rejected"),-N($G178),IF(AND($E178="correction",IF($F178="","reserve",$F178)="rejected"),N($G178),0))))</f>
        <v/>
      </c>
      <c r="O178" s="30" t="str">
        <f aca="false">IF($C178="","",IF($E178="collected",N($G178),IF(AND(OR($E178="returned_to_brand",$E178="given_to_roster_office",$E178="released_to_office",$E178="disposed"),IF($F178="","reserve",$F178)="leftover"),-N($G178),IF(AND($E178="correction",IF($F178="","reserve",$F178)="leftover"),N($G178),0))))</f>
        <v/>
      </c>
      <c r="P178" s="30" t="str">
        <f aca="false">IF(OR($E178&lt;&gt;"received",$I178="",$L178=""),"",IF($I178&gt;=$L178+config!$B$19,"Y","N"))</f>
        <v/>
      </c>
      <c r="Q178" s="30" t="str">
        <f aca="false">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30" t="str">
        <f aca="false">IF($C178="","",$C178&amp;"|"&amp;$D178&amp;"|"&amp;$E178)</f>
        <v/>
      </c>
    </row>
    <row r="179" customFormat="false" ht="15" hidden="false" customHeight="false" outlineLevel="0" collapsed="false">
      <c r="A179" s="11"/>
      <c r="B179" s="38"/>
      <c r="E179" s="10"/>
      <c r="I179" s="11"/>
      <c r="J179" s="10"/>
      <c r="L179" s="31" t="str">
        <f aca="false">IF($C179="","",IFERROR(IF(INDEX(campaigns!$BG$2:$BG$51,MATCH($C179,campaigns!$A$2:$A$51,0))="","",INDEX(campaigns!$BG$2:$BG$51,MATCH($C179,campaigns!$A$2:$A$51,0))),""))</f>
        <v/>
      </c>
      <c r="M179" s="30" t="str">
        <f aca="false">IF($C179="","",IF(OR($E179="received"),N($G179),IF(OR($E179="rejected",$E179="delivered",$E179="topped_up"),-N($G179),IF(AND(OR($E179="returned_to_brand",$E179="given_to_roster_office",$E179="released_to_office",$E179="disposed"),IF($F179="","reserve",$F179)="reserve"),-N($G179),IF(AND($E179="correction",IF($F179="","reserve",$F179)="reserve"),N($G179),0)))))</f>
        <v/>
      </c>
      <c r="N179" s="30" t="str">
        <f aca="false">IF($C179="","",IF($E179="rejected",N($G179),IF(AND(OR($E179="returned_to_brand",$E179="given_to_roster_office",$E179="released_to_office",$E179="disposed"),IF($F179="","reserve",$F179)="rejected"),-N($G179),IF(AND($E179="correction",IF($F179="","reserve",$F179)="rejected"),N($G179),0))))</f>
        <v/>
      </c>
      <c r="O179" s="30" t="str">
        <f aca="false">IF($C179="","",IF($E179="collected",N($G179),IF(AND(OR($E179="returned_to_brand",$E179="given_to_roster_office",$E179="released_to_office",$E179="disposed"),IF($F179="","reserve",$F179)="leftover"),-N($G179),IF(AND($E179="correction",IF($F179="","reserve",$F179)="leftover"),N($G179),0))))</f>
        <v/>
      </c>
      <c r="P179" s="30" t="str">
        <f aca="false">IF(OR($E179&lt;&gt;"received",$I179="",$L179=""),"",IF($I179&gt;=$L179+config!$B$19,"Y","N"))</f>
        <v/>
      </c>
      <c r="Q179" s="30" t="str">
        <f aca="false">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30" t="str">
        <f aca="false">IF($C179="","",$C179&amp;"|"&amp;$D179&amp;"|"&amp;$E179)</f>
        <v/>
      </c>
    </row>
    <row r="180" customFormat="false" ht="15" hidden="false" customHeight="false" outlineLevel="0" collapsed="false">
      <c r="A180" s="11"/>
      <c r="B180" s="38"/>
      <c r="E180" s="10"/>
      <c r="I180" s="11"/>
      <c r="J180" s="10"/>
      <c r="L180" s="31" t="str">
        <f aca="false">IF($C180="","",IFERROR(IF(INDEX(campaigns!$BG$2:$BG$51,MATCH($C180,campaigns!$A$2:$A$51,0))="","",INDEX(campaigns!$BG$2:$BG$51,MATCH($C180,campaigns!$A$2:$A$51,0))),""))</f>
        <v/>
      </c>
      <c r="M180" s="30" t="str">
        <f aca="false">IF($C180="","",IF(OR($E180="received"),N($G180),IF(OR($E180="rejected",$E180="delivered",$E180="topped_up"),-N($G180),IF(AND(OR($E180="returned_to_brand",$E180="given_to_roster_office",$E180="released_to_office",$E180="disposed"),IF($F180="","reserve",$F180)="reserve"),-N($G180),IF(AND($E180="correction",IF($F180="","reserve",$F180)="reserve"),N($G180),0)))))</f>
        <v/>
      </c>
      <c r="N180" s="30" t="str">
        <f aca="false">IF($C180="","",IF($E180="rejected",N($G180),IF(AND(OR($E180="returned_to_brand",$E180="given_to_roster_office",$E180="released_to_office",$E180="disposed"),IF($F180="","reserve",$F180)="rejected"),-N($G180),IF(AND($E180="correction",IF($F180="","reserve",$F180)="rejected"),N($G180),0))))</f>
        <v/>
      </c>
      <c r="O180" s="30" t="str">
        <f aca="false">IF($C180="","",IF($E180="collected",N($G180),IF(AND(OR($E180="returned_to_brand",$E180="given_to_roster_office",$E180="released_to_office",$E180="disposed"),IF($F180="","reserve",$F180)="leftover"),-N($G180),IF(AND($E180="correction",IF($F180="","reserve",$F180)="leftover"),N($G180),0))))</f>
        <v/>
      </c>
      <c r="P180" s="30" t="str">
        <f aca="false">IF(OR($E180&lt;&gt;"received",$I180="",$L180=""),"",IF($I180&gt;=$L180+config!$B$19,"Y","N"))</f>
        <v/>
      </c>
      <c r="Q180" s="30" t="str">
        <f aca="false">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30" t="str">
        <f aca="false">IF($C180="","",$C180&amp;"|"&amp;$D180&amp;"|"&amp;$E180)</f>
        <v/>
      </c>
    </row>
    <row r="181" customFormat="false" ht="15" hidden="false" customHeight="false" outlineLevel="0" collapsed="false">
      <c r="A181" s="11"/>
      <c r="B181" s="38"/>
      <c r="E181" s="10"/>
      <c r="I181" s="11"/>
      <c r="J181" s="10"/>
      <c r="L181" s="31" t="str">
        <f aca="false">IF($C181="","",IFERROR(IF(INDEX(campaigns!$BG$2:$BG$51,MATCH($C181,campaigns!$A$2:$A$51,0))="","",INDEX(campaigns!$BG$2:$BG$51,MATCH($C181,campaigns!$A$2:$A$51,0))),""))</f>
        <v/>
      </c>
      <c r="M181" s="30" t="str">
        <f aca="false">IF($C181="","",IF(OR($E181="received"),N($G181),IF(OR($E181="rejected",$E181="delivered",$E181="topped_up"),-N($G181),IF(AND(OR($E181="returned_to_brand",$E181="given_to_roster_office",$E181="released_to_office",$E181="disposed"),IF($F181="","reserve",$F181)="reserve"),-N($G181),IF(AND($E181="correction",IF($F181="","reserve",$F181)="reserve"),N($G181),0)))))</f>
        <v/>
      </c>
      <c r="N181" s="30" t="str">
        <f aca="false">IF($C181="","",IF($E181="rejected",N($G181),IF(AND(OR($E181="returned_to_brand",$E181="given_to_roster_office",$E181="released_to_office",$E181="disposed"),IF($F181="","reserve",$F181)="rejected"),-N($G181),IF(AND($E181="correction",IF($F181="","reserve",$F181)="rejected"),N($G181),0))))</f>
        <v/>
      </c>
      <c r="O181" s="30" t="str">
        <f aca="false">IF($C181="","",IF($E181="collected",N($G181),IF(AND(OR($E181="returned_to_brand",$E181="given_to_roster_office",$E181="released_to_office",$E181="disposed"),IF($F181="","reserve",$F181)="leftover"),-N($G181),IF(AND($E181="correction",IF($F181="","reserve",$F181)="leftover"),N($G181),0))))</f>
        <v/>
      </c>
      <c r="P181" s="30" t="str">
        <f aca="false">IF(OR($E181&lt;&gt;"received",$I181="",$L181=""),"",IF($I181&gt;=$L181+config!$B$19,"Y","N"))</f>
        <v/>
      </c>
      <c r="Q181" s="30" t="str">
        <f aca="false">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30" t="str">
        <f aca="false">IF($C181="","",$C181&amp;"|"&amp;$D181&amp;"|"&amp;$E181)</f>
        <v/>
      </c>
    </row>
    <row r="182" customFormat="false" ht="15" hidden="false" customHeight="false" outlineLevel="0" collapsed="false">
      <c r="A182" s="11"/>
      <c r="B182" s="38"/>
      <c r="E182" s="10"/>
      <c r="I182" s="11"/>
      <c r="J182" s="10"/>
      <c r="L182" s="31" t="str">
        <f aca="false">IF($C182="","",IFERROR(IF(INDEX(campaigns!$BG$2:$BG$51,MATCH($C182,campaigns!$A$2:$A$51,0))="","",INDEX(campaigns!$BG$2:$BG$51,MATCH($C182,campaigns!$A$2:$A$51,0))),""))</f>
        <v/>
      </c>
      <c r="M182" s="30" t="str">
        <f aca="false">IF($C182="","",IF(OR($E182="received"),N($G182),IF(OR($E182="rejected",$E182="delivered",$E182="topped_up"),-N($G182),IF(AND(OR($E182="returned_to_brand",$E182="given_to_roster_office",$E182="released_to_office",$E182="disposed"),IF($F182="","reserve",$F182)="reserve"),-N($G182),IF(AND($E182="correction",IF($F182="","reserve",$F182)="reserve"),N($G182),0)))))</f>
        <v/>
      </c>
      <c r="N182" s="30" t="str">
        <f aca="false">IF($C182="","",IF($E182="rejected",N($G182),IF(AND(OR($E182="returned_to_brand",$E182="given_to_roster_office",$E182="released_to_office",$E182="disposed"),IF($F182="","reserve",$F182)="rejected"),-N($G182),IF(AND($E182="correction",IF($F182="","reserve",$F182)="rejected"),N($G182),0))))</f>
        <v/>
      </c>
      <c r="O182" s="30" t="str">
        <f aca="false">IF($C182="","",IF($E182="collected",N($G182),IF(AND(OR($E182="returned_to_brand",$E182="given_to_roster_office",$E182="released_to_office",$E182="disposed"),IF($F182="","reserve",$F182)="leftover"),-N($G182),IF(AND($E182="correction",IF($F182="","reserve",$F182)="leftover"),N($G182),0))))</f>
        <v/>
      </c>
      <c r="P182" s="30" t="str">
        <f aca="false">IF(OR($E182&lt;&gt;"received",$I182="",$L182=""),"",IF($I182&gt;=$L182+config!$B$19,"Y","N"))</f>
        <v/>
      </c>
      <c r="Q182" s="30" t="str">
        <f aca="false">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30" t="str">
        <f aca="false">IF($C182="","",$C182&amp;"|"&amp;$D182&amp;"|"&amp;$E182)</f>
        <v/>
      </c>
    </row>
    <row r="183" customFormat="false" ht="15" hidden="false" customHeight="false" outlineLevel="0" collapsed="false">
      <c r="A183" s="11"/>
      <c r="B183" s="38"/>
      <c r="E183" s="10"/>
      <c r="I183" s="11"/>
      <c r="J183" s="10"/>
      <c r="L183" s="31" t="str">
        <f aca="false">IF($C183="","",IFERROR(IF(INDEX(campaigns!$BG$2:$BG$51,MATCH($C183,campaigns!$A$2:$A$51,0))="","",INDEX(campaigns!$BG$2:$BG$51,MATCH($C183,campaigns!$A$2:$A$51,0))),""))</f>
        <v/>
      </c>
      <c r="M183" s="30" t="str">
        <f aca="false">IF($C183="","",IF(OR($E183="received"),N($G183),IF(OR($E183="rejected",$E183="delivered",$E183="topped_up"),-N($G183),IF(AND(OR($E183="returned_to_brand",$E183="given_to_roster_office",$E183="released_to_office",$E183="disposed"),IF($F183="","reserve",$F183)="reserve"),-N($G183),IF(AND($E183="correction",IF($F183="","reserve",$F183)="reserve"),N($G183),0)))))</f>
        <v/>
      </c>
      <c r="N183" s="30" t="str">
        <f aca="false">IF($C183="","",IF($E183="rejected",N($G183),IF(AND(OR($E183="returned_to_brand",$E183="given_to_roster_office",$E183="released_to_office",$E183="disposed"),IF($F183="","reserve",$F183)="rejected"),-N($G183),IF(AND($E183="correction",IF($F183="","reserve",$F183)="rejected"),N($G183),0))))</f>
        <v/>
      </c>
      <c r="O183" s="30" t="str">
        <f aca="false">IF($C183="","",IF($E183="collected",N($G183),IF(AND(OR($E183="returned_to_brand",$E183="given_to_roster_office",$E183="released_to_office",$E183="disposed"),IF($F183="","reserve",$F183)="leftover"),-N($G183),IF(AND($E183="correction",IF($F183="","reserve",$F183)="leftover"),N($G183),0))))</f>
        <v/>
      </c>
      <c r="P183" s="30" t="str">
        <f aca="false">IF(OR($E183&lt;&gt;"received",$I183="",$L183=""),"",IF($I183&gt;=$L183+config!$B$19,"Y","N"))</f>
        <v/>
      </c>
      <c r="Q183" s="30" t="str">
        <f aca="false">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30" t="str">
        <f aca="false">IF($C183="","",$C183&amp;"|"&amp;$D183&amp;"|"&amp;$E183)</f>
        <v/>
      </c>
    </row>
    <row r="184" customFormat="false" ht="15" hidden="false" customHeight="false" outlineLevel="0" collapsed="false">
      <c r="A184" s="11"/>
      <c r="B184" s="38"/>
      <c r="E184" s="10"/>
      <c r="I184" s="11"/>
      <c r="J184" s="10"/>
      <c r="L184" s="31" t="str">
        <f aca="false">IF($C184="","",IFERROR(IF(INDEX(campaigns!$BG$2:$BG$51,MATCH($C184,campaigns!$A$2:$A$51,0))="","",INDEX(campaigns!$BG$2:$BG$51,MATCH($C184,campaigns!$A$2:$A$51,0))),""))</f>
        <v/>
      </c>
      <c r="M184" s="30" t="str">
        <f aca="false">IF($C184="","",IF(OR($E184="received"),N($G184),IF(OR($E184="rejected",$E184="delivered",$E184="topped_up"),-N($G184),IF(AND(OR($E184="returned_to_brand",$E184="given_to_roster_office",$E184="released_to_office",$E184="disposed"),IF($F184="","reserve",$F184)="reserve"),-N($G184),IF(AND($E184="correction",IF($F184="","reserve",$F184)="reserve"),N($G184),0)))))</f>
        <v/>
      </c>
      <c r="N184" s="30" t="str">
        <f aca="false">IF($C184="","",IF($E184="rejected",N($G184),IF(AND(OR($E184="returned_to_brand",$E184="given_to_roster_office",$E184="released_to_office",$E184="disposed"),IF($F184="","reserve",$F184)="rejected"),-N($G184),IF(AND($E184="correction",IF($F184="","reserve",$F184)="rejected"),N($G184),0))))</f>
        <v/>
      </c>
      <c r="O184" s="30" t="str">
        <f aca="false">IF($C184="","",IF($E184="collected",N($G184),IF(AND(OR($E184="returned_to_brand",$E184="given_to_roster_office",$E184="released_to_office",$E184="disposed"),IF($F184="","reserve",$F184)="leftover"),-N($G184),IF(AND($E184="correction",IF($F184="","reserve",$F184)="leftover"),N($G184),0))))</f>
        <v/>
      </c>
      <c r="P184" s="30" t="str">
        <f aca="false">IF(OR($E184&lt;&gt;"received",$I184="",$L184=""),"",IF($I184&gt;=$L184+config!$B$19,"Y","N"))</f>
        <v/>
      </c>
      <c r="Q184" s="30" t="str">
        <f aca="false">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30" t="str">
        <f aca="false">IF($C184="","",$C184&amp;"|"&amp;$D184&amp;"|"&amp;$E184)</f>
        <v/>
      </c>
    </row>
    <row r="185" customFormat="false" ht="15" hidden="false" customHeight="false" outlineLevel="0" collapsed="false">
      <c r="A185" s="11"/>
      <c r="B185" s="38"/>
      <c r="E185" s="10"/>
      <c r="I185" s="11"/>
      <c r="J185" s="10"/>
      <c r="L185" s="31" t="str">
        <f aca="false">IF($C185="","",IFERROR(IF(INDEX(campaigns!$BG$2:$BG$51,MATCH($C185,campaigns!$A$2:$A$51,0))="","",INDEX(campaigns!$BG$2:$BG$51,MATCH($C185,campaigns!$A$2:$A$51,0))),""))</f>
        <v/>
      </c>
      <c r="M185" s="30" t="str">
        <f aca="false">IF($C185="","",IF(OR($E185="received"),N($G185),IF(OR($E185="rejected",$E185="delivered",$E185="topped_up"),-N($G185),IF(AND(OR($E185="returned_to_brand",$E185="given_to_roster_office",$E185="released_to_office",$E185="disposed"),IF($F185="","reserve",$F185)="reserve"),-N($G185),IF(AND($E185="correction",IF($F185="","reserve",$F185)="reserve"),N($G185),0)))))</f>
        <v/>
      </c>
      <c r="N185" s="30" t="str">
        <f aca="false">IF($C185="","",IF($E185="rejected",N($G185),IF(AND(OR($E185="returned_to_brand",$E185="given_to_roster_office",$E185="released_to_office",$E185="disposed"),IF($F185="","reserve",$F185)="rejected"),-N($G185),IF(AND($E185="correction",IF($F185="","reserve",$F185)="rejected"),N($G185),0))))</f>
        <v/>
      </c>
      <c r="O185" s="30" t="str">
        <f aca="false">IF($C185="","",IF($E185="collected",N($G185),IF(AND(OR($E185="returned_to_brand",$E185="given_to_roster_office",$E185="released_to_office",$E185="disposed"),IF($F185="","reserve",$F185)="leftover"),-N($G185),IF(AND($E185="correction",IF($F185="","reserve",$F185)="leftover"),N($G185),0))))</f>
        <v/>
      </c>
      <c r="P185" s="30" t="str">
        <f aca="false">IF(OR($E185&lt;&gt;"received",$I185="",$L185=""),"",IF($I185&gt;=$L185+config!$B$19,"Y","N"))</f>
        <v/>
      </c>
      <c r="Q185" s="30" t="str">
        <f aca="false">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30" t="str">
        <f aca="false">IF($C185="","",$C185&amp;"|"&amp;$D185&amp;"|"&amp;$E185)</f>
        <v/>
      </c>
    </row>
    <row r="186" customFormat="false" ht="15" hidden="false" customHeight="false" outlineLevel="0" collapsed="false">
      <c r="A186" s="11"/>
      <c r="B186" s="38"/>
      <c r="E186" s="10"/>
      <c r="I186" s="11"/>
      <c r="J186" s="10"/>
      <c r="L186" s="31" t="str">
        <f aca="false">IF($C186="","",IFERROR(IF(INDEX(campaigns!$BG$2:$BG$51,MATCH($C186,campaigns!$A$2:$A$51,0))="","",INDEX(campaigns!$BG$2:$BG$51,MATCH($C186,campaigns!$A$2:$A$51,0))),""))</f>
        <v/>
      </c>
      <c r="M186" s="30" t="str">
        <f aca="false">IF($C186="","",IF(OR($E186="received"),N($G186),IF(OR($E186="rejected",$E186="delivered",$E186="topped_up"),-N($G186),IF(AND(OR($E186="returned_to_brand",$E186="given_to_roster_office",$E186="released_to_office",$E186="disposed"),IF($F186="","reserve",$F186)="reserve"),-N($G186),IF(AND($E186="correction",IF($F186="","reserve",$F186)="reserve"),N($G186),0)))))</f>
        <v/>
      </c>
      <c r="N186" s="30" t="str">
        <f aca="false">IF($C186="","",IF($E186="rejected",N($G186),IF(AND(OR($E186="returned_to_brand",$E186="given_to_roster_office",$E186="released_to_office",$E186="disposed"),IF($F186="","reserve",$F186)="rejected"),-N($G186),IF(AND($E186="correction",IF($F186="","reserve",$F186)="rejected"),N($G186),0))))</f>
        <v/>
      </c>
      <c r="O186" s="30" t="str">
        <f aca="false">IF($C186="","",IF($E186="collected",N($G186),IF(AND(OR($E186="returned_to_brand",$E186="given_to_roster_office",$E186="released_to_office",$E186="disposed"),IF($F186="","reserve",$F186)="leftover"),-N($G186),IF(AND($E186="correction",IF($F186="","reserve",$F186)="leftover"),N($G186),0))))</f>
        <v/>
      </c>
      <c r="P186" s="30" t="str">
        <f aca="false">IF(OR($E186&lt;&gt;"received",$I186="",$L186=""),"",IF($I186&gt;=$L186+config!$B$19,"Y","N"))</f>
        <v/>
      </c>
      <c r="Q186" s="30" t="str">
        <f aca="false">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30" t="str">
        <f aca="false">IF($C186="","",$C186&amp;"|"&amp;$D186&amp;"|"&amp;$E186)</f>
        <v/>
      </c>
    </row>
    <row r="187" customFormat="false" ht="15" hidden="false" customHeight="false" outlineLevel="0" collapsed="false">
      <c r="A187" s="11"/>
      <c r="B187" s="38"/>
      <c r="E187" s="10"/>
      <c r="I187" s="11"/>
      <c r="J187" s="10"/>
      <c r="L187" s="31" t="str">
        <f aca="false">IF($C187="","",IFERROR(IF(INDEX(campaigns!$BG$2:$BG$51,MATCH($C187,campaigns!$A$2:$A$51,0))="","",INDEX(campaigns!$BG$2:$BG$51,MATCH($C187,campaigns!$A$2:$A$51,0))),""))</f>
        <v/>
      </c>
      <c r="M187" s="30" t="str">
        <f aca="false">IF($C187="","",IF(OR($E187="received"),N($G187),IF(OR($E187="rejected",$E187="delivered",$E187="topped_up"),-N($G187),IF(AND(OR($E187="returned_to_brand",$E187="given_to_roster_office",$E187="released_to_office",$E187="disposed"),IF($F187="","reserve",$F187)="reserve"),-N($G187),IF(AND($E187="correction",IF($F187="","reserve",$F187)="reserve"),N($G187),0)))))</f>
        <v/>
      </c>
      <c r="N187" s="30" t="str">
        <f aca="false">IF($C187="","",IF($E187="rejected",N($G187),IF(AND(OR($E187="returned_to_brand",$E187="given_to_roster_office",$E187="released_to_office",$E187="disposed"),IF($F187="","reserve",$F187)="rejected"),-N($G187),IF(AND($E187="correction",IF($F187="","reserve",$F187)="rejected"),N($G187),0))))</f>
        <v/>
      </c>
      <c r="O187" s="30" t="str">
        <f aca="false">IF($C187="","",IF($E187="collected",N($G187),IF(AND(OR($E187="returned_to_brand",$E187="given_to_roster_office",$E187="released_to_office",$E187="disposed"),IF($F187="","reserve",$F187)="leftover"),-N($G187),IF(AND($E187="correction",IF($F187="","reserve",$F187)="leftover"),N($G187),0))))</f>
        <v/>
      </c>
      <c r="P187" s="30" t="str">
        <f aca="false">IF(OR($E187&lt;&gt;"received",$I187="",$L187=""),"",IF($I187&gt;=$L187+config!$B$19,"Y","N"))</f>
        <v/>
      </c>
      <c r="Q187" s="30" t="str">
        <f aca="false">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30" t="str">
        <f aca="false">IF($C187="","",$C187&amp;"|"&amp;$D187&amp;"|"&amp;$E187)</f>
        <v/>
      </c>
    </row>
    <row r="188" customFormat="false" ht="15" hidden="false" customHeight="false" outlineLevel="0" collapsed="false">
      <c r="A188" s="11"/>
      <c r="B188" s="38"/>
      <c r="E188" s="10"/>
      <c r="I188" s="11"/>
      <c r="J188" s="10"/>
      <c r="L188" s="31" t="str">
        <f aca="false">IF($C188="","",IFERROR(IF(INDEX(campaigns!$BG$2:$BG$51,MATCH($C188,campaigns!$A$2:$A$51,0))="","",INDEX(campaigns!$BG$2:$BG$51,MATCH($C188,campaigns!$A$2:$A$51,0))),""))</f>
        <v/>
      </c>
      <c r="M188" s="30" t="str">
        <f aca="false">IF($C188="","",IF(OR($E188="received"),N($G188),IF(OR($E188="rejected",$E188="delivered",$E188="topped_up"),-N($G188),IF(AND(OR($E188="returned_to_brand",$E188="given_to_roster_office",$E188="released_to_office",$E188="disposed"),IF($F188="","reserve",$F188)="reserve"),-N($G188),IF(AND($E188="correction",IF($F188="","reserve",$F188)="reserve"),N($G188),0)))))</f>
        <v/>
      </c>
      <c r="N188" s="30" t="str">
        <f aca="false">IF($C188="","",IF($E188="rejected",N($G188),IF(AND(OR($E188="returned_to_brand",$E188="given_to_roster_office",$E188="released_to_office",$E188="disposed"),IF($F188="","reserve",$F188)="rejected"),-N($G188),IF(AND($E188="correction",IF($F188="","reserve",$F188)="rejected"),N($G188),0))))</f>
        <v/>
      </c>
      <c r="O188" s="30" t="str">
        <f aca="false">IF($C188="","",IF($E188="collected",N($G188),IF(AND(OR($E188="returned_to_brand",$E188="given_to_roster_office",$E188="released_to_office",$E188="disposed"),IF($F188="","reserve",$F188)="leftover"),-N($G188),IF(AND($E188="correction",IF($F188="","reserve",$F188)="leftover"),N($G188),0))))</f>
        <v/>
      </c>
      <c r="P188" s="30" t="str">
        <f aca="false">IF(OR($E188&lt;&gt;"received",$I188="",$L188=""),"",IF($I188&gt;=$L188+config!$B$19,"Y","N"))</f>
        <v/>
      </c>
      <c r="Q188" s="30" t="str">
        <f aca="false">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30" t="str">
        <f aca="false">IF($C188="","",$C188&amp;"|"&amp;$D188&amp;"|"&amp;$E188)</f>
        <v/>
      </c>
    </row>
    <row r="189" customFormat="false" ht="15" hidden="false" customHeight="false" outlineLevel="0" collapsed="false">
      <c r="A189" s="11"/>
      <c r="B189" s="38"/>
      <c r="E189" s="10"/>
      <c r="I189" s="11"/>
      <c r="J189" s="10"/>
      <c r="L189" s="31" t="str">
        <f aca="false">IF($C189="","",IFERROR(IF(INDEX(campaigns!$BG$2:$BG$51,MATCH($C189,campaigns!$A$2:$A$51,0))="","",INDEX(campaigns!$BG$2:$BG$51,MATCH($C189,campaigns!$A$2:$A$51,0))),""))</f>
        <v/>
      </c>
      <c r="M189" s="30" t="str">
        <f aca="false">IF($C189="","",IF(OR($E189="received"),N($G189),IF(OR($E189="rejected",$E189="delivered",$E189="topped_up"),-N($G189),IF(AND(OR($E189="returned_to_brand",$E189="given_to_roster_office",$E189="released_to_office",$E189="disposed"),IF($F189="","reserve",$F189)="reserve"),-N($G189),IF(AND($E189="correction",IF($F189="","reserve",$F189)="reserve"),N($G189),0)))))</f>
        <v/>
      </c>
      <c r="N189" s="30" t="str">
        <f aca="false">IF($C189="","",IF($E189="rejected",N($G189),IF(AND(OR($E189="returned_to_brand",$E189="given_to_roster_office",$E189="released_to_office",$E189="disposed"),IF($F189="","reserve",$F189)="rejected"),-N($G189),IF(AND($E189="correction",IF($F189="","reserve",$F189)="rejected"),N($G189),0))))</f>
        <v/>
      </c>
      <c r="O189" s="30" t="str">
        <f aca="false">IF($C189="","",IF($E189="collected",N($G189),IF(AND(OR($E189="returned_to_brand",$E189="given_to_roster_office",$E189="released_to_office",$E189="disposed"),IF($F189="","reserve",$F189)="leftover"),-N($G189),IF(AND($E189="correction",IF($F189="","reserve",$F189)="leftover"),N($G189),0))))</f>
        <v/>
      </c>
      <c r="P189" s="30" t="str">
        <f aca="false">IF(OR($E189&lt;&gt;"received",$I189="",$L189=""),"",IF($I189&gt;=$L189+config!$B$19,"Y","N"))</f>
        <v/>
      </c>
      <c r="Q189" s="30" t="str">
        <f aca="false">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30" t="str">
        <f aca="false">IF($C189="","",$C189&amp;"|"&amp;$D189&amp;"|"&amp;$E189)</f>
        <v/>
      </c>
    </row>
    <row r="190" customFormat="false" ht="15" hidden="false" customHeight="false" outlineLevel="0" collapsed="false">
      <c r="A190" s="11"/>
      <c r="B190" s="38"/>
      <c r="E190" s="10"/>
      <c r="I190" s="11"/>
      <c r="J190" s="10"/>
      <c r="L190" s="31" t="str">
        <f aca="false">IF($C190="","",IFERROR(IF(INDEX(campaigns!$BG$2:$BG$51,MATCH($C190,campaigns!$A$2:$A$51,0))="","",INDEX(campaigns!$BG$2:$BG$51,MATCH($C190,campaigns!$A$2:$A$51,0))),""))</f>
        <v/>
      </c>
      <c r="M190" s="30" t="str">
        <f aca="false">IF($C190="","",IF(OR($E190="received"),N($G190),IF(OR($E190="rejected",$E190="delivered",$E190="topped_up"),-N($G190),IF(AND(OR($E190="returned_to_brand",$E190="given_to_roster_office",$E190="released_to_office",$E190="disposed"),IF($F190="","reserve",$F190)="reserve"),-N($G190),IF(AND($E190="correction",IF($F190="","reserve",$F190)="reserve"),N($G190),0)))))</f>
        <v/>
      </c>
      <c r="N190" s="30" t="str">
        <f aca="false">IF($C190="","",IF($E190="rejected",N($G190),IF(AND(OR($E190="returned_to_brand",$E190="given_to_roster_office",$E190="released_to_office",$E190="disposed"),IF($F190="","reserve",$F190)="rejected"),-N($G190),IF(AND($E190="correction",IF($F190="","reserve",$F190)="rejected"),N($G190),0))))</f>
        <v/>
      </c>
      <c r="O190" s="30" t="str">
        <f aca="false">IF($C190="","",IF($E190="collected",N($G190),IF(AND(OR($E190="returned_to_brand",$E190="given_to_roster_office",$E190="released_to_office",$E190="disposed"),IF($F190="","reserve",$F190)="leftover"),-N($G190),IF(AND($E190="correction",IF($F190="","reserve",$F190)="leftover"),N($G190),0))))</f>
        <v/>
      </c>
      <c r="P190" s="30" t="str">
        <f aca="false">IF(OR($E190&lt;&gt;"received",$I190="",$L190=""),"",IF($I190&gt;=$L190+config!$B$19,"Y","N"))</f>
        <v/>
      </c>
      <c r="Q190" s="30" t="str">
        <f aca="false">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30" t="str">
        <f aca="false">IF($C190="","",$C190&amp;"|"&amp;$D190&amp;"|"&amp;$E190)</f>
        <v/>
      </c>
    </row>
    <row r="191" customFormat="false" ht="15" hidden="false" customHeight="false" outlineLevel="0" collapsed="false">
      <c r="A191" s="11"/>
      <c r="B191" s="38"/>
      <c r="E191" s="10"/>
      <c r="I191" s="11"/>
      <c r="J191" s="10"/>
      <c r="L191" s="31" t="str">
        <f aca="false">IF($C191="","",IFERROR(IF(INDEX(campaigns!$BG$2:$BG$51,MATCH($C191,campaigns!$A$2:$A$51,0))="","",INDEX(campaigns!$BG$2:$BG$51,MATCH($C191,campaigns!$A$2:$A$51,0))),""))</f>
        <v/>
      </c>
      <c r="M191" s="30" t="str">
        <f aca="false">IF($C191="","",IF(OR($E191="received"),N($G191),IF(OR($E191="rejected",$E191="delivered",$E191="topped_up"),-N($G191),IF(AND(OR($E191="returned_to_brand",$E191="given_to_roster_office",$E191="released_to_office",$E191="disposed"),IF($F191="","reserve",$F191)="reserve"),-N($G191),IF(AND($E191="correction",IF($F191="","reserve",$F191)="reserve"),N($G191),0)))))</f>
        <v/>
      </c>
      <c r="N191" s="30" t="str">
        <f aca="false">IF($C191="","",IF($E191="rejected",N($G191),IF(AND(OR($E191="returned_to_brand",$E191="given_to_roster_office",$E191="released_to_office",$E191="disposed"),IF($F191="","reserve",$F191)="rejected"),-N($G191),IF(AND($E191="correction",IF($F191="","reserve",$F191)="rejected"),N($G191),0))))</f>
        <v/>
      </c>
      <c r="O191" s="30" t="str">
        <f aca="false">IF($C191="","",IF($E191="collected",N($G191),IF(AND(OR($E191="returned_to_brand",$E191="given_to_roster_office",$E191="released_to_office",$E191="disposed"),IF($F191="","reserve",$F191)="leftover"),-N($G191),IF(AND($E191="correction",IF($F191="","reserve",$F191)="leftover"),N($G191),0))))</f>
        <v/>
      </c>
      <c r="P191" s="30" t="str">
        <f aca="false">IF(OR($E191&lt;&gt;"received",$I191="",$L191=""),"",IF($I191&gt;=$L191+config!$B$19,"Y","N"))</f>
        <v/>
      </c>
      <c r="Q191" s="30" t="str">
        <f aca="false">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30" t="str">
        <f aca="false">IF($C191="","",$C191&amp;"|"&amp;$D191&amp;"|"&amp;$E191)</f>
        <v/>
      </c>
    </row>
    <row r="192" customFormat="false" ht="15" hidden="false" customHeight="false" outlineLevel="0" collapsed="false">
      <c r="A192" s="11"/>
      <c r="B192" s="38"/>
      <c r="E192" s="10"/>
      <c r="I192" s="11"/>
      <c r="J192" s="10"/>
      <c r="L192" s="31" t="str">
        <f aca="false">IF($C192="","",IFERROR(IF(INDEX(campaigns!$BG$2:$BG$51,MATCH($C192,campaigns!$A$2:$A$51,0))="","",INDEX(campaigns!$BG$2:$BG$51,MATCH($C192,campaigns!$A$2:$A$51,0))),""))</f>
        <v/>
      </c>
      <c r="M192" s="30" t="str">
        <f aca="false">IF($C192="","",IF(OR($E192="received"),N($G192),IF(OR($E192="rejected",$E192="delivered",$E192="topped_up"),-N($G192),IF(AND(OR($E192="returned_to_brand",$E192="given_to_roster_office",$E192="released_to_office",$E192="disposed"),IF($F192="","reserve",$F192)="reserve"),-N($G192),IF(AND($E192="correction",IF($F192="","reserve",$F192)="reserve"),N($G192),0)))))</f>
        <v/>
      </c>
      <c r="N192" s="30" t="str">
        <f aca="false">IF($C192="","",IF($E192="rejected",N($G192),IF(AND(OR($E192="returned_to_brand",$E192="given_to_roster_office",$E192="released_to_office",$E192="disposed"),IF($F192="","reserve",$F192)="rejected"),-N($G192),IF(AND($E192="correction",IF($F192="","reserve",$F192)="rejected"),N($G192),0))))</f>
        <v/>
      </c>
      <c r="O192" s="30" t="str">
        <f aca="false">IF($C192="","",IF($E192="collected",N($G192),IF(AND(OR($E192="returned_to_brand",$E192="given_to_roster_office",$E192="released_to_office",$E192="disposed"),IF($F192="","reserve",$F192)="leftover"),-N($G192),IF(AND($E192="correction",IF($F192="","reserve",$F192)="leftover"),N($G192),0))))</f>
        <v/>
      </c>
      <c r="P192" s="30" t="str">
        <f aca="false">IF(OR($E192&lt;&gt;"received",$I192="",$L192=""),"",IF($I192&gt;=$L192+config!$B$19,"Y","N"))</f>
        <v/>
      </c>
      <c r="Q192" s="30" t="str">
        <f aca="false">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30" t="str">
        <f aca="false">IF($C192="","",$C192&amp;"|"&amp;$D192&amp;"|"&amp;$E192)</f>
        <v/>
      </c>
    </row>
    <row r="193" customFormat="false" ht="15" hidden="false" customHeight="false" outlineLevel="0" collapsed="false">
      <c r="A193" s="11"/>
      <c r="B193" s="38"/>
      <c r="E193" s="10"/>
      <c r="I193" s="11"/>
      <c r="J193" s="10"/>
      <c r="L193" s="31" t="str">
        <f aca="false">IF($C193="","",IFERROR(IF(INDEX(campaigns!$BG$2:$BG$51,MATCH($C193,campaigns!$A$2:$A$51,0))="","",INDEX(campaigns!$BG$2:$BG$51,MATCH($C193,campaigns!$A$2:$A$51,0))),""))</f>
        <v/>
      </c>
      <c r="M193" s="30" t="str">
        <f aca="false">IF($C193="","",IF(OR($E193="received"),N($G193),IF(OR($E193="rejected",$E193="delivered",$E193="topped_up"),-N($G193),IF(AND(OR($E193="returned_to_brand",$E193="given_to_roster_office",$E193="released_to_office",$E193="disposed"),IF($F193="","reserve",$F193)="reserve"),-N($G193),IF(AND($E193="correction",IF($F193="","reserve",$F193)="reserve"),N($G193),0)))))</f>
        <v/>
      </c>
      <c r="N193" s="30" t="str">
        <f aca="false">IF($C193="","",IF($E193="rejected",N($G193),IF(AND(OR($E193="returned_to_brand",$E193="given_to_roster_office",$E193="released_to_office",$E193="disposed"),IF($F193="","reserve",$F193)="rejected"),-N($G193),IF(AND($E193="correction",IF($F193="","reserve",$F193)="rejected"),N($G193),0))))</f>
        <v/>
      </c>
      <c r="O193" s="30" t="str">
        <f aca="false">IF($C193="","",IF($E193="collected",N($G193),IF(AND(OR($E193="returned_to_brand",$E193="given_to_roster_office",$E193="released_to_office",$E193="disposed"),IF($F193="","reserve",$F193)="leftover"),-N($G193),IF(AND($E193="correction",IF($F193="","reserve",$F193)="leftover"),N($G193),0))))</f>
        <v/>
      </c>
      <c r="P193" s="30" t="str">
        <f aca="false">IF(OR($E193&lt;&gt;"received",$I193="",$L193=""),"",IF($I193&gt;=$L193+config!$B$19,"Y","N"))</f>
        <v/>
      </c>
      <c r="Q193" s="30" t="str">
        <f aca="false">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30" t="str">
        <f aca="false">IF($C193="","",$C193&amp;"|"&amp;$D193&amp;"|"&amp;$E193)</f>
        <v/>
      </c>
    </row>
    <row r="194" customFormat="false" ht="15" hidden="false" customHeight="false" outlineLevel="0" collapsed="false">
      <c r="A194" s="11"/>
      <c r="B194" s="38"/>
      <c r="E194" s="10"/>
      <c r="I194" s="11"/>
      <c r="J194" s="10"/>
      <c r="L194" s="31" t="str">
        <f aca="false">IF($C194="","",IFERROR(IF(INDEX(campaigns!$BG$2:$BG$51,MATCH($C194,campaigns!$A$2:$A$51,0))="","",INDEX(campaigns!$BG$2:$BG$51,MATCH($C194,campaigns!$A$2:$A$51,0))),""))</f>
        <v/>
      </c>
      <c r="M194" s="30" t="str">
        <f aca="false">IF($C194="","",IF(OR($E194="received"),N($G194),IF(OR($E194="rejected",$E194="delivered",$E194="topped_up"),-N($G194),IF(AND(OR($E194="returned_to_brand",$E194="given_to_roster_office",$E194="released_to_office",$E194="disposed"),IF($F194="","reserve",$F194)="reserve"),-N($G194),IF(AND($E194="correction",IF($F194="","reserve",$F194)="reserve"),N($G194),0)))))</f>
        <v/>
      </c>
      <c r="N194" s="30" t="str">
        <f aca="false">IF($C194="","",IF($E194="rejected",N($G194),IF(AND(OR($E194="returned_to_brand",$E194="given_to_roster_office",$E194="released_to_office",$E194="disposed"),IF($F194="","reserve",$F194)="rejected"),-N($G194),IF(AND($E194="correction",IF($F194="","reserve",$F194)="rejected"),N($G194),0))))</f>
        <v/>
      </c>
      <c r="O194" s="30" t="str">
        <f aca="false">IF($C194="","",IF($E194="collected",N($G194),IF(AND(OR($E194="returned_to_brand",$E194="given_to_roster_office",$E194="released_to_office",$E194="disposed"),IF($F194="","reserve",$F194)="leftover"),-N($G194),IF(AND($E194="correction",IF($F194="","reserve",$F194)="leftover"),N($G194),0))))</f>
        <v/>
      </c>
      <c r="P194" s="30" t="str">
        <f aca="false">IF(OR($E194&lt;&gt;"received",$I194="",$L194=""),"",IF($I194&gt;=$L194+config!$B$19,"Y","N"))</f>
        <v/>
      </c>
      <c r="Q194" s="30" t="str">
        <f aca="false">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30" t="str">
        <f aca="false">IF($C194="","",$C194&amp;"|"&amp;$D194&amp;"|"&amp;$E194)</f>
        <v/>
      </c>
    </row>
    <row r="195" customFormat="false" ht="15" hidden="false" customHeight="false" outlineLevel="0" collapsed="false">
      <c r="A195" s="11"/>
      <c r="B195" s="38"/>
      <c r="E195" s="10"/>
      <c r="I195" s="11"/>
      <c r="J195" s="10"/>
      <c r="L195" s="31" t="str">
        <f aca="false">IF($C195="","",IFERROR(IF(INDEX(campaigns!$BG$2:$BG$51,MATCH($C195,campaigns!$A$2:$A$51,0))="","",INDEX(campaigns!$BG$2:$BG$51,MATCH($C195,campaigns!$A$2:$A$51,0))),""))</f>
        <v/>
      </c>
      <c r="M195" s="30" t="str">
        <f aca="false">IF($C195="","",IF(OR($E195="received"),N($G195),IF(OR($E195="rejected",$E195="delivered",$E195="topped_up"),-N($G195),IF(AND(OR($E195="returned_to_brand",$E195="given_to_roster_office",$E195="released_to_office",$E195="disposed"),IF($F195="","reserve",$F195)="reserve"),-N($G195),IF(AND($E195="correction",IF($F195="","reserve",$F195)="reserve"),N($G195),0)))))</f>
        <v/>
      </c>
      <c r="N195" s="30" t="str">
        <f aca="false">IF($C195="","",IF($E195="rejected",N($G195),IF(AND(OR($E195="returned_to_brand",$E195="given_to_roster_office",$E195="released_to_office",$E195="disposed"),IF($F195="","reserve",$F195)="rejected"),-N($G195),IF(AND($E195="correction",IF($F195="","reserve",$F195)="rejected"),N($G195),0))))</f>
        <v/>
      </c>
      <c r="O195" s="30" t="str">
        <f aca="false">IF($C195="","",IF($E195="collected",N($G195),IF(AND(OR($E195="returned_to_brand",$E195="given_to_roster_office",$E195="released_to_office",$E195="disposed"),IF($F195="","reserve",$F195)="leftover"),-N($G195),IF(AND($E195="correction",IF($F195="","reserve",$F195)="leftover"),N($G195),0))))</f>
        <v/>
      </c>
      <c r="P195" s="30" t="str">
        <f aca="false">IF(OR($E195&lt;&gt;"received",$I195="",$L195=""),"",IF($I195&gt;=$L195+config!$B$19,"Y","N"))</f>
        <v/>
      </c>
      <c r="Q195" s="30" t="str">
        <f aca="false">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30" t="str">
        <f aca="false">IF($C195="","",$C195&amp;"|"&amp;$D195&amp;"|"&amp;$E195)</f>
        <v/>
      </c>
    </row>
    <row r="196" customFormat="false" ht="15" hidden="false" customHeight="false" outlineLevel="0" collapsed="false">
      <c r="A196" s="11"/>
      <c r="B196" s="38"/>
      <c r="E196" s="10"/>
      <c r="I196" s="11"/>
      <c r="J196" s="10"/>
      <c r="L196" s="31" t="str">
        <f aca="false">IF($C196="","",IFERROR(IF(INDEX(campaigns!$BG$2:$BG$51,MATCH($C196,campaigns!$A$2:$A$51,0))="","",INDEX(campaigns!$BG$2:$BG$51,MATCH($C196,campaigns!$A$2:$A$51,0))),""))</f>
        <v/>
      </c>
      <c r="M196" s="30" t="str">
        <f aca="false">IF($C196="","",IF(OR($E196="received"),N($G196),IF(OR($E196="rejected",$E196="delivered",$E196="topped_up"),-N($G196),IF(AND(OR($E196="returned_to_brand",$E196="given_to_roster_office",$E196="released_to_office",$E196="disposed"),IF($F196="","reserve",$F196)="reserve"),-N($G196),IF(AND($E196="correction",IF($F196="","reserve",$F196)="reserve"),N($G196),0)))))</f>
        <v/>
      </c>
      <c r="N196" s="30" t="str">
        <f aca="false">IF($C196="","",IF($E196="rejected",N($G196),IF(AND(OR($E196="returned_to_brand",$E196="given_to_roster_office",$E196="released_to_office",$E196="disposed"),IF($F196="","reserve",$F196)="rejected"),-N($G196),IF(AND($E196="correction",IF($F196="","reserve",$F196)="rejected"),N($G196),0))))</f>
        <v/>
      </c>
      <c r="O196" s="30" t="str">
        <f aca="false">IF($C196="","",IF($E196="collected",N($G196),IF(AND(OR($E196="returned_to_brand",$E196="given_to_roster_office",$E196="released_to_office",$E196="disposed"),IF($F196="","reserve",$F196)="leftover"),-N($G196),IF(AND($E196="correction",IF($F196="","reserve",$F196)="leftover"),N($G196),0))))</f>
        <v/>
      </c>
      <c r="P196" s="30" t="str">
        <f aca="false">IF(OR($E196&lt;&gt;"received",$I196="",$L196=""),"",IF($I196&gt;=$L196+config!$B$19,"Y","N"))</f>
        <v/>
      </c>
      <c r="Q196" s="30" t="str">
        <f aca="false">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30" t="str">
        <f aca="false">IF($C196="","",$C196&amp;"|"&amp;$D196&amp;"|"&amp;$E196)</f>
        <v/>
      </c>
    </row>
    <row r="197" customFormat="false" ht="15" hidden="false" customHeight="false" outlineLevel="0" collapsed="false">
      <c r="A197" s="11"/>
      <c r="B197" s="38"/>
      <c r="E197" s="10"/>
      <c r="I197" s="11"/>
      <c r="J197" s="10"/>
      <c r="L197" s="31" t="str">
        <f aca="false">IF($C197="","",IFERROR(IF(INDEX(campaigns!$BG$2:$BG$51,MATCH($C197,campaigns!$A$2:$A$51,0))="","",INDEX(campaigns!$BG$2:$BG$51,MATCH($C197,campaigns!$A$2:$A$51,0))),""))</f>
        <v/>
      </c>
      <c r="M197" s="30" t="str">
        <f aca="false">IF($C197="","",IF(OR($E197="received"),N($G197),IF(OR($E197="rejected",$E197="delivered",$E197="topped_up"),-N($G197),IF(AND(OR($E197="returned_to_brand",$E197="given_to_roster_office",$E197="released_to_office",$E197="disposed"),IF($F197="","reserve",$F197)="reserve"),-N($G197),IF(AND($E197="correction",IF($F197="","reserve",$F197)="reserve"),N($G197),0)))))</f>
        <v/>
      </c>
      <c r="N197" s="30" t="str">
        <f aca="false">IF($C197="","",IF($E197="rejected",N($G197),IF(AND(OR($E197="returned_to_brand",$E197="given_to_roster_office",$E197="released_to_office",$E197="disposed"),IF($F197="","reserve",$F197)="rejected"),-N($G197),IF(AND($E197="correction",IF($F197="","reserve",$F197)="rejected"),N($G197),0))))</f>
        <v/>
      </c>
      <c r="O197" s="30" t="str">
        <f aca="false">IF($C197="","",IF($E197="collected",N($G197),IF(AND(OR($E197="returned_to_brand",$E197="given_to_roster_office",$E197="released_to_office",$E197="disposed"),IF($F197="","reserve",$F197)="leftover"),-N($G197),IF(AND($E197="correction",IF($F197="","reserve",$F197)="leftover"),N($G197),0))))</f>
        <v/>
      </c>
      <c r="P197" s="30" t="str">
        <f aca="false">IF(OR($E197&lt;&gt;"received",$I197="",$L197=""),"",IF($I197&gt;=$L197+config!$B$19,"Y","N"))</f>
        <v/>
      </c>
      <c r="Q197" s="30" t="str">
        <f aca="false">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30" t="str">
        <f aca="false">IF($C197="","",$C197&amp;"|"&amp;$D197&amp;"|"&amp;$E197)</f>
        <v/>
      </c>
    </row>
    <row r="198" customFormat="false" ht="15" hidden="false" customHeight="false" outlineLevel="0" collapsed="false">
      <c r="A198" s="11"/>
      <c r="B198" s="38"/>
      <c r="E198" s="10"/>
      <c r="I198" s="11"/>
      <c r="J198" s="10"/>
      <c r="L198" s="31" t="str">
        <f aca="false">IF($C198="","",IFERROR(IF(INDEX(campaigns!$BG$2:$BG$51,MATCH($C198,campaigns!$A$2:$A$51,0))="","",INDEX(campaigns!$BG$2:$BG$51,MATCH($C198,campaigns!$A$2:$A$51,0))),""))</f>
        <v/>
      </c>
      <c r="M198" s="30" t="str">
        <f aca="false">IF($C198="","",IF(OR($E198="received"),N($G198),IF(OR($E198="rejected",$E198="delivered",$E198="topped_up"),-N($G198),IF(AND(OR($E198="returned_to_brand",$E198="given_to_roster_office",$E198="released_to_office",$E198="disposed"),IF($F198="","reserve",$F198)="reserve"),-N($G198),IF(AND($E198="correction",IF($F198="","reserve",$F198)="reserve"),N($G198),0)))))</f>
        <v/>
      </c>
      <c r="N198" s="30" t="str">
        <f aca="false">IF($C198="","",IF($E198="rejected",N($G198),IF(AND(OR($E198="returned_to_brand",$E198="given_to_roster_office",$E198="released_to_office",$E198="disposed"),IF($F198="","reserve",$F198)="rejected"),-N($G198),IF(AND($E198="correction",IF($F198="","reserve",$F198)="rejected"),N($G198),0))))</f>
        <v/>
      </c>
      <c r="O198" s="30" t="str">
        <f aca="false">IF($C198="","",IF($E198="collected",N($G198),IF(AND(OR($E198="returned_to_brand",$E198="given_to_roster_office",$E198="released_to_office",$E198="disposed"),IF($F198="","reserve",$F198)="leftover"),-N($G198),IF(AND($E198="correction",IF($F198="","reserve",$F198)="leftover"),N($G198),0))))</f>
        <v/>
      </c>
      <c r="P198" s="30" t="str">
        <f aca="false">IF(OR($E198&lt;&gt;"received",$I198="",$L198=""),"",IF($I198&gt;=$L198+config!$B$19,"Y","N"))</f>
        <v/>
      </c>
      <c r="Q198" s="30" t="str">
        <f aca="false">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30" t="str">
        <f aca="false">IF($C198="","",$C198&amp;"|"&amp;$D198&amp;"|"&amp;$E198)</f>
        <v/>
      </c>
    </row>
    <row r="199" customFormat="false" ht="15" hidden="false" customHeight="false" outlineLevel="0" collapsed="false">
      <c r="A199" s="11"/>
      <c r="B199" s="38"/>
      <c r="E199" s="10"/>
      <c r="I199" s="11"/>
      <c r="J199" s="10"/>
      <c r="L199" s="31" t="str">
        <f aca="false">IF($C199="","",IFERROR(IF(INDEX(campaigns!$BG$2:$BG$51,MATCH($C199,campaigns!$A$2:$A$51,0))="","",INDEX(campaigns!$BG$2:$BG$51,MATCH($C199,campaigns!$A$2:$A$51,0))),""))</f>
        <v/>
      </c>
      <c r="M199" s="30" t="str">
        <f aca="false">IF($C199="","",IF(OR($E199="received"),N($G199),IF(OR($E199="rejected",$E199="delivered",$E199="topped_up"),-N($G199),IF(AND(OR($E199="returned_to_brand",$E199="given_to_roster_office",$E199="released_to_office",$E199="disposed"),IF($F199="","reserve",$F199)="reserve"),-N($G199),IF(AND($E199="correction",IF($F199="","reserve",$F199)="reserve"),N($G199),0)))))</f>
        <v/>
      </c>
      <c r="N199" s="30" t="str">
        <f aca="false">IF($C199="","",IF($E199="rejected",N($G199),IF(AND(OR($E199="returned_to_brand",$E199="given_to_roster_office",$E199="released_to_office",$E199="disposed"),IF($F199="","reserve",$F199)="rejected"),-N($G199),IF(AND($E199="correction",IF($F199="","reserve",$F199)="rejected"),N($G199),0))))</f>
        <v/>
      </c>
      <c r="O199" s="30" t="str">
        <f aca="false">IF($C199="","",IF($E199="collected",N($G199),IF(AND(OR($E199="returned_to_brand",$E199="given_to_roster_office",$E199="released_to_office",$E199="disposed"),IF($F199="","reserve",$F199)="leftover"),-N($G199),IF(AND($E199="correction",IF($F199="","reserve",$F199)="leftover"),N($G199),0))))</f>
        <v/>
      </c>
      <c r="P199" s="30" t="str">
        <f aca="false">IF(OR($E199&lt;&gt;"received",$I199="",$L199=""),"",IF($I199&gt;=$L199+config!$B$19,"Y","N"))</f>
        <v/>
      </c>
      <c r="Q199" s="30" t="str">
        <f aca="false">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30" t="str">
        <f aca="false">IF($C199="","",$C199&amp;"|"&amp;$D199&amp;"|"&amp;$E199)</f>
        <v/>
      </c>
    </row>
    <row r="200" customFormat="false" ht="15" hidden="false" customHeight="false" outlineLevel="0" collapsed="false">
      <c r="A200" s="11"/>
      <c r="B200" s="38"/>
      <c r="E200" s="10"/>
      <c r="I200" s="11"/>
      <c r="J200" s="10"/>
      <c r="L200" s="31" t="str">
        <f aca="false">IF($C200="","",IFERROR(IF(INDEX(campaigns!$BG$2:$BG$51,MATCH($C200,campaigns!$A$2:$A$51,0))="","",INDEX(campaigns!$BG$2:$BG$51,MATCH($C200,campaigns!$A$2:$A$51,0))),""))</f>
        <v/>
      </c>
      <c r="M200" s="30" t="str">
        <f aca="false">IF($C200="","",IF(OR($E200="received"),N($G200),IF(OR($E200="rejected",$E200="delivered",$E200="topped_up"),-N($G200),IF(AND(OR($E200="returned_to_brand",$E200="given_to_roster_office",$E200="released_to_office",$E200="disposed"),IF($F200="","reserve",$F200)="reserve"),-N($G200),IF(AND($E200="correction",IF($F200="","reserve",$F200)="reserve"),N($G200),0)))))</f>
        <v/>
      </c>
      <c r="N200" s="30" t="str">
        <f aca="false">IF($C200="","",IF($E200="rejected",N($G200),IF(AND(OR($E200="returned_to_brand",$E200="given_to_roster_office",$E200="released_to_office",$E200="disposed"),IF($F200="","reserve",$F200)="rejected"),-N($G200),IF(AND($E200="correction",IF($F200="","reserve",$F200)="rejected"),N($G200),0))))</f>
        <v/>
      </c>
      <c r="O200" s="30" t="str">
        <f aca="false">IF($C200="","",IF($E200="collected",N($G200),IF(AND(OR($E200="returned_to_brand",$E200="given_to_roster_office",$E200="released_to_office",$E200="disposed"),IF($F200="","reserve",$F200)="leftover"),-N($G200),IF(AND($E200="correction",IF($F200="","reserve",$F200)="leftover"),N($G200),0))))</f>
        <v/>
      </c>
      <c r="P200" s="30" t="str">
        <f aca="false">IF(OR($E200&lt;&gt;"received",$I200="",$L200=""),"",IF($I200&gt;=$L200+config!$B$19,"Y","N"))</f>
        <v/>
      </c>
      <c r="Q200" s="30" t="str">
        <f aca="false">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30" t="str">
        <f aca="false">IF($C200="","",$C200&amp;"|"&amp;$D200&amp;"|"&amp;$E200)</f>
        <v/>
      </c>
    </row>
    <row r="201" customFormat="false" ht="15" hidden="false" customHeight="false" outlineLevel="0" collapsed="false">
      <c r="A201" s="11"/>
      <c r="B201" s="38"/>
      <c r="E201" s="10"/>
      <c r="I201" s="11"/>
      <c r="J201" s="10"/>
      <c r="L201" s="31" t="str">
        <f aca="false">IF($C201="","",IFERROR(IF(INDEX(campaigns!$BG$2:$BG$51,MATCH($C201,campaigns!$A$2:$A$51,0))="","",INDEX(campaigns!$BG$2:$BG$51,MATCH($C201,campaigns!$A$2:$A$51,0))),""))</f>
        <v/>
      </c>
      <c r="M201" s="30" t="str">
        <f aca="false">IF($C201="","",IF(OR($E201="received"),N($G201),IF(OR($E201="rejected",$E201="delivered",$E201="topped_up"),-N($G201),IF(AND(OR($E201="returned_to_brand",$E201="given_to_roster_office",$E201="released_to_office",$E201="disposed"),IF($F201="","reserve",$F201)="reserve"),-N($G201),IF(AND($E201="correction",IF($F201="","reserve",$F201)="reserve"),N($G201),0)))))</f>
        <v/>
      </c>
      <c r="N201" s="30" t="str">
        <f aca="false">IF($C201="","",IF($E201="rejected",N($G201),IF(AND(OR($E201="returned_to_brand",$E201="given_to_roster_office",$E201="released_to_office",$E201="disposed"),IF($F201="","reserve",$F201)="rejected"),-N($G201),IF(AND($E201="correction",IF($F201="","reserve",$F201)="rejected"),N($G201),0))))</f>
        <v/>
      </c>
      <c r="O201" s="30" t="str">
        <f aca="false">IF($C201="","",IF($E201="collected",N($G201),IF(AND(OR($E201="returned_to_brand",$E201="given_to_roster_office",$E201="released_to_office",$E201="disposed"),IF($F201="","reserve",$F201)="leftover"),-N($G201),IF(AND($E201="correction",IF($F201="","reserve",$F201)="leftover"),N($G201),0))))</f>
        <v/>
      </c>
      <c r="P201" s="30" t="str">
        <f aca="false">IF(OR($E201&lt;&gt;"received",$I201="",$L201=""),"",IF($I201&gt;=$L201+config!$B$19,"Y","N"))</f>
        <v/>
      </c>
      <c r="Q201" s="30" t="str">
        <f aca="false">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30" t="str">
        <f aca="false">IF($C201="","",$C201&amp;"|"&amp;$D201&amp;"|"&amp;$E201)</f>
        <v/>
      </c>
    </row>
    <row r="202" customFormat="false" ht="15" hidden="false" customHeight="false" outlineLevel="0" collapsed="false">
      <c r="A202" s="11"/>
      <c r="B202" s="38"/>
      <c r="E202" s="10"/>
      <c r="I202" s="11"/>
      <c r="J202" s="10"/>
      <c r="L202" s="31" t="str">
        <f aca="false">IF($C202="","",IFERROR(IF(INDEX(campaigns!$BG$2:$BG$51,MATCH($C202,campaigns!$A$2:$A$51,0))="","",INDEX(campaigns!$BG$2:$BG$51,MATCH($C202,campaigns!$A$2:$A$51,0))),""))</f>
        <v/>
      </c>
      <c r="M202" s="30" t="str">
        <f aca="false">IF($C202="","",IF(OR($E202="received"),N($G202),IF(OR($E202="rejected",$E202="delivered",$E202="topped_up"),-N($G202),IF(AND(OR($E202="returned_to_brand",$E202="given_to_roster_office",$E202="released_to_office",$E202="disposed"),IF($F202="","reserve",$F202)="reserve"),-N($G202),IF(AND($E202="correction",IF($F202="","reserve",$F202)="reserve"),N($G202),0)))))</f>
        <v/>
      </c>
      <c r="N202" s="30" t="str">
        <f aca="false">IF($C202="","",IF($E202="rejected",N($G202),IF(AND(OR($E202="returned_to_brand",$E202="given_to_roster_office",$E202="released_to_office",$E202="disposed"),IF($F202="","reserve",$F202)="rejected"),-N($G202),IF(AND($E202="correction",IF($F202="","reserve",$F202)="rejected"),N($G202),0))))</f>
        <v/>
      </c>
      <c r="O202" s="30" t="str">
        <f aca="false">IF($C202="","",IF($E202="collected",N($G202),IF(AND(OR($E202="returned_to_brand",$E202="given_to_roster_office",$E202="released_to_office",$E202="disposed"),IF($F202="","reserve",$F202)="leftover"),-N($G202),IF(AND($E202="correction",IF($F202="","reserve",$F202)="leftover"),N($G202),0))))</f>
        <v/>
      </c>
      <c r="P202" s="30" t="str">
        <f aca="false">IF(OR($E202&lt;&gt;"received",$I202="",$L202=""),"",IF($I202&gt;=$L202+config!$B$19,"Y","N"))</f>
        <v/>
      </c>
      <c r="Q202" s="30" t="str">
        <f aca="false">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30" t="str">
        <f aca="false">IF($C202="","",$C202&amp;"|"&amp;$D202&amp;"|"&amp;$E202)</f>
        <v/>
      </c>
    </row>
    <row r="203" customFormat="false" ht="15" hidden="false" customHeight="false" outlineLevel="0" collapsed="false">
      <c r="A203" s="11"/>
      <c r="B203" s="38"/>
      <c r="E203" s="10"/>
      <c r="I203" s="11"/>
      <c r="J203" s="10"/>
      <c r="L203" s="31" t="str">
        <f aca="false">IF($C203="","",IFERROR(IF(INDEX(campaigns!$BG$2:$BG$51,MATCH($C203,campaigns!$A$2:$A$51,0))="","",INDEX(campaigns!$BG$2:$BG$51,MATCH($C203,campaigns!$A$2:$A$51,0))),""))</f>
        <v/>
      </c>
      <c r="M203" s="30" t="str">
        <f aca="false">IF($C203="","",IF(OR($E203="received"),N($G203),IF(OR($E203="rejected",$E203="delivered",$E203="topped_up"),-N($G203),IF(AND(OR($E203="returned_to_brand",$E203="given_to_roster_office",$E203="released_to_office",$E203="disposed"),IF($F203="","reserve",$F203)="reserve"),-N($G203),IF(AND($E203="correction",IF($F203="","reserve",$F203)="reserve"),N($G203),0)))))</f>
        <v/>
      </c>
      <c r="N203" s="30" t="str">
        <f aca="false">IF($C203="","",IF($E203="rejected",N($G203),IF(AND(OR($E203="returned_to_brand",$E203="given_to_roster_office",$E203="released_to_office",$E203="disposed"),IF($F203="","reserve",$F203)="rejected"),-N($G203),IF(AND($E203="correction",IF($F203="","reserve",$F203)="rejected"),N($G203),0))))</f>
        <v/>
      </c>
      <c r="O203" s="30" t="str">
        <f aca="false">IF($C203="","",IF($E203="collected",N($G203),IF(AND(OR($E203="returned_to_brand",$E203="given_to_roster_office",$E203="released_to_office",$E203="disposed"),IF($F203="","reserve",$F203)="leftover"),-N($G203),IF(AND($E203="correction",IF($F203="","reserve",$F203)="leftover"),N($G203),0))))</f>
        <v/>
      </c>
      <c r="P203" s="30" t="str">
        <f aca="false">IF(OR($E203&lt;&gt;"received",$I203="",$L203=""),"",IF($I203&gt;=$L203+config!$B$19,"Y","N"))</f>
        <v/>
      </c>
      <c r="Q203" s="30" t="str">
        <f aca="false">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30" t="str">
        <f aca="false">IF($C203="","",$C203&amp;"|"&amp;$D203&amp;"|"&amp;$E203)</f>
        <v/>
      </c>
    </row>
    <row r="204" customFormat="false" ht="15" hidden="false" customHeight="false" outlineLevel="0" collapsed="false">
      <c r="A204" s="11"/>
      <c r="B204" s="38"/>
      <c r="E204" s="10"/>
      <c r="I204" s="11"/>
      <c r="J204" s="10"/>
      <c r="L204" s="31" t="str">
        <f aca="false">IF($C204="","",IFERROR(IF(INDEX(campaigns!$BG$2:$BG$51,MATCH($C204,campaigns!$A$2:$A$51,0))="","",INDEX(campaigns!$BG$2:$BG$51,MATCH($C204,campaigns!$A$2:$A$51,0))),""))</f>
        <v/>
      </c>
      <c r="M204" s="30" t="str">
        <f aca="false">IF($C204="","",IF(OR($E204="received"),N($G204),IF(OR($E204="rejected",$E204="delivered",$E204="topped_up"),-N($G204),IF(AND(OR($E204="returned_to_brand",$E204="given_to_roster_office",$E204="released_to_office",$E204="disposed"),IF($F204="","reserve",$F204)="reserve"),-N($G204),IF(AND($E204="correction",IF($F204="","reserve",$F204)="reserve"),N($G204),0)))))</f>
        <v/>
      </c>
      <c r="N204" s="30" t="str">
        <f aca="false">IF($C204="","",IF($E204="rejected",N($G204),IF(AND(OR($E204="returned_to_brand",$E204="given_to_roster_office",$E204="released_to_office",$E204="disposed"),IF($F204="","reserve",$F204)="rejected"),-N($G204),IF(AND($E204="correction",IF($F204="","reserve",$F204)="rejected"),N($G204),0))))</f>
        <v/>
      </c>
      <c r="O204" s="30" t="str">
        <f aca="false">IF($C204="","",IF($E204="collected",N($G204),IF(AND(OR($E204="returned_to_brand",$E204="given_to_roster_office",$E204="released_to_office",$E204="disposed"),IF($F204="","reserve",$F204)="leftover"),-N($G204),IF(AND($E204="correction",IF($F204="","reserve",$F204)="leftover"),N($G204),0))))</f>
        <v/>
      </c>
      <c r="P204" s="30" t="str">
        <f aca="false">IF(OR($E204&lt;&gt;"received",$I204="",$L204=""),"",IF($I204&gt;=$L204+config!$B$19,"Y","N"))</f>
        <v/>
      </c>
      <c r="Q204" s="30" t="str">
        <f aca="false">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30" t="str">
        <f aca="false">IF($C204="","",$C204&amp;"|"&amp;$D204&amp;"|"&amp;$E204)</f>
        <v/>
      </c>
    </row>
    <row r="205" customFormat="false" ht="15" hidden="false" customHeight="false" outlineLevel="0" collapsed="false">
      <c r="A205" s="11"/>
      <c r="B205" s="38"/>
      <c r="E205" s="10"/>
      <c r="I205" s="11"/>
      <c r="J205" s="10"/>
      <c r="L205" s="31" t="str">
        <f aca="false">IF($C205="","",IFERROR(IF(INDEX(campaigns!$BG$2:$BG$51,MATCH($C205,campaigns!$A$2:$A$51,0))="","",INDEX(campaigns!$BG$2:$BG$51,MATCH($C205,campaigns!$A$2:$A$51,0))),""))</f>
        <v/>
      </c>
      <c r="M205" s="30" t="str">
        <f aca="false">IF($C205="","",IF(OR($E205="received"),N($G205),IF(OR($E205="rejected",$E205="delivered",$E205="topped_up"),-N($G205),IF(AND(OR($E205="returned_to_brand",$E205="given_to_roster_office",$E205="released_to_office",$E205="disposed"),IF($F205="","reserve",$F205)="reserve"),-N($G205),IF(AND($E205="correction",IF($F205="","reserve",$F205)="reserve"),N($G205),0)))))</f>
        <v/>
      </c>
      <c r="N205" s="30" t="str">
        <f aca="false">IF($C205="","",IF($E205="rejected",N($G205),IF(AND(OR($E205="returned_to_brand",$E205="given_to_roster_office",$E205="released_to_office",$E205="disposed"),IF($F205="","reserve",$F205)="rejected"),-N($G205),IF(AND($E205="correction",IF($F205="","reserve",$F205)="rejected"),N($G205),0))))</f>
        <v/>
      </c>
      <c r="O205" s="30" t="str">
        <f aca="false">IF($C205="","",IF($E205="collected",N($G205),IF(AND(OR($E205="returned_to_brand",$E205="given_to_roster_office",$E205="released_to_office",$E205="disposed"),IF($F205="","reserve",$F205)="leftover"),-N($G205),IF(AND($E205="correction",IF($F205="","reserve",$F205)="leftover"),N($G205),0))))</f>
        <v/>
      </c>
      <c r="P205" s="30" t="str">
        <f aca="false">IF(OR($E205&lt;&gt;"received",$I205="",$L205=""),"",IF($I205&gt;=$L205+config!$B$19,"Y","N"))</f>
        <v/>
      </c>
      <c r="Q205" s="30" t="str">
        <f aca="false">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30" t="str">
        <f aca="false">IF($C205="","",$C205&amp;"|"&amp;$D205&amp;"|"&amp;$E205)</f>
        <v/>
      </c>
    </row>
    <row r="206" customFormat="false" ht="15" hidden="false" customHeight="false" outlineLevel="0" collapsed="false">
      <c r="A206" s="11"/>
      <c r="B206" s="38"/>
      <c r="E206" s="10"/>
      <c r="I206" s="11"/>
      <c r="J206" s="10"/>
      <c r="L206" s="31" t="str">
        <f aca="false">IF($C206="","",IFERROR(IF(INDEX(campaigns!$BG$2:$BG$51,MATCH($C206,campaigns!$A$2:$A$51,0))="","",INDEX(campaigns!$BG$2:$BG$51,MATCH($C206,campaigns!$A$2:$A$51,0))),""))</f>
        <v/>
      </c>
      <c r="M206" s="30" t="str">
        <f aca="false">IF($C206="","",IF(OR($E206="received"),N($G206),IF(OR($E206="rejected",$E206="delivered",$E206="topped_up"),-N($G206),IF(AND(OR($E206="returned_to_brand",$E206="given_to_roster_office",$E206="released_to_office",$E206="disposed"),IF($F206="","reserve",$F206)="reserve"),-N($G206),IF(AND($E206="correction",IF($F206="","reserve",$F206)="reserve"),N($G206),0)))))</f>
        <v/>
      </c>
      <c r="N206" s="30" t="str">
        <f aca="false">IF($C206="","",IF($E206="rejected",N($G206),IF(AND(OR($E206="returned_to_brand",$E206="given_to_roster_office",$E206="released_to_office",$E206="disposed"),IF($F206="","reserve",$F206)="rejected"),-N($G206),IF(AND($E206="correction",IF($F206="","reserve",$F206)="rejected"),N($G206),0))))</f>
        <v/>
      </c>
      <c r="O206" s="30" t="str">
        <f aca="false">IF($C206="","",IF($E206="collected",N($G206),IF(AND(OR($E206="returned_to_brand",$E206="given_to_roster_office",$E206="released_to_office",$E206="disposed"),IF($F206="","reserve",$F206)="leftover"),-N($G206),IF(AND($E206="correction",IF($F206="","reserve",$F206)="leftover"),N($G206),0))))</f>
        <v/>
      </c>
      <c r="P206" s="30" t="str">
        <f aca="false">IF(OR($E206&lt;&gt;"received",$I206="",$L206=""),"",IF($I206&gt;=$L206+config!$B$19,"Y","N"))</f>
        <v/>
      </c>
      <c r="Q206" s="30" t="str">
        <f aca="false">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30" t="str">
        <f aca="false">IF($C206="","",$C206&amp;"|"&amp;$D206&amp;"|"&amp;$E206)</f>
        <v/>
      </c>
    </row>
    <row r="207" customFormat="false" ht="15" hidden="false" customHeight="false" outlineLevel="0" collapsed="false">
      <c r="A207" s="11"/>
      <c r="B207" s="38"/>
      <c r="E207" s="10"/>
      <c r="I207" s="11"/>
      <c r="J207" s="10"/>
      <c r="L207" s="31" t="str">
        <f aca="false">IF($C207="","",IFERROR(IF(INDEX(campaigns!$BG$2:$BG$51,MATCH($C207,campaigns!$A$2:$A$51,0))="","",INDEX(campaigns!$BG$2:$BG$51,MATCH($C207,campaigns!$A$2:$A$51,0))),""))</f>
        <v/>
      </c>
      <c r="M207" s="30" t="str">
        <f aca="false">IF($C207="","",IF(OR($E207="received"),N($G207),IF(OR($E207="rejected",$E207="delivered",$E207="topped_up"),-N($G207),IF(AND(OR($E207="returned_to_brand",$E207="given_to_roster_office",$E207="released_to_office",$E207="disposed"),IF($F207="","reserve",$F207)="reserve"),-N($G207),IF(AND($E207="correction",IF($F207="","reserve",$F207)="reserve"),N($G207),0)))))</f>
        <v/>
      </c>
      <c r="N207" s="30" t="str">
        <f aca="false">IF($C207="","",IF($E207="rejected",N($G207),IF(AND(OR($E207="returned_to_brand",$E207="given_to_roster_office",$E207="released_to_office",$E207="disposed"),IF($F207="","reserve",$F207)="rejected"),-N($G207),IF(AND($E207="correction",IF($F207="","reserve",$F207)="rejected"),N($G207),0))))</f>
        <v/>
      </c>
      <c r="O207" s="30" t="str">
        <f aca="false">IF($C207="","",IF($E207="collected",N($G207),IF(AND(OR($E207="returned_to_brand",$E207="given_to_roster_office",$E207="released_to_office",$E207="disposed"),IF($F207="","reserve",$F207)="leftover"),-N($G207),IF(AND($E207="correction",IF($F207="","reserve",$F207)="leftover"),N($G207),0))))</f>
        <v/>
      </c>
      <c r="P207" s="30" t="str">
        <f aca="false">IF(OR($E207&lt;&gt;"received",$I207="",$L207=""),"",IF($I207&gt;=$L207+config!$B$19,"Y","N"))</f>
        <v/>
      </c>
      <c r="Q207" s="30" t="str">
        <f aca="false">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30" t="str">
        <f aca="false">IF($C207="","",$C207&amp;"|"&amp;$D207&amp;"|"&amp;$E207)</f>
        <v/>
      </c>
    </row>
    <row r="208" customFormat="false" ht="15" hidden="false" customHeight="false" outlineLevel="0" collapsed="false">
      <c r="A208" s="11"/>
      <c r="B208" s="38"/>
      <c r="E208" s="10"/>
      <c r="I208" s="11"/>
      <c r="J208" s="10"/>
      <c r="L208" s="31" t="str">
        <f aca="false">IF($C208="","",IFERROR(IF(INDEX(campaigns!$BG$2:$BG$51,MATCH($C208,campaigns!$A$2:$A$51,0))="","",INDEX(campaigns!$BG$2:$BG$51,MATCH($C208,campaigns!$A$2:$A$51,0))),""))</f>
        <v/>
      </c>
      <c r="M208" s="30" t="str">
        <f aca="false">IF($C208="","",IF(OR($E208="received"),N($G208),IF(OR($E208="rejected",$E208="delivered",$E208="topped_up"),-N($G208),IF(AND(OR($E208="returned_to_brand",$E208="given_to_roster_office",$E208="released_to_office",$E208="disposed"),IF($F208="","reserve",$F208)="reserve"),-N($G208),IF(AND($E208="correction",IF($F208="","reserve",$F208)="reserve"),N($G208),0)))))</f>
        <v/>
      </c>
      <c r="N208" s="30" t="str">
        <f aca="false">IF($C208="","",IF($E208="rejected",N($G208),IF(AND(OR($E208="returned_to_brand",$E208="given_to_roster_office",$E208="released_to_office",$E208="disposed"),IF($F208="","reserve",$F208)="rejected"),-N($G208),IF(AND($E208="correction",IF($F208="","reserve",$F208)="rejected"),N($G208),0))))</f>
        <v/>
      </c>
      <c r="O208" s="30" t="str">
        <f aca="false">IF($C208="","",IF($E208="collected",N($G208),IF(AND(OR($E208="returned_to_brand",$E208="given_to_roster_office",$E208="released_to_office",$E208="disposed"),IF($F208="","reserve",$F208)="leftover"),-N($G208),IF(AND($E208="correction",IF($F208="","reserve",$F208)="leftover"),N($G208),0))))</f>
        <v/>
      </c>
      <c r="P208" s="30" t="str">
        <f aca="false">IF(OR($E208&lt;&gt;"received",$I208="",$L208=""),"",IF($I208&gt;=$L208+config!$B$19,"Y","N"))</f>
        <v/>
      </c>
      <c r="Q208" s="30" t="str">
        <f aca="false">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30" t="str">
        <f aca="false">IF($C208="","",$C208&amp;"|"&amp;$D208&amp;"|"&amp;$E208)</f>
        <v/>
      </c>
    </row>
    <row r="209" customFormat="false" ht="15" hidden="false" customHeight="false" outlineLevel="0" collapsed="false">
      <c r="A209" s="11"/>
      <c r="B209" s="38"/>
      <c r="E209" s="10"/>
      <c r="I209" s="11"/>
      <c r="J209" s="10"/>
      <c r="L209" s="31" t="str">
        <f aca="false">IF($C209="","",IFERROR(IF(INDEX(campaigns!$BG$2:$BG$51,MATCH($C209,campaigns!$A$2:$A$51,0))="","",INDEX(campaigns!$BG$2:$BG$51,MATCH($C209,campaigns!$A$2:$A$51,0))),""))</f>
        <v/>
      </c>
      <c r="M209" s="30" t="str">
        <f aca="false">IF($C209="","",IF(OR($E209="received"),N($G209),IF(OR($E209="rejected",$E209="delivered",$E209="topped_up"),-N($G209),IF(AND(OR($E209="returned_to_brand",$E209="given_to_roster_office",$E209="released_to_office",$E209="disposed"),IF($F209="","reserve",$F209)="reserve"),-N($G209),IF(AND($E209="correction",IF($F209="","reserve",$F209)="reserve"),N($G209),0)))))</f>
        <v/>
      </c>
      <c r="N209" s="30" t="str">
        <f aca="false">IF($C209="","",IF($E209="rejected",N($G209),IF(AND(OR($E209="returned_to_brand",$E209="given_to_roster_office",$E209="released_to_office",$E209="disposed"),IF($F209="","reserve",$F209)="rejected"),-N($G209),IF(AND($E209="correction",IF($F209="","reserve",$F209)="rejected"),N($G209),0))))</f>
        <v/>
      </c>
      <c r="O209" s="30" t="str">
        <f aca="false">IF($C209="","",IF($E209="collected",N($G209),IF(AND(OR($E209="returned_to_brand",$E209="given_to_roster_office",$E209="released_to_office",$E209="disposed"),IF($F209="","reserve",$F209)="leftover"),-N($G209),IF(AND($E209="correction",IF($F209="","reserve",$F209)="leftover"),N($G209),0))))</f>
        <v/>
      </c>
      <c r="P209" s="30" t="str">
        <f aca="false">IF(OR($E209&lt;&gt;"received",$I209="",$L209=""),"",IF($I209&gt;=$L209+config!$B$19,"Y","N"))</f>
        <v/>
      </c>
      <c r="Q209" s="30" t="str">
        <f aca="false">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30" t="str">
        <f aca="false">IF($C209="","",$C209&amp;"|"&amp;$D209&amp;"|"&amp;$E209)</f>
        <v/>
      </c>
    </row>
    <row r="210" customFormat="false" ht="15" hidden="false" customHeight="false" outlineLevel="0" collapsed="false">
      <c r="A210" s="11"/>
      <c r="B210" s="38"/>
      <c r="E210" s="10"/>
      <c r="I210" s="11"/>
      <c r="J210" s="10"/>
      <c r="L210" s="31" t="str">
        <f aca="false">IF($C210="","",IFERROR(IF(INDEX(campaigns!$BG$2:$BG$51,MATCH($C210,campaigns!$A$2:$A$51,0))="","",INDEX(campaigns!$BG$2:$BG$51,MATCH($C210,campaigns!$A$2:$A$51,0))),""))</f>
        <v/>
      </c>
      <c r="M210" s="30" t="str">
        <f aca="false">IF($C210="","",IF(OR($E210="received"),N($G210),IF(OR($E210="rejected",$E210="delivered",$E210="topped_up"),-N($G210),IF(AND(OR($E210="returned_to_brand",$E210="given_to_roster_office",$E210="released_to_office",$E210="disposed"),IF($F210="","reserve",$F210)="reserve"),-N($G210),IF(AND($E210="correction",IF($F210="","reserve",$F210)="reserve"),N($G210),0)))))</f>
        <v/>
      </c>
      <c r="N210" s="30" t="str">
        <f aca="false">IF($C210="","",IF($E210="rejected",N($G210),IF(AND(OR($E210="returned_to_brand",$E210="given_to_roster_office",$E210="released_to_office",$E210="disposed"),IF($F210="","reserve",$F210)="rejected"),-N($G210),IF(AND($E210="correction",IF($F210="","reserve",$F210)="rejected"),N($G210),0))))</f>
        <v/>
      </c>
      <c r="O210" s="30" t="str">
        <f aca="false">IF($C210="","",IF($E210="collected",N($G210),IF(AND(OR($E210="returned_to_brand",$E210="given_to_roster_office",$E210="released_to_office",$E210="disposed"),IF($F210="","reserve",$F210)="leftover"),-N($G210),IF(AND($E210="correction",IF($F210="","reserve",$F210)="leftover"),N($G210),0))))</f>
        <v/>
      </c>
      <c r="P210" s="30" t="str">
        <f aca="false">IF(OR($E210&lt;&gt;"received",$I210="",$L210=""),"",IF($I210&gt;=$L210+config!$B$19,"Y","N"))</f>
        <v/>
      </c>
      <c r="Q210" s="30" t="str">
        <f aca="false">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30" t="str">
        <f aca="false">IF($C210="","",$C210&amp;"|"&amp;$D210&amp;"|"&amp;$E210)</f>
        <v/>
      </c>
    </row>
    <row r="211" customFormat="false" ht="15" hidden="false" customHeight="false" outlineLevel="0" collapsed="false">
      <c r="A211" s="11"/>
      <c r="B211" s="38"/>
      <c r="E211" s="10"/>
      <c r="I211" s="11"/>
      <c r="J211" s="10"/>
      <c r="L211" s="31" t="str">
        <f aca="false">IF($C211="","",IFERROR(IF(INDEX(campaigns!$BG$2:$BG$51,MATCH($C211,campaigns!$A$2:$A$51,0))="","",INDEX(campaigns!$BG$2:$BG$51,MATCH($C211,campaigns!$A$2:$A$51,0))),""))</f>
        <v/>
      </c>
      <c r="M211" s="30" t="str">
        <f aca="false">IF($C211="","",IF(OR($E211="received"),N($G211),IF(OR($E211="rejected",$E211="delivered",$E211="topped_up"),-N($G211),IF(AND(OR($E211="returned_to_brand",$E211="given_to_roster_office",$E211="released_to_office",$E211="disposed"),IF($F211="","reserve",$F211)="reserve"),-N($G211),IF(AND($E211="correction",IF($F211="","reserve",$F211)="reserve"),N($G211),0)))))</f>
        <v/>
      </c>
      <c r="N211" s="30" t="str">
        <f aca="false">IF($C211="","",IF($E211="rejected",N($G211),IF(AND(OR($E211="returned_to_brand",$E211="given_to_roster_office",$E211="released_to_office",$E211="disposed"),IF($F211="","reserve",$F211)="rejected"),-N($G211),IF(AND($E211="correction",IF($F211="","reserve",$F211)="rejected"),N($G211),0))))</f>
        <v/>
      </c>
      <c r="O211" s="30" t="str">
        <f aca="false">IF($C211="","",IF($E211="collected",N($G211),IF(AND(OR($E211="returned_to_brand",$E211="given_to_roster_office",$E211="released_to_office",$E211="disposed"),IF($F211="","reserve",$F211)="leftover"),-N($G211),IF(AND($E211="correction",IF($F211="","reserve",$F211)="leftover"),N($G211),0))))</f>
        <v/>
      </c>
      <c r="P211" s="30" t="str">
        <f aca="false">IF(OR($E211&lt;&gt;"received",$I211="",$L211=""),"",IF($I211&gt;=$L211+config!$B$19,"Y","N"))</f>
        <v/>
      </c>
      <c r="Q211" s="30" t="str">
        <f aca="false">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30" t="str">
        <f aca="false">IF($C211="","",$C211&amp;"|"&amp;$D211&amp;"|"&amp;$E211)</f>
        <v/>
      </c>
    </row>
    <row r="212" customFormat="false" ht="15" hidden="false" customHeight="false" outlineLevel="0" collapsed="false">
      <c r="A212" s="11"/>
      <c r="B212" s="38"/>
      <c r="E212" s="10"/>
      <c r="I212" s="11"/>
      <c r="J212" s="10"/>
      <c r="L212" s="31" t="str">
        <f aca="false">IF($C212="","",IFERROR(IF(INDEX(campaigns!$BG$2:$BG$51,MATCH($C212,campaigns!$A$2:$A$51,0))="","",INDEX(campaigns!$BG$2:$BG$51,MATCH($C212,campaigns!$A$2:$A$51,0))),""))</f>
        <v/>
      </c>
      <c r="M212" s="30" t="str">
        <f aca="false">IF($C212="","",IF(OR($E212="received"),N($G212),IF(OR($E212="rejected",$E212="delivered",$E212="topped_up"),-N($G212),IF(AND(OR($E212="returned_to_brand",$E212="given_to_roster_office",$E212="released_to_office",$E212="disposed"),IF($F212="","reserve",$F212)="reserve"),-N($G212),IF(AND($E212="correction",IF($F212="","reserve",$F212)="reserve"),N($G212),0)))))</f>
        <v/>
      </c>
      <c r="N212" s="30" t="str">
        <f aca="false">IF($C212="","",IF($E212="rejected",N($G212),IF(AND(OR($E212="returned_to_brand",$E212="given_to_roster_office",$E212="released_to_office",$E212="disposed"),IF($F212="","reserve",$F212)="rejected"),-N($G212),IF(AND($E212="correction",IF($F212="","reserve",$F212)="rejected"),N($G212),0))))</f>
        <v/>
      </c>
      <c r="O212" s="30" t="str">
        <f aca="false">IF($C212="","",IF($E212="collected",N($G212),IF(AND(OR($E212="returned_to_brand",$E212="given_to_roster_office",$E212="released_to_office",$E212="disposed"),IF($F212="","reserve",$F212)="leftover"),-N($G212),IF(AND($E212="correction",IF($F212="","reserve",$F212)="leftover"),N($G212),0))))</f>
        <v/>
      </c>
      <c r="P212" s="30" t="str">
        <f aca="false">IF(OR($E212&lt;&gt;"received",$I212="",$L212=""),"",IF($I212&gt;=$L212+config!$B$19,"Y","N"))</f>
        <v/>
      </c>
      <c r="Q212" s="30" t="str">
        <f aca="false">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30" t="str">
        <f aca="false">IF($C212="","",$C212&amp;"|"&amp;$D212&amp;"|"&amp;$E212)</f>
        <v/>
      </c>
    </row>
    <row r="213" customFormat="false" ht="15" hidden="false" customHeight="false" outlineLevel="0" collapsed="false">
      <c r="A213" s="11"/>
      <c r="B213" s="38"/>
      <c r="E213" s="10"/>
      <c r="I213" s="11"/>
      <c r="J213" s="10"/>
      <c r="L213" s="31" t="str">
        <f aca="false">IF($C213="","",IFERROR(IF(INDEX(campaigns!$BG$2:$BG$51,MATCH($C213,campaigns!$A$2:$A$51,0))="","",INDEX(campaigns!$BG$2:$BG$51,MATCH($C213,campaigns!$A$2:$A$51,0))),""))</f>
        <v/>
      </c>
      <c r="M213" s="30" t="str">
        <f aca="false">IF($C213="","",IF(OR($E213="received"),N($G213),IF(OR($E213="rejected",$E213="delivered",$E213="topped_up"),-N($G213),IF(AND(OR($E213="returned_to_brand",$E213="given_to_roster_office",$E213="released_to_office",$E213="disposed"),IF($F213="","reserve",$F213)="reserve"),-N($G213),IF(AND($E213="correction",IF($F213="","reserve",$F213)="reserve"),N($G213),0)))))</f>
        <v/>
      </c>
      <c r="N213" s="30" t="str">
        <f aca="false">IF($C213="","",IF($E213="rejected",N($G213),IF(AND(OR($E213="returned_to_brand",$E213="given_to_roster_office",$E213="released_to_office",$E213="disposed"),IF($F213="","reserve",$F213)="rejected"),-N($G213),IF(AND($E213="correction",IF($F213="","reserve",$F213)="rejected"),N($G213),0))))</f>
        <v/>
      </c>
      <c r="O213" s="30" t="str">
        <f aca="false">IF($C213="","",IF($E213="collected",N($G213),IF(AND(OR($E213="returned_to_brand",$E213="given_to_roster_office",$E213="released_to_office",$E213="disposed"),IF($F213="","reserve",$F213)="leftover"),-N($G213),IF(AND($E213="correction",IF($F213="","reserve",$F213)="leftover"),N($G213),0))))</f>
        <v/>
      </c>
      <c r="P213" s="30" t="str">
        <f aca="false">IF(OR($E213&lt;&gt;"received",$I213="",$L213=""),"",IF($I213&gt;=$L213+config!$B$19,"Y","N"))</f>
        <v/>
      </c>
      <c r="Q213" s="30" t="str">
        <f aca="false">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30" t="str">
        <f aca="false">IF($C213="","",$C213&amp;"|"&amp;$D213&amp;"|"&amp;$E213)</f>
        <v/>
      </c>
    </row>
    <row r="214" customFormat="false" ht="15" hidden="false" customHeight="false" outlineLevel="0" collapsed="false">
      <c r="A214" s="11"/>
      <c r="B214" s="38"/>
      <c r="E214" s="10"/>
      <c r="I214" s="11"/>
      <c r="J214" s="10"/>
      <c r="L214" s="31" t="str">
        <f aca="false">IF($C214="","",IFERROR(IF(INDEX(campaigns!$BG$2:$BG$51,MATCH($C214,campaigns!$A$2:$A$51,0))="","",INDEX(campaigns!$BG$2:$BG$51,MATCH($C214,campaigns!$A$2:$A$51,0))),""))</f>
        <v/>
      </c>
      <c r="M214" s="30" t="str">
        <f aca="false">IF($C214="","",IF(OR($E214="received"),N($G214),IF(OR($E214="rejected",$E214="delivered",$E214="topped_up"),-N($G214),IF(AND(OR($E214="returned_to_brand",$E214="given_to_roster_office",$E214="released_to_office",$E214="disposed"),IF($F214="","reserve",$F214)="reserve"),-N($G214),IF(AND($E214="correction",IF($F214="","reserve",$F214)="reserve"),N($G214),0)))))</f>
        <v/>
      </c>
      <c r="N214" s="30" t="str">
        <f aca="false">IF($C214="","",IF($E214="rejected",N($G214),IF(AND(OR($E214="returned_to_brand",$E214="given_to_roster_office",$E214="released_to_office",$E214="disposed"),IF($F214="","reserve",$F214)="rejected"),-N($G214),IF(AND($E214="correction",IF($F214="","reserve",$F214)="rejected"),N($G214),0))))</f>
        <v/>
      </c>
      <c r="O214" s="30" t="str">
        <f aca="false">IF($C214="","",IF($E214="collected",N($G214),IF(AND(OR($E214="returned_to_brand",$E214="given_to_roster_office",$E214="released_to_office",$E214="disposed"),IF($F214="","reserve",$F214)="leftover"),-N($G214),IF(AND($E214="correction",IF($F214="","reserve",$F214)="leftover"),N($G214),0))))</f>
        <v/>
      </c>
      <c r="P214" s="30" t="str">
        <f aca="false">IF(OR($E214&lt;&gt;"received",$I214="",$L214=""),"",IF($I214&gt;=$L214+config!$B$19,"Y","N"))</f>
        <v/>
      </c>
      <c r="Q214" s="30" t="str">
        <f aca="false">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30" t="str">
        <f aca="false">IF($C214="","",$C214&amp;"|"&amp;$D214&amp;"|"&amp;$E214)</f>
        <v/>
      </c>
    </row>
    <row r="215" customFormat="false" ht="15" hidden="false" customHeight="false" outlineLevel="0" collapsed="false">
      <c r="A215" s="11"/>
      <c r="B215" s="38"/>
      <c r="E215" s="10"/>
      <c r="I215" s="11"/>
      <c r="J215" s="10"/>
      <c r="L215" s="31" t="str">
        <f aca="false">IF($C215="","",IFERROR(IF(INDEX(campaigns!$BG$2:$BG$51,MATCH($C215,campaigns!$A$2:$A$51,0))="","",INDEX(campaigns!$BG$2:$BG$51,MATCH($C215,campaigns!$A$2:$A$51,0))),""))</f>
        <v/>
      </c>
      <c r="M215" s="30" t="str">
        <f aca="false">IF($C215="","",IF(OR($E215="received"),N($G215),IF(OR($E215="rejected",$E215="delivered",$E215="topped_up"),-N($G215),IF(AND(OR($E215="returned_to_brand",$E215="given_to_roster_office",$E215="released_to_office",$E215="disposed"),IF($F215="","reserve",$F215)="reserve"),-N($G215),IF(AND($E215="correction",IF($F215="","reserve",$F215)="reserve"),N($G215),0)))))</f>
        <v/>
      </c>
      <c r="N215" s="30" t="str">
        <f aca="false">IF($C215="","",IF($E215="rejected",N($G215),IF(AND(OR($E215="returned_to_brand",$E215="given_to_roster_office",$E215="released_to_office",$E215="disposed"),IF($F215="","reserve",$F215)="rejected"),-N($G215),IF(AND($E215="correction",IF($F215="","reserve",$F215)="rejected"),N($G215),0))))</f>
        <v/>
      </c>
      <c r="O215" s="30" t="str">
        <f aca="false">IF($C215="","",IF($E215="collected",N($G215),IF(AND(OR($E215="returned_to_brand",$E215="given_to_roster_office",$E215="released_to_office",$E215="disposed"),IF($F215="","reserve",$F215)="leftover"),-N($G215),IF(AND($E215="correction",IF($F215="","reserve",$F215)="leftover"),N($G215),0))))</f>
        <v/>
      </c>
      <c r="P215" s="30" t="str">
        <f aca="false">IF(OR($E215&lt;&gt;"received",$I215="",$L215=""),"",IF($I215&gt;=$L215+config!$B$19,"Y","N"))</f>
        <v/>
      </c>
      <c r="Q215" s="30" t="str">
        <f aca="false">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30" t="str">
        <f aca="false">IF($C215="","",$C215&amp;"|"&amp;$D215&amp;"|"&amp;$E215)</f>
        <v/>
      </c>
    </row>
    <row r="216" customFormat="false" ht="15" hidden="false" customHeight="false" outlineLevel="0" collapsed="false">
      <c r="A216" s="11"/>
      <c r="B216" s="38"/>
      <c r="E216" s="10"/>
      <c r="I216" s="11"/>
      <c r="J216" s="10"/>
      <c r="L216" s="31" t="str">
        <f aca="false">IF($C216="","",IFERROR(IF(INDEX(campaigns!$BG$2:$BG$51,MATCH($C216,campaigns!$A$2:$A$51,0))="","",INDEX(campaigns!$BG$2:$BG$51,MATCH($C216,campaigns!$A$2:$A$51,0))),""))</f>
        <v/>
      </c>
      <c r="M216" s="30" t="str">
        <f aca="false">IF($C216="","",IF(OR($E216="received"),N($G216),IF(OR($E216="rejected",$E216="delivered",$E216="topped_up"),-N($G216),IF(AND(OR($E216="returned_to_brand",$E216="given_to_roster_office",$E216="released_to_office",$E216="disposed"),IF($F216="","reserve",$F216)="reserve"),-N($G216),IF(AND($E216="correction",IF($F216="","reserve",$F216)="reserve"),N($G216),0)))))</f>
        <v/>
      </c>
      <c r="N216" s="30" t="str">
        <f aca="false">IF($C216="","",IF($E216="rejected",N($G216),IF(AND(OR($E216="returned_to_brand",$E216="given_to_roster_office",$E216="released_to_office",$E216="disposed"),IF($F216="","reserve",$F216)="rejected"),-N($G216),IF(AND($E216="correction",IF($F216="","reserve",$F216)="rejected"),N($G216),0))))</f>
        <v/>
      </c>
      <c r="O216" s="30" t="str">
        <f aca="false">IF($C216="","",IF($E216="collected",N($G216),IF(AND(OR($E216="returned_to_brand",$E216="given_to_roster_office",$E216="released_to_office",$E216="disposed"),IF($F216="","reserve",$F216)="leftover"),-N($G216),IF(AND($E216="correction",IF($F216="","reserve",$F216)="leftover"),N($G216),0))))</f>
        <v/>
      </c>
      <c r="P216" s="30" t="str">
        <f aca="false">IF(OR($E216&lt;&gt;"received",$I216="",$L216=""),"",IF($I216&gt;=$L216+config!$B$19,"Y","N"))</f>
        <v/>
      </c>
      <c r="Q216" s="30" t="str">
        <f aca="false">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30" t="str">
        <f aca="false">IF($C216="","",$C216&amp;"|"&amp;$D216&amp;"|"&amp;$E216)</f>
        <v/>
      </c>
    </row>
    <row r="217" customFormat="false" ht="15" hidden="false" customHeight="false" outlineLevel="0" collapsed="false">
      <c r="A217" s="11"/>
      <c r="B217" s="38"/>
      <c r="E217" s="10"/>
      <c r="I217" s="11"/>
      <c r="J217" s="10"/>
      <c r="L217" s="31" t="str">
        <f aca="false">IF($C217="","",IFERROR(IF(INDEX(campaigns!$BG$2:$BG$51,MATCH($C217,campaigns!$A$2:$A$51,0))="","",INDEX(campaigns!$BG$2:$BG$51,MATCH($C217,campaigns!$A$2:$A$51,0))),""))</f>
        <v/>
      </c>
      <c r="M217" s="30" t="str">
        <f aca="false">IF($C217="","",IF(OR($E217="received"),N($G217),IF(OR($E217="rejected",$E217="delivered",$E217="topped_up"),-N($G217),IF(AND(OR($E217="returned_to_brand",$E217="given_to_roster_office",$E217="released_to_office",$E217="disposed"),IF($F217="","reserve",$F217)="reserve"),-N($G217),IF(AND($E217="correction",IF($F217="","reserve",$F217)="reserve"),N($G217),0)))))</f>
        <v/>
      </c>
      <c r="N217" s="30" t="str">
        <f aca="false">IF($C217="","",IF($E217="rejected",N($G217),IF(AND(OR($E217="returned_to_brand",$E217="given_to_roster_office",$E217="released_to_office",$E217="disposed"),IF($F217="","reserve",$F217)="rejected"),-N($G217),IF(AND($E217="correction",IF($F217="","reserve",$F217)="rejected"),N($G217),0))))</f>
        <v/>
      </c>
      <c r="O217" s="30" t="str">
        <f aca="false">IF($C217="","",IF($E217="collected",N($G217),IF(AND(OR($E217="returned_to_brand",$E217="given_to_roster_office",$E217="released_to_office",$E217="disposed"),IF($F217="","reserve",$F217)="leftover"),-N($G217),IF(AND($E217="correction",IF($F217="","reserve",$F217)="leftover"),N($G217),0))))</f>
        <v/>
      </c>
      <c r="P217" s="30" t="str">
        <f aca="false">IF(OR($E217&lt;&gt;"received",$I217="",$L217=""),"",IF($I217&gt;=$L217+config!$B$19,"Y","N"))</f>
        <v/>
      </c>
      <c r="Q217" s="30" t="str">
        <f aca="false">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30" t="str">
        <f aca="false">IF($C217="","",$C217&amp;"|"&amp;$D217&amp;"|"&amp;$E217)</f>
        <v/>
      </c>
    </row>
    <row r="218" customFormat="false" ht="15" hidden="false" customHeight="false" outlineLevel="0" collapsed="false">
      <c r="A218" s="11"/>
      <c r="B218" s="38"/>
      <c r="E218" s="10"/>
      <c r="I218" s="11"/>
      <c r="J218" s="10"/>
      <c r="L218" s="31" t="str">
        <f aca="false">IF($C218="","",IFERROR(IF(INDEX(campaigns!$BG$2:$BG$51,MATCH($C218,campaigns!$A$2:$A$51,0))="","",INDEX(campaigns!$BG$2:$BG$51,MATCH($C218,campaigns!$A$2:$A$51,0))),""))</f>
        <v/>
      </c>
      <c r="M218" s="30" t="str">
        <f aca="false">IF($C218="","",IF(OR($E218="received"),N($G218),IF(OR($E218="rejected",$E218="delivered",$E218="topped_up"),-N($G218),IF(AND(OR($E218="returned_to_brand",$E218="given_to_roster_office",$E218="released_to_office",$E218="disposed"),IF($F218="","reserve",$F218)="reserve"),-N($G218),IF(AND($E218="correction",IF($F218="","reserve",$F218)="reserve"),N($G218),0)))))</f>
        <v/>
      </c>
      <c r="N218" s="30" t="str">
        <f aca="false">IF($C218="","",IF($E218="rejected",N($G218),IF(AND(OR($E218="returned_to_brand",$E218="given_to_roster_office",$E218="released_to_office",$E218="disposed"),IF($F218="","reserve",$F218)="rejected"),-N($G218),IF(AND($E218="correction",IF($F218="","reserve",$F218)="rejected"),N($G218),0))))</f>
        <v/>
      </c>
      <c r="O218" s="30" t="str">
        <f aca="false">IF($C218="","",IF($E218="collected",N($G218),IF(AND(OR($E218="returned_to_brand",$E218="given_to_roster_office",$E218="released_to_office",$E218="disposed"),IF($F218="","reserve",$F218)="leftover"),-N($G218),IF(AND($E218="correction",IF($F218="","reserve",$F218)="leftover"),N($G218),0))))</f>
        <v/>
      </c>
      <c r="P218" s="30" t="str">
        <f aca="false">IF(OR($E218&lt;&gt;"received",$I218="",$L218=""),"",IF($I218&gt;=$L218+config!$B$19,"Y","N"))</f>
        <v/>
      </c>
      <c r="Q218" s="30" t="str">
        <f aca="false">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30" t="str">
        <f aca="false">IF($C218="","",$C218&amp;"|"&amp;$D218&amp;"|"&amp;$E218)</f>
        <v/>
      </c>
    </row>
    <row r="219" customFormat="false" ht="15" hidden="false" customHeight="false" outlineLevel="0" collapsed="false">
      <c r="A219" s="11"/>
      <c r="B219" s="38"/>
      <c r="E219" s="10"/>
      <c r="I219" s="11"/>
      <c r="J219" s="10"/>
      <c r="L219" s="31" t="str">
        <f aca="false">IF($C219="","",IFERROR(IF(INDEX(campaigns!$BG$2:$BG$51,MATCH($C219,campaigns!$A$2:$A$51,0))="","",INDEX(campaigns!$BG$2:$BG$51,MATCH($C219,campaigns!$A$2:$A$51,0))),""))</f>
        <v/>
      </c>
      <c r="M219" s="30" t="str">
        <f aca="false">IF($C219="","",IF(OR($E219="received"),N($G219),IF(OR($E219="rejected",$E219="delivered",$E219="topped_up"),-N($G219),IF(AND(OR($E219="returned_to_brand",$E219="given_to_roster_office",$E219="released_to_office",$E219="disposed"),IF($F219="","reserve",$F219)="reserve"),-N($G219),IF(AND($E219="correction",IF($F219="","reserve",$F219)="reserve"),N($G219),0)))))</f>
        <v/>
      </c>
      <c r="N219" s="30" t="str">
        <f aca="false">IF($C219="","",IF($E219="rejected",N($G219),IF(AND(OR($E219="returned_to_brand",$E219="given_to_roster_office",$E219="released_to_office",$E219="disposed"),IF($F219="","reserve",$F219)="rejected"),-N($G219),IF(AND($E219="correction",IF($F219="","reserve",$F219)="rejected"),N($G219),0))))</f>
        <v/>
      </c>
      <c r="O219" s="30" t="str">
        <f aca="false">IF($C219="","",IF($E219="collected",N($G219),IF(AND(OR($E219="returned_to_brand",$E219="given_to_roster_office",$E219="released_to_office",$E219="disposed"),IF($F219="","reserve",$F219)="leftover"),-N($G219),IF(AND($E219="correction",IF($F219="","reserve",$F219)="leftover"),N($G219),0))))</f>
        <v/>
      </c>
      <c r="P219" s="30" t="str">
        <f aca="false">IF(OR($E219&lt;&gt;"received",$I219="",$L219=""),"",IF($I219&gt;=$L219+config!$B$19,"Y","N"))</f>
        <v/>
      </c>
      <c r="Q219" s="30" t="str">
        <f aca="false">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30" t="str">
        <f aca="false">IF($C219="","",$C219&amp;"|"&amp;$D219&amp;"|"&amp;$E219)</f>
        <v/>
      </c>
    </row>
    <row r="220" customFormat="false" ht="15" hidden="false" customHeight="false" outlineLevel="0" collapsed="false">
      <c r="A220" s="11"/>
      <c r="B220" s="38"/>
      <c r="E220" s="10"/>
      <c r="I220" s="11"/>
      <c r="J220" s="10"/>
      <c r="L220" s="31" t="str">
        <f aca="false">IF($C220="","",IFERROR(IF(INDEX(campaigns!$BG$2:$BG$51,MATCH($C220,campaigns!$A$2:$A$51,0))="","",INDEX(campaigns!$BG$2:$BG$51,MATCH($C220,campaigns!$A$2:$A$51,0))),""))</f>
        <v/>
      </c>
      <c r="M220" s="30" t="str">
        <f aca="false">IF($C220="","",IF(OR($E220="received"),N($G220),IF(OR($E220="rejected",$E220="delivered",$E220="topped_up"),-N($G220),IF(AND(OR($E220="returned_to_brand",$E220="given_to_roster_office",$E220="released_to_office",$E220="disposed"),IF($F220="","reserve",$F220)="reserve"),-N($G220),IF(AND($E220="correction",IF($F220="","reserve",$F220)="reserve"),N($G220),0)))))</f>
        <v/>
      </c>
      <c r="N220" s="30" t="str">
        <f aca="false">IF($C220="","",IF($E220="rejected",N($G220),IF(AND(OR($E220="returned_to_brand",$E220="given_to_roster_office",$E220="released_to_office",$E220="disposed"),IF($F220="","reserve",$F220)="rejected"),-N($G220),IF(AND($E220="correction",IF($F220="","reserve",$F220)="rejected"),N($G220),0))))</f>
        <v/>
      </c>
      <c r="O220" s="30" t="str">
        <f aca="false">IF($C220="","",IF($E220="collected",N($G220),IF(AND(OR($E220="returned_to_brand",$E220="given_to_roster_office",$E220="released_to_office",$E220="disposed"),IF($F220="","reserve",$F220)="leftover"),-N($G220),IF(AND($E220="correction",IF($F220="","reserve",$F220)="leftover"),N($G220),0))))</f>
        <v/>
      </c>
      <c r="P220" s="30" t="str">
        <f aca="false">IF(OR($E220&lt;&gt;"received",$I220="",$L220=""),"",IF($I220&gt;=$L220+config!$B$19,"Y","N"))</f>
        <v/>
      </c>
      <c r="Q220" s="30" t="str">
        <f aca="false">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30" t="str">
        <f aca="false">IF($C220="","",$C220&amp;"|"&amp;$D220&amp;"|"&amp;$E220)</f>
        <v/>
      </c>
    </row>
    <row r="221" customFormat="false" ht="15" hidden="false" customHeight="false" outlineLevel="0" collapsed="false">
      <c r="A221" s="11"/>
      <c r="B221" s="38"/>
      <c r="E221" s="10"/>
      <c r="I221" s="11"/>
      <c r="J221" s="10"/>
      <c r="L221" s="31" t="str">
        <f aca="false">IF($C221="","",IFERROR(IF(INDEX(campaigns!$BG$2:$BG$51,MATCH($C221,campaigns!$A$2:$A$51,0))="","",INDEX(campaigns!$BG$2:$BG$51,MATCH($C221,campaigns!$A$2:$A$51,0))),""))</f>
        <v/>
      </c>
      <c r="M221" s="30" t="str">
        <f aca="false">IF($C221="","",IF(OR($E221="received"),N($G221),IF(OR($E221="rejected",$E221="delivered",$E221="topped_up"),-N($G221),IF(AND(OR($E221="returned_to_brand",$E221="given_to_roster_office",$E221="released_to_office",$E221="disposed"),IF($F221="","reserve",$F221)="reserve"),-N($G221),IF(AND($E221="correction",IF($F221="","reserve",$F221)="reserve"),N($G221),0)))))</f>
        <v/>
      </c>
      <c r="N221" s="30" t="str">
        <f aca="false">IF($C221="","",IF($E221="rejected",N($G221),IF(AND(OR($E221="returned_to_brand",$E221="given_to_roster_office",$E221="released_to_office",$E221="disposed"),IF($F221="","reserve",$F221)="rejected"),-N($G221),IF(AND($E221="correction",IF($F221="","reserve",$F221)="rejected"),N($G221),0))))</f>
        <v/>
      </c>
      <c r="O221" s="30" t="str">
        <f aca="false">IF($C221="","",IF($E221="collected",N($G221),IF(AND(OR($E221="returned_to_brand",$E221="given_to_roster_office",$E221="released_to_office",$E221="disposed"),IF($F221="","reserve",$F221)="leftover"),-N($G221),IF(AND($E221="correction",IF($F221="","reserve",$F221)="leftover"),N($G221),0))))</f>
        <v/>
      </c>
      <c r="P221" s="30" t="str">
        <f aca="false">IF(OR($E221&lt;&gt;"received",$I221="",$L221=""),"",IF($I221&gt;=$L221+config!$B$19,"Y","N"))</f>
        <v/>
      </c>
      <c r="Q221" s="30" t="str">
        <f aca="false">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30" t="str">
        <f aca="false">IF($C221="","",$C221&amp;"|"&amp;$D221&amp;"|"&amp;$E221)</f>
        <v/>
      </c>
    </row>
    <row r="222" customFormat="false" ht="15" hidden="false" customHeight="false" outlineLevel="0" collapsed="false">
      <c r="A222" s="11"/>
      <c r="B222" s="38"/>
      <c r="E222" s="10"/>
      <c r="I222" s="11"/>
      <c r="J222" s="10"/>
      <c r="L222" s="31" t="str">
        <f aca="false">IF($C222="","",IFERROR(IF(INDEX(campaigns!$BG$2:$BG$51,MATCH($C222,campaigns!$A$2:$A$51,0))="","",INDEX(campaigns!$BG$2:$BG$51,MATCH($C222,campaigns!$A$2:$A$51,0))),""))</f>
        <v/>
      </c>
      <c r="M222" s="30" t="str">
        <f aca="false">IF($C222="","",IF(OR($E222="received"),N($G222),IF(OR($E222="rejected",$E222="delivered",$E222="topped_up"),-N($G222),IF(AND(OR($E222="returned_to_brand",$E222="given_to_roster_office",$E222="released_to_office",$E222="disposed"),IF($F222="","reserve",$F222)="reserve"),-N($G222),IF(AND($E222="correction",IF($F222="","reserve",$F222)="reserve"),N($G222),0)))))</f>
        <v/>
      </c>
      <c r="N222" s="30" t="str">
        <f aca="false">IF($C222="","",IF($E222="rejected",N($G222),IF(AND(OR($E222="returned_to_brand",$E222="given_to_roster_office",$E222="released_to_office",$E222="disposed"),IF($F222="","reserve",$F222)="rejected"),-N($G222),IF(AND($E222="correction",IF($F222="","reserve",$F222)="rejected"),N($G222),0))))</f>
        <v/>
      </c>
      <c r="O222" s="30" t="str">
        <f aca="false">IF($C222="","",IF($E222="collected",N($G222),IF(AND(OR($E222="returned_to_brand",$E222="given_to_roster_office",$E222="released_to_office",$E222="disposed"),IF($F222="","reserve",$F222)="leftover"),-N($G222),IF(AND($E222="correction",IF($F222="","reserve",$F222)="leftover"),N($G222),0))))</f>
        <v/>
      </c>
      <c r="P222" s="30" t="str">
        <f aca="false">IF(OR($E222&lt;&gt;"received",$I222="",$L222=""),"",IF($I222&gt;=$L222+config!$B$19,"Y","N"))</f>
        <v/>
      </c>
      <c r="Q222" s="30" t="str">
        <f aca="false">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30" t="str">
        <f aca="false">IF($C222="","",$C222&amp;"|"&amp;$D222&amp;"|"&amp;$E222)</f>
        <v/>
      </c>
    </row>
    <row r="223" customFormat="false" ht="15" hidden="false" customHeight="false" outlineLevel="0" collapsed="false">
      <c r="A223" s="11"/>
      <c r="B223" s="38"/>
      <c r="E223" s="10"/>
      <c r="I223" s="11"/>
      <c r="J223" s="10"/>
      <c r="L223" s="31" t="str">
        <f aca="false">IF($C223="","",IFERROR(IF(INDEX(campaigns!$BG$2:$BG$51,MATCH($C223,campaigns!$A$2:$A$51,0))="","",INDEX(campaigns!$BG$2:$BG$51,MATCH($C223,campaigns!$A$2:$A$51,0))),""))</f>
        <v/>
      </c>
      <c r="M223" s="30" t="str">
        <f aca="false">IF($C223="","",IF(OR($E223="received"),N($G223),IF(OR($E223="rejected",$E223="delivered",$E223="topped_up"),-N($G223),IF(AND(OR($E223="returned_to_brand",$E223="given_to_roster_office",$E223="released_to_office",$E223="disposed"),IF($F223="","reserve",$F223)="reserve"),-N($G223),IF(AND($E223="correction",IF($F223="","reserve",$F223)="reserve"),N($G223),0)))))</f>
        <v/>
      </c>
      <c r="N223" s="30" t="str">
        <f aca="false">IF($C223="","",IF($E223="rejected",N($G223),IF(AND(OR($E223="returned_to_brand",$E223="given_to_roster_office",$E223="released_to_office",$E223="disposed"),IF($F223="","reserve",$F223)="rejected"),-N($G223),IF(AND($E223="correction",IF($F223="","reserve",$F223)="rejected"),N($G223),0))))</f>
        <v/>
      </c>
      <c r="O223" s="30" t="str">
        <f aca="false">IF($C223="","",IF($E223="collected",N($G223),IF(AND(OR($E223="returned_to_brand",$E223="given_to_roster_office",$E223="released_to_office",$E223="disposed"),IF($F223="","reserve",$F223)="leftover"),-N($G223),IF(AND($E223="correction",IF($F223="","reserve",$F223)="leftover"),N($G223),0))))</f>
        <v/>
      </c>
      <c r="P223" s="30" t="str">
        <f aca="false">IF(OR($E223&lt;&gt;"received",$I223="",$L223=""),"",IF($I223&gt;=$L223+config!$B$19,"Y","N"))</f>
        <v/>
      </c>
      <c r="Q223" s="30" t="str">
        <f aca="false">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30" t="str">
        <f aca="false">IF($C223="","",$C223&amp;"|"&amp;$D223&amp;"|"&amp;$E223)</f>
        <v/>
      </c>
    </row>
    <row r="224" customFormat="false" ht="15" hidden="false" customHeight="false" outlineLevel="0" collapsed="false">
      <c r="A224" s="11"/>
      <c r="B224" s="38"/>
      <c r="E224" s="10"/>
      <c r="I224" s="11"/>
      <c r="J224" s="10"/>
      <c r="L224" s="31" t="str">
        <f aca="false">IF($C224="","",IFERROR(IF(INDEX(campaigns!$BG$2:$BG$51,MATCH($C224,campaigns!$A$2:$A$51,0))="","",INDEX(campaigns!$BG$2:$BG$51,MATCH($C224,campaigns!$A$2:$A$51,0))),""))</f>
        <v/>
      </c>
      <c r="M224" s="30" t="str">
        <f aca="false">IF($C224="","",IF(OR($E224="received"),N($G224),IF(OR($E224="rejected",$E224="delivered",$E224="topped_up"),-N($G224),IF(AND(OR($E224="returned_to_brand",$E224="given_to_roster_office",$E224="released_to_office",$E224="disposed"),IF($F224="","reserve",$F224)="reserve"),-N($G224),IF(AND($E224="correction",IF($F224="","reserve",$F224)="reserve"),N($G224),0)))))</f>
        <v/>
      </c>
      <c r="N224" s="30" t="str">
        <f aca="false">IF($C224="","",IF($E224="rejected",N($G224),IF(AND(OR($E224="returned_to_brand",$E224="given_to_roster_office",$E224="released_to_office",$E224="disposed"),IF($F224="","reserve",$F224)="rejected"),-N($G224),IF(AND($E224="correction",IF($F224="","reserve",$F224)="rejected"),N($G224),0))))</f>
        <v/>
      </c>
      <c r="O224" s="30" t="str">
        <f aca="false">IF($C224="","",IF($E224="collected",N($G224),IF(AND(OR($E224="returned_to_brand",$E224="given_to_roster_office",$E224="released_to_office",$E224="disposed"),IF($F224="","reserve",$F224)="leftover"),-N($G224),IF(AND($E224="correction",IF($F224="","reserve",$F224)="leftover"),N($G224),0))))</f>
        <v/>
      </c>
      <c r="P224" s="30" t="str">
        <f aca="false">IF(OR($E224&lt;&gt;"received",$I224="",$L224=""),"",IF($I224&gt;=$L224+config!$B$19,"Y","N"))</f>
        <v/>
      </c>
      <c r="Q224" s="30" t="str">
        <f aca="false">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30" t="str">
        <f aca="false">IF($C224="","",$C224&amp;"|"&amp;$D224&amp;"|"&amp;$E224)</f>
        <v/>
      </c>
    </row>
    <row r="225" customFormat="false" ht="15" hidden="false" customHeight="false" outlineLevel="0" collapsed="false">
      <c r="A225" s="11"/>
      <c r="B225" s="38"/>
      <c r="E225" s="10"/>
      <c r="I225" s="11"/>
      <c r="J225" s="10"/>
      <c r="L225" s="31" t="str">
        <f aca="false">IF($C225="","",IFERROR(IF(INDEX(campaigns!$BG$2:$BG$51,MATCH($C225,campaigns!$A$2:$A$51,0))="","",INDEX(campaigns!$BG$2:$BG$51,MATCH($C225,campaigns!$A$2:$A$51,0))),""))</f>
        <v/>
      </c>
      <c r="M225" s="30" t="str">
        <f aca="false">IF($C225="","",IF(OR($E225="received"),N($G225),IF(OR($E225="rejected",$E225="delivered",$E225="topped_up"),-N($G225),IF(AND(OR($E225="returned_to_brand",$E225="given_to_roster_office",$E225="released_to_office",$E225="disposed"),IF($F225="","reserve",$F225)="reserve"),-N($G225),IF(AND($E225="correction",IF($F225="","reserve",$F225)="reserve"),N($G225),0)))))</f>
        <v/>
      </c>
      <c r="N225" s="30" t="str">
        <f aca="false">IF($C225="","",IF($E225="rejected",N($G225),IF(AND(OR($E225="returned_to_brand",$E225="given_to_roster_office",$E225="released_to_office",$E225="disposed"),IF($F225="","reserve",$F225)="rejected"),-N($G225),IF(AND($E225="correction",IF($F225="","reserve",$F225)="rejected"),N($G225),0))))</f>
        <v/>
      </c>
      <c r="O225" s="30" t="str">
        <f aca="false">IF($C225="","",IF($E225="collected",N($G225),IF(AND(OR($E225="returned_to_brand",$E225="given_to_roster_office",$E225="released_to_office",$E225="disposed"),IF($F225="","reserve",$F225)="leftover"),-N($G225),IF(AND($E225="correction",IF($F225="","reserve",$F225)="leftover"),N($G225),0))))</f>
        <v/>
      </c>
      <c r="P225" s="30" t="str">
        <f aca="false">IF(OR($E225&lt;&gt;"received",$I225="",$L225=""),"",IF($I225&gt;=$L225+config!$B$19,"Y","N"))</f>
        <v/>
      </c>
      <c r="Q225" s="30" t="str">
        <f aca="false">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30" t="str">
        <f aca="false">IF($C225="","",$C225&amp;"|"&amp;$D225&amp;"|"&amp;$E225)</f>
        <v/>
      </c>
    </row>
    <row r="226" customFormat="false" ht="15" hidden="false" customHeight="false" outlineLevel="0" collapsed="false">
      <c r="A226" s="11"/>
      <c r="B226" s="38"/>
      <c r="E226" s="10"/>
      <c r="I226" s="11"/>
      <c r="J226" s="10"/>
      <c r="L226" s="31" t="str">
        <f aca="false">IF($C226="","",IFERROR(IF(INDEX(campaigns!$BG$2:$BG$51,MATCH($C226,campaigns!$A$2:$A$51,0))="","",INDEX(campaigns!$BG$2:$BG$51,MATCH($C226,campaigns!$A$2:$A$51,0))),""))</f>
        <v/>
      </c>
      <c r="M226" s="30" t="str">
        <f aca="false">IF($C226="","",IF(OR($E226="received"),N($G226),IF(OR($E226="rejected",$E226="delivered",$E226="topped_up"),-N($G226),IF(AND(OR($E226="returned_to_brand",$E226="given_to_roster_office",$E226="released_to_office",$E226="disposed"),IF($F226="","reserve",$F226)="reserve"),-N($G226),IF(AND($E226="correction",IF($F226="","reserve",$F226)="reserve"),N($G226),0)))))</f>
        <v/>
      </c>
      <c r="N226" s="30" t="str">
        <f aca="false">IF($C226="","",IF($E226="rejected",N($G226),IF(AND(OR($E226="returned_to_brand",$E226="given_to_roster_office",$E226="released_to_office",$E226="disposed"),IF($F226="","reserve",$F226)="rejected"),-N($G226),IF(AND($E226="correction",IF($F226="","reserve",$F226)="rejected"),N($G226),0))))</f>
        <v/>
      </c>
      <c r="O226" s="30" t="str">
        <f aca="false">IF($C226="","",IF($E226="collected",N($G226),IF(AND(OR($E226="returned_to_brand",$E226="given_to_roster_office",$E226="released_to_office",$E226="disposed"),IF($F226="","reserve",$F226)="leftover"),-N($G226),IF(AND($E226="correction",IF($F226="","reserve",$F226)="leftover"),N($G226),0))))</f>
        <v/>
      </c>
      <c r="P226" s="30" t="str">
        <f aca="false">IF(OR($E226&lt;&gt;"received",$I226="",$L226=""),"",IF($I226&gt;=$L226+config!$B$19,"Y","N"))</f>
        <v/>
      </c>
      <c r="Q226" s="30" t="str">
        <f aca="false">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30" t="str">
        <f aca="false">IF($C226="","",$C226&amp;"|"&amp;$D226&amp;"|"&amp;$E226)</f>
        <v/>
      </c>
    </row>
    <row r="227" customFormat="false" ht="15" hidden="false" customHeight="false" outlineLevel="0" collapsed="false">
      <c r="A227" s="11"/>
      <c r="B227" s="38"/>
      <c r="E227" s="10"/>
      <c r="I227" s="11"/>
      <c r="J227" s="10"/>
      <c r="L227" s="31" t="str">
        <f aca="false">IF($C227="","",IFERROR(IF(INDEX(campaigns!$BG$2:$BG$51,MATCH($C227,campaigns!$A$2:$A$51,0))="","",INDEX(campaigns!$BG$2:$BG$51,MATCH($C227,campaigns!$A$2:$A$51,0))),""))</f>
        <v/>
      </c>
      <c r="M227" s="30" t="str">
        <f aca="false">IF($C227="","",IF(OR($E227="received"),N($G227),IF(OR($E227="rejected",$E227="delivered",$E227="topped_up"),-N($G227),IF(AND(OR($E227="returned_to_brand",$E227="given_to_roster_office",$E227="released_to_office",$E227="disposed"),IF($F227="","reserve",$F227)="reserve"),-N($G227),IF(AND($E227="correction",IF($F227="","reserve",$F227)="reserve"),N($G227),0)))))</f>
        <v/>
      </c>
      <c r="N227" s="30" t="str">
        <f aca="false">IF($C227="","",IF($E227="rejected",N($G227),IF(AND(OR($E227="returned_to_brand",$E227="given_to_roster_office",$E227="released_to_office",$E227="disposed"),IF($F227="","reserve",$F227)="rejected"),-N($G227),IF(AND($E227="correction",IF($F227="","reserve",$F227)="rejected"),N($G227),0))))</f>
        <v/>
      </c>
      <c r="O227" s="30" t="str">
        <f aca="false">IF($C227="","",IF($E227="collected",N($G227),IF(AND(OR($E227="returned_to_brand",$E227="given_to_roster_office",$E227="released_to_office",$E227="disposed"),IF($F227="","reserve",$F227)="leftover"),-N($G227),IF(AND($E227="correction",IF($F227="","reserve",$F227)="leftover"),N($G227),0))))</f>
        <v/>
      </c>
      <c r="P227" s="30" t="str">
        <f aca="false">IF(OR($E227&lt;&gt;"received",$I227="",$L227=""),"",IF($I227&gt;=$L227+config!$B$19,"Y","N"))</f>
        <v/>
      </c>
      <c r="Q227" s="30" t="str">
        <f aca="false">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30" t="str">
        <f aca="false">IF($C227="","",$C227&amp;"|"&amp;$D227&amp;"|"&amp;$E227)</f>
        <v/>
      </c>
    </row>
    <row r="228" customFormat="false" ht="15" hidden="false" customHeight="false" outlineLevel="0" collapsed="false">
      <c r="A228" s="11"/>
      <c r="B228" s="38"/>
      <c r="E228" s="10"/>
      <c r="I228" s="11"/>
      <c r="J228" s="10"/>
      <c r="L228" s="31" t="str">
        <f aca="false">IF($C228="","",IFERROR(IF(INDEX(campaigns!$BG$2:$BG$51,MATCH($C228,campaigns!$A$2:$A$51,0))="","",INDEX(campaigns!$BG$2:$BG$51,MATCH($C228,campaigns!$A$2:$A$51,0))),""))</f>
        <v/>
      </c>
      <c r="M228" s="30" t="str">
        <f aca="false">IF($C228="","",IF(OR($E228="received"),N($G228),IF(OR($E228="rejected",$E228="delivered",$E228="topped_up"),-N($G228),IF(AND(OR($E228="returned_to_brand",$E228="given_to_roster_office",$E228="released_to_office",$E228="disposed"),IF($F228="","reserve",$F228)="reserve"),-N($G228),IF(AND($E228="correction",IF($F228="","reserve",$F228)="reserve"),N($G228),0)))))</f>
        <v/>
      </c>
      <c r="N228" s="30" t="str">
        <f aca="false">IF($C228="","",IF($E228="rejected",N($G228),IF(AND(OR($E228="returned_to_brand",$E228="given_to_roster_office",$E228="released_to_office",$E228="disposed"),IF($F228="","reserve",$F228)="rejected"),-N($G228),IF(AND($E228="correction",IF($F228="","reserve",$F228)="rejected"),N($G228),0))))</f>
        <v/>
      </c>
      <c r="O228" s="30" t="str">
        <f aca="false">IF($C228="","",IF($E228="collected",N($G228),IF(AND(OR($E228="returned_to_brand",$E228="given_to_roster_office",$E228="released_to_office",$E228="disposed"),IF($F228="","reserve",$F228)="leftover"),-N($G228),IF(AND($E228="correction",IF($F228="","reserve",$F228)="leftover"),N($G228),0))))</f>
        <v/>
      </c>
      <c r="P228" s="30" t="str">
        <f aca="false">IF(OR($E228&lt;&gt;"received",$I228="",$L228=""),"",IF($I228&gt;=$L228+config!$B$19,"Y","N"))</f>
        <v/>
      </c>
      <c r="Q228" s="30" t="str">
        <f aca="false">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30" t="str">
        <f aca="false">IF($C228="","",$C228&amp;"|"&amp;$D228&amp;"|"&amp;$E228)</f>
        <v/>
      </c>
    </row>
    <row r="229" customFormat="false" ht="15" hidden="false" customHeight="false" outlineLevel="0" collapsed="false">
      <c r="A229" s="11"/>
      <c r="B229" s="38"/>
      <c r="E229" s="10"/>
      <c r="I229" s="11"/>
      <c r="J229" s="10"/>
      <c r="L229" s="31" t="str">
        <f aca="false">IF($C229="","",IFERROR(IF(INDEX(campaigns!$BG$2:$BG$51,MATCH($C229,campaigns!$A$2:$A$51,0))="","",INDEX(campaigns!$BG$2:$BG$51,MATCH($C229,campaigns!$A$2:$A$51,0))),""))</f>
        <v/>
      </c>
      <c r="M229" s="30" t="str">
        <f aca="false">IF($C229="","",IF(OR($E229="received"),N($G229),IF(OR($E229="rejected",$E229="delivered",$E229="topped_up"),-N($G229),IF(AND(OR($E229="returned_to_brand",$E229="given_to_roster_office",$E229="released_to_office",$E229="disposed"),IF($F229="","reserve",$F229)="reserve"),-N($G229),IF(AND($E229="correction",IF($F229="","reserve",$F229)="reserve"),N($G229),0)))))</f>
        <v/>
      </c>
      <c r="N229" s="30" t="str">
        <f aca="false">IF($C229="","",IF($E229="rejected",N($G229),IF(AND(OR($E229="returned_to_brand",$E229="given_to_roster_office",$E229="released_to_office",$E229="disposed"),IF($F229="","reserve",$F229)="rejected"),-N($G229),IF(AND($E229="correction",IF($F229="","reserve",$F229)="rejected"),N($G229),0))))</f>
        <v/>
      </c>
      <c r="O229" s="30" t="str">
        <f aca="false">IF($C229="","",IF($E229="collected",N($G229),IF(AND(OR($E229="returned_to_brand",$E229="given_to_roster_office",$E229="released_to_office",$E229="disposed"),IF($F229="","reserve",$F229)="leftover"),-N($G229),IF(AND($E229="correction",IF($F229="","reserve",$F229)="leftover"),N($G229),0))))</f>
        <v/>
      </c>
      <c r="P229" s="30" t="str">
        <f aca="false">IF(OR($E229&lt;&gt;"received",$I229="",$L229=""),"",IF($I229&gt;=$L229+config!$B$19,"Y","N"))</f>
        <v/>
      </c>
      <c r="Q229" s="30" t="str">
        <f aca="false">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30" t="str">
        <f aca="false">IF($C229="","",$C229&amp;"|"&amp;$D229&amp;"|"&amp;$E229)</f>
        <v/>
      </c>
    </row>
    <row r="230" customFormat="false" ht="15" hidden="false" customHeight="false" outlineLevel="0" collapsed="false">
      <c r="A230" s="11"/>
      <c r="B230" s="38"/>
      <c r="E230" s="10"/>
      <c r="I230" s="11"/>
      <c r="J230" s="10"/>
      <c r="L230" s="31" t="str">
        <f aca="false">IF($C230="","",IFERROR(IF(INDEX(campaigns!$BG$2:$BG$51,MATCH($C230,campaigns!$A$2:$A$51,0))="","",INDEX(campaigns!$BG$2:$BG$51,MATCH($C230,campaigns!$A$2:$A$51,0))),""))</f>
        <v/>
      </c>
      <c r="M230" s="30" t="str">
        <f aca="false">IF($C230="","",IF(OR($E230="received"),N($G230),IF(OR($E230="rejected",$E230="delivered",$E230="topped_up"),-N($G230),IF(AND(OR($E230="returned_to_brand",$E230="given_to_roster_office",$E230="released_to_office",$E230="disposed"),IF($F230="","reserve",$F230)="reserve"),-N($G230),IF(AND($E230="correction",IF($F230="","reserve",$F230)="reserve"),N($G230),0)))))</f>
        <v/>
      </c>
      <c r="N230" s="30" t="str">
        <f aca="false">IF($C230="","",IF($E230="rejected",N($G230),IF(AND(OR($E230="returned_to_brand",$E230="given_to_roster_office",$E230="released_to_office",$E230="disposed"),IF($F230="","reserve",$F230)="rejected"),-N($G230),IF(AND($E230="correction",IF($F230="","reserve",$F230)="rejected"),N($G230),0))))</f>
        <v/>
      </c>
      <c r="O230" s="30" t="str">
        <f aca="false">IF($C230="","",IF($E230="collected",N($G230),IF(AND(OR($E230="returned_to_brand",$E230="given_to_roster_office",$E230="released_to_office",$E230="disposed"),IF($F230="","reserve",$F230)="leftover"),-N($G230),IF(AND($E230="correction",IF($F230="","reserve",$F230)="leftover"),N($G230),0))))</f>
        <v/>
      </c>
      <c r="P230" s="30" t="str">
        <f aca="false">IF(OR($E230&lt;&gt;"received",$I230="",$L230=""),"",IF($I230&gt;=$L230+config!$B$19,"Y","N"))</f>
        <v/>
      </c>
      <c r="Q230" s="30" t="str">
        <f aca="false">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30" t="str">
        <f aca="false">IF($C230="","",$C230&amp;"|"&amp;$D230&amp;"|"&amp;$E230)</f>
        <v/>
      </c>
    </row>
    <row r="231" customFormat="false" ht="15" hidden="false" customHeight="false" outlineLevel="0" collapsed="false">
      <c r="A231" s="11"/>
      <c r="B231" s="38"/>
      <c r="E231" s="10"/>
      <c r="I231" s="11"/>
      <c r="J231" s="10"/>
      <c r="L231" s="31" t="str">
        <f aca="false">IF($C231="","",IFERROR(IF(INDEX(campaigns!$BG$2:$BG$51,MATCH($C231,campaigns!$A$2:$A$51,0))="","",INDEX(campaigns!$BG$2:$BG$51,MATCH($C231,campaigns!$A$2:$A$51,0))),""))</f>
        <v/>
      </c>
      <c r="M231" s="30" t="str">
        <f aca="false">IF($C231="","",IF(OR($E231="received"),N($G231),IF(OR($E231="rejected",$E231="delivered",$E231="topped_up"),-N($G231),IF(AND(OR($E231="returned_to_brand",$E231="given_to_roster_office",$E231="released_to_office",$E231="disposed"),IF($F231="","reserve",$F231)="reserve"),-N($G231),IF(AND($E231="correction",IF($F231="","reserve",$F231)="reserve"),N($G231),0)))))</f>
        <v/>
      </c>
      <c r="N231" s="30" t="str">
        <f aca="false">IF($C231="","",IF($E231="rejected",N($G231),IF(AND(OR($E231="returned_to_brand",$E231="given_to_roster_office",$E231="released_to_office",$E231="disposed"),IF($F231="","reserve",$F231)="rejected"),-N($G231),IF(AND($E231="correction",IF($F231="","reserve",$F231)="rejected"),N($G231),0))))</f>
        <v/>
      </c>
      <c r="O231" s="30" t="str">
        <f aca="false">IF($C231="","",IF($E231="collected",N($G231),IF(AND(OR($E231="returned_to_brand",$E231="given_to_roster_office",$E231="released_to_office",$E231="disposed"),IF($F231="","reserve",$F231)="leftover"),-N($G231),IF(AND($E231="correction",IF($F231="","reserve",$F231)="leftover"),N($G231),0))))</f>
        <v/>
      </c>
      <c r="P231" s="30" t="str">
        <f aca="false">IF(OR($E231&lt;&gt;"received",$I231="",$L231=""),"",IF($I231&gt;=$L231+config!$B$19,"Y","N"))</f>
        <v/>
      </c>
      <c r="Q231" s="30" t="str">
        <f aca="false">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30" t="str">
        <f aca="false">IF($C231="","",$C231&amp;"|"&amp;$D231&amp;"|"&amp;$E231)</f>
        <v/>
      </c>
    </row>
    <row r="232" customFormat="false" ht="15" hidden="false" customHeight="false" outlineLevel="0" collapsed="false">
      <c r="A232" s="11"/>
      <c r="B232" s="38"/>
      <c r="E232" s="10"/>
      <c r="I232" s="11"/>
      <c r="J232" s="10"/>
      <c r="L232" s="31" t="str">
        <f aca="false">IF($C232="","",IFERROR(IF(INDEX(campaigns!$BG$2:$BG$51,MATCH($C232,campaigns!$A$2:$A$51,0))="","",INDEX(campaigns!$BG$2:$BG$51,MATCH($C232,campaigns!$A$2:$A$51,0))),""))</f>
        <v/>
      </c>
      <c r="M232" s="30" t="str">
        <f aca="false">IF($C232="","",IF(OR($E232="received"),N($G232),IF(OR($E232="rejected",$E232="delivered",$E232="topped_up"),-N($G232),IF(AND(OR($E232="returned_to_brand",$E232="given_to_roster_office",$E232="released_to_office",$E232="disposed"),IF($F232="","reserve",$F232)="reserve"),-N($G232),IF(AND($E232="correction",IF($F232="","reserve",$F232)="reserve"),N($G232),0)))))</f>
        <v/>
      </c>
      <c r="N232" s="30" t="str">
        <f aca="false">IF($C232="","",IF($E232="rejected",N($G232),IF(AND(OR($E232="returned_to_brand",$E232="given_to_roster_office",$E232="released_to_office",$E232="disposed"),IF($F232="","reserve",$F232)="rejected"),-N($G232),IF(AND($E232="correction",IF($F232="","reserve",$F232)="rejected"),N($G232),0))))</f>
        <v/>
      </c>
      <c r="O232" s="30" t="str">
        <f aca="false">IF($C232="","",IF($E232="collected",N($G232),IF(AND(OR($E232="returned_to_brand",$E232="given_to_roster_office",$E232="released_to_office",$E232="disposed"),IF($F232="","reserve",$F232)="leftover"),-N($G232),IF(AND($E232="correction",IF($F232="","reserve",$F232)="leftover"),N($G232),0))))</f>
        <v/>
      </c>
      <c r="P232" s="30" t="str">
        <f aca="false">IF(OR($E232&lt;&gt;"received",$I232="",$L232=""),"",IF($I232&gt;=$L232+config!$B$19,"Y","N"))</f>
        <v/>
      </c>
      <c r="Q232" s="30" t="str">
        <f aca="false">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30" t="str">
        <f aca="false">IF($C232="","",$C232&amp;"|"&amp;$D232&amp;"|"&amp;$E232)</f>
        <v/>
      </c>
    </row>
    <row r="233" customFormat="false" ht="15" hidden="false" customHeight="false" outlineLevel="0" collapsed="false">
      <c r="A233" s="11"/>
      <c r="B233" s="38"/>
      <c r="E233" s="10"/>
      <c r="I233" s="11"/>
      <c r="J233" s="10"/>
      <c r="L233" s="31" t="str">
        <f aca="false">IF($C233="","",IFERROR(IF(INDEX(campaigns!$BG$2:$BG$51,MATCH($C233,campaigns!$A$2:$A$51,0))="","",INDEX(campaigns!$BG$2:$BG$51,MATCH($C233,campaigns!$A$2:$A$51,0))),""))</f>
        <v/>
      </c>
      <c r="M233" s="30" t="str">
        <f aca="false">IF($C233="","",IF(OR($E233="received"),N($G233),IF(OR($E233="rejected",$E233="delivered",$E233="topped_up"),-N($G233),IF(AND(OR($E233="returned_to_brand",$E233="given_to_roster_office",$E233="released_to_office",$E233="disposed"),IF($F233="","reserve",$F233)="reserve"),-N($G233),IF(AND($E233="correction",IF($F233="","reserve",$F233)="reserve"),N($G233),0)))))</f>
        <v/>
      </c>
      <c r="N233" s="30" t="str">
        <f aca="false">IF($C233="","",IF($E233="rejected",N($G233),IF(AND(OR($E233="returned_to_brand",$E233="given_to_roster_office",$E233="released_to_office",$E233="disposed"),IF($F233="","reserve",$F233)="rejected"),-N($G233),IF(AND($E233="correction",IF($F233="","reserve",$F233)="rejected"),N($G233),0))))</f>
        <v/>
      </c>
      <c r="O233" s="30" t="str">
        <f aca="false">IF($C233="","",IF($E233="collected",N($G233),IF(AND(OR($E233="returned_to_brand",$E233="given_to_roster_office",$E233="released_to_office",$E233="disposed"),IF($F233="","reserve",$F233)="leftover"),-N($G233),IF(AND($E233="correction",IF($F233="","reserve",$F233)="leftover"),N($G233),0))))</f>
        <v/>
      </c>
      <c r="P233" s="30" t="str">
        <f aca="false">IF(OR($E233&lt;&gt;"received",$I233="",$L233=""),"",IF($I233&gt;=$L233+config!$B$19,"Y","N"))</f>
        <v/>
      </c>
      <c r="Q233" s="30" t="str">
        <f aca="false">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30" t="str">
        <f aca="false">IF($C233="","",$C233&amp;"|"&amp;$D233&amp;"|"&amp;$E233)</f>
        <v/>
      </c>
    </row>
    <row r="234" customFormat="false" ht="15" hidden="false" customHeight="false" outlineLevel="0" collapsed="false">
      <c r="A234" s="11"/>
      <c r="B234" s="38"/>
      <c r="E234" s="10"/>
      <c r="I234" s="11"/>
      <c r="J234" s="10"/>
      <c r="L234" s="31" t="str">
        <f aca="false">IF($C234="","",IFERROR(IF(INDEX(campaigns!$BG$2:$BG$51,MATCH($C234,campaigns!$A$2:$A$51,0))="","",INDEX(campaigns!$BG$2:$BG$51,MATCH($C234,campaigns!$A$2:$A$51,0))),""))</f>
        <v/>
      </c>
      <c r="M234" s="30" t="str">
        <f aca="false">IF($C234="","",IF(OR($E234="received"),N($G234),IF(OR($E234="rejected",$E234="delivered",$E234="topped_up"),-N($G234),IF(AND(OR($E234="returned_to_brand",$E234="given_to_roster_office",$E234="released_to_office",$E234="disposed"),IF($F234="","reserve",$F234)="reserve"),-N($G234),IF(AND($E234="correction",IF($F234="","reserve",$F234)="reserve"),N($G234),0)))))</f>
        <v/>
      </c>
      <c r="N234" s="30" t="str">
        <f aca="false">IF($C234="","",IF($E234="rejected",N($G234),IF(AND(OR($E234="returned_to_brand",$E234="given_to_roster_office",$E234="released_to_office",$E234="disposed"),IF($F234="","reserve",$F234)="rejected"),-N($G234),IF(AND($E234="correction",IF($F234="","reserve",$F234)="rejected"),N($G234),0))))</f>
        <v/>
      </c>
      <c r="O234" s="30" t="str">
        <f aca="false">IF($C234="","",IF($E234="collected",N($G234),IF(AND(OR($E234="returned_to_brand",$E234="given_to_roster_office",$E234="released_to_office",$E234="disposed"),IF($F234="","reserve",$F234)="leftover"),-N($G234),IF(AND($E234="correction",IF($F234="","reserve",$F234)="leftover"),N($G234),0))))</f>
        <v/>
      </c>
      <c r="P234" s="30" t="str">
        <f aca="false">IF(OR($E234&lt;&gt;"received",$I234="",$L234=""),"",IF($I234&gt;=$L234+config!$B$19,"Y","N"))</f>
        <v/>
      </c>
      <c r="Q234" s="30" t="str">
        <f aca="false">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30" t="str">
        <f aca="false">IF($C234="","",$C234&amp;"|"&amp;$D234&amp;"|"&amp;$E234)</f>
        <v/>
      </c>
    </row>
    <row r="235" customFormat="false" ht="15" hidden="false" customHeight="false" outlineLevel="0" collapsed="false">
      <c r="A235" s="11"/>
      <c r="B235" s="38"/>
      <c r="E235" s="10"/>
      <c r="I235" s="11"/>
      <c r="J235" s="10"/>
      <c r="L235" s="31" t="str">
        <f aca="false">IF($C235="","",IFERROR(IF(INDEX(campaigns!$BG$2:$BG$51,MATCH($C235,campaigns!$A$2:$A$51,0))="","",INDEX(campaigns!$BG$2:$BG$51,MATCH($C235,campaigns!$A$2:$A$51,0))),""))</f>
        <v/>
      </c>
      <c r="M235" s="30" t="str">
        <f aca="false">IF($C235="","",IF(OR($E235="received"),N($G235),IF(OR($E235="rejected",$E235="delivered",$E235="topped_up"),-N($G235),IF(AND(OR($E235="returned_to_brand",$E235="given_to_roster_office",$E235="released_to_office",$E235="disposed"),IF($F235="","reserve",$F235)="reserve"),-N($G235),IF(AND($E235="correction",IF($F235="","reserve",$F235)="reserve"),N($G235),0)))))</f>
        <v/>
      </c>
      <c r="N235" s="30" t="str">
        <f aca="false">IF($C235="","",IF($E235="rejected",N($G235),IF(AND(OR($E235="returned_to_brand",$E235="given_to_roster_office",$E235="released_to_office",$E235="disposed"),IF($F235="","reserve",$F235)="rejected"),-N($G235),IF(AND($E235="correction",IF($F235="","reserve",$F235)="rejected"),N($G235),0))))</f>
        <v/>
      </c>
      <c r="O235" s="30" t="str">
        <f aca="false">IF($C235="","",IF($E235="collected",N($G235),IF(AND(OR($E235="returned_to_brand",$E235="given_to_roster_office",$E235="released_to_office",$E235="disposed"),IF($F235="","reserve",$F235)="leftover"),-N($G235),IF(AND($E235="correction",IF($F235="","reserve",$F235)="leftover"),N($G235),0))))</f>
        <v/>
      </c>
      <c r="P235" s="30" t="str">
        <f aca="false">IF(OR($E235&lt;&gt;"received",$I235="",$L235=""),"",IF($I235&gt;=$L235+config!$B$19,"Y","N"))</f>
        <v/>
      </c>
      <c r="Q235" s="30" t="str">
        <f aca="false">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30" t="str">
        <f aca="false">IF($C235="","",$C235&amp;"|"&amp;$D235&amp;"|"&amp;$E235)</f>
        <v/>
      </c>
    </row>
    <row r="236" customFormat="false" ht="15" hidden="false" customHeight="false" outlineLevel="0" collapsed="false">
      <c r="A236" s="11"/>
      <c r="B236" s="38"/>
      <c r="E236" s="10"/>
      <c r="I236" s="11"/>
      <c r="J236" s="10"/>
      <c r="L236" s="31" t="str">
        <f aca="false">IF($C236="","",IFERROR(IF(INDEX(campaigns!$BG$2:$BG$51,MATCH($C236,campaigns!$A$2:$A$51,0))="","",INDEX(campaigns!$BG$2:$BG$51,MATCH($C236,campaigns!$A$2:$A$51,0))),""))</f>
        <v/>
      </c>
      <c r="M236" s="30" t="str">
        <f aca="false">IF($C236="","",IF(OR($E236="received"),N($G236),IF(OR($E236="rejected",$E236="delivered",$E236="topped_up"),-N($G236),IF(AND(OR($E236="returned_to_brand",$E236="given_to_roster_office",$E236="released_to_office",$E236="disposed"),IF($F236="","reserve",$F236)="reserve"),-N($G236),IF(AND($E236="correction",IF($F236="","reserve",$F236)="reserve"),N($G236),0)))))</f>
        <v/>
      </c>
      <c r="N236" s="30" t="str">
        <f aca="false">IF($C236="","",IF($E236="rejected",N($G236),IF(AND(OR($E236="returned_to_brand",$E236="given_to_roster_office",$E236="released_to_office",$E236="disposed"),IF($F236="","reserve",$F236)="rejected"),-N($G236),IF(AND($E236="correction",IF($F236="","reserve",$F236)="rejected"),N($G236),0))))</f>
        <v/>
      </c>
      <c r="O236" s="30" t="str">
        <f aca="false">IF($C236="","",IF($E236="collected",N($G236),IF(AND(OR($E236="returned_to_brand",$E236="given_to_roster_office",$E236="released_to_office",$E236="disposed"),IF($F236="","reserve",$F236)="leftover"),-N($G236),IF(AND($E236="correction",IF($F236="","reserve",$F236)="leftover"),N($G236),0))))</f>
        <v/>
      </c>
      <c r="P236" s="30" t="str">
        <f aca="false">IF(OR($E236&lt;&gt;"received",$I236="",$L236=""),"",IF($I236&gt;=$L236+config!$B$19,"Y","N"))</f>
        <v/>
      </c>
      <c r="Q236" s="30" t="str">
        <f aca="false">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30" t="str">
        <f aca="false">IF($C236="","",$C236&amp;"|"&amp;$D236&amp;"|"&amp;$E236)</f>
        <v/>
      </c>
    </row>
    <row r="237" customFormat="false" ht="15" hidden="false" customHeight="false" outlineLevel="0" collapsed="false">
      <c r="A237" s="11"/>
      <c r="B237" s="38"/>
      <c r="E237" s="10"/>
      <c r="I237" s="11"/>
      <c r="J237" s="10"/>
      <c r="L237" s="31" t="str">
        <f aca="false">IF($C237="","",IFERROR(IF(INDEX(campaigns!$BG$2:$BG$51,MATCH($C237,campaigns!$A$2:$A$51,0))="","",INDEX(campaigns!$BG$2:$BG$51,MATCH($C237,campaigns!$A$2:$A$51,0))),""))</f>
        <v/>
      </c>
      <c r="M237" s="30" t="str">
        <f aca="false">IF($C237="","",IF(OR($E237="received"),N($G237),IF(OR($E237="rejected",$E237="delivered",$E237="topped_up"),-N($G237),IF(AND(OR($E237="returned_to_brand",$E237="given_to_roster_office",$E237="released_to_office",$E237="disposed"),IF($F237="","reserve",$F237)="reserve"),-N($G237),IF(AND($E237="correction",IF($F237="","reserve",$F237)="reserve"),N($G237),0)))))</f>
        <v/>
      </c>
      <c r="N237" s="30" t="str">
        <f aca="false">IF($C237="","",IF($E237="rejected",N($G237),IF(AND(OR($E237="returned_to_brand",$E237="given_to_roster_office",$E237="released_to_office",$E237="disposed"),IF($F237="","reserve",$F237)="rejected"),-N($G237),IF(AND($E237="correction",IF($F237="","reserve",$F237)="rejected"),N($G237),0))))</f>
        <v/>
      </c>
      <c r="O237" s="30" t="str">
        <f aca="false">IF($C237="","",IF($E237="collected",N($G237),IF(AND(OR($E237="returned_to_brand",$E237="given_to_roster_office",$E237="released_to_office",$E237="disposed"),IF($F237="","reserve",$F237)="leftover"),-N($G237),IF(AND($E237="correction",IF($F237="","reserve",$F237)="leftover"),N($G237),0))))</f>
        <v/>
      </c>
      <c r="P237" s="30" t="str">
        <f aca="false">IF(OR($E237&lt;&gt;"received",$I237="",$L237=""),"",IF($I237&gt;=$L237+config!$B$19,"Y","N"))</f>
        <v/>
      </c>
      <c r="Q237" s="30" t="str">
        <f aca="false">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30" t="str">
        <f aca="false">IF($C237="","",$C237&amp;"|"&amp;$D237&amp;"|"&amp;$E237)</f>
        <v/>
      </c>
    </row>
    <row r="238" customFormat="false" ht="15" hidden="false" customHeight="false" outlineLevel="0" collapsed="false">
      <c r="A238" s="11"/>
      <c r="B238" s="38"/>
      <c r="E238" s="10"/>
      <c r="I238" s="11"/>
      <c r="J238" s="10"/>
      <c r="L238" s="31" t="str">
        <f aca="false">IF($C238="","",IFERROR(IF(INDEX(campaigns!$BG$2:$BG$51,MATCH($C238,campaigns!$A$2:$A$51,0))="","",INDEX(campaigns!$BG$2:$BG$51,MATCH($C238,campaigns!$A$2:$A$51,0))),""))</f>
        <v/>
      </c>
      <c r="M238" s="30" t="str">
        <f aca="false">IF($C238="","",IF(OR($E238="received"),N($G238),IF(OR($E238="rejected",$E238="delivered",$E238="topped_up"),-N($G238),IF(AND(OR($E238="returned_to_brand",$E238="given_to_roster_office",$E238="released_to_office",$E238="disposed"),IF($F238="","reserve",$F238)="reserve"),-N($G238),IF(AND($E238="correction",IF($F238="","reserve",$F238)="reserve"),N($G238),0)))))</f>
        <v/>
      </c>
      <c r="N238" s="30" t="str">
        <f aca="false">IF($C238="","",IF($E238="rejected",N($G238),IF(AND(OR($E238="returned_to_brand",$E238="given_to_roster_office",$E238="released_to_office",$E238="disposed"),IF($F238="","reserve",$F238)="rejected"),-N($G238),IF(AND($E238="correction",IF($F238="","reserve",$F238)="rejected"),N($G238),0))))</f>
        <v/>
      </c>
      <c r="O238" s="30" t="str">
        <f aca="false">IF($C238="","",IF($E238="collected",N($G238),IF(AND(OR($E238="returned_to_brand",$E238="given_to_roster_office",$E238="released_to_office",$E238="disposed"),IF($F238="","reserve",$F238)="leftover"),-N($G238),IF(AND($E238="correction",IF($F238="","reserve",$F238)="leftover"),N($G238),0))))</f>
        <v/>
      </c>
      <c r="P238" s="30" t="str">
        <f aca="false">IF(OR($E238&lt;&gt;"received",$I238="",$L238=""),"",IF($I238&gt;=$L238+config!$B$19,"Y","N"))</f>
        <v/>
      </c>
      <c r="Q238" s="30" t="str">
        <f aca="false">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30" t="str">
        <f aca="false">IF($C238="","",$C238&amp;"|"&amp;$D238&amp;"|"&amp;$E238)</f>
        <v/>
      </c>
    </row>
    <row r="239" customFormat="false" ht="15" hidden="false" customHeight="false" outlineLevel="0" collapsed="false">
      <c r="A239" s="11"/>
      <c r="B239" s="38"/>
      <c r="E239" s="10"/>
      <c r="I239" s="11"/>
      <c r="J239" s="10"/>
      <c r="L239" s="31" t="str">
        <f aca="false">IF($C239="","",IFERROR(IF(INDEX(campaigns!$BG$2:$BG$51,MATCH($C239,campaigns!$A$2:$A$51,0))="","",INDEX(campaigns!$BG$2:$BG$51,MATCH($C239,campaigns!$A$2:$A$51,0))),""))</f>
        <v/>
      </c>
      <c r="M239" s="30" t="str">
        <f aca="false">IF($C239="","",IF(OR($E239="received"),N($G239),IF(OR($E239="rejected",$E239="delivered",$E239="topped_up"),-N($G239),IF(AND(OR($E239="returned_to_brand",$E239="given_to_roster_office",$E239="released_to_office",$E239="disposed"),IF($F239="","reserve",$F239)="reserve"),-N($G239),IF(AND($E239="correction",IF($F239="","reserve",$F239)="reserve"),N($G239),0)))))</f>
        <v/>
      </c>
      <c r="N239" s="30" t="str">
        <f aca="false">IF($C239="","",IF($E239="rejected",N($G239),IF(AND(OR($E239="returned_to_brand",$E239="given_to_roster_office",$E239="released_to_office",$E239="disposed"),IF($F239="","reserve",$F239)="rejected"),-N($G239),IF(AND($E239="correction",IF($F239="","reserve",$F239)="rejected"),N($G239),0))))</f>
        <v/>
      </c>
      <c r="O239" s="30" t="str">
        <f aca="false">IF($C239="","",IF($E239="collected",N($G239),IF(AND(OR($E239="returned_to_brand",$E239="given_to_roster_office",$E239="released_to_office",$E239="disposed"),IF($F239="","reserve",$F239)="leftover"),-N($G239),IF(AND($E239="correction",IF($F239="","reserve",$F239)="leftover"),N($G239),0))))</f>
        <v/>
      </c>
      <c r="P239" s="30" t="str">
        <f aca="false">IF(OR($E239&lt;&gt;"received",$I239="",$L239=""),"",IF($I239&gt;=$L239+config!$B$19,"Y","N"))</f>
        <v/>
      </c>
      <c r="Q239" s="30" t="str">
        <f aca="false">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30" t="str">
        <f aca="false">IF($C239="","",$C239&amp;"|"&amp;$D239&amp;"|"&amp;$E239)</f>
        <v/>
      </c>
    </row>
    <row r="240" customFormat="false" ht="15" hidden="false" customHeight="false" outlineLevel="0" collapsed="false">
      <c r="A240" s="11"/>
      <c r="B240" s="38"/>
      <c r="E240" s="10"/>
      <c r="I240" s="11"/>
      <c r="J240" s="10"/>
      <c r="L240" s="31" t="str">
        <f aca="false">IF($C240="","",IFERROR(IF(INDEX(campaigns!$BG$2:$BG$51,MATCH($C240,campaigns!$A$2:$A$51,0))="","",INDEX(campaigns!$BG$2:$BG$51,MATCH($C240,campaigns!$A$2:$A$51,0))),""))</f>
        <v/>
      </c>
      <c r="M240" s="30" t="str">
        <f aca="false">IF($C240="","",IF(OR($E240="received"),N($G240),IF(OR($E240="rejected",$E240="delivered",$E240="topped_up"),-N($G240),IF(AND(OR($E240="returned_to_brand",$E240="given_to_roster_office",$E240="released_to_office",$E240="disposed"),IF($F240="","reserve",$F240)="reserve"),-N($G240),IF(AND($E240="correction",IF($F240="","reserve",$F240)="reserve"),N($G240),0)))))</f>
        <v/>
      </c>
      <c r="N240" s="30" t="str">
        <f aca="false">IF($C240="","",IF($E240="rejected",N($G240),IF(AND(OR($E240="returned_to_brand",$E240="given_to_roster_office",$E240="released_to_office",$E240="disposed"),IF($F240="","reserve",$F240)="rejected"),-N($G240),IF(AND($E240="correction",IF($F240="","reserve",$F240)="rejected"),N($G240),0))))</f>
        <v/>
      </c>
      <c r="O240" s="30" t="str">
        <f aca="false">IF($C240="","",IF($E240="collected",N($G240),IF(AND(OR($E240="returned_to_brand",$E240="given_to_roster_office",$E240="released_to_office",$E240="disposed"),IF($F240="","reserve",$F240)="leftover"),-N($G240),IF(AND($E240="correction",IF($F240="","reserve",$F240)="leftover"),N($G240),0))))</f>
        <v/>
      </c>
      <c r="P240" s="30" t="str">
        <f aca="false">IF(OR($E240&lt;&gt;"received",$I240="",$L240=""),"",IF($I240&gt;=$L240+config!$B$19,"Y","N"))</f>
        <v/>
      </c>
      <c r="Q240" s="30" t="str">
        <f aca="false">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30" t="str">
        <f aca="false">IF($C240="","",$C240&amp;"|"&amp;$D240&amp;"|"&amp;$E240)</f>
        <v/>
      </c>
    </row>
    <row r="241" customFormat="false" ht="15" hidden="false" customHeight="false" outlineLevel="0" collapsed="false">
      <c r="A241" s="11"/>
      <c r="B241" s="38"/>
      <c r="E241" s="10"/>
      <c r="I241" s="11"/>
      <c r="J241" s="10"/>
      <c r="L241" s="31" t="str">
        <f aca="false">IF($C241="","",IFERROR(IF(INDEX(campaigns!$BG$2:$BG$51,MATCH($C241,campaigns!$A$2:$A$51,0))="","",INDEX(campaigns!$BG$2:$BG$51,MATCH($C241,campaigns!$A$2:$A$51,0))),""))</f>
        <v/>
      </c>
      <c r="M241" s="30" t="str">
        <f aca="false">IF($C241="","",IF(OR($E241="received"),N($G241),IF(OR($E241="rejected",$E241="delivered",$E241="topped_up"),-N($G241),IF(AND(OR($E241="returned_to_brand",$E241="given_to_roster_office",$E241="released_to_office",$E241="disposed"),IF($F241="","reserve",$F241)="reserve"),-N($G241),IF(AND($E241="correction",IF($F241="","reserve",$F241)="reserve"),N($G241),0)))))</f>
        <v/>
      </c>
      <c r="N241" s="30" t="str">
        <f aca="false">IF($C241="","",IF($E241="rejected",N($G241),IF(AND(OR($E241="returned_to_brand",$E241="given_to_roster_office",$E241="released_to_office",$E241="disposed"),IF($F241="","reserve",$F241)="rejected"),-N($G241),IF(AND($E241="correction",IF($F241="","reserve",$F241)="rejected"),N($G241),0))))</f>
        <v/>
      </c>
      <c r="O241" s="30" t="str">
        <f aca="false">IF($C241="","",IF($E241="collected",N($G241),IF(AND(OR($E241="returned_to_brand",$E241="given_to_roster_office",$E241="released_to_office",$E241="disposed"),IF($F241="","reserve",$F241)="leftover"),-N($G241),IF(AND($E241="correction",IF($F241="","reserve",$F241)="leftover"),N($G241),0))))</f>
        <v/>
      </c>
      <c r="P241" s="30" t="str">
        <f aca="false">IF(OR($E241&lt;&gt;"received",$I241="",$L241=""),"",IF($I241&gt;=$L241+config!$B$19,"Y","N"))</f>
        <v/>
      </c>
      <c r="Q241" s="30" t="str">
        <f aca="false">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30" t="str">
        <f aca="false">IF($C241="","",$C241&amp;"|"&amp;$D241&amp;"|"&amp;$E241)</f>
        <v/>
      </c>
    </row>
    <row r="242" customFormat="false" ht="15" hidden="false" customHeight="false" outlineLevel="0" collapsed="false">
      <c r="A242" s="11"/>
      <c r="B242" s="38"/>
      <c r="E242" s="10"/>
      <c r="I242" s="11"/>
      <c r="J242" s="10"/>
      <c r="L242" s="31" t="str">
        <f aca="false">IF($C242="","",IFERROR(IF(INDEX(campaigns!$BG$2:$BG$51,MATCH($C242,campaigns!$A$2:$A$51,0))="","",INDEX(campaigns!$BG$2:$BG$51,MATCH($C242,campaigns!$A$2:$A$51,0))),""))</f>
        <v/>
      </c>
      <c r="M242" s="30" t="str">
        <f aca="false">IF($C242="","",IF(OR($E242="received"),N($G242),IF(OR($E242="rejected",$E242="delivered",$E242="topped_up"),-N($G242),IF(AND(OR($E242="returned_to_brand",$E242="given_to_roster_office",$E242="released_to_office",$E242="disposed"),IF($F242="","reserve",$F242)="reserve"),-N($G242),IF(AND($E242="correction",IF($F242="","reserve",$F242)="reserve"),N($G242),0)))))</f>
        <v/>
      </c>
      <c r="N242" s="30" t="str">
        <f aca="false">IF($C242="","",IF($E242="rejected",N($G242),IF(AND(OR($E242="returned_to_brand",$E242="given_to_roster_office",$E242="released_to_office",$E242="disposed"),IF($F242="","reserve",$F242)="rejected"),-N($G242),IF(AND($E242="correction",IF($F242="","reserve",$F242)="rejected"),N($G242),0))))</f>
        <v/>
      </c>
      <c r="O242" s="30" t="str">
        <f aca="false">IF($C242="","",IF($E242="collected",N($G242),IF(AND(OR($E242="returned_to_brand",$E242="given_to_roster_office",$E242="released_to_office",$E242="disposed"),IF($F242="","reserve",$F242)="leftover"),-N($G242),IF(AND($E242="correction",IF($F242="","reserve",$F242)="leftover"),N($G242),0))))</f>
        <v/>
      </c>
      <c r="P242" s="30" t="str">
        <f aca="false">IF(OR($E242&lt;&gt;"received",$I242="",$L242=""),"",IF($I242&gt;=$L242+config!$B$19,"Y","N"))</f>
        <v/>
      </c>
      <c r="Q242" s="30" t="str">
        <f aca="false">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30" t="str">
        <f aca="false">IF($C242="","",$C242&amp;"|"&amp;$D242&amp;"|"&amp;$E242)</f>
        <v/>
      </c>
    </row>
    <row r="243" customFormat="false" ht="15" hidden="false" customHeight="false" outlineLevel="0" collapsed="false">
      <c r="A243" s="11"/>
      <c r="B243" s="38"/>
      <c r="E243" s="10"/>
      <c r="I243" s="11"/>
      <c r="J243" s="10"/>
      <c r="L243" s="31" t="str">
        <f aca="false">IF($C243="","",IFERROR(IF(INDEX(campaigns!$BG$2:$BG$51,MATCH($C243,campaigns!$A$2:$A$51,0))="","",INDEX(campaigns!$BG$2:$BG$51,MATCH($C243,campaigns!$A$2:$A$51,0))),""))</f>
        <v/>
      </c>
      <c r="M243" s="30" t="str">
        <f aca="false">IF($C243="","",IF(OR($E243="received"),N($G243),IF(OR($E243="rejected",$E243="delivered",$E243="topped_up"),-N($G243),IF(AND(OR($E243="returned_to_brand",$E243="given_to_roster_office",$E243="released_to_office",$E243="disposed"),IF($F243="","reserve",$F243)="reserve"),-N($G243),IF(AND($E243="correction",IF($F243="","reserve",$F243)="reserve"),N($G243),0)))))</f>
        <v/>
      </c>
      <c r="N243" s="30" t="str">
        <f aca="false">IF($C243="","",IF($E243="rejected",N($G243),IF(AND(OR($E243="returned_to_brand",$E243="given_to_roster_office",$E243="released_to_office",$E243="disposed"),IF($F243="","reserve",$F243)="rejected"),-N($G243),IF(AND($E243="correction",IF($F243="","reserve",$F243)="rejected"),N($G243),0))))</f>
        <v/>
      </c>
      <c r="O243" s="30" t="str">
        <f aca="false">IF($C243="","",IF($E243="collected",N($G243),IF(AND(OR($E243="returned_to_brand",$E243="given_to_roster_office",$E243="released_to_office",$E243="disposed"),IF($F243="","reserve",$F243)="leftover"),-N($G243),IF(AND($E243="correction",IF($F243="","reserve",$F243)="leftover"),N($G243),0))))</f>
        <v/>
      </c>
      <c r="P243" s="30" t="str">
        <f aca="false">IF(OR($E243&lt;&gt;"received",$I243="",$L243=""),"",IF($I243&gt;=$L243+config!$B$19,"Y","N"))</f>
        <v/>
      </c>
      <c r="Q243" s="30" t="str">
        <f aca="false">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30" t="str">
        <f aca="false">IF($C243="","",$C243&amp;"|"&amp;$D243&amp;"|"&amp;$E243)</f>
        <v/>
      </c>
    </row>
    <row r="244" customFormat="false" ht="15" hidden="false" customHeight="false" outlineLevel="0" collapsed="false">
      <c r="A244" s="11"/>
      <c r="B244" s="38"/>
      <c r="E244" s="10"/>
      <c r="I244" s="11"/>
      <c r="J244" s="10"/>
      <c r="L244" s="31" t="str">
        <f aca="false">IF($C244="","",IFERROR(IF(INDEX(campaigns!$BG$2:$BG$51,MATCH($C244,campaigns!$A$2:$A$51,0))="","",INDEX(campaigns!$BG$2:$BG$51,MATCH($C244,campaigns!$A$2:$A$51,0))),""))</f>
        <v/>
      </c>
      <c r="M244" s="30" t="str">
        <f aca="false">IF($C244="","",IF(OR($E244="received"),N($G244),IF(OR($E244="rejected",$E244="delivered",$E244="topped_up"),-N($G244),IF(AND(OR($E244="returned_to_brand",$E244="given_to_roster_office",$E244="released_to_office",$E244="disposed"),IF($F244="","reserve",$F244)="reserve"),-N($G244),IF(AND($E244="correction",IF($F244="","reserve",$F244)="reserve"),N($G244),0)))))</f>
        <v/>
      </c>
      <c r="N244" s="30" t="str">
        <f aca="false">IF($C244="","",IF($E244="rejected",N($G244),IF(AND(OR($E244="returned_to_brand",$E244="given_to_roster_office",$E244="released_to_office",$E244="disposed"),IF($F244="","reserve",$F244)="rejected"),-N($G244),IF(AND($E244="correction",IF($F244="","reserve",$F244)="rejected"),N($G244),0))))</f>
        <v/>
      </c>
      <c r="O244" s="30" t="str">
        <f aca="false">IF($C244="","",IF($E244="collected",N($G244),IF(AND(OR($E244="returned_to_brand",$E244="given_to_roster_office",$E244="released_to_office",$E244="disposed"),IF($F244="","reserve",$F244)="leftover"),-N($G244),IF(AND($E244="correction",IF($F244="","reserve",$F244)="leftover"),N($G244),0))))</f>
        <v/>
      </c>
      <c r="P244" s="30" t="str">
        <f aca="false">IF(OR($E244&lt;&gt;"received",$I244="",$L244=""),"",IF($I244&gt;=$L244+config!$B$19,"Y","N"))</f>
        <v/>
      </c>
      <c r="Q244" s="30" t="str">
        <f aca="false">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30" t="str">
        <f aca="false">IF($C244="","",$C244&amp;"|"&amp;$D244&amp;"|"&amp;$E244)</f>
        <v/>
      </c>
    </row>
    <row r="245" customFormat="false" ht="15" hidden="false" customHeight="false" outlineLevel="0" collapsed="false">
      <c r="A245" s="11"/>
      <c r="B245" s="38"/>
      <c r="E245" s="10"/>
      <c r="I245" s="11"/>
      <c r="J245" s="10"/>
      <c r="L245" s="31" t="str">
        <f aca="false">IF($C245="","",IFERROR(IF(INDEX(campaigns!$BG$2:$BG$51,MATCH($C245,campaigns!$A$2:$A$51,0))="","",INDEX(campaigns!$BG$2:$BG$51,MATCH($C245,campaigns!$A$2:$A$51,0))),""))</f>
        <v/>
      </c>
      <c r="M245" s="30" t="str">
        <f aca="false">IF($C245="","",IF(OR($E245="received"),N($G245),IF(OR($E245="rejected",$E245="delivered",$E245="topped_up"),-N($G245),IF(AND(OR($E245="returned_to_brand",$E245="given_to_roster_office",$E245="released_to_office",$E245="disposed"),IF($F245="","reserve",$F245)="reserve"),-N($G245),IF(AND($E245="correction",IF($F245="","reserve",$F245)="reserve"),N($G245),0)))))</f>
        <v/>
      </c>
      <c r="N245" s="30" t="str">
        <f aca="false">IF($C245="","",IF($E245="rejected",N($G245),IF(AND(OR($E245="returned_to_brand",$E245="given_to_roster_office",$E245="released_to_office",$E245="disposed"),IF($F245="","reserve",$F245)="rejected"),-N($G245),IF(AND($E245="correction",IF($F245="","reserve",$F245)="rejected"),N($G245),0))))</f>
        <v/>
      </c>
      <c r="O245" s="30" t="str">
        <f aca="false">IF($C245="","",IF($E245="collected",N($G245),IF(AND(OR($E245="returned_to_brand",$E245="given_to_roster_office",$E245="released_to_office",$E245="disposed"),IF($F245="","reserve",$F245)="leftover"),-N($G245),IF(AND($E245="correction",IF($F245="","reserve",$F245)="leftover"),N($G245),0))))</f>
        <v/>
      </c>
      <c r="P245" s="30" t="str">
        <f aca="false">IF(OR($E245&lt;&gt;"received",$I245="",$L245=""),"",IF($I245&gt;=$L245+config!$B$19,"Y","N"))</f>
        <v/>
      </c>
      <c r="Q245" s="30" t="str">
        <f aca="false">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30" t="str">
        <f aca="false">IF($C245="","",$C245&amp;"|"&amp;$D245&amp;"|"&amp;$E245)</f>
        <v/>
      </c>
    </row>
    <row r="246" customFormat="false" ht="15" hidden="false" customHeight="false" outlineLevel="0" collapsed="false">
      <c r="A246" s="11"/>
      <c r="B246" s="38"/>
      <c r="E246" s="10"/>
      <c r="I246" s="11"/>
      <c r="J246" s="10"/>
      <c r="L246" s="31" t="str">
        <f aca="false">IF($C246="","",IFERROR(IF(INDEX(campaigns!$BG$2:$BG$51,MATCH($C246,campaigns!$A$2:$A$51,0))="","",INDEX(campaigns!$BG$2:$BG$51,MATCH($C246,campaigns!$A$2:$A$51,0))),""))</f>
        <v/>
      </c>
      <c r="M246" s="30" t="str">
        <f aca="false">IF($C246="","",IF(OR($E246="received"),N($G246),IF(OR($E246="rejected",$E246="delivered",$E246="topped_up"),-N($G246),IF(AND(OR($E246="returned_to_brand",$E246="given_to_roster_office",$E246="released_to_office",$E246="disposed"),IF($F246="","reserve",$F246)="reserve"),-N($G246),IF(AND($E246="correction",IF($F246="","reserve",$F246)="reserve"),N($G246),0)))))</f>
        <v/>
      </c>
      <c r="N246" s="30" t="str">
        <f aca="false">IF($C246="","",IF($E246="rejected",N($G246),IF(AND(OR($E246="returned_to_brand",$E246="given_to_roster_office",$E246="released_to_office",$E246="disposed"),IF($F246="","reserve",$F246)="rejected"),-N($G246),IF(AND($E246="correction",IF($F246="","reserve",$F246)="rejected"),N($G246),0))))</f>
        <v/>
      </c>
      <c r="O246" s="30" t="str">
        <f aca="false">IF($C246="","",IF($E246="collected",N($G246),IF(AND(OR($E246="returned_to_brand",$E246="given_to_roster_office",$E246="released_to_office",$E246="disposed"),IF($F246="","reserve",$F246)="leftover"),-N($G246),IF(AND($E246="correction",IF($F246="","reserve",$F246)="leftover"),N($G246),0))))</f>
        <v/>
      </c>
      <c r="P246" s="30" t="str">
        <f aca="false">IF(OR($E246&lt;&gt;"received",$I246="",$L246=""),"",IF($I246&gt;=$L246+config!$B$19,"Y","N"))</f>
        <v/>
      </c>
      <c r="Q246" s="30" t="str">
        <f aca="false">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30" t="str">
        <f aca="false">IF($C246="","",$C246&amp;"|"&amp;$D246&amp;"|"&amp;$E246)</f>
        <v/>
      </c>
    </row>
    <row r="247" customFormat="false" ht="15" hidden="false" customHeight="false" outlineLevel="0" collapsed="false">
      <c r="A247" s="11"/>
      <c r="B247" s="38"/>
      <c r="E247" s="10"/>
      <c r="I247" s="11"/>
      <c r="J247" s="10"/>
      <c r="L247" s="31" t="str">
        <f aca="false">IF($C247="","",IFERROR(IF(INDEX(campaigns!$BG$2:$BG$51,MATCH($C247,campaigns!$A$2:$A$51,0))="","",INDEX(campaigns!$BG$2:$BG$51,MATCH($C247,campaigns!$A$2:$A$51,0))),""))</f>
        <v/>
      </c>
      <c r="M247" s="30" t="str">
        <f aca="false">IF($C247="","",IF(OR($E247="received"),N($G247),IF(OR($E247="rejected",$E247="delivered",$E247="topped_up"),-N($G247),IF(AND(OR($E247="returned_to_brand",$E247="given_to_roster_office",$E247="released_to_office",$E247="disposed"),IF($F247="","reserve",$F247)="reserve"),-N($G247),IF(AND($E247="correction",IF($F247="","reserve",$F247)="reserve"),N($G247),0)))))</f>
        <v/>
      </c>
      <c r="N247" s="30" t="str">
        <f aca="false">IF($C247="","",IF($E247="rejected",N($G247),IF(AND(OR($E247="returned_to_brand",$E247="given_to_roster_office",$E247="released_to_office",$E247="disposed"),IF($F247="","reserve",$F247)="rejected"),-N($G247),IF(AND($E247="correction",IF($F247="","reserve",$F247)="rejected"),N($G247),0))))</f>
        <v/>
      </c>
      <c r="O247" s="30" t="str">
        <f aca="false">IF($C247="","",IF($E247="collected",N($G247),IF(AND(OR($E247="returned_to_brand",$E247="given_to_roster_office",$E247="released_to_office",$E247="disposed"),IF($F247="","reserve",$F247)="leftover"),-N($G247),IF(AND($E247="correction",IF($F247="","reserve",$F247)="leftover"),N($G247),0))))</f>
        <v/>
      </c>
      <c r="P247" s="30" t="str">
        <f aca="false">IF(OR($E247&lt;&gt;"received",$I247="",$L247=""),"",IF($I247&gt;=$L247+config!$B$19,"Y","N"))</f>
        <v/>
      </c>
      <c r="Q247" s="30" t="str">
        <f aca="false">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30" t="str">
        <f aca="false">IF($C247="","",$C247&amp;"|"&amp;$D247&amp;"|"&amp;$E247)</f>
        <v/>
      </c>
    </row>
    <row r="248" customFormat="false" ht="15" hidden="false" customHeight="false" outlineLevel="0" collapsed="false">
      <c r="A248" s="11"/>
      <c r="B248" s="38"/>
      <c r="E248" s="10"/>
      <c r="I248" s="11"/>
      <c r="J248" s="10"/>
      <c r="L248" s="31" t="str">
        <f aca="false">IF($C248="","",IFERROR(IF(INDEX(campaigns!$BG$2:$BG$51,MATCH($C248,campaigns!$A$2:$A$51,0))="","",INDEX(campaigns!$BG$2:$BG$51,MATCH($C248,campaigns!$A$2:$A$51,0))),""))</f>
        <v/>
      </c>
      <c r="M248" s="30" t="str">
        <f aca="false">IF($C248="","",IF(OR($E248="received"),N($G248),IF(OR($E248="rejected",$E248="delivered",$E248="topped_up"),-N($G248),IF(AND(OR($E248="returned_to_brand",$E248="given_to_roster_office",$E248="released_to_office",$E248="disposed"),IF($F248="","reserve",$F248)="reserve"),-N($G248),IF(AND($E248="correction",IF($F248="","reserve",$F248)="reserve"),N($G248),0)))))</f>
        <v/>
      </c>
      <c r="N248" s="30" t="str">
        <f aca="false">IF($C248="","",IF($E248="rejected",N($G248),IF(AND(OR($E248="returned_to_brand",$E248="given_to_roster_office",$E248="released_to_office",$E248="disposed"),IF($F248="","reserve",$F248)="rejected"),-N($G248),IF(AND($E248="correction",IF($F248="","reserve",$F248)="rejected"),N($G248),0))))</f>
        <v/>
      </c>
      <c r="O248" s="30" t="str">
        <f aca="false">IF($C248="","",IF($E248="collected",N($G248),IF(AND(OR($E248="returned_to_brand",$E248="given_to_roster_office",$E248="released_to_office",$E248="disposed"),IF($F248="","reserve",$F248)="leftover"),-N($G248),IF(AND($E248="correction",IF($F248="","reserve",$F248)="leftover"),N($G248),0))))</f>
        <v/>
      </c>
      <c r="P248" s="30" t="str">
        <f aca="false">IF(OR($E248&lt;&gt;"received",$I248="",$L248=""),"",IF($I248&gt;=$L248+config!$B$19,"Y","N"))</f>
        <v/>
      </c>
      <c r="Q248" s="30" t="str">
        <f aca="false">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30" t="str">
        <f aca="false">IF($C248="","",$C248&amp;"|"&amp;$D248&amp;"|"&amp;$E248)</f>
        <v/>
      </c>
    </row>
    <row r="249" customFormat="false" ht="15" hidden="false" customHeight="false" outlineLevel="0" collapsed="false">
      <c r="A249" s="11"/>
      <c r="B249" s="38"/>
      <c r="E249" s="10"/>
      <c r="I249" s="11"/>
      <c r="J249" s="10"/>
      <c r="L249" s="31" t="str">
        <f aca="false">IF($C249="","",IFERROR(IF(INDEX(campaigns!$BG$2:$BG$51,MATCH($C249,campaigns!$A$2:$A$51,0))="","",INDEX(campaigns!$BG$2:$BG$51,MATCH($C249,campaigns!$A$2:$A$51,0))),""))</f>
        <v/>
      </c>
      <c r="M249" s="30" t="str">
        <f aca="false">IF($C249="","",IF(OR($E249="received"),N($G249),IF(OR($E249="rejected",$E249="delivered",$E249="topped_up"),-N($G249),IF(AND(OR($E249="returned_to_brand",$E249="given_to_roster_office",$E249="released_to_office",$E249="disposed"),IF($F249="","reserve",$F249)="reserve"),-N($G249),IF(AND($E249="correction",IF($F249="","reserve",$F249)="reserve"),N($G249),0)))))</f>
        <v/>
      </c>
      <c r="N249" s="30" t="str">
        <f aca="false">IF($C249="","",IF($E249="rejected",N($G249),IF(AND(OR($E249="returned_to_brand",$E249="given_to_roster_office",$E249="released_to_office",$E249="disposed"),IF($F249="","reserve",$F249)="rejected"),-N($G249),IF(AND($E249="correction",IF($F249="","reserve",$F249)="rejected"),N($G249),0))))</f>
        <v/>
      </c>
      <c r="O249" s="30" t="str">
        <f aca="false">IF($C249="","",IF($E249="collected",N($G249),IF(AND(OR($E249="returned_to_brand",$E249="given_to_roster_office",$E249="released_to_office",$E249="disposed"),IF($F249="","reserve",$F249)="leftover"),-N($G249),IF(AND($E249="correction",IF($F249="","reserve",$F249)="leftover"),N($G249),0))))</f>
        <v/>
      </c>
      <c r="P249" s="30" t="str">
        <f aca="false">IF(OR($E249&lt;&gt;"received",$I249="",$L249=""),"",IF($I249&gt;=$L249+config!$B$19,"Y","N"))</f>
        <v/>
      </c>
      <c r="Q249" s="30" t="str">
        <f aca="false">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30" t="str">
        <f aca="false">IF($C249="","",$C249&amp;"|"&amp;$D249&amp;"|"&amp;$E249)</f>
        <v/>
      </c>
    </row>
    <row r="250" customFormat="false" ht="15" hidden="false" customHeight="false" outlineLevel="0" collapsed="false">
      <c r="A250" s="11"/>
      <c r="B250" s="38"/>
      <c r="E250" s="10"/>
      <c r="I250" s="11"/>
      <c r="J250" s="10"/>
      <c r="L250" s="31" t="str">
        <f aca="false">IF($C250="","",IFERROR(IF(INDEX(campaigns!$BG$2:$BG$51,MATCH($C250,campaigns!$A$2:$A$51,0))="","",INDEX(campaigns!$BG$2:$BG$51,MATCH($C250,campaigns!$A$2:$A$51,0))),""))</f>
        <v/>
      </c>
      <c r="M250" s="30" t="str">
        <f aca="false">IF($C250="","",IF(OR($E250="received"),N($G250),IF(OR($E250="rejected",$E250="delivered",$E250="topped_up"),-N($G250),IF(AND(OR($E250="returned_to_brand",$E250="given_to_roster_office",$E250="released_to_office",$E250="disposed"),IF($F250="","reserve",$F250)="reserve"),-N($G250),IF(AND($E250="correction",IF($F250="","reserve",$F250)="reserve"),N($G250),0)))))</f>
        <v/>
      </c>
      <c r="N250" s="30" t="str">
        <f aca="false">IF($C250="","",IF($E250="rejected",N($G250),IF(AND(OR($E250="returned_to_brand",$E250="given_to_roster_office",$E250="released_to_office",$E250="disposed"),IF($F250="","reserve",$F250)="rejected"),-N($G250),IF(AND($E250="correction",IF($F250="","reserve",$F250)="rejected"),N($G250),0))))</f>
        <v/>
      </c>
      <c r="O250" s="30" t="str">
        <f aca="false">IF($C250="","",IF($E250="collected",N($G250),IF(AND(OR($E250="returned_to_brand",$E250="given_to_roster_office",$E250="released_to_office",$E250="disposed"),IF($F250="","reserve",$F250)="leftover"),-N($G250),IF(AND($E250="correction",IF($F250="","reserve",$F250)="leftover"),N($G250),0))))</f>
        <v/>
      </c>
      <c r="P250" s="30" t="str">
        <f aca="false">IF(OR($E250&lt;&gt;"received",$I250="",$L250=""),"",IF($I250&gt;=$L250+config!$B$19,"Y","N"))</f>
        <v/>
      </c>
      <c r="Q250" s="30" t="str">
        <f aca="false">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30" t="str">
        <f aca="false">IF($C250="","",$C250&amp;"|"&amp;$D250&amp;"|"&amp;$E250)</f>
        <v/>
      </c>
    </row>
    <row r="251" customFormat="false" ht="15" hidden="false" customHeight="false" outlineLevel="0" collapsed="false">
      <c r="A251" s="11"/>
      <c r="B251" s="38"/>
      <c r="E251" s="10"/>
      <c r="I251" s="11"/>
      <c r="J251" s="10"/>
      <c r="L251" s="31" t="str">
        <f aca="false">IF($C251="","",IFERROR(IF(INDEX(campaigns!$BG$2:$BG$51,MATCH($C251,campaigns!$A$2:$A$51,0))="","",INDEX(campaigns!$BG$2:$BG$51,MATCH($C251,campaigns!$A$2:$A$51,0))),""))</f>
        <v/>
      </c>
      <c r="M251" s="30" t="str">
        <f aca="false">IF($C251="","",IF(OR($E251="received"),N($G251),IF(OR($E251="rejected",$E251="delivered",$E251="topped_up"),-N($G251),IF(AND(OR($E251="returned_to_brand",$E251="given_to_roster_office",$E251="released_to_office",$E251="disposed"),IF($F251="","reserve",$F251)="reserve"),-N($G251),IF(AND($E251="correction",IF($F251="","reserve",$F251)="reserve"),N($G251),0)))))</f>
        <v/>
      </c>
      <c r="N251" s="30" t="str">
        <f aca="false">IF($C251="","",IF($E251="rejected",N($G251),IF(AND(OR($E251="returned_to_brand",$E251="given_to_roster_office",$E251="released_to_office",$E251="disposed"),IF($F251="","reserve",$F251)="rejected"),-N($G251),IF(AND($E251="correction",IF($F251="","reserve",$F251)="rejected"),N($G251),0))))</f>
        <v/>
      </c>
      <c r="O251" s="30" t="str">
        <f aca="false">IF($C251="","",IF($E251="collected",N($G251),IF(AND(OR($E251="returned_to_brand",$E251="given_to_roster_office",$E251="released_to_office",$E251="disposed"),IF($F251="","reserve",$F251)="leftover"),-N($G251),IF(AND($E251="correction",IF($F251="","reserve",$F251)="leftover"),N($G251),0))))</f>
        <v/>
      </c>
      <c r="P251" s="30" t="str">
        <f aca="false">IF(OR($E251&lt;&gt;"received",$I251="",$L251=""),"",IF($I251&gt;=$L251+config!$B$19,"Y","N"))</f>
        <v/>
      </c>
      <c r="Q251" s="30" t="str">
        <f aca="false">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30" t="str">
        <f aca="false">IF($C251="","",$C251&amp;"|"&amp;$D251&amp;"|"&amp;$E251)</f>
        <v/>
      </c>
    </row>
    <row r="252" customFormat="false" ht="15" hidden="false" customHeight="false" outlineLevel="0" collapsed="false">
      <c r="A252" s="11"/>
      <c r="B252" s="38"/>
      <c r="E252" s="10"/>
      <c r="I252" s="11"/>
      <c r="J252" s="10"/>
      <c r="L252" s="31" t="str">
        <f aca="false">IF($C252="","",IFERROR(IF(INDEX(campaigns!$BG$2:$BG$51,MATCH($C252,campaigns!$A$2:$A$51,0))="","",INDEX(campaigns!$BG$2:$BG$51,MATCH($C252,campaigns!$A$2:$A$51,0))),""))</f>
        <v/>
      </c>
      <c r="M252" s="30" t="str">
        <f aca="false">IF($C252="","",IF(OR($E252="received"),N($G252),IF(OR($E252="rejected",$E252="delivered",$E252="topped_up"),-N($G252),IF(AND(OR($E252="returned_to_brand",$E252="given_to_roster_office",$E252="released_to_office",$E252="disposed"),IF($F252="","reserve",$F252)="reserve"),-N($G252),IF(AND($E252="correction",IF($F252="","reserve",$F252)="reserve"),N($G252),0)))))</f>
        <v/>
      </c>
      <c r="N252" s="30" t="str">
        <f aca="false">IF($C252="","",IF($E252="rejected",N($G252),IF(AND(OR($E252="returned_to_brand",$E252="given_to_roster_office",$E252="released_to_office",$E252="disposed"),IF($F252="","reserve",$F252)="rejected"),-N($G252),IF(AND($E252="correction",IF($F252="","reserve",$F252)="rejected"),N($G252),0))))</f>
        <v/>
      </c>
      <c r="O252" s="30" t="str">
        <f aca="false">IF($C252="","",IF($E252="collected",N($G252),IF(AND(OR($E252="returned_to_brand",$E252="given_to_roster_office",$E252="released_to_office",$E252="disposed"),IF($F252="","reserve",$F252)="leftover"),-N($G252),IF(AND($E252="correction",IF($F252="","reserve",$F252)="leftover"),N($G252),0))))</f>
        <v/>
      </c>
      <c r="P252" s="30" t="str">
        <f aca="false">IF(OR($E252&lt;&gt;"received",$I252="",$L252=""),"",IF($I252&gt;=$L252+config!$B$19,"Y","N"))</f>
        <v/>
      </c>
      <c r="Q252" s="30" t="str">
        <f aca="false">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30" t="str">
        <f aca="false">IF($C252="","",$C252&amp;"|"&amp;$D252&amp;"|"&amp;$E252)</f>
        <v/>
      </c>
    </row>
    <row r="253" customFormat="false" ht="15" hidden="false" customHeight="false" outlineLevel="0" collapsed="false">
      <c r="A253" s="11"/>
      <c r="B253" s="38"/>
      <c r="E253" s="10"/>
      <c r="I253" s="11"/>
      <c r="J253" s="10"/>
      <c r="L253" s="31" t="str">
        <f aca="false">IF($C253="","",IFERROR(IF(INDEX(campaigns!$BG$2:$BG$51,MATCH($C253,campaigns!$A$2:$A$51,0))="","",INDEX(campaigns!$BG$2:$BG$51,MATCH($C253,campaigns!$A$2:$A$51,0))),""))</f>
        <v/>
      </c>
      <c r="M253" s="30" t="str">
        <f aca="false">IF($C253="","",IF(OR($E253="received"),N($G253),IF(OR($E253="rejected",$E253="delivered",$E253="topped_up"),-N($G253),IF(AND(OR($E253="returned_to_brand",$E253="given_to_roster_office",$E253="released_to_office",$E253="disposed"),IF($F253="","reserve",$F253)="reserve"),-N($G253),IF(AND($E253="correction",IF($F253="","reserve",$F253)="reserve"),N($G253),0)))))</f>
        <v/>
      </c>
      <c r="N253" s="30" t="str">
        <f aca="false">IF($C253="","",IF($E253="rejected",N($G253),IF(AND(OR($E253="returned_to_brand",$E253="given_to_roster_office",$E253="released_to_office",$E253="disposed"),IF($F253="","reserve",$F253)="rejected"),-N($G253),IF(AND($E253="correction",IF($F253="","reserve",$F253)="rejected"),N($G253),0))))</f>
        <v/>
      </c>
      <c r="O253" s="30" t="str">
        <f aca="false">IF($C253="","",IF($E253="collected",N($G253),IF(AND(OR($E253="returned_to_brand",$E253="given_to_roster_office",$E253="released_to_office",$E253="disposed"),IF($F253="","reserve",$F253)="leftover"),-N($G253),IF(AND($E253="correction",IF($F253="","reserve",$F253)="leftover"),N($G253),0))))</f>
        <v/>
      </c>
      <c r="P253" s="30" t="str">
        <f aca="false">IF(OR($E253&lt;&gt;"received",$I253="",$L253=""),"",IF($I253&gt;=$L253+config!$B$19,"Y","N"))</f>
        <v/>
      </c>
      <c r="Q253" s="30" t="str">
        <f aca="false">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30" t="str">
        <f aca="false">IF($C253="","",$C253&amp;"|"&amp;$D253&amp;"|"&amp;$E253)</f>
        <v/>
      </c>
    </row>
    <row r="254" customFormat="false" ht="15" hidden="false" customHeight="false" outlineLevel="0" collapsed="false">
      <c r="A254" s="11"/>
      <c r="B254" s="38"/>
      <c r="E254" s="10"/>
      <c r="I254" s="11"/>
      <c r="J254" s="10"/>
      <c r="L254" s="31" t="str">
        <f aca="false">IF($C254="","",IFERROR(IF(INDEX(campaigns!$BG$2:$BG$51,MATCH($C254,campaigns!$A$2:$A$51,0))="","",INDEX(campaigns!$BG$2:$BG$51,MATCH($C254,campaigns!$A$2:$A$51,0))),""))</f>
        <v/>
      </c>
      <c r="M254" s="30" t="str">
        <f aca="false">IF($C254="","",IF(OR($E254="received"),N($G254),IF(OR($E254="rejected",$E254="delivered",$E254="topped_up"),-N($G254),IF(AND(OR($E254="returned_to_brand",$E254="given_to_roster_office",$E254="released_to_office",$E254="disposed"),IF($F254="","reserve",$F254)="reserve"),-N($G254),IF(AND($E254="correction",IF($F254="","reserve",$F254)="reserve"),N($G254),0)))))</f>
        <v/>
      </c>
      <c r="N254" s="30" t="str">
        <f aca="false">IF($C254="","",IF($E254="rejected",N($G254),IF(AND(OR($E254="returned_to_brand",$E254="given_to_roster_office",$E254="released_to_office",$E254="disposed"),IF($F254="","reserve",$F254)="rejected"),-N($G254),IF(AND($E254="correction",IF($F254="","reserve",$F254)="rejected"),N($G254),0))))</f>
        <v/>
      </c>
      <c r="O254" s="30" t="str">
        <f aca="false">IF($C254="","",IF($E254="collected",N($G254),IF(AND(OR($E254="returned_to_brand",$E254="given_to_roster_office",$E254="released_to_office",$E254="disposed"),IF($F254="","reserve",$F254)="leftover"),-N($G254),IF(AND($E254="correction",IF($F254="","reserve",$F254)="leftover"),N($G254),0))))</f>
        <v/>
      </c>
      <c r="P254" s="30" t="str">
        <f aca="false">IF(OR($E254&lt;&gt;"received",$I254="",$L254=""),"",IF($I254&gt;=$L254+config!$B$19,"Y","N"))</f>
        <v/>
      </c>
      <c r="Q254" s="30" t="str">
        <f aca="false">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30" t="str">
        <f aca="false">IF($C254="","",$C254&amp;"|"&amp;$D254&amp;"|"&amp;$E254)</f>
        <v/>
      </c>
    </row>
    <row r="255" customFormat="false" ht="15" hidden="false" customHeight="false" outlineLevel="0" collapsed="false">
      <c r="A255" s="11"/>
      <c r="B255" s="38"/>
      <c r="E255" s="10"/>
      <c r="I255" s="11"/>
      <c r="J255" s="10"/>
      <c r="L255" s="31" t="str">
        <f aca="false">IF($C255="","",IFERROR(IF(INDEX(campaigns!$BG$2:$BG$51,MATCH($C255,campaigns!$A$2:$A$51,0))="","",INDEX(campaigns!$BG$2:$BG$51,MATCH($C255,campaigns!$A$2:$A$51,0))),""))</f>
        <v/>
      </c>
      <c r="M255" s="30" t="str">
        <f aca="false">IF($C255="","",IF(OR($E255="received"),N($G255),IF(OR($E255="rejected",$E255="delivered",$E255="topped_up"),-N($G255),IF(AND(OR($E255="returned_to_brand",$E255="given_to_roster_office",$E255="released_to_office",$E255="disposed"),IF($F255="","reserve",$F255)="reserve"),-N($G255),IF(AND($E255="correction",IF($F255="","reserve",$F255)="reserve"),N($G255),0)))))</f>
        <v/>
      </c>
      <c r="N255" s="30" t="str">
        <f aca="false">IF($C255="","",IF($E255="rejected",N($G255),IF(AND(OR($E255="returned_to_brand",$E255="given_to_roster_office",$E255="released_to_office",$E255="disposed"),IF($F255="","reserve",$F255)="rejected"),-N($G255),IF(AND($E255="correction",IF($F255="","reserve",$F255)="rejected"),N($G255),0))))</f>
        <v/>
      </c>
      <c r="O255" s="30" t="str">
        <f aca="false">IF($C255="","",IF($E255="collected",N($G255),IF(AND(OR($E255="returned_to_brand",$E255="given_to_roster_office",$E255="released_to_office",$E255="disposed"),IF($F255="","reserve",$F255)="leftover"),-N($G255),IF(AND($E255="correction",IF($F255="","reserve",$F255)="leftover"),N($G255),0))))</f>
        <v/>
      </c>
      <c r="P255" s="30" t="str">
        <f aca="false">IF(OR($E255&lt;&gt;"received",$I255="",$L255=""),"",IF($I255&gt;=$L255+config!$B$19,"Y","N"))</f>
        <v/>
      </c>
      <c r="Q255" s="30" t="str">
        <f aca="false">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30" t="str">
        <f aca="false">IF($C255="","",$C255&amp;"|"&amp;$D255&amp;"|"&amp;$E255)</f>
        <v/>
      </c>
    </row>
    <row r="256" customFormat="false" ht="15" hidden="false" customHeight="false" outlineLevel="0" collapsed="false">
      <c r="A256" s="11"/>
      <c r="B256" s="38"/>
      <c r="E256" s="10"/>
      <c r="I256" s="11"/>
      <c r="J256" s="10"/>
      <c r="L256" s="31" t="str">
        <f aca="false">IF($C256="","",IFERROR(IF(INDEX(campaigns!$BG$2:$BG$51,MATCH($C256,campaigns!$A$2:$A$51,0))="","",INDEX(campaigns!$BG$2:$BG$51,MATCH($C256,campaigns!$A$2:$A$51,0))),""))</f>
        <v/>
      </c>
      <c r="M256" s="30" t="str">
        <f aca="false">IF($C256="","",IF(OR($E256="received"),N($G256),IF(OR($E256="rejected",$E256="delivered",$E256="topped_up"),-N($G256),IF(AND(OR($E256="returned_to_brand",$E256="given_to_roster_office",$E256="released_to_office",$E256="disposed"),IF($F256="","reserve",$F256)="reserve"),-N($G256),IF(AND($E256="correction",IF($F256="","reserve",$F256)="reserve"),N($G256),0)))))</f>
        <v/>
      </c>
      <c r="N256" s="30" t="str">
        <f aca="false">IF($C256="","",IF($E256="rejected",N($G256),IF(AND(OR($E256="returned_to_brand",$E256="given_to_roster_office",$E256="released_to_office",$E256="disposed"),IF($F256="","reserve",$F256)="rejected"),-N($G256),IF(AND($E256="correction",IF($F256="","reserve",$F256)="rejected"),N($G256),0))))</f>
        <v/>
      </c>
      <c r="O256" s="30" t="str">
        <f aca="false">IF($C256="","",IF($E256="collected",N($G256),IF(AND(OR($E256="returned_to_brand",$E256="given_to_roster_office",$E256="released_to_office",$E256="disposed"),IF($F256="","reserve",$F256)="leftover"),-N($G256),IF(AND($E256="correction",IF($F256="","reserve",$F256)="leftover"),N($G256),0))))</f>
        <v/>
      </c>
      <c r="P256" s="30" t="str">
        <f aca="false">IF(OR($E256&lt;&gt;"received",$I256="",$L256=""),"",IF($I256&gt;=$L256+config!$B$19,"Y","N"))</f>
        <v/>
      </c>
      <c r="Q256" s="30" t="str">
        <f aca="false">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30" t="str">
        <f aca="false">IF($C256="","",$C256&amp;"|"&amp;$D256&amp;"|"&amp;$E256)</f>
        <v/>
      </c>
    </row>
    <row r="257" customFormat="false" ht="15" hidden="false" customHeight="false" outlineLevel="0" collapsed="false">
      <c r="A257" s="11"/>
      <c r="B257" s="38"/>
      <c r="E257" s="10"/>
      <c r="I257" s="11"/>
      <c r="J257" s="10"/>
      <c r="L257" s="31" t="str">
        <f aca="false">IF($C257="","",IFERROR(IF(INDEX(campaigns!$BG$2:$BG$51,MATCH($C257,campaigns!$A$2:$A$51,0))="","",INDEX(campaigns!$BG$2:$BG$51,MATCH($C257,campaigns!$A$2:$A$51,0))),""))</f>
        <v/>
      </c>
      <c r="M257" s="30" t="str">
        <f aca="false">IF($C257="","",IF(OR($E257="received"),N($G257),IF(OR($E257="rejected",$E257="delivered",$E257="topped_up"),-N($G257),IF(AND(OR($E257="returned_to_brand",$E257="given_to_roster_office",$E257="released_to_office",$E257="disposed"),IF($F257="","reserve",$F257)="reserve"),-N($G257),IF(AND($E257="correction",IF($F257="","reserve",$F257)="reserve"),N($G257),0)))))</f>
        <v/>
      </c>
      <c r="N257" s="30" t="str">
        <f aca="false">IF($C257="","",IF($E257="rejected",N($G257),IF(AND(OR($E257="returned_to_brand",$E257="given_to_roster_office",$E257="released_to_office",$E257="disposed"),IF($F257="","reserve",$F257)="rejected"),-N($G257),IF(AND($E257="correction",IF($F257="","reserve",$F257)="rejected"),N($G257),0))))</f>
        <v/>
      </c>
      <c r="O257" s="30" t="str">
        <f aca="false">IF($C257="","",IF($E257="collected",N($G257),IF(AND(OR($E257="returned_to_brand",$E257="given_to_roster_office",$E257="released_to_office",$E257="disposed"),IF($F257="","reserve",$F257)="leftover"),-N($G257),IF(AND($E257="correction",IF($F257="","reserve",$F257)="leftover"),N($G257),0))))</f>
        <v/>
      </c>
      <c r="P257" s="30" t="str">
        <f aca="false">IF(OR($E257&lt;&gt;"received",$I257="",$L257=""),"",IF($I257&gt;=$L257+config!$B$19,"Y","N"))</f>
        <v/>
      </c>
      <c r="Q257" s="30" t="str">
        <f aca="false">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30" t="str">
        <f aca="false">IF($C257="","",$C257&amp;"|"&amp;$D257&amp;"|"&amp;$E257)</f>
        <v/>
      </c>
    </row>
    <row r="258" customFormat="false" ht="15" hidden="false" customHeight="false" outlineLevel="0" collapsed="false">
      <c r="A258" s="11"/>
      <c r="B258" s="38"/>
      <c r="E258" s="10"/>
      <c r="I258" s="11"/>
      <c r="J258" s="10"/>
      <c r="L258" s="31" t="str">
        <f aca="false">IF($C258="","",IFERROR(IF(INDEX(campaigns!$BG$2:$BG$51,MATCH($C258,campaigns!$A$2:$A$51,0))="","",INDEX(campaigns!$BG$2:$BG$51,MATCH($C258,campaigns!$A$2:$A$51,0))),""))</f>
        <v/>
      </c>
      <c r="M258" s="30" t="str">
        <f aca="false">IF($C258="","",IF(OR($E258="received"),N($G258),IF(OR($E258="rejected",$E258="delivered",$E258="topped_up"),-N($G258),IF(AND(OR($E258="returned_to_brand",$E258="given_to_roster_office",$E258="released_to_office",$E258="disposed"),IF($F258="","reserve",$F258)="reserve"),-N($G258),IF(AND($E258="correction",IF($F258="","reserve",$F258)="reserve"),N($G258),0)))))</f>
        <v/>
      </c>
      <c r="N258" s="30" t="str">
        <f aca="false">IF($C258="","",IF($E258="rejected",N($G258),IF(AND(OR($E258="returned_to_brand",$E258="given_to_roster_office",$E258="released_to_office",$E258="disposed"),IF($F258="","reserve",$F258)="rejected"),-N($G258),IF(AND($E258="correction",IF($F258="","reserve",$F258)="rejected"),N($G258),0))))</f>
        <v/>
      </c>
      <c r="O258" s="30" t="str">
        <f aca="false">IF($C258="","",IF($E258="collected",N($G258),IF(AND(OR($E258="returned_to_brand",$E258="given_to_roster_office",$E258="released_to_office",$E258="disposed"),IF($F258="","reserve",$F258)="leftover"),-N($G258),IF(AND($E258="correction",IF($F258="","reserve",$F258)="leftover"),N($G258),0))))</f>
        <v/>
      </c>
      <c r="P258" s="30" t="str">
        <f aca="false">IF(OR($E258&lt;&gt;"received",$I258="",$L258=""),"",IF($I258&gt;=$L258+config!$B$19,"Y","N"))</f>
        <v/>
      </c>
      <c r="Q258" s="30" t="str">
        <f aca="false">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30" t="str">
        <f aca="false">IF($C258="","",$C258&amp;"|"&amp;$D258&amp;"|"&amp;$E258)</f>
        <v/>
      </c>
    </row>
    <row r="259" customFormat="false" ht="15" hidden="false" customHeight="false" outlineLevel="0" collapsed="false">
      <c r="A259" s="11"/>
      <c r="B259" s="38"/>
      <c r="E259" s="10"/>
      <c r="I259" s="11"/>
      <c r="J259" s="10"/>
      <c r="L259" s="31" t="str">
        <f aca="false">IF($C259="","",IFERROR(IF(INDEX(campaigns!$BG$2:$BG$51,MATCH($C259,campaigns!$A$2:$A$51,0))="","",INDEX(campaigns!$BG$2:$BG$51,MATCH($C259,campaigns!$A$2:$A$51,0))),""))</f>
        <v/>
      </c>
      <c r="M259" s="30" t="str">
        <f aca="false">IF($C259="","",IF(OR($E259="received"),N($G259),IF(OR($E259="rejected",$E259="delivered",$E259="topped_up"),-N($G259),IF(AND(OR($E259="returned_to_brand",$E259="given_to_roster_office",$E259="released_to_office",$E259="disposed"),IF($F259="","reserve",$F259)="reserve"),-N($G259),IF(AND($E259="correction",IF($F259="","reserve",$F259)="reserve"),N($G259),0)))))</f>
        <v/>
      </c>
      <c r="N259" s="30" t="str">
        <f aca="false">IF($C259="","",IF($E259="rejected",N($G259),IF(AND(OR($E259="returned_to_brand",$E259="given_to_roster_office",$E259="released_to_office",$E259="disposed"),IF($F259="","reserve",$F259)="rejected"),-N($G259),IF(AND($E259="correction",IF($F259="","reserve",$F259)="rejected"),N($G259),0))))</f>
        <v/>
      </c>
      <c r="O259" s="30" t="str">
        <f aca="false">IF($C259="","",IF($E259="collected",N($G259),IF(AND(OR($E259="returned_to_brand",$E259="given_to_roster_office",$E259="released_to_office",$E259="disposed"),IF($F259="","reserve",$F259)="leftover"),-N($G259),IF(AND($E259="correction",IF($F259="","reserve",$F259)="leftover"),N($G259),0))))</f>
        <v/>
      </c>
      <c r="P259" s="30" t="str">
        <f aca="false">IF(OR($E259&lt;&gt;"received",$I259="",$L259=""),"",IF($I259&gt;=$L259+config!$B$19,"Y","N"))</f>
        <v/>
      </c>
      <c r="Q259" s="30" t="str">
        <f aca="false">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30" t="str">
        <f aca="false">IF($C259="","",$C259&amp;"|"&amp;$D259&amp;"|"&amp;$E259)</f>
        <v/>
      </c>
    </row>
    <row r="260" customFormat="false" ht="15" hidden="false" customHeight="false" outlineLevel="0" collapsed="false">
      <c r="A260" s="11"/>
      <c r="B260" s="38"/>
      <c r="E260" s="10"/>
      <c r="I260" s="11"/>
      <c r="J260" s="10"/>
      <c r="L260" s="31" t="str">
        <f aca="false">IF($C260="","",IFERROR(IF(INDEX(campaigns!$BG$2:$BG$51,MATCH($C260,campaigns!$A$2:$A$51,0))="","",INDEX(campaigns!$BG$2:$BG$51,MATCH($C260,campaigns!$A$2:$A$51,0))),""))</f>
        <v/>
      </c>
      <c r="M260" s="30" t="str">
        <f aca="false">IF($C260="","",IF(OR($E260="received"),N($G260),IF(OR($E260="rejected",$E260="delivered",$E260="topped_up"),-N($G260),IF(AND(OR($E260="returned_to_brand",$E260="given_to_roster_office",$E260="released_to_office",$E260="disposed"),IF($F260="","reserve",$F260)="reserve"),-N($G260),IF(AND($E260="correction",IF($F260="","reserve",$F260)="reserve"),N($G260),0)))))</f>
        <v/>
      </c>
      <c r="N260" s="30" t="str">
        <f aca="false">IF($C260="","",IF($E260="rejected",N($G260),IF(AND(OR($E260="returned_to_brand",$E260="given_to_roster_office",$E260="released_to_office",$E260="disposed"),IF($F260="","reserve",$F260)="rejected"),-N($G260),IF(AND($E260="correction",IF($F260="","reserve",$F260)="rejected"),N($G260),0))))</f>
        <v/>
      </c>
      <c r="O260" s="30" t="str">
        <f aca="false">IF($C260="","",IF($E260="collected",N($G260),IF(AND(OR($E260="returned_to_brand",$E260="given_to_roster_office",$E260="released_to_office",$E260="disposed"),IF($F260="","reserve",$F260)="leftover"),-N($G260),IF(AND($E260="correction",IF($F260="","reserve",$F260)="leftover"),N($G260),0))))</f>
        <v/>
      </c>
      <c r="P260" s="30" t="str">
        <f aca="false">IF(OR($E260&lt;&gt;"received",$I260="",$L260=""),"",IF($I260&gt;=$L260+config!$B$19,"Y","N"))</f>
        <v/>
      </c>
      <c r="Q260" s="30" t="str">
        <f aca="false">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30" t="str">
        <f aca="false">IF($C260="","",$C260&amp;"|"&amp;$D260&amp;"|"&amp;$E260)</f>
        <v/>
      </c>
    </row>
    <row r="261" customFormat="false" ht="15" hidden="false" customHeight="false" outlineLevel="0" collapsed="false">
      <c r="A261" s="11"/>
      <c r="B261" s="38"/>
      <c r="E261" s="10"/>
      <c r="I261" s="11"/>
      <c r="J261" s="10"/>
      <c r="L261" s="31" t="str">
        <f aca="false">IF($C261="","",IFERROR(IF(INDEX(campaigns!$BG$2:$BG$51,MATCH($C261,campaigns!$A$2:$A$51,0))="","",INDEX(campaigns!$BG$2:$BG$51,MATCH($C261,campaigns!$A$2:$A$51,0))),""))</f>
        <v/>
      </c>
      <c r="M261" s="30" t="str">
        <f aca="false">IF($C261="","",IF(OR($E261="received"),N($G261),IF(OR($E261="rejected",$E261="delivered",$E261="topped_up"),-N($G261),IF(AND(OR($E261="returned_to_brand",$E261="given_to_roster_office",$E261="released_to_office",$E261="disposed"),IF($F261="","reserve",$F261)="reserve"),-N($G261),IF(AND($E261="correction",IF($F261="","reserve",$F261)="reserve"),N($G261),0)))))</f>
        <v/>
      </c>
      <c r="N261" s="30" t="str">
        <f aca="false">IF($C261="","",IF($E261="rejected",N($G261),IF(AND(OR($E261="returned_to_brand",$E261="given_to_roster_office",$E261="released_to_office",$E261="disposed"),IF($F261="","reserve",$F261)="rejected"),-N($G261),IF(AND($E261="correction",IF($F261="","reserve",$F261)="rejected"),N($G261),0))))</f>
        <v/>
      </c>
      <c r="O261" s="30" t="str">
        <f aca="false">IF($C261="","",IF($E261="collected",N($G261),IF(AND(OR($E261="returned_to_brand",$E261="given_to_roster_office",$E261="released_to_office",$E261="disposed"),IF($F261="","reserve",$F261)="leftover"),-N($G261),IF(AND($E261="correction",IF($F261="","reserve",$F261)="leftover"),N($G261),0))))</f>
        <v/>
      </c>
      <c r="P261" s="30" t="str">
        <f aca="false">IF(OR($E261&lt;&gt;"received",$I261="",$L261=""),"",IF($I261&gt;=$L261+config!$B$19,"Y","N"))</f>
        <v/>
      </c>
      <c r="Q261" s="30" t="str">
        <f aca="false">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30" t="str">
        <f aca="false">IF($C261="","",$C261&amp;"|"&amp;$D261&amp;"|"&amp;$E261)</f>
        <v/>
      </c>
    </row>
    <row r="262" customFormat="false" ht="15" hidden="false" customHeight="false" outlineLevel="0" collapsed="false">
      <c r="A262" s="11"/>
      <c r="B262" s="38"/>
      <c r="E262" s="10"/>
      <c r="I262" s="11"/>
      <c r="J262" s="10"/>
      <c r="L262" s="31" t="str">
        <f aca="false">IF($C262="","",IFERROR(IF(INDEX(campaigns!$BG$2:$BG$51,MATCH($C262,campaigns!$A$2:$A$51,0))="","",INDEX(campaigns!$BG$2:$BG$51,MATCH($C262,campaigns!$A$2:$A$51,0))),""))</f>
        <v/>
      </c>
      <c r="M262" s="30" t="str">
        <f aca="false">IF($C262="","",IF(OR($E262="received"),N($G262),IF(OR($E262="rejected",$E262="delivered",$E262="topped_up"),-N($G262),IF(AND(OR($E262="returned_to_brand",$E262="given_to_roster_office",$E262="released_to_office",$E262="disposed"),IF($F262="","reserve",$F262)="reserve"),-N($G262),IF(AND($E262="correction",IF($F262="","reserve",$F262)="reserve"),N($G262),0)))))</f>
        <v/>
      </c>
      <c r="N262" s="30" t="str">
        <f aca="false">IF($C262="","",IF($E262="rejected",N($G262),IF(AND(OR($E262="returned_to_brand",$E262="given_to_roster_office",$E262="released_to_office",$E262="disposed"),IF($F262="","reserve",$F262)="rejected"),-N($G262),IF(AND($E262="correction",IF($F262="","reserve",$F262)="rejected"),N($G262),0))))</f>
        <v/>
      </c>
      <c r="O262" s="30" t="str">
        <f aca="false">IF($C262="","",IF($E262="collected",N($G262),IF(AND(OR($E262="returned_to_brand",$E262="given_to_roster_office",$E262="released_to_office",$E262="disposed"),IF($F262="","reserve",$F262)="leftover"),-N($G262),IF(AND($E262="correction",IF($F262="","reserve",$F262)="leftover"),N($G262),0))))</f>
        <v/>
      </c>
      <c r="P262" s="30" t="str">
        <f aca="false">IF(OR($E262&lt;&gt;"received",$I262="",$L262=""),"",IF($I262&gt;=$L262+config!$B$19,"Y","N"))</f>
        <v/>
      </c>
      <c r="Q262" s="30" t="str">
        <f aca="false">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30" t="str">
        <f aca="false">IF($C262="","",$C262&amp;"|"&amp;$D262&amp;"|"&amp;$E262)</f>
        <v/>
      </c>
    </row>
    <row r="263" customFormat="false" ht="15" hidden="false" customHeight="false" outlineLevel="0" collapsed="false">
      <c r="A263" s="11"/>
      <c r="B263" s="38"/>
      <c r="E263" s="10"/>
      <c r="I263" s="11"/>
      <c r="J263" s="10"/>
      <c r="L263" s="31" t="str">
        <f aca="false">IF($C263="","",IFERROR(IF(INDEX(campaigns!$BG$2:$BG$51,MATCH($C263,campaigns!$A$2:$A$51,0))="","",INDEX(campaigns!$BG$2:$BG$51,MATCH($C263,campaigns!$A$2:$A$51,0))),""))</f>
        <v/>
      </c>
      <c r="M263" s="30" t="str">
        <f aca="false">IF($C263="","",IF(OR($E263="received"),N($G263),IF(OR($E263="rejected",$E263="delivered",$E263="topped_up"),-N($G263),IF(AND(OR($E263="returned_to_brand",$E263="given_to_roster_office",$E263="released_to_office",$E263="disposed"),IF($F263="","reserve",$F263)="reserve"),-N($G263),IF(AND($E263="correction",IF($F263="","reserve",$F263)="reserve"),N($G263),0)))))</f>
        <v/>
      </c>
      <c r="N263" s="30" t="str">
        <f aca="false">IF($C263="","",IF($E263="rejected",N($G263),IF(AND(OR($E263="returned_to_brand",$E263="given_to_roster_office",$E263="released_to_office",$E263="disposed"),IF($F263="","reserve",$F263)="rejected"),-N($G263),IF(AND($E263="correction",IF($F263="","reserve",$F263)="rejected"),N($G263),0))))</f>
        <v/>
      </c>
      <c r="O263" s="30" t="str">
        <f aca="false">IF($C263="","",IF($E263="collected",N($G263),IF(AND(OR($E263="returned_to_brand",$E263="given_to_roster_office",$E263="released_to_office",$E263="disposed"),IF($F263="","reserve",$F263)="leftover"),-N($G263),IF(AND($E263="correction",IF($F263="","reserve",$F263)="leftover"),N($G263),0))))</f>
        <v/>
      </c>
      <c r="P263" s="30" t="str">
        <f aca="false">IF(OR($E263&lt;&gt;"received",$I263="",$L263=""),"",IF($I263&gt;=$L263+config!$B$19,"Y","N"))</f>
        <v/>
      </c>
      <c r="Q263" s="30" t="str">
        <f aca="false">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30" t="str">
        <f aca="false">IF($C263="","",$C263&amp;"|"&amp;$D263&amp;"|"&amp;$E263)</f>
        <v/>
      </c>
    </row>
    <row r="264" customFormat="false" ht="15" hidden="false" customHeight="false" outlineLevel="0" collapsed="false">
      <c r="A264" s="11"/>
      <c r="B264" s="38"/>
      <c r="E264" s="10"/>
      <c r="I264" s="11"/>
      <c r="J264" s="10"/>
      <c r="L264" s="31" t="str">
        <f aca="false">IF($C264="","",IFERROR(IF(INDEX(campaigns!$BG$2:$BG$51,MATCH($C264,campaigns!$A$2:$A$51,0))="","",INDEX(campaigns!$BG$2:$BG$51,MATCH($C264,campaigns!$A$2:$A$51,0))),""))</f>
        <v/>
      </c>
      <c r="M264" s="30" t="str">
        <f aca="false">IF($C264="","",IF(OR($E264="received"),N($G264),IF(OR($E264="rejected",$E264="delivered",$E264="topped_up"),-N($G264),IF(AND(OR($E264="returned_to_brand",$E264="given_to_roster_office",$E264="released_to_office",$E264="disposed"),IF($F264="","reserve",$F264)="reserve"),-N($G264),IF(AND($E264="correction",IF($F264="","reserve",$F264)="reserve"),N($G264),0)))))</f>
        <v/>
      </c>
      <c r="N264" s="30" t="str">
        <f aca="false">IF($C264="","",IF($E264="rejected",N($G264),IF(AND(OR($E264="returned_to_brand",$E264="given_to_roster_office",$E264="released_to_office",$E264="disposed"),IF($F264="","reserve",$F264)="rejected"),-N($G264),IF(AND($E264="correction",IF($F264="","reserve",$F264)="rejected"),N($G264),0))))</f>
        <v/>
      </c>
      <c r="O264" s="30" t="str">
        <f aca="false">IF($C264="","",IF($E264="collected",N($G264),IF(AND(OR($E264="returned_to_brand",$E264="given_to_roster_office",$E264="released_to_office",$E264="disposed"),IF($F264="","reserve",$F264)="leftover"),-N($G264),IF(AND($E264="correction",IF($F264="","reserve",$F264)="leftover"),N($G264),0))))</f>
        <v/>
      </c>
      <c r="P264" s="30" t="str">
        <f aca="false">IF(OR($E264&lt;&gt;"received",$I264="",$L264=""),"",IF($I264&gt;=$L264+config!$B$19,"Y","N"))</f>
        <v/>
      </c>
      <c r="Q264" s="30" t="str">
        <f aca="false">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30" t="str">
        <f aca="false">IF($C264="","",$C264&amp;"|"&amp;$D264&amp;"|"&amp;$E264)</f>
        <v/>
      </c>
    </row>
    <row r="265" customFormat="false" ht="15" hidden="false" customHeight="false" outlineLevel="0" collapsed="false">
      <c r="A265" s="11"/>
      <c r="B265" s="38"/>
      <c r="E265" s="10"/>
      <c r="I265" s="11"/>
      <c r="J265" s="10"/>
      <c r="L265" s="31" t="str">
        <f aca="false">IF($C265="","",IFERROR(IF(INDEX(campaigns!$BG$2:$BG$51,MATCH($C265,campaigns!$A$2:$A$51,0))="","",INDEX(campaigns!$BG$2:$BG$51,MATCH($C265,campaigns!$A$2:$A$51,0))),""))</f>
        <v/>
      </c>
      <c r="M265" s="30" t="str">
        <f aca="false">IF($C265="","",IF(OR($E265="received"),N($G265),IF(OR($E265="rejected",$E265="delivered",$E265="topped_up"),-N($G265),IF(AND(OR($E265="returned_to_brand",$E265="given_to_roster_office",$E265="released_to_office",$E265="disposed"),IF($F265="","reserve",$F265)="reserve"),-N($G265),IF(AND($E265="correction",IF($F265="","reserve",$F265)="reserve"),N($G265),0)))))</f>
        <v/>
      </c>
      <c r="N265" s="30" t="str">
        <f aca="false">IF($C265="","",IF($E265="rejected",N($G265),IF(AND(OR($E265="returned_to_brand",$E265="given_to_roster_office",$E265="released_to_office",$E265="disposed"),IF($F265="","reserve",$F265)="rejected"),-N($G265),IF(AND($E265="correction",IF($F265="","reserve",$F265)="rejected"),N($G265),0))))</f>
        <v/>
      </c>
      <c r="O265" s="30" t="str">
        <f aca="false">IF($C265="","",IF($E265="collected",N($G265),IF(AND(OR($E265="returned_to_brand",$E265="given_to_roster_office",$E265="released_to_office",$E265="disposed"),IF($F265="","reserve",$F265)="leftover"),-N($G265),IF(AND($E265="correction",IF($F265="","reserve",$F265)="leftover"),N($G265),0))))</f>
        <v/>
      </c>
      <c r="P265" s="30" t="str">
        <f aca="false">IF(OR($E265&lt;&gt;"received",$I265="",$L265=""),"",IF($I265&gt;=$L265+config!$B$19,"Y","N"))</f>
        <v/>
      </c>
      <c r="Q265" s="30" t="str">
        <f aca="false">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30" t="str">
        <f aca="false">IF($C265="","",$C265&amp;"|"&amp;$D265&amp;"|"&amp;$E265)</f>
        <v/>
      </c>
    </row>
    <row r="266" customFormat="false" ht="15" hidden="false" customHeight="false" outlineLevel="0" collapsed="false">
      <c r="A266" s="11"/>
      <c r="B266" s="38"/>
      <c r="E266" s="10"/>
      <c r="I266" s="11"/>
      <c r="J266" s="10"/>
      <c r="L266" s="31" t="str">
        <f aca="false">IF($C266="","",IFERROR(IF(INDEX(campaigns!$BG$2:$BG$51,MATCH($C266,campaigns!$A$2:$A$51,0))="","",INDEX(campaigns!$BG$2:$BG$51,MATCH($C266,campaigns!$A$2:$A$51,0))),""))</f>
        <v/>
      </c>
      <c r="M266" s="30" t="str">
        <f aca="false">IF($C266="","",IF(OR($E266="received"),N($G266),IF(OR($E266="rejected",$E266="delivered",$E266="topped_up"),-N($G266),IF(AND(OR($E266="returned_to_brand",$E266="given_to_roster_office",$E266="released_to_office",$E266="disposed"),IF($F266="","reserve",$F266)="reserve"),-N($G266),IF(AND($E266="correction",IF($F266="","reserve",$F266)="reserve"),N($G266),0)))))</f>
        <v/>
      </c>
      <c r="N266" s="30" t="str">
        <f aca="false">IF($C266="","",IF($E266="rejected",N($G266),IF(AND(OR($E266="returned_to_brand",$E266="given_to_roster_office",$E266="released_to_office",$E266="disposed"),IF($F266="","reserve",$F266)="rejected"),-N($G266),IF(AND($E266="correction",IF($F266="","reserve",$F266)="rejected"),N($G266),0))))</f>
        <v/>
      </c>
      <c r="O266" s="30" t="str">
        <f aca="false">IF($C266="","",IF($E266="collected",N($G266),IF(AND(OR($E266="returned_to_brand",$E266="given_to_roster_office",$E266="released_to_office",$E266="disposed"),IF($F266="","reserve",$F266)="leftover"),-N($G266),IF(AND($E266="correction",IF($F266="","reserve",$F266)="leftover"),N($G266),0))))</f>
        <v/>
      </c>
      <c r="P266" s="30" t="str">
        <f aca="false">IF(OR($E266&lt;&gt;"received",$I266="",$L266=""),"",IF($I266&gt;=$L266+config!$B$19,"Y","N"))</f>
        <v/>
      </c>
      <c r="Q266" s="30" t="str">
        <f aca="false">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30" t="str">
        <f aca="false">IF($C266="","",$C266&amp;"|"&amp;$D266&amp;"|"&amp;$E266)</f>
        <v/>
      </c>
    </row>
    <row r="267" customFormat="false" ht="15" hidden="false" customHeight="false" outlineLevel="0" collapsed="false">
      <c r="A267" s="11"/>
      <c r="B267" s="38"/>
      <c r="E267" s="10"/>
      <c r="I267" s="11"/>
      <c r="J267" s="10"/>
      <c r="L267" s="31" t="str">
        <f aca="false">IF($C267="","",IFERROR(IF(INDEX(campaigns!$BG$2:$BG$51,MATCH($C267,campaigns!$A$2:$A$51,0))="","",INDEX(campaigns!$BG$2:$BG$51,MATCH($C267,campaigns!$A$2:$A$51,0))),""))</f>
        <v/>
      </c>
      <c r="M267" s="30" t="str">
        <f aca="false">IF($C267="","",IF(OR($E267="received"),N($G267),IF(OR($E267="rejected",$E267="delivered",$E267="topped_up"),-N($G267),IF(AND(OR($E267="returned_to_brand",$E267="given_to_roster_office",$E267="released_to_office",$E267="disposed"),IF($F267="","reserve",$F267)="reserve"),-N($G267),IF(AND($E267="correction",IF($F267="","reserve",$F267)="reserve"),N($G267),0)))))</f>
        <v/>
      </c>
      <c r="N267" s="30" t="str">
        <f aca="false">IF($C267="","",IF($E267="rejected",N($G267),IF(AND(OR($E267="returned_to_brand",$E267="given_to_roster_office",$E267="released_to_office",$E267="disposed"),IF($F267="","reserve",$F267)="rejected"),-N($G267),IF(AND($E267="correction",IF($F267="","reserve",$F267)="rejected"),N($G267),0))))</f>
        <v/>
      </c>
      <c r="O267" s="30" t="str">
        <f aca="false">IF($C267="","",IF($E267="collected",N($G267),IF(AND(OR($E267="returned_to_brand",$E267="given_to_roster_office",$E267="released_to_office",$E267="disposed"),IF($F267="","reserve",$F267)="leftover"),-N($G267),IF(AND($E267="correction",IF($F267="","reserve",$F267)="leftover"),N($G267),0))))</f>
        <v/>
      </c>
      <c r="P267" s="30" t="str">
        <f aca="false">IF(OR($E267&lt;&gt;"received",$I267="",$L267=""),"",IF($I267&gt;=$L267+config!$B$19,"Y","N"))</f>
        <v/>
      </c>
      <c r="Q267" s="30" t="str">
        <f aca="false">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30" t="str">
        <f aca="false">IF($C267="","",$C267&amp;"|"&amp;$D267&amp;"|"&amp;$E267)</f>
        <v/>
      </c>
    </row>
    <row r="268" customFormat="false" ht="15" hidden="false" customHeight="false" outlineLevel="0" collapsed="false">
      <c r="A268" s="11"/>
      <c r="B268" s="38"/>
      <c r="E268" s="10"/>
      <c r="I268" s="11"/>
      <c r="J268" s="10"/>
      <c r="L268" s="31" t="str">
        <f aca="false">IF($C268="","",IFERROR(IF(INDEX(campaigns!$BG$2:$BG$51,MATCH($C268,campaigns!$A$2:$A$51,0))="","",INDEX(campaigns!$BG$2:$BG$51,MATCH($C268,campaigns!$A$2:$A$51,0))),""))</f>
        <v/>
      </c>
      <c r="M268" s="30" t="str">
        <f aca="false">IF($C268="","",IF(OR($E268="received"),N($G268),IF(OR($E268="rejected",$E268="delivered",$E268="topped_up"),-N($G268),IF(AND(OR($E268="returned_to_brand",$E268="given_to_roster_office",$E268="released_to_office",$E268="disposed"),IF($F268="","reserve",$F268)="reserve"),-N($G268),IF(AND($E268="correction",IF($F268="","reserve",$F268)="reserve"),N($G268),0)))))</f>
        <v/>
      </c>
      <c r="N268" s="30" t="str">
        <f aca="false">IF($C268="","",IF($E268="rejected",N($G268),IF(AND(OR($E268="returned_to_brand",$E268="given_to_roster_office",$E268="released_to_office",$E268="disposed"),IF($F268="","reserve",$F268)="rejected"),-N($G268),IF(AND($E268="correction",IF($F268="","reserve",$F268)="rejected"),N($G268),0))))</f>
        <v/>
      </c>
      <c r="O268" s="30" t="str">
        <f aca="false">IF($C268="","",IF($E268="collected",N($G268),IF(AND(OR($E268="returned_to_brand",$E268="given_to_roster_office",$E268="released_to_office",$E268="disposed"),IF($F268="","reserve",$F268)="leftover"),-N($G268),IF(AND($E268="correction",IF($F268="","reserve",$F268)="leftover"),N($G268),0))))</f>
        <v/>
      </c>
      <c r="P268" s="30" t="str">
        <f aca="false">IF(OR($E268&lt;&gt;"received",$I268="",$L268=""),"",IF($I268&gt;=$L268+config!$B$19,"Y","N"))</f>
        <v/>
      </c>
      <c r="Q268" s="30" t="str">
        <f aca="false">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30" t="str">
        <f aca="false">IF($C268="","",$C268&amp;"|"&amp;$D268&amp;"|"&amp;$E268)</f>
        <v/>
      </c>
    </row>
    <row r="269" customFormat="false" ht="15" hidden="false" customHeight="false" outlineLevel="0" collapsed="false">
      <c r="A269" s="11"/>
      <c r="B269" s="38"/>
      <c r="E269" s="10"/>
      <c r="I269" s="11"/>
      <c r="J269" s="10"/>
      <c r="L269" s="31" t="str">
        <f aca="false">IF($C269="","",IFERROR(IF(INDEX(campaigns!$BG$2:$BG$51,MATCH($C269,campaigns!$A$2:$A$51,0))="","",INDEX(campaigns!$BG$2:$BG$51,MATCH($C269,campaigns!$A$2:$A$51,0))),""))</f>
        <v/>
      </c>
      <c r="M269" s="30" t="str">
        <f aca="false">IF($C269="","",IF(OR($E269="received"),N($G269),IF(OR($E269="rejected",$E269="delivered",$E269="topped_up"),-N($G269),IF(AND(OR($E269="returned_to_brand",$E269="given_to_roster_office",$E269="released_to_office",$E269="disposed"),IF($F269="","reserve",$F269)="reserve"),-N($G269),IF(AND($E269="correction",IF($F269="","reserve",$F269)="reserve"),N($G269),0)))))</f>
        <v/>
      </c>
      <c r="N269" s="30" t="str">
        <f aca="false">IF($C269="","",IF($E269="rejected",N($G269),IF(AND(OR($E269="returned_to_brand",$E269="given_to_roster_office",$E269="released_to_office",$E269="disposed"),IF($F269="","reserve",$F269)="rejected"),-N($G269),IF(AND($E269="correction",IF($F269="","reserve",$F269)="rejected"),N($G269),0))))</f>
        <v/>
      </c>
      <c r="O269" s="30" t="str">
        <f aca="false">IF($C269="","",IF($E269="collected",N($G269),IF(AND(OR($E269="returned_to_brand",$E269="given_to_roster_office",$E269="released_to_office",$E269="disposed"),IF($F269="","reserve",$F269)="leftover"),-N($G269),IF(AND($E269="correction",IF($F269="","reserve",$F269)="leftover"),N($G269),0))))</f>
        <v/>
      </c>
      <c r="P269" s="30" t="str">
        <f aca="false">IF(OR($E269&lt;&gt;"received",$I269="",$L269=""),"",IF($I269&gt;=$L269+config!$B$19,"Y","N"))</f>
        <v/>
      </c>
      <c r="Q269" s="30" t="str">
        <f aca="false">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30" t="str">
        <f aca="false">IF($C269="","",$C269&amp;"|"&amp;$D269&amp;"|"&amp;$E269)</f>
        <v/>
      </c>
    </row>
    <row r="270" customFormat="false" ht="15" hidden="false" customHeight="false" outlineLevel="0" collapsed="false">
      <c r="A270" s="11"/>
      <c r="B270" s="38"/>
      <c r="E270" s="10"/>
      <c r="I270" s="11"/>
      <c r="J270" s="10"/>
      <c r="L270" s="31" t="str">
        <f aca="false">IF($C270="","",IFERROR(IF(INDEX(campaigns!$BG$2:$BG$51,MATCH($C270,campaigns!$A$2:$A$51,0))="","",INDEX(campaigns!$BG$2:$BG$51,MATCH($C270,campaigns!$A$2:$A$51,0))),""))</f>
        <v/>
      </c>
      <c r="M270" s="30" t="str">
        <f aca="false">IF($C270="","",IF(OR($E270="received"),N($G270),IF(OR($E270="rejected",$E270="delivered",$E270="topped_up"),-N($G270),IF(AND(OR($E270="returned_to_brand",$E270="given_to_roster_office",$E270="released_to_office",$E270="disposed"),IF($F270="","reserve",$F270)="reserve"),-N($G270),IF(AND($E270="correction",IF($F270="","reserve",$F270)="reserve"),N($G270),0)))))</f>
        <v/>
      </c>
      <c r="N270" s="30" t="str">
        <f aca="false">IF($C270="","",IF($E270="rejected",N($G270),IF(AND(OR($E270="returned_to_brand",$E270="given_to_roster_office",$E270="released_to_office",$E270="disposed"),IF($F270="","reserve",$F270)="rejected"),-N($G270),IF(AND($E270="correction",IF($F270="","reserve",$F270)="rejected"),N($G270),0))))</f>
        <v/>
      </c>
      <c r="O270" s="30" t="str">
        <f aca="false">IF($C270="","",IF($E270="collected",N($G270),IF(AND(OR($E270="returned_to_brand",$E270="given_to_roster_office",$E270="released_to_office",$E270="disposed"),IF($F270="","reserve",$F270)="leftover"),-N($G270),IF(AND($E270="correction",IF($F270="","reserve",$F270)="leftover"),N($G270),0))))</f>
        <v/>
      </c>
      <c r="P270" s="30" t="str">
        <f aca="false">IF(OR($E270&lt;&gt;"received",$I270="",$L270=""),"",IF($I270&gt;=$L270+config!$B$19,"Y","N"))</f>
        <v/>
      </c>
      <c r="Q270" s="30" t="str">
        <f aca="false">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30" t="str">
        <f aca="false">IF($C270="","",$C270&amp;"|"&amp;$D270&amp;"|"&amp;$E270)</f>
        <v/>
      </c>
    </row>
    <row r="271" customFormat="false" ht="15" hidden="false" customHeight="false" outlineLevel="0" collapsed="false">
      <c r="A271" s="11"/>
      <c r="B271" s="38"/>
      <c r="E271" s="10"/>
      <c r="I271" s="11"/>
      <c r="J271" s="10"/>
      <c r="L271" s="31" t="str">
        <f aca="false">IF($C271="","",IFERROR(IF(INDEX(campaigns!$BG$2:$BG$51,MATCH($C271,campaigns!$A$2:$A$51,0))="","",INDEX(campaigns!$BG$2:$BG$51,MATCH($C271,campaigns!$A$2:$A$51,0))),""))</f>
        <v/>
      </c>
      <c r="M271" s="30" t="str">
        <f aca="false">IF($C271="","",IF(OR($E271="received"),N($G271),IF(OR($E271="rejected",$E271="delivered",$E271="topped_up"),-N($G271),IF(AND(OR($E271="returned_to_brand",$E271="given_to_roster_office",$E271="released_to_office",$E271="disposed"),IF($F271="","reserve",$F271)="reserve"),-N($G271),IF(AND($E271="correction",IF($F271="","reserve",$F271)="reserve"),N($G271),0)))))</f>
        <v/>
      </c>
      <c r="N271" s="30" t="str">
        <f aca="false">IF($C271="","",IF($E271="rejected",N($G271),IF(AND(OR($E271="returned_to_brand",$E271="given_to_roster_office",$E271="released_to_office",$E271="disposed"),IF($F271="","reserve",$F271)="rejected"),-N($G271),IF(AND($E271="correction",IF($F271="","reserve",$F271)="rejected"),N($G271),0))))</f>
        <v/>
      </c>
      <c r="O271" s="30" t="str">
        <f aca="false">IF($C271="","",IF($E271="collected",N($G271),IF(AND(OR($E271="returned_to_brand",$E271="given_to_roster_office",$E271="released_to_office",$E271="disposed"),IF($F271="","reserve",$F271)="leftover"),-N($G271),IF(AND($E271="correction",IF($F271="","reserve",$F271)="leftover"),N($G271),0))))</f>
        <v/>
      </c>
      <c r="P271" s="30" t="str">
        <f aca="false">IF(OR($E271&lt;&gt;"received",$I271="",$L271=""),"",IF($I271&gt;=$L271+config!$B$19,"Y","N"))</f>
        <v/>
      </c>
      <c r="Q271" s="30" t="str">
        <f aca="false">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30" t="str">
        <f aca="false">IF($C271="","",$C271&amp;"|"&amp;$D271&amp;"|"&amp;$E271)</f>
        <v/>
      </c>
    </row>
    <row r="272" customFormat="false" ht="15" hidden="false" customHeight="false" outlineLevel="0" collapsed="false">
      <c r="A272" s="11"/>
      <c r="B272" s="38"/>
      <c r="E272" s="10"/>
      <c r="I272" s="11"/>
      <c r="J272" s="10"/>
      <c r="L272" s="31" t="str">
        <f aca="false">IF($C272="","",IFERROR(IF(INDEX(campaigns!$BG$2:$BG$51,MATCH($C272,campaigns!$A$2:$A$51,0))="","",INDEX(campaigns!$BG$2:$BG$51,MATCH($C272,campaigns!$A$2:$A$51,0))),""))</f>
        <v/>
      </c>
      <c r="M272" s="30" t="str">
        <f aca="false">IF($C272="","",IF(OR($E272="received"),N($G272),IF(OR($E272="rejected",$E272="delivered",$E272="topped_up"),-N($G272),IF(AND(OR($E272="returned_to_brand",$E272="given_to_roster_office",$E272="released_to_office",$E272="disposed"),IF($F272="","reserve",$F272)="reserve"),-N($G272),IF(AND($E272="correction",IF($F272="","reserve",$F272)="reserve"),N($G272),0)))))</f>
        <v/>
      </c>
      <c r="N272" s="30" t="str">
        <f aca="false">IF($C272="","",IF($E272="rejected",N($G272),IF(AND(OR($E272="returned_to_brand",$E272="given_to_roster_office",$E272="released_to_office",$E272="disposed"),IF($F272="","reserve",$F272)="rejected"),-N($G272),IF(AND($E272="correction",IF($F272="","reserve",$F272)="rejected"),N($G272),0))))</f>
        <v/>
      </c>
      <c r="O272" s="30" t="str">
        <f aca="false">IF($C272="","",IF($E272="collected",N($G272),IF(AND(OR($E272="returned_to_brand",$E272="given_to_roster_office",$E272="released_to_office",$E272="disposed"),IF($F272="","reserve",$F272)="leftover"),-N($G272),IF(AND($E272="correction",IF($F272="","reserve",$F272)="leftover"),N($G272),0))))</f>
        <v/>
      </c>
      <c r="P272" s="30" t="str">
        <f aca="false">IF(OR($E272&lt;&gt;"received",$I272="",$L272=""),"",IF($I272&gt;=$L272+config!$B$19,"Y","N"))</f>
        <v/>
      </c>
      <c r="Q272" s="30" t="str">
        <f aca="false">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30" t="str">
        <f aca="false">IF($C272="","",$C272&amp;"|"&amp;$D272&amp;"|"&amp;$E272)</f>
        <v/>
      </c>
    </row>
    <row r="273" customFormat="false" ht="15" hidden="false" customHeight="false" outlineLevel="0" collapsed="false">
      <c r="A273" s="11"/>
      <c r="B273" s="38"/>
      <c r="E273" s="10"/>
      <c r="I273" s="11"/>
      <c r="J273" s="10"/>
      <c r="L273" s="31" t="str">
        <f aca="false">IF($C273="","",IFERROR(IF(INDEX(campaigns!$BG$2:$BG$51,MATCH($C273,campaigns!$A$2:$A$51,0))="","",INDEX(campaigns!$BG$2:$BG$51,MATCH($C273,campaigns!$A$2:$A$51,0))),""))</f>
        <v/>
      </c>
      <c r="M273" s="30" t="str">
        <f aca="false">IF($C273="","",IF(OR($E273="received"),N($G273),IF(OR($E273="rejected",$E273="delivered",$E273="topped_up"),-N($G273),IF(AND(OR($E273="returned_to_brand",$E273="given_to_roster_office",$E273="released_to_office",$E273="disposed"),IF($F273="","reserve",$F273)="reserve"),-N($G273),IF(AND($E273="correction",IF($F273="","reserve",$F273)="reserve"),N($G273),0)))))</f>
        <v/>
      </c>
      <c r="N273" s="30" t="str">
        <f aca="false">IF($C273="","",IF($E273="rejected",N($G273),IF(AND(OR($E273="returned_to_brand",$E273="given_to_roster_office",$E273="released_to_office",$E273="disposed"),IF($F273="","reserve",$F273)="rejected"),-N($G273),IF(AND($E273="correction",IF($F273="","reserve",$F273)="rejected"),N($G273),0))))</f>
        <v/>
      </c>
      <c r="O273" s="30" t="str">
        <f aca="false">IF($C273="","",IF($E273="collected",N($G273),IF(AND(OR($E273="returned_to_brand",$E273="given_to_roster_office",$E273="released_to_office",$E273="disposed"),IF($F273="","reserve",$F273)="leftover"),-N($G273),IF(AND($E273="correction",IF($F273="","reserve",$F273)="leftover"),N($G273),0))))</f>
        <v/>
      </c>
      <c r="P273" s="30" t="str">
        <f aca="false">IF(OR($E273&lt;&gt;"received",$I273="",$L273=""),"",IF($I273&gt;=$L273+config!$B$19,"Y","N"))</f>
        <v/>
      </c>
      <c r="Q273" s="30" t="str">
        <f aca="false">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30" t="str">
        <f aca="false">IF($C273="","",$C273&amp;"|"&amp;$D273&amp;"|"&amp;$E273)</f>
        <v/>
      </c>
    </row>
    <row r="274" customFormat="false" ht="15" hidden="false" customHeight="false" outlineLevel="0" collapsed="false">
      <c r="A274" s="11"/>
      <c r="B274" s="38"/>
      <c r="E274" s="10"/>
      <c r="I274" s="11"/>
      <c r="J274" s="10"/>
      <c r="L274" s="31" t="str">
        <f aca="false">IF($C274="","",IFERROR(IF(INDEX(campaigns!$BG$2:$BG$51,MATCH($C274,campaigns!$A$2:$A$51,0))="","",INDEX(campaigns!$BG$2:$BG$51,MATCH($C274,campaigns!$A$2:$A$51,0))),""))</f>
        <v/>
      </c>
      <c r="M274" s="30" t="str">
        <f aca="false">IF($C274="","",IF(OR($E274="received"),N($G274),IF(OR($E274="rejected",$E274="delivered",$E274="topped_up"),-N($G274),IF(AND(OR($E274="returned_to_brand",$E274="given_to_roster_office",$E274="released_to_office",$E274="disposed"),IF($F274="","reserve",$F274)="reserve"),-N($G274),IF(AND($E274="correction",IF($F274="","reserve",$F274)="reserve"),N($G274),0)))))</f>
        <v/>
      </c>
      <c r="N274" s="30" t="str">
        <f aca="false">IF($C274="","",IF($E274="rejected",N($G274),IF(AND(OR($E274="returned_to_brand",$E274="given_to_roster_office",$E274="released_to_office",$E274="disposed"),IF($F274="","reserve",$F274)="rejected"),-N($G274),IF(AND($E274="correction",IF($F274="","reserve",$F274)="rejected"),N($G274),0))))</f>
        <v/>
      </c>
      <c r="O274" s="30" t="str">
        <f aca="false">IF($C274="","",IF($E274="collected",N($G274),IF(AND(OR($E274="returned_to_brand",$E274="given_to_roster_office",$E274="released_to_office",$E274="disposed"),IF($F274="","reserve",$F274)="leftover"),-N($G274),IF(AND($E274="correction",IF($F274="","reserve",$F274)="leftover"),N($G274),0))))</f>
        <v/>
      </c>
      <c r="P274" s="30" t="str">
        <f aca="false">IF(OR($E274&lt;&gt;"received",$I274="",$L274=""),"",IF($I274&gt;=$L274+config!$B$19,"Y","N"))</f>
        <v/>
      </c>
      <c r="Q274" s="30" t="str">
        <f aca="false">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30" t="str">
        <f aca="false">IF($C274="","",$C274&amp;"|"&amp;$D274&amp;"|"&amp;$E274)</f>
        <v/>
      </c>
    </row>
    <row r="275" customFormat="false" ht="15" hidden="false" customHeight="false" outlineLevel="0" collapsed="false">
      <c r="A275" s="11"/>
      <c r="B275" s="38"/>
      <c r="E275" s="10"/>
      <c r="I275" s="11"/>
      <c r="J275" s="10"/>
      <c r="L275" s="31" t="str">
        <f aca="false">IF($C275="","",IFERROR(IF(INDEX(campaigns!$BG$2:$BG$51,MATCH($C275,campaigns!$A$2:$A$51,0))="","",INDEX(campaigns!$BG$2:$BG$51,MATCH($C275,campaigns!$A$2:$A$51,0))),""))</f>
        <v/>
      </c>
      <c r="M275" s="30" t="str">
        <f aca="false">IF($C275="","",IF(OR($E275="received"),N($G275),IF(OR($E275="rejected",$E275="delivered",$E275="topped_up"),-N($G275),IF(AND(OR($E275="returned_to_brand",$E275="given_to_roster_office",$E275="released_to_office",$E275="disposed"),IF($F275="","reserve",$F275)="reserve"),-N($G275),IF(AND($E275="correction",IF($F275="","reserve",$F275)="reserve"),N($G275),0)))))</f>
        <v/>
      </c>
      <c r="N275" s="30" t="str">
        <f aca="false">IF($C275="","",IF($E275="rejected",N($G275),IF(AND(OR($E275="returned_to_brand",$E275="given_to_roster_office",$E275="released_to_office",$E275="disposed"),IF($F275="","reserve",$F275)="rejected"),-N($G275),IF(AND($E275="correction",IF($F275="","reserve",$F275)="rejected"),N($G275),0))))</f>
        <v/>
      </c>
      <c r="O275" s="30" t="str">
        <f aca="false">IF($C275="","",IF($E275="collected",N($G275),IF(AND(OR($E275="returned_to_brand",$E275="given_to_roster_office",$E275="released_to_office",$E275="disposed"),IF($F275="","reserve",$F275)="leftover"),-N($G275),IF(AND($E275="correction",IF($F275="","reserve",$F275)="leftover"),N($G275),0))))</f>
        <v/>
      </c>
      <c r="P275" s="30" t="str">
        <f aca="false">IF(OR($E275&lt;&gt;"received",$I275="",$L275=""),"",IF($I275&gt;=$L275+config!$B$19,"Y","N"))</f>
        <v/>
      </c>
      <c r="Q275" s="30" t="str">
        <f aca="false">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30" t="str">
        <f aca="false">IF($C275="","",$C275&amp;"|"&amp;$D275&amp;"|"&amp;$E275)</f>
        <v/>
      </c>
    </row>
    <row r="276" customFormat="false" ht="15" hidden="false" customHeight="false" outlineLevel="0" collapsed="false">
      <c r="A276" s="11"/>
      <c r="B276" s="38"/>
      <c r="E276" s="10"/>
      <c r="I276" s="11"/>
      <c r="J276" s="10"/>
      <c r="L276" s="31" t="str">
        <f aca="false">IF($C276="","",IFERROR(IF(INDEX(campaigns!$BG$2:$BG$51,MATCH($C276,campaigns!$A$2:$A$51,0))="","",INDEX(campaigns!$BG$2:$BG$51,MATCH($C276,campaigns!$A$2:$A$51,0))),""))</f>
        <v/>
      </c>
      <c r="M276" s="30" t="str">
        <f aca="false">IF($C276="","",IF(OR($E276="received"),N($G276),IF(OR($E276="rejected",$E276="delivered",$E276="topped_up"),-N($G276),IF(AND(OR($E276="returned_to_brand",$E276="given_to_roster_office",$E276="released_to_office",$E276="disposed"),IF($F276="","reserve",$F276)="reserve"),-N($G276),IF(AND($E276="correction",IF($F276="","reserve",$F276)="reserve"),N($G276),0)))))</f>
        <v/>
      </c>
      <c r="N276" s="30" t="str">
        <f aca="false">IF($C276="","",IF($E276="rejected",N($G276),IF(AND(OR($E276="returned_to_brand",$E276="given_to_roster_office",$E276="released_to_office",$E276="disposed"),IF($F276="","reserve",$F276)="rejected"),-N($G276),IF(AND($E276="correction",IF($F276="","reserve",$F276)="rejected"),N($G276),0))))</f>
        <v/>
      </c>
      <c r="O276" s="30" t="str">
        <f aca="false">IF($C276="","",IF($E276="collected",N($G276),IF(AND(OR($E276="returned_to_brand",$E276="given_to_roster_office",$E276="released_to_office",$E276="disposed"),IF($F276="","reserve",$F276)="leftover"),-N($G276),IF(AND($E276="correction",IF($F276="","reserve",$F276)="leftover"),N($G276),0))))</f>
        <v/>
      </c>
      <c r="P276" s="30" t="str">
        <f aca="false">IF(OR($E276&lt;&gt;"received",$I276="",$L276=""),"",IF($I276&gt;=$L276+config!$B$19,"Y","N"))</f>
        <v/>
      </c>
      <c r="Q276" s="30" t="str">
        <f aca="false">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30" t="str">
        <f aca="false">IF($C276="","",$C276&amp;"|"&amp;$D276&amp;"|"&amp;$E276)</f>
        <v/>
      </c>
    </row>
    <row r="277" customFormat="false" ht="15" hidden="false" customHeight="false" outlineLevel="0" collapsed="false">
      <c r="A277" s="11"/>
      <c r="B277" s="38"/>
      <c r="E277" s="10"/>
      <c r="I277" s="11"/>
      <c r="J277" s="10"/>
      <c r="L277" s="31" t="str">
        <f aca="false">IF($C277="","",IFERROR(IF(INDEX(campaigns!$BG$2:$BG$51,MATCH($C277,campaigns!$A$2:$A$51,0))="","",INDEX(campaigns!$BG$2:$BG$51,MATCH($C277,campaigns!$A$2:$A$51,0))),""))</f>
        <v/>
      </c>
      <c r="M277" s="30" t="str">
        <f aca="false">IF($C277="","",IF(OR($E277="received"),N($G277),IF(OR($E277="rejected",$E277="delivered",$E277="topped_up"),-N($G277),IF(AND(OR($E277="returned_to_brand",$E277="given_to_roster_office",$E277="released_to_office",$E277="disposed"),IF($F277="","reserve",$F277)="reserve"),-N($G277),IF(AND($E277="correction",IF($F277="","reserve",$F277)="reserve"),N($G277),0)))))</f>
        <v/>
      </c>
      <c r="N277" s="30" t="str">
        <f aca="false">IF($C277="","",IF($E277="rejected",N($G277),IF(AND(OR($E277="returned_to_brand",$E277="given_to_roster_office",$E277="released_to_office",$E277="disposed"),IF($F277="","reserve",$F277)="rejected"),-N($G277),IF(AND($E277="correction",IF($F277="","reserve",$F277)="rejected"),N($G277),0))))</f>
        <v/>
      </c>
      <c r="O277" s="30" t="str">
        <f aca="false">IF($C277="","",IF($E277="collected",N($G277),IF(AND(OR($E277="returned_to_brand",$E277="given_to_roster_office",$E277="released_to_office",$E277="disposed"),IF($F277="","reserve",$F277)="leftover"),-N($G277),IF(AND($E277="correction",IF($F277="","reserve",$F277)="leftover"),N($G277),0))))</f>
        <v/>
      </c>
      <c r="P277" s="30" t="str">
        <f aca="false">IF(OR($E277&lt;&gt;"received",$I277="",$L277=""),"",IF($I277&gt;=$L277+config!$B$19,"Y","N"))</f>
        <v/>
      </c>
      <c r="Q277" s="30" t="str">
        <f aca="false">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30" t="str">
        <f aca="false">IF($C277="","",$C277&amp;"|"&amp;$D277&amp;"|"&amp;$E277)</f>
        <v/>
      </c>
    </row>
    <row r="278" customFormat="false" ht="15" hidden="false" customHeight="false" outlineLevel="0" collapsed="false">
      <c r="A278" s="11"/>
      <c r="B278" s="38"/>
      <c r="E278" s="10"/>
      <c r="I278" s="11"/>
      <c r="J278" s="10"/>
      <c r="L278" s="31" t="str">
        <f aca="false">IF($C278="","",IFERROR(IF(INDEX(campaigns!$BG$2:$BG$51,MATCH($C278,campaigns!$A$2:$A$51,0))="","",INDEX(campaigns!$BG$2:$BG$51,MATCH($C278,campaigns!$A$2:$A$51,0))),""))</f>
        <v/>
      </c>
      <c r="M278" s="30" t="str">
        <f aca="false">IF($C278="","",IF(OR($E278="received"),N($G278),IF(OR($E278="rejected",$E278="delivered",$E278="topped_up"),-N($G278),IF(AND(OR($E278="returned_to_brand",$E278="given_to_roster_office",$E278="released_to_office",$E278="disposed"),IF($F278="","reserve",$F278)="reserve"),-N($G278),IF(AND($E278="correction",IF($F278="","reserve",$F278)="reserve"),N($G278),0)))))</f>
        <v/>
      </c>
      <c r="N278" s="30" t="str">
        <f aca="false">IF($C278="","",IF($E278="rejected",N($G278),IF(AND(OR($E278="returned_to_brand",$E278="given_to_roster_office",$E278="released_to_office",$E278="disposed"),IF($F278="","reserve",$F278)="rejected"),-N($G278),IF(AND($E278="correction",IF($F278="","reserve",$F278)="rejected"),N($G278),0))))</f>
        <v/>
      </c>
      <c r="O278" s="30" t="str">
        <f aca="false">IF($C278="","",IF($E278="collected",N($G278),IF(AND(OR($E278="returned_to_brand",$E278="given_to_roster_office",$E278="released_to_office",$E278="disposed"),IF($F278="","reserve",$F278)="leftover"),-N($G278),IF(AND($E278="correction",IF($F278="","reserve",$F278)="leftover"),N($G278),0))))</f>
        <v/>
      </c>
      <c r="P278" s="30" t="str">
        <f aca="false">IF(OR($E278&lt;&gt;"received",$I278="",$L278=""),"",IF($I278&gt;=$L278+config!$B$19,"Y","N"))</f>
        <v/>
      </c>
      <c r="Q278" s="30" t="str">
        <f aca="false">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30" t="str">
        <f aca="false">IF($C278="","",$C278&amp;"|"&amp;$D278&amp;"|"&amp;$E278)</f>
        <v/>
      </c>
    </row>
    <row r="279" customFormat="false" ht="15" hidden="false" customHeight="false" outlineLevel="0" collapsed="false">
      <c r="A279" s="11"/>
      <c r="B279" s="38"/>
      <c r="E279" s="10"/>
      <c r="I279" s="11"/>
      <c r="J279" s="10"/>
      <c r="L279" s="31" t="str">
        <f aca="false">IF($C279="","",IFERROR(IF(INDEX(campaigns!$BG$2:$BG$51,MATCH($C279,campaigns!$A$2:$A$51,0))="","",INDEX(campaigns!$BG$2:$BG$51,MATCH($C279,campaigns!$A$2:$A$51,0))),""))</f>
        <v/>
      </c>
      <c r="M279" s="30" t="str">
        <f aca="false">IF($C279="","",IF(OR($E279="received"),N($G279),IF(OR($E279="rejected",$E279="delivered",$E279="topped_up"),-N($G279),IF(AND(OR($E279="returned_to_brand",$E279="given_to_roster_office",$E279="released_to_office",$E279="disposed"),IF($F279="","reserve",$F279)="reserve"),-N($G279),IF(AND($E279="correction",IF($F279="","reserve",$F279)="reserve"),N($G279),0)))))</f>
        <v/>
      </c>
      <c r="N279" s="30" t="str">
        <f aca="false">IF($C279="","",IF($E279="rejected",N($G279),IF(AND(OR($E279="returned_to_brand",$E279="given_to_roster_office",$E279="released_to_office",$E279="disposed"),IF($F279="","reserve",$F279)="rejected"),-N($G279),IF(AND($E279="correction",IF($F279="","reserve",$F279)="rejected"),N($G279),0))))</f>
        <v/>
      </c>
      <c r="O279" s="30" t="str">
        <f aca="false">IF($C279="","",IF($E279="collected",N($G279),IF(AND(OR($E279="returned_to_brand",$E279="given_to_roster_office",$E279="released_to_office",$E279="disposed"),IF($F279="","reserve",$F279)="leftover"),-N($G279),IF(AND($E279="correction",IF($F279="","reserve",$F279)="leftover"),N($G279),0))))</f>
        <v/>
      </c>
      <c r="P279" s="30" t="str">
        <f aca="false">IF(OR($E279&lt;&gt;"received",$I279="",$L279=""),"",IF($I279&gt;=$L279+config!$B$19,"Y","N"))</f>
        <v/>
      </c>
      <c r="Q279" s="30" t="str">
        <f aca="false">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30" t="str">
        <f aca="false">IF($C279="","",$C279&amp;"|"&amp;$D279&amp;"|"&amp;$E279)</f>
        <v/>
      </c>
    </row>
    <row r="280" customFormat="false" ht="15" hidden="false" customHeight="false" outlineLevel="0" collapsed="false">
      <c r="A280" s="11"/>
      <c r="B280" s="38"/>
      <c r="E280" s="10"/>
      <c r="I280" s="11"/>
      <c r="J280" s="10"/>
      <c r="L280" s="31" t="str">
        <f aca="false">IF($C280="","",IFERROR(IF(INDEX(campaigns!$BG$2:$BG$51,MATCH($C280,campaigns!$A$2:$A$51,0))="","",INDEX(campaigns!$BG$2:$BG$51,MATCH($C280,campaigns!$A$2:$A$51,0))),""))</f>
        <v/>
      </c>
      <c r="M280" s="30" t="str">
        <f aca="false">IF($C280="","",IF(OR($E280="received"),N($G280),IF(OR($E280="rejected",$E280="delivered",$E280="topped_up"),-N($G280),IF(AND(OR($E280="returned_to_brand",$E280="given_to_roster_office",$E280="released_to_office",$E280="disposed"),IF($F280="","reserve",$F280)="reserve"),-N($G280),IF(AND($E280="correction",IF($F280="","reserve",$F280)="reserve"),N($G280),0)))))</f>
        <v/>
      </c>
      <c r="N280" s="30" t="str">
        <f aca="false">IF($C280="","",IF($E280="rejected",N($G280),IF(AND(OR($E280="returned_to_brand",$E280="given_to_roster_office",$E280="released_to_office",$E280="disposed"),IF($F280="","reserve",$F280)="rejected"),-N($G280),IF(AND($E280="correction",IF($F280="","reserve",$F280)="rejected"),N($G280),0))))</f>
        <v/>
      </c>
      <c r="O280" s="30" t="str">
        <f aca="false">IF($C280="","",IF($E280="collected",N($G280),IF(AND(OR($E280="returned_to_brand",$E280="given_to_roster_office",$E280="released_to_office",$E280="disposed"),IF($F280="","reserve",$F280)="leftover"),-N($G280),IF(AND($E280="correction",IF($F280="","reserve",$F280)="leftover"),N($G280),0))))</f>
        <v/>
      </c>
      <c r="P280" s="30" t="str">
        <f aca="false">IF(OR($E280&lt;&gt;"received",$I280="",$L280=""),"",IF($I280&gt;=$L280+config!$B$19,"Y","N"))</f>
        <v/>
      </c>
      <c r="Q280" s="30" t="str">
        <f aca="false">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30" t="str">
        <f aca="false">IF($C280="","",$C280&amp;"|"&amp;$D280&amp;"|"&amp;$E280)</f>
        <v/>
      </c>
    </row>
    <row r="281" customFormat="false" ht="15" hidden="false" customHeight="false" outlineLevel="0" collapsed="false">
      <c r="A281" s="11"/>
      <c r="B281" s="38"/>
      <c r="E281" s="10"/>
      <c r="I281" s="11"/>
      <c r="J281" s="10"/>
      <c r="L281" s="31" t="str">
        <f aca="false">IF($C281="","",IFERROR(IF(INDEX(campaigns!$BG$2:$BG$51,MATCH($C281,campaigns!$A$2:$A$51,0))="","",INDEX(campaigns!$BG$2:$BG$51,MATCH($C281,campaigns!$A$2:$A$51,0))),""))</f>
        <v/>
      </c>
      <c r="M281" s="30" t="str">
        <f aca="false">IF($C281="","",IF(OR($E281="received"),N($G281),IF(OR($E281="rejected",$E281="delivered",$E281="topped_up"),-N($G281),IF(AND(OR($E281="returned_to_brand",$E281="given_to_roster_office",$E281="released_to_office",$E281="disposed"),IF($F281="","reserve",$F281)="reserve"),-N($G281),IF(AND($E281="correction",IF($F281="","reserve",$F281)="reserve"),N($G281),0)))))</f>
        <v/>
      </c>
      <c r="N281" s="30" t="str">
        <f aca="false">IF($C281="","",IF($E281="rejected",N($G281),IF(AND(OR($E281="returned_to_brand",$E281="given_to_roster_office",$E281="released_to_office",$E281="disposed"),IF($F281="","reserve",$F281)="rejected"),-N($G281),IF(AND($E281="correction",IF($F281="","reserve",$F281)="rejected"),N($G281),0))))</f>
        <v/>
      </c>
      <c r="O281" s="30" t="str">
        <f aca="false">IF($C281="","",IF($E281="collected",N($G281),IF(AND(OR($E281="returned_to_brand",$E281="given_to_roster_office",$E281="released_to_office",$E281="disposed"),IF($F281="","reserve",$F281)="leftover"),-N($G281),IF(AND($E281="correction",IF($F281="","reserve",$F281)="leftover"),N($G281),0))))</f>
        <v/>
      </c>
      <c r="P281" s="30" t="str">
        <f aca="false">IF(OR($E281&lt;&gt;"received",$I281="",$L281=""),"",IF($I281&gt;=$L281+config!$B$19,"Y","N"))</f>
        <v/>
      </c>
      <c r="Q281" s="30" t="str">
        <f aca="false">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30" t="str">
        <f aca="false">IF($C281="","",$C281&amp;"|"&amp;$D281&amp;"|"&amp;$E281)</f>
        <v/>
      </c>
    </row>
    <row r="282" customFormat="false" ht="15" hidden="false" customHeight="false" outlineLevel="0" collapsed="false">
      <c r="A282" s="11"/>
      <c r="B282" s="38"/>
      <c r="E282" s="10"/>
      <c r="I282" s="11"/>
      <c r="J282" s="10"/>
      <c r="L282" s="31" t="str">
        <f aca="false">IF($C282="","",IFERROR(IF(INDEX(campaigns!$BG$2:$BG$51,MATCH($C282,campaigns!$A$2:$A$51,0))="","",INDEX(campaigns!$BG$2:$BG$51,MATCH($C282,campaigns!$A$2:$A$51,0))),""))</f>
        <v/>
      </c>
      <c r="M282" s="30" t="str">
        <f aca="false">IF($C282="","",IF(OR($E282="received"),N($G282),IF(OR($E282="rejected",$E282="delivered",$E282="topped_up"),-N($G282),IF(AND(OR($E282="returned_to_brand",$E282="given_to_roster_office",$E282="released_to_office",$E282="disposed"),IF($F282="","reserve",$F282)="reserve"),-N($G282),IF(AND($E282="correction",IF($F282="","reserve",$F282)="reserve"),N($G282),0)))))</f>
        <v/>
      </c>
      <c r="N282" s="30" t="str">
        <f aca="false">IF($C282="","",IF($E282="rejected",N($G282),IF(AND(OR($E282="returned_to_brand",$E282="given_to_roster_office",$E282="released_to_office",$E282="disposed"),IF($F282="","reserve",$F282)="rejected"),-N($G282),IF(AND($E282="correction",IF($F282="","reserve",$F282)="rejected"),N($G282),0))))</f>
        <v/>
      </c>
      <c r="O282" s="30" t="str">
        <f aca="false">IF($C282="","",IF($E282="collected",N($G282),IF(AND(OR($E282="returned_to_brand",$E282="given_to_roster_office",$E282="released_to_office",$E282="disposed"),IF($F282="","reserve",$F282)="leftover"),-N($G282),IF(AND($E282="correction",IF($F282="","reserve",$F282)="leftover"),N($G282),0))))</f>
        <v/>
      </c>
      <c r="P282" s="30" t="str">
        <f aca="false">IF(OR($E282&lt;&gt;"received",$I282="",$L282=""),"",IF($I282&gt;=$L282+config!$B$19,"Y","N"))</f>
        <v/>
      </c>
      <c r="Q282" s="30" t="str">
        <f aca="false">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30" t="str">
        <f aca="false">IF($C282="","",$C282&amp;"|"&amp;$D282&amp;"|"&amp;$E282)</f>
        <v/>
      </c>
    </row>
    <row r="283" customFormat="false" ht="15" hidden="false" customHeight="false" outlineLevel="0" collapsed="false">
      <c r="A283" s="11"/>
      <c r="B283" s="38"/>
      <c r="E283" s="10"/>
      <c r="I283" s="11"/>
      <c r="J283" s="10"/>
      <c r="L283" s="31" t="str">
        <f aca="false">IF($C283="","",IFERROR(IF(INDEX(campaigns!$BG$2:$BG$51,MATCH($C283,campaigns!$A$2:$A$51,0))="","",INDEX(campaigns!$BG$2:$BG$51,MATCH($C283,campaigns!$A$2:$A$51,0))),""))</f>
        <v/>
      </c>
      <c r="M283" s="30" t="str">
        <f aca="false">IF($C283="","",IF(OR($E283="received"),N($G283),IF(OR($E283="rejected",$E283="delivered",$E283="topped_up"),-N($G283),IF(AND(OR($E283="returned_to_brand",$E283="given_to_roster_office",$E283="released_to_office",$E283="disposed"),IF($F283="","reserve",$F283)="reserve"),-N($G283),IF(AND($E283="correction",IF($F283="","reserve",$F283)="reserve"),N($G283),0)))))</f>
        <v/>
      </c>
      <c r="N283" s="30" t="str">
        <f aca="false">IF($C283="","",IF($E283="rejected",N($G283),IF(AND(OR($E283="returned_to_brand",$E283="given_to_roster_office",$E283="released_to_office",$E283="disposed"),IF($F283="","reserve",$F283)="rejected"),-N($G283),IF(AND($E283="correction",IF($F283="","reserve",$F283)="rejected"),N($G283),0))))</f>
        <v/>
      </c>
      <c r="O283" s="30" t="str">
        <f aca="false">IF($C283="","",IF($E283="collected",N($G283),IF(AND(OR($E283="returned_to_brand",$E283="given_to_roster_office",$E283="released_to_office",$E283="disposed"),IF($F283="","reserve",$F283)="leftover"),-N($G283),IF(AND($E283="correction",IF($F283="","reserve",$F283)="leftover"),N($G283),0))))</f>
        <v/>
      </c>
      <c r="P283" s="30" t="str">
        <f aca="false">IF(OR($E283&lt;&gt;"received",$I283="",$L283=""),"",IF($I283&gt;=$L283+config!$B$19,"Y","N"))</f>
        <v/>
      </c>
      <c r="Q283" s="30" t="str">
        <f aca="false">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30" t="str">
        <f aca="false">IF($C283="","",$C283&amp;"|"&amp;$D283&amp;"|"&amp;$E283)</f>
        <v/>
      </c>
    </row>
    <row r="284" customFormat="false" ht="15" hidden="false" customHeight="false" outlineLevel="0" collapsed="false">
      <c r="A284" s="11"/>
      <c r="B284" s="38"/>
      <c r="E284" s="10"/>
      <c r="I284" s="11"/>
      <c r="J284" s="10"/>
      <c r="L284" s="31" t="str">
        <f aca="false">IF($C284="","",IFERROR(IF(INDEX(campaigns!$BG$2:$BG$51,MATCH($C284,campaigns!$A$2:$A$51,0))="","",INDEX(campaigns!$BG$2:$BG$51,MATCH($C284,campaigns!$A$2:$A$51,0))),""))</f>
        <v/>
      </c>
      <c r="M284" s="30" t="str">
        <f aca="false">IF($C284="","",IF(OR($E284="received"),N($G284),IF(OR($E284="rejected",$E284="delivered",$E284="topped_up"),-N($G284),IF(AND(OR($E284="returned_to_brand",$E284="given_to_roster_office",$E284="released_to_office",$E284="disposed"),IF($F284="","reserve",$F284)="reserve"),-N($G284),IF(AND($E284="correction",IF($F284="","reserve",$F284)="reserve"),N($G284),0)))))</f>
        <v/>
      </c>
      <c r="N284" s="30" t="str">
        <f aca="false">IF($C284="","",IF($E284="rejected",N($G284),IF(AND(OR($E284="returned_to_brand",$E284="given_to_roster_office",$E284="released_to_office",$E284="disposed"),IF($F284="","reserve",$F284)="rejected"),-N($G284),IF(AND($E284="correction",IF($F284="","reserve",$F284)="rejected"),N($G284),0))))</f>
        <v/>
      </c>
      <c r="O284" s="30" t="str">
        <f aca="false">IF($C284="","",IF($E284="collected",N($G284),IF(AND(OR($E284="returned_to_brand",$E284="given_to_roster_office",$E284="released_to_office",$E284="disposed"),IF($F284="","reserve",$F284)="leftover"),-N($G284),IF(AND($E284="correction",IF($F284="","reserve",$F284)="leftover"),N($G284),0))))</f>
        <v/>
      </c>
      <c r="P284" s="30" t="str">
        <f aca="false">IF(OR($E284&lt;&gt;"received",$I284="",$L284=""),"",IF($I284&gt;=$L284+config!$B$19,"Y","N"))</f>
        <v/>
      </c>
      <c r="Q284" s="30" t="str">
        <f aca="false">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30" t="str">
        <f aca="false">IF($C284="","",$C284&amp;"|"&amp;$D284&amp;"|"&amp;$E284)</f>
        <v/>
      </c>
    </row>
    <row r="285" customFormat="false" ht="15" hidden="false" customHeight="false" outlineLevel="0" collapsed="false">
      <c r="A285" s="11"/>
      <c r="B285" s="38"/>
      <c r="E285" s="10"/>
      <c r="I285" s="11"/>
      <c r="J285" s="10"/>
      <c r="L285" s="31" t="str">
        <f aca="false">IF($C285="","",IFERROR(IF(INDEX(campaigns!$BG$2:$BG$51,MATCH($C285,campaigns!$A$2:$A$51,0))="","",INDEX(campaigns!$BG$2:$BG$51,MATCH($C285,campaigns!$A$2:$A$51,0))),""))</f>
        <v/>
      </c>
      <c r="M285" s="30" t="str">
        <f aca="false">IF($C285="","",IF(OR($E285="received"),N($G285),IF(OR($E285="rejected",$E285="delivered",$E285="topped_up"),-N($G285),IF(AND(OR($E285="returned_to_brand",$E285="given_to_roster_office",$E285="released_to_office",$E285="disposed"),IF($F285="","reserve",$F285)="reserve"),-N($G285),IF(AND($E285="correction",IF($F285="","reserve",$F285)="reserve"),N($G285),0)))))</f>
        <v/>
      </c>
      <c r="N285" s="30" t="str">
        <f aca="false">IF($C285="","",IF($E285="rejected",N($G285),IF(AND(OR($E285="returned_to_brand",$E285="given_to_roster_office",$E285="released_to_office",$E285="disposed"),IF($F285="","reserve",$F285)="rejected"),-N($G285),IF(AND($E285="correction",IF($F285="","reserve",$F285)="rejected"),N($G285),0))))</f>
        <v/>
      </c>
      <c r="O285" s="30" t="str">
        <f aca="false">IF($C285="","",IF($E285="collected",N($G285),IF(AND(OR($E285="returned_to_brand",$E285="given_to_roster_office",$E285="released_to_office",$E285="disposed"),IF($F285="","reserve",$F285)="leftover"),-N($G285),IF(AND($E285="correction",IF($F285="","reserve",$F285)="leftover"),N($G285),0))))</f>
        <v/>
      </c>
      <c r="P285" s="30" t="str">
        <f aca="false">IF(OR($E285&lt;&gt;"received",$I285="",$L285=""),"",IF($I285&gt;=$L285+config!$B$19,"Y","N"))</f>
        <v/>
      </c>
      <c r="Q285" s="30" t="str">
        <f aca="false">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30" t="str">
        <f aca="false">IF($C285="","",$C285&amp;"|"&amp;$D285&amp;"|"&amp;$E285)</f>
        <v/>
      </c>
    </row>
    <row r="286" customFormat="false" ht="15" hidden="false" customHeight="false" outlineLevel="0" collapsed="false">
      <c r="A286" s="11"/>
      <c r="B286" s="38"/>
      <c r="E286" s="10"/>
      <c r="I286" s="11"/>
      <c r="J286" s="10"/>
      <c r="L286" s="31" t="str">
        <f aca="false">IF($C286="","",IFERROR(IF(INDEX(campaigns!$BG$2:$BG$51,MATCH($C286,campaigns!$A$2:$A$51,0))="","",INDEX(campaigns!$BG$2:$BG$51,MATCH($C286,campaigns!$A$2:$A$51,0))),""))</f>
        <v/>
      </c>
      <c r="M286" s="30" t="str">
        <f aca="false">IF($C286="","",IF(OR($E286="received"),N($G286),IF(OR($E286="rejected",$E286="delivered",$E286="topped_up"),-N($G286),IF(AND(OR($E286="returned_to_brand",$E286="given_to_roster_office",$E286="released_to_office",$E286="disposed"),IF($F286="","reserve",$F286)="reserve"),-N($G286),IF(AND($E286="correction",IF($F286="","reserve",$F286)="reserve"),N($G286),0)))))</f>
        <v/>
      </c>
      <c r="N286" s="30" t="str">
        <f aca="false">IF($C286="","",IF($E286="rejected",N($G286),IF(AND(OR($E286="returned_to_brand",$E286="given_to_roster_office",$E286="released_to_office",$E286="disposed"),IF($F286="","reserve",$F286)="rejected"),-N($G286),IF(AND($E286="correction",IF($F286="","reserve",$F286)="rejected"),N($G286),0))))</f>
        <v/>
      </c>
      <c r="O286" s="30" t="str">
        <f aca="false">IF($C286="","",IF($E286="collected",N($G286),IF(AND(OR($E286="returned_to_brand",$E286="given_to_roster_office",$E286="released_to_office",$E286="disposed"),IF($F286="","reserve",$F286)="leftover"),-N($G286),IF(AND($E286="correction",IF($F286="","reserve",$F286)="leftover"),N($G286),0))))</f>
        <v/>
      </c>
      <c r="P286" s="30" t="str">
        <f aca="false">IF(OR($E286&lt;&gt;"received",$I286="",$L286=""),"",IF($I286&gt;=$L286+config!$B$19,"Y","N"))</f>
        <v/>
      </c>
      <c r="Q286" s="30" t="str">
        <f aca="false">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30" t="str">
        <f aca="false">IF($C286="","",$C286&amp;"|"&amp;$D286&amp;"|"&amp;$E286)</f>
        <v/>
      </c>
    </row>
    <row r="287" customFormat="false" ht="15" hidden="false" customHeight="false" outlineLevel="0" collapsed="false">
      <c r="A287" s="11"/>
      <c r="B287" s="38"/>
      <c r="E287" s="10"/>
      <c r="I287" s="11"/>
      <c r="J287" s="10"/>
      <c r="L287" s="31" t="str">
        <f aca="false">IF($C287="","",IFERROR(IF(INDEX(campaigns!$BG$2:$BG$51,MATCH($C287,campaigns!$A$2:$A$51,0))="","",INDEX(campaigns!$BG$2:$BG$51,MATCH($C287,campaigns!$A$2:$A$51,0))),""))</f>
        <v/>
      </c>
      <c r="M287" s="30" t="str">
        <f aca="false">IF($C287="","",IF(OR($E287="received"),N($G287),IF(OR($E287="rejected",$E287="delivered",$E287="topped_up"),-N($G287),IF(AND(OR($E287="returned_to_brand",$E287="given_to_roster_office",$E287="released_to_office",$E287="disposed"),IF($F287="","reserve",$F287)="reserve"),-N($G287),IF(AND($E287="correction",IF($F287="","reserve",$F287)="reserve"),N($G287),0)))))</f>
        <v/>
      </c>
      <c r="N287" s="30" t="str">
        <f aca="false">IF($C287="","",IF($E287="rejected",N($G287),IF(AND(OR($E287="returned_to_brand",$E287="given_to_roster_office",$E287="released_to_office",$E287="disposed"),IF($F287="","reserve",$F287)="rejected"),-N($G287),IF(AND($E287="correction",IF($F287="","reserve",$F287)="rejected"),N($G287),0))))</f>
        <v/>
      </c>
      <c r="O287" s="30" t="str">
        <f aca="false">IF($C287="","",IF($E287="collected",N($G287),IF(AND(OR($E287="returned_to_brand",$E287="given_to_roster_office",$E287="released_to_office",$E287="disposed"),IF($F287="","reserve",$F287)="leftover"),-N($G287),IF(AND($E287="correction",IF($F287="","reserve",$F287)="leftover"),N($G287),0))))</f>
        <v/>
      </c>
      <c r="P287" s="30" t="str">
        <f aca="false">IF(OR($E287&lt;&gt;"received",$I287="",$L287=""),"",IF($I287&gt;=$L287+config!$B$19,"Y","N"))</f>
        <v/>
      </c>
      <c r="Q287" s="30" t="str">
        <f aca="false">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30" t="str">
        <f aca="false">IF($C287="","",$C287&amp;"|"&amp;$D287&amp;"|"&amp;$E287)</f>
        <v/>
      </c>
    </row>
    <row r="288" customFormat="false" ht="15" hidden="false" customHeight="false" outlineLevel="0" collapsed="false">
      <c r="A288" s="11"/>
      <c r="B288" s="38"/>
      <c r="E288" s="10"/>
      <c r="I288" s="11"/>
      <c r="J288" s="10"/>
      <c r="L288" s="31" t="str">
        <f aca="false">IF($C288="","",IFERROR(IF(INDEX(campaigns!$BG$2:$BG$51,MATCH($C288,campaigns!$A$2:$A$51,0))="","",INDEX(campaigns!$BG$2:$BG$51,MATCH($C288,campaigns!$A$2:$A$51,0))),""))</f>
        <v/>
      </c>
      <c r="M288" s="30" t="str">
        <f aca="false">IF($C288="","",IF(OR($E288="received"),N($G288),IF(OR($E288="rejected",$E288="delivered",$E288="topped_up"),-N($G288),IF(AND(OR($E288="returned_to_brand",$E288="given_to_roster_office",$E288="released_to_office",$E288="disposed"),IF($F288="","reserve",$F288)="reserve"),-N($G288),IF(AND($E288="correction",IF($F288="","reserve",$F288)="reserve"),N($G288),0)))))</f>
        <v/>
      </c>
      <c r="N288" s="30" t="str">
        <f aca="false">IF($C288="","",IF($E288="rejected",N($G288),IF(AND(OR($E288="returned_to_brand",$E288="given_to_roster_office",$E288="released_to_office",$E288="disposed"),IF($F288="","reserve",$F288)="rejected"),-N($G288),IF(AND($E288="correction",IF($F288="","reserve",$F288)="rejected"),N($G288),0))))</f>
        <v/>
      </c>
      <c r="O288" s="30" t="str">
        <f aca="false">IF($C288="","",IF($E288="collected",N($G288),IF(AND(OR($E288="returned_to_brand",$E288="given_to_roster_office",$E288="released_to_office",$E288="disposed"),IF($F288="","reserve",$F288)="leftover"),-N($G288),IF(AND($E288="correction",IF($F288="","reserve",$F288)="leftover"),N($G288),0))))</f>
        <v/>
      </c>
      <c r="P288" s="30" t="str">
        <f aca="false">IF(OR($E288&lt;&gt;"received",$I288="",$L288=""),"",IF($I288&gt;=$L288+config!$B$19,"Y","N"))</f>
        <v/>
      </c>
      <c r="Q288" s="30" t="str">
        <f aca="false">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30" t="str">
        <f aca="false">IF($C288="","",$C288&amp;"|"&amp;$D288&amp;"|"&amp;$E288)</f>
        <v/>
      </c>
    </row>
    <row r="289" customFormat="false" ht="15" hidden="false" customHeight="false" outlineLevel="0" collapsed="false">
      <c r="A289" s="11"/>
      <c r="B289" s="38"/>
      <c r="E289" s="10"/>
      <c r="I289" s="11"/>
      <c r="J289" s="10"/>
      <c r="L289" s="31" t="str">
        <f aca="false">IF($C289="","",IFERROR(IF(INDEX(campaigns!$BG$2:$BG$51,MATCH($C289,campaigns!$A$2:$A$51,0))="","",INDEX(campaigns!$BG$2:$BG$51,MATCH($C289,campaigns!$A$2:$A$51,0))),""))</f>
        <v/>
      </c>
      <c r="M289" s="30" t="str">
        <f aca="false">IF($C289="","",IF(OR($E289="received"),N($G289),IF(OR($E289="rejected",$E289="delivered",$E289="topped_up"),-N($G289),IF(AND(OR($E289="returned_to_brand",$E289="given_to_roster_office",$E289="released_to_office",$E289="disposed"),IF($F289="","reserve",$F289)="reserve"),-N($G289),IF(AND($E289="correction",IF($F289="","reserve",$F289)="reserve"),N($G289),0)))))</f>
        <v/>
      </c>
      <c r="N289" s="30" t="str">
        <f aca="false">IF($C289="","",IF($E289="rejected",N($G289),IF(AND(OR($E289="returned_to_brand",$E289="given_to_roster_office",$E289="released_to_office",$E289="disposed"),IF($F289="","reserve",$F289)="rejected"),-N($G289),IF(AND($E289="correction",IF($F289="","reserve",$F289)="rejected"),N($G289),0))))</f>
        <v/>
      </c>
      <c r="O289" s="30" t="str">
        <f aca="false">IF($C289="","",IF($E289="collected",N($G289),IF(AND(OR($E289="returned_to_brand",$E289="given_to_roster_office",$E289="released_to_office",$E289="disposed"),IF($F289="","reserve",$F289)="leftover"),-N($G289),IF(AND($E289="correction",IF($F289="","reserve",$F289)="leftover"),N($G289),0))))</f>
        <v/>
      </c>
      <c r="P289" s="30" t="str">
        <f aca="false">IF(OR($E289&lt;&gt;"received",$I289="",$L289=""),"",IF($I289&gt;=$L289+config!$B$19,"Y","N"))</f>
        <v/>
      </c>
      <c r="Q289" s="30" t="str">
        <f aca="false">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30" t="str">
        <f aca="false">IF($C289="","",$C289&amp;"|"&amp;$D289&amp;"|"&amp;$E289)</f>
        <v/>
      </c>
    </row>
    <row r="290" customFormat="false" ht="15" hidden="false" customHeight="false" outlineLevel="0" collapsed="false">
      <c r="A290" s="11"/>
      <c r="B290" s="38"/>
      <c r="E290" s="10"/>
      <c r="I290" s="11"/>
      <c r="J290" s="10"/>
      <c r="L290" s="31" t="str">
        <f aca="false">IF($C290="","",IFERROR(IF(INDEX(campaigns!$BG$2:$BG$51,MATCH($C290,campaigns!$A$2:$A$51,0))="","",INDEX(campaigns!$BG$2:$BG$51,MATCH($C290,campaigns!$A$2:$A$51,0))),""))</f>
        <v/>
      </c>
      <c r="M290" s="30" t="str">
        <f aca="false">IF($C290="","",IF(OR($E290="received"),N($G290),IF(OR($E290="rejected",$E290="delivered",$E290="topped_up"),-N($G290),IF(AND(OR($E290="returned_to_brand",$E290="given_to_roster_office",$E290="released_to_office",$E290="disposed"),IF($F290="","reserve",$F290)="reserve"),-N($G290),IF(AND($E290="correction",IF($F290="","reserve",$F290)="reserve"),N($G290),0)))))</f>
        <v/>
      </c>
      <c r="N290" s="30" t="str">
        <f aca="false">IF($C290="","",IF($E290="rejected",N($G290),IF(AND(OR($E290="returned_to_brand",$E290="given_to_roster_office",$E290="released_to_office",$E290="disposed"),IF($F290="","reserve",$F290)="rejected"),-N($G290),IF(AND($E290="correction",IF($F290="","reserve",$F290)="rejected"),N($G290),0))))</f>
        <v/>
      </c>
      <c r="O290" s="30" t="str">
        <f aca="false">IF($C290="","",IF($E290="collected",N($G290),IF(AND(OR($E290="returned_to_brand",$E290="given_to_roster_office",$E290="released_to_office",$E290="disposed"),IF($F290="","reserve",$F290)="leftover"),-N($G290),IF(AND($E290="correction",IF($F290="","reserve",$F290)="leftover"),N($G290),0))))</f>
        <v/>
      </c>
      <c r="P290" s="30" t="str">
        <f aca="false">IF(OR($E290&lt;&gt;"received",$I290="",$L290=""),"",IF($I290&gt;=$L290+config!$B$19,"Y","N"))</f>
        <v/>
      </c>
      <c r="Q290" s="30" t="str">
        <f aca="false">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30" t="str">
        <f aca="false">IF($C290="","",$C290&amp;"|"&amp;$D290&amp;"|"&amp;$E290)</f>
        <v/>
      </c>
    </row>
    <row r="291" customFormat="false" ht="15" hidden="false" customHeight="false" outlineLevel="0" collapsed="false">
      <c r="A291" s="11"/>
      <c r="B291" s="38"/>
      <c r="E291" s="10"/>
      <c r="I291" s="11"/>
      <c r="J291" s="10"/>
      <c r="L291" s="31" t="str">
        <f aca="false">IF($C291="","",IFERROR(IF(INDEX(campaigns!$BG$2:$BG$51,MATCH($C291,campaigns!$A$2:$A$51,0))="","",INDEX(campaigns!$BG$2:$BG$51,MATCH($C291,campaigns!$A$2:$A$51,0))),""))</f>
        <v/>
      </c>
      <c r="M291" s="30" t="str">
        <f aca="false">IF($C291="","",IF(OR($E291="received"),N($G291),IF(OR($E291="rejected",$E291="delivered",$E291="topped_up"),-N($G291),IF(AND(OR($E291="returned_to_brand",$E291="given_to_roster_office",$E291="released_to_office",$E291="disposed"),IF($F291="","reserve",$F291)="reserve"),-N($G291),IF(AND($E291="correction",IF($F291="","reserve",$F291)="reserve"),N($G291),0)))))</f>
        <v/>
      </c>
      <c r="N291" s="30" t="str">
        <f aca="false">IF($C291="","",IF($E291="rejected",N($G291),IF(AND(OR($E291="returned_to_brand",$E291="given_to_roster_office",$E291="released_to_office",$E291="disposed"),IF($F291="","reserve",$F291)="rejected"),-N($G291),IF(AND($E291="correction",IF($F291="","reserve",$F291)="rejected"),N($G291),0))))</f>
        <v/>
      </c>
      <c r="O291" s="30" t="str">
        <f aca="false">IF($C291="","",IF($E291="collected",N($G291),IF(AND(OR($E291="returned_to_brand",$E291="given_to_roster_office",$E291="released_to_office",$E291="disposed"),IF($F291="","reserve",$F291)="leftover"),-N($G291),IF(AND($E291="correction",IF($F291="","reserve",$F291)="leftover"),N($G291),0))))</f>
        <v/>
      </c>
      <c r="P291" s="30" t="str">
        <f aca="false">IF(OR($E291&lt;&gt;"received",$I291="",$L291=""),"",IF($I291&gt;=$L291+config!$B$19,"Y","N"))</f>
        <v/>
      </c>
      <c r="Q291" s="30" t="str">
        <f aca="false">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30" t="str">
        <f aca="false">IF($C291="","",$C291&amp;"|"&amp;$D291&amp;"|"&amp;$E291)</f>
        <v/>
      </c>
    </row>
    <row r="292" customFormat="false" ht="15" hidden="false" customHeight="false" outlineLevel="0" collapsed="false">
      <c r="A292" s="11"/>
      <c r="B292" s="38"/>
      <c r="E292" s="10"/>
      <c r="I292" s="11"/>
      <c r="J292" s="10"/>
      <c r="L292" s="31" t="str">
        <f aca="false">IF($C292="","",IFERROR(IF(INDEX(campaigns!$BG$2:$BG$51,MATCH($C292,campaigns!$A$2:$A$51,0))="","",INDEX(campaigns!$BG$2:$BG$51,MATCH($C292,campaigns!$A$2:$A$51,0))),""))</f>
        <v/>
      </c>
      <c r="M292" s="30" t="str">
        <f aca="false">IF($C292="","",IF(OR($E292="received"),N($G292),IF(OR($E292="rejected",$E292="delivered",$E292="topped_up"),-N($G292),IF(AND(OR($E292="returned_to_brand",$E292="given_to_roster_office",$E292="released_to_office",$E292="disposed"),IF($F292="","reserve",$F292)="reserve"),-N($G292),IF(AND($E292="correction",IF($F292="","reserve",$F292)="reserve"),N($G292),0)))))</f>
        <v/>
      </c>
      <c r="N292" s="30" t="str">
        <f aca="false">IF($C292="","",IF($E292="rejected",N($G292),IF(AND(OR($E292="returned_to_brand",$E292="given_to_roster_office",$E292="released_to_office",$E292="disposed"),IF($F292="","reserve",$F292)="rejected"),-N($G292),IF(AND($E292="correction",IF($F292="","reserve",$F292)="rejected"),N($G292),0))))</f>
        <v/>
      </c>
      <c r="O292" s="30" t="str">
        <f aca="false">IF($C292="","",IF($E292="collected",N($G292),IF(AND(OR($E292="returned_to_brand",$E292="given_to_roster_office",$E292="released_to_office",$E292="disposed"),IF($F292="","reserve",$F292)="leftover"),-N($G292),IF(AND($E292="correction",IF($F292="","reserve",$F292)="leftover"),N($G292),0))))</f>
        <v/>
      </c>
      <c r="P292" s="30" t="str">
        <f aca="false">IF(OR($E292&lt;&gt;"received",$I292="",$L292=""),"",IF($I292&gt;=$L292+config!$B$19,"Y","N"))</f>
        <v/>
      </c>
      <c r="Q292" s="30" t="str">
        <f aca="false">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30" t="str">
        <f aca="false">IF($C292="","",$C292&amp;"|"&amp;$D292&amp;"|"&amp;$E292)</f>
        <v/>
      </c>
    </row>
    <row r="293" customFormat="false" ht="15" hidden="false" customHeight="false" outlineLevel="0" collapsed="false">
      <c r="A293" s="11"/>
      <c r="B293" s="38"/>
      <c r="E293" s="10"/>
      <c r="I293" s="11"/>
      <c r="J293" s="10"/>
      <c r="L293" s="31" t="str">
        <f aca="false">IF($C293="","",IFERROR(IF(INDEX(campaigns!$BG$2:$BG$51,MATCH($C293,campaigns!$A$2:$A$51,0))="","",INDEX(campaigns!$BG$2:$BG$51,MATCH($C293,campaigns!$A$2:$A$51,0))),""))</f>
        <v/>
      </c>
      <c r="M293" s="30" t="str">
        <f aca="false">IF($C293="","",IF(OR($E293="received"),N($G293),IF(OR($E293="rejected",$E293="delivered",$E293="topped_up"),-N($G293),IF(AND(OR($E293="returned_to_brand",$E293="given_to_roster_office",$E293="released_to_office",$E293="disposed"),IF($F293="","reserve",$F293)="reserve"),-N($G293),IF(AND($E293="correction",IF($F293="","reserve",$F293)="reserve"),N($G293),0)))))</f>
        <v/>
      </c>
      <c r="N293" s="30" t="str">
        <f aca="false">IF($C293="","",IF($E293="rejected",N($G293),IF(AND(OR($E293="returned_to_brand",$E293="given_to_roster_office",$E293="released_to_office",$E293="disposed"),IF($F293="","reserve",$F293)="rejected"),-N($G293),IF(AND($E293="correction",IF($F293="","reserve",$F293)="rejected"),N($G293),0))))</f>
        <v/>
      </c>
      <c r="O293" s="30" t="str">
        <f aca="false">IF($C293="","",IF($E293="collected",N($G293),IF(AND(OR($E293="returned_to_brand",$E293="given_to_roster_office",$E293="released_to_office",$E293="disposed"),IF($F293="","reserve",$F293)="leftover"),-N($G293),IF(AND($E293="correction",IF($F293="","reserve",$F293)="leftover"),N($G293),0))))</f>
        <v/>
      </c>
      <c r="P293" s="30" t="str">
        <f aca="false">IF(OR($E293&lt;&gt;"received",$I293="",$L293=""),"",IF($I293&gt;=$L293+config!$B$19,"Y","N"))</f>
        <v/>
      </c>
      <c r="Q293" s="30" t="str">
        <f aca="false">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30" t="str">
        <f aca="false">IF($C293="","",$C293&amp;"|"&amp;$D293&amp;"|"&amp;$E293)</f>
        <v/>
      </c>
    </row>
    <row r="294" customFormat="false" ht="15" hidden="false" customHeight="false" outlineLevel="0" collapsed="false">
      <c r="A294" s="11"/>
      <c r="B294" s="38"/>
      <c r="E294" s="10"/>
      <c r="I294" s="11"/>
      <c r="J294" s="10"/>
      <c r="L294" s="31" t="str">
        <f aca="false">IF($C294="","",IFERROR(IF(INDEX(campaigns!$BG$2:$BG$51,MATCH($C294,campaigns!$A$2:$A$51,0))="","",INDEX(campaigns!$BG$2:$BG$51,MATCH($C294,campaigns!$A$2:$A$51,0))),""))</f>
        <v/>
      </c>
      <c r="M294" s="30" t="str">
        <f aca="false">IF($C294="","",IF(OR($E294="received"),N($G294),IF(OR($E294="rejected",$E294="delivered",$E294="topped_up"),-N($G294),IF(AND(OR($E294="returned_to_brand",$E294="given_to_roster_office",$E294="released_to_office",$E294="disposed"),IF($F294="","reserve",$F294)="reserve"),-N($G294),IF(AND($E294="correction",IF($F294="","reserve",$F294)="reserve"),N($G294),0)))))</f>
        <v/>
      </c>
      <c r="N294" s="30" t="str">
        <f aca="false">IF($C294="","",IF($E294="rejected",N($G294),IF(AND(OR($E294="returned_to_brand",$E294="given_to_roster_office",$E294="released_to_office",$E294="disposed"),IF($F294="","reserve",$F294)="rejected"),-N($G294),IF(AND($E294="correction",IF($F294="","reserve",$F294)="rejected"),N($G294),0))))</f>
        <v/>
      </c>
      <c r="O294" s="30" t="str">
        <f aca="false">IF($C294="","",IF($E294="collected",N($G294),IF(AND(OR($E294="returned_to_brand",$E294="given_to_roster_office",$E294="released_to_office",$E294="disposed"),IF($F294="","reserve",$F294)="leftover"),-N($G294),IF(AND($E294="correction",IF($F294="","reserve",$F294)="leftover"),N($G294),0))))</f>
        <v/>
      </c>
      <c r="P294" s="30" t="str">
        <f aca="false">IF(OR($E294&lt;&gt;"received",$I294="",$L294=""),"",IF($I294&gt;=$L294+config!$B$19,"Y","N"))</f>
        <v/>
      </c>
      <c r="Q294" s="30" t="str">
        <f aca="false">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30" t="str">
        <f aca="false">IF($C294="","",$C294&amp;"|"&amp;$D294&amp;"|"&amp;$E294)</f>
        <v/>
      </c>
    </row>
    <row r="295" customFormat="false" ht="15" hidden="false" customHeight="false" outlineLevel="0" collapsed="false">
      <c r="A295" s="11"/>
      <c r="B295" s="38"/>
      <c r="E295" s="10"/>
      <c r="I295" s="11"/>
      <c r="J295" s="10"/>
      <c r="L295" s="31" t="str">
        <f aca="false">IF($C295="","",IFERROR(IF(INDEX(campaigns!$BG$2:$BG$51,MATCH($C295,campaigns!$A$2:$A$51,0))="","",INDEX(campaigns!$BG$2:$BG$51,MATCH($C295,campaigns!$A$2:$A$51,0))),""))</f>
        <v/>
      </c>
      <c r="M295" s="30" t="str">
        <f aca="false">IF($C295="","",IF(OR($E295="received"),N($G295),IF(OR($E295="rejected",$E295="delivered",$E295="topped_up"),-N($G295),IF(AND(OR($E295="returned_to_brand",$E295="given_to_roster_office",$E295="released_to_office",$E295="disposed"),IF($F295="","reserve",$F295)="reserve"),-N($G295),IF(AND($E295="correction",IF($F295="","reserve",$F295)="reserve"),N($G295),0)))))</f>
        <v/>
      </c>
      <c r="N295" s="30" t="str">
        <f aca="false">IF($C295="","",IF($E295="rejected",N($G295),IF(AND(OR($E295="returned_to_brand",$E295="given_to_roster_office",$E295="released_to_office",$E295="disposed"),IF($F295="","reserve",$F295)="rejected"),-N($G295),IF(AND($E295="correction",IF($F295="","reserve",$F295)="rejected"),N($G295),0))))</f>
        <v/>
      </c>
      <c r="O295" s="30" t="str">
        <f aca="false">IF($C295="","",IF($E295="collected",N($G295),IF(AND(OR($E295="returned_to_brand",$E295="given_to_roster_office",$E295="released_to_office",$E295="disposed"),IF($F295="","reserve",$F295)="leftover"),-N($G295),IF(AND($E295="correction",IF($F295="","reserve",$F295)="leftover"),N($G295),0))))</f>
        <v/>
      </c>
      <c r="P295" s="30" t="str">
        <f aca="false">IF(OR($E295&lt;&gt;"received",$I295="",$L295=""),"",IF($I295&gt;=$L295+config!$B$19,"Y","N"))</f>
        <v/>
      </c>
      <c r="Q295" s="30" t="str">
        <f aca="false">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30" t="str">
        <f aca="false">IF($C295="","",$C295&amp;"|"&amp;$D295&amp;"|"&amp;$E295)</f>
        <v/>
      </c>
    </row>
    <row r="296" customFormat="false" ht="15" hidden="false" customHeight="false" outlineLevel="0" collapsed="false">
      <c r="A296" s="11"/>
      <c r="B296" s="38"/>
      <c r="E296" s="10"/>
      <c r="I296" s="11"/>
      <c r="J296" s="10"/>
      <c r="L296" s="31" t="str">
        <f aca="false">IF($C296="","",IFERROR(IF(INDEX(campaigns!$BG$2:$BG$51,MATCH($C296,campaigns!$A$2:$A$51,0))="","",INDEX(campaigns!$BG$2:$BG$51,MATCH($C296,campaigns!$A$2:$A$51,0))),""))</f>
        <v/>
      </c>
      <c r="M296" s="30" t="str">
        <f aca="false">IF($C296="","",IF(OR($E296="received"),N($G296),IF(OR($E296="rejected",$E296="delivered",$E296="topped_up"),-N($G296),IF(AND(OR($E296="returned_to_brand",$E296="given_to_roster_office",$E296="released_to_office",$E296="disposed"),IF($F296="","reserve",$F296)="reserve"),-N($G296),IF(AND($E296="correction",IF($F296="","reserve",$F296)="reserve"),N($G296),0)))))</f>
        <v/>
      </c>
      <c r="N296" s="30" t="str">
        <f aca="false">IF($C296="","",IF($E296="rejected",N($G296),IF(AND(OR($E296="returned_to_brand",$E296="given_to_roster_office",$E296="released_to_office",$E296="disposed"),IF($F296="","reserve",$F296)="rejected"),-N($G296),IF(AND($E296="correction",IF($F296="","reserve",$F296)="rejected"),N($G296),0))))</f>
        <v/>
      </c>
      <c r="O296" s="30" t="str">
        <f aca="false">IF($C296="","",IF($E296="collected",N($G296),IF(AND(OR($E296="returned_to_brand",$E296="given_to_roster_office",$E296="released_to_office",$E296="disposed"),IF($F296="","reserve",$F296)="leftover"),-N($G296),IF(AND($E296="correction",IF($F296="","reserve",$F296)="leftover"),N($G296),0))))</f>
        <v/>
      </c>
      <c r="P296" s="30" t="str">
        <f aca="false">IF(OR($E296&lt;&gt;"received",$I296="",$L296=""),"",IF($I296&gt;=$L296+config!$B$19,"Y","N"))</f>
        <v/>
      </c>
      <c r="Q296" s="30" t="str">
        <f aca="false">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30" t="str">
        <f aca="false">IF($C296="","",$C296&amp;"|"&amp;$D296&amp;"|"&amp;$E296)</f>
        <v/>
      </c>
    </row>
    <row r="297" customFormat="false" ht="15" hidden="false" customHeight="false" outlineLevel="0" collapsed="false">
      <c r="A297" s="11"/>
      <c r="B297" s="38"/>
      <c r="E297" s="10"/>
      <c r="I297" s="11"/>
      <c r="J297" s="10"/>
      <c r="L297" s="31" t="str">
        <f aca="false">IF($C297="","",IFERROR(IF(INDEX(campaigns!$BG$2:$BG$51,MATCH($C297,campaigns!$A$2:$A$51,0))="","",INDEX(campaigns!$BG$2:$BG$51,MATCH($C297,campaigns!$A$2:$A$51,0))),""))</f>
        <v/>
      </c>
      <c r="M297" s="30" t="str">
        <f aca="false">IF($C297="","",IF(OR($E297="received"),N($G297),IF(OR($E297="rejected",$E297="delivered",$E297="topped_up"),-N($G297),IF(AND(OR($E297="returned_to_brand",$E297="given_to_roster_office",$E297="released_to_office",$E297="disposed"),IF($F297="","reserve",$F297)="reserve"),-N($G297),IF(AND($E297="correction",IF($F297="","reserve",$F297)="reserve"),N($G297),0)))))</f>
        <v/>
      </c>
      <c r="N297" s="30" t="str">
        <f aca="false">IF($C297="","",IF($E297="rejected",N($G297),IF(AND(OR($E297="returned_to_brand",$E297="given_to_roster_office",$E297="released_to_office",$E297="disposed"),IF($F297="","reserve",$F297)="rejected"),-N($G297),IF(AND($E297="correction",IF($F297="","reserve",$F297)="rejected"),N($G297),0))))</f>
        <v/>
      </c>
      <c r="O297" s="30" t="str">
        <f aca="false">IF($C297="","",IF($E297="collected",N($G297),IF(AND(OR($E297="returned_to_brand",$E297="given_to_roster_office",$E297="released_to_office",$E297="disposed"),IF($F297="","reserve",$F297)="leftover"),-N($G297),IF(AND($E297="correction",IF($F297="","reserve",$F297)="leftover"),N($G297),0))))</f>
        <v/>
      </c>
      <c r="P297" s="30" t="str">
        <f aca="false">IF(OR($E297&lt;&gt;"received",$I297="",$L297=""),"",IF($I297&gt;=$L297+config!$B$19,"Y","N"))</f>
        <v/>
      </c>
      <c r="Q297" s="30" t="str">
        <f aca="false">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30" t="str">
        <f aca="false">IF($C297="","",$C297&amp;"|"&amp;$D297&amp;"|"&amp;$E297)</f>
        <v/>
      </c>
    </row>
    <row r="298" customFormat="false" ht="15" hidden="false" customHeight="false" outlineLevel="0" collapsed="false">
      <c r="A298" s="11"/>
      <c r="B298" s="38"/>
      <c r="E298" s="10"/>
      <c r="I298" s="11"/>
      <c r="J298" s="10"/>
      <c r="L298" s="31" t="str">
        <f aca="false">IF($C298="","",IFERROR(IF(INDEX(campaigns!$BG$2:$BG$51,MATCH($C298,campaigns!$A$2:$A$51,0))="","",INDEX(campaigns!$BG$2:$BG$51,MATCH($C298,campaigns!$A$2:$A$51,0))),""))</f>
        <v/>
      </c>
      <c r="M298" s="30" t="str">
        <f aca="false">IF($C298="","",IF(OR($E298="received"),N($G298),IF(OR($E298="rejected",$E298="delivered",$E298="topped_up"),-N($G298),IF(AND(OR($E298="returned_to_brand",$E298="given_to_roster_office",$E298="released_to_office",$E298="disposed"),IF($F298="","reserve",$F298)="reserve"),-N($G298),IF(AND($E298="correction",IF($F298="","reserve",$F298)="reserve"),N($G298),0)))))</f>
        <v/>
      </c>
      <c r="N298" s="30" t="str">
        <f aca="false">IF($C298="","",IF($E298="rejected",N($G298),IF(AND(OR($E298="returned_to_brand",$E298="given_to_roster_office",$E298="released_to_office",$E298="disposed"),IF($F298="","reserve",$F298)="rejected"),-N($G298),IF(AND($E298="correction",IF($F298="","reserve",$F298)="rejected"),N($G298),0))))</f>
        <v/>
      </c>
      <c r="O298" s="30" t="str">
        <f aca="false">IF($C298="","",IF($E298="collected",N($G298),IF(AND(OR($E298="returned_to_brand",$E298="given_to_roster_office",$E298="released_to_office",$E298="disposed"),IF($F298="","reserve",$F298)="leftover"),-N($G298),IF(AND($E298="correction",IF($F298="","reserve",$F298)="leftover"),N($G298),0))))</f>
        <v/>
      </c>
      <c r="P298" s="30" t="str">
        <f aca="false">IF(OR($E298&lt;&gt;"received",$I298="",$L298=""),"",IF($I298&gt;=$L298+config!$B$19,"Y","N"))</f>
        <v/>
      </c>
      <c r="Q298" s="30" t="str">
        <f aca="false">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30" t="str">
        <f aca="false">IF($C298="","",$C298&amp;"|"&amp;$D298&amp;"|"&amp;$E298)</f>
        <v/>
      </c>
    </row>
    <row r="299" customFormat="false" ht="15" hidden="false" customHeight="false" outlineLevel="0" collapsed="false">
      <c r="A299" s="11"/>
      <c r="B299" s="38"/>
      <c r="E299" s="10"/>
      <c r="I299" s="11"/>
      <c r="J299" s="10"/>
      <c r="L299" s="31" t="str">
        <f aca="false">IF($C299="","",IFERROR(IF(INDEX(campaigns!$BG$2:$BG$51,MATCH($C299,campaigns!$A$2:$A$51,0))="","",INDEX(campaigns!$BG$2:$BG$51,MATCH($C299,campaigns!$A$2:$A$51,0))),""))</f>
        <v/>
      </c>
      <c r="M299" s="30" t="str">
        <f aca="false">IF($C299="","",IF(OR($E299="received"),N($G299),IF(OR($E299="rejected",$E299="delivered",$E299="topped_up"),-N($G299),IF(AND(OR($E299="returned_to_brand",$E299="given_to_roster_office",$E299="released_to_office",$E299="disposed"),IF($F299="","reserve",$F299)="reserve"),-N($G299),IF(AND($E299="correction",IF($F299="","reserve",$F299)="reserve"),N($G299),0)))))</f>
        <v/>
      </c>
      <c r="N299" s="30" t="str">
        <f aca="false">IF($C299="","",IF($E299="rejected",N($G299),IF(AND(OR($E299="returned_to_brand",$E299="given_to_roster_office",$E299="released_to_office",$E299="disposed"),IF($F299="","reserve",$F299)="rejected"),-N($G299),IF(AND($E299="correction",IF($F299="","reserve",$F299)="rejected"),N($G299),0))))</f>
        <v/>
      </c>
      <c r="O299" s="30" t="str">
        <f aca="false">IF($C299="","",IF($E299="collected",N($G299),IF(AND(OR($E299="returned_to_brand",$E299="given_to_roster_office",$E299="released_to_office",$E299="disposed"),IF($F299="","reserve",$F299)="leftover"),-N($G299),IF(AND($E299="correction",IF($F299="","reserve",$F299)="leftover"),N($G299),0))))</f>
        <v/>
      </c>
      <c r="P299" s="30" t="str">
        <f aca="false">IF(OR($E299&lt;&gt;"received",$I299="",$L299=""),"",IF($I299&gt;=$L299+config!$B$19,"Y","N"))</f>
        <v/>
      </c>
      <c r="Q299" s="30" t="str">
        <f aca="false">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30" t="str">
        <f aca="false">IF($C299="","",$C299&amp;"|"&amp;$D299&amp;"|"&amp;$E299)</f>
        <v/>
      </c>
    </row>
    <row r="300" customFormat="false" ht="15" hidden="false" customHeight="false" outlineLevel="0" collapsed="false">
      <c r="A300" s="11"/>
      <c r="B300" s="38"/>
      <c r="E300" s="10"/>
      <c r="I300" s="11"/>
      <c r="J300" s="10"/>
      <c r="L300" s="31" t="str">
        <f aca="false">IF($C300="","",IFERROR(IF(INDEX(campaigns!$BG$2:$BG$51,MATCH($C300,campaigns!$A$2:$A$51,0))="","",INDEX(campaigns!$BG$2:$BG$51,MATCH($C300,campaigns!$A$2:$A$51,0))),""))</f>
        <v/>
      </c>
      <c r="M300" s="30" t="str">
        <f aca="false">IF($C300="","",IF(OR($E300="received"),N($G300),IF(OR($E300="rejected",$E300="delivered",$E300="topped_up"),-N($G300),IF(AND(OR($E300="returned_to_brand",$E300="given_to_roster_office",$E300="released_to_office",$E300="disposed"),IF($F300="","reserve",$F300)="reserve"),-N($G300),IF(AND($E300="correction",IF($F300="","reserve",$F300)="reserve"),N($G300),0)))))</f>
        <v/>
      </c>
      <c r="N300" s="30" t="str">
        <f aca="false">IF($C300="","",IF($E300="rejected",N($G300),IF(AND(OR($E300="returned_to_brand",$E300="given_to_roster_office",$E300="released_to_office",$E300="disposed"),IF($F300="","reserve",$F300)="rejected"),-N($G300),IF(AND($E300="correction",IF($F300="","reserve",$F300)="rejected"),N($G300),0))))</f>
        <v/>
      </c>
      <c r="O300" s="30" t="str">
        <f aca="false">IF($C300="","",IF($E300="collected",N($G300),IF(AND(OR($E300="returned_to_brand",$E300="given_to_roster_office",$E300="released_to_office",$E300="disposed"),IF($F300="","reserve",$F300)="leftover"),-N($G300),IF(AND($E300="correction",IF($F300="","reserve",$F300)="leftover"),N($G300),0))))</f>
        <v/>
      </c>
      <c r="P300" s="30" t="str">
        <f aca="false">IF(OR($E300&lt;&gt;"received",$I300="",$L300=""),"",IF($I300&gt;=$L300+config!$B$19,"Y","N"))</f>
        <v/>
      </c>
      <c r="Q300" s="30" t="str">
        <f aca="false">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30" t="str">
        <f aca="false">IF($C300="","",$C300&amp;"|"&amp;$D300&amp;"|"&amp;$E300)</f>
        <v/>
      </c>
    </row>
    <row r="301" customFormat="false" ht="15" hidden="false" customHeight="false" outlineLevel="0" collapsed="false">
      <c r="A301" s="11"/>
      <c r="B301" s="38"/>
      <c r="E301" s="10"/>
      <c r="I301" s="11"/>
      <c r="J301" s="10"/>
      <c r="L301" s="31" t="str">
        <f aca="false">IF($C301="","",IFERROR(IF(INDEX(campaigns!$BG$2:$BG$51,MATCH($C301,campaigns!$A$2:$A$51,0))="","",INDEX(campaigns!$BG$2:$BG$51,MATCH($C301,campaigns!$A$2:$A$51,0))),""))</f>
        <v/>
      </c>
      <c r="M301" s="30" t="str">
        <f aca="false">IF($C301="","",IF(OR($E301="received"),N($G301),IF(OR($E301="rejected",$E301="delivered",$E301="topped_up"),-N($G301),IF(AND(OR($E301="returned_to_brand",$E301="given_to_roster_office",$E301="released_to_office",$E301="disposed"),IF($F301="","reserve",$F301)="reserve"),-N($G301),IF(AND($E301="correction",IF($F301="","reserve",$F301)="reserve"),N($G301),0)))))</f>
        <v/>
      </c>
      <c r="N301" s="30" t="str">
        <f aca="false">IF($C301="","",IF($E301="rejected",N($G301),IF(AND(OR($E301="returned_to_brand",$E301="given_to_roster_office",$E301="released_to_office",$E301="disposed"),IF($F301="","reserve",$F301)="rejected"),-N($G301),IF(AND($E301="correction",IF($F301="","reserve",$F301)="rejected"),N($G301),0))))</f>
        <v/>
      </c>
      <c r="O301" s="30" t="str">
        <f aca="false">IF($C301="","",IF($E301="collected",N($G301),IF(AND(OR($E301="returned_to_brand",$E301="given_to_roster_office",$E301="released_to_office",$E301="disposed"),IF($F301="","reserve",$F301)="leftover"),-N($G301),IF(AND($E301="correction",IF($F301="","reserve",$F301)="leftover"),N($G301),0))))</f>
        <v/>
      </c>
      <c r="P301" s="30" t="str">
        <f aca="false">IF(OR($E301&lt;&gt;"received",$I301="",$L301=""),"",IF($I301&gt;=$L301+config!$B$19,"Y","N"))</f>
        <v/>
      </c>
      <c r="Q301" s="30" t="str">
        <f aca="false">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30" t="str">
        <f aca="false">IF($C301="","",$C301&amp;"|"&amp;$D301&amp;"|"&amp;$E301)</f>
        <v/>
      </c>
    </row>
    <row r="302" customFormat="false" ht="15" hidden="false" customHeight="false" outlineLevel="0" collapsed="false">
      <c r="A302" s="11"/>
      <c r="B302" s="38"/>
      <c r="E302" s="10"/>
      <c r="I302" s="11"/>
      <c r="J302" s="10"/>
      <c r="L302" s="31" t="str">
        <f aca="false">IF($C302="","",IFERROR(IF(INDEX(campaigns!$BG$2:$BG$51,MATCH($C302,campaigns!$A$2:$A$51,0))="","",INDEX(campaigns!$BG$2:$BG$51,MATCH($C302,campaigns!$A$2:$A$51,0))),""))</f>
        <v/>
      </c>
      <c r="M302" s="30" t="str">
        <f aca="false">IF($C302="","",IF(OR($E302="received"),N($G302),IF(OR($E302="rejected",$E302="delivered",$E302="topped_up"),-N($G302),IF(AND(OR($E302="returned_to_brand",$E302="given_to_roster_office",$E302="released_to_office",$E302="disposed"),IF($F302="","reserve",$F302)="reserve"),-N($G302),IF(AND($E302="correction",IF($F302="","reserve",$F302)="reserve"),N($G302),0)))))</f>
        <v/>
      </c>
      <c r="N302" s="30" t="str">
        <f aca="false">IF($C302="","",IF($E302="rejected",N($G302),IF(AND(OR($E302="returned_to_brand",$E302="given_to_roster_office",$E302="released_to_office",$E302="disposed"),IF($F302="","reserve",$F302)="rejected"),-N($G302),IF(AND($E302="correction",IF($F302="","reserve",$F302)="rejected"),N($G302),0))))</f>
        <v/>
      </c>
      <c r="O302" s="30" t="str">
        <f aca="false">IF($C302="","",IF($E302="collected",N($G302),IF(AND(OR($E302="returned_to_brand",$E302="given_to_roster_office",$E302="released_to_office",$E302="disposed"),IF($F302="","reserve",$F302)="leftover"),-N($G302),IF(AND($E302="correction",IF($F302="","reserve",$F302)="leftover"),N($G302),0))))</f>
        <v/>
      </c>
      <c r="P302" s="30" t="str">
        <f aca="false">IF(OR($E302&lt;&gt;"received",$I302="",$L302=""),"",IF($I302&gt;=$L302+config!$B$19,"Y","N"))</f>
        <v/>
      </c>
      <c r="Q302" s="30" t="str">
        <f aca="false">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30" t="str">
        <f aca="false">IF($C302="","",$C302&amp;"|"&amp;$D302&amp;"|"&amp;$E302)</f>
        <v/>
      </c>
    </row>
    <row r="303" customFormat="false" ht="15" hidden="false" customHeight="false" outlineLevel="0" collapsed="false">
      <c r="A303" s="11"/>
      <c r="B303" s="38"/>
      <c r="E303" s="10"/>
      <c r="I303" s="11"/>
      <c r="J303" s="10"/>
      <c r="L303" s="31" t="str">
        <f aca="false">IF($C303="","",IFERROR(IF(INDEX(campaigns!$BG$2:$BG$51,MATCH($C303,campaigns!$A$2:$A$51,0))="","",INDEX(campaigns!$BG$2:$BG$51,MATCH($C303,campaigns!$A$2:$A$51,0))),""))</f>
        <v/>
      </c>
      <c r="M303" s="30" t="str">
        <f aca="false">IF($C303="","",IF(OR($E303="received"),N($G303),IF(OR($E303="rejected",$E303="delivered",$E303="topped_up"),-N($G303),IF(AND(OR($E303="returned_to_brand",$E303="given_to_roster_office",$E303="released_to_office",$E303="disposed"),IF($F303="","reserve",$F303)="reserve"),-N($G303),IF(AND($E303="correction",IF($F303="","reserve",$F303)="reserve"),N($G303),0)))))</f>
        <v/>
      </c>
      <c r="N303" s="30" t="str">
        <f aca="false">IF($C303="","",IF($E303="rejected",N($G303),IF(AND(OR($E303="returned_to_brand",$E303="given_to_roster_office",$E303="released_to_office",$E303="disposed"),IF($F303="","reserve",$F303)="rejected"),-N($G303),IF(AND($E303="correction",IF($F303="","reserve",$F303)="rejected"),N($G303),0))))</f>
        <v/>
      </c>
      <c r="O303" s="30" t="str">
        <f aca="false">IF($C303="","",IF($E303="collected",N($G303),IF(AND(OR($E303="returned_to_brand",$E303="given_to_roster_office",$E303="released_to_office",$E303="disposed"),IF($F303="","reserve",$F303)="leftover"),-N($G303),IF(AND($E303="correction",IF($F303="","reserve",$F303)="leftover"),N($G303),0))))</f>
        <v/>
      </c>
      <c r="P303" s="30" t="str">
        <f aca="false">IF(OR($E303&lt;&gt;"received",$I303="",$L303=""),"",IF($I303&gt;=$L303+config!$B$19,"Y","N"))</f>
        <v/>
      </c>
      <c r="Q303" s="30" t="str">
        <f aca="false">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30" t="str">
        <f aca="false">IF($C303="","",$C303&amp;"|"&amp;$D303&amp;"|"&amp;$E303)</f>
        <v/>
      </c>
    </row>
    <row r="304" customFormat="false" ht="15" hidden="false" customHeight="false" outlineLevel="0" collapsed="false">
      <c r="A304" s="11"/>
      <c r="B304" s="38"/>
      <c r="E304" s="10"/>
      <c r="I304" s="11"/>
      <c r="J304" s="10"/>
      <c r="L304" s="31" t="str">
        <f aca="false">IF($C304="","",IFERROR(IF(INDEX(campaigns!$BG$2:$BG$51,MATCH($C304,campaigns!$A$2:$A$51,0))="","",INDEX(campaigns!$BG$2:$BG$51,MATCH($C304,campaigns!$A$2:$A$51,0))),""))</f>
        <v/>
      </c>
      <c r="M304" s="30" t="str">
        <f aca="false">IF($C304="","",IF(OR($E304="received"),N($G304),IF(OR($E304="rejected",$E304="delivered",$E304="topped_up"),-N($G304),IF(AND(OR($E304="returned_to_brand",$E304="given_to_roster_office",$E304="released_to_office",$E304="disposed"),IF($F304="","reserve",$F304)="reserve"),-N($G304),IF(AND($E304="correction",IF($F304="","reserve",$F304)="reserve"),N($G304),0)))))</f>
        <v/>
      </c>
      <c r="N304" s="30" t="str">
        <f aca="false">IF($C304="","",IF($E304="rejected",N($G304),IF(AND(OR($E304="returned_to_brand",$E304="given_to_roster_office",$E304="released_to_office",$E304="disposed"),IF($F304="","reserve",$F304)="rejected"),-N($G304),IF(AND($E304="correction",IF($F304="","reserve",$F304)="rejected"),N($G304),0))))</f>
        <v/>
      </c>
      <c r="O304" s="30" t="str">
        <f aca="false">IF($C304="","",IF($E304="collected",N($G304),IF(AND(OR($E304="returned_to_brand",$E304="given_to_roster_office",$E304="released_to_office",$E304="disposed"),IF($F304="","reserve",$F304)="leftover"),-N($G304),IF(AND($E304="correction",IF($F304="","reserve",$F304)="leftover"),N($G304),0))))</f>
        <v/>
      </c>
      <c r="P304" s="30" t="str">
        <f aca="false">IF(OR($E304&lt;&gt;"received",$I304="",$L304=""),"",IF($I304&gt;=$L304+config!$B$19,"Y","N"))</f>
        <v/>
      </c>
      <c r="Q304" s="30" t="str">
        <f aca="false">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30" t="str">
        <f aca="false">IF($C304="","",$C304&amp;"|"&amp;$D304&amp;"|"&amp;$E304)</f>
        <v/>
      </c>
    </row>
    <row r="305" customFormat="false" ht="15" hidden="false" customHeight="false" outlineLevel="0" collapsed="false">
      <c r="A305" s="11"/>
      <c r="B305" s="38"/>
      <c r="E305" s="10"/>
      <c r="I305" s="11"/>
      <c r="J305" s="10"/>
      <c r="L305" s="31" t="str">
        <f aca="false">IF($C305="","",IFERROR(IF(INDEX(campaigns!$BG$2:$BG$51,MATCH($C305,campaigns!$A$2:$A$51,0))="","",INDEX(campaigns!$BG$2:$BG$51,MATCH($C305,campaigns!$A$2:$A$51,0))),""))</f>
        <v/>
      </c>
      <c r="M305" s="30" t="str">
        <f aca="false">IF($C305="","",IF(OR($E305="received"),N($G305),IF(OR($E305="rejected",$E305="delivered",$E305="topped_up"),-N($G305),IF(AND(OR($E305="returned_to_brand",$E305="given_to_roster_office",$E305="released_to_office",$E305="disposed"),IF($F305="","reserve",$F305)="reserve"),-N($G305),IF(AND($E305="correction",IF($F305="","reserve",$F305)="reserve"),N($G305),0)))))</f>
        <v/>
      </c>
      <c r="N305" s="30" t="str">
        <f aca="false">IF($C305="","",IF($E305="rejected",N($G305),IF(AND(OR($E305="returned_to_brand",$E305="given_to_roster_office",$E305="released_to_office",$E305="disposed"),IF($F305="","reserve",$F305)="rejected"),-N($G305),IF(AND($E305="correction",IF($F305="","reserve",$F305)="rejected"),N($G305),0))))</f>
        <v/>
      </c>
      <c r="O305" s="30" t="str">
        <f aca="false">IF($C305="","",IF($E305="collected",N($G305),IF(AND(OR($E305="returned_to_brand",$E305="given_to_roster_office",$E305="released_to_office",$E305="disposed"),IF($F305="","reserve",$F305)="leftover"),-N($G305),IF(AND($E305="correction",IF($F305="","reserve",$F305)="leftover"),N($G305),0))))</f>
        <v/>
      </c>
      <c r="P305" s="30" t="str">
        <f aca="false">IF(OR($E305&lt;&gt;"received",$I305="",$L305=""),"",IF($I305&gt;=$L305+config!$B$19,"Y","N"))</f>
        <v/>
      </c>
      <c r="Q305" s="30" t="str">
        <f aca="false">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30" t="str">
        <f aca="false">IF($C305="","",$C305&amp;"|"&amp;$D305&amp;"|"&amp;$E305)</f>
        <v/>
      </c>
    </row>
    <row r="306" customFormat="false" ht="15" hidden="false" customHeight="false" outlineLevel="0" collapsed="false">
      <c r="A306" s="11"/>
      <c r="B306" s="38"/>
      <c r="E306" s="10"/>
      <c r="I306" s="11"/>
      <c r="J306" s="10"/>
      <c r="L306" s="31" t="str">
        <f aca="false">IF($C306="","",IFERROR(IF(INDEX(campaigns!$BG$2:$BG$51,MATCH($C306,campaigns!$A$2:$A$51,0))="","",INDEX(campaigns!$BG$2:$BG$51,MATCH($C306,campaigns!$A$2:$A$51,0))),""))</f>
        <v/>
      </c>
      <c r="M306" s="30" t="str">
        <f aca="false">IF($C306="","",IF(OR($E306="received"),N($G306),IF(OR($E306="rejected",$E306="delivered",$E306="topped_up"),-N($G306),IF(AND(OR($E306="returned_to_brand",$E306="given_to_roster_office",$E306="released_to_office",$E306="disposed"),IF($F306="","reserve",$F306)="reserve"),-N($G306),IF(AND($E306="correction",IF($F306="","reserve",$F306)="reserve"),N($G306),0)))))</f>
        <v/>
      </c>
      <c r="N306" s="30" t="str">
        <f aca="false">IF($C306="","",IF($E306="rejected",N($G306),IF(AND(OR($E306="returned_to_brand",$E306="given_to_roster_office",$E306="released_to_office",$E306="disposed"),IF($F306="","reserve",$F306)="rejected"),-N($G306),IF(AND($E306="correction",IF($F306="","reserve",$F306)="rejected"),N($G306),0))))</f>
        <v/>
      </c>
      <c r="O306" s="30" t="str">
        <f aca="false">IF($C306="","",IF($E306="collected",N($G306),IF(AND(OR($E306="returned_to_brand",$E306="given_to_roster_office",$E306="released_to_office",$E306="disposed"),IF($F306="","reserve",$F306)="leftover"),-N($G306),IF(AND($E306="correction",IF($F306="","reserve",$F306)="leftover"),N($G306),0))))</f>
        <v/>
      </c>
      <c r="P306" s="30" t="str">
        <f aca="false">IF(OR($E306&lt;&gt;"received",$I306="",$L306=""),"",IF($I306&gt;=$L306+config!$B$19,"Y","N"))</f>
        <v/>
      </c>
      <c r="Q306" s="30" t="str">
        <f aca="false">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30" t="str">
        <f aca="false">IF($C306="","",$C306&amp;"|"&amp;$D306&amp;"|"&amp;$E306)</f>
        <v/>
      </c>
    </row>
    <row r="307" customFormat="false" ht="15" hidden="false" customHeight="false" outlineLevel="0" collapsed="false">
      <c r="A307" s="11"/>
      <c r="B307" s="38"/>
      <c r="E307" s="10"/>
      <c r="I307" s="11"/>
      <c r="J307" s="10"/>
      <c r="L307" s="31" t="str">
        <f aca="false">IF($C307="","",IFERROR(IF(INDEX(campaigns!$BG$2:$BG$51,MATCH($C307,campaigns!$A$2:$A$51,0))="","",INDEX(campaigns!$BG$2:$BG$51,MATCH($C307,campaigns!$A$2:$A$51,0))),""))</f>
        <v/>
      </c>
      <c r="M307" s="30" t="str">
        <f aca="false">IF($C307="","",IF(OR($E307="received"),N($G307),IF(OR($E307="rejected",$E307="delivered",$E307="topped_up"),-N($G307),IF(AND(OR($E307="returned_to_brand",$E307="given_to_roster_office",$E307="released_to_office",$E307="disposed"),IF($F307="","reserve",$F307)="reserve"),-N($G307),IF(AND($E307="correction",IF($F307="","reserve",$F307)="reserve"),N($G307),0)))))</f>
        <v/>
      </c>
      <c r="N307" s="30" t="str">
        <f aca="false">IF($C307="","",IF($E307="rejected",N($G307),IF(AND(OR($E307="returned_to_brand",$E307="given_to_roster_office",$E307="released_to_office",$E307="disposed"),IF($F307="","reserve",$F307)="rejected"),-N($G307),IF(AND($E307="correction",IF($F307="","reserve",$F307)="rejected"),N($G307),0))))</f>
        <v/>
      </c>
      <c r="O307" s="30" t="str">
        <f aca="false">IF($C307="","",IF($E307="collected",N($G307),IF(AND(OR($E307="returned_to_brand",$E307="given_to_roster_office",$E307="released_to_office",$E307="disposed"),IF($F307="","reserve",$F307)="leftover"),-N($G307),IF(AND($E307="correction",IF($F307="","reserve",$F307)="leftover"),N($G307),0))))</f>
        <v/>
      </c>
      <c r="P307" s="30" t="str">
        <f aca="false">IF(OR($E307&lt;&gt;"received",$I307="",$L307=""),"",IF($I307&gt;=$L307+config!$B$19,"Y","N"))</f>
        <v/>
      </c>
      <c r="Q307" s="30" t="str">
        <f aca="false">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30" t="str">
        <f aca="false">IF($C307="","",$C307&amp;"|"&amp;$D307&amp;"|"&amp;$E307)</f>
        <v/>
      </c>
    </row>
    <row r="308" customFormat="false" ht="15" hidden="false" customHeight="false" outlineLevel="0" collapsed="false">
      <c r="A308" s="11"/>
      <c r="B308" s="38"/>
      <c r="E308" s="10"/>
      <c r="I308" s="11"/>
      <c r="J308" s="10"/>
      <c r="L308" s="31" t="str">
        <f aca="false">IF($C308="","",IFERROR(IF(INDEX(campaigns!$BG$2:$BG$51,MATCH($C308,campaigns!$A$2:$A$51,0))="","",INDEX(campaigns!$BG$2:$BG$51,MATCH($C308,campaigns!$A$2:$A$51,0))),""))</f>
        <v/>
      </c>
      <c r="M308" s="30" t="str">
        <f aca="false">IF($C308="","",IF(OR($E308="received"),N($G308),IF(OR($E308="rejected",$E308="delivered",$E308="topped_up"),-N($G308),IF(AND(OR($E308="returned_to_brand",$E308="given_to_roster_office",$E308="released_to_office",$E308="disposed"),IF($F308="","reserve",$F308)="reserve"),-N($G308),IF(AND($E308="correction",IF($F308="","reserve",$F308)="reserve"),N($G308),0)))))</f>
        <v/>
      </c>
      <c r="N308" s="30" t="str">
        <f aca="false">IF($C308="","",IF($E308="rejected",N($G308),IF(AND(OR($E308="returned_to_brand",$E308="given_to_roster_office",$E308="released_to_office",$E308="disposed"),IF($F308="","reserve",$F308)="rejected"),-N($G308),IF(AND($E308="correction",IF($F308="","reserve",$F308)="rejected"),N($G308),0))))</f>
        <v/>
      </c>
      <c r="O308" s="30" t="str">
        <f aca="false">IF($C308="","",IF($E308="collected",N($G308),IF(AND(OR($E308="returned_to_brand",$E308="given_to_roster_office",$E308="released_to_office",$E308="disposed"),IF($F308="","reserve",$F308)="leftover"),-N($G308),IF(AND($E308="correction",IF($F308="","reserve",$F308)="leftover"),N($G308),0))))</f>
        <v/>
      </c>
      <c r="P308" s="30" t="str">
        <f aca="false">IF(OR($E308&lt;&gt;"received",$I308="",$L308=""),"",IF($I308&gt;=$L308+config!$B$19,"Y","N"))</f>
        <v/>
      </c>
      <c r="Q308" s="30" t="str">
        <f aca="false">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30" t="str">
        <f aca="false">IF($C308="","",$C308&amp;"|"&amp;$D308&amp;"|"&amp;$E308)</f>
        <v/>
      </c>
    </row>
    <row r="309" customFormat="false" ht="15" hidden="false" customHeight="false" outlineLevel="0" collapsed="false">
      <c r="A309" s="11"/>
      <c r="B309" s="38"/>
      <c r="E309" s="10"/>
      <c r="I309" s="11"/>
      <c r="J309" s="10"/>
      <c r="L309" s="31" t="str">
        <f aca="false">IF($C309="","",IFERROR(IF(INDEX(campaigns!$BG$2:$BG$51,MATCH($C309,campaigns!$A$2:$A$51,0))="","",INDEX(campaigns!$BG$2:$BG$51,MATCH($C309,campaigns!$A$2:$A$51,0))),""))</f>
        <v/>
      </c>
      <c r="M309" s="30" t="str">
        <f aca="false">IF($C309="","",IF(OR($E309="received"),N($G309),IF(OR($E309="rejected",$E309="delivered",$E309="topped_up"),-N($G309),IF(AND(OR($E309="returned_to_brand",$E309="given_to_roster_office",$E309="released_to_office",$E309="disposed"),IF($F309="","reserve",$F309)="reserve"),-N($G309),IF(AND($E309="correction",IF($F309="","reserve",$F309)="reserve"),N($G309),0)))))</f>
        <v/>
      </c>
      <c r="N309" s="30" t="str">
        <f aca="false">IF($C309="","",IF($E309="rejected",N($G309),IF(AND(OR($E309="returned_to_brand",$E309="given_to_roster_office",$E309="released_to_office",$E309="disposed"),IF($F309="","reserve",$F309)="rejected"),-N($G309),IF(AND($E309="correction",IF($F309="","reserve",$F309)="rejected"),N($G309),0))))</f>
        <v/>
      </c>
      <c r="O309" s="30" t="str">
        <f aca="false">IF($C309="","",IF($E309="collected",N($G309),IF(AND(OR($E309="returned_to_brand",$E309="given_to_roster_office",$E309="released_to_office",$E309="disposed"),IF($F309="","reserve",$F309)="leftover"),-N($G309),IF(AND($E309="correction",IF($F309="","reserve",$F309)="leftover"),N($G309),0))))</f>
        <v/>
      </c>
      <c r="P309" s="30" t="str">
        <f aca="false">IF(OR($E309&lt;&gt;"received",$I309="",$L309=""),"",IF($I309&gt;=$L309+config!$B$19,"Y","N"))</f>
        <v/>
      </c>
      <c r="Q309" s="30" t="str">
        <f aca="false">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30" t="str">
        <f aca="false">IF($C309="","",$C309&amp;"|"&amp;$D309&amp;"|"&amp;$E309)</f>
        <v/>
      </c>
    </row>
    <row r="310" customFormat="false" ht="15" hidden="false" customHeight="false" outlineLevel="0" collapsed="false">
      <c r="A310" s="11"/>
      <c r="B310" s="38"/>
      <c r="E310" s="10"/>
      <c r="I310" s="11"/>
      <c r="J310" s="10"/>
      <c r="L310" s="31" t="str">
        <f aca="false">IF($C310="","",IFERROR(IF(INDEX(campaigns!$BG$2:$BG$51,MATCH($C310,campaigns!$A$2:$A$51,0))="","",INDEX(campaigns!$BG$2:$BG$51,MATCH($C310,campaigns!$A$2:$A$51,0))),""))</f>
        <v/>
      </c>
      <c r="M310" s="30" t="str">
        <f aca="false">IF($C310="","",IF(OR($E310="received"),N($G310),IF(OR($E310="rejected",$E310="delivered",$E310="topped_up"),-N($G310),IF(AND(OR($E310="returned_to_brand",$E310="given_to_roster_office",$E310="released_to_office",$E310="disposed"),IF($F310="","reserve",$F310)="reserve"),-N($G310),IF(AND($E310="correction",IF($F310="","reserve",$F310)="reserve"),N($G310),0)))))</f>
        <v/>
      </c>
      <c r="N310" s="30" t="str">
        <f aca="false">IF($C310="","",IF($E310="rejected",N($G310),IF(AND(OR($E310="returned_to_brand",$E310="given_to_roster_office",$E310="released_to_office",$E310="disposed"),IF($F310="","reserve",$F310)="rejected"),-N($G310),IF(AND($E310="correction",IF($F310="","reserve",$F310)="rejected"),N($G310),0))))</f>
        <v/>
      </c>
      <c r="O310" s="30" t="str">
        <f aca="false">IF($C310="","",IF($E310="collected",N($G310),IF(AND(OR($E310="returned_to_brand",$E310="given_to_roster_office",$E310="released_to_office",$E310="disposed"),IF($F310="","reserve",$F310)="leftover"),-N($G310),IF(AND($E310="correction",IF($F310="","reserve",$F310)="leftover"),N($G310),0))))</f>
        <v/>
      </c>
      <c r="P310" s="30" t="str">
        <f aca="false">IF(OR($E310&lt;&gt;"received",$I310="",$L310=""),"",IF($I310&gt;=$L310+config!$B$19,"Y","N"))</f>
        <v/>
      </c>
      <c r="Q310" s="30" t="str">
        <f aca="false">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30" t="str">
        <f aca="false">IF($C310="","",$C310&amp;"|"&amp;$D310&amp;"|"&amp;$E310)</f>
        <v/>
      </c>
    </row>
    <row r="311" customFormat="false" ht="15" hidden="false" customHeight="false" outlineLevel="0" collapsed="false">
      <c r="A311" s="11"/>
      <c r="B311" s="38"/>
      <c r="E311" s="10"/>
      <c r="I311" s="11"/>
      <c r="J311" s="10"/>
      <c r="L311" s="31" t="str">
        <f aca="false">IF($C311="","",IFERROR(IF(INDEX(campaigns!$BG$2:$BG$51,MATCH($C311,campaigns!$A$2:$A$51,0))="","",INDEX(campaigns!$BG$2:$BG$51,MATCH($C311,campaigns!$A$2:$A$51,0))),""))</f>
        <v/>
      </c>
      <c r="M311" s="30" t="str">
        <f aca="false">IF($C311="","",IF(OR($E311="received"),N($G311),IF(OR($E311="rejected",$E311="delivered",$E311="topped_up"),-N($G311),IF(AND(OR($E311="returned_to_brand",$E311="given_to_roster_office",$E311="released_to_office",$E311="disposed"),IF($F311="","reserve",$F311)="reserve"),-N($G311),IF(AND($E311="correction",IF($F311="","reserve",$F311)="reserve"),N($G311),0)))))</f>
        <v/>
      </c>
      <c r="N311" s="30" t="str">
        <f aca="false">IF($C311="","",IF($E311="rejected",N($G311),IF(AND(OR($E311="returned_to_brand",$E311="given_to_roster_office",$E311="released_to_office",$E311="disposed"),IF($F311="","reserve",$F311)="rejected"),-N($G311),IF(AND($E311="correction",IF($F311="","reserve",$F311)="rejected"),N($G311),0))))</f>
        <v/>
      </c>
      <c r="O311" s="30" t="str">
        <f aca="false">IF($C311="","",IF($E311="collected",N($G311),IF(AND(OR($E311="returned_to_brand",$E311="given_to_roster_office",$E311="released_to_office",$E311="disposed"),IF($F311="","reserve",$F311)="leftover"),-N($G311),IF(AND($E311="correction",IF($F311="","reserve",$F311)="leftover"),N($G311),0))))</f>
        <v/>
      </c>
      <c r="P311" s="30" t="str">
        <f aca="false">IF(OR($E311&lt;&gt;"received",$I311="",$L311=""),"",IF($I311&gt;=$L311+config!$B$19,"Y","N"))</f>
        <v/>
      </c>
      <c r="Q311" s="30" t="str">
        <f aca="false">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30" t="str">
        <f aca="false">IF($C311="","",$C311&amp;"|"&amp;$D311&amp;"|"&amp;$E311)</f>
        <v/>
      </c>
    </row>
    <row r="312" customFormat="false" ht="15" hidden="false" customHeight="false" outlineLevel="0" collapsed="false">
      <c r="A312" s="11"/>
      <c r="B312" s="38"/>
      <c r="E312" s="10"/>
      <c r="I312" s="11"/>
      <c r="J312" s="10"/>
      <c r="L312" s="31" t="str">
        <f aca="false">IF($C312="","",IFERROR(IF(INDEX(campaigns!$BG$2:$BG$51,MATCH($C312,campaigns!$A$2:$A$51,0))="","",INDEX(campaigns!$BG$2:$BG$51,MATCH($C312,campaigns!$A$2:$A$51,0))),""))</f>
        <v/>
      </c>
      <c r="M312" s="30" t="str">
        <f aca="false">IF($C312="","",IF(OR($E312="received"),N($G312),IF(OR($E312="rejected",$E312="delivered",$E312="topped_up"),-N($G312),IF(AND(OR($E312="returned_to_brand",$E312="given_to_roster_office",$E312="released_to_office",$E312="disposed"),IF($F312="","reserve",$F312)="reserve"),-N($G312),IF(AND($E312="correction",IF($F312="","reserve",$F312)="reserve"),N($G312),0)))))</f>
        <v/>
      </c>
      <c r="N312" s="30" t="str">
        <f aca="false">IF($C312="","",IF($E312="rejected",N($G312),IF(AND(OR($E312="returned_to_brand",$E312="given_to_roster_office",$E312="released_to_office",$E312="disposed"),IF($F312="","reserve",$F312)="rejected"),-N($G312),IF(AND($E312="correction",IF($F312="","reserve",$F312)="rejected"),N($G312),0))))</f>
        <v/>
      </c>
      <c r="O312" s="30" t="str">
        <f aca="false">IF($C312="","",IF($E312="collected",N($G312),IF(AND(OR($E312="returned_to_brand",$E312="given_to_roster_office",$E312="released_to_office",$E312="disposed"),IF($F312="","reserve",$F312)="leftover"),-N($G312),IF(AND($E312="correction",IF($F312="","reserve",$F312)="leftover"),N($G312),0))))</f>
        <v/>
      </c>
      <c r="P312" s="30" t="str">
        <f aca="false">IF(OR($E312&lt;&gt;"received",$I312="",$L312=""),"",IF($I312&gt;=$L312+config!$B$19,"Y","N"))</f>
        <v/>
      </c>
      <c r="Q312" s="30" t="str">
        <f aca="false">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30" t="str">
        <f aca="false">IF($C312="","",$C312&amp;"|"&amp;$D312&amp;"|"&amp;$E312)</f>
        <v/>
      </c>
    </row>
    <row r="313" customFormat="false" ht="15" hidden="false" customHeight="false" outlineLevel="0" collapsed="false">
      <c r="A313" s="11"/>
      <c r="B313" s="38"/>
      <c r="E313" s="10"/>
      <c r="I313" s="11"/>
      <c r="J313" s="10"/>
      <c r="L313" s="31" t="str">
        <f aca="false">IF($C313="","",IFERROR(IF(INDEX(campaigns!$BG$2:$BG$51,MATCH($C313,campaigns!$A$2:$A$51,0))="","",INDEX(campaigns!$BG$2:$BG$51,MATCH($C313,campaigns!$A$2:$A$51,0))),""))</f>
        <v/>
      </c>
      <c r="M313" s="30" t="str">
        <f aca="false">IF($C313="","",IF(OR($E313="received"),N($G313),IF(OR($E313="rejected",$E313="delivered",$E313="topped_up"),-N($G313),IF(AND(OR($E313="returned_to_brand",$E313="given_to_roster_office",$E313="released_to_office",$E313="disposed"),IF($F313="","reserve",$F313)="reserve"),-N($G313),IF(AND($E313="correction",IF($F313="","reserve",$F313)="reserve"),N($G313),0)))))</f>
        <v/>
      </c>
      <c r="N313" s="30" t="str">
        <f aca="false">IF($C313="","",IF($E313="rejected",N($G313),IF(AND(OR($E313="returned_to_brand",$E313="given_to_roster_office",$E313="released_to_office",$E313="disposed"),IF($F313="","reserve",$F313)="rejected"),-N($G313),IF(AND($E313="correction",IF($F313="","reserve",$F313)="rejected"),N($G313),0))))</f>
        <v/>
      </c>
      <c r="O313" s="30" t="str">
        <f aca="false">IF($C313="","",IF($E313="collected",N($G313),IF(AND(OR($E313="returned_to_brand",$E313="given_to_roster_office",$E313="released_to_office",$E313="disposed"),IF($F313="","reserve",$F313)="leftover"),-N($G313),IF(AND($E313="correction",IF($F313="","reserve",$F313)="leftover"),N($G313),0))))</f>
        <v/>
      </c>
      <c r="P313" s="30" t="str">
        <f aca="false">IF(OR($E313&lt;&gt;"received",$I313="",$L313=""),"",IF($I313&gt;=$L313+config!$B$19,"Y","N"))</f>
        <v/>
      </c>
      <c r="Q313" s="30" t="str">
        <f aca="false">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30" t="str">
        <f aca="false">IF($C313="","",$C313&amp;"|"&amp;$D313&amp;"|"&amp;$E313)</f>
        <v/>
      </c>
    </row>
    <row r="314" customFormat="false" ht="15" hidden="false" customHeight="false" outlineLevel="0" collapsed="false">
      <c r="A314" s="11"/>
      <c r="B314" s="38"/>
      <c r="E314" s="10"/>
      <c r="I314" s="11"/>
      <c r="J314" s="10"/>
      <c r="L314" s="31" t="str">
        <f aca="false">IF($C314="","",IFERROR(IF(INDEX(campaigns!$BG$2:$BG$51,MATCH($C314,campaigns!$A$2:$A$51,0))="","",INDEX(campaigns!$BG$2:$BG$51,MATCH($C314,campaigns!$A$2:$A$51,0))),""))</f>
        <v/>
      </c>
      <c r="M314" s="30" t="str">
        <f aca="false">IF($C314="","",IF(OR($E314="received"),N($G314),IF(OR($E314="rejected",$E314="delivered",$E314="topped_up"),-N($G314),IF(AND(OR($E314="returned_to_brand",$E314="given_to_roster_office",$E314="released_to_office",$E314="disposed"),IF($F314="","reserve",$F314)="reserve"),-N($G314),IF(AND($E314="correction",IF($F314="","reserve",$F314)="reserve"),N($G314),0)))))</f>
        <v/>
      </c>
      <c r="N314" s="30" t="str">
        <f aca="false">IF($C314="","",IF($E314="rejected",N($G314),IF(AND(OR($E314="returned_to_brand",$E314="given_to_roster_office",$E314="released_to_office",$E314="disposed"),IF($F314="","reserve",$F314)="rejected"),-N($G314),IF(AND($E314="correction",IF($F314="","reserve",$F314)="rejected"),N($G314),0))))</f>
        <v/>
      </c>
      <c r="O314" s="30" t="str">
        <f aca="false">IF($C314="","",IF($E314="collected",N($G314),IF(AND(OR($E314="returned_to_brand",$E314="given_to_roster_office",$E314="released_to_office",$E314="disposed"),IF($F314="","reserve",$F314)="leftover"),-N($G314),IF(AND($E314="correction",IF($F314="","reserve",$F314)="leftover"),N($G314),0))))</f>
        <v/>
      </c>
      <c r="P314" s="30" t="str">
        <f aca="false">IF(OR($E314&lt;&gt;"received",$I314="",$L314=""),"",IF($I314&gt;=$L314+config!$B$19,"Y","N"))</f>
        <v/>
      </c>
      <c r="Q314" s="30" t="str">
        <f aca="false">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30" t="str">
        <f aca="false">IF($C314="","",$C314&amp;"|"&amp;$D314&amp;"|"&amp;$E314)</f>
        <v/>
      </c>
    </row>
    <row r="315" customFormat="false" ht="15" hidden="false" customHeight="false" outlineLevel="0" collapsed="false">
      <c r="A315" s="11"/>
      <c r="B315" s="38"/>
      <c r="E315" s="10"/>
      <c r="I315" s="11"/>
      <c r="J315" s="10"/>
      <c r="L315" s="31" t="str">
        <f aca="false">IF($C315="","",IFERROR(IF(INDEX(campaigns!$BG$2:$BG$51,MATCH($C315,campaigns!$A$2:$A$51,0))="","",INDEX(campaigns!$BG$2:$BG$51,MATCH($C315,campaigns!$A$2:$A$51,0))),""))</f>
        <v/>
      </c>
      <c r="M315" s="30" t="str">
        <f aca="false">IF($C315="","",IF(OR($E315="received"),N($G315),IF(OR($E315="rejected",$E315="delivered",$E315="topped_up"),-N($G315),IF(AND(OR($E315="returned_to_brand",$E315="given_to_roster_office",$E315="released_to_office",$E315="disposed"),IF($F315="","reserve",$F315)="reserve"),-N($G315),IF(AND($E315="correction",IF($F315="","reserve",$F315)="reserve"),N($G315),0)))))</f>
        <v/>
      </c>
      <c r="N315" s="30" t="str">
        <f aca="false">IF($C315="","",IF($E315="rejected",N($G315),IF(AND(OR($E315="returned_to_brand",$E315="given_to_roster_office",$E315="released_to_office",$E315="disposed"),IF($F315="","reserve",$F315)="rejected"),-N($G315),IF(AND($E315="correction",IF($F315="","reserve",$F315)="rejected"),N($G315),0))))</f>
        <v/>
      </c>
      <c r="O315" s="30" t="str">
        <f aca="false">IF($C315="","",IF($E315="collected",N($G315),IF(AND(OR($E315="returned_to_brand",$E315="given_to_roster_office",$E315="released_to_office",$E315="disposed"),IF($F315="","reserve",$F315)="leftover"),-N($G315),IF(AND($E315="correction",IF($F315="","reserve",$F315)="leftover"),N($G315),0))))</f>
        <v/>
      </c>
      <c r="P315" s="30" t="str">
        <f aca="false">IF(OR($E315&lt;&gt;"received",$I315="",$L315=""),"",IF($I315&gt;=$L315+config!$B$19,"Y","N"))</f>
        <v/>
      </c>
      <c r="Q315" s="30" t="str">
        <f aca="false">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30" t="str">
        <f aca="false">IF($C315="","",$C315&amp;"|"&amp;$D315&amp;"|"&amp;$E315)</f>
        <v/>
      </c>
    </row>
    <row r="316" customFormat="false" ht="15" hidden="false" customHeight="false" outlineLevel="0" collapsed="false">
      <c r="A316" s="11"/>
      <c r="B316" s="38"/>
      <c r="E316" s="10"/>
      <c r="I316" s="11"/>
      <c r="J316" s="10"/>
      <c r="L316" s="31" t="str">
        <f aca="false">IF($C316="","",IFERROR(IF(INDEX(campaigns!$BG$2:$BG$51,MATCH($C316,campaigns!$A$2:$A$51,0))="","",INDEX(campaigns!$BG$2:$BG$51,MATCH($C316,campaigns!$A$2:$A$51,0))),""))</f>
        <v/>
      </c>
      <c r="M316" s="30" t="str">
        <f aca="false">IF($C316="","",IF(OR($E316="received"),N($G316),IF(OR($E316="rejected",$E316="delivered",$E316="topped_up"),-N($G316),IF(AND(OR($E316="returned_to_brand",$E316="given_to_roster_office",$E316="released_to_office",$E316="disposed"),IF($F316="","reserve",$F316)="reserve"),-N($G316),IF(AND($E316="correction",IF($F316="","reserve",$F316)="reserve"),N($G316),0)))))</f>
        <v/>
      </c>
      <c r="N316" s="30" t="str">
        <f aca="false">IF($C316="","",IF($E316="rejected",N($G316),IF(AND(OR($E316="returned_to_brand",$E316="given_to_roster_office",$E316="released_to_office",$E316="disposed"),IF($F316="","reserve",$F316)="rejected"),-N($G316),IF(AND($E316="correction",IF($F316="","reserve",$F316)="rejected"),N($G316),0))))</f>
        <v/>
      </c>
      <c r="O316" s="30" t="str">
        <f aca="false">IF($C316="","",IF($E316="collected",N($G316),IF(AND(OR($E316="returned_to_brand",$E316="given_to_roster_office",$E316="released_to_office",$E316="disposed"),IF($F316="","reserve",$F316)="leftover"),-N($G316),IF(AND($E316="correction",IF($F316="","reserve",$F316)="leftover"),N($G316),0))))</f>
        <v/>
      </c>
      <c r="P316" s="30" t="str">
        <f aca="false">IF(OR($E316&lt;&gt;"received",$I316="",$L316=""),"",IF($I316&gt;=$L316+config!$B$19,"Y","N"))</f>
        <v/>
      </c>
      <c r="Q316" s="30" t="str">
        <f aca="false">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30" t="str">
        <f aca="false">IF($C316="","",$C316&amp;"|"&amp;$D316&amp;"|"&amp;$E316)</f>
        <v/>
      </c>
    </row>
    <row r="317" customFormat="false" ht="15" hidden="false" customHeight="false" outlineLevel="0" collapsed="false">
      <c r="A317" s="11"/>
      <c r="B317" s="38"/>
      <c r="E317" s="10"/>
      <c r="I317" s="11"/>
      <c r="J317" s="10"/>
      <c r="L317" s="31" t="str">
        <f aca="false">IF($C317="","",IFERROR(IF(INDEX(campaigns!$BG$2:$BG$51,MATCH($C317,campaigns!$A$2:$A$51,0))="","",INDEX(campaigns!$BG$2:$BG$51,MATCH($C317,campaigns!$A$2:$A$51,0))),""))</f>
        <v/>
      </c>
      <c r="M317" s="30" t="str">
        <f aca="false">IF($C317="","",IF(OR($E317="received"),N($G317),IF(OR($E317="rejected",$E317="delivered",$E317="topped_up"),-N($G317),IF(AND(OR($E317="returned_to_brand",$E317="given_to_roster_office",$E317="released_to_office",$E317="disposed"),IF($F317="","reserve",$F317)="reserve"),-N($G317),IF(AND($E317="correction",IF($F317="","reserve",$F317)="reserve"),N($G317),0)))))</f>
        <v/>
      </c>
      <c r="N317" s="30" t="str">
        <f aca="false">IF($C317="","",IF($E317="rejected",N($G317),IF(AND(OR($E317="returned_to_brand",$E317="given_to_roster_office",$E317="released_to_office",$E317="disposed"),IF($F317="","reserve",$F317)="rejected"),-N($G317),IF(AND($E317="correction",IF($F317="","reserve",$F317)="rejected"),N($G317),0))))</f>
        <v/>
      </c>
      <c r="O317" s="30" t="str">
        <f aca="false">IF($C317="","",IF($E317="collected",N($G317),IF(AND(OR($E317="returned_to_brand",$E317="given_to_roster_office",$E317="released_to_office",$E317="disposed"),IF($F317="","reserve",$F317)="leftover"),-N($G317),IF(AND($E317="correction",IF($F317="","reserve",$F317)="leftover"),N($G317),0))))</f>
        <v/>
      </c>
      <c r="P317" s="30" t="str">
        <f aca="false">IF(OR($E317&lt;&gt;"received",$I317="",$L317=""),"",IF($I317&gt;=$L317+config!$B$19,"Y","N"))</f>
        <v/>
      </c>
      <c r="Q317" s="30" t="str">
        <f aca="false">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30" t="str">
        <f aca="false">IF($C317="","",$C317&amp;"|"&amp;$D317&amp;"|"&amp;$E317)</f>
        <v/>
      </c>
    </row>
    <row r="318" customFormat="false" ht="15" hidden="false" customHeight="false" outlineLevel="0" collapsed="false">
      <c r="A318" s="11"/>
      <c r="B318" s="38"/>
      <c r="E318" s="10"/>
      <c r="I318" s="11"/>
      <c r="J318" s="10"/>
      <c r="L318" s="31" t="str">
        <f aca="false">IF($C318="","",IFERROR(IF(INDEX(campaigns!$BG$2:$BG$51,MATCH($C318,campaigns!$A$2:$A$51,0))="","",INDEX(campaigns!$BG$2:$BG$51,MATCH($C318,campaigns!$A$2:$A$51,0))),""))</f>
        <v/>
      </c>
      <c r="M318" s="30" t="str">
        <f aca="false">IF($C318="","",IF(OR($E318="received"),N($G318),IF(OR($E318="rejected",$E318="delivered",$E318="topped_up"),-N($G318),IF(AND(OR($E318="returned_to_brand",$E318="given_to_roster_office",$E318="released_to_office",$E318="disposed"),IF($F318="","reserve",$F318)="reserve"),-N($G318),IF(AND($E318="correction",IF($F318="","reserve",$F318)="reserve"),N($G318),0)))))</f>
        <v/>
      </c>
      <c r="N318" s="30" t="str">
        <f aca="false">IF($C318="","",IF($E318="rejected",N($G318),IF(AND(OR($E318="returned_to_brand",$E318="given_to_roster_office",$E318="released_to_office",$E318="disposed"),IF($F318="","reserve",$F318)="rejected"),-N($G318),IF(AND($E318="correction",IF($F318="","reserve",$F318)="rejected"),N($G318),0))))</f>
        <v/>
      </c>
      <c r="O318" s="30" t="str">
        <f aca="false">IF($C318="","",IF($E318="collected",N($G318),IF(AND(OR($E318="returned_to_brand",$E318="given_to_roster_office",$E318="released_to_office",$E318="disposed"),IF($F318="","reserve",$F318)="leftover"),-N($G318),IF(AND($E318="correction",IF($F318="","reserve",$F318)="leftover"),N($G318),0))))</f>
        <v/>
      </c>
      <c r="P318" s="30" t="str">
        <f aca="false">IF(OR($E318&lt;&gt;"received",$I318="",$L318=""),"",IF($I318&gt;=$L318+config!$B$19,"Y","N"))</f>
        <v/>
      </c>
      <c r="Q318" s="30" t="str">
        <f aca="false">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30" t="str">
        <f aca="false">IF($C318="","",$C318&amp;"|"&amp;$D318&amp;"|"&amp;$E318)</f>
        <v/>
      </c>
    </row>
    <row r="319" customFormat="false" ht="15" hidden="false" customHeight="false" outlineLevel="0" collapsed="false">
      <c r="A319" s="11"/>
      <c r="B319" s="38"/>
      <c r="E319" s="10"/>
      <c r="I319" s="11"/>
      <c r="J319" s="10"/>
      <c r="L319" s="31" t="str">
        <f aca="false">IF($C319="","",IFERROR(IF(INDEX(campaigns!$BG$2:$BG$51,MATCH($C319,campaigns!$A$2:$A$51,0))="","",INDEX(campaigns!$BG$2:$BG$51,MATCH($C319,campaigns!$A$2:$A$51,0))),""))</f>
        <v/>
      </c>
      <c r="M319" s="30" t="str">
        <f aca="false">IF($C319="","",IF(OR($E319="received"),N($G319),IF(OR($E319="rejected",$E319="delivered",$E319="topped_up"),-N($G319),IF(AND(OR($E319="returned_to_brand",$E319="given_to_roster_office",$E319="released_to_office",$E319="disposed"),IF($F319="","reserve",$F319)="reserve"),-N($G319),IF(AND($E319="correction",IF($F319="","reserve",$F319)="reserve"),N($G319),0)))))</f>
        <v/>
      </c>
      <c r="N319" s="30" t="str">
        <f aca="false">IF($C319="","",IF($E319="rejected",N($G319),IF(AND(OR($E319="returned_to_brand",$E319="given_to_roster_office",$E319="released_to_office",$E319="disposed"),IF($F319="","reserve",$F319)="rejected"),-N($G319),IF(AND($E319="correction",IF($F319="","reserve",$F319)="rejected"),N($G319),0))))</f>
        <v/>
      </c>
      <c r="O319" s="30" t="str">
        <f aca="false">IF($C319="","",IF($E319="collected",N($G319),IF(AND(OR($E319="returned_to_brand",$E319="given_to_roster_office",$E319="released_to_office",$E319="disposed"),IF($F319="","reserve",$F319)="leftover"),-N($G319),IF(AND($E319="correction",IF($F319="","reserve",$F319)="leftover"),N($G319),0))))</f>
        <v/>
      </c>
      <c r="P319" s="30" t="str">
        <f aca="false">IF(OR($E319&lt;&gt;"received",$I319="",$L319=""),"",IF($I319&gt;=$L319+config!$B$19,"Y","N"))</f>
        <v/>
      </c>
      <c r="Q319" s="30" t="str">
        <f aca="false">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30" t="str">
        <f aca="false">IF($C319="","",$C319&amp;"|"&amp;$D319&amp;"|"&amp;$E319)</f>
        <v/>
      </c>
    </row>
    <row r="320" customFormat="false" ht="15" hidden="false" customHeight="false" outlineLevel="0" collapsed="false">
      <c r="A320" s="11"/>
      <c r="B320" s="38"/>
      <c r="E320" s="10"/>
      <c r="I320" s="11"/>
      <c r="J320" s="10"/>
      <c r="L320" s="31" t="str">
        <f aca="false">IF($C320="","",IFERROR(IF(INDEX(campaigns!$BG$2:$BG$51,MATCH($C320,campaigns!$A$2:$A$51,0))="","",INDEX(campaigns!$BG$2:$BG$51,MATCH($C320,campaigns!$A$2:$A$51,0))),""))</f>
        <v/>
      </c>
      <c r="M320" s="30" t="str">
        <f aca="false">IF($C320="","",IF(OR($E320="received"),N($G320),IF(OR($E320="rejected",$E320="delivered",$E320="topped_up"),-N($G320),IF(AND(OR($E320="returned_to_brand",$E320="given_to_roster_office",$E320="released_to_office",$E320="disposed"),IF($F320="","reserve",$F320)="reserve"),-N($G320),IF(AND($E320="correction",IF($F320="","reserve",$F320)="reserve"),N($G320),0)))))</f>
        <v/>
      </c>
      <c r="N320" s="30" t="str">
        <f aca="false">IF($C320="","",IF($E320="rejected",N($G320),IF(AND(OR($E320="returned_to_brand",$E320="given_to_roster_office",$E320="released_to_office",$E320="disposed"),IF($F320="","reserve",$F320)="rejected"),-N($G320),IF(AND($E320="correction",IF($F320="","reserve",$F320)="rejected"),N($G320),0))))</f>
        <v/>
      </c>
      <c r="O320" s="30" t="str">
        <f aca="false">IF($C320="","",IF($E320="collected",N($G320),IF(AND(OR($E320="returned_to_brand",$E320="given_to_roster_office",$E320="released_to_office",$E320="disposed"),IF($F320="","reserve",$F320)="leftover"),-N($G320),IF(AND($E320="correction",IF($F320="","reserve",$F320)="leftover"),N($G320),0))))</f>
        <v/>
      </c>
      <c r="P320" s="30" t="str">
        <f aca="false">IF(OR($E320&lt;&gt;"received",$I320="",$L320=""),"",IF($I320&gt;=$L320+config!$B$19,"Y","N"))</f>
        <v/>
      </c>
      <c r="Q320" s="30" t="str">
        <f aca="false">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30" t="str">
        <f aca="false">IF($C320="","",$C320&amp;"|"&amp;$D320&amp;"|"&amp;$E320)</f>
        <v/>
      </c>
    </row>
    <row r="321" customFormat="false" ht="15" hidden="false" customHeight="false" outlineLevel="0" collapsed="false">
      <c r="A321" s="11"/>
      <c r="B321" s="38"/>
      <c r="E321" s="10"/>
      <c r="I321" s="11"/>
      <c r="J321" s="10"/>
      <c r="L321" s="31" t="str">
        <f aca="false">IF($C321="","",IFERROR(IF(INDEX(campaigns!$BG$2:$BG$51,MATCH($C321,campaigns!$A$2:$A$51,0))="","",INDEX(campaigns!$BG$2:$BG$51,MATCH($C321,campaigns!$A$2:$A$51,0))),""))</f>
        <v/>
      </c>
      <c r="M321" s="30" t="str">
        <f aca="false">IF($C321="","",IF(OR($E321="received"),N($G321),IF(OR($E321="rejected",$E321="delivered",$E321="topped_up"),-N($G321),IF(AND(OR($E321="returned_to_brand",$E321="given_to_roster_office",$E321="released_to_office",$E321="disposed"),IF($F321="","reserve",$F321)="reserve"),-N($G321),IF(AND($E321="correction",IF($F321="","reserve",$F321)="reserve"),N($G321),0)))))</f>
        <v/>
      </c>
      <c r="N321" s="30" t="str">
        <f aca="false">IF($C321="","",IF($E321="rejected",N($G321),IF(AND(OR($E321="returned_to_brand",$E321="given_to_roster_office",$E321="released_to_office",$E321="disposed"),IF($F321="","reserve",$F321)="rejected"),-N($G321),IF(AND($E321="correction",IF($F321="","reserve",$F321)="rejected"),N($G321),0))))</f>
        <v/>
      </c>
      <c r="O321" s="30" t="str">
        <f aca="false">IF($C321="","",IF($E321="collected",N($G321),IF(AND(OR($E321="returned_to_brand",$E321="given_to_roster_office",$E321="released_to_office",$E321="disposed"),IF($F321="","reserve",$F321)="leftover"),-N($G321),IF(AND($E321="correction",IF($F321="","reserve",$F321)="leftover"),N($G321),0))))</f>
        <v/>
      </c>
      <c r="P321" s="30" t="str">
        <f aca="false">IF(OR($E321&lt;&gt;"received",$I321="",$L321=""),"",IF($I321&gt;=$L321+config!$B$19,"Y","N"))</f>
        <v/>
      </c>
      <c r="Q321" s="30" t="str">
        <f aca="false">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30" t="str">
        <f aca="false">IF($C321="","",$C321&amp;"|"&amp;$D321&amp;"|"&amp;$E321)</f>
        <v/>
      </c>
    </row>
    <row r="322" customFormat="false" ht="15" hidden="false" customHeight="false" outlineLevel="0" collapsed="false">
      <c r="A322" s="11"/>
      <c r="B322" s="38"/>
      <c r="E322" s="10"/>
      <c r="I322" s="11"/>
      <c r="J322" s="10"/>
      <c r="L322" s="31" t="str">
        <f aca="false">IF($C322="","",IFERROR(IF(INDEX(campaigns!$BG$2:$BG$51,MATCH($C322,campaigns!$A$2:$A$51,0))="","",INDEX(campaigns!$BG$2:$BG$51,MATCH($C322,campaigns!$A$2:$A$51,0))),""))</f>
        <v/>
      </c>
      <c r="M322" s="30" t="str">
        <f aca="false">IF($C322="","",IF(OR($E322="received"),N($G322),IF(OR($E322="rejected",$E322="delivered",$E322="topped_up"),-N($G322),IF(AND(OR($E322="returned_to_brand",$E322="given_to_roster_office",$E322="released_to_office",$E322="disposed"),IF($F322="","reserve",$F322)="reserve"),-N($G322),IF(AND($E322="correction",IF($F322="","reserve",$F322)="reserve"),N($G322),0)))))</f>
        <v/>
      </c>
      <c r="N322" s="30" t="str">
        <f aca="false">IF($C322="","",IF($E322="rejected",N($G322),IF(AND(OR($E322="returned_to_brand",$E322="given_to_roster_office",$E322="released_to_office",$E322="disposed"),IF($F322="","reserve",$F322)="rejected"),-N($G322),IF(AND($E322="correction",IF($F322="","reserve",$F322)="rejected"),N($G322),0))))</f>
        <v/>
      </c>
      <c r="O322" s="30" t="str">
        <f aca="false">IF($C322="","",IF($E322="collected",N($G322),IF(AND(OR($E322="returned_to_brand",$E322="given_to_roster_office",$E322="released_to_office",$E322="disposed"),IF($F322="","reserve",$F322)="leftover"),-N($G322),IF(AND($E322="correction",IF($F322="","reserve",$F322)="leftover"),N($G322),0))))</f>
        <v/>
      </c>
      <c r="P322" s="30" t="str">
        <f aca="false">IF(OR($E322&lt;&gt;"received",$I322="",$L322=""),"",IF($I322&gt;=$L322+config!$B$19,"Y","N"))</f>
        <v/>
      </c>
      <c r="Q322" s="30" t="str">
        <f aca="false">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30" t="str">
        <f aca="false">IF($C322="","",$C322&amp;"|"&amp;$D322&amp;"|"&amp;$E322)</f>
        <v/>
      </c>
    </row>
    <row r="323" customFormat="false" ht="15" hidden="false" customHeight="false" outlineLevel="0" collapsed="false">
      <c r="A323" s="11"/>
      <c r="B323" s="38"/>
      <c r="E323" s="10"/>
      <c r="I323" s="11"/>
      <c r="J323" s="10"/>
      <c r="L323" s="31" t="str">
        <f aca="false">IF($C323="","",IFERROR(IF(INDEX(campaigns!$BG$2:$BG$51,MATCH($C323,campaigns!$A$2:$A$51,0))="","",INDEX(campaigns!$BG$2:$BG$51,MATCH($C323,campaigns!$A$2:$A$51,0))),""))</f>
        <v/>
      </c>
      <c r="M323" s="30" t="str">
        <f aca="false">IF($C323="","",IF(OR($E323="received"),N($G323),IF(OR($E323="rejected",$E323="delivered",$E323="topped_up"),-N($G323),IF(AND(OR($E323="returned_to_brand",$E323="given_to_roster_office",$E323="released_to_office",$E323="disposed"),IF($F323="","reserve",$F323)="reserve"),-N($G323),IF(AND($E323="correction",IF($F323="","reserve",$F323)="reserve"),N($G323),0)))))</f>
        <v/>
      </c>
      <c r="N323" s="30" t="str">
        <f aca="false">IF($C323="","",IF($E323="rejected",N($G323),IF(AND(OR($E323="returned_to_brand",$E323="given_to_roster_office",$E323="released_to_office",$E323="disposed"),IF($F323="","reserve",$F323)="rejected"),-N($G323),IF(AND($E323="correction",IF($F323="","reserve",$F323)="rejected"),N($G323),0))))</f>
        <v/>
      </c>
      <c r="O323" s="30" t="str">
        <f aca="false">IF($C323="","",IF($E323="collected",N($G323),IF(AND(OR($E323="returned_to_brand",$E323="given_to_roster_office",$E323="released_to_office",$E323="disposed"),IF($F323="","reserve",$F323)="leftover"),-N($G323),IF(AND($E323="correction",IF($F323="","reserve",$F323)="leftover"),N($G323),0))))</f>
        <v/>
      </c>
      <c r="P323" s="30" t="str">
        <f aca="false">IF(OR($E323&lt;&gt;"received",$I323="",$L323=""),"",IF($I323&gt;=$L323+config!$B$19,"Y","N"))</f>
        <v/>
      </c>
      <c r="Q323" s="30" t="str">
        <f aca="false">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30" t="str">
        <f aca="false">IF($C323="","",$C323&amp;"|"&amp;$D323&amp;"|"&amp;$E323)</f>
        <v/>
      </c>
    </row>
    <row r="324" customFormat="false" ht="15" hidden="false" customHeight="false" outlineLevel="0" collapsed="false">
      <c r="A324" s="11"/>
      <c r="B324" s="38"/>
      <c r="E324" s="10"/>
      <c r="I324" s="11"/>
      <c r="J324" s="10"/>
      <c r="L324" s="31" t="str">
        <f aca="false">IF($C324="","",IFERROR(IF(INDEX(campaigns!$BG$2:$BG$51,MATCH($C324,campaigns!$A$2:$A$51,0))="","",INDEX(campaigns!$BG$2:$BG$51,MATCH($C324,campaigns!$A$2:$A$51,0))),""))</f>
        <v/>
      </c>
      <c r="M324" s="30" t="str">
        <f aca="false">IF($C324="","",IF(OR($E324="received"),N($G324),IF(OR($E324="rejected",$E324="delivered",$E324="topped_up"),-N($G324),IF(AND(OR($E324="returned_to_brand",$E324="given_to_roster_office",$E324="released_to_office",$E324="disposed"),IF($F324="","reserve",$F324)="reserve"),-N($G324),IF(AND($E324="correction",IF($F324="","reserve",$F324)="reserve"),N($G324),0)))))</f>
        <v/>
      </c>
      <c r="N324" s="30" t="str">
        <f aca="false">IF($C324="","",IF($E324="rejected",N($G324),IF(AND(OR($E324="returned_to_brand",$E324="given_to_roster_office",$E324="released_to_office",$E324="disposed"),IF($F324="","reserve",$F324)="rejected"),-N($G324),IF(AND($E324="correction",IF($F324="","reserve",$F324)="rejected"),N($G324),0))))</f>
        <v/>
      </c>
      <c r="O324" s="30" t="str">
        <f aca="false">IF($C324="","",IF($E324="collected",N($G324),IF(AND(OR($E324="returned_to_brand",$E324="given_to_roster_office",$E324="released_to_office",$E324="disposed"),IF($F324="","reserve",$F324)="leftover"),-N($G324),IF(AND($E324="correction",IF($F324="","reserve",$F324)="leftover"),N($G324),0))))</f>
        <v/>
      </c>
      <c r="P324" s="30" t="str">
        <f aca="false">IF(OR($E324&lt;&gt;"received",$I324="",$L324=""),"",IF($I324&gt;=$L324+config!$B$19,"Y","N"))</f>
        <v/>
      </c>
      <c r="Q324" s="30" t="str">
        <f aca="false">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30" t="str">
        <f aca="false">IF($C324="","",$C324&amp;"|"&amp;$D324&amp;"|"&amp;$E324)</f>
        <v/>
      </c>
    </row>
    <row r="325" customFormat="false" ht="15" hidden="false" customHeight="false" outlineLevel="0" collapsed="false">
      <c r="A325" s="11"/>
      <c r="B325" s="38"/>
      <c r="E325" s="10"/>
      <c r="I325" s="11"/>
      <c r="J325" s="10"/>
      <c r="L325" s="31" t="str">
        <f aca="false">IF($C325="","",IFERROR(IF(INDEX(campaigns!$BG$2:$BG$51,MATCH($C325,campaigns!$A$2:$A$51,0))="","",INDEX(campaigns!$BG$2:$BG$51,MATCH($C325,campaigns!$A$2:$A$51,0))),""))</f>
        <v/>
      </c>
      <c r="M325" s="30" t="str">
        <f aca="false">IF($C325="","",IF(OR($E325="received"),N($G325),IF(OR($E325="rejected",$E325="delivered",$E325="topped_up"),-N($G325),IF(AND(OR($E325="returned_to_brand",$E325="given_to_roster_office",$E325="released_to_office",$E325="disposed"),IF($F325="","reserve",$F325)="reserve"),-N($G325),IF(AND($E325="correction",IF($F325="","reserve",$F325)="reserve"),N($G325),0)))))</f>
        <v/>
      </c>
      <c r="N325" s="30" t="str">
        <f aca="false">IF($C325="","",IF($E325="rejected",N($G325),IF(AND(OR($E325="returned_to_brand",$E325="given_to_roster_office",$E325="released_to_office",$E325="disposed"),IF($F325="","reserve",$F325)="rejected"),-N($G325),IF(AND($E325="correction",IF($F325="","reserve",$F325)="rejected"),N($G325),0))))</f>
        <v/>
      </c>
      <c r="O325" s="30" t="str">
        <f aca="false">IF($C325="","",IF($E325="collected",N($G325),IF(AND(OR($E325="returned_to_brand",$E325="given_to_roster_office",$E325="released_to_office",$E325="disposed"),IF($F325="","reserve",$F325)="leftover"),-N($G325),IF(AND($E325="correction",IF($F325="","reserve",$F325)="leftover"),N($G325),0))))</f>
        <v/>
      </c>
      <c r="P325" s="30" t="str">
        <f aca="false">IF(OR($E325&lt;&gt;"received",$I325="",$L325=""),"",IF($I325&gt;=$L325+config!$B$19,"Y","N"))</f>
        <v/>
      </c>
      <c r="Q325" s="30" t="str">
        <f aca="false">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30" t="str">
        <f aca="false">IF($C325="","",$C325&amp;"|"&amp;$D325&amp;"|"&amp;$E325)</f>
        <v/>
      </c>
    </row>
    <row r="326" customFormat="false" ht="15" hidden="false" customHeight="false" outlineLevel="0" collapsed="false">
      <c r="A326" s="11"/>
      <c r="B326" s="38"/>
      <c r="E326" s="10"/>
      <c r="I326" s="11"/>
      <c r="J326" s="10"/>
      <c r="L326" s="31" t="str">
        <f aca="false">IF($C326="","",IFERROR(IF(INDEX(campaigns!$BG$2:$BG$51,MATCH($C326,campaigns!$A$2:$A$51,0))="","",INDEX(campaigns!$BG$2:$BG$51,MATCH($C326,campaigns!$A$2:$A$51,0))),""))</f>
        <v/>
      </c>
      <c r="M326" s="30" t="str">
        <f aca="false">IF($C326="","",IF(OR($E326="received"),N($G326),IF(OR($E326="rejected",$E326="delivered",$E326="topped_up"),-N($G326),IF(AND(OR($E326="returned_to_brand",$E326="given_to_roster_office",$E326="released_to_office",$E326="disposed"),IF($F326="","reserve",$F326)="reserve"),-N($G326),IF(AND($E326="correction",IF($F326="","reserve",$F326)="reserve"),N($G326),0)))))</f>
        <v/>
      </c>
      <c r="N326" s="30" t="str">
        <f aca="false">IF($C326="","",IF($E326="rejected",N($G326),IF(AND(OR($E326="returned_to_brand",$E326="given_to_roster_office",$E326="released_to_office",$E326="disposed"),IF($F326="","reserve",$F326)="rejected"),-N($G326),IF(AND($E326="correction",IF($F326="","reserve",$F326)="rejected"),N($G326),0))))</f>
        <v/>
      </c>
      <c r="O326" s="30" t="str">
        <f aca="false">IF($C326="","",IF($E326="collected",N($G326),IF(AND(OR($E326="returned_to_brand",$E326="given_to_roster_office",$E326="released_to_office",$E326="disposed"),IF($F326="","reserve",$F326)="leftover"),-N($G326),IF(AND($E326="correction",IF($F326="","reserve",$F326)="leftover"),N($G326),0))))</f>
        <v/>
      </c>
      <c r="P326" s="30" t="str">
        <f aca="false">IF(OR($E326&lt;&gt;"received",$I326="",$L326=""),"",IF($I326&gt;=$L326+config!$B$19,"Y","N"))</f>
        <v/>
      </c>
      <c r="Q326" s="30" t="str">
        <f aca="false">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30" t="str">
        <f aca="false">IF($C326="","",$C326&amp;"|"&amp;$D326&amp;"|"&amp;$E326)</f>
        <v/>
      </c>
    </row>
    <row r="327" customFormat="false" ht="15" hidden="false" customHeight="false" outlineLevel="0" collapsed="false">
      <c r="A327" s="11"/>
      <c r="B327" s="38"/>
      <c r="E327" s="10"/>
      <c r="I327" s="11"/>
      <c r="J327" s="10"/>
      <c r="L327" s="31" t="str">
        <f aca="false">IF($C327="","",IFERROR(IF(INDEX(campaigns!$BG$2:$BG$51,MATCH($C327,campaigns!$A$2:$A$51,0))="","",INDEX(campaigns!$BG$2:$BG$51,MATCH($C327,campaigns!$A$2:$A$51,0))),""))</f>
        <v/>
      </c>
      <c r="M327" s="30" t="str">
        <f aca="false">IF($C327="","",IF(OR($E327="received"),N($G327),IF(OR($E327="rejected",$E327="delivered",$E327="topped_up"),-N($G327),IF(AND(OR($E327="returned_to_brand",$E327="given_to_roster_office",$E327="released_to_office",$E327="disposed"),IF($F327="","reserve",$F327)="reserve"),-N($G327),IF(AND($E327="correction",IF($F327="","reserve",$F327)="reserve"),N($G327),0)))))</f>
        <v/>
      </c>
      <c r="N327" s="30" t="str">
        <f aca="false">IF($C327="","",IF($E327="rejected",N($G327),IF(AND(OR($E327="returned_to_brand",$E327="given_to_roster_office",$E327="released_to_office",$E327="disposed"),IF($F327="","reserve",$F327)="rejected"),-N($G327),IF(AND($E327="correction",IF($F327="","reserve",$F327)="rejected"),N($G327),0))))</f>
        <v/>
      </c>
      <c r="O327" s="30" t="str">
        <f aca="false">IF($C327="","",IF($E327="collected",N($G327),IF(AND(OR($E327="returned_to_brand",$E327="given_to_roster_office",$E327="released_to_office",$E327="disposed"),IF($F327="","reserve",$F327)="leftover"),-N($G327),IF(AND($E327="correction",IF($F327="","reserve",$F327)="leftover"),N($G327),0))))</f>
        <v/>
      </c>
      <c r="P327" s="30" t="str">
        <f aca="false">IF(OR($E327&lt;&gt;"received",$I327="",$L327=""),"",IF($I327&gt;=$L327+config!$B$19,"Y","N"))</f>
        <v/>
      </c>
      <c r="Q327" s="30" t="str">
        <f aca="false">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30" t="str">
        <f aca="false">IF($C327="","",$C327&amp;"|"&amp;$D327&amp;"|"&amp;$E327)</f>
        <v/>
      </c>
    </row>
    <row r="328" customFormat="false" ht="15" hidden="false" customHeight="false" outlineLevel="0" collapsed="false">
      <c r="A328" s="11"/>
      <c r="B328" s="38"/>
      <c r="E328" s="10"/>
      <c r="I328" s="11"/>
      <c r="J328" s="10"/>
      <c r="L328" s="31" t="str">
        <f aca="false">IF($C328="","",IFERROR(IF(INDEX(campaigns!$BG$2:$BG$51,MATCH($C328,campaigns!$A$2:$A$51,0))="","",INDEX(campaigns!$BG$2:$BG$51,MATCH($C328,campaigns!$A$2:$A$51,0))),""))</f>
        <v/>
      </c>
      <c r="M328" s="30" t="str">
        <f aca="false">IF($C328="","",IF(OR($E328="received"),N($G328),IF(OR($E328="rejected",$E328="delivered",$E328="topped_up"),-N($G328),IF(AND(OR($E328="returned_to_brand",$E328="given_to_roster_office",$E328="released_to_office",$E328="disposed"),IF($F328="","reserve",$F328)="reserve"),-N($G328),IF(AND($E328="correction",IF($F328="","reserve",$F328)="reserve"),N($G328),0)))))</f>
        <v/>
      </c>
      <c r="N328" s="30" t="str">
        <f aca="false">IF($C328="","",IF($E328="rejected",N($G328),IF(AND(OR($E328="returned_to_brand",$E328="given_to_roster_office",$E328="released_to_office",$E328="disposed"),IF($F328="","reserve",$F328)="rejected"),-N($G328),IF(AND($E328="correction",IF($F328="","reserve",$F328)="rejected"),N($G328),0))))</f>
        <v/>
      </c>
      <c r="O328" s="30" t="str">
        <f aca="false">IF($C328="","",IF($E328="collected",N($G328),IF(AND(OR($E328="returned_to_brand",$E328="given_to_roster_office",$E328="released_to_office",$E328="disposed"),IF($F328="","reserve",$F328)="leftover"),-N($G328),IF(AND($E328="correction",IF($F328="","reserve",$F328)="leftover"),N($G328),0))))</f>
        <v/>
      </c>
      <c r="P328" s="30" t="str">
        <f aca="false">IF(OR($E328&lt;&gt;"received",$I328="",$L328=""),"",IF($I328&gt;=$L328+config!$B$19,"Y","N"))</f>
        <v/>
      </c>
      <c r="Q328" s="30" t="str">
        <f aca="false">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30" t="str">
        <f aca="false">IF($C328="","",$C328&amp;"|"&amp;$D328&amp;"|"&amp;$E328)</f>
        <v/>
      </c>
    </row>
    <row r="329" customFormat="false" ht="15" hidden="false" customHeight="false" outlineLevel="0" collapsed="false">
      <c r="A329" s="11"/>
      <c r="B329" s="38"/>
      <c r="E329" s="10"/>
      <c r="I329" s="11"/>
      <c r="J329" s="10"/>
      <c r="L329" s="31" t="str">
        <f aca="false">IF($C329="","",IFERROR(IF(INDEX(campaigns!$BG$2:$BG$51,MATCH($C329,campaigns!$A$2:$A$51,0))="","",INDEX(campaigns!$BG$2:$BG$51,MATCH($C329,campaigns!$A$2:$A$51,0))),""))</f>
        <v/>
      </c>
      <c r="M329" s="30" t="str">
        <f aca="false">IF($C329="","",IF(OR($E329="received"),N($G329),IF(OR($E329="rejected",$E329="delivered",$E329="topped_up"),-N($G329),IF(AND(OR($E329="returned_to_brand",$E329="given_to_roster_office",$E329="released_to_office",$E329="disposed"),IF($F329="","reserve",$F329)="reserve"),-N($G329),IF(AND($E329="correction",IF($F329="","reserve",$F329)="reserve"),N($G329),0)))))</f>
        <v/>
      </c>
      <c r="N329" s="30" t="str">
        <f aca="false">IF($C329="","",IF($E329="rejected",N($G329),IF(AND(OR($E329="returned_to_brand",$E329="given_to_roster_office",$E329="released_to_office",$E329="disposed"),IF($F329="","reserve",$F329)="rejected"),-N($G329),IF(AND($E329="correction",IF($F329="","reserve",$F329)="rejected"),N($G329),0))))</f>
        <v/>
      </c>
      <c r="O329" s="30" t="str">
        <f aca="false">IF($C329="","",IF($E329="collected",N($G329),IF(AND(OR($E329="returned_to_brand",$E329="given_to_roster_office",$E329="released_to_office",$E329="disposed"),IF($F329="","reserve",$F329)="leftover"),-N($G329),IF(AND($E329="correction",IF($F329="","reserve",$F329)="leftover"),N($G329),0))))</f>
        <v/>
      </c>
      <c r="P329" s="30" t="str">
        <f aca="false">IF(OR($E329&lt;&gt;"received",$I329="",$L329=""),"",IF($I329&gt;=$L329+config!$B$19,"Y","N"))</f>
        <v/>
      </c>
      <c r="Q329" s="30" t="str">
        <f aca="false">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30" t="str">
        <f aca="false">IF($C329="","",$C329&amp;"|"&amp;$D329&amp;"|"&amp;$E329)</f>
        <v/>
      </c>
    </row>
    <row r="330" customFormat="false" ht="15" hidden="false" customHeight="false" outlineLevel="0" collapsed="false">
      <c r="A330" s="11"/>
      <c r="B330" s="38"/>
      <c r="E330" s="10"/>
      <c r="I330" s="11"/>
      <c r="J330" s="10"/>
      <c r="L330" s="31" t="str">
        <f aca="false">IF($C330="","",IFERROR(IF(INDEX(campaigns!$BG$2:$BG$51,MATCH($C330,campaigns!$A$2:$A$51,0))="","",INDEX(campaigns!$BG$2:$BG$51,MATCH($C330,campaigns!$A$2:$A$51,0))),""))</f>
        <v/>
      </c>
      <c r="M330" s="30" t="str">
        <f aca="false">IF($C330="","",IF(OR($E330="received"),N($G330),IF(OR($E330="rejected",$E330="delivered",$E330="topped_up"),-N($G330),IF(AND(OR($E330="returned_to_brand",$E330="given_to_roster_office",$E330="released_to_office",$E330="disposed"),IF($F330="","reserve",$F330)="reserve"),-N($G330),IF(AND($E330="correction",IF($F330="","reserve",$F330)="reserve"),N($G330),0)))))</f>
        <v/>
      </c>
      <c r="N330" s="30" t="str">
        <f aca="false">IF($C330="","",IF($E330="rejected",N($G330),IF(AND(OR($E330="returned_to_brand",$E330="given_to_roster_office",$E330="released_to_office",$E330="disposed"),IF($F330="","reserve",$F330)="rejected"),-N($G330),IF(AND($E330="correction",IF($F330="","reserve",$F330)="rejected"),N($G330),0))))</f>
        <v/>
      </c>
      <c r="O330" s="30" t="str">
        <f aca="false">IF($C330="","",IF($E330="collected",N($G330),IF(AND(OR($E330="returned_to_brand",$E330="given_to_roster_office",$E330="released_to_office",$E330="disposed"),IF($F330="","reserve",$F330)="leftover"),-N($G330),IF(AND($E330="correction",IF($F330="","reserve",$F330)="leftover"),N($G330),0))))</f>
        <v/>
      </c>
      <c r="P330" s="30" t="str">
        <f aca="false">IF(OR($E330&lt;&gt;"received",$I330="",$L330=""),"",IF($I330&gt;=$L330+config!$B$19,"Y","N"))</f>
        <v/>
      </c>
      <c r="Q330" s="30" t="str">
        <f aca="false">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30" t="str">
        <f aca="false">IF($C330="","",$C330&amp;"|"&amp;$D330&amp;"|"&amp;$E330)</f>
        <v/>
      </c>
    </row>
    <row r="331" customFormat="false" ht="15" hidden="false" customHeight="false" outlineLevel="0" collapsed="false">
      <c r="A331" s="11"/>
      <c r="B331" s="38"/>
      <c r="E331" s="10"/>
      <c r="I331" s="11"/>
      <c r="J331" s="10"/>
      <c r="L331" s="31" t="str">
        <f aca="false">IF($C331="","",IFERROR(IF(INDEX(campaigns!$BG$2:$BG$51,MATCH($C331,campaigns!$A$2:$A$51,0))="","",INDEX(campaigns!$BG$2:$BG$51,MATCH($C331,campaigns!$A$2:$A$51,0))),""))</f>
        <v/>
      </c>
      <c r="M331" s="30" t="str">
        <f aca="false">IF($C331="","",IF(OR($E331="received"),N($G331),IF(OR($E331="rejected",$E331="delivered",$E331="topped_up"),-N($G331),IF(AND(OR($E331="returned_to_brand",$E331="given_to_roster_office",$E331="released_to_office",$E331="disposed"),IF($F331="","reserve",$F331)="reserve"),-N($G331),IF(AND($E331="correction",IF($F331="","reserve",$F331)="reserve"),N($G331),0)))))</f>
        <v/>
      </c>
      <c r="N331" s="30" t="str">
        <f aca="false">IF($C331="","",IF($E331="rejected",N($G331),IF(AND(OR($E331="returned_to_brand",$E331="given_to_roster_office",$E331="released_to_office",$E331="disposed"),IF($F331="","reserve",$F331)="rejected"),-N($G331),IF(AND($E331="correction",IF($F331="","reserve",$F331)="rejected"),N($G331),0))))</f>
        <v/>
      </c>
      <c r="O331" s="30" t="str">
        <f aca="false">IF($C331="","",IF($E331="collected",N($G331),IF(AND(OR($E331="returned_to_brand",$E331="given_to_roster_office",$E331="released_to_office",$E331="disposed"),IF($F331="","reserve",$F331)="leftover"),-N($G331),IF(AND($E331="correction",IF($F331="","reserve",$F331)="leftover"),N($G331),0))))</f>
        <v/>
      </c>
      <c r="P331" s="30" t="str">
        <f aca="false">IF(OR($E331&lt;&gt;"received",$I331="",$L331=""),"",IF($I331&gt;=$L331+config!$B$19,"Y","N"))</f>
        <v/>
      </c>
      <c r="Q331" s="30" t="str">
        <f aca="false">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30" t="str">
        <f aca="false">IF($C331="","",$C331&amp;"|"&amp;$D331&amp;"|"&amp;$E331)</f>
        <v/>
      </c>
    </row>
    <row r="332" customFormat="false" ht="15" hidden="false" customHeight="false" outlineLevel="0" collapsed="false">
      <c r="A332" s="11"/>
      <c r="B332" s="38"/>
      <c r="E332" s="10"/>
      <c r="I332" s="11"/>
      <c r="J332" s="10"/>
      <c r="L332" s="31" t="str">
        <f aca="false">IF($C332="","",IFERROR(IF(INDEX(campaigns!$BG$2:$BG$51,MATCH($C332,campaigns!$A$2:$A$51,0))="","",INDEX(campaigns!$BG$2:$BG$51,MATCH($C332,campaigns!$A$2:$A$51,0))),""))</f>
        <v/>
      </c>
      <c r="M332" s="30" t="str">
        <f aca="false">IF($C332="","",IF(OR($E332="received"),N($G332),IF(OR($E332="rejected",$E332="delivered",$E332="topped_up"),-N($G332),IF(AND(OR($E332="returned_to_brand",$E332="given_to_roster_office",$E332="released_to_office",$E332="disposed"),IF($F332="","reserve",$F332)="reserve"),-N($G332),IF(AND($E332="correction",IF($F332="","reserve",$F332)="reserve"),N($G332),0)))))</f>
        <v/>
      </c>
      <c r="N332" s="30" t="str">
        <f aca="false">IF($C332="","",IF($E332="rejected",N($G332),IF(AND(OR($E332="returned_to_brand",$E332="given_to_roster_office",$E332="released_to_office",$E332="disposed"),IF($F332="","reserve",$F332)="rejected"),-N($G332),IF(AND($E332="correction",IF($F332="","reserve",$F332)="rejected"),N($G332),0))))</f>
        <v/>
      </c>
      <c r="O332" s="30" t="str">
        <f aca="false">IF($C332="","",IF($E332="collected",N($G332),IF(AND(OR($E332="returned_to_brand",$E332="given_to_roster_office",$E332="released_to_office",$E332="disposed"),IF($F332="","reserve",$F332)="leftover"),-N($G332),IF(AND($E332="correction",IF($F332="","reserve",$F332)="leftover"),N($G332),0))))</f>
        <v/>
      </c>
      <c r="P332" s="30" t="str">
        <f aca="false">IF(OR($E332&lt;&gt;"received",$I332="",$L332=""),"",IF($I332&gt;=$L332+config!$B$19,"Y","N"))</f>
        <v/>
      </c>
      <c r="Q332" s="30" t="str">
        <f aca="false">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30" t="str">
        <f aca="false">IF($C332="","",$C332&amp;"|"&amp;$D332&amp;"|"&amp;$E332)</f>
        <v/>
      </c>
    </row>
    <row r="333" customFormat="false" ht="15" hidden="false" customHeight="false" outlineLevel="0" collapsed="false">
      <c r="A333" s="11"/>
      <c r="B333" s="38"/>
      <c r="E333" s="10"/>
      <c r="I333" s="11"/>
      <c r="J333" s="10"/>
      <c r="L333" s="31" t="str">
        <f aca="false">IF($C333="","",IFERROR(IF(INDEX(campaigns!$BG$2:$BG$51,MATCH($C333,campaigns!$A$2:$A$51,0))="","",INDEX(campaigns!$BG$2:$BG$51,MATCH($C333,campaigns!$A$2:$A$51,0))),""))</f>
        <v/>
      </c>
      <c r="M333" s="30" t="str">
        <f aca="false">IF($C333="","",IF(OR($E333="received"),N($G333),IF(OR($E333="rejected",$E333="delivered",$E333="topped_up"),-N($G333),IF(AND(OR($E333="returned_to_brand",$E333="given_to_roster_office",$E333="released_to_office",$E333="disposed"),IF($F333="","reserve",$F333)="reserve"),-N($G333),IF(AND($E333="correction",IF($F333="","reserve",$F333)="reserve"),N($G333),0)))))</f>
        <v/>
      </c>
      <c r="N333" s="30" t="str">
        <f aca="false">IF($C333="","",IF($E333="rejected",N($G333),IF(AND(OR($E333="returned_to_brand",$E333="given_to_roster_office",$E333="released_to_office",$E333="disposed"),IF($F333="","reserve",$F333)="rejected"),-N($G333),IF(AND($E333="correction",IF($F333="","reserve",$F333)="rejected"),N($G333),0))))</f>
        <v/>
      </c>
      <c r="O333" s="30" t="str">
        <f aca="false">IF($C333="","",IF($E333="collected",N($G333),IF(AND(OR($E333="returned_to_brand",$E333="given_to_roster_office",$E333="released_to_office",$E333="disposed"),IF($F333="","reserve",$F333)="leftover"),-N($G333),IF(AND($E333="correction",IF($F333="","reserve",$F333)="leftover"),N($G333),0))))</f>
        <v/>
      </c>
      <c r="P333" s="30" t="str">
        <f aca="false">IF(OR($E333&lt;&gt;"received",$I333="",$L333=""),"",IF($I333&gt;=$L333+config!$B$19,"Y","N"))</f>
        <v/>
      </c>
      <c r="Q333" s="30" t="str">
        <f aca="false">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30" t="str">
        <f aca="false">IF($C333="","",$C333&amp;"|"&amp;$D333&amp;"|"&amp;$E333)</f>
        <v/>
      </c>
    </row>
    <row r="334" customFormat="false" ht="15" hidden="false" customHeight="false" outlineLevel="0" collapsed="false">
      <c r="A334" s="11"/>
      <c r="B334" s="38"/>
      <c r="E334" s="10"/>
      <c r="I334" s="11"/>
      <c r="J334" s="10"/>
      <c r="L334" s="31" t="str">
        <f aca="false">IF($C334="","",IFERROR(IF(INDEX(campaigns!$BG$2:$BG$51,MATCH($C334,campaigns!$A$2:$A$51,0))="","",INDEX(campaigns!$BG$2:$BG$51,MATCH($C334,campaigns!$A$2:$A$51,0))),""))</f>
        <v/>
      </c>
      <c r="M334" s="30" t="str">
        <f aca="false">IF($C334="","",IF(OR($E334="received"),N($G334),IF(OR($E334="rejected",$E334="delivered",$E334="topped_up"),-N($G334),IF(AND(OR($E334="returned_to_brand",$E334="given_to_roster_office",$E334="released_to_office",$E334="disposed"),IF($F334="","reserve",$F334)="reserve"),-N($G334),IF(AND($E334="correction",IF($F334="","reserve",$F334)="reserve"),N($G334),0)))))</f>
        <v/>
      </c>
      <c r="N334" s="30" t="str">
        <f aca="false">IF($C334="","",IF($E334="rejected",N($G334),IF(AND(OR($E334="returned_to_brand",$E334="given_to_roster_office",$E334="released_to_office",$E334="disposed"),IF($F334="","reserve",$F334)="rejected"),-N($G334),IF(AND($E334="correction",IF($F334="","reserve",$F334)="rejected"),N($G334),0))))</f>
        <v/>
      </c>
      <c r="O334" s="30" t="str">
        <f aca="false">IF($C334="","",IF($E334="collected",N($G334),IF(AND(OR($E334="returned_to_brand",$E334="given_to_roster_office",$E334="released_to_office",$E334="disposed"),IF($F334="","reserve",$F334)="leftover"),-N($G334),IF(AND($E334="correction",IF($F334="","reserve",$F334)="leftover"),N($G334),0))))</f>
        <v/>
      </c>
      <c r="P334" s="30" t="str">
        <f aca="false">IF(OR($E334&lt;&gt;"received",$I334="",$L334=""),"",IF($I334&gt;=$L334+config!$B$19,"Y","N"))</f>
        <v/>
      </c>
      <c r="Q334" s="30" t="str">
        <f aca="false">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30" t="str">
        <f aca="false">IF($C334="","",$C334&amp;"|"&amp;$D334&amp;"|"&amp;$E334)</f>
        <v/>
      </c>
    </row>
    <row r="335" customFormat="false" ht="15" hidden="false" customHeight="false" outlineLevel="0" collapsed="false">
      <c r="A335" s="11"/>
      <c r="B335" s="38"/>
      <c r="E335" s="10"/>
      <c r="I335" s="11"/>
      <c r="J335" s="10"/>
      <c r="L335" s="31" t="str">
        <f aca="false">IF($C335="","",IFERROR(IF(INDEX(campaigns!$BG$2:$BG$51,MATCH($C335,campaigns!$A$2:$A$51,0))="","",INDEX(campaigns!$BG$2:$BG$51,MATCH($C335,campaigns!$A$2:$A$51,0))),""))</f>
        <v/>
      </c>
      <c r="M335" s="30" t="str">
        <f aca="false">IF($C335="","",IF(OR($E335="received"),N($G335),IF(OR($E335="rejected",$E335="delivered",$E335="topped_up"),-N($G335),IF(AND(OR($E335="returned_to_brand",$E335="given_to_roster_office",$E335="released_to_office",$E335="disposed"),IF($F335="","reserve",$F335)="reserve"),-N($G335),IF(AND($E335="correction",IF($F335="","reserve",$F335)="reserve"),N($G335),0)))))</f>
        <v/>
      </c>
      <c r="N335" s="30" t="str">
        <f aca="false">IF($C335="","",IF($E335="rejected",N($G335),IF(AND(OR($E335="returned_to_brand",$E335="given_to_roster_office",$E335="released_to_office",$E335="disposed"),IF($F335="","reserve",$F335)="rejected"),-N($G335),IF(AND($E335="correction",IF($F335="","reserve",$F335)="rejected"),N($G335),0))))</f>
        <v/>
      </c>
      <c r="O335" s="30" t="str">
        <f aca="false">IF($C335="","",IF($E335="collected",N($G335),IF(AND(OR($E335="returned_to_brand",$E335="given_to_roster_office",$E335="released_to_office",$E335="disposed"),IF($F335="","reserve",$F335)="leftover"),-N($G335),IF(AND($E335="correction",IF($F335="","reserve",$F335)="leftover"),N($G335),0))))</f>
        <v/>
      </c>
      <c r="P335" s="30" t="str">
        <f aca="false">IF(OR($E335&lt;&gt;"received",$I335="",$L335=""),"",IF($I335&gt;=$L335+config!$B$19,"Y","N"))</f>
        <v/>
      </c>
      <c r="Q335" s="30" t="str">
        <f aca="false">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30" t="str">
        <f aca="false">IF($C335="","",$C335&amp;"|"&amp;$D335&amp;"|"&amp;$E335)</f>
        <v/>
      </c>
    </row>
    <row r="336" customFormat="false" ht="15" hidden="false" customHeight="false" outlineLevel="0" collapsed="false">
      <c r="A336" s="11"/>
      <c r="B336" s="38"/>
      <c r="E336" s="10"/>
      <c r="I336" s="11"/>
      <c r="J336" s="10"/>
      <c r="L336" s="31" t="str">
        <f aca="false">IF($C336="","",IFERROR(IF(INDEX(campaigns!$BG$2:$BG$51,MATCH($C336,campaigns!$A$2:$A$51,0))="","",INDEX(campaigns!$BG$2:$BG$51,MATCH($C336,campaigns!$A$2:$A$51,0))),""))</f>
        <v/>
      </c>
      <c r="M336" s="30" t="str">
        <f aca="false">IF($C336="","",IF(OR($E336="received"),N($G336),IF(OR($E336="rejected",$E336="delivered",$E336="topped_up"),-N($G336),IF(AND(OR($E336="returned_to_brand",$E336="given_to_roster_office",$E336="released_to_office",$E336="disposed"),IF($F336="","reserve",$F336)="reserve"),-N($G336),IF(AND($E336="correction",IF($F336="","reserve",$F336)="reserve"),N($G336),0)))))</f>
        <v/>
      </c>
      <c r="N336" s="30" t="str">
        <f aca="false">IF($C336="","",IF($E336="rejected",N($G336),IF(AND(OR($E336="returned_to_brand",$E336="given_to_roster_office",$E336="released_to_office",$E336="disposed"),IF($F336="","reserve",$F336)="rejected"),-N($G336),IF(AND($E336="correction",IF($F336="","reserve",$F336)="rejected"),N($G336),0))))</f>
        <v/>
      </c>
      <c r="O336" s="30" t="str">
        <f aca="false">IF($C336="","",IF($E336="collected",N($G336),IF(AND(OR($E336="returned_to_brand",$E336="given_to_roster_office",$E336="released_to_office",$E336="disposed"),IF($F336="","reserve",$F336)="leftover"),-N($G336),IF(AND($E336="correction",IF($F336="","reserve",$F336)="leftover"),N($G336),0))))</f>
        <v/>
      </c>
      <c r="P336" s="30" t="str">
        <f aca="false">IF(OR($E336&lt;&gt;"received",$I336="",$L336=""),"",IF($I336&gt;=$L336+config!$B$19,"Y","N"))</f>
        <v/>
      </c>
      <c r="Q336" s="30" t="str">
        <f aca="false">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30" t="str">
        <f aca="false">IF($C336="","",$C336&amp;"|"&amp;$D336&amp;"|"&amp;$E336)</f>
        <v/>
      </c>
    </row>
    <row r="337" customFormat="false" ht="15" hidden="false" customHeight="false" outlineLevel="0" collapsed="false">
      <c r="A337" s="11"/>
      <c r="B337" s="38"/>
      <c r="E337" s="10"/>
      <c r="I337" s="11"/>
      <c r="J337" s="10"/>
      <c r="L337" s="31" t="str">
        <f aca="false">IF($C337="","",IFERROR(IF(INDEX(campaigns!$BG$2:$BG$51,MATCH($C337,campaigns!$A$2:$A$51,0))="","",INDEX(campaigns!$BG$2:$BG$51,MATCH($C337,campaigns!$A$2:$A$51,0))),""))</f>
        <v/>
      </c>
      <c r="M337" s="30" t="str">
        <f aca="false">IF($C337="","",IF(OR($E337="received"),N($G337),IF(OR($E337="rejected",$E337="delivered",$E337="topped_up"),-N($G337),IF(AND(OR($E337="returned_to_brand",$E337="given_to_roster_office",$E337="released_to_office",$E337="disposed"),IF($F337="","reserve",$F337)="reserve"),-N($G337),IF(AND($E337="correction",IF($F337="","reserve",$F337)="reserve"),N($G337),0)))))</f>
        <v/>
      </c>
      <c r="N337" s="30" t="str">
        <f aca="false">IF($C337="","",IF($E337="rejected",N($G337),IF(AND(OR($E337="returned_to_brand",$E337="given_to_roster_office",$E337="released_to_office",$E337="disposed"),IF($F337="","reserve",$F337)="rejected"),-N($G337),IF(AND($E337="correction",IF($F337="","reserve",$F337)="rejected"),N($G337),0))))</f>
        <v/>
      </c>
      <c r="O337" s="30" t="str">
        <f aca="false">IF($C337="","",IF($E337="collected",N($G337),IF(AND(OR($E337="returned_to_brand",$E337="given_to_roster_office",$E337="released_to_office",$E337="disposed"),IF($F337="","reserve",$F337)="leftover"),-N($G337),IF(AND($E337="correction",IF($F337="","reserve",$F337)="leftover"),N($G337),0))))</f>
        <v/>
      </c>
      <c r="P337" s="30" t="str">
        <f aca="false">IF(OR($E337&lt;&gt;"received",$I337="",$L337=""),"",IF($I337&gt;=$L337+config!$B$19,"Y","N"))</f>
        <v/>
      </c>
      <c r="Q337" s="30" t="str">
        <f aca="false">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30" t="str">
        <f aca="false">IF($C337="","",$C337&amp;"|"&amp;$D337&amp;"|"&amp;$E337)</f>
        <v/>
      </c>
    </row>
    <row r="338" customFormat="false" ht="15" hidden="false" customHeight="false" outlineLevel="0" collapsed="false">
      <c r="A338" s="11"/>
      <c r="B338" s="38"/>
      <c r="E338" s="10"/>
      <c r="I338" s="11"/>
      <c r="J338" s="10"/>
      <c r="L338" s="31" t="str">
        <f aca="false">IF($C338="","",IFERROR(IF(INDEX(campaigns!$BG$2:$BG$51,MATCH($C338,campaigns!$A$2:$A$51,0))="","",INDEX(campaigns!$BG$2:$BG$51,MATCH($C338,campaigns!$A$2:$A$51,0))),""))</f>
        <v/>
      </c>
      <c r="M338" s="30" t="str">
        <f aca="false">IF($C338="","",IF(OR($E338="received"),N($G338),IF(OR($E338="rejected",$E338="delivered",$E338="topped_up"),-N($G338),IF(AND(OR($E338="returned_to_brand",$E338="given_to_roster_office",$E338="released_to_office",$E338="disposed"),IF($F338="","reserve",$F338)="reserve"),-N($G338),IF(AND($E338="correction",IF($F338="","reserve",$F338)="reserve"),N($G338),0)))))</f>
        <v/>
      </c>
      <c r="N338" s="30" t="str">
        <f aca="false">IF($C338="","",IF($E338="rejected",N($G338),IF(AND(OR($E338="returned_to_brand",$E338="given_to_roster_office",$E338="released_to_office",$E338="disposed"),IF($F338="","reserve",$F338)="rejected"),-N($G338),IF(AND($E338="correction",IF($F338="","reserve",$F338)="rejected"),N($G338),0))))</f>
        <v/>
      </c>
      <c r="O338" s="30" t="str">
        <f aca="false">IF($C338="","",IF($E338="collected",N($G338),IF(AND(OR($E338="returned_to_brand",$E338="given_to_roster_office",$E338="released_to_office",$E338="disposed"),IF($F338="","reserve",$F338)="leftover"),-N($G338),IF(AND($E338="correction",IF($F338="","reserve",$F338)="leftover"),N($G338),0))))</f>
        <v/>
      </c>
      <c r="P338" s="30" t="str">
        <f aca="false">IF(OR($E338&lt;&gt;"received",$I338="",$L338=""),"",IF($I338&gt;=$L338+config!$B$19,"Y","N"))</f>
        <v/>
      </c>
      <c r="Q338" s="30" t="str">
        <f aca="false">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30" t="str">
        <f aca="false">IF($C338="","",$C338&amp;"|"&amp;$D338&amp;"|"&amp;$E338)</f>
        <v/>
      </c>
    </row>
    <row r="339" customFormat="false" ht="15" hidden="false" customHeight="false" outlineLevel="0" collapsed="false">
      <c r="A339" s="11"/>
      <c r="B339" s="38"/>
      <c r="E339" s="10"/>
      <c r="I339" s="11"/>
      <c r="J339" s="10"/>
      <c r="L339" s="31" t="str">
        <f aca="false">IF($C339="","",IFERROR(IF(INDEX(campaigns!$BG$2:$BG$51,MATCH($C339,campaigns!$A$2:$A$51,0))="","",INDEX(campaigns!$BG$2:$BG$51,MATCH($C339,campaigns!$A$2:$A$51,0))),""))</f>
        <v/>
      </c>
      <c r="M339" s="30" t="str">
        <f aca="false">IF($C339="","",IF(OR($E339="received"),N($G339),IF(OR($E339="rejected",$E339="delivered",$E339="topped_up"),-N($G339),IF(AND(OR($E339="returned_to_brand",$E339="given_to_roster_office",$E339="released_to_office",$E339="disposed"),IF($F339="","reserve",$F339)="reserve"),-N($G339),IF(AND($E339="correction",IF($F339="","reserve",$F339)="reserve"),N($G339),0)))))</f>
        <v/>
      </c>
      <c r="N339" s="30" t="str">
        <f aca="false">IF($C339="","",IF($E339="rejected",N($G339),IF(AND(OR($E339="returned_to_brand",$E339="given_to_roster_office",$E339="released_to_office",$E339="disposed"),IF($F339="","reserve",$F339)="rejected"),-N($G339),IF(AND($E339="correction",IF($F339="","reserve",$F339)="rejected"),N($G339),0))))</f>
        <v/>
      </c>
      <c r="O339" s="30" t="str">
        <f aca="false">IF($C339="","",IF($E339="collected",N($G339),IF(AND(OR($E339="returned_to_brand",$E339="given_to_roster_office",$E339="released_to_office",$E339="disposed"),IF($F339="","reserve",$F339)="leftover"),-N($G339),IF(AND($E339="correction",IF($F339="","reserve",$F339)="leftover"),N($G339),0))))</f>
        <v/>
      </c>
      <c r="P339" s="30" t="str">
        <f aca="false">IF(OR($E339&lt;&gt;"received",$I339="",$L339=""),"",IF($I339&gt;=$L339+config!$B$19,"Y","N"))</f>
        <v/>
      </c>
      <c r="Q339" s="30" t="str">
        <f aca="false">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30" t="str">
        <f aca="false">IF($C339="","",$C339&amp;"|"&amp;$D339&amp;"|"&amp;$E339)</f>
        <v/>
      </c>
    </row>
    <row r="340" customFormat="false" ht="15" hidden="false" customHeight="false" outlineLevel="0" collapsed="false">
      <c r="A340" s="11"/>
      <c r="B340" s="38"/>
      <c r="E340" s="10"/>
      <c r="I340" s="11"/>
      <c r="J340" s="10"/>
      <c r="L340" s="31" t="str">
        <f aca="false">IF($C340="","",IFERROR(IF(INDEX(campaigns!$BG$2:$BG$51,MATCH($C340,campaigns!$A$2:$A$51,0))="","",INDEX(campaigns!$BG$2:$BG$51,MATCH($C340,campaigns!$A$2:$A$51,0))),""))</f>
        <v/>
      </c>
      <c r="M340" s="30" t="str">
        <f aca="false">IF($C340="","",IF(OR($E340="received"),N($G340),IF(OR($E340="rejected",$E340="delivered",$E340="topped_up"),-N($G340),IF(AND(OR($E340="returned_to_brand",$E340="given_to_roster_office",$E340="released_to_office",$E340="disposed"),IF($F340="","reserve",$F340)="reserve"),-N($G340),IF(AND($E340="correction",IF($F340="","reserve",$F340)="reserve"),N($G340),0)))))</f>
        <v/>
      </c>
      <c r="N340" s="30" t="str">
        <f aca="false">IF($C340="","",IF($E340="rejected",N($G340),IF(AND(OR($E340="returned_to_brand",$E340="given_to_roster_office",$E340="released_to_office",$E340="disposed"),IF($F340="","reserve",$F340)="rejected"),-N($G340),IF(AND($E340="correction",IF($F340="","reserve",$F340)="rejected"),N($G340),0))))</f>
        <v/>
      </c>
      <c r="O340" s="30" t="str">
        <f aca="false">IF($C340="","",IF($E340="collected",N($G340),IF(AND(OR($E340="returned_to_brand",$E340="given_to_roster_office",$E340="released_to_office",$E340="disposed"),IF($F340="","reserve",$F340)="leftover"),-N($G340),IF(AND($E340="correction",IF($F340="","reserve",$F340)="leftover"),N($G340),0))))</f>
        <v/>
      </c>
      <c r="P340" s="30" t="str">
        <f aca="false">IF(OR($E340&lt;&gt;"received",$I340="",$L340=""),"",IF($I340&gt;=$L340+config!$B$19,"Y","N"))</f>
        <v/>
      </c>
      <c r="Q340" s="30" t="str">
        <f aca="false">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30" t="str">
        <f aca="false">IF($C340="","",$C340&amp;"|"&amp;$D340&amp;"|"&amp;$E340)</f>
        <v/>
      </c>
    </row>
    <row r="341" customFormat="false" ht="15" hidden="false" customHeight="false" outlineLevel="0" collapsed="false">
      <c r="A341" s="11"/>
      <c r="B341" s="38"/>
      <c r="E341" s="10"/>
      <c r="I341" s="11"/>
      <c r="J341" s="10"/>
      <c r="L341" s="31" t="str">
        <f aca="false">IF($C341="","",IFERROR(IF(INDEX(campaigns!$BG$2:$BG$51,MATCH($C341,campaigns!$A$2:$A$51,0))="","",INDEX(campaigns!$BG$2:$BG$51,MATCH($C341,campaigns!$A$2:$A$51,0))),""))</f>
        <v/>
      </c>
      <c r="M341" s="30" t="str">
        <f aca="false">IF($C341="","",IF(OR($E341="received"),N($G341),IF(OR($E341="rejected",$E341="delivered",$E341="topped_up"),-N($G341),IF(AND(OR($E341="returned_to_brand",$E341="given_to_roster_office",$E341="released_to_office",$E341="disposed"),IF($F341="","reserve",$F341)="reserve"),-N($G341),IF(AND($E341="correction",IF($F341="","reserve",$F341)="reserve"),N($G341),0)))))</f>
        <v/>
      </c>
      <c r="N341" s="30" t="str">
        <f aca="false">IF($C341="","",IF($E341="rejected",N($G341),IF(AND(OR($E341="returned_to_brand",$E341="given_to_roster_office",$E341="released_to_office",$E341="disposed"),IF($F341="","reserve",$F341)="rejected"),-N($G341),IF(AND($E341="correction",IF($F341="","reserve",$F341)="rejected"),N($G341),0))))</f>
        <v/>
      </c>
      <c r="O341" s="30" t="str">
        <f aca="false">IF($C341="","",IF($E341="collected",N($G341),IF(AND(OR($E341="returned_to_brand",$E341="given_to_roster_office",$E341="released_to_office",$E341="disposed"),IF($F341="","reserve",$F341)="leftover"),-N($G341),IF(AND($E341="correction",IF($F341="","reserve",$F341)="leftover"),N($G341),0))))</f>
        <v/>
      </c>
      <c r="P341" s="30" t="str">
        <f aca="false">IF(OR($E341&lt;&gt;"received",$I341="",$L341=""),"",IF($I341&gt;=$L341+config!$B$19,"Y","N"))</f>
        <v/>
      </c>
      <c r="Q341" s="30" t="str">
        <f aca="false">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30" t="str">
        <f aca="false">IF($C341="","",$C341&amp;"|"&amp;$D341&amp;"|"&amp;$E341)</f>
        <v/>
      </c>
    </row>
    <row r="342" customFormat="false" ht="15" hidden="false" customHeight="false" outlineLevel="0" collapsed="false">
      <c r="A342" s="11"/>
      <c r="B342" s="38"/>
      <c r="E342" s="10"/>
      <c r="I342" s="11"/>
      <c r="J342" s="10"/>
      <c r="L342" s="31" t="str">
        <f aca="false">IF($C342="","",IFERROR(IF(INDEX(campaigns!$BG$2:$BG$51,MATCH($C342,campaigns!$A$2:$A$51,0))="","",INDEX(campaigns!$BG$2:$BG$51,MATCH($C342,campaigns!$A$2:$A$51,0))),""))</f>
        <v/>
      </c>
      <c r="M342" s="30" t="str">
        <f aca="false">IF($C342="","",IF(OR($E342="received"),N($G342),IF(OR($E342="rejected",$E342="delivered",$E342="topped_up"),-N($G342),IF(AND(OR($E342="returned_to_brand",$E342="given_to_roster_office",$E342="released_to_office",$E342="disposed"),IF($F342="","reserve",$F342)="reserve"),-N($G342),IF(AND($E342="correction",IF($F342="","reserve",$F342)="reserve"),N($G342),0)))))</f>
        <v/>
      </c>
      <c r="N342" s="30" t="str">
        <f aca="false">IF($C342="","",IF($E342="rejected",N($G342),IF(AND(OR($E342="returned_to_brand",$E342="given_to_roster_office",$E342="released_to_office",$E342="disposed"),IF($F342="","reserve",$F342)="rejected"),-N($G342),IF(AND($E342="correction",IF($F342="","reserve",$F342)="rejected"),N($G342),0))))</f>
        <v/>
      </c>
      <c r="O342" s="30" t="str">
        <f aca="false">IF($C342="","",IF($E342="collected",N($G342),IF(AND(OR($E342="returned_to_brand",$E342="given_to_roster_office",$E342="released_to_office",$E342="disposed"),IF($F342="","reserve",$F342)="leftover"),-N($G342),IF(AND($E342="correction",IF($F342="","reserve",$F342)="leftover"),N($G342),0))))</f>
        <v/>
      </c>
      <c r="P342" s="30" t="str">
        <f aca="false">IF(OR($E342&lt;&gt;"received",$I342="",$L342=""),"",IF($I342&gt;=$L342+config!$B$19,"Y","N"))</f>
        <v/>
      </c>
      <c r="Q342" s="30" t="str">
        <f aca="false">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30" t="str">
        <f aca="false">IF($C342="","",$C342&amp;"|"&amp;$D342&amp;"|"&amp;$E342)</f>
        <v/>
      </c>
    </row>
    <row r="343" customFormat="false" ht="15" hidden="false" customHeight="false" outlineLevel="0" collapsed="false">
      <c r="A343" s="11"/>
      <c r="B343" s="38"/>
      <c r="E343" s="10"/>
      <c r="I343" s="11"/>
      <c r="J343" s="10"/>
      <c r="L343" s="31" t="str">
        <f aca="false">IF($C343="","",IFERROR(IF(INDEX(campaigns!$BG$2:$BG$51,MATCH($C343,campaigns!$A$2:$A$51,0))="","",INDEX(campaigns!$BG$2:$BG$51,MATCH($C343,campaigns!$A$2:$A$51,0))),""))</f>
        <v/>
      </c>
      <c r="M343" s="30" t="str">
        <f aca="false">IF($C343="","",IF(OR($E343="received"),N($G343),IF(OR($E343="rejected",$E343="delivered",$E343="topped_up"),-N($G343),IF(AND(OR($E343="returned_to_brand",$E343="given_to_roster_office",$E343="released_to_office",$E343="disposed"),IF($F343="","reserve",$F343)="reserve"),-N($G343),IF(AND($E343="correction",IF($F343="","reserve",$F343)="reserve"),N($G343),0)))))</f>
        <v/>
      </c>
      <c r="N343" s="30" t="str">
        <f aca="false">IF($C343="","",IF($E343="rejected",N($G343),IF(AND(OR($E343="returned_to_brand",$E343="given_to_roster_office",$E343="released_to_office",$E343="disposed"),IF($F343="","reserve",$F343)="rejected"),-N($G343),IF(AND($E343="correction",IF($F343="","reserve",$F343)="rejected"),N($G343),0))))</f>
        <v/>
      </c>
      <c r="O343" s="30" t="str">
        <f aca="false">IF($C343="","",IF($E343="collected",N($G343),IF(AND(OR($E343="returned_to_brand",$E343="given_to_roster_office",$E343="released_to_office",$E343="disposed"),IF($F343="","reserve",$F343)="leftover"),-N($G343),IF(AND($E343="correction",IF($F343="","reserve",$F343)="leftover"),N($G343),0))))</f>
        <v/>
      </c>
      <c r="P343" s="30" t="str">
        <f aca="false">IF(OR($E343&lt;&gt;"received",$I343="",$L343=""),"",IF($I343&gt;=$L343+config!$B$19,"Y","N"))</f>
        <v/>
      </c>
      <c r="Q343" s="30" t="str">
        <f aca="false">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30" t="str">
        <f aca="false">IF($C343="","",$C343&amp;"|"&amp;$D343&amp;"|"&amp;$E343)</f>
        <v/>
      </c>
    </row>
    <row r="344" customFormat="false" ht="15" hidden="false" customHeight="false" outlineLevel="0" collapsed="false">
      <c r="A344" s="11"/>
      <c r="B344" s="38"/>
      <c r="E344" s="10"/>
      <c r="I344" s="11"/>
      <c r="J344" s="10"/>
      <c r="L344" s="31" t="str">
        <f aca="false">IF($C344="","",IFERROR(IF(INDEX(campaigns!$BG$2:$BG$51,MATCH($C344,campaigns!$A$2:$A$51,0))="","",INDEX(campaigns!$BG$2:$BG$51,MATCH($C344,campaigns!$A$2:$A$51,0))),""))</f>
        <v/>
      </c>
      <c r="M344" s="30" t="str">
        <f aca="false">IF($C344="","",IF(OR($E344="received"),N($G344),IF(OR($E344="rejected",$E344="delivered",$E344="topped_up"),-N($G344),IF(AND(OR($E344="returned_to_brand",$E344="given_to_roster_office",$E344="released_to_office",$E344="disposed"),IF($F344="","reserve",$F344)="reserve"),-N($G344),IF(AND($E344="correction",IF($F344="","reserve",$F344)="reserve"),N($G344),0)))))</f>
        <v/>
      </c>
      <c r="N344" s="30" t="str">
        <f aca="false">IF($C344="","",IF($E344="rejected",N($G344),IF(AND(OR($E344="returned_to_brand",$E344="given_to_roster_office",$E344="released_to_office",$E344="disposed"),IF($F344="","reserve",$F344)="rejected"),-N($G344),IF(AND($E344="correction",IF($F344="","reserve",$F344)="rejected"),N($G344),0))))</f>
        <v/>
      </c>
      <c r="O344" s="30" t="str">
        <f aca="false">IF($C344="","",IF($E344="collected",N($G344),IF(AND(OR($E344="returned_to_brand",$E344="given_to_roster_office",$E344="released_to_office",$E344="disposed"),IF($F344="","reserve",$F344)="leftover"),-N($G344),IF(AND($E344="correction",IF($F344="","reserve",$F344)="leftover"),N($G344),0))))</f>
        <v/>
      </c>
      <c r="P344" s="30" t="str">
        <f aca="false">IF(OR($E344&lt;&gt;"received",$I344="",$L344=""),"",IF($I344&gt;=$L344+config!$B$19,"Y","N"))</f>
        <v/>
      </c>
      <c r="Q344" s="30" t="str">
        <f aca="false">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30" t="str">
        <f aca="false">IF($C344="","",$C344&amp;"|"&amp;$D344&amp;"|"&amp;$E344)</f>
        <v/>
      </c>
    </row>
    <row r="345" customFormat="false" ht="15" hidden="false" customHeight="false" outlineLevel="0" collapsed="false">
      <c r="A345" s="11"/>
      <c r="B345" s="38"/>
      <c r="E345" s="10"/>
      <c r="I345" s="11"/>
      <c r="J345" s="10"/>
      <c r="L345" s="31" t="str">
        <f aca="false">IF($C345="","",IFERROR(IF(INDEX(campaigns!$BG$2:$BG$51,MATCH($C345,campaigns!$A$2:$A$51,0))="","",INDEX(campaigns!$BG$2:$BG$51,MATCH($C345,campaigns!$A$2:$A$51,0))),""))</f>
        <v/>
      </c>
      <c r="M345" s="30" t="str">
        <f aca="false">IF($C345="","",IF(OR($E345="received"),N($G345),IF(OR($E345="rejected",$E345="delivered",$E345="topped_up"),-N($G345),IF(AND(OR($E345="returned_to_brand",$E345="given_to_roster_office",$E345="released_to_office",$E345="disposed"),IF($F345="","reserve",$F345)="reserve"),-N($G345),IF(AND($E345="correction",IF($F345="","reserve",$F345)="reserve"),N($G345),0)))))</f>
        <v/>
      </c>
      <c r="N345" s="30" t="str">
        <f aca="false">IF($C345="","",IF($E345="rejected",N($G345),IF(AND(OR($E345="returned_to_brand",$E345="given_to_roster_office",$E345="released_to_office",$E345="disposed"),IF($F345="","reserve",$F345)="rejected"),-N($G345),IF(AND($E345="correction",IF($F345="","reserve",$F345)="rejected"),N($G345),0))))</f>
        <v/>
      </c>
      <c r="O345" s="30" t="str">
        <f aca="false">IF($C345="","",IF($E345="collected",N($G345),IF(AND(OR($E345="returned_to_brand",$E345="given_to_roster_office",$E345="released_to_office",$E345="disposed"),IF($F345="","reserve",$F345)="leftover"),-N($G345),IF(AND($E345="correction",IF($F345="","reserve",$F345)="leftover"),N($G345),0))))</f>
        <v/>
      </c>
      <c r="P345" s="30" t="str">
        <f aca="false">IF(OR($E345&lt;&gt;"received",$I345="",$L345=""),"",IF($I345&gt;=$L345+config!$B$19,"Y","N"))</f>
        <v/>
      </c>
      <c r="Q345" s="30" t="str">
        <f aca="false">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30" t="str">
        <f aca="false">IF($C345="","",$C345&amp;"|"&amp;$D345&amp;"|"&amp;$E345)</f>
        <v/>
      </c>
    </row>
    <row r="346" customFormat="false" ht="15" hidden="false" customHeight="false" outlineLevel="0" collapsed="false">
      <c r="A346" s="11"/>
      <c r="B346" s="38"/>
      <c r="E346" s="10"/>
      <c r="I346" s="11"/>
      <c r="J346" s="10"/>
      <c r="L346" s="31" t="str">
        <f aca="false">IF($C346="","",IFERROR(IF(INDEX(campaigns!$BG$2:$BG$51,MATCH($C346,campaigns!$A$2:$A$51,0))="","",INDEX(campaigns!$BG$2:$BG$51,MATCH($C346,campaigns!$A$2:$A$51,0))),""))</f>
        <v/>
      </c>
      <c r="M346" s="30" t="str">
        <f aca="false">IF($C346="","",IF(OR($E346="received"),N($G346),IF(OR($E346="rejected",$E346="delivered",$E346="topped_up"),-N($G346),IF(AND(OR($E346="returned_to_brand",$E346="given_to_roster_office",$E346="released_to_office",$E346="disposed"),IF($F346="","reserve",$F346)="reserve"),-N($G346),IF(AND($E346="correction",IF($F346="","reserve",$F346)="reserve"),N($G346),0)))))</f>
        <v/>
      </c>
      <c r="N346" s="30" t="str">
        <f aca="false">IF($C346="","",IF($E346="rejected",N($G346),IF(AND(OR($E346="returned_to_brand",$E346="given_to_roster_office",$E346="released_to_office",$E346="disposed"),IF($F346="","reserve",$F346)="rejected"),-N($G346),IF(AND($E346="correction",IF($F346="","reserve",$F346)="rejected"),N($G346),0))))</f>
        <v/>
      </c>
      <c r="O346" s="30" t="str">
        <f aca="false">IF($C346="","",IF($E346="collected",N($G346),IF(AND(OR($E346="returned_to_brand",$E346="given_to_roster_office",$E346="released_to_office",$E346="disposed"),IF($F346="","reserve",$F346)="leftover"),-N($G346),IF(AND($E346="correction",IF($F346="","reserve",$F346)="leftover"),N($G346),0))))</f>
        <v/>
      </c>
      <c r="P346" s="30" t="str">
        <f aca="false">IF(OR($E346&lt;&gt;"received",$I346="",$L346=""),"",IF($I346&gt;=$L346+config!$B$19,"Y","N"))</f>
        <v/>
      </c>
      <c r="Q346" s="30" t="str">
        <f aca="false">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30" t="str">
        <f aca="false">IF($C346="","",$C346&amp;"|"&amp;$D346&amp;"|"&amp;$E346)</f>
        <v/>
      </c>
    </row>
    <row r="347" customFormat="false" ht="15" hidden="false" customHeight="false" outlineLevel="0" collapsed="false">
      <c r="A347" s="11"/>
      <c r="B347" s="38"/>
      <c r="E347" s="10"/>
      <c r="I347" s="11"/>
      <c r="J347" s="10"/>
      <c r="L347" s="31" t="str">
        <f aca="false">IF($C347="","",IFERROR(IF(INDEX(campaigns!$BG$2:$BG$51,MATCH($C347,campaigns!$A$2:$A$51,0))="","",INDEX(campaigns!$BG$2:$BG$51,MATCH($C347,campaigns!$A$2:$A$51,0))),""))</f>
        <v/>
      </c>
      <c r="M347" s="30" t="str">
        <f aca="false">IF($C347="","",IF(OR($E347="received"),N($G347),IF(OR($E347="rejected",$E347="delivered",$E347="topped_up"),-N($G347),IF(AND(OR($E347="returned_to_brand",$E347="given_to_roster_office",$E347="released_to_office",$E347="disposed"),IF($F347="","reserve",$F347)="reserve"),-N($G347),IF(AND($E347="correction",IF($F347="","reserve",$F347)="reserve"),N($G347),0)))))</f>
        <v/>
      </c>
      <c r="N347" s="30" t="str">
        <f aca="false">IF($C347="","",IF($E347="rejected",N($G347),IF(AND(OR($E347="returned_to_brand",$E347="given_to_roster_office",$E347="released_to_office",$E347="disposed"),IF($F347="","reserve",$F347)="rejected"),-N($G347),IF(AND($E347="correction",IF($F347="","reserve",$F347)="rejected"),N($G347),0))))</f>
        <v/>
      </c>
      <c r="O347" s="30" t="str">
        <f aca="false">IF($C347="","",IF($E347="collected",N($G347),IF(AND(OR($E347="returned_to_brand",$E347="given_to_roster_office",$E347="released_to_office",$E347="disposed"),IF($F347="","reserve",$F347)="leftover"),-N($G347),IF(AND($E347="correction",IF($F347="","reserve",$F347)="leftover"),N($G347),0))))</f>
        <v/>
      </c>
      <c r="P347" s="30" t="str">
        <f aca="false">IF(OR($E347&lt;&gt;"received",$I347="",$L347=""),"",IF($I347&gt;=$L347+config!$B$19,"Y","N"))</f>
        <v/>
      </c>
      <c r="Q347" s="30" t="str">
        <f aca="false">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30" t="str">
        <f aca="false">IF($C347="","",$C347&amp;"|"&amp;$D347&amp;"|"&amp;$E347)</f>
        <v/>
      </c>
    </row>
    <row r="348" customFormat="false" ht="15" hidden="false" customHeight="false" outlineLevel="0" collapsed="false">
      <c r="A348" s="11"/>
      <c r="B348" s="38"/>
      <c r="E348" s="10"/>
      <c r="I348" s="11"/>
      <c r="J348" s="10"/>
      <c r="L348" s="31" t="str">
        <f aca="false">IF($C348="","",IFERROR(IF(INDEX(campaigns!$BG$2:$BG$51,MATCH($C348,campaigns!$A$2:$A$51,0))="","",INDEX(campaigns!$BG$2:$BG$51,MATCH($C348,campaigns!$A$2:$A$51,0))),""))</f>
        <v/>
      </c>
      <c r="M348" s="30" t="str">
        <f aca="false">IF($C348="","",IF(OR($E348="received"),N($G348),IF(OR($E348="rejected",$E348="delivered",$E348="topped_up"),-N($G348),IF(AND(OR($E348="returned_to_brand",$E348="given_to_roster_office",$E348="released_to_office",$E348="disposed"),IF($F348="","reserve",$F348)="reserve"),-N($G348),IF(AND($E348="correction",IF($F348="","reserve",$F348)="reserve"),N($G348),0)))))</f>
        <v/>
      </c>
      <c r="N348" s="30" t="str">
        <f aca="false">IF($C348="","",IF($E348="rejected",N($G348),IF(AND(OR($E348="returned_to_brand",$E348="given_to_roster_office",$E348="released_to_office",$E348="disposed"),IF($F348="","reserve",$F348)="rejected"),-N($G348),IF(AND($E348="correction",IF($F348="","reserve",$F348)="rejected"),N($G348),0))))</f>
        <v/>
      </c>
      <c r="O348" s="30" t="str">
        <f aca="false">IF($C348="","",IF($E348="collected",N($G348),IF(AND(OR($E348="returned_to_brand",$E348="given_to_roster_office",$E348="released_to_office",$E348="disposed"),IF($F348="","reserve",$F348)="leftover"),-N($G348),IF(AND($E348="correction",IF($F348="","reserve",$F348)="leftover"),N($G348),0))))</f>
        <v/>
      </c>
      <c r="P348" s="30" t="str">
        <f aca="false">IF(OR($E348&lt;&gt;"received",$I348="",$L348=""),"",IF($I348&gt;=$L348+config!$B$19,"Y","N"))</f>
        <v/>
      </c>
      <c r="Q348" s="30" t="str">
        <f aca="false">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30" t="str">
        <f aca="false">IF($C348="","",$C348&amp;"|"&amp;$D348&amp;"|"&amp;$E348)</f>
        <v/>
      </c>
    </row>
    <row r="349" customFormat="false" ht="15" hidden="false" customHeight="false" outlineLevel="0" collapsed="false">
      <c r="A349" s="11"/>
      <c r="B349" s="38"/>
      <c r="E349" s="10"/>
      <c r="I349" s="11"/>
      <c r="J349" s="10"/>
      <c r="L349" s="31" t="str">
        <f aca="false">IF($C349="","",IFERROR(IF(INDEX(campaigns!$BG$2:$BG$51,MATCH($C349,campaigns!$A$2:$A$51,0))="","",INDEX(campaigns!$BG$2:$BG$51,MATCH($C349,campaigns!$A$2:$A$51,0))),""))</f>
        <v/>
      </c>
      <c r="M349" s="30" t="str">
        <f aca="false">IF($C349="","",IF(OR($E349="received"),N($G349),IF(OR($E349="rejected",$E349="delivered",$E349="topped_up"),-N($G349),IF(AND(OR($E349="returned_to_brand",$E349="given_to_roster_office",$E349="released_to_office",$E349="disposed"),IF($F349="","reserve",$F349)="reserve"),-N($G349),IF(AND($E349="correction",IF($F349="","reserve",$F349)="reserve"),N($G349),0)))))</f>
        <v/>
      </c>
      <c r="N349" s="30" t="str">
        <f aca="false">IF($C349="","",IF($E349="rejected",N($G349),IF(AND(OR($E349="returned_to_brand",$E349="given_to_roster_office",$E349="released_to_office",$E349="disposed"),IF($F349="","reserve",$F349)="rejected"),-N($G349),IF(AND($E349="correction",IF($F349="","reserve",$F349)="rejected"),N($G349),0))))</f>
        <v/>
      </c>
      <c r="O349" s="30" t="str">
        <f aca="false">IF($C349="","",IF($E349="collected",N($G349),IF(AND(OR($E349="returned_to_brand",$E349="given_to_roster_office",$E349="released_to_office",$E349="disposed"),IF($F349="","reserve",$F349)="leftover"),-N($G349),IF(AND($E349="correction",IF($F349="","reserve",$F349)="leftover"),N($G349),0))))</f>
        <v/>
      </c>
      <c r="P349" s="30" t="str">
        <f aca="false">IF(OR($E349&lt;&gt;"received",$I349="",$L349=""),"",IF($I349&gt;=$L349+config!$B$19,"Y","N"))</f>
        <v/>
      </c>
      <c r="Q349" s="30" t="str">
        <f aca="false">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30" t="str">
        <f aca="false">IF($C349="","",$C349&amp;"|"&amp;$D349&amp;"|"&amp;$E349)</f>
        <v/>
      </c>
    </row>
    <row r="350" customFormat="false" ht="15" hidden="false" customHeight="false" outlineLevel="0" collapsed="false">
      <c r="A350" s="11"/>
      <c r="B350" s="38"/>
      <c r="E350" s="10"/>
      <c r="I350" s="11"/>
      <c r="J350" s="10"/>
      <c r="L350" s="31" t="str">
        <f aca="false">IF($C350="","",IFERROR(IF(INDEX(campaigns!$BG$2:$BG$51,MATCH($C350,campaigns!$A$2:$A$51,0))="","",INDEX(campaigns!$BG$2:$BG$51,MATCH($C350,campaigns!$A$2:$A$51,0))),""))</f>
        <v/>
      </c>
      <c r="M350" s="30" t="str">
        <f aca="false">IF($C350="","",IF(OR($E350="received"),N($G350),IF(OR($E350="rejected",$E350="delivered",$E350="topped_up"),-N($G350),IF(AND(OR($E350="returned_to_brand",$E350="given_to_roster_office",$E350="released_to_office",$E350="disposed"),IF($F350="","reserve",$F350)="reserve"),-N($G350),IF(AND($E350="correction",IF($F350="","reserve",$F350)="reserve"),N($G350),0)))))</f>
        <v/>
      </c>
      <c r="N350" s="30" t="str">
        <f aca="false">IF($C350="","",IF($E350="rejected",N($G350),IF(AND(OR($E350="returned_to_brand",$E350="given_to_roster_office",$E350="released_to_office",$E350="disposed"),IF($F350="","reserve",$F350)="rejected"),-N($G350),IF(AND($E350="correction",IF($F350="","reserve",$F350)="rejected"),N($G350),0))))</f>
        <v/>
      </c>
      <c r="O350" s="30" t="str">
        <f aca="false">IF($C350="","",IF($E350="collected",N($G350),IF(AND(OR($E350="returned_to_brand",$E350="given_to_roster_office",$E350="released_to_office",$E350="disposed"),IF($F350="","reserve",$F350)="leftover"),-N($G350),IF(AND($E350="correction",IF($F350="","reserve",$F350)="leftover"),N($G350),0))))</f>
        <v/>
      </c>
      <c r="P350" s="30" t="str">
        <f aca="false">IF(OR($E350&lt;&gt;"received",$I350="",$L350=""),"",IF($I350&gt;=$L350+config!$B$19,"Y","N"))</f>
        <v/>
      </c>
      <c r="Q350" s="30" t="str">
        <f aca="false">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30" t="str">
        <f aca="false">IF($C350="","",$C350&amp;"|"&amp;$D350&amp;"|"&amp;$E350)</f>
        <v/>
      </c>
    </row>
    <row r="351" customFormat="false" ht="15" hidden="false" customHeight="false" outlineLevel="0" collapsed="false">
      <c r="A351" s="11"/>
      <c r="B351" s="38"/>
      <c r="E351" s="10"/>
      <c r="I351" s="11"/>
      <c r="J351" s="10"/>
      <c r="L351" s="31" t="str">
        <f aca="false">IF($C351="","",IFERROR(IF(INDEX(campaigns!$BG$2:$BG$51,MATCH($C351,campaigns!$A$2:$A$51,0))="","",INDEX(campaigns!$BG$2:$BG$51,MATCH($C351,campaigns!$A$2:$A$51,0))),""))</f>
        <v/>
      </c>
      <c r="M351" s="30" t="str">
        <f aca="false">IF($C351="","",IF(OR($E351="received"),N($G351),IF(OR($E351="rejected",$E351="delivered",$E351="topped_up"),-N($G351),IF(AND(OR($E351="returned_to_brand",$E351="given_to_roster_office",$E351="released_to_office",$E351="disposed"),IF($F351="","reserve",$F351)="reserve"),-N($G351),IF(AND($E351="correction",IF($F351="","reserve",$F351)="reserve"),N($G351),0)))))</f>
        <v/>
      </c>
      <c r="N351" s="30" t="str">
        <f aca="false">IF($C351="","",IF($E351="rejected",N($G351),IF(AND(OR($E351="returned_to_brand",$E351="given_to_roster_office",$E351="released_to_office",$E351="disposed"),IF($F351="","reserve",$F351)="rejected"),-N($G351),IF(AND($E351="correction",IF($F351="","reserve",$F351)="rejected"),N($G351),0))))</f>
        <v/>
      </c>
      <c r="O351" s="30" t="str">
        <f aca="false">IF($C351="","",IF($E351="collected",N($G351),IF(AND(OR($E351="returned_to_brand",$E351="given_to_roster_office",$E351="released_to_office",$E351="disposed"),IF($F351="","reserve",$F351)="leftover"),-N($G351),IF(AND($E351="correction",IF($F351="","reserve",$F351)="leftover"),N($G351),0))))</f>
        <v/>
      </c>
      <c r="P351" s="30" t="str">
        <f aca="false">IF(OR($E351&lt;&gt;"received",$I351="",$L351=""),"",IF($I351&gt;=$L351+config!$B$19,"Y","N"))</f>
        <v/>
      </c>
      <c r="Q351" s="30" t="str">
        <f aca="false">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30" t="str">
        <f aca="false">IF($C351="","",$C351&amp;"|"&amp;$D351&amp;"|"&amp;$E351)</f>
        <v/>
      </c>
    </row>
    <row r="352" customFormat="false" ht="15" hidden="false" customHeight="false" outlineLevel="0" collapsed="false">
      <c r="A352" s="11"/>
      <c r="B352" s="38"/>
      <c r="E352" s="10"/>
      <c r="I352" s="11"/>
      <c r="J352" s="10"/>
      <c r="L352" s="31" t="str">
        <f aca="false">IF($C352="","",IFERROR(IF(INDEX(campaigns!$BG$2:$BG$51,MATCH($C352,campaigns!$A$2:$A$51,0))="","",INDEX(campaigns!$BG$2:$BG$51,MATCH($C352,campaigns!$A$2:$A$51,0))),""))</f>
        <v/>
      </c>
      <c r="M352" s="30" t="str">
        <f aca="false">IF($C352="","",IF(OR($E352="received"),N($G352),IF(OR($E352="rejected",$E352="delivered",$E352="topped_up"),-N($G352),IF(AND(OR($E352="returned_to_brand",$E352="given_to_roster_office",$E352="released_to_office",$E352="disposed"),IF($F352="","reserve",$F352)="reserve"),-N($G352),IF(AND($E352="correction",IF($F352="","reserve",$F352)="reserve"),N($G352),0)))))</f>
        <v/>
      </c>
      <c r="N352" s="30" t="str">
        <f aca="false">IF($C352="","",IF($E352="rejected",N($G352),IF(AND(OR($E352="returned_to_brand",$E352="given_to_roster_office",$E352="released_to_office",$E352="disposed"),IF($F352="","reserve",$F352)="rejected"),-N($G352),IF(AND($E352="correction",IF($F352="","reserve",$F352)="rejected"),N($G352),0))))</f>
        <v/>
      </c>
      <c r="O352" s="30" t="str">
        <f aca="false">IF($C352="","",IF($E352="collected",N($G352),IF(AND(OR($E352="returned_to_brand",$E352="given_to_roster_office",$E352="released_to_office",$E352="disposed"),IF($F352="","reserve",$F352)="leftover"),-N($G352),IF(AND($E352="correction",IF($F352="","reserve",$F352)="leftover"),N($G352),0))))</f>
        <v/>
      </c>
      <c r="P352" s="30" t="str">
        <f aca="false">IF(OR($E352&lt;&gt;"received",$I352="",$L352=""),"",IF($I352&gt;=$L352+config!$B$19,"Y","N"))</f>
        <v/>
      </c>
      <c r="Q352" s="30" t="str">
        <f aca="false">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30" t="str">
        <f aca="false">IF($C352="","",$C352&amp;"|"&amp;$D352&amp;"|"&amp;$E352)</f>
        <v/>
      </c>
    </row>
    <row r="353" customFormat="false" ht="15" hidden="false" customHeight="false" outlineLevel="0" collapsed="false">
      <c r="A353" s="11"/>
      <c r="B353" s="38"/>
      <c r="E353" s="10"/>
      <c r="I353" s="11"/>
      <c r="J353" s="10"/>
      <c r="L353" s="31" t="str">
        <f aca="false">IF($C353="","",IFERROR(IF(INDEX(campaigns!$BG$2:$BG$51,MATCH($C353,campaigns!$A$2:$A$51,0))="","",INDEX(campaigns!$BG$2:$BG$51,MATCH($C353,campaigns!$A$2:$A$51,0))),""))</f>
        <v/>
      </c>
      <c r="M353" s="30" t="str">
        <f aca="false">IF($C353="","",IF(OR($E353="received"),N($G353),IF(OR($E353="rejected",$E353="delivered",$E353="topped_up"),-N($G353),IF(AND(OR($E353="returned_to_brand",$E353="given_to_roster_office",$E353="released_to_office",$E353="disposed"),IF($F353="","reserve",$F353)="reserve"),-N($G353),IF(AND($E353="correction",IF($F353="","reserve",$F353)="reserve"),N($G353),0)))))</f>
        <v/>
      </c>
      <c r="N353" s="30" t="str">
        <f aca="false">IF($C353="","",IF($E353="rejected",N($G353),IF(AND(OR($E353="returned_to_brand",$E353="given_to_roster_office",$E353="released_to_office",$E353="disposed"),IF($F353="","reserve",$F353)="rejected"),-N($G353),IF(AND($E353="correction",IF($F353="","reserve",$F353)="rejected"),N($G353),0))))</f>
        <v/>
      </c>
      <c r="O353" s="30" t="str">
        <f aca="false">IF($C353="","",IF($E353="collected",N($G353),IF(AND(OR($E353="returned_to_brand",$E353="given_to_roster_office",$E353="released_to_office",$E353="disposed"),IF($F353="","reserve",$F353)="leftover"),-N($G353),IF(AND($E353="correction",IF($F353="","reserve",$F353)="leftover"),N($G353),0))))</f>
        <v/>
      </c>
      <c r="P353" s="30" t="str">
        <f aca="false">IF(OR($E353&lt;&gt;"received",$I353="",$L353=""),"",IF($I353&gt;=$L353+config!$B$19,"Y","N"))</f>
        <v/>
      </c>
      <c r="Q353" s="30" t="str">
        <f aca="false">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30" t="str">
        <f aca="false">IF($C353="","",$C353&amp;"|"&amp;$D353&amp;"|"&amp;$E353)</f>
        <v/>
      </c>
    </row>
    <row r="354" customFormat="false" ht="15" hidden="false" customHeight="false" outlineLevel="0" collapsed="false">
      <c r="A354" s="11"/>
      <c r="B354" s="38"/>
      <c r="E354" s="10"/>
      <c r="I354" s="11"/>
      <c r="J354" s="10"/>
      <c r="L354" s="31" t="str">
        <f aca="false">IF($C354="","",IFERROR(IF(INDEX(campaigns!$BG$2:$BG$51,MATCH($C354,campaigns!$A$2:$A$51,0))="","",INDEX(campaigns!$BG$2:$BG$51,MATCH($C354,campaigns!$A$2:$A$51,0))),""))</f>
        <v/>
      </c>
      <c r="M354" s="30" t="str">
        <f aca="false">IF($C354="","",IF(OR($E354="received"),N($G354),IF(OR($E354="rejected",$E354="delivered",$E354="topped_up"),-N($G354),IF(AND(OR($E354="returned_to_brand",$E354="given_to_roster_office",$E354="released_to_office",$E354="disposed"),IF($F354="","reserve",$F354)="reserve"),-N($G354),IF(AND($E354="correction",IF($F354="","reserve",$F354)="reserve"),N($G354),0)))))</f>
        <v/>
      </c>
      <c r="N354" s="30" t="str">
        <f aca="false">IF($C354="","",IF($E354="rejected",N($G354),IF(AND(OR($E354="returned_to_brand",$E354="given_to_roster_office",$E354="released_to_office",$E354="disposed"),IF($F354="","reserve",$F354)="rejected"),-N($G354),IF(AND($E354="correction",IF($F354="","reserve",$F354)="rejected"),N($G354),0))))</f>
        <v/>
      </c>
      <c r="O354" s="30" t="str">
        <f aca="false">IF($C354="","",IF($E354="collected",N($G354),IF(AND(OR($E354="returned_to_brand",$E354="given_to_roster_office",$E354="released_to_office",$E354="disposed"),IF($F354="","reserve",$F354)="leftover"),-N($G354),IF(AND($E354="correction",IF($F354="","reserve",$F354)="leftover"),N($G354),0))))</f>
        <v/>
      </c>
      <c r="P354" s="30" t="str">
        <f aca="false">IF(OR($E354&lt;&gt;"received",$I354="",$L354=""),"",IF($I354&gt;=$L354+config!$B$19,"Y","N"))</f>
        <v/>
      </c>
      <c r="Q354" s="30" t="str">
        <f aca="false">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30" t="str">
        <f aca="false">IF($C354="","",$C354&amp;"|"&amp;$D354&amp;"|"&amp;$E354)</f>
        <v/>
      </c>
    </row>
    <row r="355" customFormat="false" ht="15" hidden="false" customHeight="false" outlineLevel="0" collapsed="false">
      <c r="A355" s="11"/>
      <c r="B355" s="38"/>
      <c r="E355" s="10"/>
      <c r="I355" s="11"/>
      <c r="J355" s="10"/>
      <c r="L355" s="31" t="str">
        <f aca="false">IF($C355="","",IFERROR(IF(INDEX(campaigns!$BG$2:$BG$51,MATCH($C355,campaigns!$A$2:$A$51,0))="","",INDEX(campaigns!$BG$2:$BG$51,MATCH($C355,campaigns!$A$2:$A$51,0))),""))</f>
        <v/>
      </c>
      <c r="M355" s="30" t="str">
        <f aca="false">IF($C355="","",IF(OR($E355="received"),N($G355),IF(OR($E355="rejected",$E355="delivered",$E355="topped_up"),-N($G355),IF(AND(OR($E355="returned_to_brand",$E355="given_to_roster_office",$E355="released_to_office",$E355="disposed"),IF($F355="","reserve",$F355)="reserve"),-N($G355),IF(AND($E355="correction",IF($F355="","reserve",$F355)="reserve"),N($G355),0)))))</f>
        <v/>
      </c>
      <c r="N355" s="30" t="str">
        <f aca="false">IF($C355="","",IF($E355="rejected",N($G355),IF(AND(OR($E355="returned_to_brand",$E355="given_to_roster_office",$E355="released_to_office",$E355="disposed"),IF($F355="","reserve",$F355)="rejected"),-N($G355),IF(AND($E355="correction",IF($F355="","reserve",$F355)="rejected"),N($G355),0))))</f>
        <v/>
      </c>
      <c r="O355" s="30" t="str">
        <f aca="false">IF($C355="","",IF($E355="collected",N($G355),IF(AND(OR($E355="returned_to_brand",$E355="given_to_roster_office",$E355="released_to_office",$E355="disposed"),IF($F355="","reserve",$F355)="leftover"),-N($G355),IF(AND($E355="correction",IF($F355="","reserve",$F355)="leftover"),N($G355),0))))</f>
        <v/>
      </c>
      <c r="P355" s="30" t="str">
        <f aca="false">IF(OR($E355&lt;&gt;"received",$I355="",$L355=""),"",IF($I355&gt;=$L355+config!$B$19,"Y","N"))</f>
        <v/>
      </c>
      <c r="Q355" s="30" t="str">
        <f aca="false">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30" t="str">
        <f aca="false">IF($C355="","",$C355&amp;"|"&amp;$D355&amp;"|"&amp;$E355)</f>
        <v/>
      </c>
    </row>
    <row r="356" customFormat="false" ht="15" hidden="false" customHeight="false" outlineLevel="0" collapsed="false">
      <c r="A356" s="11"/>
      <c r="B356" s="38"/>
      <c r="E356" s="10"/>
      <c r="I356" s="11"/>
      <c r="J356" s="10"/>
      <c r="L356" s="31" t="str">
        <f aca="false">IF($C356="","",IFERROR(IF(INDEX(campaigns!$BG$2:$BG$51,MATCH($C356,campaigns!$A$2:$A$51,0))="","",INDEX(campaigns!$BG$2:$BG$51,MATCH($C356,campaigns!$A$2:$A$51,0))),""))</f>
        <v/>
      </c>
      <c r="M356" s="30" t="str">
        <f aca="false">IF($C356="","",IF(OR($E356="received"),N($G356),IF(OR($E356="rejected",$E356="delivered",$E356="topped_up"),-N($G356),IF(AND(OR($E356="returned_to_brand",$E356="given_to_roster_office",$E356="released_to_office",$E356="disposed"),IF($F356="","reserve",$F356)="reserve"),-N($G356),IF(AND($E356="correction",IF($F356="","reserve",$F356)="reserve"),N($G356),0)))))</f>
        <v/>
      </c>
      <c r="N356" s="30" t="str">
        <f aca="false">IF($C356="","",IF($E356="rejected",N($G356),IF(AND(OR($E356="returned_to_brand",$E356="given_to_roster_office",$E356="released_to_office",$E356="disposed"),IF($F356="","reserve",$F356)="rejected"),-N($G356),IF(AND($E356="correction",IF($F356="","reserve",$F356)="rejected"),N($G356),0))))</f>
        <v/>
      </c>
      <c r="O356" s="30" t="str">
        <f aca="false">IF($C356="","",IF($E356="collected",N($G356),IF(AND(OR($E356="returned_to_brand",$E356="given_to_roster_office",$E356="released_to_office",$E356="disposed"),IF($F356="","reserve",$F356)="leftover"),-N($G356),IF(AND($E356="correction",IF($F356="","reserve",$F356)="leftover"),N($G356),0))))</f>
        <v/>
      </c>
      <c r="P356" s="30" t="str">
        <f aca="false">IF(OR($E356&lt;&gt;"received",$I356="",$L356=""),"",IF($I356&gt;=$L356+config!$B$19,"Y","N"))</f>
        <v/>
      </c>
      <c r="Q356" s="30" t="str">
        <f aca="false">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30" t="str">
        <f aca="false">IF($C356="","",$C356&amp;"|"&amp;$D356&amp;"|"&amp;$E356)</f>
        <v/>
      </c>
    </row>
    <row r="357" customFormat="false" ht="15" hidden="false" customHeight="false" outlineLevel="0" collapsed="false">
      <c r="A357" s="11"/>
      <c r="B357" s="38"/>
      <c r="E357" s="10"/>
      <c r="I357" s="11"/>
      <c r="J357" s="10"/>
      <c r="L357" s="31" t="str">
        <f aca="false">IF($C357="","",IFERROR(IF(INDEX(campaigns!$BG$2:$BG$51,MATCH($C357,campaigns!$A$2:$A$51,0))="","",INDEX(campaigns!$BG$2:$BG$51,MATCH($C357,campaigns!$A$2:$A$51,0))),""))</f>
        <v/>
      </c>
      <c r="M357" s="30" t="str">
        <f aca="false">IF($C357="","",IF(OR($E357="received"),N($G357),IF(OR($E357="rejected",$E357="delivered",$E357="topped_up"),-N($G357),IF(AND(OR($E357="returned_to_brand",$E357="given_to_roster_office",$E357="released_to_office",$E357="disposed"),IF($F357="","reserve",$F357)="reserve"),-N($G357),IF(AND($E357="correction",IF($F357="","reserve",$F357)="reserve"),N($G357),0)))))</f>
        <v/>
      </c>
      <c r="N357" s="30" t="str">
        <f aca="false">IF($C357="","",IF($E357="rejected",N($G357),IF(AND(OR($E357="returned_to_brand",$E357="given_to_roster_office",$E357="released_to_office",$E357="disposed"),IF($F357="","reserve",$F357)="rejected"),-N($G357),IF(AND($E357="correction",IF($F357="","reserve",$F357)="rejected"),N($G357),0))))</f>
        <v/>
      </c>
      <c r="O357" s="30" t="str">
        <f aca="false">IF($C357="","",IF($E357="collected",N($G357),IF(AND(OR($E357="returned_to_brand",$E357="given_to_roster_office",$E357="released_to_office",$E357="disposed"),IF($F357="","reserve",$F357)="leftover"),-N($G357),IF(AND($E357="correction",IF($F357="","reserve",$F357)="leftover"),N($G357),0))))</f>
        <v/>
      </c>
      <c r="P357" s="30" t="str">
        <f aca="false">IF(OR($E357&lt;&gt;"received",$I357="",$L357=""),"",IF($I357&gt;=$L357+config!$B$19,"Y","N"))</f>
        <v/>
      </c>
      <c r="Q357" s="30" t="str">
        <f aca="false">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30" t="str">
        <f aca="false">IF($C357="","",$C357&amp;"|"&amp;$D357&amp;"|"&amp;$E357)</f>
        <v/>
      </c>
    </row>
    <row r="358" customFormat="false" ht="15" hidden="false" customHeight="false" outlineLevel="0" collapsed="false">
      <c r="A358" s="11"/>
      <c r="B358" s="38"/>
      <c r="E358" s="10"/>
      <c r="I358" s="11"/>
      <c r="J358" s="10"/>
      <c r="L358" s="31" t="str">
        <f aca="false">IF($C358="","",IFERROR(IF(INDEX(campaigns!$BG$2:$BG$51,MATCH($C358,campaigns!$A$2:$A$51,0))="","",INDEX(campaigns!$BG$2:$BG$51,MATCH($C358,campaigns!$A$2:$A$51,0))),""))</f>
        <v/>
      </c>
      <c r="M358" s="30" t="str">
        <f aca="false">IF($C358="","",IF(OR($E358="received"),N($G358),IF(OR($E358="rejected",$E358="delivered",$E358="topped_up"),-N($G358),IF(AND(OR($E358="returned_to_brand",$E358="given_to_roster_office",$E358="released_to_office",$E358="disposed"),IF($F358="","reserve",$F358)="reserve"),-N($G358),IF(AND($E358="correction",IF($F358="","reserve",$F358)="reserve"),N($G358),0)))))</f>
        <v/>
      </c>
      <c r="N358" s="30" t="str">
        <f aca="false">IF($C358="","",IF($E358="rejected",N($G358),IF(AND(OR($E358="returned_to_brand",$E358="given_to_roster_office",$E358="released_to_office",$E358="disposed"),IF($F358="","reserve",$F358)="rejected"),-N($G358),IF(AND($E358="correction",IF($F358="","reserve",$F358)="rejected"),N($G358),0))))</f>
        <v/>
      </c>
      <c r="O358" s="30" t="str">
        <f aca="false">IF($C358="","",IF($E358="collected",N($G358),IF(AND(OR($E358="returned_to_brand",$E358="given_to_roster_office",$E358="released_to_office",$E358="disposed"),IF($F358="","reserve",$F358)="leftover"),-N($G358),IF(AND($E358="correction",IF($F358="","reserve",$F358)="leftover"),N($G358),0))))</f>
        <v/>
      </c>
      <c r="P358" s="30" t="str">
        <f aca="false">IF(OR($E358&lt;&gt;"received",$I358="",$L358=""),"",IF($I358&gt;=$L358+config!$B$19,"Y","N"))</f>
        <v/>
      </c>
      <c r="Q358" s="30" t="str">
        <f aca="false">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30" t="str">
        <f aca="false">IF($C358="","",$C358&amp;"|"&amp;$D358&amp;"|"&amp;$E358)</f>
        <v/>
      </c>
    </row>
    <row r="359" customFormat="false" ht="15" hidden="false" customHeight="false" outlineLevel="0" collapsed="false">
      <c r="A359" s="11"/>
      <c r="B359" s="38"/>
      <c r="E359" s="10"/>
      <c r="I359" s="11"/>
      <c r="J359" s="10"/>
      <c r="L359" s="31" t="str">
        <f aca="false">IF($C359="","",IFERROR(IF(INDEX(campaigns!$BG$2:$BG$51,MATCH($C359,campaigns!$A$2:$A$51,0))="","",INDEX(campaigns!$BG$2:$BG$51,MATCH($C359,campaigns!$A$2:$A$51,0))),""))</f>
        <v/>
      </c>
      <c r="M359" s="30" t="str">
        <f aca="false">IF($C359="","",IF(OR($E359="received"),N($G359),IF(OR($E359="rejected",$E359="delivered",$E359="topped_up"),-N($G359),IF(AND(OR($E359="returned_to_brand",$E359="given_to_roster_office",$E359="released_to_office",$E359="disposed"),IF($F359="","reserve",$F359)="reserve"),-N($G359),IF(AND($E359="correction",IF($F359="","reserve",$F359)="reserve"),N($G359),0)))))</f>
        <v/>
      </c>
      <c r="N359" s="30" t="str">
        <f aca="false">IF($C359="","",IF($E359="rejected",N($G359),IF(AND(OR($E359="returned_to_brand",$E359="given_to_roster_office",$E359="released_to_office",$E359="disposed"),IF($F359="","reserve",$F359)="rejected"),-N($G359),IF(AND($E359="correction",IF($F359="","reserve",$F359)="rejected"),N($G359),0))))</f>
        <v/>
      </c>
      <c r="O359" s="30" t="str">
        <f aca="false">IF($C359="","",IF($E359="collected",N($G359),IF(AND(OR($E359="returned_to_brand",$E359="given_to_roster_office",$E359="released_to_office",$E359="disposed"),IF($F359="","reserve",$F359)="leftover"),-N($G359),IF(AND($E359="correction",IF($F359="","reserve",$F359)="leftover"),N($G359),0))))</f>
        <v/>
      </c>
      <c r="P359" s="30" t="str">
        <f aca="false">IF(OR($E359&lt;&gt;"received",$I359="",$L359=""),"",IF($I359&gt;=$L359+config!$B$19,"Y","N"))</f>
        <v/>
      </c>
      <c r="Q359" s="30" t="str">
        <f aca="false">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30" t="str">
        <f aca="false">IF($C359="","",$C359&amp;"|"&amp;$D359&amp;"|"&amp;$E359)</f>
        <v/>
      </c>
    </row>
    <row r="360" customFormat="false" ht="15" hidden="false" customHeight="false" outlineLevel="0" collapsed="false">
      <c r="A360" s="11"/>
      <c r="B360" s="38"/>
      <c r="E360" s="10"/>
      <c r="I360" s="11"/>
      <c r="J360" s="10"/>
      <c r="L360" s="31" t="str">
        <f aca="false">IF($C360="","",IFERROR(IF(INDEX(campaigns!$BG$2:$BG$51,MATCH($C360,campaigns!$A$2:$A$51,0))="","",INDEX(campaigns!$BG$2:$BG$51,MATCH($C360,campaigns!$A$2:$A$51,0))),""))</f>
        <v/>
      </c>
      <c r="M360" s="30" t="str">
        <f aca="false">IF($C360="","",IF(OR($E360="received"),N($G360),IF(OR($E360="rejected",$E360="delivered",$E360="topped_up"),-N($G360),IF(AND(OR($E360="returned_to_brand",$E360="given_to_roster_office",$E360="released_to_office",$E360="disposed"),IF($F360="","reserve",$F360)="reserve"),-N($G360),IF(AND($E360="correction",IF($F360="","reserve",$F360)="reserve"),N($G360),0)))))</f>
        <v/>
      </c>
      <c r="N360" s="30" t="str">
        <f aca="false">IF($C360="","",IF($E360="rejected",N($G360),IF(AND(OR($E360="returned_to_brand",$E360="given_to_roster_office",$E360="released_to_office",$E360="disposed"),IF($F360="","reserve",$F360)="rejected"),-N($G360),IF(AND($E360="correction",IF($F360="","reserve",$F360)="rejected"),N($G360),0))))</f>
        <v/>
      </c>
      <c r="O360" s="30" t="str">
        <f aca="false">IF($C360="","",IF($E360="collected",N($G360),IF(AND(OR($E360="returned_to_brand",$E360="given_to_roster_office",$E360="released_to_office",$E360="disposed"),IF($F360="","reserve",$F360)="leftover"),-N($G360),IF(AND($E360="correction",IF($F360="","reserve",$F360)="leftover"),N($G360),0))))</f>
        <v/>
      </c>
      <c r="P360" s="30" t="str">
        <f aca="false">IF(OR($E360&lt;&gt;"received",$I360="",$L360=""),"",IF($I360&gt;=$L360+config!$B$19,"Y","N"))</f>
        <v/>
      </c>
      <c r="Q360" s="30" t="str">
        <f aca="false">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30" t="str">
        <f aca="false">IF($C360="","",$C360&amp;"|"&amp;$D360&amp;"|"&amp;$E360)</f>
        <v/>
      </c>
    </row>
    <row r="361" customFormat="false" ht="15" hidden="false" customHeight="false" outlineLevel="0" collapsed="false">
      <c r="A361" s="11"/>
      <c r="B361" s="38"/>
      <c r="E361" s="10"/>
      <c r="I361" s="11"/>
      <c r="J361" s="10"/>
      <c r="L361" s="31" t="str">
        <f aca="false">IF($C361="","",IFERROR(IF(INDEX(campaigns!$BG$2:$BG$51,MATCH($C361,campaigns!$A$2:$A$51,0))="","",INDEX(campaigns!$BG$2:$BG$51,MATCH($C361,campaigns!$A$2:$A$51,0))),""))</f>
        <v/>
      </c>
      <c r="M361" s="30" t="str">
        <f aca="false">IF($C361="","",IF(OR($E361="received"),N($G361),IF(OR($E361="rejected",$E361="delivered",$E361="topped_up"),-N($G361),IF(AND(OR($E361="returned_to_brand",$E361="given_to_roster_office",$E361="released_to_office",$E361="disposed"),IF($F361="","reserve",$F361)="reserve"),-N($G361),IF(AND($E361="correction",IF($F361="","reserve",$F361)="reserve"),N($G361),0)))))</f>
        <v/>
      </c>
      <c r="N361" s="30" t="str">
        <f aca="false">IF($C361="","",IF($E361="rejected",N($G361),IF(AND(OR($E361="returned_to_brand",$E361="given_to_roster_office",$E361="released_to_office",$E361="disposed"),IF($F361="","reserve",$F361)="rejected"),-N($G361),IF(AND($E361="correction",IF($F361="","reserve",$F361)="rejected"),N($G361),0))))</f>
        <v/>
      </c>
      <c r="O361" s="30" t="str">
        <f aca="false">IF($C361="","",IF($E361="collected",N($G361),IF(AND(OR($E361="returned_to_brand",$E361="given_to_roster_office",$E361="released_to_office",$E361="disposed"),IF($F361="","reserve",$F361)="leftover"),-N($G361),IF(AND($E361="correction",IF($F361="","reserve",$F361)="leftover"),N($G361),0))))</f>
        <v/>
      </c>
      <c r="P361" s="30" t="str">
        <f aca="false">IF(OR($E361&lt;&gt;"received",$I361="",$L361=""),"",IF($I361&gt;=$L361+config!$B$19,"Y","N"))</f>
        <v/>
      </c>
      <c r="Q361" s="30" t="str">
        <f aca="false">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30" t="str">
        <f aca="false">IF($C361="","",$C361&amp;"|"&amp;$D361&amp;"|"&amp;$E361)</f>
        <v/>
      </c>
    </row>
    <row r="362" customFormat="false" ht="15" hidden="false" customHeight="false" outlineLevel="0" collapsed="false">
      <c r="A362" s="11"/>
      <c r="B362" s="38"/>
      <c r="E362" s="10"/>
      <c r="I362" s="11"/>
      <c r="J362" s="10"/>
      <c r="L362" s="31" t="str">
        <f aca="false">IF($C362="","",IFERROR(IF(INDEX(campaigns!$BG$2:$BG$51,MATCH($C362,campaigns!$A$2:$A$51,0))="","",INDEX(campaigns!$BG$2:$BG$51,MATCH($C362,campaigns!$A$2:$A$51,0))),""))</f>
        <v/>
      </c>
      <c r="M362" s="30" t="str">
        <f aca="false">IF($C362="","",IF(OR($E362="received"),N($G362),IF(OR($E362="rejected",$E362="delivered",$E362="topped_up"),-N($G362),IF(AND(OR($E362="returned_to_brand",$E362="given_to_roster_office",$E362="released_to_office",$E362="disposed"),IF($F362="","reserve",$F362)="reserve"),-N($G362),IF(AND($E362="correction",IF($F362="","reserve",$F362)="reserve"),N($G362),0)))))</f>
        <v/>
      </c>
      <c r="N362" s="30" t="str">
        <f aca="false">IF($C362="","",IF($E362="rejected",N($G362),IF(AND(OR($E362="returned_to_brand",$E362="given_to_roster_office",$E362="released_to_office",$E362="disposed"),IF($F362="","reserve",$F362)="rejected"),-N($G362),IF(AND($E362="correction",IF($F362="","reserve",$F362)="rejected"),N($G362),0))))</f>
        <v/>
      </c>
      <c r="O362" s="30" t="str">
        <f aca="false">IF($C362="","",IF($E362="collected",N($G362),IF(AND(OR($E362="returned_to_brand",$E362="given_to_roster_office",$E362="released_to_office",$E362="disposed"),IF($F362="","reserve",$F362)="leftover"),-N($G362),IF(AND($E362="correction",IF($F362="","reserve",$F362)="leftover"),N($G362),0))))</f>
        <v/>
      </c>
      <c r="P362" s="30" t="str">
        <f aca="false">IF(OR($E362&lt;&gt;"received",$I362="",$L362=""),"",IF($I362&gt;=$L362+config!$B$19,"Y","N"))</f>
        <v/>
      </c>
      <c r="Q362" s="30" t="str">
        <f aca="false">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30" t="str">
        <f aca="false">IF($C362="","",$C362&amp;"|"&amp;$D362&amp;"|"&amp;$E362)</f>
        <v/>
      </c>
    </row>
    <row r="363" customFormat="false" ht="15" hidden="false" customHeight="false" outlineLevel="0" collapsed="false">
      <c r="A363" s="11"/>
      <c r="B363" s="38"/>
      <c r="E363" s="10"/>
      <c r="I363" s="11"/>
      <c r="J363" s="10"/>
      <c r="L363" s="31" t="str">
        <f aca="false">IF($C363="","",IFERROR(IF(INDEX(campaigns!$BG$2:$BG$51,MATCH($C363,campaigns!$A$2:$A$51,0))="","",INDEX(campaigns!$BG$2:$BG$51,MATCH($C363,campaigns!$A$2:$A$51,0))),""))</f>
        <v/>
      </c>
      <c r="M363" s="30" t="str">
        <f aca="false">IF($C363="","",IF(OR($E363="received"),N($G363),IF(OR($E363="rejected",$E363="delivered",$E363="topped_up"),-N($G363),IF(AND(OR($E363="returned_to_brand",$E363="given_to_roster_office",$E363="released_to_office",$E363="disposed"),IF($F363="","reserve",$F363)="reserve"),-N($G363),IF(AND($E363="correction",IF($F363="","reserve",$F363)="reserve"),N($G363),0)))))</f>
        <v/>
      </c>
      <c r="N363" s="30" t="str">
        <f aca="false">IF($C363="","",IF($E363="rejected",N($G363),IF(AND(OR($E363="returned_to_brand",$E363="given_to_roster_office",$E363="released_to_office",$E363="disposed"),IF($F363="","reserve",$F363)="rejected"),-N($G363),IF(AND($E363="correction",IF($F363="","reserve",$F363)="rejected"),N($G363),0))))</f>
        <v/>
      </c>
      <c r="O363" s="30" t="str">
        <f aca="false">IF($C363="","",IF($E363="collected",N($G363),IF(AND(OR($E363="returned_to_brand",$E363="given_to_roster_office",$E363="released_to_office",$E363="disposed"),IF($F363="","reserve",$F363)="leftover"),-N($G363),IF(AND($E363="correction",IF($F363="","reserve",$F363)="leftover"),N($G363),0))))</f>
        <v/>
      </c>
      <c r="P363" s="30" t="str">
        <f aca="false">IF(OR($E363&lt;&gt;"received",$I363="",$L363=""),"",IF($I363&gt;=$L363+config!$B$19,"Y","N"))</f>
        <v/>
      </c>
      <c r="Q363" s="30" t="str">
        <f aca="false">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30" t="str">
        <f aca="false">IF($C363="","",$C363&amp;"|"&amp;$D363&amp;"|"&amp;$E363)</f>
        <v/>
      </c>
    </row>
    <row r="364" customFormat="false" ht="15" hidden="false" customHeight="false" outlineLevel="0" collapsed="false">
      <c r="A364" s="11"/>
      <c r="B364" s="38"/>
      <c r="E364" s="10"/>
      <c r="I364" s="11"/>
      <c r="J364" s="10"/>
      <c r="L364" s="31" t="str">
        <f aca="false">IF($C364="","",IFERROR(IF(INDEX(campaigns!$BG$2:$BG$51,MATCH($C364,campaigns!$A$2:$A$51,0))="","",INDEX(campaigns!$BG$2:$BG$51,MATCH($C364,campaigns!$A$2:$A$51,0))),""))</f>
        <v/>
      </c>
      <c r="M364" s="30" t="str">
        <f aca="false">IF($C364="","",IF(OR($E364="received"),N($G364),IF(OR($E364="rejected",$E364="delivered",$E364="topped_up"),-N($G364),IF(AND(OR($E364="returned_to_brand",$E364="given_to_roster_office",$E364="released_to_office",$E364="disposed"),IF($F364="","reserve",$F364)="reserve"),-N($G364),IF(AND($E364="correction",IF($F364="","reserve",$F364)="reserve"),N($G364),0)))))</f>
        <v/>
      </c>
      <c r="N364" s="30" t="str">
        <f aca="false">IF($C364="","",IF($E364="rejected",N($G364),IF(AND(OR($E364="returned_to_brand",$E364="given_to_roster_office",$E364="released_to_office",$E364="disposed"),IF($F364="","reserve",$F364)="rejected"),-N($G364),IF(AND($E364="correction",IF($F364="","reserve",$F364)="rejected"),N($G364),0))))</f>
        <v/>
      </c>
      <c r="O364" s="30" t="str">
        <f aca="false">IF($C364="","",IF($E364="collected",N($G364),IF(AND(OR($E364="returned_to_brand",$E364="given_to_roster_office",$E364="released_to_office",$E364="disposed"),IF($F364="","reserve",$F364)="leftover"),-N($G364),IF(AND($E364="correction",IF($F364="","reserve",$F364)="leftover"),N($G364),0))))</f>
        <v/>
      </c>
      <c r="P364" s="30" t="str">
        <f aca="false">IF(OR($E364&lt;&gt;"received",$I364="",$L364=""),"",IF($I364&gt;=$L364+config!$B$19,"Y","N"))</f>
        <v/>
      </c>
      <c r="Q364" s="30" t="str">
        <f aca="false">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30" t="str">
        <f aca="false">IF($C364="","",$C364&amp;"|"&amp;$D364&amp;"|"&amp;$E364)</f>
        <v/>
      </c>
    </row>
    <row r="365" customFormat="false" ht="15" hidden="false" customHeight="false" outlineLevel="0" collapsed="false">
      <c r="A365" s="11"/>
      <c r="B365" s="38"/>
      <c r="E365" s="10"/>
      <c r="I365" s="11"/>
      <c r="J365" s="10"/>
      <c r="L365" s="31" t="str">
        <f aca="false">IF($C365="","",IFERROR(IF(INDEX(campaigns!$BG$2:$BG$51,MATCH($C365,campaigns!$A$2:$A$51,0))="","",INDEX(campaigns!$BG$2:$BG$51,MATCH($C365,campaigns!$A$2:$A$51,0))),""))</f>
        <v/>
      </c>
      <c r="M365" s="30" t="str">
        <f aca="false">IF($C365="","",IF(OR($E365="received"),N($G365),IF(OR($E365="rejected",$E365="delivered",$E365="topped_up"),-N($G365),IF(AND(OR($E365="returned_to_brand",$E365="given_to_roster_office",$E365="released_to_office",$E365="disposed"),IF($F365="","reserve",$F365)="reserve"),-N($G365),IF(AND($E365="correction",IF($F365="","reserve",$F365)="reserve"),N($G365),0)))))</f>
        <v/>
      </c>
      <c r="N365" s="30" t="str">
        <f aca="false">IF($C365="","",IF($E365="rejected",N($G365),IF(AND(OR($E365="returned_to_brand",$E365="given_to_roster_office",$E365="released_to_office",$E365="disposed"),IF($F365="","reserve",$F365)="rejected"),-N($G365),IF(AND($E365="correction",IF($F365="","reserve",$F365)="rejected"),N($G365),0))))</f>
        <v/>
      </c>
      <c r="O365" s="30" t="str">
        <f aca="false">IF($C365="","",IF($E365="collected",N($G365),IF(AND(OR($E365="returned_to_brand",$E365="given_to_roster_office",$E365="released_to_office",$E365="disposed"),IF($F365="","reserve",$F365)="leftover"),-N($G365),IF(AND($E365="correction",IF($F365="","reserve",$F365)="leftover"),N($G365),0))))</f>
        <v/>
      </c>
      <c r="P365" s="30" t="str">
        <f aca="false">IF(OR($E365&lt;&gt;"received",$I365="",$L365=""),"",IF($I365&gt;=$L365+config!$B$19,"Y","N"))</f>
        <v/>
      </c>
      <c r="Q365" s="30" t="str">
        <f aca="false">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30" t="str">
        <f aca="false">IF($C365="","",$C365&amp;"|"&amp;$D365&amp;"|"&amp;$E365)</f>
        <v/>
      </c>
    </row>
    <row r="366" customFormat="false" ht="15" hidden="false" customHeight="false" outlineLevel="0" collapsed="false">
      <c r="A366" s="11"/>
      <c r="B366" s="38"/>
      <c r="E366" s="10"/>
      <c r="I366" s="11"/>
      <c r="J366" s="10"/>
      <c r="L366" s="31" t="str">
        <f aca="false">IF($C366="","",IFERROR(IF(INDEX(campaigns!$BG$2:$BG$51,MATCH($C366,campaigns!$A$2:$A$51,0))="","",INDEX(campaigns!$BG$2:$BG$51,MATCH($C366,campaigns!$A$2:$A$51,0))),""))</f>
        <v/>
      </c>
      <c r="M366" s="30" t="str">
        <f aca="false">IF($C366="","",IF(OR($E366="received"),N($G366),IF(OR($E366="rejected",$E366="delivered",$E366="topped_up"),-N($G366),IF(AND(OR($E366="returned_to_brand",$E366="given_to_roster_office",$E366="released_to_office",$E366="disposed"),IF($F366="","reserve",$F366)="reserve"),-N($G366),IF(AND($E366="correction",IF($F366="","reserve",$F366)="reserve"),N($G366),0)))))</f>
        <v/>
      </c>
      <c r="N366" s="30" t="str">
        <f aca="false">IF($C366="","",IF($E366="rejected",N($G366),IF(AND(OR($E366="returned_to_brand",$E366="given_to_roster_office",$E366="released_to_office",$E366="disposed"),IF($F366="","reserve",$F366)="rejected"),-N($G366),IF(AND($E366="correction",IF($F366="","reserve",$F366)="rejected"),N($G366),0))))</f>
        <v/>
      </c>
      <c r="O366" s="30" t="str">
        <f aca="false">IF($C366="","",IF($E366="collected",N($G366),IF(AND(OR($E366="returned_to_brand",$E366="given_to_roster_office",$E366="released_to_office",$E366="disposed"),IF($F366="","reserve",$F366)="leftover"),-N($G366),IF(AND($E366="correction",IF($F366="","reserve",$F366)="leftover"),N($G366),0))))</f>
        <v/>
      </c>
      <c r="P366" s="30" t="str">
        <f aca="false">IF(OR($E366&lt;&gt;"received",$I366="",$L366=""),"",IF($I366&gt;=$L366+config!$B$19,"Y","N"))</f>
        <v/>
      </c>
      <c r="Q366" s="30" t="str">
        <f aca="false">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30" t="str">
        <f aca="false">IF($C366="","",$C366&amp;"|"&amp;$D366&amp;"|"&amp;$E366)</f>
        <v/>
      </c>
    </row>
    <row r="367" customFormat="false" ht="15" hidden="false" customHeight="false" outlineLevel="0" collapsed="false">
      <c r="A367" s="11"/>
      <c r="B367" s="38"/>
      <c r="E367" s="10"/>
      <c r="I367" s="11"/>
      <c r="J367" s="10"/>
      <c r="L367" s="31" t="str">
        <f aca="false">IF($C367="","",IFERROR(IF(INDEX(campaigns!$BG$2:$BG$51,MATCH($C367,campaigns!$A$2:$A$51,0))="","",INDEX(campaigns!$BG$2:$BG$51,MATCH($C367,campaigns!$A$2:$A$51,0))),""))</f>
        <v/>
      </c>
      <c r="M367" s="30" t="str">
        <f aca="false">IF($C367="","",IF(OR($E367="received"),N($G367),IF(OR($E367="rejected",$E367="delivered",$E367="topped_up"),-N($G367),IF(AND(OR($E367="returned_to_brand",$E367="given_to_roster_office",$E367="released_to_office",$E367="disposed"),IF($F367="","reserve",$F367)="reserve"),-N($G367),IF(AND($E367="correction",IF($F367="","reserve",$F367)="reserve"),N($G367),0)))))</f>
        <v/>
      </c>
      <c r="N367" s="30" t="str">
        <f aca="false">IF($C367="","",IF($E367="rejected",N($G367),IF(AND(OR($E367="returned_to_brand",$E367="given_to_roster_office",$E367="released_to_office",$E367="disposed"),IF($F367="","reserve",$F367)="rejected"),-N($G367),IF(AND($E367="correction",IF($F367="","reserve",$F367)="rejected"),N($G367),0))))</f>
        <v/>
      </c>
      <c r="O367" s="30" t="str">
        <f aca="false">IF($C367="","",IF($E367="collected",N($G367),IF(AND(OR($E367="returned_to_brand",$E367="given_to_roster_office",$E367="released_to_office",$E367="disposed"),IF($F367="","reserve",$F367)="leftover"),-N($G367),IF(AND($E367="correction",IF($F367="","reserve",$F367)="leftover"),N($G367),0))))</f>
        <v/>
      </c>
      <c r="P367" s="30" t="str">
        <f aca="false">IF(OR($E367&lt;&gt;"received",$I367="",$L367=""),"",IF($I367&gt;=$L367+config!$B$19,"Y","N"))</f>
        <v/>
      </c>
      <c r="Q367" s="30" t="str">
        <f aca="false">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30" t="str">
        <f aca="false">IF($C367="","",$C367&amp;"|"&amp;$D367&amp;"|"&amp;$E367)</f>
        <v/>
      </c>
    </row>
    <row r="368" customFormat="false" ht="15" hidden="false" customHeight="false" outlineLevel="0" collapsed="false">
      <c r="A368" s="11"/>
      <c r="B368" s="38"/>
      <c r="E368" s="10"/>
      <c r="I368" s="11"/>
      <c r="J368" s="10"/>
      <c r="L368" s="31" t="str">
        <f aca="false">IF($C368="","",IFERROR(IF(INDEX(campaigns!$BG$2:$BG$51,MATCH($C368,campaigns!$A$2:$A$51,0))="","",INDEX(campaigns!$BG$2:$BG$51,MATCH($C368,campaigns!$A$2:$A$51,0))),""))</f>
        <v/>
      </c>
      <c r="M368" s="30" t="str">
        <f aca="false">IF($C368="","",IF(OR($E368="received"),N($G368),IF(OR($E368="rejected",$E368="delivered",$E368="topped_up"),-N($G368),IF(AND(OR($E368="returned_to_brand",$E368="given_to_roster_office",$E368="released_to_office",$E368="disposed"),IF($F368="","reserve",$F368)="reserve"),-N($G368),IF(AND($E368="correction",IF($F368="","reserve",$F368)="reserve"),N($G368),0)))))</f>
        <v/>
      </c>
      <c r="N368" s="30" t="str">
        <f aca="false">IF($C368="","",IF($E368="rejected",N($G368),IF(AND(OR($E368="returned_to_brand",$E368="given_to_roster_office",$E368="released_to_office",$E368="disposed"),IF($F368="","reserve",$F368)="rejected"),-N($G368),IF(AND($E368="correction",IF($F368="","reserve",$F368)="rejected"),N($G368),0))))</f>
        <v/>
      </c>
      <c r="O368" s="30" t="str">
        <f aca="false">IF($C368="","",IF($E368="collected",N($G368),IF(AND(OR($E368="returned_to_brand",$E368="given_to_roster_office",$E368="released_to_office",$E368="disposed"),IF($F368="","reserve",$F368)="leftover"),-N($G368),IF(AND($E368="correction",IF($F368="","reserve",$F368)="leftover"),N($G368),0))))</f>
        <v/>
      </c>
      <c r="P368" s="30" t="str">
        <f aca="false">IF(OR($E368&lt;&gt;"received",$I368="",$L368=""),"",IF($I368&gt;=$L368+config!$B$19,"Y","N"))</f>
        <v/>
      </c>
      <c r="Q368" s="30" t="str">
        <f aca="false">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30" t="str">
        <f aca="false">IF($C368="","",$C368&amp;"|"&amp;$D368&amp;"|"&amp;$E368)</f>
        <v/>
      </c>
    </row>
    <row r="369" customFormat="false" ht="15" hidden="false" customHeight="false" outlineLevel="0" collapsed="false">
      <c r="A369" s="11"/>
      <c r="B369" s="38"/>
      <c r="E369" s="10"/>
      <c r="I369" s="11"/>
      <c r="J369" s="10"/>
      <c r="L369" s="31" t="str">
        <f aca="false">IF($C369="","",IFERROR(IF(INDEX(campaigns!$BG$2:$BG$51,MATCH($C369,campaigns!$A$2:$A$51,0))="","",INDEX(campaigns!$BG$2:$BG$51,MATCH($C369,campaigns!$A$2:$A$51,0))),""))</f>
        <v/>
      </c>
      <c r="M369" s="30" t="str">
        <f aca="false">IF($C369="","",IF(OR($E369="received"),N($G369),IF(OR($E369="rejected",$E369="delivered",$E369="topped_up"),-N($G369),IF(AND(OR($E369="returned_to_brand",$E369="given_to_roster_office",$E369="released_to_office",$E369="disposed"),IF($F369="","reserve",$F369)="reserve"),-N($G369),IF(AND($E369="correction",IF($F369="","reserve",$F369)="reserve"),N($G369),0)))))</f>
        <v/>
      </c>
      <c r="N369" s="30" t="str">
        <f aca="false">IF($C369="","",IF($E369="rejected",N($G369),IF(AND(OR($E369="returned_to_brand",$E369="given_to_roster_office",$E369="released_to_office",$E369="disposed"),IF($F369="","reserve",$F369)="rejected"),-N($G369),IF(AND($E369="correction",IF($F369="","reserve",$F369)="rejected"),N($G369),0))))</f>
        <v/>
      </c>
      <c r="O369" s="30" t="str">
        <f aca="false">IF($C369="","",IF($E369="collected",N($G369),IF(AND(OR($E369="returned_to_brand",$E369="given_to_roster_office",$E369="released_to_office",$E369="disposed"),IF($F369="","reserve",$F369)="leftover"),-N($G369),IF(AND($E369="correction",IF($F369="","reserve",$F369)="leftover"),N($G369),0))))</f>
        <v/>
      </c>
      <c r="P369" s="30" t="str">
        <f aca="false">IF(OR($E369&lt;&gt;"received",$I369="",$L369=""),"",IF($I369&gt;=$L369+config!$B$19,"Y","N"))</f>
        <v/>
      </c>
      <c r="Q369" s="30" t="str">
        <f aca="false">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30" t="str">
        <f aca="false">IF($C369="","",$C369&amp;"|"&amp;$D369&amp;"|"&amp;$E369)</f>
        <v/>
      </c>
    </row>
    <row r="370" customFormat="false" ht="15" hidden="false" customHeight="false" outlineLevel="0" collapsed="false">
      <c r="A370" s="11"/>
      <c r="B370" s="38"/>
      <c r="E370" s="10"/>
      <c r="I370" s="11"/>
      <c r="J370" s="10"/>
      <c r="L370" s="31" t="str">
        <f aca="false">IF($C370="","",IFERROR(IF(INDEX(campaigns!$BG$2:$BG$51,MATCH($C370,campaigns!$A$2:$A$51,0))="","",INDEX(campaigns!$BG$2:$BG$51,MATCH($C370,campaigns!$A$2:$A$51,0))),""))</f>
        <v/>
      </c>
      <c r="M370" s="30" t="str">
        <f aca="false">IF($C370="","",IF(OR($E370="received"),N($G370),IF(OR($E370="rejected",$E370="delivered",$E370="topped_up"),-N($G370),IF(AND(OR($E370="returned_to_brand",$E370="given_to_roster_office",$E370="released_to_office",$E370="disposed"),IF($F370="","reserve",$F370)="reserve"),-N($G370),IF(AND($E370="correction",IF($F370="","reserve",$F370)="reserve"),N($G370),0)))))</f>
        <v/>
      </c>
      <c r="N370" s="30" t="str">
        <f aca="false">IF($C370="","",IF($E370="rejected",N($G370),IF(AND(OR($E370="returned_to_brand",$E370="given_to_roster_office",$E370="released_to_office",$E370="disposed"),IF($F370="","reserve",$F370)="rejected"),-N($G370),IF(AND($E370="correction",IF($F370="","reserve",$F370)="rejected"),N($G370),0))))</f>
        <v/>
      </c>
      <c r="O370" s="30" t="str">
        <f aca="false">IF($C370="","",IF($E370="collected",N($G370),IF(AND(OR($E370="returned_to_brand",$E370="given_to_roster_office",$E370="released_to_office",$E370="disposed"),IF($F370="","reserve",$F370)="leftover"),-N($G370),IF(AND($E370="correction",IF($F370="","reserve",$F370)="leftover"),N($G370),0))))</f>
        <v/>
      </c>
      <c r="P370" s="30" t="str">
        <f aca="false">IF(OR($E370&lt;&gt;"received",$I370="",$L370=""),"",IF($I370&gt;=$L370+config!$B$19,"Y","N"))</f>
        <v/>
      </c>
      <c r="Q370" s="30" t="str">
        <f aca="false">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30" t="str">
        <f aca="false">IF($C370="","",$C370&amp;"|"&amp;$D370&amp;"|"&amp;$E370)</f>
        <v/>
      </c>
    </row>
    <row r="371" customFormat="false" ht="15" hidden="false" customHeight="false" outlineLevel="0" collapsed="false">
      <c r="A371" s="11"/>
      <c r="B371" s="38"/>
      <c r="E371" s="10"/>
      <c r="I371" s="11"/>
      <c r="J371" s="10"/>
      <c r="L371" s="31" t="str">
        <f aca="false">IF($C371="","",IFERROR(IF(INDEX(campaigns!$BG$2:$BG$51,MATCH($C371,campaigns!$A$2:$A$51,0))="","",INDEX(campaigns!$BG$2:$BG$51,MATCH($C371,campaigns!$A$2:$A$51,0))),""))</f>
        <v/>
      </c>
      <c r="M371" s="30" t="str">
        <f aca="false">IF($C371="","",IF(OR($E371="received"),N($G371),IF(OR($E371="rejected",$E371="delivered",$E371="topped_up"),-N($G371),IF(AND(OR($E371="returned_to_brand",$E371="given_to_roster_office",$E371="released_to_office",$E371="disposed"),IF($F371="","reserve",$F371)="reserve"),-N($G371),IF(AND($E371="correction",IF($F371="","reserve",$F371)="reserve"),N($G371),0)))))</f>
        <v/>
      </c>
      <c r="N371" s="30" t="str">
        <f aca="false">IF($C371="","",IF($E371="rejected",N($G371),IF(AND(OR($E371="returned_to_brand",$E371="given_to_roster_office",$E371="released_to_office",$E371="disposed"),IF($F371="","reserve",$F371)="rejected"),-N($G371),IF(AND($E371="correction",IF($F371="","reserve",$F371)="rejected"),N($G371),0))))</f>
        <v/>
      </c>
      <c r="O371" s="30" t="str">
        <f aca="false">IF($C371="","",IF($E371="collected",N($G371),IF(AND(OR($E371="returned_to_brand",$E371="given_to_roster_office",$E371="released_to_office",$E371="disposed"),IF($F371="","reserve",$F371)="leftover"),-N($G371),IF(AND($E371="correction",IF($F371="","reserve",$F371)="leftover"),N($G371),0))))</f>
        <v/>
      </c>
      <c r="P371" s="30" t="str">
        <f aca="false">IF(OR($E371&lt;&gt;"received",$I371="",$L371=""),"",IF($I371&gt;=$L371+config!$B$19,"Y","N"))</f>
        <v/>
      </c>
      <c r="Q371" s="30" t="str">
        <f aca="false">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30" t="str">
        <f aca="false">IF($C371="","",$C371&amp;"|"&amp;$D371&amp;"|"&amp;$E371)</f>
        <v/>
      </c>
    </row>
    <row r="372" customFormat="false" ht="15" hidden="false" customHeight="false" outlineLevel="0" collapsed="false">
      <c r="A372" s="11"/>
      <c r="B372" s="38"/>
      <c r="E372" s="10"/>
      <c r="I372" s="11"/>
      <c r="J372" s="10"/>
      <c r="L372" s="31" t="str">
        <f aca="false">IF($C372="","",IFERROR(IF(INDEX(campaigns!$BG$2:$BG$51,MATCH($C372,campaigns!$A$2:$A$51,0))="","",INDEX(campaigns!$BG$2:$BG$51,MATCH($C372,campaigns!$A$2:$A$51,0))),""))</f>
        <v/>
      </c>
      <c r="M372" s="30" t="str">
        <f aca="false">IF($C372="","",IF(OR($E372="received"),N($G372),IF(OR($E372="rejected",$E372="delivered",$E372="topped_up"),-N($G372),IF(AND(OR($E372="returned_to_brand",$E372="given_to_roster_office",$E372="released_to_office",$E372="disposed"),IF($F372="","reserve",$F372)="reserve"),-N($G372),IF(AND($E372="correction",IF($F372="","reserve",$F372)="reserve"),N($G372),0)))))</f>
        <v/>
      </c>
      <c r="N372" s="30" t="str">
        <f aca="false">IF($C372="","",IF($E372="rejected",N($G372),IF(AND(OR($E372="returned_to_brand",$E372="given_to_roster_office",$E372="released_to_office",$E372="disposed"),IF($F372="","reserve",$F372)="rejected"),-N($G372),IF(AND($E372="correction",IF($F372="","reserve",$F372)="rejected"),N($G372),0))))</f>
        <v/>
      </c>
      <c r="O372" s="30" t="str">
        <f aca="false">IF($C372="","",IF($E372="collected",N($G372),IF(AND(OR($E372="returned_to_brand",$E372="given_to_roster_office",$E372="released_to_office",$E372="disposed"),IF($F372="","reserve",$F372)="leftover"),-N($G372),IF(AND($E372="correction",IF($F372="","reserve",$F372)="leftover"),N($G372),0))))</f>
        <v/>
      </c>
      <c r="P372" s="30" t="str">
        <f aca="false">IF(OR($E372&lt;&gt;"received",$I372="",$L372=""),"",IF($I372&gt;=$L372+config!$B$19,"Y","N"))</f>
        <v/>
      </c>
      <c r="Q372" s="30" t="str">
        <f aca="false">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30" t="str">
        <f aca="false">IF($C372="","",$C372&amp;"|"&amp;$D372&amp;"|"&amp;$E372)</f>
        <v/>
      </c>
    </row>
    <row r="373" customFormat="false" ht="15" hidden="false" customHeight="false" outlineLevel="0" collapsed="false">
      <c r="A373" s="11"/>
      <c r="B373" s="38"/>
      <c r="E373" s="10"/>
      <c r="I373" s="11"/>
      <c r="J373" s="10"/>
      <c r="L373" s="31" t="str">
        <f aca="false">IF($C373="","",IFERROR(IF(INDEX(campaigns!$BG$2:$BG$51,MATCH($C373,campaigns!$A$2:$A$51,0))="","",INDEX(campaigns!$BG$2:$BG$51,MATCH($C373,campaigns!$A$2:$A$51,0))),""))</f>
        <v/>
      </c>
      <c r="M373" s="30" t="str">
        <f aca="false">IF($C373="","",IF(OR($E373="received"),N($G373),IF(OR($E373="rejected",$E373="delivered",$E373="topped_up"),-N($G373),IF(AND(OR($E373="returned_to_brand",$E373="given_to_roster_office",$E373="released_to_office",$E373="disposed"),IF($F373="","reserve",$F373)="reserve"),-N($G373),IF(AND($E373="correction",IF($F373="","reserve",$F373)="reserve"),N($G373),0)))))</f>
        <v/>
      </c>
      <c r="N373" s="30" t="str">
        <f aca="false">IF($C373="","",IF($E373="rejected",N($G373),IF(AND(OR($E373="returned_to_brand",$E373="given_to_roster_office",$E373="released_to_office",$E373="disposed"),IF($F373="","reserve",$F373)="rejected"),-N($G373),IF(AND($E373="correction",IF($F373="","reserve",$F373)="rejected"),N($G373),0))))</f>
        <v/>
      </c>
      <c r="O373" s="30" t="str">
        <f aca="false">IF($C373="","",IF($E373="collected",N($G373),IF(AND(OR($E373="returned_to_brand",$E373="given_to_roster_office",$E373="released_to_office",$E373="disposed"),IF($F373="","reserve",$F373)="leftover"),-N($G373),IF(AND($E373="correction",IF($F373="","reserve",$F373)="leftover"),N($G373),0))))</f>
        <v/>
      </c>
      <c r="P373" s="30" t="str">
        <f aca="false">IF(OR($E373&lt;&gt;"received",$I373="",$L373=""),"",IF($I373&gt;=$L373+config!$B$19,"Y","N"))</f>
        <v/>
      </c>
      <c r="Q373" s="30" t="str">
        <f aca="false">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30" t="str">
        <f aca="false">IF($C373="","",$C373&amp;"|"&amp;$D373&amp;"|"&amp;$E373)</f>
        <v/>
      </c>
    </row>
    <row r="374" customFormat="false" ht="15" hidden="false" customHeight="false" outlineLevel="0" collapsed="false">
      <c r="A374" s="11"/>
      <c r="B374" s="38"/>
      <c r="E374" s="10"/>
      <c r="I374" s="11"/>
      <c r="J374" s="10"/>
      <c r="L374" s="31" t="str">
        <f aca="false">IF($C374="","",IFERROR(IF(INDEX(campaigns!$BG$2:$BG$51,MATCH($C374,campaigns!$A$2:$A$51,0))="","",INDEX(campaigns!$BG$2:$BG$51,MATCH($C374,campaigns!$A$2:$A$51,0))),""))</f>
        <v/>
      </c>
      <c r="M374" s="30" t="str">
        <f aca="false">IF($C374="","",IF(OR($E374="received"),N($G374),IF(OR($E374="rejected",$E374="delivered",$E374="topped_up"),-N($G374),IF(AND(OR($E374="returned_to_brand",$E374="given_to_roster_office",$E374="released_to_office",$E374="disposed"),IF($F374="","reserve",$F374)="reserve"),-N($G374),IF(AND($E374="correction",IF($F374="","reserve",$F374)="reserve"),N($G374),0)))))</f>
        <v/>
      </c>
      <c r="N374" s="30" t="str">
        <f aca="false">IF($C374="","",IF($E374="rejected",N($G374),IF(AND(OR($E374="returned_to_brand",$E374="given_to_roster_office",$E374="released_to_office",$E374="disposed"),IF($F374="","reserve",$F374)="rejected"),-N($G374),IF(AND($E374="correction",IF($F374="","reserve",$F374)="rejected"),N($G374),0))))</f>
        <v/>
      </c>
      <c r="O374" s="30" t="str">
        <f aca="false">IF($C374="","",IF($E374="collected",N($G374),IF(AND(OR($E374="returned_to_brand",$E374="given_to_roster_office",$E374="released_to_office",$E374="disposed"),IF($F374="","reserve",$F374)="leftover"),-N($G374),IF(AND($E374="correction",IF($F374="","reserve",$F374)="leftover"),N($G374),0))))</f>
        <v/>
      </c>
      <c r="P374" s="30" t="str">
        <f aca="false">IF(OR($E374&lt;&gt;"received",$I374="",$L374=""),"",IF($I374&gt;=$L374+config!$B$19,"Y","N"))</f>
        <v/>
      </c>
      <c r="Q374" s="30" t="str">
        <f aca="false">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30" t="str">
        <f aca="false">IF($C374="","",$C374&amp;"|"&amp;$D374&amp;"|"&amp;$E374)</f>
        <v/>
      </c>
    </row>
    <row r="375" customFormat="false" ht="15" hidden="false" customHeight="false" outlineLevel="0" collapsed="false">
      <c r="A375" s="11"/>
      <c r="B375" s="38"/>
      <c r="E375" s="10"/>
      <c r="I375" s="11"/>
      <c r="J375" s="10"/>
      <c r="L375" s="31" t="str">
        <f aca="false">IF($C375="","",IFERROR(IF(INDEX(campaigns!$BG$2:$BG$51,MATCH($C375,campaigns!$A$2:$A$51,0))="","",INDEX(campaigns!$BG$2:$BG$51,MATCH($C375,campaigns!$A$2:$A$51,0))),""))</f>
        <v/>
      </c>
      <c r="M375" s="30" t="str">
        <f aca="false">IF($C375="","",IF(OR($E375="received"),N($G375),IF(OR($E375="rejected",$E375="delivered",$E375="topped_up"),-N($G375),IF(AND(OR($E375="returned_to_brand",$E375="given_to_roster_office",$E375="released_to_office",$E375="disposed"),IF($F375="","reserve",$F375)="reserve"),-N($G375),IF(AND($E375="correction",IF($F375="","reserve",$F375)="reserve"),N($G375),0)))))</f>
        <v/>
      </c>
      <c r="N375" s="30" t="str">
        <f aca="false">IF($C375="","",IF($E375="rejected",N($G375),IF(AND(OR($E375="returned_to_brand",$E375="given_to_roster_office",$E375="released_to_office",$E375="disposed"),IF($F375="","reserve",$F375)="rejected"),-N($G375),IF(AND($E375="correction",IF($F375="","reserve",$F375)="rejected"),N($G375),0))))</f>
        <v/>
      </c>
      <c r="O375" s="30" t="str">
        <f aca="false">IF($C375="","",IF($E375="collected",N($G375),IF(AND(OR($E375="returned_to_brand",$E375="given_to_roster_office",$E375="released_to_office",$E375="disposed"),IF($F375="","reserve",$F375)="leftover"),-N($G375),IF(AND($E375="correction",IF($F375="","reserve",$F375)="leftover"),N($G375),0))))</f>
        <v/>
      </c>
      <c r="P375" s="30" t="str">
        <f aca="false">IF(OR($E375&lt;&gt;"received",$I375="",$L375=""),"",IF($I375&gt;=$L375+config!$B$19,"Y","N"))</f>
        <v/>
      </c>
      <c r="Q375" s="30" t="str">
        <f aca="false">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30" t="str">
        <f aca="false">IF($C375="","",$C375&amp;"|"&amp;$D375&amp;"|"&amp;$E375)</f>
        <v/>
      </c>
    </row>
    <row r="376" customFormat="false" ht="15" hidden="false" customHeight="false" outlineLevel="0" collapsed="false">
      <c r="A376" s="11"/>
      <c r="B376" s="38"/>
      <c r="E376" s="10"/>
      <c r="I376" s="11"/>
      <c r="J376" s="10"/>
      <c r="L376" s="31" t="str">
        <f aca="false">IF($C376="","",IFERROR(IF(INDEX(campaigns!$BG$2:$BG$51,MATCH($C376,campaigns!$A$2:$A$51,0))="","",INDEX(campaigns!$BG$2:$BG$51,MATCH($C376,campaigns!$A$2:$A$51,0))),""))</f>
        <v/>
      </c>
      <c r="M376" s="30" t="str">
        <f aca="false">IF($C376="","",IF(OR($E376="received"),N($G376),IF(OR($E376="rejected",$E376="delivered",$E376="topped_up"),-N($G376),IF(AND(OR($E376="returned_to_brand",$E376="given_to_roster_office",$E376="released_to_office",$E376="disposed"),IF($F376="","reserve",$F376)="reserve"),-N($G376),IF(AND($E376="correction",IF($F376="","reserve",$F376)="reserve"),N($G376),0)))))</f>
        <v/>
      </c>
      <c r="N376" s="30" t="str">
        <f aca="false">IF($C376="","",IF($E376="rejected",N($G376),IF(AND(OR($E376="returned_to_brand",$E376="given_to_roster_office",$E376="released_to_office",$E376="disposed"),IF($F376="","reserve",$F376)="rejected"),-N($G376),IF(AND($E376="correction",IF($F376="","reserve",$F376)="rejected"),N($G376),0))))</f>
        <v/>
      </c>
      <c r="O376" s="30" t="str">
        <f aca="false">IF($C376="","",IF($E376="collected",N($G376),IF(AND(OR($E376="returned_to_brand",$E376="given_to_roster_office",$E376="released_to_office",$E376="disposed"),IF($F376="","reserve",$F376)="leftover"),-N($G376),IF(AND($E376="correction",IF($F376="","reserve",$F376)="leftover"),N($G376),0))))</f>
        <v/>
      </c>
      <c r="P376" s="30" t="str">
        <f aca="false">IF(OR($E376&lt;&gt;"received",$I376="",$L376=""),"",IF($I376&gt;=$L376+config!$B$19,"Y","N"))</f>
        <v/>
      </c>
      <c r="Q376" s="30" t="str">
        <f aca="false">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30" t="str">
        <f aca="false">IF($C376="","",$C376&amp;"|"&amp;$D376&amp;"|"&amp;$E376)</f>
        <v/>
      </c>
    </row>
    <row r="377" customFormat="false" ht="15" hidden="false" customHeight="false" outlineLevel="0" collapsed="false">
      <c r="A377" s="11"/>
      <c r="B377" s="38"/>
      <c r="E377" s="10"/>
      <c r="I377" s="11"/>
      <c r="J377" s="10"/>
      <c r="L377" s="31" t="str">
        <f aca="false">IF($C377="","",IFERROR(IF(INDEX(campaigns!$BG$2:$BG$51,MATCH($C377,campaigns!$A$2:$A$51,0))="","",INDEX(campaigns!$BG$2:$BG$51,MATCH($C377,campaigns!$A$2:$A$51,0))),""))</f>
        <v/>
      </c>
      <c r="M377" s="30" t="str">
        <f aca="false">IF($C377="","",IF(OR($E377="received"),N($G377),IF(OR($E377="rejected",$E377="delivered",$E377="topped_up"),-N($G377),IF(AND(OR($E377="returned_to_brand",$E377="given_to_roster_office",$E377="released_to_office",$E377="disposed"),IF($F377="","reserve",$F377)="reserve"),-N($G377),IF(AND($E377="correction",IF($F377="","reserve",$F377)="reserve"),N($G377),0)))))</f>
        <v/>
      </c>
      <c r="N377" s="30" t="str">
        <f aca="false">IF($C377="","",IF($E377="rejected",N($G377),IF(AND(OR($E377="returned_to_brand",$E377="given_to_roster_office",$E377="released_to_office",$E377="disposed"),IF($F377="","reserve",$F377)="rejected"),-N($G377),IF(AND($E377="correction",IF($F377="","reserve",$F377)="rejected"),N($G377),0))))</f>
        <v/>
      </c>
      <c r="O377" s="30" t="str">
        <f aca="false">IF($C377="","",IF($E377="collected",N($G377),IF(AND(OR($E377="returned_to_brand",$E377="given_to_roster_office",$E377="released_to_office",$E377="disposed"),IF($F377="","reserve",$F377)="leftover"),-N($G377),IF(AND($E377="correction",IF($F377="","reserve",$F377)="leftover"),N($G377),0))))</f>
        <v/>
      </c>
      <c r="P377" s="30" t="str">
        <f aca="false">IF(OR($E377&lt;&gt;"received",$I377="",$L377=""),"",IF($I377&gt;=$L377+config!$B$19,"Y","N"))</f>
        <v/>
      </c>
      <c r="Q377" s="30" t="str">
        <f aca="false">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30" t="str">
        <f aca="false">IF($C377="","",$C377&amp;"|"&amp;$D377&amp;"|"&amp;$E377)</f>
        <v/>
      </c>
    </row>
    <row r="378" customFormat="false" ht="15" hidden="false" customHeight="false" outlineLevel="0" collapsed="false">
      <c r="A378" s="11"/>
      <c r="B378" s="38"/>
      <c r="E378" s="10"/>
      <c r="I378" s="11"/>
      <c r="J378" s="10"/>
      <c r="L378" s="31" t="str">
        <f aca="false">IF($C378="","",IFERROR(IF(INDEX(campaigns!$BG$2:$BG$51,MATCH($C378,campaigns!$A$2:$A$51,0))="","",INDEX(campaigns!$BG$2:$BG$51,MATCH($C378,campaigns!$A$2:$A$51,0))),""))</f>
        <v/>
      </c>
      <c r="M378" s="30" t="str">
        <f aca="false">IF($C378="","",IF(OR($E378="received"),N($G378),IF(OR($E378="rejected",$E378="delivered",$E378="topped_up"),-N($G378),IF(AND(OR($E378="returned_to_brand",$E378="given_to_roster_office",$E378="released_to_office",$E378="disposed"),IF($F378="","reserve",$F378)="reserve"),-N($G378),IF(AND($E378="correction",IF($F378="","reserve",$F378)="reserve"),N($G378),0)))))</f>
        <v/>
      </c>
      <c r="N378" s="30" t="str">
        <f aca="false">IF($C378="","",IF($E378="rejected",N($G378),IF(AND(OR($E378="returned_to_brand",$E378="given_to_roster_office",$E378="released_to_office",$E378="disposed"),IF($F378="","reserve",$F378)="rejected"),-N($G378),IF(AND($E378="correction",IF($F378="","reserve",$F378)="rejected"),N($G378),0))))</f>
        <v/>
      </c>
      <c r="O378" s="30" t="str">
        <f aca="false">IF($C378="","",IF($E378="collected",N($G378),IF(AND(OR($E378="returned_to_brand",$E378="given_to_roster_office",$E378="released_to_office",$E378="disposed"),IF($F378="","reserve",$F378)="leftover"),-N($G378),IF(AND($E378="correction",IF($F378="","reserve",$F378)="leftover"),N($G378),0))))</f>
        <v/>
      </c>
      <c r="P378" s="30" t="str">
        <f aca="false">IF(OR($E378&lt;&gt;"received",$I378="",$L378=""),"",IF($I378&gt;=$L378+config!$B$19,"Y","N"))</f>
        <v/>
      </c>
      <c r="Q378" s="30" t="str">
        <f aca="false">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30" t="str">
        <f aca="false">IF($C378="","",$C378&amp;"|"&amp;$D378&amp;"|"&amp;$E378)</f>
        <v/>
      </c>
    </row>
    <row r="379" customFormat="false" ht="15" hidden="false" customHeight="false" outlineLevel="0" collapsed="false">
      <c r="A379" s="11"/>
      <c r="B379" s="38"/>
      <c r="E379" s="10"/>
      <c r="I379" s="11"/>
      <c r="J379" s="10"/>
      <c r="L379" s="31" t="str">
        <f aca="false">IF($C379="","",IFERROR(IF(INDEX(campaigns!$BG$2:$BG$51,MATCH($C379,campaigns!$A$2:$A$51,0))="","",INDEX(campaigns!$BG$2:$BG$51,MATCH($C379,campaigns!$A$2:$A$51,0))),""))</f>
        <v/>
      </c>
      <c r="M379" s="30" t="str">
        <f aca="false">IF($C379="","",IF(OR($E379="received"),N($G379),IF(OR($E379="rejected",$E379="delivered",$E379="topped_up"),-N($G379),IF(AND(OR($E379="returned_to_brand",$E379="given_to_roster_office",$E379="released_to_office",$E379="disposed"),IF($F379="","reserve",$F379)="reserve"),-N($G379),IF(AND($E379="correction",IF($F379="","reserve",$F379)="reserve"),N($G379),0)))))</f>
        <v/>
      </c>
      <c r="N379" s="30" t="str">
        <f aca="false">IF($C379="","",IF($E379="rejected",N($G379),IF(AND(OR($E379="returned_to_brand",$E379="given_to_roster_office",$E379="released_to_office",$E379="disposed"),IF($F379="","reserve",$F379)="rejected"),-N($G379),IF(AND($E379="correction",IF($F379="","reserve",$F379)="rejected"),N($G379),0))))</f>
        <v/>
      </c>
      <c r="O379" s="30" t="str">
        <f aca="false">IF($C379="","",IF($E379="collected",N($G379),IF(AND(OR($E379="returned_to_brand",$E379="given_to_roster_office",$E379="released_to_office",$E379="disposed"),IF($F379="","reserve",$F379)="leftover"),-N($G379),IF(AND($E379="correction",IF($F379="","reserve",$F379)="leftover"),N($G379),0))))</f>
        <v/>
      </c>
      <c r="P379" s="30" t="str">
        <f aca="false">IF(OR($E379&lt;&gt;"received",$I379="",$L379=""),"",IF($I379&gt;=$L379+config!$B$19,"Y","N"))</f>
        <v/>
      </c>
      <c r="Q379" s="30" t="str">
        <f aca="false">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30" t="str">
        <f aca="false">IF($C379="","",$C379&amp;"|"&amp;$D379&amp;"|"&amp;$E379)</f>
        <v/>
      </c>
    </row>
    <row r="380" customFormat="false" ht="15" hidden="false" customHeight="false" outlineLevel="0" collapsed="false">
      <c r="A380" s="11"/>
      <c r="B380" s="38"/>
      <c r="E380" s="10"/>
      <c r="I380" s="11"/>
      <c r="J380" s="10"/>
      <c r="L380" s="31" t="str">
        <f aca="false">IF($C380="","",IFERROR(IF(INDEX(campaigns!$BG$2:$BG$51,MATCH($C380,campaigns!$A$2:$A$51,0))="","",INDEX(campaigns!$BG$2:$BG$51,MATCH($C380,campaigns!$A$2:$A$51,0))),""))</f>
        <v/>
      </c>
      <c r="M380" s="30" t="str">
        <f aca="false">IF($C380="","",IF(OR($E380="received"),N($G380),IF(OR($E380="rejected",$E380="delivered",$E380="topped_up"),-N($G380),IF(AND(OR($E380="returned_to_brand",$E380="given_to_roster_office",$E380="released_to_office",$E380="disposed"),IF($F380="","reserve",$F380)="reserve"),-N($G380),IF(AND($E380="correction",IF($F380="","reserve",$F380)="reserve"),N($G380),0)))))</f>
        <v/>
      </c>
      <c r="N380" s="30" t="str">
        <f aca="false">IF($C380="","",IF($E380="rejected",N($G380),IF(AND(OR($E380="returned_to_brand",$E380="given_to_roster_office",$E380="released_to_office",$E380="disposed"),IF($F380="","reserve",$F380)="rejected"),-N($G380),IF(AND($E380="correction",IF($F380="","reserve",$F380)="rejected"),N($G380),0))))</f>
        <v/>
      </c>
      <c r="O380" s="30" t="str">
        <f aca="false">IF($C380="","",IF($E380="collected",N($G380),IF(AND(OR($E380="returned_to_brand",$E380="given_to_roster_office",$E380="released_to_office",$E380="disposed"),IF($F380="","reserve",$F380)="leftover"),-N($G380),IF(AND($E380="correction",IF($F380="","reserve",$F380)="leftover"),N($G380),0))))</f>
        <v/>
      </c>
      <c r="P380" s="30" t="str">
        <f aca="false">IF(OR($E380&lt;&gt;"received",$I380="",$L380=""),"",IF($I380&gt;=$L380+config!$B$19,"Y","N"))</f>
        <v/>
      </c>
      <c r="Q380" s="30" t="str">
        <f aca="false">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30" t="str">
        <f aca="false">IF($C380="","",$C380&amp;"|"&amp;$D380&amp;"|"&amp;$E380)</f>
        <v/>
      </c>
    </row>
    <row r="381" customFormat="false" ht="15" hidden="false" customHeight="false" outlineLevel="0" collapsed="false">
      <c r="A381" s="11"/>
      <c r="B381" s="38"/>
      <c r="E381" s="10"/>
      <c r="I381" s="11"/>
      <c r="J381" s="10"/>
      <c r="L381" s="31" t="str">
        <f aca="false">IF($C381="","",IFERROR(IF(INDEX(campaigns!$BG$2:$BG$51,MATCH($C381,campaigns!$A$2:$A$51,0))="","",INDEX(campaigns!$BG$2:$BG$51,MATCH($C381,campaigns!$A$2:$A$51,0))),""))</f>
        <v/>
      </c>
      <c r="M381" s="30" t="str">
        <f aca="false">IF($C381="","",IF(OR($E381="received"),N($G381),IF(OR($E381="rejected",$E381="delivered",$E381="topped_up"),-N($G381),IF(AND(OR($E381="returned_to_brand",$E381="given_to_roster_office",$E381="released_to_office",$E381="disposed"),IF($F381="","reserve",$F381)="reserve"),-N($G381),IF(AND($E381="correction",IF($F381="","reserve",$F381)="reserve"),N($G381),0)))))</f>
        <v/>
      </c>
      <c r="N381" s="30" t="str">
        <f aca="false">IF($C381="","",IF($E381="rejected",N($G381),IF(AND(OR($E381="returned_to_brand",$E381="given_to_roster_office",$E381="released_to_office",$E381="disposed"),IF($F381="","reserve",$F381)="rejected"),-N($G381),IF(AND($E381="correction",IF($F381="","reserve",$F381)="rejected"),N($G381),0))))</f>
        <v/>
      </c>
      <c r="O381" s="30" t="str">
        <f aca="false">IF($C381="","",IF($E381="collected",N($G381),IF(AND(OR($E381="returned_to_brand",$E381="given_to_roster_office",$E381="released_to_office",$E381="disposed"),IF($F381="","reserve",$F381)="leftover"),-N($G381),IF(AND($E381="correction",IF($F381="","reserve",$F381)="leftover"),N($G381),0))))</f>
        <v/>
      </c>
      <c r="P381" s="30" t="str">
        <f aca="false">IF(OR($E381&lt;&gt;"received",$I381="",$L381=""),"",IF($I381&gt;=$L381+config!$B$19,"Y","N"))</f>
        <v/>
      </c>
      <c r="Q381" s="30" t="str">
        <f aca="false">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30" t="str">
        <f aca="false">IF($C381="","",$C381&amp;"|"&amp;$D381&amp;"|"&amp;$E381)</f>
        <v/>
      </c>
    </row>
    <row r="382" customFormat="false" ht="15" hidden="false" customHeight="false" outlineLevel="0" collapsed="false">
      <c r="A382" s="11"/>
      <c r="B382" s="38"/>
      <c r="E382" s="10"/>
      <c r="I382" s="11"/>
      <c r="J382" s="10"/>
      <c r="L382" s="31" t="str">
        <f aca="false">IF($C382="","",IFERROR(IF(INDEX(campaigns!$BG$2:$BG$51,MATCH($C382,campaigns!$A$2:$A$51,0))="","",INDEX(campaigns!$BG$2:$BG$51,MATCH($C382,campaigns!$A$2:$A$51,0))),""))</f>
        <v/>
      </c>
      <c r="M382" s="30" t="str">
        <f aca="false">IF($C382="","",IF(OR($E382="received"),N($G382),IF(OR($E382="rejected",$E382="delivered",$E382="topped_up"),-N($G382),IF(AND(OR($E382="returned_to_brand",$E382="given_to_roster_office",$E382="released_to_office",$E382="disposed"),IF($F382="","reserve",$F382)="reserve"),-N($G382),IF(AND($E382="correction",IF($F382="","reserve",$F382)="reserve"),N($G382),0)))))</f>
        <v/>
      </c>
      <c r="N382" s="30" t="str">
        <f aca="false">IF($C382="","",IF($E382="rejected",N($G382),IF(AND(OR($E382="returned_to_brand",$E382="given_to_roster_office",$E382="released_to_office",$E382="disposed"),IF($F382="","reserve",$F382)="rejected"),-N($G382),IF(AND($E382="correction",IF($F382="","reserve",$F382)="rejected"),N($G382),0))))</f>
        <v/>
      </c>
      <c r="O382" s="30" t="str">
        <f aca="false">IF($C382="","",IF($E382="collected",N($G382),IF(AND(OR($E382="returned_to_brand",$E382="given_to_roster_office",$E382="released_to_office",$E382="disposed"),IF($F382="","reserve",$F382)="leftover"),-N($G382),IF(AND($E382="correction",IF($F382="","reserve",$F382)="leftover"),N($G382),0))))</f>
        <v/>
      </c>
      <c r="P382" s="30" t="str">
        <f aca="false">IF(OR($E382&lt;&gt;"received",$I382="",$L382=""),"",IF($I382&gt;=$L382+config!$B$19,"Y","N"))</f>
        <v/>
      </c>
      <c r="Q382" s="30" t="str">
        <f aca="false">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30" t="str">
        <f aca="false">IF($C382="","",$C382&amp;"|"&amp;$D382&amp;"|"&amp;$E382)</f>
        <v/>
      </c>
    </row>
    <row r="383" customFormat="false" ht="15" hidden="false" customHeight="false" outlineLevel="0" collapsed="false">
      <c r="A383" s="11"/>
      <c r="B383" s="38"/>
      <c r="E383" s="10"/>
      <c r="I383" s="11"/>
      <c r="J383" s="10"/>
      <c r="L383" s="31" t="str">
        <f aca="false">IF($C383="","",IFERROR(IF(INDEX(campaigns!$BG$2:$BG$51,MATCH($C383,campaigns!$A$2:$A$51,0))="","",INDEX(campaigns!$BG$2:$BG$51,MATCH($C383,campaigns!$A$2:$A$51,0))),""))</f>
        <v/>
      </c>
      <c r="M383" s="30" t="str">
        <f aca="false">IF($C383="","",IF(OR($E383="received"),N($G383),IF(OR($E383="rejected",$E383="delivered",$E383="topped_up"),-N($G383),IF(AND(OR($E383="returned_to_brand",$E383="given_to_roster_office",$E383="released_to_office",$E383="disposed"),IF($F383="","reserve",$F383)="reserve"),-N($G383),IF(AND($E383="correction",IF($F383="","reserve",$F383)="reserve"),N($G383),0)))))</f>
        <v/>
      </c>
      <c r="N383" s="30" t="str">
        <f aca="false">IF($C383="","",IF($E383="rejected",N($G383),IF(AND(OR($E383="returned_to_brand",$E383="given_to_roster_office",$E383="released_to_office",$E383="disposed"),IF($F383="","reserve",$F383)="rejected"),-N($G383),IF(AND($E383="correction",IF($F383="","reserve",$F383)="rejected"),N($G383),0))))</f>
        <v/>
      </c>
      <c r="O383" s="30" t="str">
        <f aca="false">IF($C383="","",IF($E383="collected",N($G383),IF(AND(OR($E383="returned_to_brand",$E383="given_to_roster_office",$E383="released_to_office",$E383="disposed"),IF($F383="","reserve",$F383)="leftover"),-N($G383),IF(AND($E383="correction",IF($F383="","reserve",$F383)="leftover"),N($G383),0))))</f>
        <v/>
      </c>
      <c r="P383" s="30" t="str">
        <f aca="false">IF(OR($E383&lt;&gt;"received",$I383="",$L383=""),"",IF($I383&gt;=$L383+config!$B$19,"Y","N"))</f>
        <v/>
      </c>
      <c r="Q383" s="30" t="str">
        <f aca="false">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30" t="str">
        <f aca="false">IF($C383="","",$C383&amp;"|"&amp;$D383&amp;"|"&amp;$E383)</f>
        <v/>
      </c>
    </row>
    <row r="384" customFormat="false" ht="15" hidden="false" customHeight="false" outlineLevel="0" collapsed="false">
      <c r="A384" s="11"/>
      <c r="B384" s="38"/>
      <c r="E384" s="10"/>
      <c r="I384" s="11"/>
      <c r="J384" s="10"/>
      <c r="L384" s="31" t="str">
        <f aca="false">IF($C384="","",IFERROR(IF(INDEX(campaigns!$BG$2:$BG$51,MATCH($C384,campaigns!$A$2:$A$51,0))="","",INDEX(campaigns!$BG$2:$BG$51,MATCH($C384,campaigns!$A$2:$A$51,0))),""))</f>
        <v/>
      </c>
      <c r="M384" s="30" t="str">
        <f aca="false">IF($C384="","",IF(OR($E384="received"),N($G384),IF(OR($E384="rejected",$E384="delivered",$E384="topped_up"),-N($G384),IF(AND(OR($E384="returned_to_brand",$E384="given_to_roster_office",$E384="released_to_office",$E384="disposed"),IF($F384="","reserve",$F384)="reserve"),-N($G384),IF(AND($E384="correction",IF($F384="","reserve",$F384)="reserve"),N($G384),0)))))</f>
        <v/>
      </c>
      <c r="N384" s="30" t="str">
        <f aca="false">IF($C384="","",IF($E384="rejected",N($G384),IF(AND(OR($E384="returned_to_brand",$E384="given_to_roster_office",$E384="released_to_office",$E384="disposed"),IF($F384="","reserve",$F384)="rejected"),-N($G384),IF(AND($E384="correction",IF($F384="","reserve",$F384)="rejected"),N($G384),0))))</f>
        <v/>
      </c>
      <c r="O384" s="30" t="str">
        <f aca="false">IF($C384="","",IF($E384="collected",N($G384),IF(AND(OR($E384="returned_to_brand",$E384="given_to_roster_office",$E384="released_to_office",$E384="disposed"),IF($F384="","reserve",$F384)="leftover"),-N($G384),IF(AND($E384="correction",IF($F384="","reserve",$F384)="leftover"),N($G384),0))))</f>
        <v/>
      </c>
      <c r="P384" s="30" t="str">
        <f aca="false">IF(OR($E384&lt;&gt;"received",$I384="",$L384=""),"",IF($I384&gt;=$L384+config!$B$19,"Y","N"))</f>
        <v/>
      </c>
      <c r="Q384" s="30" t="str">
        <f aca="false">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30" t="str">
        <f aca="false">IF($C384="","",$C384&amp;"|"&amp;$D384&amp;"|"&amp;$E384)</f>
        <v/>
      </c>
    </row>
    <row r="385" customFormat="false" ht="15" hidden="false" customHeight="false" outlineLevel="0" collapsed="false">
      <c r="A385" s="11"/>
      <c r="B385" s="38"/>
      <c r="E385" s="10"/>
      <c r="I385" s="11"/>
      <c r="J385" s="10"/>
      <c r="L385" s="31" t="str">
        <f aca="false">IF($C385="","",IFERROR(IF(INDEX(campaigns!$BG$2:$BG$51,MATCH($C385,campaigns!$A$2:$A$51,0))="","",INDEX(campaigns!$BG$2:$BG$51,MATCH($C385,campaigns!$A$2:$A$51,0))),""))</f>
        <v/>
      </c>
      <c r="M385" s="30" t="str">
        <f aca="false">IF($C385="","",IF(OR($E385="received"),N($G385),IF(OR($E385="rejected",$E385="delivered",$E385="topped_up"),-N($G385),IF(AND(OR($E385="returned_to_brand",$E385="given_to_roster_office",$E385="released_to_office",$E385="disposed"),IF($F385="","reserve",$F385)="reserve"),-N($G385),IF(AND($E385="correction",IF($F385="","reserve",$F385)="reserve"),N($G385),0)))))</f>
        <v/>
      </c>
      <c r="N385" s="30" t="str">
        <f aca="false">IF($C385="","",IF($E385="rejected",N($G385),IF(AND(OR($E385="returned_to_brand",$E385="given_to_roster_office",$E385="released_to_office",$E385="disposed"),IF($F385="","reserve",$F385)="rejected"),-N($G385),IF(AND($E385="correction",IF($F385="","reserve",$F385)="rejected"),N($G385),0))))</f>
        <v/>
      </c>
      <c r="O385" s="30" t="str">
        <f aca="false">IF($C385="","",IF($E385="collected",N($G385),IF(AND(OR($E385="returned_to_brand",$E385="given_to_roster_office",$E385="released_to_office",$E385="disposed"),IF($F385="","reserve",$F385)="leftover"),-N($G385),IF(AND($E385="correction",IF($F385="","reserve",$F385)="leftover"),N($G385),0))))</f>
        <v/>
      </c>
      <c r="P385" s="30" t="str">
        <f aca="false">IF(OR($E385&lt;&gt;"received",$I385="",$L385=""),"",IF($I385&gt;=$L385+config!$B$19,"Y","N"))</f>
        <v/>
      </c>
      <c r="Q385" s="30" t="str">
        <f aca="false">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30" t="str">
        <f aca="false">IF($C385="","",$C385&amp;"|"&amp;$D385&amp;"|"&amp;$E385)</f>
        <v/>
      </c>
    </row>
    <row r="386" customFormat="false" ht="15" hidden="false" customHeight="false" outlineLevel="0" collapsed="false">
      <c r="A386" s="11"/>
      <c r="B386" s="38"/>
      <c r="E386" s="10"/>
      <c r="I386" s="11"/>
      <c r="J386" s="10"/>
      <c r="L386" s="31" t="str">
        <f aca="false">IF($C386="","",IFERROR(IF(INDEX(campaigns!$BG$2:$BG$51,MATCH($C386,campaigns!$A$2:$A$51,0))="","",INDEX(campaigns!$BG$2:$BG$51,MATCH($C386,campaigns!$A$2:$A$51,0))),""))</f>
        <v/>
      </c>
      <c r="M386" s="30" t="str">
        <f aca="false">IF($C386="","",IF(OR($E386="received"),N($G386),IF(OR($E386="rejected",$E386="delivered",$E386="topped_up"),-N($G386),IF(AND(OR($E386="returned_to_brand",$E386="given_to_roster_office",$E386="released_to_office",$E386="disposed"),IF($F386="","reserve",$F386)="reserve"),-N($G386),IF(AND($E386="correction",IF($F386="","reserve",$F386)="reserve"),N($G386),0)))))</f>
        <v/>
      </c>
      <c r="N386" s="30" t="str">
        <f aca="false">IF($C386="","",IF($E386="rejected",N($G386),IF(AND(OR($E386="returned_to_brand",$E386="given_to_roster_office",$E386="released_to_office",$E386="disposed"),IF($F386="","reserve",$F386)="rejected"),-N($G386),IF(AND($E386="correction",IF($F386="","reserve",$F386)="rejected"),N($G386),0))))</f>
        <v/>
      </c>
      <c r="O386" s="30" t="str">
        <f aca="false">IF($C386="","",IF($E386="collected",N($G386),IF(AND(OR($E386="returned_to_brand",$E386="given_to_roster_office",$E386="released_to_office",$E386="disposed"),IF($F386="","reserve",$F386)="leftover"),-N($G386),IF(AND($E386="correction",IF($F386="","reserve",$F386)="leftover"),N($G386),0))))</f>
        <v/>
      </c>
      <c r="P386" s="30" t="str">
        <f aca="false">IF(OR($E386&lt;&gt;"received",$I386="",$L386=""),"",IF($I386&gt;=$L386+config!$B$19,"Y","N"))</f>
        <v/>
      </c>
      <c r="Q386" s="30" t="str">
        <f aca="false">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30" t="str">
        <f aca="false">IF($C386="","",$C386&amp;"|"&amp;$D386&amp;"|"&amp;$E386)</f>
        <v/>
      </c>
    </row>
    <row r="387" customFormat="false" ht="15" hidden="false" customHeight="false" outlineLevel="0" collapsed="false">
      <c r="A387" s="11"/>
      <c r="B387" s="38"/>
      <c r="E387" s="10"/>
      <c r="I387" s="11"/>
      <c r="J387" s="10"/>
      <c r="L387" s="31" t="str">
        <f aca="false">IF($C387="","",IFERROR(IF(INDEX(campaigns!$BG$2:$BG$51,MATCH($C387,campaigns!$A$2:$A$51,0))="","",INDEX(campaigns!$BG$2:$BG$51,MATCH($C387,campaigns!$A$2:$A$51,0))),""))</f>
        <v/>
      </c>
      <c r="M387" s="30" t="str">
        <f aca="false">IF($C387="","",IF(OR($E387="received"),N($G387),IF(OR($E387="rejected",$E387="delivered",$E387="topped_up"),-N($G387),IF(AND(OR($E387="returned_to_brand",$E387="given_to_roster_office",$E387="released_to_office",$E387="disposed"),IF($F387="","reserve",$F387)="reserve"),-N($G387),IF(AND($E387="correction",IF($F387="","reserve",$F387)="reserve"),N($G387),0)))))</f>
        <v/>
      </c>
      <c r="N387" s="30" t="str">
        <f aca="false">IF($C387="","",IF($E387="rejected",N($G387),IF(AND(OR($E387="returned_to_brand",$E387="given_to_roster_office",$E387="released_to_office",$E387="disposed"),IF($F387="","reserve",$F387)="rejected"),-N($G387),IF(AND($E387="correction",IF($F387="","reserve",$F387)="rejected"),N($G387),0))))</f>
        <v/>
      </c>
      <c r="O387" s="30" t="str">
        <f aca="false">IF($C387="","",IF($E387="collected",N($G387),IF(AND(OR($E387="returned_to_brand",$E387="given_to_roster_office",$E387="released_to_office",$E387="disposed"),IF($F387="","reserve",$F387)="leftover"),-N($G387),IF(AND($E387="correction",IF($F387="","reserve",$F387)="leftover"),N($G387),0))))</f>
        <v/>
      </c>
      <c r="P387" s="30" t="str">
        <f aca="false">IF(OR($E387&lt;&gt;"received",$I387="",$L387=""),"",IF($I387&gt;=$L387+config!$B$19,"Y","N"))</f>
        <v/>
      </c>
      <c r="Q387" s="30" t="str">
        <f aca="false">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30" t="str">
        <f aca="false">IF($C387="","",$C387&amp;"|"&amp;$D387&amp;"|"&amp;$E387)</f>
        <v/>
      </c>
    </row>
    <row r="388" customFormat="false" ht="15" hidden="false" customHeight="false" outlineLevel="0" collapsed="false">
      <c r="A388" s="11"/>
      <c r="B388" s="38"/>
      <c r="E388" s="10"/>
      <c r="I388" s="11"/>
      <c r="J388" s="10"/>
      <c r="L388" s="31" t="str">
        <f aca="false">IF($C388="","",IFERROR(IF(INDEX(campaigns!$BG$2:$BG$51,MATCH($C388,campaigns!$A$2:$A$51,0))="","",INDEX(campaigns!$BG$2:$BG$51,MATCH($C388,campaigns!$A$2:$A$51,0))),""))</f>
        <v/>
      </c>
      <c r="M388" s="30" t="str">
        <f aca="false">IF($C388="","",IF(OR($E388="received"),N($G388),IF(OR($E388="rejected",$E388="delivered",$E388="topped_up"),-N($G388),IF(AND(OR($E388="returned_to_brand",$E388="given_to_roster_office",$E388="released_to_office",$E388="disposed"),IF($F388="","reserve",$F388)="reserve"),-N($G388),IF(AND($E388="correction",IF($F388="","reserve",$F388)="reserve"),N($G388),0)))))</f>
        <v/>
      </c>
      <c r="N388" s="30" t="str">
        <f aca="false">IF($C388="","",IF($E388="rejected",N($G388),IF(AND(OR($E388="returned_to_brand",$E388="given_to_roster_office",$E388="released_to_office",$E388="disposed"),IF($F388="","reserve",$F388)="rejected"),-N($G388),IF(AND($E388="correction",IF($F388="","reserve",$F388)="rejected"),N($G388),0))))</f>
        <v/>
      </c>
      <c r="O388" s="30" t="str">
        <f aca="false">IF($C388="","",IF($E388="collected",N($G388),IF(AND(OR($E388="returned_to_brand",$E388="given_to_roster_office",$E388="released_to_office",$E388="disposed"),IF($F388="","reserve",$F388)="leftover"),-N($G388),IF(AND($E388="correction",IF($F388="","reserve",$F388)="leftover"),N($G388),0))))</f>
        <v/>
      </c>
      <c r="P388" s="30" t="str">
        <f aca="false">IF(OR($E388&lt;&gt;"received",$I388="",$L388=""),"",IF($I388&gt;=$L388+config!$B$19,"Y","N"))</f>
        <v/>
      </c>
      <c r="Q388" s="30" t="str">
        <f aca="false">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30" t="str">
        <f aca="false">IF($C388="","",$C388&amp;"|"&amp;$D388&amp;"|"&amp;$E388)</f>
        <v/>
      </c>
    </row>
    <row r="389" customFormat="false" ht="15" hidden="false" customHeight="false" outlineLevel="0" collapsed="false">
      <c r="A389" s="11"/>
      <c r="B389" s="38"/>
      <c r="E389" s="10"/>
      <c r="I389" s="11"/>
      <c r="J389" s="10"/>
      <c r="L389" s="31" t="str">
        <f aca="false">IF($C389="","",IFERROR(IF(INDEX(campaigns!$BG$2:$BG$51,MATCH($C389,campaigns!$A$2:$A$51,0))="","",INDEX(campaigns!$BG$2:$BG$51,MATCH($C389,campaigns!$A$2:$A$51,0))),""))</f>
        <v/>
      </c>
      <c r="M389" s="30" t="str">
        <f aca="false">IF($C389="","",IF(OR($E389="received"),N($G389),IF(OR($E389="rejected",$E389="delivered",$E389="topped_up"),-N($G389),IF(AND(OR($E389="returned_to_brand",$E389="given_to_roster_office",$E389="released_to_office",$E389="disposed"),IF($F389="","reserve",$F389)="reserve"),-N($G389),IF(AND($E389="correction",IF($F389="","reserve",$F389)="reserve"),N($G389),0)))))</f>
        <v/>
      </c>
      <c r="N389" s="30" t="str">
        <f aca="false">IF($C389="","",IF($E389="rejected",N($G389),IF(AND(OR($E389="returned_to_brand",$E389="given_to_roster_office",$E389="released_to_office",$E389="disposed"),IF($F389="","reserve",$F389)="rejected"),-N($G389),IF(AND($E389="correction",IF($F389="","reserve",$F389)="rejected"),N($G389),0))))</f>
        <v/>
      </c>
      <c r="O389" s="30" t="str">
        <f aca="false">IF($C389="","",IF($E389="collected",N($G389),IF(AND(OR($E389="returned_to_brand",$E389="given_to_roster_office",$E389="released_to_office",$E389="disposed"),IF($F389="","reserve",$F389)="leftover"),-N($G389),IF(AND($E389="correction",IF($F389="","reserve",$F389)="leftover"),N($G389),0))))</f>
        <v/>
      </c>
      <c r="P389" s="30" t="str">
        <f aca="false">IF(OR($E389&lt;&gt;"received",$I389="",$L389=""),"",IF($I389&gt;=$L389+config!$B$19,"Y","N"))</f>
        <v/>
      </c>
      <c r="Q389" s="30" t="str">
        <f aca="false">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30" t="str">
        <f aca="false">IF($C389="","",$C389&amp;"|"&amp;$D389&amp;"|"&amp;$E389)</f>
        <v/>
      </c>
    </row>
    <row r="390" customFormat="false" ht="15" hidden="false" customHeight="false" outlineLevel="0" collapsed="false">
      <c r="A390" s="11"/>
      <c r="B390" s="38"/>
      <c r="E390" s="10"/>
      <c r="I390" s="11"/>
      <c r="J390" s="10"/>
      <c r="L390" s="31" t="str">
        <f aca="false">IF($C390="","",IFERROR(IF(INDEX(campaigns!$BG$2:$BG$51,MATCH($C390,campaigns!$A$2:$A$51,0))="","",INDEX(campaigns!$BG$2:$BG$51,MATCH($C390,campaigns!$A$2:$A$51,0))),""))</f>
        <v/>
      </c>
      <c r="M390" s="30" t="str">
        <f aca="false">IF($C390="","",IF(OR($E390="received"),N($G390),IF(OR($E390="rejected",$E390="delivered",$E390="topped_up"),-N($G390),IF(AND(OR($E390="returned_to_brand",$E390="given_to_roster_office",$E390="released_to_office",$E390="disposed"),IF($F390="","reserve",$F390)="reserve"),-N($G390),IF(AND($E390="correction",IF($F390="","reserve",$F390)="reserve"),N($G390),0)))))</f>
        <v/>
      </c>
      <c r="N390" s="30" t="str">
        <f aca="false">IF($C390="","",IF($E390="rejected",N($G390),IF(AND(OR($E390="returned_to_brand",$E390="given_to_roster_office",$E390="released_to_office",$E390="disposed"),IF($F390="","reserve",$F390)="rejected"),-N($G390),IF(AND($E390="correction",IF($F390="","reserve",$F390)="rejected"),N($G390),0))))</f>
        <v/>
      </c>
      <c r="O390" s="30" t="str">
        <f aca="false">IF($C390="","",IF($E390="collected",N($G390),IF(AND(OR($E390="returned_to_brand",$E390="given_to_roster_office",$E390="released_to_office",$E390="disposed"),IF($F390="","reserve",$F390)="leftover"),-N($G390),IF(AND($E390="correction",IF($F390="","reserve",$F390)="leftover"),N($G390),0))))</f>
        <v/>
      </c>
      <c r="P390" s="30" t="str">
        <f aca="false">IF(OR($E390&lt;&gt;"received",$I390="",$L390=""),"",IF($I390&gt;=$L390+config!$B$19,"Y","N"))</f>
        <v/>
      </c>
      <c r="Q390" s="30" t="str">
        <f aca="false">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30" t="str">
        <f aca="false">IF($C390="","",$C390&amp;"|"&amp;$D390&amp;"|"&amp;$E390)</f>
        <v/>
      </c>
    </row>
    <row r="391" customFormat="false" ht="15" hidden="false" customHeight="false" outlineLevel="0" collapsed="false">
      <c r="A391" s="11"/>
      <c r="B391" s="38"/>
      <c r="E391" s="10"/>
      <c r="I391" s="11"/>
      <c r="J391" s="10"/>
      <c r="L391" s="31" t="str">
        <f aca="false">IF($C391="","",IFERROR(IF(INDEX(campaigns!$BG$2:$BG$51,MATCH($C391,campaigns!$A$2:$A$51,0))="","",INDEX(campaigns!$BG$2:$BG$51,MATCH($C391,campaigns!$A$2:$A$51,0))),""))</f>
        <v/>
      </c>
      <c r="M391" s="30" t="str">
        <f aca="false">IF($C391="","",IF(OR($E391="received"),N($G391),IF(OR($E391="rejected",$E391="delivered",$E391="topped_up"),-N($G391),IF(AND(OR($E391="returned_to_brand",$E391="given_to_roster_office",$E391="released_to_office",$E391="disposed"),IF($F391="","reserve",$F391)="reserve"),-N($G391),IF(AND($E391="correction",IF($F391="","reserve",$F391)="reserve"),N($G391),0)))))</f>
        <v/>
      </c>
      <c r="N391" s="30" t="str">
        <f aca="false">IF($C391="","",IF($E391="rejected",N($G391),IF(AND(OR($E391="returned_to_brand",$E391="given_to_roster_office",$E391="released_to_office",$E391="disposed"),IF($F391="","reserve",$F391)="rejected"),-N($G391),IF(AND($E391="correction",IF($F391="","reserve",$F391)="rejected"),N($G391),0))))</f>
        <v/>
      </c>
      <c r="O391" s="30" t="str">
        <f aca="false">IF($C391="","",IF($E391="collected",N($G391),IF(AND(OR($E391="returned_to_brand",$E391="given_to_roster_office",$E391="released_to_office",$E391="disposed"),IF($F391="","reserve",$F391)="leftover"),-N($G391),IF(AND($E391="correction",IF($F391="","reserve",$F391)="leftover"),N($G391),0))))</f>
        <v/>
      </c>
      <c r="P391" s="30" t="str">
        <f aca="false">IF(OR($E391&lt;&gt;"received",$I391="",$L391=""),"",IF($I391&gt;=$L391+config!$B$19,"Y","N"))</f>
        <v/>
      </c>
      <c r="Q391" s="30" t="str">
        <f aca="false">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30" t="str">
        <f aca="false">IF($C391="","",$C391&amp;"|"&amp;$D391&amp;"|"&amp;$E391)</f>
        <v/>
      </c>
    </row>
    <row r="392" customFormat="false" ht="15" hidden="false" customHeight="false" outlineLevel="0" collapsed="false">
      <c r="A392" s="11"/>
      <c r="B392" s="38"/>
      <c r="E392" s="10"/>
      <c r="I392" s="11"/>
      <c r="J392" s="10"/>
      <c r="L392" s="31" t="str">
        <f aca="false">IF($C392="","",IFERROR(IF(INDEX(campaigns!$BG$2:$BG$51,MATCH($C392,campaigns!$A$2:$A$51,0))="","",INDEX(campaigns!$BG$2:$BG$51,MATCH($C392,campaigns!$A$2:$A$51,0))),""))</f>
        <v/>
      </c>
      <c r="M392" s="30" t="str">
        <f aca="false">IF($C392="","",IF(OR($E392="received"),N($G392),IF(OR($E392="rejected",$E392="delivered",$E392="topped_up"),-N($G392),IF(AND(OR($E392="returned_to_brand",$E392="given_to_roster_office",$E392="released_to_office",$E392="disposed"),IF($F392="","reserve",$F392)="reserve"),-N($G392),IF(AND($E392="correction",IF($F392="","reserve",$F392)="reserve"),N($G392),0)))))</f>
        <v/>
      </c>
      <c r="N392" s="30" t="str">
        <f aca="false">IF($C392="","",IF($E392="rejected",N($G392),IF(AND(OR($E392="returned_to_brand",$E392="given_to_roster_office",$E392="released_to_office",$E392="disposed"),IF($F392="","reserve",$F392)="rejected"),-N($G392),IF(AND($E392="correction",IF($F392="","reserve",$F392)="rejected"),N($G392),0))))</f>
        <v/>
      </c>
      <c r="O392" s="30" t="str">
        <f aca="false">IF($C392="","",IF($E392="collected",N($G392),IF(AND(OR($E392="returned_to_brand",$E392="given_to_roster_office",$E392="released_to_office",$E392="disposed"),IF($F392="","reserve",$F392)="leftover"),-N($G392),IF(AND($E392="correction",IF($F392="","reserve",$F392)="leftover"),N($G392),0))))</f>
        <v/>
      </c>
      <c r="P392" s="30" t="str">
        <f aca="false">IF(OR($E392&lt;&gt;"received",$I392="",$L392=""),"",IF($I392&gt;=$L392+config!$B$19,"Y","N"))</f>
        <v/>
      </c>
      <c r="Q392" s="30" t="str">
        <f aca="false">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30" t="str">
        <f aca="false">IF($C392="","",$C392&amp;"|"&amp;$D392&amp;"|"&amp;$E392)</f>
        <v/>
      </c>
    </row>
    <row r="393" customFormat="false" ht="15" hidden="false" customHeight="false" outlineLevel="0" collapsed="false">
      <c r="A393" s="11"/>
      <c r="B393" s="38"/>
      <c r="E393" s="10"/>
      <c r="I393" s="11"/>
      <c r="J393" s="10"/>
      <c r="L393" s="31" t="str">
        <f aca="false">IF($C393="","",IFERROR(IF(INDEX(campaigns!$BG$2:$BG$51,MATCH($C393,campaigns!$A$2:$A$51,0))="","",INDEX(campaigns!$BG$2:$BG$51,MATCH($C393,campaigns!$A$2:$A$51,0))),""))</f>
        <v/>
      </c>
      <c r="M393" s="30" t="str">
        <f aca="false">IF($C393="","",IF(OR($E393="received"),N($G393),IF(OR($E393="rejected",$E393="delivered",$E393="topped_up"),-N($G393),IF(AND(OR($E393="returned_to_brand",$E393="given_to_roster_office",$E393="released_to_office",$E393="disposed"),IF($F393="","reserve",$F393)="reserve"),-N($G393),IF(AND($E393="correction",IF($F393="","reserve",$F393)="reserve"),N($G393),0)))))</f>
        <v/>
      </c>
      <c r="N393" s="30" t="str">
        <f aca="false">IF($C393="","",IF($E393="rejected",N($G393),IF(AND(OR($E393="returned_to_brand",$E393="given_to_roster_office",$E393="released_to_office",$E393="disposed"),IF($F393="","reserve",$F393)="rejected"),-N($G393),IF(AND($E393="correction",IF($F393="","reserve",$F393)="rejected"),N($G393),0))))</f>
        <v/>
      </c>
      <c r="O393" s="30" t="str">
        <f aca="false">IF($C393="","",IF($E393="collected",N($G393),IF(AND(OR($E393="returned_to_brand",$E393="given_to_roster_office",$E393="released_to_office",$E393="disposed"),IF($F393="","reserve",$F393)="leftover"),-N($G393),IF(AND($E393="correction",IF($F393="","reserve",$F393)="leftover"),N($G393),0))))</f>
        <v/>
      </c>
      <c r="P393" s="30" t="str">
        <f aca="false">IF(OR($E393&lt;&gt;"received",$I393="",$L393=""),"",IF($I393&gt;=$L393+config!$B$19,"Y","N"))</f>
        <v/>
      </c>
      <c r="Q393" s="30" t="str">
        <f aca="false">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30" t="str">
        <f aca="false">IF($C393="","",$C393&amp;"|"&amp;$D393&amp;"|"&amp;$E393)</f>
        <v/>
      </c>
    </row>
    <row r="394" customFormat="false" ht="15" hidden="false" customHeight="false" outlineLevel="0" collapsed="false">
      <c r="A394" s="11"/>
      <c r="B394" s="38"/>
      <c r="E394" s="10"/>
      <c r="I394" s="11"/>
      <c r="J394" s="10"/>
      <c r="L394" s="31" t="str">
        <f aca="false">IF($C394="","",IFERROR(IF(INDEX(campaigns!$BG$2:$BG$51,MATCH($C394,campaigns!$A$2:$A$51,0))="","",INDEX(campaigns!$BG$2:$BG$51,MATCH($C394,campaigns!$A$2:$A$51,0))),""))</f>
        <v/>
      </c>
      <c r="M394" s="30" t="str">
        <f aca="false">IF($C394="","",IF(OR($E394="received"),N($G394),IF(OR($E394="rejected",$E394="delivered",$E394="topped_up"),-N($G394),IF(AND(OR($E394="returned_to_brand",$E394="given_to_roster_office",$E394="released_to_office",$E394="disposed"),IF($F394="","reserve",$F394)="reserve"),-N($G394),IF(AND($E394="correction",IF($F394="","reserve",$F394)="reserve"),N($G394),0)))))</f>
        <v/>
      </c>
      <c r="N394" s="30" t="str">
        <f aca="false">IF($C394="","",IF($E394="rejected",N($G394),IF(AND(OR($E394="returned_to_brand",$E394="given_to_roster_office",$E394="released_to_office",$E394="disposed"),IF($F394="","reserve",$F394)="rejected"),-N($G394),IF(AND($E394="correction",IF($F394="","reserve",$F394)="rejected"),N($G394),0))))</f>
        <v/>
      </c>
      <c r="O394" s="30" t="str">
        <f aca="false">IF($C394="","",IF($E394="collected",N($G394),IF(AND(OR($E394="returned_to_brand",$E394="given_to_roster_office",$E394="released_to_office",$E394="disposed"),IF($F394="","reserve",$F394)="leftover"),-N($G394),IF(AND($E394="correction",IF($F394="","reserve",$F394)="leftover"),N($G394),0))))</f>
        <v/>
      </c>
      <c r="P394" s="30" t="str">
        <f aca="false">IF(OR($E394&lt;&gt;"received",$I394="",$L394=""),"",IF($I394&gt;=$L394+config!$B$19,"Y","N"))</f>
        <v/>
      </c>
      <c r="Q394" s="30" t="str">
        <f aca="false">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30" t="str">
        <f aca="false">IF($C394="","",$C394&amp;"|"&amp;$D394&amp;"|"&amp;$E394)</f>
        <v/>
      </c>
    </row>
    <row r="395" customFormat="false" ht="15" hidden="false" customHeight="false" outlineLevel="0" collapsed="false">
      <c r="A395" s="11"/>
      <c r="B395" s="38"/>
      <c r="E395" s="10"/>
      <c r="I395" s="11"/>
      <c r="J395" s="10"/>
      <c r="L395" s="31" t="str">
        <f aca="false">IF($C395="","",IFERROR(IF(INDEX(campaigns!$BG$2:$BG$51,MATCH($C395,campaigns!$A$2:$A$51,0))="","",INDEX(campaigns!$BG$2:$BG$51,MATCH($C395,campaigns!$A$2:$A$51,0))),""))</f>
        <v/>
      </c>
      <c r="M395" s="30" t="str">
        <f aca="false">IF($C395="","",IF(OR($E395="received"),N($G395),IF(OR($E395="rejected",$E395="delivered",$E395="topped_up"),-N($G395),IF(AND(OR($E395="returned_to_brand",$E395="given_to_roster_office",$E395="released_to_office",$E395="disposed"),IF($F395="","reserve",$F395)="reserve"),-N($G395),IF(AND($E395="correction",IF($F395="","reserve",$F395)="reserve"),N($G395),0)))))</f>
        <v/>
      </c>
      <c r="N395" s="30" t="str">
        <f aca="false">IF($C395="","",IF($E395="rejected",N($G395),IF(AND(OR($E395="returned_to_brand",$E395="given_to_roster_office",$E395="released_to_office",$E395="disposed"),IF($F395="","reserve",$F395)="rejected"),-N($G395),IF(AND($E395="correction",IF($F395="","reserve",$F395)="rejected"),N($G395),0))))</f>
        <v/>
      </c>
      <c r="O395" s="30" t="str">
        <f aca="false">IF($C395="","",IF($E395="collected",N($G395),IF(AND(OR($E395="returned_to_brand",$E395="given_to_roster_office",$E395="released_to_office",$E395="disposed"),IF($F395="","reserve",$F395)="leftover"),-N($G395),IF(AND($E395="correction",IF($F395="","reserve",$F395)="leftover"),N($G395),0))))</f>
        <v/>
      </c>
      <c r="P395" s="30" t="str">
        <f aca="false">IF(OR($E395&lt;&gt;"received",$I395="",$L395=""),"",IF($I395&gt;=$L395+config!$B$19,"Y","N"))</f>
        <v/>
      </c>
      <c r="Q395" s="30" t="str">
        <f aca="false">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30" t="str">
        <f aca="false">IF($C395="","",$C395&amp;"|"&amp;$D395&amp;"|"&amp;$E395)</f>
        <v/>
      </c>
    </row>
    <row r="396" customFormat="false" ht="15" hidden="false" customHeight="false" outlineLevel="0" collapsed="false">
      <c r="A396" s="11"/>
      <c r="B396" s="38"/>
      <c r="E396" s="10"/>
      <c r="I396" s="11"/>
      <c r="J396" s="10"/>
      <c r="L396" s="31" t="str">
        <f aca="false">IF($C396="","",IFERROR(IF(INDEX(campaigns!$BG$2:$BG$51,MATCH($C396,campaigns!$A$2:$A$51,0))="","",INDEX(campaigns!$BG$2:$BG$51,MATCH($C396,campaigns!$A$2:$A$51,0))),""))</f>
        <v/>
      </c>
      <c r="M396" s="30" t="str">
        <f aca="false">IF($C396="","",IF(OR($E396="received"),N($G396),IF(OR($E396="rejected",$E396="delivered",$E396="topped_up"),-N($G396),IF(AND(OR($E396="returned_to_brand",$E396="given_to_roster_office",$E396="released_to_office",$E396="disposed"),IF($F396="","reserve",$F396)="reserve"),-N($G396),IF(AND($E396="correction",IF($F396="","reserve",$F396)="reserve"),N($G396),0)))))</f>
        <v/>
      </c>
      <c r="N396" s="30" t="str">
        <f aca="false">IF($C396="","",IF($E396="rejected",N($G396),IF(AND(OR($E396="returned_to_brand",$E396="given_to_roster_office",$E396="released_to_office",$E396="disposed"),IF($F396="","reserve",$F396)="rejected"),-N($G396),IF(AND($E396="correction",IF($F396="","reserve",$F396)="rejected"),N($G396),0))))</f>
        <v/>
      </c>
      <c r="O396" s="30" t="str">
        <f aca="false">IF($C396="","",IF($E396="collected",N($G396),IF(AND(OR($E396="returned_to_brand",$E396="given_to_roster_office",$E396="released_to_office",$E396="disposed"),IF($F396="","reserve",$F396)="leftover"),-N($G396),IF(AND($E396="correction",IF($F396="","reserve",$F396)="leftover"),N($G396),0))))</f>
        <v/>
      </c>
      <c r="P396" s="30" t="str">
        <f aca="false">IF(OR($E396&lt;&gt;"received",$I396="",$L396=""),"",IF($I396&gt;=$L396+config!$B$19,"Y","N"))</f>
        <v/>
      </c>
      <c r="Q396" s="30" t="str">
        <f aca="false">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30" t="str">
        <f aca="false">IF($C396="","",$C396&amp;"|"&amp;$D396&amp;"|"&amp;$E396)</f>
        <v/>
      </c>
    </row>
    <row r="397" customFormat="false" ht="15" hidden="false" customHeight="false" outlineLevel="0" collapsed="false">
      <c r="A397" s="11"/>
      <c r="B397" s="38"/>
      <c r="E397" s="10"/>
      <c r="I397" s="11"/>
      <c r="J397" s="10"/>
      <c r="L397" s="31" t="str">
        <f aca="false">IF($C397="","",IFERROR(IF(INDEX(campaigns!$BG$2:$BG$51,MATCH($C397,campaigns!$A$2:$A$51,0))="","",INDEX(campaigns!$BG$2:$BG$51,MATCH($C397,campaigns!$A$2:$A$51,0))),""))</f>
        <v/>
      </c>
      <c r="M397" s="30" t="str">
        <f aca="false">IF($C397="","",IF(OR($E397="received"),N($G397),IF(OR($E397="rejected",$E397="delivered",$E397="topped_up"),-N($G397),IF(AND(OR($E397="returned_to_brand",$E397="given_to_roster_office",$E397="released_to_office",$E397="disposed"),IF($F397="","reserve",$F397)="reserve"),-N($G397),IF(AND($E397="correction",IF($F397="","reserve",$F397)="reserve"),N($G397),0)))))</f>
        <v/>
      </c>
      <c r="N397" s="30" t="str">
        <f aca="false">IF($C397="","",IF($E397="rejected",N($G397),IF(AND(OR($E397="returned_to_brand",$E397="given_to_roster_office",$E397="released_to_office",$E397="disposed"),IF($F397="","reserve",$F397)="rejected"),-N($G397),IF(AND($E397="correction",IF($F397="","reserve",$F397)="rejected"),N($G397),0))))</f>
        <v/>
      </c>
      <c r="O397" s="30" t="str">
        <f aca="false">IF($C397="","",IF($E397="collected",N($G397),IF(AND(OR($E397="returned_to_brand",$E397="given_to_roster_office",$E397="released_to_office",$E397="disposed"),IF($F397="","reserve",$F397)="leftover"),-N($G397),IF(AND($E397="correction",IF($F397="","reserve",$F397)="leftover"),N($G397),0))))</f>
        <v/>
      </c>
      <c r="P397" s="30" t="str">
        <f aca="false">IF(OR($E397&lt;&gt;"received",$I397="",$L397=""),"",IF($I397&gt;=$L397+config!$B$19,"Y","N"))</f>
        <v/>
      </c>
      <c r="Q397" s="30" t="str">
        <f aca="false">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30" t="str">
        <f aca="false">IF($C397="","",$C397&amp;"|"&amp;$D397&amp;"|"&amp;$E397)</f>
        <v/>
      </c>
    </row>
    <row r="398" customFormat="false" ht="15" hidden="false" customHeight="false" outlineLevel="0" collapsed="false">
      <c r="A398" s="11"/>
      <c r="B398" s="38"/>
      <c r="E398" s="10"/>
      <c r="I398" s="11"/>
      <c r="J398" s="10"/>
      <c r="L398" s="31" t="str">
        <f aca="false">IF($C398="","",IFERROR(IF(INDEX(campaigns!$BG$2:$BG$51,MATCH($C398,campaigns!$A$2:$A$51,0))="","",INDEX(campaigns!$BG$2:$BG$51,MATCH($C398,campaigns!$A$2:$A$51,0))),""))</f>
        <v/>
      </c>
      <c r="M398" s="30" t="str">
        <f aca="false">IF($C398="","",IF(OR($E398="received"),N($G398),IF(OR($E398="rejected",$E398="delivered",$E398="topped_up"),-N($G398),IF(AND(OR($E398="returned_to_brand",$E398="given_to_roster_office",$E398="released_to_office",$E398="disposed"),IF($F398="","reserve",$F398)="reserve"),-N($G398),IF(AND($E398="correction",IF($F398="","reserve",$F398)="reserve"),N($G398),0)))))</f>
        <v/>
      </c>
      <c r="N398" s="30" t="str">
        <f aca="false">IF($C398="","",IF($E398="rejected",N($G398),IF(AND(OR($E398="returned_to_brand",$E398="given_to_roster_office",$E398="released_to_office",$E398="disposed"),IF($F398="","reserve",$F398)="rejected"),-N($G398),IF(AND($E398="correction",IF($F398="","reserve",$F398)="rejected"),N($G398),0))))</f>
        <v/>
      </c>
      <c r="O398" s="30" t="str">
        <f aca="false">IF($C398="","",IF($E398="collected",N($G398),IF(AND(OR($E398="returned_to_brand",$E398="given_to_roster_office",$E398="released_to_office",$E398="disposed"),IF($F398="","reserve",$F398)="leftover"),-N($G398),IF(AND($E398="correction",IF($F398="","reserve",$F398)="leftover"),N($G398),0))))</f>
        <v/>
      </c>
      <c r="P398" s="30" t="str">
        <f aca="false">IF(OR($E398&lt;&gt;"received",$I398="",$L398=""),"",IF($I398&gt;=$L398+config!$B$19,"Y","N"))</f>
        <v/>
      </c>
      <c r="Q398" s="30" t="str">
        <f aca="false">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30" t="str">
        <f aca="false">IF($C398="","",$C398&amp;"|"&amp;$D398&amp;"|"&amp;$E398)</f>
        <v/>
      </c>
    </row>
    <row r="399" customFormat="false" ht="15" hidden="false" customHeight="false" outlineLevel="0" collapsed="false">
      <c r="A399" s="11"/>
      <c r="B399" s="38"/>
      <c r="E399" s="10"/>
      <c r="I399" s="11"/>
      <c r="J399" s="10"/>
      <c r="L399" s="31" t="str">
        <f aca="false">IF($C399="","",IFERROR(IF(INDEX(campaigns!$BG$2:$BG$51,MATCH($C399,campaigns!$A$2:$A$51,0))="","",INDEX(campaigns!$BG$2:$BG$51,MATCH($C399,campaigns!$A$2:$A$51,0))),""))</f>
        <v/>
      </c>
      <c r="M399" s="30" t="str">
        <f aca="false">IF($C399="","",IF(OR($E399="received"),N($G399),IF(OR($E399="rejected",$E399="delivered",$E399="topped_up"),-N($G399),IF(AND(OR($E399="returned_to_brand",$E399="given_to_roster_office",$E399="released_to_office",$E399="disposed"),IF($F399="","reserve",$F399)="reserve"),-N($G399),IF(AND($E399="correction",IF($F399="","reserve",$F399)="reserve"),N($G399),0)))))</f>
        <v/>
      </c>
      <c r="N399" s="30" t="str">
        <f aca="false">IF($C399="","",IF($E399="rejected",N($G399),IF(AND(OR($E399="returned_to_brand",$E399="given_to_roster_office",$E399="released_to_office",$E399="disposed"),IF($F399="","reserve",$F399)="rejected"),-N($G399),IF(AND($E399="correction",IF($F399="","reserve",$F399)="rejected"),N($G399),0))))</f>
        <v/>
      </c>
      <c r="O399" s="30" t="str">
        <f aca="false">IF($C399="","",IF($E399="collected",N($G399),IF(AND(OR($E399="returned_to_brand",$E399="given_to_roster_office",$E399="released_to_office",$E399="disposed"),IF($F399="","reserve",$F399)="leftover"),-N($G399),IF(AND($E399="correction",IF($F399="","reserve",$F399)="leftover"),N($G399),0))))</f>
        <v/>
      </c>
      <c r="P399" s="30" t="str">
        <f aca="false">IF(OR($E399&lt;&gt;"received",$I399="",$L399=""),"",IF($I399&gt;=$L399+config!$B$19,"Y","N"))</f>
        <v/>
      </c>
      <c r="Q399" s="30" t="str">
        <f aca="false">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30" t="str">
        <f aca="false">IF($C399="","",$C399&amp;"|"&amp;$D399&amp;"|"&amp;$E399)</f>
        <v/>
      </c>
    </row>
    <row r="400" customFormat="false" ht="15" hidden="false" customHeight="false" outlineLevel="0" collapsed="false">
      <c r="A400" s="11"/>
      <c r="B400" s="38"/>
      <c r="E400" s="10"/>
      <c r="I400" s="11"/>
      <c r="J400" s="10"/>
      <c r="L400" s="31" t="str">
        <f aca="false">IF($C400="","",IFERROR(IF(INDEX(campaigns!$BG$2:$BG$51,MATCH($C400,campaigns!$A$2:$A$51,0))="","",INDEX(campaigns!$BG$2:$BG$51,MATCH($C400,campaigns!$A$2:$A$51,0))),""))</f>
        <v/>
      </c>
      <c r="M400" s="30" t="str">
        <f aca="false">IF($C400="","",IF(OR($E400="received"),N($G400),IF(OR($E400="rejected",$E400="delivered",$E400="topped_up"),-N($G400),IF(AND(OR($E400="returned_to_brand",$E400="given_to_roster_office",$E400="released_to_office",$E400="disposed"),IF($F400="","reserve",$F400)="reserve"),-N($G400),IF(AND($E400="correction",IF($F400="","reserve",$F400)="reserve"),N($G400),0)))))</f>
        <v/>
      </c>
      <c r="N400" s="30" t="str">
        <f aca="false">IF($C400="","",IF($E400="rejected",N($G400),IF(AND(OR($E400="returned_to_brand",$E400="given_to_roster_office",$E400="released_to_office",$E400="disposed"),IF($F400="","reserve",$F400)="rejected"),-N($G400),IF(AND($E400="correction",IF($F400="","reserve",$F400)="rejected"),N($G400),0))))</f>
        <v/>
      </c>
      <c r="O400" s="30" t="str">
        <f aca="false">IF($C400="","",IF($E400="collected",N($G400),IF(AND(OR($E400="returned_to_brand",$E400="given_to_roster_office",$E400="released_to_office",$E400="disposed"),IF($F400="","reserve",$F400)="leftover"),-N($G400),IF(AND($E400="correction",IF($F400="","reserve",$F400)="leftover"),N($G400),0))))</f>
        <v/>
      </c>
      <c r="P400" s="30" t="str">
        <f aca="false">IF(OR($E400&lt;&gt;"received",$I400="",$L400=""),"",IF($I400&gt;=$L400+config!$B$19,"Y","N"))</f>
        <v/>
      </c>
      <c r="Q400" s="30" t="str">
        <f aca="false">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30" t="str">
        <f aca="false">IF($C400="","",$C400&amp;"|"&amp;$D400&amp;"|"&amp;$E400)</f>
        <v/>
      </c>
    </row>
    <row r="401" customFormat="false" ht="15" hidden="false" customHeight="false" outlineLevel="0" collapsed="false">
      <c r="A401" s="11"/>
      <c r="B401" s="38"/>
      <c r="E401" s="10"/>
      <c r="I401" s="11"/>
      <c r="J401" s="10"/>
      <c r="L401" s="31" t="str">
        <f aca="false">IF($C401="","",IFERROR(IF(INDEX(campaigns!$BG$2:$BG$51,MATCH($C401,campaigns!$A$2:$A$51,0))="","",INDEX(campaigns!$BG$2:$BG$51,MATCH($C401,campaigns!$A$2:$A$51,0))),""))</f>
        <v/>
      </c>
      <c r="M401" s="30" t="str">
        <f aca="false">IF($C401="","",IF(OR($E401="received"),N($G401),IF(OR($E401="rejected",$E401="delivered",$E401="topped_up"),-N($G401),IF(AND(OR($E401="returned_to_brand",$E401="given_to_roster_office",$E401="released_to_office",$E401="disposed"),IF($F401="","reserve",$F401)="reserve"),-N($G401),IF(AND($E401="correction",IF($F401="","reserve",$F401)="reserve"),N($G401),0)))))</f>
        <v/>
      </c>
      <c r="N401" s="30" t="str">
        <f aca="false">IF($C401="","",IF($E401="rejected",N($G401),IF(AND(OR($E401="returned_to_brand",$E401="given_to_roster_office",$E401="released_to_office",$E401="disposed"),IF($F401="","reserve",$F401)="rejected"),-N($G401),IF(AND($E401="correction",IF($F401="","reserve",$F401)="rejected"),N($G401),0))))</f>
        <v/>
      </c>
      <c r="O401" s="30" t="str">
        <f aca="false">IF($C401="","",IF($E401="collected",N($G401),IF(AND(OR($E401="returned_to_brand",$E401="given_to_roster_office",$E401="released_to_office",$E401="disposed"),IF($F401="","reserve",$F401)="leftover"),-N($G401),IF(AND($E401="correction",IF($F401="","reserve",$F401)="leftover"),N($G401),0))))</f>
        <v/>
      </c>
      <c r="P401" s="30" t="str">
        <f aca="false">IF(OR($E401&lt;&gt;"received",$I401="",$L401=""),"",IF($I401&gt;=$L401+config!$B$19,"Y","N"))</f>
        <v/>
      </c>
      <c r="Q401" s="30" t="str">
        <f aca="false">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30" t="str">
        <f aca="false">IF($C401="","",$C401&amp;"|"&amp;$D401&amp;"|"&amp;$E401)</f>
        <v/>
      </c>
    </row>
    <row r="402" customFormat="false" ht="15" hidden="false" customHeight="false" outlineLevel="0" collapsed="false">
      <c r="A402" s="11"/>
      <c r="B402" s="38"/>
      <c r="E402" s="10"/>
      <c r="I402" s="11"/>
      <c r="J402" s="10"/>
      <c r="L402" s="31" t="str">
        <f aca="false">IF($C402="","",IFERROR(IF(INDEX(campaigns!$BG$2:$BG$51,MATCH($C402,campaigns!$A$2:$A$51,0))="","",INDEX(campaigns!$BG$2:$BG$51,MATCH($C402,campaigns!$A$2:$A$51,0))),""))</f>
        <v/>
      </c>
      <c r="M402" s="30" t="str">
        <f aca="false">IF($C402="","",IF(OR($E402="received"),N($G402),IF(OR($E402="rejected",$E402="delivered",$E402="topped_up"),-N($G402),IF(AND(OR($E402="returned_to_brand",$E402="given_to_roster_office",$E402="released_to_office",$E402="disposed"),IF($F402="","reserve",$F402)="reserve"),-N($G402),IF(AND($E402="correction",IF($F402="","reserve",$F402)="reserve"),N($G402),0)))))</f>
        <v/>
      </c>
      <c r="N402" s="30" t="str">
        <f aca="false">IF($C402="","",IF($E402="rejected",N($G402),IF(AND(OR($E402="returned_to_brand",$E402="given_to_roster_office",$E402="released_to_office",$E402="disposed"),IF($F402="","reserve",$F402)="rejected"),-N($G402),IF(AND($E402="correction",IF($F402="","reserve",$F402)="rejected"),N($G402),0))))</f>
        <v/>
      </c>
      <c r="O402" s="30" t="str">
        <f aca="false">IF($C402="","",IF($E402="collected",N($G402),IF(AND(OR($E402="returned_to_brand",$E402="given_to_roster_office",$E402="released_to_office",$E402="disposed"),IF($F402="","reserve",$F402)="leftover"),-N($G402),IF(AND($E402="correction",IF($F402="","reserve",$F402)="leftover"),N($G402),0))))</f>
        <v/>
      </c>
      <c r="P402" s="30" t="str">
        <f aca="false">IF(OR($E402&lt;&gt;"received",$I402="",$L402=""),"",IF($I402&gt;=$L402+config!$B$19,"Y","N"))</f>
        <v/>
      </c>
      <c r="Q402" s="30" t="str">
        <f aca="false">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30" t="str">
        <f aca="false">IF($C402="","",$C402&amp;"|"&amp;$D402&amp;"|"&amp;$E402)</f>
        <v/>
      </c>
    </row>
    <row r="403" customFormat="false" ht="15" hidden="false" customHeight="false" outlineLevel="0" collapsed="false">
      <c r="A403" s="11"/>
      <c r="B403" s="38"/>
      <c r="E403" s="10"/>
      <c r="I403" s="11"/>
      <c r="J403" s="10"/>
      <c r="L403" s="31" t="str">
        <f aca="false">IF($C403="","",IFERROR(IF(INDEX(campaigns!$BG$2:$BG$51,MATCH($C403,campaigns!$A$2:$A$51,0))="","",INDEX(campaigns!$BG$2:$BG$51,MATCH($C403,campaigns!$A$2:$A$51,0))),""))</f>
        <v/>
      </c>
      <c r="M403" s="30" t="str">
        <f aca="false">IF($C403="","",IF(OR($E403="received"),N($G403),IF(OR($E403="rejected",$E403="delivered",$E403="topped_up"),-N($G403),IF(AND(OR($E403="returned_to_brand",$E403="given_to_roster_office",$E403="released_to_office",$E403="disposed"),IF($F403="","reserve",$F403)="reserve"),-N($G403),IF(AND($E403="correction",IF($F403="","reserve",$F403)="reserve"),N($G403),0)))))</f>
        <v/>
      </c>
      <c r="N403" s="30" t="str">
        <f aca="false">IF($C403="","",IF($E403="rejected",N($G403),IF(AND(OR($E403="returned_to_brand",$E403="given_to_roster_office",$E403="released_to_office",$E403="disposed"),IF($F403="","reserve",$F403)="rejected"),-N($G403),IF(AND($E403="correction",IF($F403="","reserve",$F403)="rejected"),N($G403),0))))</f>
        <v/>
      </c>
      <c r="O403" s="30" t="str">
        <f aca="false">IF($C403="","",IF($E403="collected",N($G403),IF(AND(OR($E403="returned_to_brand",$E403="given_to_roster_office",$E403="released_to_office",$E403="disposed"),IF($F403="","reserve",$F403)="leftover"),-N($G403),IF(AND($E403="correction",IF($F403="","reserve",$F403)="leftover"),N($G403),0))))</f>
        <v/>
      </c>
      <c r="P403" s="30" t="str">
        <f aca="false">IF(OR($E403&lt;&gt;"received",$I403="",$L403=""),"",IF($I403&gt;=$L403+config!$B$19,"Y","N"))</f>
        <v/>
      </c>
      <c r="Q403" s="30" t="str">
        <f aca="false">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30" t="str">
        <f aca="false">IF($C403="","",$C403&amp;"|"&amp;$D403&amp;"|"&amp;$E403)</f>
        <v/>
      </c>
    </row>
    <row r="404" customFormat="false" ht="15" hidden="false" customHeight="false" outlineLevel="0" collapsed="false">
      <c r="A404" s="11"/>
      <c r="B404" s="38"/>
      <c r="E404" s="10"/>
      <c r="I404" s="11"/>
      <c r="J404" s="10"/>
      <c r="L404" s="31" t="str">
        <f aca="false">IF($C404="","",IFERROR(IF(INDEX(campaigns!$BG$2:$BG$51,MATCH($C404,campaigns!$A$2:$A$51,0))="","",INDEX(campaigns!$BG$2:$BG$51,MATCH($C404,campaigns!$A$2:$A$51,0))),""))</f>
        <v/>
      </c>
      <c r="M404" s="30" t="str">
        <f aca="false">IF($C404="","",IF(OR($E404="received"),N($G404),IF(OR($E404="rejected",$E404="delivered",$E404="topped_up"),-N($G404),IF(AND(OR($E404="returned_to_brand",$E404="given_to_roster_office",$E404="released_to_office",$E404="disposed"),IF($F404="","reserve",$F404)="reserve"),-N($G404),IF(AND($E404="correction",IF($F404="","reserve",$F404)="reserve"),N($G404),0)))))</f>
        <v/>
      </c>
      <c r="N404" s="30" t="str">
        <f aca="false">IF($C404="","",IF($E404="rejected",N($G404),IF(AND(OR($E404="returned_to_brand",$E404="given_to_roster_office",$E404="released_to_office",$E404="disposed"),IF($F404="","reserve",$F404)="rejected"),-N($G404),IF(AND($E404="correction",IF($F404="","reserve",$F404)="rejected"),N($G404),0))))</f>
        <v/>
      </c>
      <c r="O404" s="30" t="str">
        <f aca="false">IF($C404="","",IF($E404="collected",N($G404),IF(AND(OR($E404="returned_to_brand",$E404="given_to_roster_office",$E404="released_to_office",$E404="disposed"),IF($F404="","reserve",$F404)="leftover"),-N($G404),IF(AND($E404="correction",IF($F404="","reserve",$F404)="leftover"),N($G404),0))))</f>
        <v/>
      </c>
      <c r="P404" s="30" t="str">
        <f aca="false">IF(OR($E404&lt;&gt;"received",$I404="",$L404=""),"",IF($I404&gt;=$L404+config!$B$19,"Y","N"))</f>
        <v/>
      </c>
      <c r="Q404" s="30" t="str">
        <f aca="false">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30" t="str">
        <f aca="false">IF($C404="","",$C404&amp;"|"&amp;$D404&amp;"|"&amp;$E404)</f>
        <v/>
      </c>
    </row>
    <row r="405" customFormat="false" ht="15" hidden="false" customHeight="false" outlineLevel="0" collapsed="false">
      <c r="A405" s="11"/>
      <c r="B405" s="38"/>
      <c r="E405" s="10"/>
      <c r="I405" s="11"/>
      <c r="J405" s="10"/>
      <c r="L405" s="31" t="str">
        <f aca="false">IF($C405="","",IFERROR(IF(INDEX(campaigns!$BG$2:$BG$51,MATCH($C405,campaigns!$A$2:$A$51,0))="","",INDEX(campaigns!$BG$2:$BG$51,MATCH($C405,campaigns!$A$2:$A$51,0))),""))</f>
        <v/>
      </c>
      <c r="M405" s="30" t="str">
        <f aca="false">IF($C405="","",IF(OR($E405="received"),N($G405),IF(OR($E405="rejected",$E405="delivered",$E405="topped_up"),-N($G405),IF(AND(OR($E405="returned_to_brand",$E405="given_to_roster_office",$E405="released_to_office",$E405="disposed"),IF($F405="","reserve",$F405)="reserve"),-N($G405),IF(AND($E405="correction",IF($F405="","reserve",$F405)="reserve"),N($G405),0)))))</f>
        <v/>
      </c>
      <c r="N405" s="30" t="str">
        <f aca="false">IF($C405="","",IF($E405="rejected",N($G405),IF(AND(OR($E405="returned_to_brand",$E405="given_to_roster_office",$E405="released_to_office",$E405="disposed"),IF($F405="","reserve",$F405)="rejected"),-N($G405),IF(AND($E405="correction",IF($F405="","reserve",$F405)="rejected"),N($G405),0))))</f>
        <v/>
      </c>
      <c r="O405" s="30" t="str">
        <f aca="false">IF($C405="","",IF($E405="collected",N($G405),IF(AND(OR($E405="returned_to_brand",$E405="given_to_roster_office",$E405="released_to_office",$E405="disposed"),IF($F405="","reserve",$F405)="leftover"),-N($G405),IF(AND($E405="correction",IF($F405="","reserve",$F405)="leftover"),N($G405),0))))</f>
        <v/>
      </c>
      <c r="P405" s="30" t="str">
        <f aca="false">IF(OR($E405&lt;&gt;"received",$I405="",$L405=""),"",IF($I405&gt;=$L405+config!$B$19,"Y","N"))</f>
        <v/>
      </c>
      <c r="Q405" s="30" t="str">
        <f aca="false">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30" t="str">
        <f aca="false">IF($C405="","",$C405&amp;"|"&amp;$D405&amp;"|"&amp;$E405)</f>
        <v/>
      </c>
    </row>
    <row r="406" customFormat="false" ht="15" hidden="false" customHeight="false" outlineLevel="0" collapsed="false">
      <c r="A406" s="11"/>
      <c r="B406" s="38"/>
      <c r="E406" s="10"/>
      <c r="I406" s="11"/>
      <c r="J406" s="10"/>
      <c r="L406" s="31" t="str">
        <f aca="false">IF($C406="","",IFERROR(IF(INDEX(campaigns!$BG$2:$BG$51,MATCH($C406,campaigns!$A$2:$A$51,0))="","",INDEX(campaigns!$BG$2:$BG$51,MATCH($C406,campaigns!$A$2:$A$51,0))),""))</f>
        <v/>
      </c>
      <c r="M406" s="30" t="str">
        <f aca="false">IF($C406="","",IF(OR($E406="received"),N($G406),IF(OR($E406="rejected",$E406="delivered",$E406="topped_up"),-N($G406),IF(AND(OR($E406="returned_to_brand",$E406="given_to_roster_office",$E406="released_to_office",$E406="disposed"),IF($F406="","reserve",$F406)="reserve"),-N($G406),IF(AND($E406="correction",IF($F406="","reserve",$F406)="reserve"),N($G406),0)))))</f>
        <v/>
      </c>
      <c r="N406" s="30" t="str">
        <f aca="false">IF($C406="","",IF($E406="rejected",N($G406),IF(AND(OR($E406="returned_to_brand",$E406="given_to_roster_office",$E406="released_to_office",$E406="disposed"),IF($F406="","reserve",$F406)="rejected"),-N($G406),IF(AND($E406="correction",IF($F406="","reserve",$F406)="rejected"),N($G406),0))))</f>
        <v/>
      </c>
      <c r="O406" s="30" t="str">
        <f aca="false">IF($C406="","",IF($E406="collected",N($G406),IF(AND(OR($E406="returned_to_brand",$E406="given_to_roster_office",$E406="released_to_office",$E406="disposed"),IF($F406="","reserve",$F406)="leftover"),-N($G406),IF(AND($E406="correction",IF($F406="","reserve",$F406)="leftover"),N($G406),0))))</f>
        <v/>
      </c>
      <c r="P406" s="30" t="str">
        <f aca="false">IF(OR($E406&lt;&gt;"received",$I406="",$L406=""),"",IF($I406&gt;=$L406+config!$B$19,"Y","N"))</f>
        <v/>
      </c>
      <c r="Q406" s="30" t="str">
        <f aca="false">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30" t="str">
        <f aca="false">IF($C406="","",$C406&amp;"|"&amp;$D406&amp;"|"&amp;$E406)</f>
        <v/>
      </c>
    </row>
    <row r="407" customFormat="false" ht="15" hidden="false" customHeight="false" outlineLevel="0" collapsed="false">
      <c r="A407" s="11"/>
      <c r="B407" s="38"/>
      <c r="E407" s="10"/>
      <c r="I407" s="11"/>
      <c r="J407" s="10"/>
      <c r="L407" s="31" t="str">
        <f aca="false">IF($C407="","",IFERROR(IF(INDEX(campaigns!$BG$2:$BG$51,MATCH($C407,campaigns!$A$2:$A$51,0))="","",INDEX(campaigns!$BG$2:$BG$51,MATCH($C407,campaigns!$A$2:$A$51,0))),""))</f>
        <v/>
      </c>
      <c r="M407" s="30" t="str">
        <f aca="false">IF($C407="","",IF(OR($E407="received"),N($G407),IF(OR($E407="rejected",$E407="delivered",$E407="topped_up"),-N($G407),IF(AND(OR($E407="returned_to_brand",$E407="given_to_roster_office",$E407="released_to_office",$E407="disposed"),IF($F407="","reserve",$F407)="reserve"),-N($G407),IF(AND($E407="correction",IF($F407="","reserve",$F407)="reserve"),N($G407),0)))))</f>
        <v/>
      </c>
      <c r="N407" s="30" t="str">
        <f aca="false">IF($C407="","",IF($E407="rejected",N($G407),IF(AND(OR($E407="returned_to_brand",$E407="given_to_roster_office",$E407="released_to_office",$E407="disposed"),IF($F407="","reserve",$F407)="rejected"),-N($G407),IF(AND($E407="correction",IF($F407="","reserve",$F407)="rejected"),N($G407),0))))</f>
        <v/>
      </c>
      <c r="O407" s="30" t="str">
        <f aca="false">IF($C407="","",IF($E407="collected",N($G407),IF(AND(OR($E407="returned_to_brand",$E407="given_to_roster_office",$E407="released_to_office",$E407="disposed"),IF($F407="","reserve",$F407)="leftover"),-N($G407),IF(AND($E407="correction",IF($F407="","reserve",$F407)="leftover"),N($G407),0))))</f>
        <v/>
      </c>
      <c r="P407" s="30" t="str">
        <f aca="false">IF(OR($E407&lt;&gt;"received",$I407="",$L407=""),"",IF($I407&gt;=$L407+config!$B$19,"Y","N"))</f>
        <v/>
      </c>
      <c r="Q407" s="30" t="str">
        <f aca="false">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30" t="str">
        <f aca="false">IF($C407="","",$C407&amp;"|"&amp;$D407&amp;"|"&amp;$E407)</f>
        <v/>
      </c>
    </row>
    <row r="408" customFormat="false" ht="15" hidden="false" customHeight="false" outlineLevel="0" collapsed="false">
      <c r="A408" s="11"/>
      <c r="B408" s="38"/>
      <c r="E408" s="10"/>
      <c r="I408" s="11"/>
      <c r="J408" s="10"/>
      <c r="L408" s="31" t="str">
        <f aca="false">IF($C408="","",IFERROR(IF(INDEX(campaigns!$BG$2:$BG$51,MATCH($C408,campaigns!$A$2:$A$51,0))="","",INDEX(campaigns!$BG$2:$BG$51,MATCH($C408,campaigns!$A$2:$A$51,0))),""))</f>
        <v/>
      </c>
      <c r="M408" s="30" t="str">
        <f aca="false">IF($C408="","",IF(OR($E408="received"),N($G408),IF(OR($E408="rejected",$E408="delivered",$E408="topped_up"),-N($G408),IF(AND(OR($E408="returned_to_brand",$E408="given_to_roster_office",$E408="released_to_office",$E408="disposed"),IF($F408="","reserve",$F408)="reserve"),-N($G408),IF(AND($E408="correction",IF($F408="","reserve",$F408)="reserve"),N($G408),0)))))</f>
        <v/>
      </c>
      <c r="N408" s="30" t="str">
        <f aca="false">IF($C408="","",IF($E408="rejected",N($G408),IF(AND(OR($E408="returned_to_brand",$E408="given_to_roster_office",$E408="released_to_office",$E408="disposed"),IF($F408="","reserve",$F408)="rejected"),-N($G408),IF(AND($E408="correction",IF($F408="","reserve",$F408)="rejected"),N($G408),0))))</f>
        <v/>
      </c>
      <c r="O408" s="30" t="str">
        <f aca="false">IF($C408="","",IF($E408="collected",N($G408),IF(AND(OR($E408="returned_to_brand",$E408="given_to_roster_office",$E408="released_to_office",$E408="disposed"),IF($F408="","reserve",$F408)="leftover"),-N($G408),IF(AND($E408="correction",IF($F408="","reserve",$F408)="leftover"),N($G408),0))))</f>
        <v/>
      </c>
      <c r="P408" s="30" t="str">
        <f aca="false">IF(OR($E408&lt;&gt;"received",$I408="",$L408=""),"",IF($I408&gt;=$L408+config!$B$19,"Y","N"))</f>
        <v/>
      </c>
      <c r="Q408" s="30" t="str">
        <f aca="false">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30" t="str">
        <f aca="false">IF($C408="","",$C408&amp;"|"&amp;$D408&amp;"|"&amp;$E408)</f>
        <v/>
      </c>
    </row>
    <row r="409" customFormat="false" ht="15" hidden="false" customHeight="false" outlineLevel="0" collapsed="false">
      <c r="A409" s="11"/>
      <c r="B409" s="38"/>
      <c r="E409" s="10"/>
      <c r="I409" s="11"/>
      <c r="J409" s="10"/>
      <c r="L409" s="31" t="str">
        <f aca="false">IF($C409="","",IFERROR(IF(INDEX(campaigns!$BG$2:$BG$51,MATCH($C409,campaigns!$A$2:$A$51,0))="","",INDEX(campaigns!$BG$2:$BG$51,MATCH($C409,campaigns!$A$2:$A$51,0))),""))</f>
        <v/>
      </c>
      <c r="M409" s="30" t="str">
        <f aca="false">IF($C409="","",IF(OR($E409="received"),N($G409),IF(OR($E409="rejected",$E409="delivered",$E409="topped_up"),-N($G409),IF(AND(OR($E409="returned_to_brand",$E409="given_to_roster_office",$E409="released_to_office",$E409="disposed"),IF($F409="","reserve",$F409)="reserve"),-N($G409),IF(AND($E409="correction",IF($F409="","reserve",$F409)="reserve"),N($G409),0)))))</f>
        <v/>
      </c>
      <c r="N409" s="30" t="str">
        <f aca="false">IF($C409="","",IF($E409="rejected",N($G409),IF(AND(OR($E409="returned_to_brand",$E409="given_to_roster_office",$E409="released_to_office",$E409="disposed"),IF($F409="","reserve",$F409)="rejected"),-N($G409),IF(AND($E409="correction",IF($F409="","reserve",$F409)="rejected"),N($G409),0))))</f>
        <v/>
      </c>
      <c r="O409" s="30" t="str">
        <f aca="false">IF($C409="","",IF($E409="collected",N($G409),IF(AND(OR($E409="returned_to_brand",$E409="given_to_roster_office",$E409="released_to_office",$E409="disposed"),IF($F409="","reserve",$F409)="leftover"),-N($G409),IF(AND($E409="correction",IF($F409="","reserve",$F409)="leftover"),N($G409),0))))</f>
        <v/>
      </c>
      <c r="P409" s="30" t="str">
        <f aca="false">IF(OR($E409&lt;&gt;"received",$I409="",$L409=""),"",IF($I409&gt;=$L409+config!$B$19,"Y","N"))</f>
        <v/>
      </c>
      <c r="Q409" s="30" t="str">
        <f aca="false">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30" t="str">
        <f aca="false">IF($C409="","",$C409&amp;"|"&amp;$D409&amp;"|"&amp;$E409)</f>
        <v/>
      </c>
    </row>
    <row r="410" customFormat="false" ht="15" hidden="false" customHeight="false" outlineLevel="0" collapsed="false">
      <c r="A410" s="11"/>
      <c r="B410" s="38"/>
      <c r="E410" s="10"/>
      <c r="I410" s="11"/>
      <c r="J410" s="10"/>
      <c r="L410" s="31" t="str">
        <f aca="false">IF($C410="","",IFERROR(IF(INDEX(campaigns!$BG$2:$BG$51,MATCH($C410,campaigns!$A$2:$A$51,0))="","",INDEX(campaigns!$BG$2:$BG$51,MATCH($C410,campaigns!$A$2:$A$51,0))),""))</f>
        <v/>
      </c>
      <c r="M410" s="30" t="str">
        <f aca="false">IF($C410="","",IF(OR($E410="received"),N($G410),IF(OR($E410="rejected",$E410="delivered",$E410="topped_up"),-N($G410),IF(AND(OR($E410="returned_to_brand",$E410="given_to_roster_office",$E410="released_to_office",$E410="disposed"),IF($F410="","reserve",$F410)="reserve"),-N($G410),IF(AND($E410="correction",IF($F410="","reserve",$F410)="reserve"),N($G410),0)))))</f>
        <v/>
      </c>
      <c r="N410" s="30" t="str">
        <f aca="false">IF($C410="","",IF($E410="rejected",N($G410),IF(AND(OR($E410="returned_to_brand",$E410="given_to_roster_office",$E410="released_to_office",$E410="disposed"),IF($F410="","reserve",$F410)="rejected"),-N($G410),IF(AND($E410="correction",IF($F410="","reserve",$F410)="rejected"),N($G410),0))))</f>
        <v/>
      </c>
      <c r="O410" s="30" t="str">
        <f aca="false">IF($C410="","",IF($E410="collected",N($G410),IF(AND(OR($E410="returned_to_brand",$E410="given_to_roster_office",$E410="released_to_office",$E410="disposed"),IF($F410="","reserve",$F410)="leftover"),-N($G410),IF(AND($E410="correction",IF($F410="","reserve",$F410)="leftover"),N($G410),0))))</f>
        <v/>
      </c>
      <c r="P410" s="30" t="str">
        <f aca="false">IF(OR($E410&lt;&gt;"received",$I410="",$L410=""),"",IF($I410&gt;=$L410+config!$B$19,"Y","N"))</f>
        <v/>
      </c>
      <c r="Q410" s="30" t="str">
        <f aca="false">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30" t="str">
        <f aca="false">IF($C410="","",$C410&amp;"|"&amp;$D410&amp;"|"&amp;$E410)</f>
        <v/>
      </c>
    </row>
    <row r="411" customFormat="false" ht="15" hidden="false" customHeight="false" outlineLevel="0" collapsed="false">
      <c r="A411" s="11"/>
      <c r="B411" s="38"/>
      <c r="E411" s="10"/>
      <c r="I411" s="11"/>
      <c r="J411" s="10"/>
      <c r="L411" s="31" t="str">
        <f aca="false">IF($C411="","",IFERROR(IF(INDEX(campaigns!$BG$2:$BG$51,MATCH($C411,campaigns!$A$2:$A$51,0))="","",INDEX(campaigns!$BG$2:$BG$51,MATCH($C411,campaigns!$A$2:$A$51,0))),""))</f>
        <v/>
      </c>
      <c r="M411" s="30" t="str">
        <f aca="false">IF($C411="","",IF(OR($E411="received"),N($G411),IF(OR($E411="rejected",$E411="delivered",$E411="topped_up"),-N($G411),IF(AND(OR($E411="returned_to_brand",$E411="given_to_roster_office",$E411="released_to_office",$E411="disposed"),IF($F411="","reserve",$F411)="reserve"),-N($G411),IF(AND($E411="correction",IF($F411="","reserve",$F411)="reserve"),N($G411),0)))))</f>
        <v/>
      </c>
      <c r="N411" s="30" t="str">
        <f aca="false">IF($C411="","",IF($E411="rejected",N($G411),IF(AND(OR($E411="returned_to_brand",$E411="given_to_roster_office",$E411="released_to_office",$E411="disposed"),IF($F411="","reserve",$F411)="rejected"),-N($G411),IF(AND($E411="correction",IF($F411="","reserve",$F411)="rejected"),N($G411),0))))</f>
        <v/>
      </c>
      <c r="O411" s="30" t="str">
        <f aca="false">IF($C411="","",IF($E411="collected",N($G411),IF(AND(OR($E411="returned_to_brand",$E411="given_to_roster_office",$E411="released_to_office",$E411="disposed"),IF($F411="","reserve",$F411)="leftover"),-N($G411),IF(AND($E411="correction",IF($F411="","reserve",$F411)="leftover"),N($G411),0))))</f>
        <v/>
      </c>
      <c r="P411" s="30" t="str">
        <f aca="false">IF(OR($E411&lt;&gt;"received",$I411="",$L411=""),"",IF($I411&gt;=$L411+config!$B$19,"Y","N"))</f>
        <v/>
      </c>
      <c r="Q411" s="30" t="str">
        <f aca="false">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30" t="str">
        <f aca="false">IF($C411="","",$C411&amp;"|"&amp;$D411&amp;"|"&amp;$E411)</f>
        <v/>
      </c>
    </row>
    <row r="412" customFormat="false" ht="15" hidden="false" customHeight="false" outlineLevel="0" collapsed="false">
      <c r="A412" s="11"/>
      <c r="B412" s="38"/>
      <c r="E412" s="10"/>
      <c r="I412" s="11"/>
      <c r="J412" s="10"/>
      <c r="L412" s="31" t="str">
        <f aca="false">IF($C412="","",IFERROR(IF(INDEX(campaigns!$BG$2:$BG$51,MATCH($C412,campaigns!$A$2:$A$51,0))="","",INDEX(campaigns!$BG$2:$BG$51,MATCH($C412,campaigns!$A$2:$A$51,0))),""))</f>
        <v/>
      </c>
      <c r="M412" s="30" t="str">
        <f aca="false">IF($C412="","",IF(OR($E412="received"),N($G412),IF(OR($E412="rejected",$E412="delivered",$E412="topped_up"),-N($G412),IF(AND(OR($E412="returned_to_brand",$E412="given_to_roster_office",$E412="released_to_office",$E412="disposed"),IF($F412="","reserve",$F412)="reserve"),-N($G412),IF(AND($E412="correction",IF($F412="","reserve",$F412)="reserve"),N($G412),0)))))</f>
        <v/>
      </c>
      <c r="N412" s="30" t="str">
        <f aca="false">IF($C412="","",IF($E412="rejected",N($G412),IF(AND(OR($E412="returned_to_brand",$E412="given_to_roster_office",$E412="released_to_office",$E412="disposed"),IF($F412="","reserve",$F412)="rejected"),-N($G412),IF(AND($E412="correction",IF($F412="","reserve",$F412)="rejected"),N($G412),0))))</f>
        <v/>
      </c>
      <c r="O412" s="30" t="str">
        <f aca="false">IF($C412="","",IF($E412="collected",N($G412),IF(AND(OR($E412="returned_to_brand",$E412="given_to_roster_office",$E412="released_to_office",$E412="disposed"),IF($F412="","reserve",$F412)="leftover"),-N($G412),IF(AND($E412="correction",IF($F412="","reserve",$F412)="leftover"),N($G412),0))))</f>
        <v/>
      </c>
      <c r="P412" s="30" t="str">
        <f aca="false">IF(OR($E412&lt;&gt;"received",$I412="",$L412=""),"",IF($I412&gt;=$L412+config!$B$19,"Y","N"))</f>
        <v/>
      </c>
      <c r="Q412" s="30" t="str">
        <f aca="false">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30" t="str">
        <f aca="false">IF($C412="","",$C412&amp;"|"&amp;$D412&amp;"|"&amp;$E412)</f>
        <v/>
      </c>
    </row>
    <row r="413" customFormat="false" ht="15" hidden="false" customHeight="false" outlineLevel="0" collapsed="false">
      <c r="A413" s="11"/>
      <c r="B413" s="38"/>
      <c r="E413" s="10"/>
      <c r="I413" s="11"/>
      <c r="J413" s="10"/>
      <c r="L413" s="31" t="str">
        <f aca="false">IF($C413="","",IFERROR(IF(INDEX(campaigns!$BG$2:$BG$51,MATCH($C413,campaigns!$A$2:$A$51,0))="","",INDEX(campaigns!$BG$2:$BG$51,MATCH($C413,campaigns!$A$2:$A$51,0))),""))</f>
        <v/>
      </c>
      <c r="M413" s="30" t="str">
        <f aca="false">IF($C413="","",IF(OR($E413="received"),N($G413),IF(OR($E413="rejected",$E413="delivered",$E413="topped_up"),-N($G413),IF(AND(OR($E413="returned_to_brand",$E413="given_to_roster_office",$E413="released_to_office",$E413="disposed"),IF($F413="","reserve",$F413)="reserve"),-N($G413),IF(AND($E413="correction",IF($F413="","reserve",$F413)="reserve"),N($G413),0)))))</f>
        <v/>
      </c>
      <c r="N413" s="30" t="str">
        <f aca="false">IF($C413="","",IF($E413="rejected",N($G413),IF(AND(OR($E413="returned_to_brand",$E413="given_to_roster_office",$E413="released_to_office",$E413="disposed"),IF($F413="","reserve",$F413)="rejected"),-N($G413),IF(AND($E413="correction",IF($F413="","reserve",$F413)="rejected"),N($G413),0))))</f>
        <v/>
      </c>
      <c r="O413" s="30" t="str">
        <f aca="false">IF($C413="","",IF($E413="collected",N($G413),IF(AND(OR($E413="returned_to_brand",$E413="given_to_roster_office",$E413="released_to_office",$E413="disposed"),IF($F413="","reserve",$F413)="leftover"),-N($G413),IF(AND($E413="correction",IF($F413="","reserve",$F413)="leftover"),N($G413),0))))</f>
        <v/>
      </c>
      <c r="P413" s="30" t="str">
        <f aca="false">IF(OR($E413&lt;&gt;"received",$I413="",$L413=""),"",IF($I413&gt;=$L413+config!$B$19,"Y","N"))</f>
        <v/>
      </c>
      <c r="Q413" s="30" t="str">
        <f aca="false">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30" t="str">
        <f aca="false">IF($C413="","",$C413&amp;"|"&amp;$D413&amp;"|"&amp;$E413)</f>
        <v/>
      </c>
    </row>
    <row r="414" customFormat="false" ht="15" hidden="false" customHeight="false" outlineLevel="0" collapsed="false">
      <c r="A414" s="11"/>
      <c r="B414" s="38"/>
      <c r="E414" s="10"/>
      <c r="I414" s="11"/>
      <c r="J414" s="10"/>
      <c r="L414" s="31" t="str">
        <f aca="false">IF($C414="","",IFERROR(IF(INDEX(campaigns!$BG$2:$BG$51,MATCH($C414,campaigns!$A$2:$A$51,0))="","",INDEX(campaigns!$BG$2:$BG$51,MATCH($C414,campaigns!$A$2:$A$51,0))),""))</f>
        <v/>
      </c>
      <c r="M414" s="30" t="str">
        <f aca="false">IF($C414="","",IF(OR($E414="received"),N($G414),IF(OR($E414="rejected",$E414="delivered",$E414="topped_up"),-N($G414),IF(AND(OR($E414="returned_to_brand",$E414="given_to_roster_office",$E414="released_to_office",$E414="disposed"),IF($F414="","reserve",$F414)="reserve"),-N($G414),IF(AND($E414="correction",IF($F414="","reserve",$F414)="reserve"),N($G414),0)))))</f>
        <v/>
      </c>
      <c r="N414" s="30" t="str">
        <f aca="false">IF($C414="","",IF($E414="rejected",N($G414),IF(AND(OR($E414="returned_to_brand",$E414="given_to_roster_office",$E414="released_to_office",$E414="disposed"),IF($F414="","reserve",$F414)="rejected"),-N($G414),IF(AND($E414="correction",IF($F414="","reserve",$F414)="rejected"),N($G414),0))))</f>
        <v/>
      </c>
      <c r="O414" s="30" t="str">
        <f aca="false">IF($C414="","",IF($E414="collected",N($G414),IF(AND(OR($E414="returned_to_brand",$E414="given_to_roster_office",$E414="released_to_office",$E414="disposed"),IF($F414="","reserve",$F414)="leftover"),-N($G414),IF(AND($E414="correction",IF($F414="","reserve",$F414)="leftover"),N($G414),0))))</f>
        <v/>
      </c>
      <c r="P414" s="30" t="str">
        <f aca="false">IF(OR($E414&lt;&gt;"received",$I414="",$L414=""),"",IF($I414&gt;=$L414+config!$B$19,"Y","N"))</f>
        <v/>
      </c>
      <c r="Q414" s="30" t="str">
        <f aca="false">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30" t="str">
        <f aca="false">IF($C414="","",$C414&amp;"|"&amp;$D414&amp;"|"&amp;$E414)</f>
        <v/>
      </c>
    </row>
    <row r="415" customFormat="false" ht="15" hidden="false" customHeight="false" outlineLevel="0" collapsed="false">
      <c r="A415" s="11"/>
      <c r="B415" s="38"/>
      <c r="E415" s="10"/>
      <c r="I415" s="11"/>
      <c r="J415" s="10"/>
      <c r="L415" s="31" t="str">
        <f aca="false">IF($C415="","",IFERROR(IF(INDEX(campaigns!$BG$2:$BG$51,MATCH($C415,campaigns!$A$2:$A$51,0))="","",INDEX(campaigns!$BG$2:$BG$51,MATCH($C415,campaigns!$A$2:$A$51,0))),""))</f>
        <v/>
      </c>
      <c r="M415" s="30" t="str">
        <f aca="false">IF($C415="","",IF(OR($E415="received"),N($G415),IF(OR($E415="rejected",$E415="delivered",$E415="topped_up"),-N($G415),IF(AND(OR($E415="returned_to_brand",$E415="given_to_roster_office",$E415="released_to_office",$E415="disposed"),IF($F415="","reserve",$F415)="reserve"),-N($G415),IF(AND($E415="correction",IF($F415="","reserve",$F415)="reserve"),N($G415),0)))))</f>
        <v/>
      </c>
      <c r="N415" s="30" t="str">
        <f aca="false">IF($C415="","",IF($E415="rejected",N($G415),IF(AND(OR($E415="returned_to_brand",$E415="given_to_roster_office",$E415="released_to_office",$E415="disposed"),IF($F415="","reserve",$F415)="rejected"),-N($G415),IF(AND($E415="correction",IF($F415="","reserve",$F415)="rejected"),N($G415),0))))</f>
        <v/>
      </c>
      <c r="O415" s="30" t="str">
        <f aca="false">IF($C415="","",IF($E415="collected",N($G415),IF(AND(OR($E415="returned_to_brand",$E415="given_to_roster_office",$E415="released_to_office",$E415="disposed"),IF($F415="","reserve",$F415)="leftover"),-N($G415),IF(AND($E415="correction",IF($F415="","reserve",$F415)="leftover"),N($G415),0))))</f>
        <v/>
      </c>
      <c r="P415" s="30" t="str">
        <f aca="false">IF(OR($E415&lt;&gt;"received",$I415="",$L415=""),"",IF($I415&gt;=$L415+config!$B$19,"Y","N"))</f>
        <v/>
      </c>
      <c r="Q415" s="30" t="str">
        <f aca="false">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30" t="str">
        <f aca="false">IF($C415="","",$C415&amp;"|"&amp;$D415&amp;"|"&amp;$E415)</f>
        <v/>
      </c>
    </row>
    <row r="416" customFormat="false" ht="15" hidden="false" customHeight="false" outlineLevel="0" collapsed="false">
      <c r="A416" s="11"/>
      <c r="B416" s="38"/>
      <c r="E416" s="10"/>
      <c r="I416" s="11"/>
      <c r="J416" s="10"/>
      <c r="L416" s="31" t="str">
        <f aca="false">IF($C416="","",IFERROR(IF(INDEX(campaigns!$BG$2:$BG$51,MATCH($C416,campaigns!$A$2:$A$51,0))="","",INDEX(campaigns!$BG$2:$BG$51,MATCH($C416,campaigns!$A$2:$A$51,0))),""))</f>
        <v/>
      </c>
      <c r="M416" s="30" t="str">
        <f aca="false">IF($C416="","",IF(OR($E416="received"),N($G416),IF(OR($E416="rejected",$E416="delivered",$E416="topped_up"),-N($G416),IF(AND(OR($E416="returned_to_brand",$E416="given_to_roster_office",$E416="released_to_office",$E416="disposed"),IF($F416="","reserve",$F416)="reserve"),-N($G416),IF(AND($E416="correction",IF($F416="","reserve",$F416)="reserve"),N($G416),0)))))</f>
        <v/>
      </c>
      <c r="N416" s="30" t="str">
        <f aca="false">IF($C416="","",IF($E416="rejected",N($G416),IF(AND(OR($E416="returned_to_brand",$E416="given_to_roster_office",$E416="released_to_office",$E416="disposed"),IF($F416="","reserve",$F416)="rejected"),-N($G416),IF(AND($E416="correction",IF($F416="","reserve",$F416)="rejected"),N($G416),0))))</f>
        <v/>
      </c>
      <c r="O416" s="30" t="str">
        <f aca="false">IF($C416="","",IF($E416="collected",N($G416),IF(AND(OR($E416="returned_to_brand",$E416="given_to_roster_office",$E416="released_to_office",$E416="disposed"),IF($F416="","reserve",$F416)="leftover"),-N($G416),IF(AND($E416="correction",IF($F416="","reserve",$F416)="leftover"),N($G416),0))))</f>
        <v/>
      </c>
      <c r="P416" s="30" t="str">
        <f aca="false">IF(OR($E416&lt;&gt;"received",$I416="",$L416=""),"",IF($I416&gt;=$L416+config!$B$19,"Y","N"))</f>
        <v/>
      </c>
      <c r="Q416" s="30" t="str">
        <f aca="false">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30" t="str">
        <f aca="false">IF($C416="","",$C416&amp;"|"&amp;$D416&amp;"|"&amp;$E416)</f>
        <v/>
      </c>
    </row>
    <row r="417" customFormat="false" ht="15" hidden="false" customHeight="false" outlineLevel="0" collapsed="false">
      <c r="A417" s="11"/>
      <c r="B417" s="38"/>
      <c r="E417" s="10"/>
      <c r="I417" s="11"/>
      <c r="J417" s="10"/>
      <c r="L417" s="31" t="str">
        <f aca="false">IF($C417="","",IFERROR(IF(INDEX(campaigns!$BG$2:$BG$51,MATCH($C417,campaigns!$A$2:$A$51,0))="","",INDEX(campaigns!$BG$2:$BG$51,MATCH($C417,campaigns!$A$2:$A$51,0))),""))</f>
        <v/>
      </c>
      <c r="M417" s="30" t="str">
        <f aca="false">IF($C417="","",IF(OR($E417="received"),N($G417),IF(OR($E417="rejected",$E417="delivered",$E417="topped_up"),-N($G417),IF(AND(OR($E417="returned_to_brand",$E417="given_to_roster_office",$E417="released_to_office",$E417="disposed"),IF($F417="","reserve",$F417)="reserve"),-N($G417),IF(AND($E417="correction",IF($F417="","reserve",$F417)="reserve"),N($G417),0)))))</f>
        <v/>
      </c>
      <c r="N417" s="30" t="str">
        <f aca="false">IF($C417="","",IF($E417="rejected",N($G417),IF(AND(OR($E417="returned_to_brand",$E417="given_to_roster_office",$E417="released_to_office",$E417="disposed"),IF($F417="","reserve",$F417)="rejected"),-N($G417),IF(AND($E417="correction",IF($F417="","reserve",$F417)="rejected"),N($G417),0))))</f>
        <v/>
      </c>
      <c r="O417" s="30" t="str">
        <f aca="false">IF($C417="","",IF($E417="collected",N($G417),IF(AND(OR($E417="returned_to_brand",$E417="given_to_roster_office",$E417="released_to_office",$E417="disposed"),IF($F417="","reserve",$F417)="leftover"),-N($G417),IF(AND($E417="correction",IF($F417="","reserve",$F417)="leftover"),N($G417),0))))</f>
        <v/>
      </c>
      <c r="P417" s="30" t="str">
        <f aca="false">IF(OR($E417&lt;&gt;"received",$I417="",$L417=""),"",IF($I417&gt;=$L417+config!$B$19,"Y","N"))</f>
        <v/>
      </c>
      <c r="Q417" s="30" t="str">
        <f aca="false">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30" t="str">
        <f aca="false">IF($C417="","",$C417&amp;"|"&amp;$D417&amp;"|"&amp;$E417)</f>
        <v/>
      </c>
    </row>
    <row r="418" customFormat="false" ht="15" hidden="false" customHeight="false" outlineLevel="0" collapsed="false">
      <c r="A418" s="11"/>
      <c r="B418" s="38"/>
      <c r="E418" s="10"/>
      <c r="I418" s="11"/>
      <c r="J418" s="10"/>
      <c r="L418" s="31" t="str">
        <f aca="false">IF($C418="","",IFERROR(IF(INDEX(campaigns!$BG$2:$BG$51,MATCH($C418,campaigns!$A$2:$A$51,0))="","",INDEX(campaigns!$BG$2:$BG$51,MATCH($C418,campaigns!$A$2:$A$51,0))),""))</f>
        <v/>
      </c>
      <c r="M418" s="30" t="str">
        <f aca="false">IF($C418="","",IF(OR($E418="received"),N($G418),IF(OR($E418="rejected",$E418="delivered",$E418="topped_up"),-N($G418),IF(AND(OR($E418="returned_to_brand",$E418="given_to_roster_office",$E418="released_to_office",$E418="disposed"),IF($F418="","reserve",$F418)="reserve"),-N($G418),IF(AND($E418="correction",IF($F418="","reserve",$F418)="reserve"),N($G418),0)))))</f>
        <v/>
      </c>
      <c r="N418" s="30" t="str">
        <f aca="false">IF($C418="","",IF($E418="rejected",N($G418),IF(AND(OR($E418="returned_to_brand",$E418="given_to_roster_office",$E418="released_to_office",$E418="disposed"),IF($F418="","reserve",$F418)="rejected"),-N($G418),IF(AND($E418="correction",IF($F418="","reserve",$F418)="rejected"),N($G418),0))))</f>
        <v/>
      </c>
      <c r="O418" s="30" t="str">
        <f aca="false">IF($C418="","",IF($E418="collected",N($G418),IF(AND(OR($E418="returned_to_brand",$E418="given_to_roster_office",$E418="released_to_office",$E418="disposed"),IF($F418="","reserve",$F418)="leftover"),-N($G418),IF(AND($E418="correction",IF($F418="","reserve",$F418)="leftover"),N($G418),0))))</f>
        <v/>
      </c>
      <c r="P418" s="30" t="str">
        <f aca="false">IF(OR($E418&lt;&gt;"received",$I418="",$L418=""),"",IF($I418&gt;=$L418+config!$B$19,"Y","N"))</f>
        <v/>
      </c>
      <c r="Q418" s="30" t="str">
        <f aca="false">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30" t="str">
        <f aca="false">IF($C418="","",$C418&amp;"|"&amp;$D418&amp;"|"&amp;$E418)</f>
        <v/>
      </c>
    </row>
    <row r="419" customFormat="false" ht="15" hidden="false" customHeight="false" outlineLevel="0" collapsed="false">
      <c r="A419" s="11"/>
      <c r="B419" s="38"/>
      <c r="E419" s="10"/>
      <c r="I419" s="11"/>
      <c r="J419" s="10"/>
      <c r="L419" s="31" t="str">
        <f aca="false">IF($C419="","",IFERROR(IF(INDEX(campaigns!$BG$2:$BG$51,MATCH($C419,campaigns!$A$2:$A$51,0))="","",INDEX(campaigns!$BG$2:$BG$51,MATCH($C419,campaigns!$A$2:$A$51,0))),""))</f>
        <v/>
      </c>
      <c r="M419" s="30" t="str">
        <f aca="false">IF($C419="","",IF(OR($E419="received"),N($G419),IF(OR($E419="rejected",$E419="delivered",$E419="topped_up"),-N($G419),IF(AND(OR($E419="returned_to_brand",$E419="given_to_roster_office",$E419="released_to_office",$E419="disposed"),IF($F419="","reserve",$F419)="reserve"),-N($G419),IF(AND($E419="correction",IF($F419="","reserve",$F419)="reserve"),N($G419),0)))))</f>
        <v/>
      </c>
      <c r="N419" s="30" t="str">
        <f aca="false">IF($C419="","",IF($E419="rejected",N($G419),IF(AND(OR($E419="returned_to_brand",$E419="given_to_roster_office",$E419="released_to_office",$E419="disposed"),IF($F419="","reserve",$F419)="rejected"),-N($G419),IF(AND($E419="correction",IF($F419="","reserve",$F419)="rejected"),N($G419),0))))</f>
        <v/>
      </c>
      <c r="O419" s="30" t="str">
        <f aca="false">IF($C419="","",IF($E419="collected",N($G419),IF(AND(OR($E419="returned_to_brand",$E419="given_to_roster_office",$E419="released_to_office",$E419="disposed"),IF($F419="","reserve",$F419)="leftover"),-N($G419),IF(AND($E419="correction",IF($F419="","reserve",$F419)="leftover"),N($G419),0))))</f>
        <v/>
      </c>
      <c r="P419" s="30" t="str">
        <f aca="false">IF(OR($E419&lt;&gt;"received",$I419="",$L419=""),"",IF($I419&gt;=$L419+config!$B$19,"Y","N"))</f>
        <v/>
      </c>
      <c r="Q419" s="30" t="str">
        <f aca="false">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30" t="str">
        <f aca="false">IF($C419="","",$C419&amp;"|"&amp;$D419&amp;"|"&amp;$E419)</f>
        <v/>
      </c>
    </row>
    <row r="420" customFormat="false" ht="15" hidden="false" customHeight="false" outlineLevel="0" collapsed="false">
      <c r="A420" s="11"/>
      <c r="B420" s="38"/>
      <c r="E420" s="10"/>
      <c r="I420" s="11"/>
      <c r="J420" s="10"/>
      <c r="L420" s="31" t="str">
        <f aca="false">IF($C420="","",IFERROR(IF(INDEX(campaigns!$BG$2:$BG$51,MATCH($C420,campaigns!$A$2:$A$51,0))="","",INDEX(campaigns!$BG$2:$BG$51,MATCH($C420,campaigns!$A$2:$A$51,0))),""))</f>
        <v/>
      </c>
      <c r="M420" s="30" t="str">
        <f aca="false">IF($C420="","",IF(OR($E420="received"),N($G420),IF(OR($E420="rejected",$E420="delivered",$E420="topped_up"),-N($G420),IF(AND(OR($E420="returned_to_brand",$E420="given_to_roster_office",$E420="released_to_office",$E420="disposed"),IF($F420="","reserve",$F420)="reserve"),-N($G420),IF(AND($E420="correction",IF($F420="","reserve",$F420)="reserve"),N($G420),0)))))</f>
        <v/>
      </c>
      <c r="N420" s="30" t="str">
        <f aca="false">IF($C420="","",IF($E420="rejected",N($G420),IF(AND(OR($E420="returned_to_brand",$E420="given_to_roster_office",$E420="released_to_office",$E420="disposed"),IF($F420="","reserve",$F420)="rejected"),-N($G420),IF(AND($E420="correction",IF($F420="","reserve",$F420)="rejected"),N($G420),0))))</f>
        <v/>
      </c>
      <c r="O420" s="30" t="str">
        <f aca="false">IF($C420="","",IF($E420="collected",N($G420),IF(AND(OR($E420="returned_to_brand",$E420="given_to_roster_office",$E420="released_to_office",$E420="disposed"),IF($F420="","reserve",$F420)="leftover"),-N($G420),IF(AND($E420="correction",IF($F420="","reserve",$F420)="leftover"),N($G420),0))))</f>
        <v/>
      </c>
      <c r="P420" s="30" t="str">
        <f aca="false">IF(OR($E420&lt;&gt;"received",$I420="",$L420=""),"",IF($I420&gt;=$L420+config!$B$19,"Y","N"))</f>
        <v/>
      </c>
      <c r="Q420" s="30" t="str">
        <f aca="false">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30" t="str">
        <f aca="false">IF($C420="","",$C420&amp;"|"&amp;$D420&amp;"|"&amp;$E420)</f>
        <v/>
      </c>
    </row>
    <row r="421" customFormat="false" ht="15" hidden="false" customHeight="false" outlineLevel="0" collapsed="false">
      <c r="A421" s="11"/>
      <c r="B421" s="38"/>
      <c r="E421" s="10"/>
      <c r="I421" s="11"/>
      <c r="J421" s="10"/>
      <c r="L421" s="31" t="str">
        <f aca="false">IF($C421="","",IFERROR(IF(INDEX(campaigns!$BG$2:$BG$51,MATCH($C421,campaigns!$A$2:$A$51,0))="","",INDEX(campaigns!$BG$2:$BG$51,MATCH($C421,campaigns!$A$2:$A$51,0))),""))</f>
        <v/>
      </c>
      <c r="M421" s="30" t="str">
        <f aca="false">IF($C421="","",IF(OR($E421="received"),N($G421),IF(OR($E421="rejected",$E421="delivered",$E421="topped_up"),-N($G421),IF(AND(OR($E421="returned_to_brand",$E421="given_to_roster_office",$E421="released_to_office",$E421="disposed"),IF($F421="","reserve",$F421)="reserve"),-N($G421),IF(AND($E421="correction",IF($F421="","reserve",$F421)="reserve"),N($G421),0)))))</f>
        <v/>
      </c>
      <c r="N421" s="30" t="str">
        <f aca="false">IF($C421="","",IF($E421="rejected",N($G421),IF(AND(OR($E421="returned_to_brand",$E421="given_to_roster_office",$E421="released_to_office",$E421="disposed"),IF($F421="","reserve",$F421)="rejected"),-N($G421),IF(AND($E421="correction",IF($F421="","reserve",$F421)="rejected"),N($G421),0))))</f>
        <v/>
      </c>
      <c r="O421" s="30" t="str">
        <f aca="false">IF($C421="","",IF($E421="collected",N($G421),IF(AND(OR($E421="returned_to_brand",$E421="given_to_roster_office",$E421="released_to_office",$E421="disposed"),IF($F421="","reserve",$F421)="leftover"),-N($G421),IF(AND($E421="correction",IF($F421="","reserve",$F421)="leftover"),N($G421),0))))</f>
        <v/>
      </c>
      <c r="P421" s="30" t="str">
        <f aca="false">IF(OR($E421&lt;&gt;"received",$I421="",$L421=""),"",IF($I421&gt;=$L421+config!$B$19,"Y","N"))</f>
        <v/>
      </c>
      <c r="Q421" s="30" t="str">
        <f aca="false">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30" t="str">
        <f aca="false">IF($C421="","",$C421&amp;"|"&amp;$D421&amp;"|"&amp;$E421)</f>
        <v/>
      </c>
    </row>
    <row r="422" customFormat="false" ht="15" hidden="false" customHeight="false" outlineLevel="0" collapsed="false">
      <c r="A422" s="11"/>
      <c r="B422" s="38"/>
      <c r="E422" s="10"/>
      <c r="I422" s="11"/>
      <c r="J422" s="10"/>
      <c r="L422" s="31" t="str">
        <f aca="false">IF($C422="","",IFERROR(IF(INDEX(campaigns!$BG$2:$BG$51,MATCH($C422,campaigns!$A$2:$A$51,0))="","",INDEX(campaigns!$BG$2:$BG$51,MATCH($C422,campaigns!$A$2:$A$51,0))),""))</f>
        <v/>
      </c>
      <c r="M422" s="30" t="str">
        <f aca="false">IF($C422="","",IF(OR($E422="received"),N($G422),IF(OR($E422="rejected",$E422="delivered",$E422="topped_up"),-N($G422),IF(AND(OR($E422="returned_to_brand",$E422="given_to_roster_office",$E422="released_to_office",$E422="disposed"),IF($F422="","reserve",$F422)="reserve"),-N($G422),IF(AND($E422="correction",IF($F422="","reserve",$F422)="reserve"),N($G422),0)))))</f>
        <v/>
      </c>
      <c r="N422" s="30" t="str">
        <f aca="false">IF($C422="","",IF($E422="rejected",N($G422),IF(AND(OR($E422="returned_to_brand",$E422="given_to_roster_office",$E422="released_to_office",$E422="disposed"),IF($F422="","reserve",$F422)="rejected"),-N($G422),IF(AND($E422="correction",IF($F422="","reserve",$F422)="rejected"),N($G422),0))))</f>
        <v/>
      </c>
      <c r="O422" s="30" t="str">
        <f aca="false">IF($C422="","",IF($E422="collected",N($G422),IF(AND(OR($E422="returned_to_brand",$E422="given_to_roster_office",$E422="released_to_office",$E422="disposed"),IF($F422="","reserve",$F422)="leftover"),-N($G422),IF(AND($E422="correction",IF($F422="","reserve",$F422)="leftover"),N($G422),0))))</f>
        <v/>
      </c>
      <c r="P422" s="30" t="str">
        <f aca="false">IF(OR($E422&lt;&gt;"received",$I422="",$L422=""),"",IF($I422&gt;=$L422+config!$B$19,"Y","N"))</f>
        <v/>
      </c>
      <c r="Q422" s="30" t="str">
        <f aca="false">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30" t="str">
        <f aca="false">IF($C422="","",$C422&amp;"|"&amp;$D422&amp;"|"&amp;$E422)</f>
        <v/>
      </c>
    </row>
    <row r="423" customFormat="false" ht="15" hidden="false" customHeight="false" outlineLevel="0" collapsed="false">
      <c r="A423" s="11"/>
      <c r="B423" s="38"/>
      <c r="E423" s="10"/>
      <c r="I423" s="11"/>
      <c r="J423" s="10"/>
      <c r="L423" s="31" t="str">
        <f aca="false">IF($C423="","",IFERROR(IF(INDEX(campaigns!$BG$2:$BG$51,MATCH($C423,campaigns!$A$2:$A$51,0))="","",INDEX(campaigns!$BG$2:$BG$51,MATCH($C423,campaigns!$A$2:$A$51,0))),""))</f>
        <v/>
      </c>
      <c r="M423" s="30" t="str">
        <f aca="false">IF($C423="","",IF(OR($E423="received"),N($G423),IF(OR($E423="rejected",$E423="delivered",$E423="topped_up"),-N($G423),IF(AND(OR($E423="returned_to_brand",$E423="given_to_roster_office",$E423="released_to_office",$E423="disposed"),IF($F423="","reserve",$F423)="reserve"),-N($G423),IF(AND($E423="correction",IF($F423="","reserve",$F423)="reserve"),N($G423),0)))))</f>
        <v/>
      </c>
      <c r="N423" s="30" t="str">
        <f aca="false">IF($C423="","",IF($E423="rejected",N($G423),IF(AND(OR($E423="returned_to_brand",$E423="given_to_roster_office",$E423="released_to_office",$E423="disposed"),IF($F423="","reserve",$F423)="rejected"),-N($G423),IF(AND($E423="correction",IF($F423="","reserve",$F423)="rejected"),N($G423),0))))</f>
        <v/>
      </c>
      <c r="O423" s="30" t="str">
        <f aca="false">IF($C423="","",IF($E423="collected",N($G423),IF(AND(OR($E423="returned_to_brand",$E423="given_to_roster_office",$E423="released_to_office",$E423="disposed"),IF($F423="","reserve",$F423)="leftover"),-N($G423),IF(AND($E423="correction",IF($F423="","reserve",$F423)="leftover"),N($G423),0))))</f>
        <v/>
      </c>
      <c r="P423" s="30" t="str">
        <f aca="false">IF(OR($E423&lt;&gt;"received",$I423="",$L423=""),"",IF($I423&gt;=$L423+config!$B$19,"Y","N"))</f>
        <v/>
      </c>
      <c r="Q423" s="30" t="str">
        <f aca="false">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30" t="str">
        <f aca="false">IF($C423="","",$C423&amp;"|"&amp;$D423&amp;"|"&amp;$E423)</f>
        <v/>
      </c>
    </row>
    <row r="424" customFormat="false" ht="15" hidden="false" customHeight="false" outlineLevel="0" collapsed="false">
      <c r="A424" s="11"/>
      <c r="B424" s="38"/>
      <c r="E424" s="10"/>
      <c r="I424" s="11"/>
      <c r="J424" s="10"/>
      <c r="L424" s="31" t="str">
        <f aca="false">IF($C424="","",IFERROR(IF(INDEX(campaigns!$BG$2:$BG$51,MATCH($C424,campaigns!$A$2:$A$51,0))="","",INDEX(campaigns!$BG$2:$BG$51,MATCH($C424,campaigns!$A$2:$A$51,0))),""))</f>
        <v/>
      </c>
      <c r="M424" s="30" t="str">
        <f aca="false">IF($C424="","",IF(OR($E424="received"),N($G424),IF(OR($E424="rejected",$E424="delivered",$E424="topped_up"),-N($G424),IF(AND(OR($E424="returned_to_brand",$E424="given_to_roster_office",$E424="released_to_office",$E424="disposed"),IF($F424="","reserve",$F424)="reserve"),-N($G424),IF(AND($E424="correction",IF($F424="","reserve",$F424)="reserve"),N($G424),0)))))</f>
        <v/>
      </c>
      <c r="N424" s="30" t="str">
        <f aca="false">IF($C424="","",IF($E424="rejected",N($G424),IF(AND(OR($E424="returned_to_brand",$E424="given_to_roster_office",$E424="released_to_office",$E424="disposed"),IF($F424="","reserve",$F424)="rejected"),-N($G424),IF(AND($E424="correction",IF($F424="","reserve",$F424)="rejected"),N($G424),0))))</f>
        <v/>
      </c>
      <c r="O424" s="30" t="str">
        <f aca="false">IF($C424="","",IF($E424="collected",N($G424),IF(AND(OR($E424="returned_to_brand",$E424="given_to_roster_office",$E424="released_to_office",$E424="disposed"),IF($F424="","reserve",$F424)="leftover"),-N($G424),IF(AND($E424="correction",IF($F424="","reserve",$F424)="leftover"),N($G424),0))))</f>
        <v/>
      </c>
      <c r="P424" s="30" t="str">
        <f aca="false">IF(OR($E424&lt;&gt;"received",$I424="",$L424=""),"",IF($I424&gt;=$L424+config!$B$19,"Y","N"))</f>
        <v/>
      </c>
      <c r="Q424" s="30" t="str">
        <f aca="false">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30" t="str">
        <f aca="false">IF($C424="","",$C424&amp;"|"&amp;$D424&amp;"|"&amp;$E424)</f>
        <v/>
      </c>
    </row>
    <row r="425" customFormat="false" ht="15" hidden="false" customHeight="false" outlineLevel="0" collapsed="false">
      <c r="A425" s="11"/>
      <c r="B425" s="38"/>
      <c r="E425" s="10"/>
      <c r="I425" s="11"/>
      <c r="J425" s="10"/>
      <c r="L425" s="31" t="str">
        <f aca="false">IF($C425="","",IFERROR(IF(INDEX(campaigns!$BG$2:$BG$51,MATCH($C425,campaigns!$A$2:$A$51,0))="","",INDEX(campaigns!$BG$2:$BG$51,MATCH($C425,campaigns!$A$2:$A$51,0))),""))</f>
        <v/>
      </c>
      <c r="M425" s="30" t="str">
        <f aca="false">IF($C425="","",IF(OR($E425="received"),N($G425),IF(OR($E425="rejected",$E425="delivered",$E425="topped_up"),-N($G425),IF(AND(OR($E425="returned_to_brand",$E425="given_to_roster_office",$E425="released_to_office",$E425="disposed"),IF($F425="","reserve",$F425)="reserve"),-N($G425),IF(AND($E425="correction",IF($F425="","reserve",$F425)="reserve"),N($G425),0)))))</f>
        <v/>
      </c>
      <c r="N425" s="30" t="str">
        <f aca="false">IF($C425="","",IF($E425="rejected",N($G425),IF(AND(OR($E425="returned_to_brand",$E425="given_to_roster_office",$E425="released_to_office",$E425="disposed"),IF($F425="","reserve",$F425)="rejected"),-N($G425),IF(AND($E425="correction",IF($F425="","reserve",$F425)="rejected"),N($G425),0))))</f>
        <v/>
      </c>
      <c r="O425" s="30" t="str">
        <f aca="false">IF($C425="","",IF($E425="collected",N($G425),IF(AND(OR($E425="returned_to_brand",$E425="given_to_roster_office",$E425="released_to_office",$E425="disposed"),IF($F425="","reserve",$F425)="leftover"),-N($G425),IF(AND($E425="correction",IF($F425="","reserve",$F425)="leftover"),N($G425),0))))</f>
        <v/>
      </c>
      <c r="P425" s="30" t="str">
        <f aca="false">IF(OR($E425&lt;&gt;"received",$I425="",$L425=""),"",IF($I425&gt;=$L425+config!$B$19,"Y","N"))</f>
        <v/>
      </c>
      <c r="Q425" s="30" t="str">
        <f aca="false">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30" t="str">
        <f aca="false">IF($C425="","",$C425&amp;"|"&amp;$D425&amp;"|"&amp;$E425)</f>
        <v/>
      </c>
    </row>
    <row r="426" customFormat="false" ht="15" hidden="false" customHeight="false" outlineLevel="0" collapsed="false">
      <c r="A426" s="11"/>
      <c r="B426" s="38"/>
      <c r="E426" s="10"/>
      <c r="I426" s="11"/>
      <c r="J426" s="10"/>
      <c r="L426" s="31" t="str">
        <f aca="false">IF($C426="","",IFERROR(IF(INDEX(campaigns!$BG$2:$BG$51,MATCH($C426,campaigns!$A$2:$A$51,0))="","",INDEX(campaigns!$BG$2:$BG$51,MATCH($C426,campaigns!$A$2:$A$51,0))),""))</f>
        <v/>
      </c>
      <c r="M426" s="30" t="str">
        <f aca="false">IF($C426="","",IF(OR($E426="received"),N($G426),IF(OR($E426="rejected",$E426="delivered",$E426="topped_up"),-N($G426),IF(AND(OR($E426="returned_to_brand",$E426="given_to_roster_office",$E426="released_to_office",$E426="disposed"),IF($F426="","reserve",$F426)="reserve"),-N($G426),IF(AND($E426="correction",IF($F426="","reserve",$F426)="reserve"),N($G426),0)))))</f>
        <v/>
      </c>
      <c r="N426" s="30" t="str">
        <f aca="false">IF($C426="","",IF($E426="rejected",N($G426),IF(AND(OR($E426="returned_to_brand",$E426="given_to_roster_office",$E426="released_to_office",$E426="disposed"),IF($F426="","reserve",$F426)="rejected"),-N($G426),IF(AND($E426="correction",IF($F426="","reserve",$F426)="rejected"),N($G426),0))))</f>
        <v/>
      </c>
      <c r="O426" s="30" t="str">
        <f aca="false">IF($C426="","",IF($E426="collected",N($G426),IF(AND(OR($E426="returned_to_brand",$E426="given_to_roster_office",$E426="released_to_office",$E426="disposed"),IF($F426="","reserve",$F426)="leftover"),-N($G426),IF(AND($E426="correction",IF($F426="","reserve",$F426)="leftover"),N($G426),0))))</f>
        <v/>
      </c>
      <c r="P426" s="30" t="str">
        <f aca="false">IF(OR($E426&lt;&gt;"received",$I426="",$L426=""),"",IF($I426&gt;=$L426+config!$B$19,"Y","N"))</f>
        <v/>
      </c>
      <c r="Q426" s="30" t="str">
        <f aca="false">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30" t="str">
        <f aca="false">IF($C426="","",$C426&amp;"|"&amp;$D426&amp;"|"&amp;$E426)</f>
        <v/>
      </c>
    </row>
    <row r="427" customFormat="false" ht="15" hidden="false" customHeight="false" outlineLevel="0" collapsed="false">
      <c r="A427" s="11"/>
      <c r="B427" s="38"/>
      <c r="E427" s="10"/>
      <c r="I427" s="11"/>
      <c r="J427" s="10"/>
      <c r="L427" s="31" t="str">
        <f aca="false">IF($C427="","",IFERROR(IF(INDEX(campaigns!$BG$2:$BG$51,MATCH($C427,campaigns!$A$2:$A$51,0))="","",INDEX(campaigns!$BG$2:$BG$51,MATCH($C427,campaigns!$A$2:$A$51,0))),""))</f>
        <v/>
      </c>
      <c r="M427" s="30" t="str">
        <f aca="false">IF($C427="","",IF(OR($E427="received"),N($G427),IF(OR($E427="rejected",$E427="delivered",$E427="topped_up"),-N($G427),IF(AND(OR($E427="returned_to_brand",$E427="given_to_roster_office",$E427="released_to_office",$E427="disposed"),IF($F427="","reserve",$F427)="reserve"),-N($G427),IF(AND($E427="correction",IF($F427="","reserve",$F427)="reserve"),N($G427),0)))))</f>
        <v/>
      </c>
      <c r="N427" s="30" t="str">
        <f aca="false">IF($C427="","",IF($E427="rejected",N($G427),IF(AND(OR($E427="returned_to_brand",$E427="given_to_roster_office",$E427="released_to_office",$E427="disposed"),IF($F427="","reserve",$F427)="rejected"),-N($G427),IF(AND($E427="correction",IF($F427="","reserve",$F427)="rejected"),N($G427),0))))</f>
        <v/>
      </c>
      <c r="O427" s="30" t="str">
        <f aca="false">IF($C427="","",IF($E427="collected",N($G427),IF(AND(OR($E427="returned_to_brand",$E427="given_to_roster_office",$E427="released_to_office",$E427="disposed"),IF($F427="","reserve",$F427)="leftover"),-N($G427),IF(AND($E427="correction",IF($F427="","reserve",$F427)="leftover"),N($G427),0))))</f>
        <v/>
      </c>
      <c r="P427" s="30" t="str">
        <f aca="false">IF(OR($E427&lt;&gt;"received",$I427="",$L427=""),"",IF($I427&gt;=$L427+config!$B$19,"Y","N"))</f>
        <v/>
      </c>
      <c r="Q427" s="30" t="str">
        <f aca="false">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30" t="str">
        <f aca="false">IF($C427="","",$C427&amp;"|"&amp;$D427&amp;"|"&amp;$E427)</f>
        <v/>
      </c>
    </row>
    <row r="428" customFormat="false" ht="15" hidden="false" customHeight="false" outlineLevel="0" collapsed="false">
      <c r="A428" s="11"/>
      <c r="B428" s="38"/>
      <c r="E428" s="10"/>
      <c r="I428" s="11"/>
      <c r="J428" s="10"/>
      <c r="L428" s="31" t="str">
        <f aca="false">IF($C428="","",IFERROR(IF(INDEX(campaigns!$BG$2:$BG$51,MATCH($C428,campaigns!$A$2:$A$51,0))="","",INDEX(campaigns!$BG$2:$BG$51,MATCH($C428,campaigns!$A$2:$A$51,0))),""))</f>
        <v/>
      </c>
      <c r="M428" s="30" t="str">
        <f aca="false">IF($C428="","",IF(OR($E428="received"),N($G428),IF(OR($E428="rejected",$E428="delivered",$E428="topped_up"),-N($G428),IF(AND(OR($E428="returned_to_brand",$E428="given_to_roster_office",$E428="released_to_office",$E428="disposed"),IF($F428="","reserve",$F428)="reserve"),-N($G428),IF(AND($E428="correction",IF($F428="","reserve",$F428)="reserve"),N($G428),0)))))</f>
        <v/>
      </c>
      <c r="N428" s="30" t="str">
        <f aca="false">IF($C428="","",IF($E428="rejected",N($G428),IF(AND(OR($E428="returned_to_brand",$E428="given_to_roster_office",$E428="released_to_office",$E428="disposed"),IF($F428="","reserve",$F428)="rejected"),-N($G428),IF(AND($E428="correction",IF($F428="","reserve",$F428)="rejected"),N($G428),0))))</f>
        <v/>
      </c>
      <c r="O428" s="30" t="str">
        <f aca="false">IF($C428="","",IF($E428="collected",N($G428),IF(AND(OR($E428="returned_to_brand",$E428="given_to_roster_office",$E428="released_to_office",$E428="disposed"),IF($F428="","reserve",$F428)="leftover"),-N($G428),IF(AND($E428="correction",IF($F428="","reserve",$F428)="leftover"),N($G428),0))))</f>
        <v/>
      </c>
      <c r="P428" s="30" t="str">
        <f aca="false">IF(OR($E428&lt;&gt;"received",$I428="",$L428=""),"",IF($I428&gt;=$L428+config!$B$19,"Y","N"))</f>
        <v/>
      </c>
      <c r="Q428" s="30" t="str">
        <f aca="false">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30" t="str">
        <f aca="false">IF($C428="","",$C428&amp;"|"&amp;$D428&amp;"|"&amp;$E428)</f>
        <v/>
      </c>
    </row>
    <row r="429" customFormat="false" ht="15" hidden="false" customHeight="false" outlineLevel="0" collapsed="false">
      <c r="A429" s="11"/>
      <c r="B429" s="38"/>
      <c r="E429" s="10"/>
      <c r="I429" s="11"/>
      <c r="J429" s="10"/>
      <c r="L429" s="31" t="str">
        <f aca="false">IF($C429="","",IFERROR(IF(INDEX(campaigns!$BG$2:$BG$51,MATCH($C429,campaigns!$A$2:$A$51,0))="","",INDEX(campaigns!$BG$2:$BG$51,MATCH($C429,campaigns!$A$2:$A$51,0))),""))</f>
        <v/>
      </c>
      <c r="M429" s="30" t="str">
        <f aca="false">IF($C429="","",IF(OR($E429="received"),N($G429),IF(OR($E429="rejected",$E429="delivered",$E429="topped_up"),-N($G429),IF(AND(OR($E429="returned_to_brand",$E429="given_to_roster_office",$E429="released_to_office",$E429="disposed"),IF($F429="","reserve",$F429)="reserve"),-N($G429),IF(AND($E429="correction",IF($F429="","reserve",$F429)="reserve"),N($G429),0)))))</f>
        <v/>
      </c>
      <c r="N429" s="30" t="str">
        <f aca="false">IF($C429="","",IF($E429="rejected",N($G429),IF(AND(OR($E429="returned_to_brand",$E429="given_to_roster_office",$E429="released_to_office",$E429="disposed"),IF($F429="","reserve",$F429)="rejected"),-N($G429),IF(AND($E429="correction",IF($F429="","reserve",$F429)="rejected"),N($G429),0))))</f>
        <v/>
      </c>
      <c r="O429" s="30" t="str">
        <f aca="false">IF($C429="","",IF($E429="collected",N($G429),IF(AND(OR($E429="returned_to_brand",$E429="given_to_roster_office",$E429="released_to_office",$E429="disposed"),IF($F429="","reserve",$F429)="leftover"),-N($G429),IF(AND($E429="correction",IF($F429="","reserve",$F429)="leftover"),N($G429),0))))</f>
        <v/>
      </c>
      <c r="P429" s="30" t="str">
        <f aca="false">IF(OR($E429&lt;&gt;"received",$I429="",$L429=""),"",IF($I429&gt;=$L429+config!$B$19,"Y","N"))</f>
        <v/>
      </c>
      <c r="Q429" s="30" t="str">
        <f aca="false">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30" t="str">
        <f aca="false">IF($C429="","",$C429&amp;"|"&amp;$D429&amp;"|"&amp;$E429)</f>
        <v/>
      </c>
    </row>
    <row r="430" customFormat="false" ht="15" hidden="false" customHeight="false" outlineLevel="0" collapsed="false">
      <c r="A430" s="11"/>
      <c r="B430" s="38"/>
      <c r="E430" s="10"/>
      <c r="I430" s="11"/>
      <c r="J430" s="10"/>
      <c r="L430" s="31" t="str">
        <f aca="false">IF($C430="","",IFERROR(IF(INDEX(campaigns!$BG$2:$BG$51,MATCH($C430,campaigns!$A$2:$A$51,0))="","",INDEX(campaigns!$BG$2:$BG$51,MATCH($C430,campaigns!$A$2:$A$51,0))),""))</f>
        <v/>
      </c>
      <c r="M430" s="30" t="str">
        <f aca="false">IF($C430="","",IF(OR($E430="received"),N($G430),IF(OR($E430="rejected",$E430="delivered",$E430="topped_up"),-N($G430),IF(AND(OR($E430="returned_to_brand",$E430="given_to_roster_office",$E430="released_to_office",$E430="disposed"),IF($F430="","reserve",$F430)="reserve"),-N($G430),IF(AND($E430="correction",IF($F430="","reserve",$F430)="reserve"),N($G430),0)))))</f>
        <v/>
      </c>
      <c r="N430" s="30" t="str">
        <f aca="false">IF($C430="","",IF($E430="rejected",N($G430),IF(AND(OR($E430="returned_to_brand",$E430="given_to_roster_office",$E430="released_to_office",$E430="disposed"),IF($F430="","reserve",$F430)="rejected"),-N($G430),IF(AND($E430="correction",IF($F430="","reserve",$F430)="rejected"),N($G430),0))))</f>
        <v/>
      </c>
      <c r="O430" s="30" t="str">
        <f aca="false">IF($C430="","",IF($E430="collected",N($G430),IF(AND(OR($E430="returned_to_brand",$E430="given_to_roster_office",$E430="released_to_office",$E430="disposed"),IF($F430="","reserve",$F430)="leftover"),-N($G430),IF(AND($E430="correction",IF($F430="","reserve",$F430)="leftover"),N($G430),0))))</f>
        <v/>
      </c>
      <c r="P430" s="30" t="str">
        <f aca="false">IF(OR($E430&lt;&gt;"received",$I430="",$L430=""),"",IF($I430&gt;=$L430+config!$B$19,"Y","N"))</f>
        <v/>
      </c>
      <c r="Q430" s="30" t="str">
        <f aca="false">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30" t="str">
        <f aca="false">IF($C430="","",$C430&amp;"|"&amp;$D430&amp;"|"&amp;$E430)</f>
        <v/>
      </c>
    </row>
    <row r="431" customFormat="false" ht="15" hidden="false" customHeight="false" outlineLevel="0" collapsed="false">
      <c r="A431" s="11"/>
      <c r="B431" s="38"/>
      <c r="E431" s="10"/>
      <c r="I431" s="11"/>
      <c r="J431" s="10"/>
      <c r="L431" s="31" t="str">
        <f aca="false">IF($C431="","",IFERROR(IF(INDEX(campaigns!$BG$2:$BG$51,MATCH($C431,campaigns!$A$2:$A$51,0))="","",INDEX(campaigns!$BG$2:$BG$51,MATCH($C431,campaigns!$A$2:$A$51,0))),""))</f>
        <v/>
      </c>
      <c r="M431" s="30" t="str">
        <f aca="false">IF($C431="","",IF(OR($E431="received"),N($G431),IF(OR($E431="rejected",$E431="delivered",$E431="topped_up"),-N($G431),IF(AND(OR($E431="returned_to_brand",$E431="given_to_roster_office",$E431="released_to_office",$E431="disposed"),IF($F431="","reserve",$F431)="reserve"),-N($G431),IF(AND($E431="correction",IF($F431="","reserve",$F431)="reserve"),N($G431),0)))))</f>
        <v/>
      </c>
      <c r="N431" s="30" t="str">
        <f aca="false">IF($C431="","",IF($E431="rejected",N($G431),IF(AND(OR($E431="returned_to_brand",$E431="given_to_roster_office",$E431="released_to_office",$E431="disposed"),IF($F431="","reserve",$F431)="rejected"),-N($G431),IF(AND($E431="correction",IF($F431="","reserve",$F431)="rejected"),N($G431),0))))</f>
        <v/>
      </c>
      <c r="O431" s="30" t="str">
        <f aca="false">IF($C431="","",IF($E431="collected",N($G431),IF(AND(OR($E431="returned_to_brand",$E431="given_to_roster_office",$E431="released_to_office",$E431="disposed"),IF($F431="","reserve",$F431)="leftover"),-N($G431),IF(AND($E431="correction",IF($F431="","reserve",$F431)="leftover"),N($G431),0))))</f>
        <v/>
      </c>
      <c r="P431" s="30" t="str">
        <f aca="false">IF(OR($E431&lt;&gt;"received",$I431="",$L431=""),"",IF($I431&gt;=$L431+config!$B$19,"Y","N"))</f>
        <v/>
      </c>
      <c r="Q431" s="30" t="str">
        <f aca="false">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30" t="str">
        <f aca="false">IF($C431="","",$C431&amp;"|"&amp;$D431&amp;"|"&amp;$E431)</f>
        <v/>
      </c>
    </row>
    <row r="432" customFormat="false" ht="15" hidden="false" customHeight="false" outlineLevel="0" collapsed="false">
      <c r="A432" s="11"/>
      <c r="B432" s="38"/>
      <c r="E432" s="10"/>
      <c r="I432" s="11"/>
      <c r="J432" s="10"/>
      <c r="L432" s="31" t="str">
        <f aca="false">IF($C432="","",IFERROR(IF(INDEX(campaigns!$BG$2:$BG$51,MATCH($C432,campaigns!$A$2:$A$51,0))="","",INDEX(campaigns!$BG$2:$BG$51,MATCH($C432,campaigns!$A$2:$A$51,0))),""))</f>
        <v/>
      </c>
      <c r="M432" s="30" t="str">
        <f aca="false">IF($C432="","",IF(OR($E432="received"),N($G432),IF(OR($E432="rejected",$E432="delivered",$E432="topped_up"),-N($G432),IF(AND(OR($E432="returned_to_brand",$E432="given_to_roster_office",$E432="released_to_office",$E432="disposed"),IF($F432="","reserve",$F432)="reserve"),-N($G432),IF(AND($E432="correction",IF($F432="","reserve",$F432)="reserve"),N($G432),0)))))</f>
        <v/>
      </c>
      <c r="N432" s="30" t="str">
        <f aca="false">IF($C432="","",IF($E432="rejected",N($G432),IF(AND(OR($E432="returned_to_brand",$E432="given_to_roster_office",$E432="released_to_office",$E432="disposed"),IF($F432="","reserve",$F432)="rejected"),-N($G432),IF(AND($E432="correction",IF($F432="","reserve",$F432)="rejected"),N($G432),0))))</f>
        <v/>
      </c>
      <c r="O432" s="30" t="str">
        <f aca="false">IF($C432="","",IF($E432="collected",N($G432),IF(AND(OR($E432="returned_to_brand",$E432="given_to_roster_office",$E432="released_to_office",$E432="disposed"),IF($F432="","reserve",$F432)="leftover"),-N($G432),IF(AND($E432="correction",IF($F432="","reserve",$F432)="leftover"),N($G432),0))))</f>
        <v/>
      </c>
      <c r="P432" s="30" t="str">
        <f aca="false">IF(OR($E432&lt;&gt;"received",$I432="",$L432=""),"",IF($I432&gt;=$L432+config!$B$19,"Y","N"))</f>
        <v/>
      </c>
      <c r="Q432" s="30" t="str">
        <f aca="false">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30" t="str">
        <f aca="false">IF($C432="","",$C432&amp;"|"&amp;$D432&amp;"|"&amp;$E432)</f>
        <v/>
      </c>
    </row>
    <row r="433" customFormat="false" ht="15" hidden="false" customHeight="false" outlineLevel="0" collapsed="false">
      <c r="A433" s="11"/>
      <c r="B433" s="38"/>
      <c r="E433" s="10"/>
      <c r="I433" s="11"/>
      <c r="J433" s="10"/>
      <c r="L433" s="31" t="str">
        <f aca="false">IF($C433="","",IFERROR(IF(INDEX(campaigns!$BG$2:$BG$51,MATCH($C433,campaigns!$A$2:$A$51,0))="","",INDEX(campaigns!$BG$2:$BG$51,MATCH($C433,campaigns!$A$2:$A$51,0))),""))</f>
        <v/>
      </c>
      <c r="M433" s="30" t="str">
        <f aca="false">IF($C433="","",IF(OR($E433="received"),N($G433),IF(OR($E433="rejected",$E433="delivered",$E433="topped_up"),-N($G433),IF(AND(OR($E433="returned_to_brand",$E433="given_to_roster_office",$E433="released_to_office",$E433="disposed"),IF($F433="","reserve",$F433)="reserve"),-N($G433),IF(AND($E433="correction",IF($F433="","reserve",$F433)="reserve"),N($G433),0)))))</f>
        <v/>
      </c>
      <c r="N433" s="30" t="str">
        <f aca="false">IF($C433="","",IF($E433="rejected",N($G433),IF(AND(OR($E433="returned_to_brand",$E433="given_to_roster_office",$E433="released_to_office",$E433="disposed"),IF($F433="","reserve",$F433)="rejected"),-N($G433),IF(AND($E433="correction",IF($F433="","reserve",$F433)="rejected"),N($G433),0))))</f>
        <v/>
      </c>
      <c r="O433" s="30" t="str">
        <f aca="false">IF($C433="","",IF($E433="collected",N($G433),IF(AND(OR($E433="returned_to_brand",$E433="given_to_roster_office",$E433="released_to_office",$E433="disposed"),IF($F433="","reserve",$F433)="leftover"),-N($G433),IF(AND($E433="correction",IF($F433="","reserve",$F433)="leftover"),N($G433),0))))</f>
        <v/>
      </c>
      <c r="P433" s="30" t="str">
        <f aca="false">IF(OR($E433&lt;&gt;"received",$I433="",$L433=""),"",IF($I433&gt;=$L433+config!$B$19,"Y","N"))</f>
        <v/>
      </c>
      <c r="Q433" s="30" t="str">
        <f aca="false">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30" t="str">
        <f aca="false">IF($C433="","",$C433&amp;"|"&amp;$D433&amp;"|"&amp;$E433)</f>
        <v/>
      </c>
    </row>
    <row r="434" customFormat="false" ht="15" hidden="false" customHeight="false" outlineLevel="0" collapsed="false">
      <c r="A434" s="11"/>
      <c r="B434" s="38"/>
      <c r="E434" s="10"/>
      <c r="I434" s="11"/>
      <c r="J434" s="10"/>
      <c r="L434" s="31" t="str">
        <f aca="false">IF($C434="","",IFERROR(IF(INDEX(campaigns!$BG$2:$BG$51,MATCH($C434,campaigns!$A$2:$A$51,0))="","",INDEX(campaigns!$BG$2:$BG$51,MATCH($C434,campaigns!$A$2:$A$51,0))),""))</f>
        <v/>
      </c>
      <c r="M434" s="30" t="str">
        <f aca="false">IF($C434="","",IF(OR($E434="received"),N($G434),IF(OR($E434="rejected",$E434="delivered",$E434="topped_up"),-N($G434),IF(AND(OR($E434="returned_to_brand",$E434="given_to_roster_office",$E434="released_to_office",$E434="disposed"),IF($F434="","reserve",$F434)="reserve"),-N($G434),IF(AND($E434="correction",IF($F434="","reserve",$F434)="reserve"),N($G434),0)))))</f>
        <v/>
      </c>
      <c r="N434" s="30" t="str">
        <f aca="false">IF($C434="","",IF($E434="rejected",N($G434),IF(AND(OR($E434="returned_to_brand",$E434="given_to_roster_office",$E434="released_to_office",$E434="disposed"),IF($F434="","reserve",$F434)="rejected"),-N($G434),IF(AND($E434="correction",IF($F434="","reserve",$F434)="rejected"),N($G434),0))))</f>
        <v/>
      </c>
      <c r="O434" s="30" t="str">
        <f aca="false">IF($C434="","",IF($E434="collected",N($G434),IF(AND(OR($E434="returned_to_brand",$E434="given_to_roster_office",$E434="released_to_office",$E434="disposed"),IF($F434="","reserve",$F434)="leftover"),-N($G434),IF(AND($E434="correction",IF($F434="","reserve",$F434)="leftover"),N($G434),0))))</f>
        <v/>
      </c>
      <c r="P434" s="30" t="str">
        <f aca="false">IF(OR($E434&lt;&gt;"received",$I434="",$L434=""),"",IF($I434&gt;=$L434+config!$B$19,"Y","N"))</f>
        <v/>
      </c>
      <c r="Q434" s="30" t="str">
        <f aca="false">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30" t="str">
        <f aca="false">IF($C434="","",$C434&amp;"|"&amp;$D434&amp;"|"&amp;$E434)</f>
        <v/>
      </c>
    </row>
    <row r="435" customFormat="false" ht="15" hidden="false" customHeight="false" outlineLevel="0" collapsed="false">
      <c r="A435" s="11"/>
      <c r="B435" s="38"/>
      <c r="E435" s="10"/>
      <c r="I435" s="11"/>
      <c r="J435" s="10"/>
      <c r="L435" s="31" t="str">
        <f aca="false">IF($C435="","",IFERROR(IF(INDEX(campaigns!$BG$2:$BG$51,MATCH($C435,campaigns!$A$2:$A$51,0))="","",INDEX(campaigns!$BG$2:$BG$51,MATCH($C435,campaigns!$A$2:$A$51,0))),""))</f>
        <v/>
      </c>
      <c r="M435" s="30" t="str">
        <f aca="false">IF($C435="","",IF(OR($E435="received"),N($G435),IF(OR($E435="rejected",$E435="delivered",$E435="topped_up"),-N($G435),IF(AND(OR($E435="returned_to_brand",$E435="given_to_roster_office",$E435="released_to_office",$E435="disposed"),IF($F435="","reserve",$F435)="reserve"),-N($G435),IF(AND($E435="correction",IF($F435="","reserve",$F435)="reserve"),N($G435),0)))))</f>
        <v/>
      </c>
      <c r="N435" s="30" t="str">
        <f aca="false">IF($C435="","",IF($E435="rejected",N($G435),IF(AND(OR($E435="returned_to_brand",$E435="given_to_roster_office",$E435="released_to_office",$E435="disposed"),IF($F435="","reserve",$F435)="rejected"),-N($G435),IF(AND($E435="correction",IF($F435="","reserve",$F435)="rejected"),N($G435),0))))</f>
        <v/>
      </c>
      <c r="O435" s="30" t="str">
        <f aca="false">IF($C435="","",IF($E435="collected",N($G435),IF(AND(OR($E435="returned_to_brand",$E435="given_to_roster_office",$E435="released_to_office",$E435="disposed"),IF($F435="","reserve",$F435)="leftover"),-N($G435),IF(AND($E435="correction",IF($F435="","reserve",$F435)="leftover"),N($G435),0))))</f>
        <v/>
      </c>
      <c r="P435" s="30" t="str">
        <f aca="false">IF(OR($E435&lt;&gt;"received",$I435="",$L435=""),"",IF($I435&gt;=$L435+config!$B$19,"Y","N"))</f>
        <v/>
      </c>
      <c r="Q435" s="30" t="str">
        <f aca="false">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30" t="str">
        <f aca="false">IF($C435="","",$C435&amp;"|"&amp;$D435&amp;"|"&amp;$E435)</f>
        <v/>
      </c>
    </row>
    <row r="436" customFormat="false" ht="15" hidden="false" customHeight="false" outlineLevel="0" collapsed="false">
      <c r="A436" s="11"/>
      <c r="B436" s="38"/>
      <c r="E436" s="10"/>
      <c r="I436" s="11"/>
      <c r="J436" s="10"/>
      <c r="L436" s="31" t="str">
        <f aca="false">IF($C436="","",IFERROR(IF(INDEX(campaigns!$BG$2:$BG$51,MATCH($C436,campaigns!$A$2:$A$51,0))="","",INDEX(campaigns!$BG$2:$BG$51,MATCH($C436,campaigns!$A$2:$A$51,0))),""))</f>
        <v/>
      </c>
      <c r="M436" s="30" t="str">
        <f aca="false">IF($C436="","",IF(OR($E436="received"),N($G436),IF(OR($E436="rejected",$E436="delivered",$E436="topped_up"),-N($G436),IF(AND(OR($E436="returned_to_brand",$E436="given_to_roster_office",$E436="released_to_office",$E436="disposed"),IF($F436="","reserve",$F436)="reserve"),-N($G436),IF(AND($E436="correction",IF($F436="","reserve",$F436)="reserve"),N($G436),0)))))</f>
        <v/>
      </c>
      <c r="N436" s="30" t="str">
        <f aca="false">IF($C436="","",IF($E436="rejected",N($G436),IF(AND(OR($E436="returned_to_brand",$E436="given_to_roster_office",$E436="released_to_office",$E436="disposed"),IF($F436="","reserve",$F436)="rejected"),-N($G436),IF(AND($E436="correction",IF($F436="","reserve",$F436)="rejected"),N($G436),0))))</f>
        <v/>
      </c>
      <c r="O436" s="30" t="str">
        <f aca="false">IF($C436="","",IF($E436="collected",N($G436),IF(AND(OR($E436="returned_to_brand",$E436="given_to_roster_office",$E436="released_to_office",$E436="disposed"),IF($F436="","reserve",$F436)="leftover"),-N($G436),IF(AND($E436="correction",IF($F436="","reserve",$F436)="leftover"),N($G436),0))))</f>
        <v/>
      </c>
      <c r="P436" s="30" t="str">
        <f aca="false">IF(OR($E436&lt;&gt;"received",$I436="",$L436=""),"",IF($I436&gt;=$L436+config!$B$19,"Y","N"))</f>
        <v/>
      </c>
      <c r="Q436" s="30" t="str">
        <f aca="false">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30" t="str">
        <f aca="false">IF($C436="","",$C436&amp;"|"&amp;$D436&amp;"|"&amp;$E436)</f>
        <v/>
      </c>
    </row>
    <row r="437" customFormat="false" ht="15" hidden="false" customHeight="false" outlineLevel="0" collapsed="false">
      <c r="A437" s="11"/>
      <c r="B437" s="38"/>
      <c r="E437" s="10"/>
      <c r="I437" s="11"/>
      <c r="J437" s="10"/>
      <c r="L437" s="31" t="str">
        <f aca="false">IF($C437="","",IFERROR(IF(INDEX(campaigns!$BG$2:$BG$51,MATCH($C437,campaigns!$A$2:$A$51,0))="","",INDEX(campaigns!$BG$2:$BG$51,MATCH($C437,campaigns!$A$2:$A$51,0))),""))</f>
        <v/>
      </c>
      <c r="M437" s="30" t="str">
        <f aca="false">IF($C437="","",IF(OR($E437="received"),N($G437),IF(OR($E437="rejected",$E437="delivered",$E437="topped_up"),-N($G437),IF(AND(OR($E437="returned_to_brand",$E437="given_to_roster_office",$E437="released_to_office",$E437="disposed"),IF($F437="","reserve",$F437)="reserve"),-N($G437),IF(AND($E437="correction",IF($F437="","reserve",$F437)="reserve"),N($G437),0)))))</f>
        <v/>
      </c>
      <c r="N437" s="30" t="str">
        <f aca="false">IF($C437="","",IF($E437="rejected",N($G437),IF(AND(OR($E437="returned_to_brand",$E437="given_to_roster_office",$E437="released_to_office",$E437="disposed"),IF($F437="","reserve",$F437)="rejected"),-N($G437),IF(AND($E437="correction",IF($F437="","reserve",$F437)="rejected"),N($G437),0))))</f>
        <v/>
      </c>
      <c r="O437" s="30" t="str">
        <f aca="false">IF($C437="","",IF($E437="collected",N($G437),IF(AND(OR($E437="returned_to_brand",$E437="given_to_roster_office",$E437="released_to_office",$E437="disposed"),IF($F437="","reserve",$F437)="leftover"),-N($G437),IF(AND($E437="correction",IF($F437="","reserve",$F437)="leftover"),N($G437),0))))</f>
        <v/>
      </c>
      <c r="P437" s="30" t="str">
        <f aca="false">IF(OR($E437&lt;&gt;"received",$I437="",$L437=""),"",IF($I437&gt;=$L437+config!$B$19,"Y","N"))</f>
        <v/>
      </c>
      <c r="Q437" s="30" t="str">
        <f aca="false">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30" t="str">
        <f aca="false">IF($C437="","",$C437&amp;"|"&amp;$D437&amp;"|"&amp;$E437)</f>
        <v/>
      </c>
    </row>
    <row r="438" customFormat="false" ht="15" hidden="false" customHeight="false" outlineLevel="0" collapsed="false">
      <c r="A438" s="11"/>
      <c r="B438" s="38"/>
      <c r="E438" s="10"/>
      <c r="I438" s="11"/>
      <c r="J438" s="10"/>
      <c r="L438" s="31" t="str">
        <f aca="false">IF($C438="","",IFERROR(IF(INDEX(campaigns!$BG$2:$BG$51,MATCH($C438,campaigns!$A$2:$A$51,0))="","",INDEX(campaigns!$BG$2:$BG$51,MATCH($C438,campaigns!$A$2:$A$51,0))),""))</f>
        <v/>
      </c>
      <c r="M438" s="30" t="str">
        <f aca="false">IF($C438="","",IF(OR($E438="received"),N($G438),IF(OR($E438="rejected",$E438="delivered",$E438="topped_up"),-N($G438),IF(AND(OR($E438="returned_to_brand",$E438="given_to_roster_office",$E438="released_to_office",$E438="disposed"),IF($F438="","reserve",$F438)="reserve"),-N($G438),IF(AND($E438="correction",IF($F438="","reserve",$F438)="reserve"),N($G438),0)))))</f>
        <v/>
      </c>
      <c r="N438" s="30" t="str">
        <f aca="false">IF($C438="","",IF($E438="rejected",N($G438),IF(AND(OR($E438="returned_to_brand",$E438="given_to_roster_office",$E438="released_to_office",$E438="disposed"),IF($F438="","reserve",$F438)="rejected"),-N($G438),IF(AND($E438="correction",IF($F438="","reserve",$F438)="rejected"),N($G438),0))))</f>
        <v/>
      </c>
      <c r="O438" s="30" t="str">
        <f aca="false">IF($C438="","",IF($E438="collected",N($G438),IF(AND(OR($E438="returned_to_brand",$E438="given_to_roster_office",$E438="released_to_office",$E438="disposed"),IF($F438="","reserve",$F438)="leftover"),-N($G438),IF(AND($E438="correction",IF($F438="","reserve",$F438)="leftover"),N($G438),0))))</f>
        <v/>
      </c>
      <c r="P438" s="30" t="str">
        <f aca="false">IF(OR($E438&lt;&gt;"received",$I438="",$L438=""),"",IF($I438&gt;=$L438+config!$B$19,"Y","N"))</f>
        <v/>
      </c>
      <c r="Q438" s="30" t="str">
        <f aca="false">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30" t="str">
        <f aca="false">IF($C438="","",$C438&amp;"|"&amp;$D438&amp;"|"&amp;$E438)</f>
        <v/>
      </c>
    </row>
    <row r="439" customFormat="false" ht="15" hidden="false" customHeight="false" outlineLevel="0" collapsed="false">
      <c r="A439" s="11"/>
      <c r="B439" s="38"/>
      <c r="E439" s="10"/>
      <c r="I439" s="11"/>
      <c r="J439" s="10"/>
      <c r="L439" s="31" t="str">
        <f aca="false">IF($C439="","",IFERROR(IF(INDEX(campaigns!$BG$2:$BG$51,MATCH($C439,campaigns!$A$2:$A$51,0))="","",INDEX(campaigns!$BG$2:$BG$51,MATCH($C439,campaigns!$A$2:$A$51,0))),""))</f>
        <v/>
      </c>
      <c r="M439" s="30" t="str">
        <f aca="false">IF($C439="","",IF(OR($E439="received"),N($G439),IF(OR($E439="rejected",$E439="delivered",$E439="topped_up"),-N($G439),IF(AND(OR($E439="returned_to_brand",$E439="given_to_roster_office",$E439="released_to_office",$E439="disposed"),IF($F439="","reserve",$F439)="reserve"),-N($G439),IF(AND($E439="correction",IF($F439="","reserve",$F439)="reserve"),N($G439),0)))))</f>
        <v/>
      </c>
      <c r="N439" s="30" t="str">
        <f aca="false">IF($C439="","",IF($E439="rejected",N($G439),IF(AND(OR($E439="returned_to_brand",$E439="given_to_roster_office",$E439="released_to_office",$E439="disposed"),IF($F439="","reserve",$F439)="rejected"),-N($G439),IF(AND($E439="correction",IF($F439="","reserve",$F439)="rejected"),N($G439),0))))</f>
        <v/>
      </c>
      <c r="O439" s="30" t="str">
        <f aca="false">IF($C439="","",IF($E439="collected",N($G439),IF(AND(OR($E439="returned_to_brand",$E439="given_to_roster_office",$E439="released_to_office",$E439="disposed"),IF($F439="","reserve",$F439)="leftover"),-N($G439),IF(AND($E439="correction",IF($F439="","reserve",$F439)="leftover"),N($G439),0))))</f>
        <v/>
      </c>
      <c r="P439" s="30" t="str">
        <f aca="false">IF(OR($E439&lt;&gt;"received",$I439="",$L439=""),"",IF($I439&gt;=$L439+config!$B$19,"Y","N"))</f>
        <v/>
      </c>
      <c r="Q439" s="30" t="str">
        <f aca="false">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30" t="str">
        <f aca="false">IF($C439="","",$C439&amp;"|"&amp;$D439&amp;"|"&amp;$E439)</f>
        <v/>
      </c>
    </row>
    <row r="440" customFormat="false" ht="15" hidden="false" customHeight="false" outlineLevel="0" collapsed="false">
      <c r="A440" s="11"/>
      <c r="B440" s="38"/>
      <c r="E440" s="10"/>
      <c r="I440" s="11"/>
      <c r="J440" s="10"/>
      <c r="L440" s="31" t="str">
        <f aca="false">IF($C440="","",IFERROR(IF(INDEX(campaigns!$BG$2:$BG$51,MATCH($C440,campaigns!$A$2:$A$51,0))="","",INDEX(campaigns!$BG$2:$BG$51,MATCH($C440,campaigns!$A$2:$A$51,0))),""))</f>
        <v/>
      </c>
      <c r="M440" s="30" t="str">
        <f aca="false">IF($C440="","",IF(OR($E440="received"),N($G440),IF(OR($E440="rejected",$E440="delivered",$E440="topped_up"),-N($G440),IF(AND(OR($E440="returned_to_brand",$E440="given_to_roster_office",$E440="released_to_office",$E440="disposed"),IF($F440="","reserve",$F440)="reserve"),-N($G440),IF(AND($E440="correction",IF($F440="","reserve",$F440)="reserve"),N($G440),0)))))</f>
        <v/>
      </c>
      <c r="N440" s="30" t="str">
        <f aca="false">IF($C440="","",IF($E440="rejected",N($G440),IF(AND(OR($E440="returned_to_brand",$E440="given_to_roster_office",$E440="released_to_office",$E440="disposed"),IF($F440="","reserve",$F440)="rejected"),-N($G440),IF(AND($E440="correction",IF($F440="","reserve",$F440)="rejected"),N($G440),0))))</f>
        <v/>
      </c>
      <c r="O440" s="30" t="str">
        <f aca="false">IF($C440="","",IF($E440="collected",N($G440),IF(AND(OR($E440="returned_to_brand",$E440="given_to_roster_office",$E440="released_to_office",$E440="disposed"),IF($F440="","reserve",$F440)="leftover"),-N($G440),IF(AND($E440="correction",IF($F440="","reserve",$F440)="leftover"),N($G440),0))))</f>
        <v/>
      </c>
      <c r="P440" s="30" t="str">
        <f aca="false">IF(OR($E440&lt;&gt;"received",$I440="",$L440=""),"",IF($I440&gt;=$L440+config!$B$19,"Y","N"))</f>
        <v/>
      </c>
      <c r="Q440" s="30" t="str">
        <f aca="false">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30" t="str">
        <f aca="false">IF($C440="","",$C440&amp;"|"&amp;$D440&amp;"|"&amp;$E440)</f>
        <v/>
      </c>
    </row>
    <row r="441" customFormat="false" ht="15" hidden="false" customHeight="false" outlineLevel="0" collapsed="false">
      <c r="A441" s="11"/>
      <c r="B441" s="38"/>
      <c r="E441" s="10"/>
      <c r="I441" s="11"/>
      <c r="J441" s="10"/>
      <c r="L441" s="31" t="str">
        <f aca="false">IF($C441="","",IFERROR(IF(INDEX(campaigns!$BG$2:$BG$51,MATCH($C441,campaigns!$A$2:$A$51,0))="","",INDEX(campaigns!$BG$2:$BG$51,MATCH($C441,campaigns!$A$2:$A$51,0))),""))</f>
        <v/>
      </c>
      <c r="M441" s="30" t="str">
        <f aca="false">IF($C441="","",IF(OR($E441="received"),N($G441),IF(OR($E441="rejected",$E441="delivered",$E441="topped_up"),-N($G441),IF(AND(OR($E441="returned_to_brand",$E441="given_to_roster_office",$E441="released_to_office",$E441="disposed"),IF($F441="","reserve",$F441)="reserve"),-N($G441),IF(AND($E441="correction",IF($F441="","reserve",$F441)="reserve"),N($G441),0)))))</f>
        <v/>
      </c>
      <c r="N441" s="30" t="str">
        <f aca="false">IF($C441="","",IF($E441="rejected",N($G441),IF(AND(OR($E441="returned_to_brand",$E441="given_to_roster_office",$E441="released_to_office",$E441="disposed"),IF($F441="","reserve",$F441)="rejected"),-N($G441),IF(AND($E441="correction",IF($F441="","reserve",$F441)="rejected"),N($G441),0))))</f>
        <v/>
      </c>
      <c r="O441" s="30" t="str">
        <f aca="false">IF($C441="","",IF($E441="collected",N($G441),IF(AND(OR($E441="returned_to_brand",$E441="given_to_roster_office",$E441="released_to_office",$E441="disposed"),IF($F441="","reserve",$F441)="leftover"),-N($G441),IF(AND($E441="correction",IF($F441="","reserve",$F441)="leftover"),N($G441),0))))</f>
        <v/>
      </c>
      <c r="P441" s="30" t="str">
        <f aca="false">IF(OR($E441&lt;&gt;"received",$I441="",$L441=""),"",IF($I441&gt;=$L441+config!$B$19,"Y","N"))</f>
        <v/>
      </c>
      <c r="Q441" s="30" t="str">
        <f aca="false">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30" t="str">
        <f aca="false">IF($C441="","",$C441&amp;"|"&amp;$D441&amp;"|"&amp;$E441)</f>
        <v/>
      </c>
    </row>
    <row r="442" customFormat="false" ht="15" hidden="false" customHeight="false" outlineLevel="0" collapsed="false">
      <c r="A442" s="11"/>
      <c r="B442" s="38"/>
      <c r="E442" s="10"/>
      <c r="I442" s="11"/>
      <c r="J442" s="10"/>
      <c r="L442" s="31" t="str">
        <f aca="false">IF($C442="","",IFERROR(IF(INDEX(campaigns!$BG$2:$BG$51,MATCH($C442,campaigns!$A$2:$A$51,0))="","",INDEX(campaigns!$BG$2:$BG$51,MATCH($C442,campaigns!$A$2:$A$51,0))),""))</f>
        <v/>
      </c>
      <c r="M442" s="30" t="str">
        <f aca="false">IF($C442="","",IF(OR($E442="received"),N($G442),IF(OR($E442="rejected",$E442="delivered",$E442="topped_up"),-N($G442),IF(AND(OR($E442="returned_to_brand",$E442="given_to_roster_office",$E442="released_to_office",$E442="disposed"),IF($F442="","reserve",$F442)="reserve"),-N($G442),IF(AND($E442="correction",IF($F442="","reserve",$F442)="reserve"),N($G442),0)))))</f>
        <v/>
      </c>
      <c r="N442" s="30" t="str">
        <f aca="false">IF($C442="","",IF($E442="rejected",N($G442),IF(AND(OR($E442="returned_to_brand",$E442="given_to_roster_office",$E442="released_to_office",$E442="disposed"),IF($F442="","reserve",$F442)="rejected"),-N($G442),IF(AND($E442="correction",IF($F442="","reserve",$F442)="rejected"),N($G442),0))))</f>
        <v/>
      </c>
      <c r="O442" s="30" t="str">
        <f aca="false">IF($C442="","",IF($E442="collected",N($G442),IF(AND(OR($E442="returned_to_brand",$E442="given_to_roster_office",$E442="released_to_office",$E442="disposed"),IF($F442="","reserve",$F442)="leftover"),-N($G442),IF(AND($E442="correction",IF($F442="","reserve",$F442)="leftover"),N($G442),0))))</f>
        <v/>
      </c>
      <c r="P442" s="30" t="str">
        <f aca="false">IF(OR($E442&lt;&gt;"received",$I442="",$L442=""),"",IF($I442&gt;=$L442+config!$B$19,"Y","N"))</f>
        <v/>
      </c>
      <c r="Q442" s="30" t="str">
        <f aca="false">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30" t="str">
        <f aca="false">IF($C442="","",$C442&amp;"|"&amp;$D442&amp;"|"&amp;$E442)</f>
        <v/>
      </c>
    </row>
    <row r="443" customFormat="false" ht="15" hidden="false" customHeight="false" outlineLevel="0" collapsed="false">
      <c r="A443" s="11"/>
      <c r="B443" s="38"/>
      <c r="E443" s="10"/>
      <c r="I443" s="11"/>
      <c r="J443" s="10"/>
      <c r="L443" s="31" t="str">
        <f aca="false">IF($C443="","",IFERROR(IF(INDEX(campaigns!$BG$2:$BG$51,MATCH($C443,campaigns!$A$2:$A$51,0))="","",INDEX(campaigns!$BG$2:$BG$51,MATCH($C443,campaigns!$A$2:$A$51,0))),""))</f>
        <v/>
      </c>
      <c r="M443" s="30" t="str">
        <f aca="false">IF($C443="","",IF(OR($E443="received"),N($G443),IF(OR($E443="rejected",$E443="delivered",$E443="topped_up"),-N($G443),IF(AND(OR($E443="returned_to_brand",$E443="given_to_roster_office",$E443="released_to_office",$E443="disposed"),IF($F443="","reserve",$F443)="reserve"),-N($G443),IF(AND($E443="correction",IF($F443="","reserve",$F443)="reserve"),N($G443),0)))))</f>
        <v/>
      </c>
      <c r="N443" s="30" t="str">
        <f aca="false">IF($C443="","",IF($E443="rejected",N($G443),IF(AND(OR($E443="returned_to_brand",$E443="given_to_roster_office",$E443="released_to_office",$E443="disposed"),IF($F443="","reserve",$F443)="rejected"),-N($G443),IF(AND($E443="correction",IF($F443="","reserve",$F443)="rejected"),N($G443),0))))</f>
        <v/>
      </c>
      <c r="O443" s="30" t="str">
        <f aca="false">IF($C443="","",IF($E443="collected",N($G443),IF(AND(OR($E443="returned_to_brand",$E443="given_to_roster_office",$E443="released_to_office",$E443="disposed"),IF($F443="","reserve",$F443)="leftover"),-N($G443),IF(AND($E443="correction",IF($F443="","reserve",$F443)="leftover"),N($G443),0))))</f>
        <v/>
      </c>
      <c r="P443" s="30" t="str">
        <f aca="false">IF(OR($E443&lt;&gt;"received",$I443="",$L443=""),"",IF($I443&gt;=$L443+config!$B$19,"Y","N"))</f>
        <v/>
      </c>
      <c r="Q443" s="30" t="str">
        <f aca="false">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30" t="str">
        <f aca="false">IF($C443="","",$C443&amp;"|"&amp;$D443&amp;"|"&amp;$E443)</f>
        <v/>
      </c>
    </row>
    <row r="444" customFormat="false" ht="15" hidden="false" customHeight="false" outlineLevel="0" collapsed="false">
      <c r="A444" s="11"/>
      <c r="B444" s="38"/>
      <c r="E444" s="10"/>
      <c r="I444" s="11"/>
      <c r="J444" s="10"/>
      <c r="L444" s="31" t="str">
        <f aca="false">IF($C444="","",IFERROR(IF(INDEX(campaigns!$BG$2:$BG$51,MATCH($C444,campaigns!$A$2:$A$51,0))="","",INDEX(campaigns!$BG$2:$BG$51,MATCH($C444,campaigns!$A$2:$A$51,0))),""))</f>
        <v/>
      </c>
      <c r="M444" s="30" t="str">
        <f aca="false">IF($C444="","",IF(OR($E444="received"),N($G444),IF(OR($E444="rejected",$E444="delivered",$E444="topped_up"),-N($G444),IF(AND(OR($E444="returned_to_brand",$E444="given_to_roster_office",$E444="released_to_office",$E444="disposed"),IF($F444="","reserve",$F444)="reserve"),-N($G444),IF(AND($E444="correction",IF($F444="","reserve",$F444)="reserve"),N($G444),0)))))</f>
        <v/>
      </c>
      <c r="N444" s="30" t="str">
        <f aca="false">IF($C444="","",IF($E444="rejected",N($G444),IF(AND(OR($E444="returned_to_brand",$E444="given_to_roster_office",$E444="released_to_office",$E444="disposed"),IF($F444="","reserve",$F444)="rejected"),-N($G444),IF(AND($E444="correction",IF($F444="","reserve",$F444)="rejected"),N($G444),0))))</f>
        <v/>
      </c>
      <c r="O444" s="30" t="str">
        <f aca="false">IF($C444="","",IF($E444="collected",N($G444),IF(AND(OR($E444="returned_to_brand",$E444="given_to_roster_office",$E444="released_to_office",$E444="disposed"),IF($F444="","reserve",$F444)="leftover"),-N($G444),IF(AND($E444="correction",IF($F444="","reserve",$F444)="leftover"),N($G444),0))))</f>
        <v/>
      </c>
      <c r="P444" s="30" t="str">
        <f aca="false">IF(OR($E444&lt;&gt;"received",$I444="",$L444=""),"",IF($I444&gt;=$L444+config!$B$19,"Y","N"))</f>
        <v/>
      </c>
      <c r="Q444" s="30" t="str">
        <f aca="false">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30" t="str">
        <f aca="false">IF($C444="","",$C444&amp;"|"&amp;$D444&amp;"|"&amp;$E444)</f>
        <v/>
      </c>
    </row>
    <row r="445" customFormat="false" ht="15" hidden="false" customHeight="false" outlineLevel="0" collapsed="false">
      <c r="A445" s="11"/>
      <c r="B445" s="38"/>
      <c r="E445" s="10"/>
      <c r="I445" s="11"/>
      <c r="J445" s="10"/>
      <c r="L445" s="31" t="str">
        <f aca="false">IF($C445="","",IFERROR(IF(INDEX(campaigns!$BG$2:$BG$51,MATCH($C445,campaigns!$A$2:$A$51,0))="","",INDEX(campaigns!$BG$2:$BG$51,MATCH($C445,campaigns!$A$2:$A$51,0))),""))</f>
        <v/>
      </c>
      <c r="M445" s="30" t="str">
        <f aca="false">IF($C445="","",IF(OR($E445="received"),N($G445),IF(OR($E445="rejected",$E445="delivered",$E445="topped_up"),-N($G445),IF(AND(OR($E445="returned_to_brand",$E445="given_to_roster_office",$E445="released_to_office",$E445="disposed"),IF($F445="","reserve",$F445)="reserve"),-N($G445),IF(AND($E445="correction",IF($F445="","reserve",$F445)="reserve"),N($G445),0)))))</f>
        <v/>
      </c>
      <c r="N445" s="30" t="str">
        <f aca="false">IF($C445="","",IF($E445="rejected",N($G445),IF(AND(OR($E445="returned_to_brand",$E445="given_to_roster_office",$E445="released_to_office",$E445="disposed"),IF($F445="","reserve",$F445)="rejected"),-N($G445),IF(AND($E445="correction",IF($F445="","reserve",$F445)="rejected"),N($G445),0))))</f>
        <v/>
      </c>
      <c r="O445" s="30" t="str">
        <f aca="false">IF($C445="","",IF($E445="collected",N($G445),IF(AND(OR($E445="returned_to_brand",$E445="given_to_roster_office",$E445="released_to_office",$E445="disposed"),IF($F445="","reserve",$F445)="leftover"),-N($G445),IF(AND($E445="correction",IF($F445="","reserve",$F445)="leftover"),N($G445),0))))</f>
        <v/>
      </c>
      <c r="P445" s="30" t="str">
        <f aca="false">IF(OR($E445&lt;&gt;"received",$I445="",$L445=""),"",IF($I445&gt;=$L445+config!$B$19,"Y","N"))</f>
        <v/>
      </c>
      <c r="Q445" s="30" t="str">
        <f aca="false">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30" t="str">
        <f aca="false">IF($C445="","",$C445&amp;"|"&amp;$D445&amp;"|"&amp;$E445)</f>
        <v/>
      </c>
    </row>
    <row r="446" customFormat="false" ht="15" hidden="false" customHeight="false" outlineLevel="0" collapsed="false">
      <c r="A446" s="11"/>
      <c r="B446" s="38"/>
      <c r="E446" s="10"/>
      <c r="I446" s="11"/>
      <c r="J446" s="10"/>
      <c r="L446" s="31" t="str">
        <f aca="false">IF($C446="","",IFERROR(IF(INDEX(campaigns!$BG$2:$BG$51,MATCH($C446,campaigns!$A$2:$A$51,0))="","",INDEX(campaigns!$BG$2:$BG$51,MATCH($C446,campaigns!$A$2:$A$51,0))),""))</f>
        <v/>
      </c>
      <c r="M446" s="30" t="str">
        <f aca="false">IF($C446="","",IF(OR($E446="received"),N($G446),IF(OR($E446="rejected",$E446="delivered",$E446="topped_up"),-N($G446),IF(AND(OR($E446="returned_to_brand",$E446="given_to_roster_office",$E446="released_to_office",$E446="disposed"),IF($F446="","reserve",$F446)="reserve"),-N($G446),IF(AND($E446="correction",IF($F446="","reserve",$F446)="reserve"),N($G446),0)))))</f>
        <v/>
      </c>
      <c r="N446" s="30" t="str">
        <f aca="false">IF($C446="","",IF($E446="rejected",N($G446),IF(AND(OR($E446="returned_to_brand",$E446="given_to_roster_office",$E446="released_to_office",$E446="disposed"),IF($F446="","reserve",$F446)="rejected"),-N($G446),IF(AND($E446="correction",IF($F446="","reserve",$F446)="rejected"),N($G446),0))))</f>
        <v/>
      </c>
      <c r="O446" s="30" t="str">
        <f aca="false">IF($C446="","",IF($E446="collected",N($G446),IF(AND(OR($E446="returned_to_brand",$E446="given_to_roster_office",$E446="released_to_office",$E446="disposed"),IF($F446="","reserve",$F446)="leftover"),-N($G446),IF(AND($E446="correction",IF($F446="","reserve",$F446)="leftover"),N($G446),0))))</f>
        <v/>
      </c>
      <c r="P446" s="30" t="str">
        <f aca="false">IF(OR($E446&lt;&gt;"received",$I446="",$L446=""),"",IF($I446&gt;=$L446+config!$B$19,"Y","N"))</f>
        <v/>
      </c>
      <c r="Q446" s="30" t="str">
        <f aca="false">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30" t="str">
        <f aca="false">IF($C446="","",$C446&amp;"|"&amp;$D446&amp;"|"&amp;$E446)</f>
        <v/>
      </c>
    </row>
    <row r="447" customFormat="false" ht="15" hidden="false" customHeight="false" outlineLevel="0" collapsed="false">
      <c r="A447" s="11"/>
      <c r="B447" s="38"/>
      <c r="E447" s="10"/>
      <c r="I447" s="11"/>
      <c r="J447" s="10"/>
      <c r="L447" s="31" t="str">
        <f aca="false">IF($C447="","",IFERROR(IF(INDEX(campaigns!$BG$2:$BG$51,MATCH($C447,campaigns!$A$2:$A$51,0))="","",INDEX(campaigns!$BG$2:$BG$51,MATCH($C447,campaigns!$A$2:$A$51,0))),""))</f>
        <v/>
      </c>
      <c r="M447" s="30" t="str">
        <f aca="false">IF($C447="","",IF(OR($E447="received"),N($G447),IF(OR($E447="rejected",$E447="delivered",$E447="topped_up"),-N($G447),IF(AND(OR($E447="returned_to_brand",$E447="given_to_roster_office",$E447="released_to_office",$E447="disposed"),IF($F447="","reserve",$F447)="reserve"),-N($G447),IF(AND($E447="correction",IF($F447="","reserve",$F447)="reserve"),N($G447),0)))))</f>
        <v/>
      </c>
      <c r="N447" s="30" t="str">
        <f aca="false">IF($C447="","",IF($E447="rejected",N($G447),IF(AND(OR($E447="returned_to_brand",$E447="given_to_roster_office",$E447="released_to_office",$E447="disposed"),IF($F447="","reserve",$F447)="rejected"),-N($G447),IF(AND($E447="correction",IF($F447="","reserve",$F447)="rejected"),N($G447),0))))</f>
        <v/>
      </c>
      <c r="O447" s="30" t="str">
        <f aca="false">IF($C447="","",IF($E447="collected",N($G447),IF(AND(OR($E447="returned_to_brand",$E447="given_to_roster_office",$E447="released_to_office",$E447="disposed"),IF($F447="","reserve",$F447)="leftover"),-N($G447),IF(AND($E447="correction",IF($F447="","reserve",$F447)="leftover"),N($G447),0))))</f>
        <v/>
      </c>
      <c r="P447" s="30" t="str">
        <f aca="false">IF(OR($E447&lt;&gt;"received",$I447="",$L447=""),"",IF($I447&gt;=$L447+config!$B$19,"Y","N"))</f>
        <v/>
      </c>
      <c r="Q447" s="30" t="str">
        <f aca="false">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30" t="str">
        <f aca="false">IF($C447="","",$C447&amp;"|"&amp;$D447&amp;"|"&amp;$E447)</f>
        <v/>
      </c>
    </row>
    <row r="448" customFormat="false" ht="15" hidden="false" customHeight="false" outlineLevel="0" collapsed="false">
      <c r="A448" s="11"/>
      <c r="B448" s="38"/>
      <c r="E448" s="10"/>
      <c r="I448" s="11"/>
      <c r="J448" s="10"/>
      <c r="L448" s="31" t="str">
        <f aca="false">IF($C448="","",IFERROR(IF(INDEX(campaigns!$BG$2:$BG$51,MATCH($C448,campaigns!$A$2:$A$51,0))="","",INDEX(campaigns!$BG$2:$BG$51,MATCH($C448,campaigns!$A$2:$A$51,0))),""))</f>
        <v/>
      </c>
      <c r="M448" s="30" t="str">
        <f aca="false">IF($C448="","",IF(OR($E448="received"),N($G448),IF(OR($E448="rejected",$E448="delivered",$E448="topped_up"),-N($G448),IF(AND(OR($E448="returned_to_brand",$E448="given_to_roster_office",$E448="released_to_office",$E448="disposed"),IF($F448="","reserve",$F448)="reserve"),-N($G448),IF(AND($E448="correction",IF($F448="","reserve",$F448)="reserve"),N($G448),0)))))</f>
        <v/>
      </c>
      <c r="N448" s="30" t="str">
        <f aca="false">IF($C448="","",IF($E448="rejected",N($G448),IF(AND(OR($E448="returned_to_brand",$E448="given_to_roster_office",$E448="released_to_office",$E448="disposed"),IF($F448="","reserve",$F448)="rejected"),-N($G448),IF(AND($E448="correction",IF($F448="","reserve",$F448)="rejected"),N($G448),0))))</f>
        <v/>
      </c>
      <c r="O448" s="30" t="str">
        <f aca="false">IF($C448="","",IF($E448="collected",N($G448),IF(AND(OR($E448="returned_to_brand",$E448="given_to_roster_office",$E448="released_to_office",$E448="disposed"),IF($F448="","reserve",$F448)="leftover"),-N($G448),IF(AND($E448="correction",IF($F448="","reserve",$F448)="leftover"),N($G448),0))))</f>
        <v/>
      </c>
      <c r="P448" s="30" t="str">
        <f aca="false">IF(OR($E448&lt;&gt;"received",$I448="",$L448=""),"",IF($I448&gt;=$L448+config!$B$19,"Y","N"))</f>
        <v/>
      </c>
      <c r="Q448" s="30" t="str">
        <f aca="false">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30" t="str">
        <f aca="false">IF($C448="","",$C448&amp;"|"&amp;$D448&amp;"|"&amp;$E448)</f>
        <v/>
      </c>
    </row>
    <row r="449" customFormat="false" ht="15" hidden="false" customHeight="false" outlineLevel="0" collapsed="false">
      <c r="A449" s="11"/>
      <c r="B449" s="38"/>
      <c r="E449" s="10"/>
      <c r="I449" s="11"/>
      <c r="J449" s="10"/>
      <c r="L449" s="31" t="str">
        <f aca="false">IF($C449="","",IFERROR(IF(INDEX(campaigns!$BG$2:$BG$51,MATCH($C449,campaigns!$A$2:$A$51,0))="","",INDEX(campaigns!$BG$2:$BG$51,MATCH($C449,campaigns!$A$2:$A$51,0))),""))</f>
        <v/>
      </c>
      <c r="M449" s="30" t="str">
        <f aca="false">IF($C449="","",IF(OR($E449="received"),N($G449),IF(OR($E449="rejected",$E449="delivered",$E449="topped_up"),-N($G449),IF(AND(OR($E449="returned_to_brand",$E449="given_to_roster_office",$E449="released_to_office",$E449="disposed"),IF($F449="","reserve",$F449)="reserve"),-N($G449),IF(AND($E449="correction",IF($F449="","reserve",$F449)="reserve"),N($G449),0)))))</f>
        <v/>
      </c>
      <c r="N449" s="30" t="str">
        <f aca="false">IF($C449="","",IF($E449="rejected",N($G449),IF(AND(OR($E449="returned_to_brand",$E449="given_to_roster_office",$E449="released_to_office",$E449="disposed"),IF($F449="","reserve",$F449)="rejected"),-N($G449),IF(AND($E449="correction",IF($F449="","reserve",$F449)="rejected"),N($G449),0))))</f>
        <v/>
      </c>
      <c r="O449" s="30" t="str">
        <f aca="false">IF($C449="","",IF($E449="collected",N($G449),IF(AND(OR($E449="returned_to_brand",$E449="given_to_roster_office",$E449="released_to_office",$E449="disposed"),IF($F449="","reserve",$F449)="leftover"),-N($G449),IF(AND($E449="correction",IF($F449="","reserve",$F449)="leftover"),N($G449),0))))</f>
        <v/>
      </c>
      <c r="P449" s="30" t="str">
        <f aca="false">IF(OR($E449&lt;&gt;"received",$I449="",$L449=""),"",IF($I449&gt;=$L449+config!$B$19,"Y","N"))</f>
        <v/>
      </c>
      <c r="Q449" s="30" t="str">
        <f aca="false">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30" t="str">
        <f aca="false">IF($C449="","",$C449&amp;"|"&amp;$D449&amp;"|"&amp;$E449)</f>
        <v/>
      </c>
    </row>
    <row r="450" customFormat="false" ht="15" hidden="false" customHeight="false" outlineLevel="0" collapsed="false">
      <c r="A450" s="11"/>
      <c r="B450" s="38"/>
      <c r="E450" s="10"/>
      <c r="I450" s="11"/>
      <c r="J450" s="10"/>
      <c r="L450" s="31" t="str">
        <f aca="false">IF($C450="","",IFERROR(IF(INDEX(campaigns!$BG$2:$BG$51,MATCH($C450,campaigns!$A$2:$A$51,0))="","",INDEX(campaigns!$BG$2:$BG$51,MATCH($C450,campaigns!$A$2:$A$51,0))),""))</f>
        <v/>
      </c>
      <c r="M450" s="30" t="str">
        <f aca="false">IF($C450="","",IF(OR($E450="received"),N($G450),IF(OR($E450="rejected",$E450="delivered",$E450="topped_up"),-N($G450),IF(AND(OR($E450="returned_to_brand",$E450="given_to_roster_office",$E450="released_to_office",$E450="disposed"),IF($F450="","reserve",$F450)="reserve"),-N($G450),IF(AND($E450="correction",IF($F450="","reserve",$F450)="reserve"),N($G450),0)))))</f>
        <v/>
      </c>
      <c r="N450" s="30" t="str">
        <f aca="false">IF($C450="","",IF($E450="rejected",N($G450),IF(AND(OR($E450="returned_to_brand",$E450="given_to_roster_office",$E450="released_to_office",$E450="disposed"),IF($F450="","reserve",$F450)="rejected"),-N($G450),IF(AND($E450="correction",IF($F450="","reserve",$F450)="rejected"),N($G450),0))))</f>
        <v/>
      </c>
      <c r="O450" s="30" t="str">
        <f aca="false">IF($C450="","",IF($E450="collected",N($G450),IF(AND(OR($E450="returned_to_brand",$E450="given_to_roster_office",$E450="released_to_office",$E450="disposed"),IF($F450="","reserve",$F450)="leftover"),-N($G450),IF(AND($E450="correction",IF($F450="","reserve",$F450)="leftover"),N($G450),0))))</f>
        <v/>
      </c>
      <c r="P450" s="30" t="str">
        <f aca="false">IF(OR($E450&lt;&gt;"received",$I450="",$L450=""),"",IF($I450&gt;=$L450+config!$B$19,"Y","N"))</f>
        <v/>
      </c>
      <c r="Q450" s="30" t="str">
        <f aca="false">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30" t="str">
        <f aca="false">IF($C450="","",$C450&amp;"|"&amp;$D450&amp;"|"&amp;$E450)</f>
        <v/>
      </c>
    </row>
    <row r="451" customFormat="false" ht="15" hidden="false" customHeight="false" outlineLevel="0" collapsed="false">
      <c r="A451" s="11"/>
      <c r="B451" s="38"/>
      <c r="E451" s="10"/>
      <c r="I451" s="11"/>
      <c r="J451" s="10"/>
      <c r="L451" s="31" t="str">
        <f aca="false">IF($C451="","",IFERROR(IF(INDEX(campaigns!$BG$2:$BG$51,MATCH($C451,campaigns!$A$2:$A$51,0))="","",INDEX(campaigns!$BG$2:$BG$51,MATCH($C451,campaigns!$A$2:$A$51,0))),""))</f>
        <v/>
      </c>
      <c r="M451" s="30" t="str">
        <f aca="false">IF($C451="","",IF(OR($E451="received"),N($G451),IF(OR($E451="rejected",$E451="delivered",$E451="topped_up"),-N($G451),IF(AND(OR($E451="returned_to_brand",$E451="given_to_roster_office",$E451="released_to_office",$E451="disposed"),IF($F451="","reserve",$F451)="reserve"),-N($G451),IF(AND($E451="correction",IF($F451="","reserve",$F451)="reserve"),N($G451),0)))))</f>
        <v/>
      </c>
      <c r="N451" s="30" t="str">
        <f aca="false">IF($C451="","",IF($E451="rejected",N($G451),IF(AND(OR($E451="returned_to_brand",$E451="given_to_roster_office",$E451="released_to_office",$E451="disposed"),IF($F451="","reserve",$F451)="rejected"),-N($G451),IF(AND($E451="correction",IF($F451="","reserve",$F451)="rejected"),N($G451),0))))</f>
        <v/>
      </c>
      <c r="O451" s="30" t="str">
        <f aca="false">IF($C451="","",IF($E451="collected",N($G451),IF(AND(OR($E451="returned_to_brand",$E451="given_to_roster_office",$E451="released_to_office",$E451="disposed"),IF($F451="","reserve",$F451)="leftover"),-N($G451),IF(AND($E451="correction",IF($F451="","reserve",$F451)="leftover"),N($G451),0))))</f>
        <v/>
      </c>
      <c r="P451" s="30" t="str">
        <f aca="false">IF(OR($E451&lt;&gt;"received",$I451="",$L451=""),"",IF($I451&gt;=$L451+config!$B$19,"Y","N"))</f>
        <v/>
      </c>
      <c r="Q451" s="30" t="str">
        <f aca="false">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30" t="str">
        <f aca="false">IF($C451="","",$C451&amp;"|"&amp;$D451&amp;"|"&amp;$E451)</f>
        <v/>
      </c>
    </row>
    <row r="452" customFormat="false" ht="15" hidden="false" customHeight="false" outlineLevel="0" collapsed="false">
      <c r="A452" s="11"/>
      <c r="B452" s="38"/>
      <c r="E452" s="10"/>
      <c r="I452" s="11"/>
      <c r="J452" s="10"/>
      <c r="L452" s="31" t="str">
        <f aca="false">IF($C452="","",IFERROR(IF(INDEX(campaigns!$BG$2:$BG$51,MATCH($C452,campaigns!$A$2:$A$51,0))="","",INDEX(campaigns!$BG$2:$BG$51,MATCH($C452,campaigns!$A$2:$A$51,0))),""))</f>
        <v/>
      </c>
      <c r="M452" s="30" t="str">
        <f aca="false">IF($C452="","",IF(OR($E452="received"),N($G452),IF(OR($E452="rejected",$E452="delivered",$E452="topped_up"),-N($G452),IF(AND(OR($E452="returned_to_brand",$E452="given_to_roster_office",$E452="released_to_office",$E452="disposed"),IF($F452="","reserve",$F452)="reserve"),-N($G452),IF(AND($E452="correction",IF($F452="","reserve",$F452)="reserve"),N($G452),0)))))</f>
        <v/>
      </c>
      <c r="N452" s="30" t="str">
        <f aca="false">IF($C452="","",IF($E452="rejected",N($G452),IF(AND(OR($E452="returned_to_brand",$E452="given_to_roster_office",$E452="released_to_office",$E452="disposed"),IF($F452="","reserve",$F452)="rejected"),-N($G452),IF(AND($E452="correction",IF($F452="","reserve",$F452)="rejected"),N($G452),0))))</f>
        <v/>
      </c>
      <c r="O452" s="30" t="str">
        <f aca="false">IF($C452="","",IF($E452="collected",N($G452),IF(AND(OR($E452="returned_to_brand",$E452="given_to_roster_office",$E452="released_to_office",$E452="disposed"),IF($F452="","reserve",$F452)="leftover"),-N($G452),IF(AND($E452="correction",IF($F452="","reserve",$F452)="leftover"),N($G452),0))))</f>
        <v/>
      </c>
      <c r="P452" s="30" t="str">
        <f aca="false">IF(OR($E452&lt;&gt;"received",$I452="",$L452=""),"",IF($I452&gt;=$L452+config!$B$19,"Y","N"))</f>
        <v/>
      </c>
      <c r="Q452" s="30" t="str">
        <f aca="false">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30" t="str">
        <f aca="false">IF($C452="","",$C452&amp;"|"&amp;$D452&amp;"|"&amp;$E452)</f>
        <v/>
      </c>
    </row>
    <row r="453" customFormat="false" ht="15" hidden="false" customHeight="false" outlineLevel="0" collapsed="false">
      <c r="A453" s="11"/>
      <c r="B453" s="38"/>
      <c r="E453" s="10"/>
      <c r="I453" s="11"/>
      <c r="J453" s="10"/>
      <c r="L453" s="31" t="str">
        <f aca="false">IF($C453="","",IFERROR(IF(INDEX(campaigns!$BG$2:$BG$51,MATCH($C453,campaigns!$A$2:$A$51,0))="","",INDEX(campaigns!$BG$2:$BG$51,MATCH($C453,campaigns!$A$2:$A$51,0))),""))</f>
        <v/>
      </c>
      <c r="M453" s="30" t="str">
        <f aca="false">IF($C453="","",IF(OR($E453="received"),N($G453),IF(OR($E453="rejected",$E453="delivered",$E453="topped_up"),-N($G453),IF(AND(OR($E453="returned_to_brand",$E453="given_to_roster_office",$E453="released_to_office",$E453="disposed"),IF($F453="","reserve",$F453)="reserve"),-N($G453),IF(AND($E453="correction",IF($F453="","reserve",$F453)="reserve"),N($G453),0)))))</f>
        <v/>
      </c>
      <c r="N453" s="30" t="str">
        <f aca="false">IF($C453="","",IF($E453="rejected",N($G453),IF(AND(OR($E453="returned_to_brand",$E453="given_to_roster_office",$E453="released_to_office",$E453="disposed"),IF($F453="","reserve",$F453)="rejected"),-N($G453),IF(AND($E453="correction",IF($F453="","reserve",$F453)="rejected"),N($G453),0))))</f>
        <v/>
      </c>
      <c r="O453" s="30" t="str">
        <f aca="false">IF($C453="","",IF($E453="collected",N($G453),IF(AND(OR($E453="returned_to_brand",$E453="given_to_roster_office",$E453="released_to_office",$E453="disposed"),IF($F453="","reserve",$F453)="leftover"),-N($G453),IF(AND($E453="correction",IF($F453="","reserve",$F453)="leftover"),N($G453),0))))</f>
        <v/>
      </c>
      <c r="P453" s="30" t="str">
        <f aca="false">IF(OR($E453&lt;&gt;"received",$I453="",$L453=""),"",IF($I453&gt;=$L453+config!$B$19,"Y","N"))</f>
        <v/>
      </c>
      <c r="Q453" s="30" t="str">
        <f aca="false">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30" t="str">
        <f aca="false">IF($C453="","",$C453&amp;"|"&amp;$D453&amp;"|"&amp;$E453)</f>
        <v/>
      </c>
    </row>
    <row r="454" customFormat="false" ht="15" hidden="false" customHeight="false" outlineLevel="0" collapsed="false">
      <c r="A454" s="11"/>
      <c r="B454" s="38"/>
      <c r="E454" s="10"/>
      <c r="I454" s="11"/>
      <c r="J454" s="10"/>
      <c r="L454" s="31" t="str">
        <f aca="false">IF($C454="","",IFERROR(IF(INDEX(campaigns!$BG$2:$BG$51,MATCH($C454,campaigns!$A$2:$A$51,0))="","",INDEX(campaigns!$BG$2:$BG$51,MATCH($C454,campaigns!$A$2:$A$51,0))),""))</f>
        <v/>
      </c>
      <c r="M454" s="30" t="str">
        <f aca="false">IF($C454="","",IF(OR($E454="received"),N($G454),IF(OR($E454="rejected",$E454="delivered",$E454="topped_up"),-N($G454),IF(AND(OR($E454="returned_to_brand",$E454="given_to_roster_office",$E454="released_to_office",$E454="disposed"),IF($F454="","reserve",$F454)="reserve"),-N($G454),IF(AND($E454="correction",IF($F454="","reserve",$F454)="reserve"),N($G454),0)))))</f>
        <v/>
      </c>
      <c r="N454" s="30" t="str">
        <f aca="false">IF($C454="","",IF($E454="rejected",N($G454),IF(AND(OR($E454="returned_to_brand",$E454="given_to_roster_office",$E454="released_to_office",$E454="disposed"),IF($F454="","reserve",$F454)="rejected"),-N($G454),IF(AND($E454="correction",IF($F454="","reserve",$F454)="rejected"),N($G454),0))))</f>
        <v/>
      </c>
      <c r="O454" s="30" t="str">
        <f aca="false">IF($C454="","",IF($E454="collected",N($G454),IF(AND(OR($E454="returned_to_brand",$E454="given_to_roster_office",$E454="released_to_office",$E454="disposed"),IF($F454="","reserve",$F454)="leftover"),-N($G454),IF(AND($E454="correction",IF($F454="","reserve",$F454)="leftover"),N($G454),0))))</f>
        <v/>
      </c>
      <c r="P454" s="30" t="str">
        <f aca="false">IF(OR($E454&lt;&gt;"received",$I454="",$L454=""),"",IF($I454&gt;=$L454+config!$B$19,"Y","N"))</f>
        <v/>
      </c>
      <c r="Q454" s="30" t="str">
        <f aca="false">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30" t="str">
        <f aca="false">IF($C454="","",$C454&amp;"|"&amp;$D454&amp;"|"&amp;$E454)</f>
        <v/>
      </c>
    </row>
    <row r="455" customFormat="false" ht="15" hidden="false" customHeight="false" outlineLevel="0" collapsed="false">
      <c r="A455" s="11"/>
      <c r="B455" s="38"/>
      <c r="E455" s="10"/>
      <c r="I455" s="11"/>
      <c r="J455" s="10"/>
      <c r="L455" s="31" t="str">
        <f aca="false">IF($C455="","",IFERROR(IF(INDEX(campaigns!$BG$2:$BG$51,MATCH($C455,campaigns!$A$2:$A$51,0))="","",INDEX(campaigns!$BG$2:$BG$51,MATCH($C455,campaigns!$A$2:$A$51,0))),""))</f>
        <v/>
      </c>
      <c r="M455" s="30" t="str">
        <f aca="false">IF($C455="","",IF(OR($E455="received"),N($G455),IF(OR($E455="rejected",$E455="delivered",$E455="topped_up"),-N($G455),IF(AND(OR($E455="returned_to_brand",$E455="given_to_roster_office",$E455="released_to_office",$E455="disposed"),IF($F455="","reserve",$F455)="reserve"),-N($G455),IF(AND($E455="correction",IF($F455="","reserve",$F455)="reserve"),N($G455),0)))))</f>
        <v/>
      </c>
      <c r="N455" s="30" t="str">
        <f aca="false">IF($C455="","",IF($E455="rejected",N($G455),IF(AND(OR($E455="returned_to_brand",$E455="given_to_roster_office",$E455="released_to_office",$E455="disposed"),IF($F455="","reserve",$F455)="rejected"),-N($G455),IF(AND($E455="correction",IF($F455="","reserve",$F455)="rejected"),N($G455),0))))</f>
        <v/>
      </c>
      <c r="O455" s="30" t="str">
        <f aca="false">IF($C455="","",IF($E455="collected",N($G455),IF(AND(OR($E455="returned_to_brand",$E455="given_to_roster_office",$E455="released_to_office",$E455="disposed"),IF($F455="","reserve",$F455)="leftover"),-N($G455),IF(AND($E455="correction",IF($F455="","reserve",$F455)="leftover"),N($G455),0))))</f>
        <v/>
      </c>
      <c r="P455" s="30" t="str">
        <f aca="false">IF(OR($E455&lt;&gt;"received",$I455="",$L455=""),"",IF($I455&gt;=$L455+config!$B$19,"Y","N"))</f>
        <v/>
      </c>
      <c r="Q455" s="30" t="str">
        <f aca="false">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30" t="str">
        <f aca="false">IF($C455="","",$C455&amp;"|"&amp;$D455&amp;"|"&amp;$E455)</f>
        <v/>
      </c>
    </row>
    <row r="456" customFormat="false" ht="15" hidden="false" customHeight="false" outlineLevel="0" collapsed="false">
      <c r="A456" s="11"/>
      <c r="B456" s="38"/>
      <c r="E456" s="10"/>
      <c r="I456" s="11"/>
      <c r="J456" s="10"/>
      <c r="L456" s="31" t="str">
        <f aca="false">IF($C456="","",IFERROR(IF(INDEX(campaigns!$BG$2:$BG$51,MATCH($C456,campaigns!$A$2:$A$51,0))="","",INDEX(campaigns!$BG$2:$BG$51,MATCH($C456,campaigns!$A$2:$A$51,0))),""))</f>
        <v/>
      </c>
      <c r="M456" s="30" t="str">
        <f aca="false">IF($C456="","",IF(OR($E456="received"),N($G456),IF(OR($E456="rejected",$E456="delivered",$E456="topped_up"),-N($G456),IF(AND(OR($E456="returned_to_brand",$E456="given_to_roster_office",$E456="released_to_office",$E456="disposed"),IF($F456="","reserve",$F456)="reserve"),-N($G456),IF(AND($E456="correction",IF($F456="","reserve",$F456)="reserve"),N($G456),0)))))</f>
        <v/>
      </c>
      <c r="N456" s="30" t="str">
        <f aca="false">IF($C456="","",IF($E456="rejected",N($G456),IF(AND(OR($E456="returned_to_brand",$E456="given_to_roster_office",$E456="released_to_office",$E456="disposed"),IF($F456="","reserve",$F456)="rejected"),-N($G456),IF(AND($E456="correction",IF($F456="","reserve",$F456)="rejected"),N($G456),0))))</f>
        <v/>
      </c>
      <c r="O456" s="30" t="str">
        <f aca="false">IF($C456="","",IF($E456="collected",N($G456),IF(AND(OR($E456="returned_to_brand",$E456="given_to_roster_office",$E456="released_to_office",$E456="disposed"),IF($F456="","reserve",$F456)="leftover"),-N($G456),IF(AND($E456="correction",IF($F456="","reserve",$F456)="leftover"),N($G456),0))))</f>
        <v/>
      </c>
      <c r="P456" s="30" t="str">
        <f aca="false">IF(OR($E456&lt;&gt;"received",$I456="",$L456=""),"",IF($I456&gt;=$L456+config!$B$19,"Y","N"))</f>
        <v/>
      </c>
      <c r="Q456" s="30" t="str">
        <f aca="false">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30" t="str">
        <f aca="false">IF($C456="","",$C456&amp;"|"&amp;$D456&amp;"|"&amp;$E456)</f>
        <v/>
      </c>
    </row>
    <row r="457" customFormat="false" ht="15" hidden="false" customHeight="false" outlineLevel="0" collapsed="false">
      <c r="A457" s="11"/>
      <c r="B457" s="38"/>
      <c r="E457" s="10"/>
      <c r="I457" s="11"/>
      <c r="J457" s="10"/>
      <c r="L457" s="31" t="str">
        <f aca="false">IF($C457="","",IFERROR(IF(INDEX(campaigns!$BG$2:$BG$51,MATCH($C457,campaigns!$A$2:$A$51,0))="","",INDEX(campaigns!$BG$2:$BG$51,MATCH($C457,campaigns!$A$2:$A$51,0))),""))</f>
        <v/>
      </c>
      <c r="M457" s="30" t="str">
        <f aca="false">IF($C457="","",IF(OR($E457="received"),N($G457),IF(OR($E457="rejected",$E457="delivered",$E457="topped_up"),-N($G457),IF(AND(OR($E457="returned_to_brand",$E457="given_to_roster_office",$E457="released_to_office",$E457="disposed"),IF($F457="","reserve",$F457)="reserve"),-N($G457),IF(AND($E457="correction",IF($F457="","reserve",$F457)="reserve"),N($G457),0)))))</f>
        <v/>
      </c>
      <c r="N457" s="30" t="str">
        <f aca="false">IF($C457="","",IF($E457="rejected",N($G457),IF(AND(OR($E457="returned_to_brand",$E457="given_to_roster_office",$E457="released_to_office",$E457="disposed"),IF($F457="","reserve",$F457)="rejected"),-N($G457),IF(AND($E457="correction",IF($F457="","reserve",$F457)="rejected"),N($G457),0))))</f>
        <v/>
      </c>
      <c r="O457" s="30" t="str">
        <f aca="false">IF($C457="","",IF($E457="collected",N($G457),IF(AND(OR($E457="returned_to_brand",$E457="given_to_roster_office",$E457="released_to_office",$E457="disposed"),IF($F457="","reserve",$F457)="leftover"),-N($G457),IF(AND($E457="correction",IF($F457="","reserve",$F457)="leftover"),N($G457),0))))</f>
        <v/>
      </c>
      <c r="P457" s="30" t="str">
        <f aca="false">IF(OR($E457&lt;&gt;"received",$I457="",$L457=""),"",IF($I457&gt;=$L457+config!$B$19,"Y","N"))</f>
        <v/>
      </c>
      <c r="Q457" s="30" t="str">
        <f aca="false">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30" t="str">
        <f aca="false">IF($C457="","",$C457&amp;"|"&amp;$D457&amp;"|"&amp;$E457)</f>
        <v/>
      </c>
    </row>
    <row r="458" customFormat="false" ht="15" hidden="false" customHeight="false" outlineLevel="0" collapsed="false">
      <c r="A458" s="11"/>
      <c r="B458" s="38"/>
      <c r="E458" s="10"/>
      <c r="I458" s="11"/>
      <c r="J458" s="10"/>
      <c r="L458" s="31" t="str">
        <f aca="false">IF($C458="","",IFERROR(IF(INDEX(campaigns!$BG$2:$BG$51,MATCH($C458,campaigns!$A$2:$A$51,0))="","",INDEX(campaigns!$BG$2:$BG$51,MATCH($C458,campaigns!$A$2:$A$51,0))),""))</f>
        <v/>
      </c>
      <c r="M458" s="30" t="str">
        <f aca="false">IF($C458="","",IF(OR($E458="received"),N($G458),IF(OR($E458="rejected",$E458="delivered",$E458="topped_up"),-N($G458),IF(AND(OR($E458="returned_to_brand",$E458="given_to_roster_office",$E458="released_to_office",$E458="disposed"),IF($F458="","reserve",$F458)="reserve"),-N($G458),IF(AND($E458="correction",IF($F458="","reserve",$F458)="reserve"),N($G458),0)))))</f>
        <v/>
      </c>
      <c r="N458" s="30" t="str">
        <f aca="false">IF($C458="","",IF($E458="rejected",N($G458),IF(AND(OR($E458="returned_to_brand",$E458="given_to_roster_office",$E458="released_to_office",$E458="disposed"),IF($F458="","reserve",$F458)="rejected"),-N($G458),IF(AND($E458="correction",IF($F458="","reserve",$F458)="rejected"),N($G458),0))))</f>
        <v/>
      </c>
      <c r="O458" s="30" t="str">
        <f aca="false">IF($C458="","",IF($E458="collected",N($G458),IF(AND(OR($E458="returned_to_brand",$E458="given_to_roster_office",$E458="released_to_office",$E458="disposed"),IF($F458="","reserve",$F458)="leftover"),-N($G458),IF(AND($E458="correction",IF($F458="","reserve",$F458)="leftover"),N($G458),0))))</f>
        <v/>
      </c>
      <c r="P458" s="30" t="str">
        <f aca="false">IF(OR($E458&lt;&gt;"received",$I458="",$L458=""),"",IF($I458&gt;=$L458+config!$B$19,"Y","N"))</f>
        <v/>
      </c>
      <c r="Q458" s="30" t="str">
        <f aca="false">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30" t="str">
        <f aca="false">IF($C458="","",$C458&amp;"|"&amp;$D458&amp;"|"&amp;$E458)</f>
        <v/>
      </c>
    </row>
    <row r="459" customFormat="false" ht="15" hidden="false" customHeight="false" outlineLevel="0" collapsed="false">
      <c r="A459" s="11"/>
      <c r="B459" s="38"/>
      <c r="E459" s="10"/>
      <c r="I459" s="11"/>
      <c r="J459" s="10"/>
      <c r="L459" s="31" t="str">
        <f aca="false">IF($C459="","",IFERROR(IF(INDEX(campaigns!$BG$2:$BG$51,MATCH($C459,campaigns!$A$2:$A$51,0))="","",INDEX(campaigns!$BG$2:$BG$51,MATCH($C459,campaigns!$A$2:$A$51,0))),""))</f>
        <v/>
      </c>
      <c r="M459" s="30" t="str">
        <f aca="false">IF($C459="","",IF(OR($E459="received"),N($G459),IF(OR($E459="rejected",$E459="delivered",$E459="topped_up"),-N($G459),IF(AND(OR($E459="returned_to_brand",$E459="given_to_roster_office",$E459="released_to_office",$E459="disposed"),IF($F459="","reserve",$F459)="reserve"),-N($G459),IF(AND($E459="correction",IF($F459="","reserve",$F459)="reserve"),N($G459),0)))))</f>
        <v/>
      </c>
      <c r="N459" s="30" t="str">
        <f aca="false">IF($C459="","",IF($E459="rejected",N($G459),IF(AND(OR($E459="returned_to_brand",$E459="given_to_roster_office",$E459="released_to_office",$E459="disposed"),IF($F459="","reserve",$F459)="rejected"),-N($G459),IF(AND($E459="correction",IF($F459="","reserve",$F459)="rejected"),N($G459),0))))</f>
        <v/>
      </c>
      <c r="O459" s="30" t="str">
        <f aca="false">IF($C459="","",IF($E459="collected",N($G459),IF(AND(OR($E459="returned_to_brand",$E459="given_to_roster_office",$E459="released_to_office",$E459="disposed"),IF($F459="","reserve",$F459)="leftover"),-N($G459),IF(AND($E459="correction",IF($F459="","reserve",$F459)="leftover"),N($G459),0))))</f>
        <v/>
      </c>
      <c r="P459" s="30" t="str">
        <f aca="false">IF(OR($E459&lt;&gt;"received",$I459="",$L459=""),"",IF($I459&gt;=$L459+config!$B$19,"Y","N"))</f>
        <v/>
      </c>
      <c r="Q459" s="30" t="str">
        <f aca="false">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30" t="str">
        <f aca="false">IF($C459="","",$C459&amp;"|"&amp;$D459&amp;"|"&amp;$E459)</f>
        <v/>
      </c>
    </row>
    <row r="460" customFormat="false" ht="15" hidden="false" customHeight="false" outlineLevel="0" collapsed="false">
      <c r="A460" s="11"/>
      <c r="B460" s="38"/>
      <c r="E460" s="10"/>
      <c r="I460" s="11"/>
      <c r="J460" s="10"/>
      <c r="L460" s="31" t="str">
        <f aca="false">IF($C460="","",IFERROR(IF(INDEX(campaigns!$BG$2:$BG$51,MATCH($C460,campaigns!$A$2:$A$51,0))="","",INDEX(campaigns!$BG$2:$BG$51,MATCH($C460,campaigns!$A$2:$A$51,0))),""))</f>
        <v/>
      </c>
      <c r="M460" s="30" t="str">
        <f aca="false">IF($C460="","",IF(OR($E460="received"),N($G460),IF(OR($E460="rejected",$E460="delivered",$E460="topped_up"),-N($G460),IF(AND(OR($E460="returned_to_brand",$E460="given_to_roster_office",$E460="released_to_office",$E460="disposed"),IF($F460="","reserve",$F460)="reserve"),-N($G460),IF(AND($E460="correction",IF($F460="","reserve",$F460)="reserve"),N($G460),0)))))</f>
        <v/>
      </c>
      <c r="N460" s="30" t="str">
        <f aca="false">IF($C460="","",IF($E460="rejected",N($G460),IF(AND(OR($E460="returned_to_brand",$E460="given_to_roster_office",$E460="released_to_office",$E460="disposed"),IF($F460="","reserve",$F460)="rejected"),-N($G460),IF(AND($E460="correction",IF($F460="","reserve",$F460)="rejected"),N($G460),0))))</f>
        <v/>
      </c>
      <c r="O460" s="30" t="str">
        <f aca="false">IF($C460="","",IF($E460="collected",N($G460),IF(AND(OR($E460="returned_to_brand",$E460="given_to_roster_office",$E460="released_to_office",$E460="disposed"),IF($F460="","reserve",$F460)="leftover"),-N($G460),IF(AND($E460="correction",IF($F460="","reserve",$F460)="leftover"),N($G460),0))))</f>
        <v/>
      </c>
      <c r="P460" s="30" t="str">
        <f aca="false">IF(OR($E460&lt;&gt;"received",$I460="",$L460=""),"",IF($I460&gt;=$L460+config!$B$19,"Y","N"))</f>
        <v/>
      </c>
      <c r="Q460" s="30" t="str">
        <f aca="false">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30" t="str">
        <f aca="false">IF($C460="","",$C460&amp;"|"&amp;$D460&amp;"|"&amp;$E460)</f>
        <v/>
      </c>
    </row>
    <row r="461" customFormat="false" ht="15" hidden="false" customHeight="false" outlineLevel="0" collapsed="false">
      <c r="A461" s="11"/>
      <c r="B461" s="38"/>
      <c r="E461" s="10"/>
      <c r="I461" s="11"/>
      <c r="J461" s="10"/>
      <c r="L461" s="31" t="str">
        <f aca="false">IF($C461="","",IFERROR(IF(INDEX(campaigns!$BG$2:$BG$51,MATCH($C461,campaigns!$A$2:$A$51,0))="","",INDEX(campaigns!$BG$2:$BG$51,MATCH($C461,campaigns!$A$2:$A$51,0))),""))</f>
        <v/>
      </c>
      <c r="M461" s="30" t="str">
        <f aca="false">IF($C461="","",IF(OR($E461="received"),N($G461),IF(OR($E461="rejected",$E461="delivered",$E461="topped_up"),-N($G461),IF(AND(OR($E461="returned_to_brand",$E461="given_to_roster_office",$E461="released_to_office",$E461="disposed"),IF($F461="","reserve",$F461)="reserve"),-N($G461),IF(AND($E461="correction",IF($F461="","reserve",$F461)="reserve"),N($G461),0)))))</f>
        <v/>
      </c>
      <c r="N461" s="30" t="str">
        <f aca="false">IF($C461="","",IF($E461="rejected",N($G461),IF(AND(OR($E461="returned_to_brand",$E461="given_to_roster_office",$E461="released_to_office",$E461="disposed"),IF($F461="","reserve",$F461)="rejected"),-N($G461),IF(AND($E461="correction",IF($F461="","reserve",$F461)="rejected"),N($G461),0))))</f>
        <v/>
      </c>
      <c r="O461" s="30" t="str">
        <f aca="false">IF($C461="","",IF($E461="collected",N($G461),IF(AND(OR($E461="returned_to_brand",$E461="given_to_roster_office",$E461="released_to_office",$E461="disposed"),IF($F461="","reserve",$F461)="leftover"),-N($G461),IF(AND($E461="correction",IF($F461="","reserve",$F461)="leftover"),N($G461),0))))</f>
        <v/>
      </c>
      <c r="P461" s="30" t="str">
        <f aca="false">IF(OR($E461&lt;&gt;"received",$I461="",$L461=""),"",IF($I461&gt;=$L461+config!$B$19,"Y","N"))</f>
        <v/>
      </c>
      <c r="Q461" s="30" t="str">
        <f aca="false">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30" t="str">
        <f aca="false">IF($C461="","",$C461&amp;"|"&amp;$D461&amp;"|"&amp;$E461)</f>
        <v/>
      </c>
    </row>
    <row r="462" customFormat="false" ht="15" hidden="false" customHeight="false" outlineLevel="0" collapsed="false">
      <c r="A462" s="11"/>
      <c r="B462" s="38"/>
      <c r="E462" s="10"/>
      <c r="I462" s="11"/>
      <c r="J462" s="10"/>
      <c r="L462" s="31" t="str">
        <f aca="false">IF($C462="","",IFERROR(IF(INDEX(campaigns!$BG$2:$BG$51,MATCH($C462,campaigns!$A$2:$A$51,0))="","",INDEX(campaigns!$BG$2:$BG$51,MATCH($C462,campaigns!$A$2:$A$51,0))),""))</f>
        <v/>
      </c>
      <c r="M462" s="30" t="str">
        <f aca="false">IF($C462="","",IF(OR($E462="received"),N($G462),IF(OR($E462="rejected",$E462="delivered",$E462="topped_up"),-N($G462),IF(AND(OR($E462="returned_to_brand",$E462="given_to_roster_office",$E462="released_to_office",$E462="disposed"),IF($F462="","reserve",$F462)="reserve"),-N($G462),IF(AND($E462="correction",IF($F462="","reserve",$F462)="reserve"),N($G462),0)))))</f>
        <v/>
      </c>
      <c r="N462" s="30" t="str">
        <f aca="false">IF($C462="","",IF($E462="rejected",N($G462),IF(AND(OR($E462="returned_to_brand",$E462="given_to_roster_office",$E462="released_to_office",$E462="disposed"),IF($F462="","reserve",$F462)="rejected"),-N($G462),IF(AND($E462="correction",IF($F462="","reserve",$F462)="rejected"),N($G462),0))))</f>
        <v/>
      </c>
      <c r="O462" s="30" t="str">
        <f aca="false">IF($C462="","",IF($E462="collected",N($G462),IF(AND(OR($E462="returned_to_brand",$E462="given_to_roster_office",$E462="released_to_office",$E462="disposed"),IF($F462="","reserve",$F462)="leftover"),-N($G462),IF(AND($E462="correction",IF($F462="","reserve",$F462)="leftover"),N($G462),0))))</f>
        <v/>
      </c>
      <c r="P462" s="30" t="str">
        <f aca="false">IF(OR($E462&lt;&gt;"received",$I462="",$L462=""),"",IF($I462&gt;=$L462+config!$B$19,"Y","N"))</f>
        <v/>
      </c>
      <c r="Q462" s="30" t="str">
        <f aca="false">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30" t="str">
        <f aca="false">IF($C462="","",$C462&amp;"|"&amp;$D462&amp;"|"&amp;$E462)</f>
        <v/>
      </c>
    </row>
    <row r="463" customFormat="false" ht="15" hidden="false" customHeight="false" outlineLevel="0" collapsed="false">
      <c r="A463" s="11"/>
      <c r="B463" s="38"/>
      <c r="E463" s="10"/>
      <c r="I463" s="11"/>
      <c r="J463" s="10"/>
      <c r="L463" s="31" t="str">
        <f aca="false">IF($C463="","",IFERROR(IF(INDEX(campaigns!$BG$2:$BG$51,MATCH($C463,campaigns!$A$2:$A$51,0))="","",INDEX(campaigns!$BG$2:$BG$51,MATCH($C463,campaigns!$A$2:$A$51,0))),""))</f>
        <v/>
      </c>
      <c r="M463" s="30" t="str">
        <f aca="false">IF($C463="","",IF(OR($E463="received"),N($G463),IF(OR($E463="rejected",$E463="delivered",$E463="topped_up"),-N($G463),IF(AND(OR($E463="returned_to_brand",$E463="given_to_roster_office",$E463="released_to_office",$E463="disposed"),IF($F463="","reserve",$F463)="reserve"),-N($G463),IF(AND($E463="correction",IF($F463="","reserve",$F463)="reserve"),N($G463),0)))))</f>
        <v/>
      </c>
      <c r="N463" s="30" t="str">
        <f aca="false">IF($C463="","",IF($E463="rejected",N($G463),IF(AND(OR($E463="returned_to_brand",$E463="given_to_roster_office",$E463="released_to_office",$E463="disposed"),IF($F463="","reserve",$F463)="rejected"),-N($G463),IF(AND($E463="correction",IF($F463="","reserve",$F463)="rejected"),N($G463),0))))</f>
        <v/>
      </c>
      <c r="O463" s="30" t="str">
        <f aca="false">IF($C463="","",IF($E463="collected",N($G463),IF(AND(OR($E463="returned_to_brand",$E463="given_to_roster_office",$E463="released_to_office",$E463="disposed"),IF($F463="","reserve",$F463)="leftover"),-N($G463),IF(AND($E463="correction",IF($F463="","reserve",$F463)="leftover"),N($G463),0))))</f>
        <v/>
      </c>
      <c r="P463" s="30" t="str">
        <f aca="false">IF(OR($E463&lt;&gt;"received",$I463="",$L463=""),"",IF($I463&gt;=$L463+config!$B$19,"Y","N"))</f>
        <v/>
      </c>
      <c r="Q463" s="30" t="str">
        <f aca="false">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30" t="str">
        <f aca="false">IF($C463="","",$C463&amp;"|"&amp;$D463&amp;"|"&amp;$E463)</f>
        <v/>
      </c>
    </row>
    <row r="464" customFormat="false" ht="15" hidden="false" customHeight="false" outlineLevel="0" collapsed="false">
      <c r="A464" s="11"/>
      <c r="B464" s="38"/>
      <c r="E464" s="10"/>
      <c r="I464" s="11"/>
      <c r="J464" s="10"/>
      <c r="L464" s="31" t="str">
        <f aca="false">IF($C464="","",IFERROR(IF(INDEX(campaigns!$BG$2:$BG$51,MATCH($C464,campaigns!$A$2:$A$51,0))="","",INDEX(campaigns!$BG$2:$BG$51,MATCH($C464,campaigns!$A$2:$A$51,0))),""))</f>
        <v/>
      </c>
      <c r="M464" s="30" t="str">
        <f aca="false">IF($C464="","",IF(OR($E464="received"),N($G464),IF(OR($E464="rejected",$E464="delivered",$E464="topped_up"),-N($G464),IF(AND(OR($E464="returned_to_brand",$E464="given_to_roster_office",$E464="released_to_office",$E464="disposed"),IF($F464="","reserve",$F464)="reserve"),-N($G464),IF(AND($E464="correction",IF($F464="","reserve",$F464)="reserve"),N($G464),0)))))</f>
        <v/>
      </c>
      <c r="N464" s="30" t="str">
        <f aca="false">IF($C464="","",IF($E464="rejected",N($G464),IF(AND(OR($E464="returned_to_brand",$E464="given_to_roster_office",$E464="released_to_office",$E464="disposed"),IF($F464="","reserve",$F464)="rejected"),-N($G464),IF(AND($E464="correction",IF($F464="","reserve",$F464)="rejected"),N($G464),0))))</f>
        <v/>
      </c>
      <c r="O464" s="30" t="str">
        <f aca="false">IF($C464="","",IF($E464="collected",N($G464),IF(AND(OR($E464="returned_to_brand",$E464="given_to_roster_office",$E464="released_to_office",$E464="disposed"),IF($F464="","reserve",$F464)="leftover"),-N($G464),IF(AND($E464="correction",IF($F464="","reserve",$F464)="leftover"),N($G464),0))))</f>
        <v/>
      </c>
      <c r="P464" s="30" t="str">
        <f aca="false">IF(OR($E464&lt;&gt;"received",$I464="",$L464=""),"",IF($I464&gt;=$L464+config!$B$19,"Y","N"))</f>
        <v/>
      </c>
      <c r="Q464" s="30" t="str">
        <f aca="false">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30" t="str">
        <f aca="false">IF($C464="","",$C464&amp;"|"&amp;$D464&amp;"|"&amp;$E464)</f>
        <v/>
      </c>
    </row>
    <row r="465" customFormat="false" ht="15" hidden="false" customHeight="false" outlineLevel="0" collapsed="false">
      <c r="A465" s="11"/>
      <c r="B465" s="38"/>
      <c r="E465" s="10"/>
      <c r="I465" s="11"/>
      <c r="J465" s="10"/>
      <c r="L465" s="31" t="str">
        <f aca="false">IF($C465="","",IFERROR(IF(INDEX(campaigns!$BG$2:$BG$51,MATCH($C465,campaigns!$A$2:$A$51,0))="","",INDEX(campaigns!$BG$2:$BG$51,MATCH($C465,campaigns!$A$2:$A$51,0))),""))</f>
        <v/>
      </c>
      <c r="M465" s="30" t="str">
        <f aca="false">IF($C465="","",IF(OR($E465="received"),N($G465),IF(OR($E465="rejected",$E465="delivered",$E465="topped_up"),-N($G465),IF(AND(OR($E465="returned_to_brand",$E465="given_to_roster_office",$E465="released_to_office",$E465="disposed"),IF($F465="","reserve",$F465)="reserve"),-N($G465),IF(AND($E465="correction",IF($F465="","reserve",$F465)="reserve"),N($G465),0)))))</f>
        <v/>
      </c>
      <c r="N465" s="30" t="str">
        <f aca="false">IF($C465="","",IF($E465="rejected",N($G465),IF(AND(OR($E465="returned_to_brand",$E465="given_to_roster_office",$E465="released_to_office",$E465="disposed"),IF($F465="","reserve",$F465)="rejected"),-N($G465),IF(AND($E465="correction",IF($F465="","reserve",$F465)="rejected"),N($G465),0))))</f>
        <v/>
      </c>
      <c r="O465" s="30" t="str">
        <f aca="false">IF($C465="","",IF($E465="collected",N($G465),IF(AND(OR($E465="returned_to_brand",$E465="given_to_roster_office",$E465="released_to_office",$E465="disposed"),IF($F465="","reserve",$F465)="leftover"),-N($G465),IF(AND($E465="correction",IF($F465="","reserve",$F465)="leftover"),N($G465),0))))</f>
        <v/>
      </c>
      <c r="P465" s="30" t="str">
        <f aca="false">IF(OR($E465&lt;&gt;"received",$I465="",$L465=""),"",IF($I465&gt;=$L465+config!$B$19,"Y","N"))</f>
        <v/>
      </c>
      <c r="Q465" s="30" t="str">
        <f aca="false">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30" t="str">
        <f aca="false">IF($C465="","",$C465&amp;"|"&amp;$D465&amp;"|"&amp;$E465)</f>
        <v/>
      </c>
    </row>
    <row r="466" customFormat="false" ht="15" hidden="false" customHeight="false" outlineLevel="0" collapsed="false">
      <c r="A466" s="11"/>
      <c r="B466" s="38"/>
      <c r="E466" s="10"/>
      <c r="I466" s="11"/>
      <c r="J466" s="10"/>
      <c r="L466" s="31" t="str">
        <f aca="false">IF($C466="","",IFERROR(IF(INDEX(campaigns!$BG$2:$BG$51,MATCH($C466,campaigns!$A$2:$A$51,0))="","",INDEX(campaigns!$BG$2:$BG$51,MATCH($C466,campaigns!$A$2:$A$51,0))),""))</f>
        <v/>
      </c>
      <c r="M466" s="30" t="str">
        <f aca="false">IF($C466="","",IF(OR($E466="received"),N($G466),IF(OR($E466="rejected",$E466="delivered",$E466="topped_up"),-N($G466),IF(AND(OR($E466="returned_to_brand",$E466="given_to_roster_office",$E466="released_to_office",$E466="disposed"),IF($F466="","reserve",$F466)="reserve"),-N($G466),IF(AND($E466="correction",IF($F466="","reserve",$F466)="reserve"),N($G466),0)))))</f>
        <v/>
      </c>
      <c r="N466" s="30" t="str">
        <f aca="false">IF($C466="","",IF($E466="rejected",N($G466),IF(AND(OR($E466="returned_to_brand",$E466="given_to_roster_office",$E466="released_to_office",$E466="disposed"),IF($F466="","reserve",$F466)="rejected"),-N($G466),IF(AND($E466="correction",IF($F466="","reserve",$F466)="rejected"),N($G466),0))))</f>
        <v/>
      </c>
      <c r="O466" s="30" t="str">
        <f aca="false">IF($C466="","",IF($E466="collected",N($G466),IF(AND(OR($E466="returned_to_brand",$E466="given_to_roster_office",$E466="released_to_office",$E466="disposed"),IF($F466="","reserve",$F466)="leftover"),-N($G466),IF(AND($E466="correction",IF($F466="","reserve",$F466)="leftover"),N($G466),0))))</f>
        <v/>
      </c>
      <c r="P466" s="30" t="str">
        <f aca="false">IF(OR($E466&lt;&gt;"received",$I466="",$L466=""),"",IF($I466&gt;=$L466+config!$B$19,"Y","N"))</f>
        <v/>
      </c>
      <c r="Q466" s="30" t="str">
        <f aca="false">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30" t="str">
        <f aca="false">IF($C466="","",$C466&amp;"|"&amp;$D466&amp;"|"&amp;$E466)</f>
        <v/>
      </c>
    </row>
    <row r="467" customFormat="false" ht="15" hidden="false" customHeight="false" outlineLevel="0" collapsed="false">
      <c r="A467" s="11"/>
      <c r="B467" s="38"/>
      <c r="E467" s="10"/>
      <c r="I467" s="11"/>
      <c r="J467" s="10"/>
      <c r="L467" s="31" t="str">
        <f aca="false">IF($C467="","",IFERROR(IF(INDEX(campaigns!$BG$2:$BG$51,MATCH($C467,campaigns!$A$2:$A$51,0))="","",INDEX(campaigns!$BG$2:$BG$51,MATCH($C467,campaigns!$A$2:$A$51,0))),""))</f>
        <v/>
      </c>
      <c r="M467" s="30" t="str">
        <f aca="false">IF($C467="","",IF(OR($E467="received"),N($G467),IF(OR($E467="rejected",$E467="delivered",$E467="topped_up"),-N($G467),IF(AND(OR($E467="returned_to_brand",$E467="given_to_roster_office",$E467="released_to_office",$E467="disposed"),IF($F467="","reserve",$F467)="reserve"),-N($G467),IF(AND($E467="correction",IF($F467="","reserve",$F467)="reserve"),N($G467),0)))))</f>
        <v/>
      </c>
      <c r="N467" s="30" t="str">
        <f aca="false">IF($C467="","",IF($E467="rejected",N($G467),IF(AND(OR($E467="returned_to_brand",$E467="given_to_roster_office",$E467="released_to_office",$E467="disposed"),IF($F467="","reserve",$F467)="rejected"),-N($G467),IF(AND($E467="correction",IF($F467="","reserve",$F467)="rejected"),N($G467),0))))</f>
        <v/>
      </c>
      <c r="O467" s="30" t="str">
        <f aca="false">IF($C467="","",IF($E467="collected",N($G467),IF(AND(OR($E467="returned_to_brand",$E467="given_to_roster_office",$E467="released_to_office",$E467="disposed"),IF($F467="","reserve",$F467)="leftover"),-N($G467),IF(AND($E467="correction",IF($F467="","reserve",$F467)="leftover"),N($G467),0))))</f>
        <v/>
      </c>
      <c r="P467" s="30" t="str">
        <f aca="false">IF(OR($E467&lt;&gt;"received",$I467="",$L467=""),"",IF($I467&gt;=$L467+config!$B$19,"Y","N"))</f>
        <v/>
      </c>
      <c r="Q467" s="30" t="str">
        <f aca="false">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30" t="str">
        <f aca="false">IF($C467="","",$C467&amp;"|"&amp;$D467&amp;"|"&amp;$E467)</f>
        <v/>
      </c>
    </row>
    <row r="468" customFormat="false" ht="15" hidden="false" customHeight="false" outlineLevel="0" collapsed="false">
      <c r="A468" s="11"/>
      <c r="B468" s="38"/>
      <c r="E468" s="10"/>
      <c r="I468" s="11"/>
      <c r="J468" s="10"/>
      <c r="L468" s="31" t="str">
        <f aca="false">IF($C468="","",IFERROR(IF(INDEX(campaigns!$BG$2:$BG$51,MATCH($C468,campaigns!$A$2:$A$51,0))="","",INDEX(campaigns!$BG$2:$BG$51,MATCH($C468,campaigns!$A$2:$A$51,0))),""))</f>
        <v/>
      </c>
      <c r="M468" s="30" t="str">
        <f aca="false">IF($C468="","",IF(OR($E468="received"),N($G468),IF(OR($E468="rejected",$E468="delivered",$E468="topped_up"),-N($G468),IF(AND(OR($E468="returned_to_brand",$E468="given_to_roster_office",$E468="released_to_office",$E468="disposed"),IF($F468="","reserve",$F468)="reserve"),-N($G468),IF(AND($E468="correction",IF($F468="","reserve",$F468)="reserve"),N($G468),0)))))</f>
        <v/>
      </c>
      <c r="N468" s="30" t="str">
        <f aca="false">IF($C468="","",IF($E468="rejected",N($G468),IF(AND(OR($E468="returned_to_brand",$E468="given_to_roster_office",$E468="released_to_office",$E468="disposed"),IF($F468="","reserve",$F468)="rejected"),-N($G468),IF(AND($E468="correction",IF($F468="","reserve",$F468)="rejected"),N($G468),0))))</f>
        <v/>
      </c>
      <c r="O468" s="30" t="str">
        <f aca="false">IF($C468="","",IF($E468="collected",N($G468),IF(AND(OR($E468="returned_to_brand",$E468="given_to_roster_office",$E468="released_to_office",$E468="disposed"),IF($F468="","reserve",$F468)="leftover"),-N($G468),IF(AND($E468="correction",IF($F468="","reserve",$F468)="leftover"),N($G468),0))))</f>
        <v/>
      </c>
      <c r="P468" s="30" t="str">
        <f aca="false">IF(OR($E468&lt;&gt;"received",$I468="",$L468=""),"",IF($I468&gt;=$L468+config!$B$19,"Y","N"))</f>
        <v/>
      </c>
      <c r="Q468" s="30" t="str">
        <f aca="false">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30" t="str">
        <f aca="false">IF($C468="","",$C468&amp;"|"&amp;$D468&amp;"|"&amp;$E468)</f>
        <v/>
      </c>
    </row>
    <row r="469" customFormat="false" ht="15" hidden="false" customHeight="false" outlineLevel="0" collapsed="false">
      <c r="A469" s="11"/>
      <c r="B469" s="38"/>
      <c r="E469" s="10"/>
      <c r="I469" s="11"/>
      <c r="J469" s="10"/>
      <c r="L469" s="31" t="str">
        <f aca="false">IF($C469="","",IFERROR(IF(INDEX(campaigns!$BG$2:$BG$51,MATCH($C469,campaigns!$A$2:$A$51,0))="","",INDEX(campaigns!$BG$2:$BG$51,MATCH($C469,campaigns!$A$2:$A$51,0))),""))</f>
        <v/>
      </c>
      <c r="M469" s="30" t="str">
        <f aca="false">IF($C469="","",IF(OR($E469="received"),N($G469),IF(OR($E469="rejected",$E469="delivered",$E469="topped_up"),-N($G469),IF(AND(OR($E469="returned_to_brand",$E469="given_to_roster_office",$E469="released_to_office",$E469="disposed"),IF($F469="","reserve",$F469)="reserve"),-N($G469),IF(AND($E469="correction",IF($F469="","reserve",$F469)="reserve"),N($G469),0)))))</f>
        <v/>
      </c>
      <c r="N469" s="30" t="str">
        <f aca="false">IF($C469="","",IF($E469="rejected",N($G469),IF(AND(OR($E469="returned_to_brand",$E469="given_to_roster_office",$E469="released_to_office",$E469="disposed"),IF($F469="","reserve",$F469)="rejected"),-N($G469),IF(AND($E469="correction",IF($F469="","reserve",$F469)="rejected"),N($G469),0))))</f>
        <v/>
      </c>
      <c r="O469" s="30" t="str">
        <f aca="false">IF($C469="","",IF($E469="collected",N($G469),IF(AND(OR($E469="returned_to_brand",$E469="given_to_roster_office",$E469="released_to_office",$E469="disposed"),IF($F469="","reserve",$F469)="leftover"),-N($G469),IF(AND($E469="correction",IF($F469="","reserve",$F469)="leftover"),N($G469),0))))</f>
        <v/>
      </c>
      <c r="P469" s="30" t="str">
        <f aca="false">IF(OR($E469&lt;&gt;"received",$I469="",$L469=""),"",IF($I469&gt;=$L469+config!$B$19,"Y","N"))</f>
        <v/>
      </c>
      <c r="Q469" s="30" t="str">
        <f aca="false">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30" t="str">
        <f aca="false">IF($C469="","",$C469&amp;"|"&amp;$D469&amp;"|"&amp;$E469)</f>
        <v/>
      </c>
    </row>
    <row r="470" customFormat="false" ht="15" hidden="false" customHeight="false" outlineLevel="0" collapsed="false">
      <c r="A470" s="11"/>
      <c r="B470" s="38"/>
      <c r="E470" s="10"/>
      <c r="I470" s="11"/>
      <c r="J470" s="10"/>
      <c r="L470" s="31" t="str">
        <f aca="false">IF($C470="","",IFERROR(IF(INDEX(campaigns!$BG$2:$BG$51,MATCH($C470,campaigns!$A$2:$A$51,0))="","",INDEX(campaigns!$BG$2:$BG$51,MATCH($C470,campaigns!$A$2:$A$51,0))),""))</f>
        <v/>
      </c>
      <c r="M470" s="30" t="str">
        <f aca="false">IF($C470="","",IF(OR($E470="received"),N($G470),IF(OR($E470="rejected",$E470="delivered",$E470="topped_up"),-N($G470),IF(AND(OR($E470="returned_to_brand",$E470="given_to_roster_office",$E470="released_to_office",$E470="disposed"),IF($F470="","reserve",$F470)="reserve"),-N($G470),IF(AND($E470="correction",IF($F470="","reserve",$F470)="reserve"),N($G470),0)))))</f>
        <v/>
      </c>
      <c r="N470" s="30" t="str">
        <f aca="false">IF($C470="","",IF($E470="rejected",N($G470),IF(AND(OR($E470="returned_to_brand",$E470="given_to_roster_office",$E470="released_to_office",$E470="disposed"),IF($F470="","reserve",$F470)="rejected"),-N($G470),IF(AND($E470="correction",IF($F470="","reserve",$F470)="rejected"),N($G470),0))))</f>
        <v/>
      </c>
      <c r="O470" s="30" t="str">
        <f aca="false">IF($C470="","",IF($E470="collected",N($G470),IF(AND(OR($E470="returned_to_brand",$E470="given_to_roster_office",$E470="released_to_office",$E470="disposed"),IF($F470="","reserve",$F470)="leftover"),-N($G470),IF(AND($E470="correction",IF($F470="","reserve",$F470)="leftover"),N($G470),0))))</f>
        <v/>
      </c>
      <c r="P470" s="30" t="str">
        <f aca="false">IF(OR($E470&lt;&gt;"received",$I470="",$L470=""),"",IF($I470&gt;=$L470+config!$B$19,"Y","N"))</f>
        <v/>
      </c>
      <c r="Q470" s="30" t="str">
        <f aca="false">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30" t="str">
        <f aca="false">IF($C470="","",$C470&amp;"|"&amp;$D470&amp;"|"&amp;$E470)</f>
        <v/>
      </c>
    </row>
    <row r="471" customFormat="false" ht="15" hidden="false" customHeight="false" outlineLevel="0" collapsed="false">
      <c r="A471" s="11"/>
      <c r="B471" s="38"/>
      <c r="E471" s="10"/>
      <c r="I471" s="11"/>
      <c r="J471" s="10"/>
      <c r="L471" s="31" t="str">
        <f aca="false">IF($C471="","",IFERROR(IF(INDEX(campaigns!$BG$2:$BG$51,MATCH($C471,campaigns!$A$2:$A$51,0))="","",INDEX(campaigns!$BG$2:$BG$51,MATCH($C471,campaigns!$A$2:$A$51,0))),""))</f>
        <v/>
      </c>
      <c r="M471" s="30" t="str">
        <f aca="false">IF($C471="","",IF(OR($E471="received"),N($G471),IF(OR($E471="rejected",$E471="delivered",$E471="topped_up"),-N($G471),IF(AND(OR($E471="returned_to_brand",$E471="given_to_roster_office",$E471="released_to_office",$E471="disposed"),IF($F471="","reserve",$F471)="reserve"),-N($G471),IF(AND($E471="correction",IF($F471="","reserve",$F471)="reserve"),N($G471),0)))))</f>
        <v/>
      </c>
      <c r="N471" s="30" t="str">
        <f aca="false">IF($C471="","",IF($E471="rejected",N($G471),IF(AND(OR($E471="returned_to_brand",$E471="given_to_roster_office",$E471="released_to_office",$E471="disposed"),IF($F471="","reserve",$F471)="rejected"),-N($G471),IF(AND($E471="correction",IF($F471="","reserve",$F471)="rejected"),N($G471),0))))</f>
        <v/>
      </c>
      <c r="O471" s="30" t="str">
        <f aca="false">IF($C471="","",IF($E471="collected",N($G471),IF(AND(OR($E471="returned_to_brand",$E471="given_to_roster_office",$E471="released_to_office",$E471="disposed"),IF($F471="","reserve",$F471)="leftover"),-N($G471),IF(AND($E471="correction",IF($F471="","reserve",$F471)="leftover"),N($G471),0))))</f>
        <v/>
      </c>
      <c r="P471" s="30" t="str">
        <f aca="false">IF(OR($E471&lt;&gt;"received",$I471="",$L471=""),"",IF($I471&gt;=$L471+config!$B$19,"Y","N"))</f>
        <v/>
      </c>
      <c r="Q471" s="30" t="str">
        <f aca="false">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30" t="str">
        <f aca="false">IF($C471="","",$C471&amp;"|"&amp;$D471&amp;"|"&amp;$E471)</f>
        <v/>
      </c>
    </row>
    <row r="472" customFormat="false" ht="15" hidden="false" customHeight="false" outlineLevel="0" collapsed="false">
      <c r="A472" s="11"/>
      <c r="B472" s="38"/>
      <c r="E472" s="10"/>
      <c r="I472" s="11"/>
      <c r="J472" s="10"/>
      <c r="L472" s="31" t="str">
        <f aca="false">IF($C472="","",IFERROR(IF(INDEX(campaigns!$BG$2:$BG$51,MATCH($C472,campaigns!$A$2:$A$51,0))="","",INDEX(campaigns!$BG$2:$BG$51,MATCH($C472,campaigns!$A$2:$A$51,0))),""))</f>
        <v/>
      </c>
      <c r="M472" s="30" t="str">
        <f aca="false">IF($C472="","",IF(OR($E472="received"),N($G472),IF(OR($E472="rejected",$E472="delivered",$E472="topped_up"),-N($G472),IF(AND(OR($E472="returned_to_brand",$E472="given_to_roster_office",$E472="released_to_office",$E472="disposed"),IF($F472="","reserve",$F472)="reserve"),-N($G472),IF(AND($E472="correction",IF($F472="","reserve",$F472)="reserve"),N($G472),0)))))</f>
        <v/>
      </c>
      <c r="N472" s="30" t="str">
        <f aca="false">IF($C472="","",IF($E472="rejected",N($G472),IF(AND(OR($E472="returned_to_brand",$E472="given_to_roster_office",$E472="released_to_office",$E472="disposed"),IF($F472="","reserve",$F472)="rejected"),-N($G472),IF(AND($E472="correction",IF($F472="","reserve",$F472)="rejected"),N($G472),0))))</f>
        <v/>
      </c>
      <c r="O472" s="30" t="str">
        <f aca="false">IF($C472="","",IF($E472="collected",N($G472),IF(AND(OR($E472="returned_to_brand",$E472="given_to_roster_office",$E472="released_to_office",$E472="disposed"),IF($F472="","reserve",$F472)="leftover"),-N($G472),IF(AND($E472="correction",IF($F472="","reserve",$F472)="leftover"),N($G472),0))))</f>
        <v/>
      </c>
      <c r="P472" s="30" t="str">
        <f aca="false">IF(OR($E472&lt;&gt;"received",$I472="",$L472=""),"",IF($I472&gt;=$L472+config!$B$19,"Y","N"))</f>
        <v/>
      </c>
      <c r="Q472" s="30" t="str">
        <f aca="false">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30" t="str">
        <f aca="false">IF($C472="","",$C472&amp;"|"&amp;$D472&amp;"|"&amp;$E472)</f>
        <v/>
      </c>
    </row>
    <row r="473" customFormat="false" ht="15" hidden="false" customHeight="false" outlineLevel="0" collapsed="false">
      <c r="A473" s="11"/>
      <c r="B473" s="38"/>
      <c r="E473" s="10"/>
      <c r="I473" s="11"/>
      <c r="J473" s="10"/>
      <c r="L473" s="31" t="str">
        <f aca="false">IF($C473="","",IFERROR(IF(INDEX(campaigns!$BG$2:$BG$51,MATCH($C473,campaigns!$A$2:$A$51,0))="","",INDEX(campaigns!$BG$2:$BG$51,MATCH($C473,campaigns!$A$2:$A$51,0))),""))</f>
        <v/>
      </c>
      <c r="M473" s="30" t="str">
        <f aca="false">IF($C473="","",IF(OR($E473="received"),N($G473),IF(OR($E473="rejected",$E473="delivered",$E473="topped_up"),-N($G473),IF(AND(OR($E473="returned_to_brand",$E473="given_to_roster_office",$E473="released_to_office",$E473="disposed"),IF($F473="","reserve",$F473)="reserve"),-N($G473),IF(AND($E473="correction",IF($F473="","reserve",$F473)="reserve"),N($G473),0)))))</f>
        <v/>
      </c>
      <c r="N473" s="30" t="str">
        <f aca="false">IF($C473="","",IF($E473="rejected",N($G473),IF(AND(OR($E473="returned_to_brand",$E473="given_to_roster_office",$E473="released_to_office",$E473="disposed"),IF($F473="","reserve",$F473)="rejected"),-N($G473),IF(AND($E473="correction",IF($F473="","reserve",$F473)="rejected"),N($G473),0))))</f>
        <v/>
      </c>
      <c r="O473" s="30" t="str">
        <f aca="false">IF($C473="","",IF($E473="collected",N($G473),IF(AND(OR($E473="returned_to_brand",$E473="given_to_roster_office",$E473="released_to_office",$E473="disposed"),IF($F473="","reserve",$F473)="leftover"),-N($G473),IF(AND($E473="correction",IF($F473="","reserve",$F473)="leftover"),N($G473),0))))</f>
        <v/>
      </c>
      <c r="P473" s="30" t="str">
        <f aca="false">IF(OR($E473&lt;&gt;"received",$I473="",$L473=""),"",IF($I473&gt;=$L473+config!$B$19,"Y","N"))</f>
        <v/>
      </c>
      <c r="Q473" s="30" t="str">
        <f aca="false">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30" t="str">
        <f aca="false">IF($C473="","",$C473&amp;"|"&amp;$D473&amp;"|"&amp;$E473)</f>
        <v/>
      </c>
    </row>
    <row r="474" customFormat="false" ht="15" hidden="false" customHeight="false" outlineLevel="0" collapsed="false">
      <c r="A474" s="11"/>
      <c r="B474" s="38"/>
      <c r="E474" s="10"/>
      <c r="I474" s="11"/>
      <c r="J474" s="10"/>
      <c r="L474" s="31" t="str">
        <f aca="false">IF($C474="","",IFERROR(IF(INDEX(campaigns!$BG$2:$BG$51,MATCH($C474,campaigns!$A$2:$A$51,0))="","",INDEX(campaigns!$BG$2:$BG$51,MATCH($C474,campaigns!$A$2:$A$51,0))),""))</f>
        <v/>
      </c>
      <c r="M474" s="30" t="str">
        <f aca="false">IF($C474="","",IF(OR($E474="received"),N($G474),IF(OR($E474="rejected",$E474="delivered",$E474="topped_up"),-N($G474),IF(AND(OR($E474="returned_to_brand",$E474="given_to_roster_office",$E474="released_to_office",$E474="disposed"),IF($F474="","reserve",$F474)="reserve"),-N($G474),IF(AND($E474="correction",IF($F474="","reserve",$F474)="reserve"),N($G474),0)))))</f>
        <v/>
      </c>
      <c r="N474" s="30" t="str">
        <f aca="false">IF($C474="","",IF($E474="rejected",N($G474),IF(AND(OR($E474="returned_to_brand",$E474="given_to_roster_office",$E474="released_to_office",$E474="disposed"),IF($F474="","reserve",$F474)="rejected"),-N($G474),IF(AND($E474="correction",IF($F474="","reserve",$F474)="rejected"),N($G474),0))))</f>
        <v/>
      </c>
      <c r="O474" s="30" t="str">
        <f aca="false">IF($C474="","",IF($E474="collected",N($G474),IF(AND(OR($E474="returned_to_brand",$E474="given_to_roster_office",$E474="released_to_office",$E474="disposed"),IF($F474="","reserve",$F474)="leftover"),-N($G474),IF(AND($E474="correction",IF($F474="","reserve",$F474)="leftover"),N($G474),0))))</f>
        <v/>
      </c>
      <c r="P474" s="30" t="str">
        <f aca="false">IF(OR($E474&lt;&gt;"received",$I474="",$L474=""),"",IF($I474&gt;=$L474+config!$B$19,"Y","N"))</f>
        <v/>
      </c>
      <c r="Q474" s="30" t="str">
        <f aca="false">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30" t="str">
        <f aca="false">IF($C474="","",$C474&amp;"|"&amp;$D474&amp;"|"&amp;$E474)</f>
        <v/>
      </c>
    </row>
    <row r="475" customFormat="false" ht="15" hidden="false" customHeight="false" outlineLevel="0" collapsed="false">
      <c r="A475" s="11"/>
      <c r="B475" s="38"/>
      <c r="E475" s="10"/>
      <c r="I475" s="11"/>
      <c r="J475" s="10"/>
      <c r="L475" s="31" t="str">
        <f aca="false">IF($C475="","",IFERROR(IF(INDEX(campaigns!$BG$2:$BG$51,MATCH($C475,campaigns!$A$2:$A$51,0))="","",INDEX(campaigns!$BG$2:$BG$51,MATCH($C475,campaigns!$A$2:$A$51,0))),""))</f>
        <v/>
      </c>
      <c r="M475" s="30" t="str">
        <f aca="false">IF($C475="","",IF(OR($E475="received"),N($G475),IF(OR($E475="rejected",$E475="delivered",$E475="topped_up"),-N($G475),IF(AND(OR($E475="returned_to_brand",$E475="given_to_roster_office",$E475="released_to_office",$E475="disposed"),IF($F475="","reserve",$F475)="reserve"),-N($G475),IF(AND($E475="correction",IF($F475="","reserve",$F475)="reserve"),N($G475),0)))))</f>
        <v/>
      </c>
      <c r="N475" s="30" t="str">
        <f aca="false">IF($C475="","",IF($E475="rejected",N($G475),IF(AND(OR($E475="returned_to_brand",$E475="given_to_roster_office",$E475="released_to_office",$E475="disposed"),IF($F475="","reserve",$F475)="rejected"),-N($G475),IF(AND($E475="correction",IF($F475="","reserve",$F475)="rejected"),N($G475),0))))</f>
        <v/>
      </c>
      <c r="O475" s="30" t="str">
        <f aca="false">IF($C475="","",IF($E475="collected",N($G475),IF(AND(OR($E475="returned_to_brand",$E475="given_to_roster_office",$E475="released_to_office",$E475="disposed"),IF($F475="","reserve",$F475)="leftover"),-N($G475),IF(AND($E475="correction",IF($F475="","reserve",$F475)="leftover"),N($G475),0))))</f>
        <v/>
      </c>
      <c r="P475" s="30" t="str">
        <f aca="false">IF(OR($E475&lt;&gt;"received",$I475="",$L475=""),"",IF($I475&gt;=$L475+config!$B$19,"Y","N"))</f>
        <v/>
      </c>
      <c r="Q475" s="30" t="str">
        <f aca="false">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30" t="str">
        <f aca="false">IF($C475="","",$C475&amp;"|"&amp;$D475&amp;"|"&amp;$E475)</f>
        <v/>
      </c>
    </row>
    <row r="476" customFormat="false" ht="15" hidden="false" customHeight="false" outlineLevel="0" collapsed="false">
      <c r="A476" s="11"/>
      <c r="B476" s="38"/>
      <c r="E476" s="10"/>
      <c r="I476" s="11"/>
      <c r="J476" s="10"/>
      <c r="L476" s="31" t="str">
        <f aca="false">IF($C476="","",IFERROR(IF(INDEX(campaigns!$BG$2:$BG$51,MATCH($C476,campaigns!$A$2:$A$51,0))="","",INDEX(campaigns!$BG$2:$BG$51,MATCH($C476,campaigns!$A$2:$A$51,0))),""))</f>
        <v/>
      </c>
      <c r="M476" s="30" t="str">
        <f aca="false">IF($C476="","",IF(OR($E476="received"),N($G476),IF(OR($E476="rejected",$E476="delivered",$E476="topped_up"),-N($G476),IF(AND(OR($E476="returned_to_brand",$E476="given_to_roster_office",$E476="released_to_office",$E476="disposed"),IF($F476="","reserve",$F476)="reserve"),-N($G476),IF(AND($E476="correction",IF($F476="","reserve",$F476)="reserve"),N($G476),0)))))</f>
        <v/>
      </c>
      <c r="N476" s="30" t="str">
        <f aca="false">IF($C476="","",IF($E476="rejected",N($G476),IF(AND(OR($E476="returned_to_brand",$E476="given_to_roster_office",$E476="released_to_office",$E476="disposed"),IF($F476="","reserve",$F476)="rejected"),-N($G476),IF(AND($E476="correction",IF($F476="","reserve",$F476)="rejected"),N($G476),0))))</f>
        <v/>
      </c>
      <c r="O476" s="30" t="str">
        <f aca="false">IF($C476="","",IF($E476="collected",N($G476),IF(AND(OR($E476="returned_to_brand",$E476="given_to_roster_office",$E476="released_to_office",$E476="disposed"),IF($F476="","reserve",$F476)="leftover"),-N($G476),IF(AND($E476="correction",IF($F476="","reserve",$F476)="leftover"),N($G476),0))))</f>
        <v/>
      </c>
      <c r="P476" s="30" t="str">
        <f aca="false">IF(OR($E476&lt;&gt;"received",$I476="",$L476=""),"",IF($I476&gt;=$L476+config!$B$19,"Y","N"))</f>
        <v/>
      </c>
      <c r="Q476" s="30" t="str">
        <f aca="false">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30" t="str">
        <f aca="false">IF($C476="","",$C476&amp;"|"&amp;$D476&amp;"|"&amp;$E476)</f>
        <v/>
      </c>
    </row>
    <row r="477" customFormat="false" ht="15" hidden="false" customHeight="false" outlineLevel="0" collapsed="false">
      <c r="A477" s="11"/>
      <c r="B477" s="38"/>
      <c r="E477" s="10"/>
      <c r="I477" s="11"/>
      <c r="J477" s="10"/>
      <c r="L477" s="31" t="str">
        <f aca="false">IF($C477="","",IFERROR(IF(INDEX(campaigns!$BG$2:$BG$51,MATCH($C477,campaigns!$A$2:$A$51,0))="","",INDEX(campaigns!$BG$2:$BG$51,MATCH($C477,campaigns!$A$2:$A$51,0))),""))</f>
        <v/>
      </c>
      <c r="M477" s="30" t="str">
        <f aca="false">IF($C477="","",IF(OR($E477="received"),N($G477),IF(OR($E477="rejected",$E477="delivered",$E477="topped_up"),-N($G477),IF(AND(OR($E477="returned_to_brand",$E477="given_to_roster_office",$E477="released_to_office",$E477="disposed"),IF($F477="","reserve",$F477)="reserve"),-N($G477),IF(AND($E477="correction",IF($F477="","reserve",$F477)="reserve"),N($G477),0)))))</f>
        <v/>
      </c>
      <c r="N477" s="30" t="str">
        <f aca="false">IF($C477="","",IF($E477="rejected",N($G477),IF(AND(OR($E477="returned_to_brand",$E477="given_to_roster_office",$E477="released_to_office",$E477="disposed"),IF($F477="","reserve",$F477)="rejected"),-N($G477),IF(AND($E477="correction",IF($F477="","reserve",$F477)="rejected"),N($G477),0))))</f>
        <v/>
      </c>
      <c r="O477" s="30" t="str">
        <f aca="false">IF($C477="","",IF($E477="collected",N($G477),IF(AND(OR($E477="returned_to_brand",$E477="given_to_roster_office",$E477="released_to_office",$E477="disposed"),IF($F477="","reserve",$F477)="leftover"),-N($G477),IF(AND($E477="correction",IF($F477="","reserve",$F477)="leftover"),N($G477),0))))</f>
        <v/>
      </c>
      <c r="P477" s="30" t="str">
        <f aca="false">IF(OR($E477&lt;&gt;"received",$I477="",$L477=""),"",IF($I477&gt;=$L477+config!$B$19,"Y","N"))</f>
        <v/>
      </c>
      <c r="Q477" s="30" t="str">
        <f aca="false">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30" t="str">
        <f aca="false">IF($C477="","",$C477&amp;"|"&amp;$D477&amp;"|"&amp;$E477)</f>
        <v/>
      </c>
    </row>
    <row r="478" customFormat="false" ht="15" hidden="false" customHeight="false" outlineLevel="0" collapsed="false">
      <c r="A478" s="11"/>
      <c r="B478" s="38"/>
      <c r="E478" s="10"/>
      <c r="I478" s="11"/>
      <c r="J478" s="10"/>
      <c r="L478" s="31" t="str">
        <f aca="false">IF($C478="","",IFERROR(IF(INDEX(campaigns!$BG$2:$BG$51,MATCH($C478,campaigns!$A$2:$A$51,0))="","",INDEX(campaigns!$BG$2:$BG$51,MATCH($C478,campaigns!$A$2:$A$51,0))),""))</f>
        <v/>
      </c>
      <c r="M478" s="30" t="str">
        <f aca="false">IF($C478="","",IF(OR($E478="received"),N($G478),IF(OR($E478="rejected",$E478="delivered",$E478="topped_up"),-N($G478),IF(AND(OR($E478="returned_to_brand",$E478="given_to_roster_office",$E478="released_to_office",$E478="disposed"),IF($F478="","reserve",$F478)="reserve"),-N($G478),IF(AND($E478="correction",IF($F478="","reserve",$F478)="reserve"),N($G478),0)))))</f>
        <v/>
      </c>
      <c r="N478" s="30" t="str">
        <f aca="false">IF($C478="","",IF($E478="rejected",N($G478),IF(AND(OR($E478="returned_to_brand",$E478="given_to_roster_office",$E478="released_to_office",$E478="disposed"),IF($F478="","reserve",$F478)="rejected"),-N($G478),IF(AND($E478="correction",IF($F478="","reserve",$F478)="rejected"),N($G478),0))))</f>
        <v/>
      </c>
      <c r="O478" s="30" t="str">
        <f aca="false">IF($C478="","",IF($E478="collected",N($G478),IF(AND(OR($E478="returned_to_brand",$E478="given_to_roster_office",$E478="released_to_office",$E478="disposed"),IF($F478="","reserve",$F478)="leftover"),-N($G478),IF(AND($E478="correction",IF($F478="","reserve",$F478)="leftover"),N($G478),0))))</f>
        <v/>
      </c>
      <c r="P478" s="30" t="str">
        <f aca="false">IF(OR($E478&lt;&gt;"received",$I478="",$L478=""),"",IF($I478&gt;=$L478+config!$B$19,"Y","N"))</f>
        <v/>
      </c>
      <c r="Q478" s="30" t="str">
        <f aca="false">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30" t="str">
        <f aca="false">IF($C478="","",$C478&amp;"|"&amp;$D478&amp;"|"&amp;$E478)</f>
        <v/>
      </c>
    </row>
    <row r="479" customFormat="false" ht="15" hidden="false" customHeight="false" outlineLevel="0" collapsed="false">
      <c r="A479" s="11"/>
      <c r="B479" s="38"/>
      <c r="E479" s="10"/>
      <c r="I479" s="11"/>
      <c r="J479" s="10"/>
      <c r="L479" s="31" t="str">
        <f aca="false">IF($C479="","",IFERROR(IF(INDEX(campaigns!$BG$2:$BG$51,MATCH($C479,campaigns!$A$2:$A$51,0))="","",INDEX(campaigns!$BG$2:$BG$51,MATCH($C479,campaigns!$A$2:$A$51,0))),""))</f>
        <v/>
      </c>
      <c r="M479" s="30" t="str">
        <f aca="false">IF($C479="","",IF(OR($E479="received"),N($G479),IF(OR($E479="rejected",$E479="delivered",$E479="topped_up"),-N($G479),IF(AND(OR($E479="returned_to_brand",$E479="given_to_roster_office",$E479="released_to_office",$E479="disposed"),IF($F479="","reserve",$F479)="reserve"),-N($G479),IF(AND($E479="correction",IF($F479="","reserve",$F479)="reserve"),N($G479),0)))))</f>
        <v/>
      </c>
      <c r="N479" s="30" t="str">
        <f aca="false">IF($C479="","",IF($E479="rejected",N($G479),IF(AND(OR($E479="returned_to_brand",$E479="given_to_roster_office",$E479="released_to_office",$E479="disposed"),IF($F479="","reserve",$F479)="rejected"),-N($G479),IF(AND($E479="correction",IF($F479="","reserve",$F479)="rejected"),N($G479),0))))</f>
        <v/>
      </c>
      <c r="O479" s="30" t="str">
        <f aca="false">IF($C479="","",IF($E479="collected",N($G479),IF(AND(OR($E479="returned_to_brand",$E479="given_to_roster_office",$E479="released_to_office",$E479="disposed"),IF($F479="","reserve",$F479)="leftover"),-N($G479),IF(AND($E479="correction",IF($F479="","reserve",$F479)="leftover"),N($G479),0))))</f>
        <v/>
      </c>
      <c r="P479" s="30" t="str">
        <f aca="false">IF(OR($E479&lt;&gt;"received",$I479="",$L479=""),"",IF($I479&gt;=$L479+config!$B$19,"Y","N"))</f>
        <v/>
      </c>
      <c r="Q479" s="30" t="str">
        <f aca="false">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30" t="str">
        <f aca="false">IF($C479="","",$C479&amp;"|"&amp;$D479&amp;"|"&amp;$E479)</f>
        <v/>
      </c>
    </row>
    <row r="480" customFormat="false" ht="15" hidden="false" customHeight="false" outlineLevel="0" collapsed="false">
      <c r="A480" s="11"/>
      <c r="B480" s="38"/>
      <c r="E480" s="10"/>
      <c r="I480" s="11"/>
      <c r="J480" s="10"/>
      <c r="L480" s="31" t="str">
        <f aca="false">IF($C480="","",IFERROR(IF(INDEX(campaigns!$BG$2:$BG$51,MATCH($C480,campaigns!$A$2:$A$51,0))="","",INDEX(campaigns!$BG$2:$BG$51,MATCH($C480,campaigns!$A$2:$A$51,0))),""))</f>
        <v/>
      </c>
      <c r="M480" s="30" t="str">
        <f aca="false">IF($C480="","",IF(OR($E480="received"),N($G480),IF(OR($E480="rejected",$E480="delivered",$E480="topped_up"),-N($G480),IF(AND(OR($E480="returned_to_brand",$E480="given_to_roster_office",$E480="released_to_office",$E480="disposed"),IF($F480="","reserve",$F480)="reserve"),-N($G480),IF(AND($E480="correction",IF($F480="","reserve",$F480)="reserve"),N($G480),0)))))</f>
        <v/>
      </c>
      <c r="N480" s="30" t="str">
        <f aca="false">IF($C480="","",IF($E480="rejected",N($G480),IF(AND(OR($E480="returned_to_brand",$E480="given_to_roster_office",$E480="released_to_office",$E480="disposed"),IF($F480="","reserve",$F480)="rejected"),-N($G480),IF(AND($E480="correction",IF($F480="","reserve",$F480)="rejected"),N($G480),0))))</f>
        <v/>
      </c>
      <c r="O480" s="30" t="str">
        <f aca="false">IF($C480="","",IF($E480="collected",N($G480),IF(AND(OR($E480="returned_to_brand",$E480="given_to_roster_office",$E480="released_to_office",$E480="disposed"),IF($F480="","reserve",$F480)="leftover"),-N($G480),IF(AND($E480="correction",IF($F480="","reserve",$F480)="leftover"),N($G480),0))))</f>
        <v/>
      </c>
      <c r="P480" s="30" t="str">
        <f aca="false">IF(OR($E480&lt;&gt;"received",$I480="",$L480=""),"",IF($I480&gt;=$L480+config!$B$19,"Y","N"))</f>
        <v/>
      </c>
      <c r="Q480" s="30" t="str">
        <f aca="false">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30" t="str">
        <f aca="false">IF($C480="","",$C480&amp;"|"&amp;$D480&amp;"|"&amp;$E480)</f>
        <v/>
      </c>
    </row>
    <row r="481" customFormat="false" ht="15" hidden="false" customHeight="false" outlineLevel="0" collapsed="false">
      <c r="A481" s="11"/>
      <c r="B481" s="38"/>
      <c r="E481" s="10"/>
      <c r="I481" s="11"/>
      <c r="J481" s="10"/>
      <c r="L481" s="31" t="str">
        <f aca="false">IF($C481="","",IFERROR(IF(INDEX(campaigns!$BG$2:$BG$51,MATCH($C481,campaigns!$A$2:$A$51,0))="","",INDEX(campaigns!$BG$2:$BG$51,MATCH($C481,campaigns!$A$2:$A$51,0))),""))</f>
        <v/>
      </c>
      <c r="M481" s="30" t="str">
        <f aca="false">IF($C481="","",IF(OR($E481="received"),N($G481),IF(OR($E481="rejected",$E481="delivered",$E481="topped_up"),-N($G481),IF(AND(OR($E481="returned_to_brand",$E481="given_to_roster_office",$E481="released_to_office",$E481="disposed"),IF($F481="","reserve",$F481)="reserve"),-N($G481),IF(AND($E481="correction",IF($F481="","reserve",$F481)="reserve"),N($G481),0)))))</f>
        <v/>
      </c>
      <c r="N481" s="30" t="str">
        <f aca="false">IF($C481="","",IF($E481="rejected",N($G481),IF(AND(OR($E481="returned_to_brand",$E481="given_to_roster_office",$E481="released_to_office",$E481="disposed"),IF($F481="","reserve",$F481)="rejected"),-N($G481),IF(AND($E481="correction",IF($F481="","reserve",$F481)="rejected"),N($G481),0))))</f>
        <v/>
      </c>
      <c r="O481" s="30" t="str">
        <f aca="false">IF($C481="","",IF($E481="collected",N($G481),IF(AND(OR($E481="returned_to_brand",$E481="given_to_roster_office",$E481="released_to_office",$E481="disposed"),IF($F481="","reserve",$F481)="leftover"),-N($G481),IF(AND($E481="correction",IF($F481="","reserve",$F481)="leftover"),N($G481),0))))</f>
        <v/>
      </c>
      <c r="P481" s="30" t="str">
        <f aca="false">IF(OR($E481&lt;&gt;"received",$I481="",$L481=""),"",IF($I481&gt;=$L481+config!$B$19,"Y","N"))</f>
        <v/>
      </c>
      <c r="Q481" s="30" t="str">
        <f aca="false">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30" t="str">
        <f aca="false">IF($C481="","",$C481&amp;"|"&amp;$D481&amp;"|"&amp;$E481)</f>
        <v/>
      </c>
    </row>
    <row r="482" customFormat="false" ht="15" hidden="false" customHeight="false" outlineLevel="0" collapsed="false">
      <c r="A482" s="11"/>
      <c r="B482" s="38"/>
      <c r="E482" s="10"/>
      <c r="I482" s="11"/>
      <c r="J482" s="10"/>
      <c r="L482" s="31" t="str">
        <f aca="false">IF($C482="","",IFERROR(IF(INDEX(campaigns!$BG$2:$BG$51,MATCH($C482,campaigns!$A$2:$A$51,0))="","",INDEX(campaigns!$BG$2:$BG$51,MATCH($C482,campaigns!$A$2:$A$51,0))),""))</f>
        <v/>
      </c>
      <c r="M482" s="30" t="str">
        <f aca="false">IF($C482="","",IF(OR($E482="received"),N($G482),IF(OR($E482="rejected",$E482="delivered",$E482="topped_up"),-N($G482),IF(AND(OR($E482="returned_to_brand",$E482="given_to_roster_office",$E482="released_to_office",$E482="disposed"),IF($F482="","reserve",$F482)="reserve"),-N($G482),IF(AND($E482="correction",IF($F482="","reserve",$F482)="reserve"),N($G482),0)))))</f>
        <v/>
      </c>
      <c r="N482" s="30" t="str">
        <f aca="false">IF($C482="","",IF($E482="rejected",N($G482),IF(AND(OR($E482="returned_to_brand",$E482="given_to_roster_office",$E482="released_to_office",$E482="disposed"),IF($F482="","reserve",$F482)="rejected"),-N($G482),IF(AND($E482="correction",IF($F482="","reserve",$F482)="rejected"),N($G482),0))))</f>
        <v/>
      </c>
      <c r="O482" s="30" t="str">
        <f aca="false">IF($C482="","",IF($E482="collected",N($G482),IF(AND(OR($E482="returned_to_brand",$E482="given_to_roster_office",$E482="released_to_office",$E482="disposed"),IF($F482="","reserve",$F482)="leftover"),-N($G482),IF(AND($E482="correction",IF($F482="","reserve",$F482)="leftover"),N($G482),0))))</f>
        <v/>
      </c>
      <c r="P482" s="30" t="str">
        <f aca="false">IF(OR($E482&lt;&gt;"received",$I482="",$L482=""),"",IF($I482&gt;=$L482+config!$B$19,"Y","N"))</f>
        <v/>
      </c>
      <c r="Q482" s="30" t="str">
        <f aca="false">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30" t="str">
        <f aca="false">IF($C482="","",$C482&amp;"|"&amp;$D482&amp;"|"&amp;$E482)</f>
        <v/>
      </c>
    </row>
    <row r="483" customFormat="false" ht="15" hidden="false" customHeight="false" outlineLevel="0" collapsed="false">
      <c r="A483" s="11"/>
      <c r="B483" s="38"/>
      <c r="E483" s="10"/>
      <c r="I483" s="11"/>
      <c r="J483" s="10"/>
      <c r="L483" s="31" t="str">
        <f aca="false">IF($C483="","",IFERROR(IF(INDEX(campaigns!$BG$2:$BG$51,MATCH($C483,campaigns!$A$2:$A$51,0))="","",INDEX(campaigns!$BG$2:$BG$51,MATCH($C483,campaigns!$A$2:$A$51,0))),""))</f>
        <v/>
      </c>
      <c r="M483" s="30" t="str">
        <f aca="false">IF($C483="","",IF(OR($E483="received"),N($G483),IF(OR($E483="rejected",$E483="delivered",$E483="topped_up"),-N($G483),IF(AND(OR($E483="returned_to_brand",$E483="given_to_roster_office",$E483="released_to_office",$E483="disposed"),IF($F483="","reserve",$F483)="reserve"),-N($G483),IF(AND($E483="correction",IF($F483="","reserve",$F483)="reserve"),N($G483),0)))))</f>
        <v/>
      </c>
      <c r="N483" s="30" t="str">
        <f aca="false">IF($C483="","",IF($E483="rejected",N($G483),IF(AND(OR($E483="returned_to_brand",$E483="given_to_roster_office",$E483="released_to_office",$E483="disposed"),IF($F483="","reserve",$F483)="rejected"),-N($G483),IF(AND($E483="correction",IF($F483="","reserve",$F483)="rejected"),N($G483),0))))</f>
        <v/>
      </c>
      <c r="O483" s="30" t="str">
        <f aca="false">IF($C483="","",IF($E483="collected",N($G483),IF(AND(OR($E483="returned_to_brand",$E483="given_to_roster_office",$E483="released_to_office",$E483="disposed"),IF($F483="","reserve",$F483)="leftover"),-N($G483),IF(AND($E483="correction",IF($F483="","reserve",$F483)="leftover"),N($G483),0))))</f>
        <v/>
      </c>
      <c r="P483" s="30" t="str">
        <f aca="false">IF(OR($E483&lt;&gt;"received",$I483="",$L483=""),"",IF($I483&gt;=$L483+config!$B$19,"Y","N"))</f>
        <v/>
      </c>
      <c r="Q483" s="30" t="str">
        <f aca="false">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30" t="str">
        <f aca="false">IF($C483="","",$C483&amp;"|"&amp;$D483&amp;"|"&amp;$E483)</f>
        <v/>
      </c>
    </row>
    <row r="484" customFormat="false" ht="15" hidden="false" customHeight="false" outlineLevel="0" collapsed="false">
      <c r="A484" s="11"/>
      <c r="B484" s="38"/>
      <c r="E484" s="10"/>
      <c r="I484" s="11"/>
      <c r="J484" s="10"/>
      <c r="L484" s="31" t="str">
        <f aca="false">IF($C484="","",IFERROR(IF(INDEX(campaigns!$BG$2:$BG$51,MATCH($C484,campaigns!$A$2:$A$51,0))="","",INDEX(campaigns!$BG$2:$BG$51,MATCH($C484,campaigns!$A$2:$A$51,0))),""))</f>
        <v/>
      </c>
      <c r="M484" s="30" t="str">
        <f aca="false">IF($C484="","",IF(OR($E484="received"),N($G484),IF(OR($E484="rejected",$E484="delivered",$E484="topped_up"),-N($G484),IF(AND(OR($E484="returned_to_brand",$E484="given_to_roster_office",$E484="released_to_office",$E484="disposed"),IF($F484="","reserve",$F484)="reserve"),-N($G484),IF(AND($E484="correction",IF($F484="","reserve",$F484)="reserve"),N($G484),0)))))</f>
        <v/>
      </c>
      <c r="N484" s="30" t="str">
        <f aca="false">IF($C484="","",IF($E484="rejected",N($G484),IF(AND(OR($E484="returned_to_brand",$E484="given_to_roster_office",$E484="released_to_office",$E484="disposed"),IF($F484="","reserve",$F484)="rejected"),-N($G484),IF(AND($E484="correction",IF($F484="","reserve",$F484)="rejected"),N($G484),0))))</f>
        <v/>
      </c>
      <c r="O484" s="30" t="str">
        <f aca="false">IF($C484="","",IF($E484="collected",N($G484),IF(AND(OR($E484="returned_to_brand",$E484="given_to_roster_office",$E484="released_to_office",$E484="disposed"),IF($F484="","reserve",$F484)="leftover"),-N($G484),IF(AND($E484="correction",IF($F484="","reserve",$F484)="leftover"),N($G484),0))))</f>
        <v/>
      </c>
      <c r="P484" s="30" t="str">
        <f aca="false">IF(OR($E484&lt;&gt;"received",$I484="",$L484=""),"",IF($I484&gt;=$L484+config!$B$19,"Y","N"))</f>
        <v/>
      </c>
      <c r="Q484" s="30" t="str">
        <f aca="false">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30" t="str">
        <f aca="false">IF($C484="","",$C484&amp;"|"&amp;$D484&amp;"|"&amp;$E484)</f>
        <v/>
      </c>
    </row>
    <row r="485" customFormat="false" ht="15" hidden="false" customHeight="false" outlineLevel="0" collapsed="false">
      <c r="A485" s="11"/>
      <c r="B485" s="38"/>
      <c r="E485" s="10"/>
      <c r="I485" s="11"/>
      <c r="J485" s="10"/>
      <c r="L485" s="31" t="str">
        <f aca="false">IF($C485="","",IFERROR(IF(INDEX(campaigns!$BG$2:$BG$51,MATCH($C485,campaigns!$A$2:$A$51,0))="","",INDEX(campaigns!$BG$2:$BG$51,MATCH($C485,campaigns!$A$2:$A$51,0))),""))</f>
        <v/>
      </c>
      <c r="M485" s="30" t="str">
        <f aca="false">IF($C485="","",IF(OR($E485="received"),N($G485),IF(OR($E485="rejected",$E485="delivered",$E485="topped_up"),-N($G485),IF(AND(OR($E485="returned_to_brand",$E485="given_to_roster_office",$E485="released_to_office",$E485="disposed"),IF($F485="","reserve",$F485)="reserve"),-N($G485),IF(AND($E485="correction",IF($F485="","reserve",$F485)="reserve"),N($G485),0)))))</f>
        <v/>
      </c>
      <c r="N485" s="30" t="str">
        <f aca="false">IF($C485="","",IF($E485="rejected",N($G485),IF(AND(OR($E485="returned_to_brand",$E485="given_to_roster_office",$E485="released_to_office",$E485="disposed"),IF($F485="","reserve",$F485)="rejected"),-N($G485),IF(AND($E485="correction",IF($F485="","reserve",$F485)="rejected"),N($G485),0))))</f>
        <v/>
      </c>
      <c r="O485" s="30" t="str">
        <f aca="false">IF($C485="","",IF($E485="collected",N($G485),IF(AND(OR($E485="returned_to_brand",$E485="given_to_roster_office",$E485="released_to_office",$E485="disposed"),IF($F485="","reserve",$F485)="leftover"),-N($G485),IF(AND($E485="correction",IF($F485="","reserve",$F485)="leftover"),N($G485),0))))</f>
        <v/>
      </c>
      <c r="P485" s="30" t="str">
        <f aca="false">IF(OR($E485&lt;&gt;"received",$I485="",$L485=""),"",IF($I485&gt;=$L485+config!$B$19,"Y","N"))</f>
        <v/>
      </c>
      <c r="Q485" s="30" t="str">
        <f aca="false">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30" t="str">
        <f aca="false">IF($C485="","",$C485&amp;"|"&amp;$D485&amp;"|"&amp;$E485)</f>
        <v/>
      </c>
    </row>
    <row r="486" customFormat="false" ht="15" hidden="false" customHeight="false" outlineLevel="0" collapsed="false">
      <c r="A486" s="11"/>
      <c r="B486" s="38"/>
      <c r="E486" s="10"/>
      <c r="I486" s="11"/>
      <c r="J486" s="10"/>
      <c r="L486" s="31" t="str">
        <f aca="false">IF($C486="","",IFERROR(IF(INDEX(campaigns!$BG$2:$BG$51,MATCH($C486,campaigns!$A$2:$A$51,0))="","",INDEX(campaigns!$BG$2:$BG$51,MATCH($C486,campaigns!$A$2:$A$51,0))),""))</f>
        <v/>
      </c>
      <c r="M486" s="30" t="str">
        <f aca="false">IF($C486="","",IF(OR($E486="received"),N($G486),IF(OR($E486="rejected",$E486="delivered",$E486="topped_up"),-N($G486),IF(AND(OR($E486="returned_to_brand",$E486="given_to_roster_office",$E486="released_to_office",$E486="disposed"),IF($F486="","reserve",$F486)="reserve"),-N($G486),IF(AND($E486="correction",IF($F486="","reserve",$F486)="reserve"),N($G486),0)))))</f>
        <v/>
      </c>
      <c r="N486" s="30" t="str">
        <f aca="false">IF($C486="","",IF($E486="rejected",N($G486),IF(AND(OR($E486="returned_to_brand",$E486="given_to_roster_office",$E486="released_to_office",$E486="disposed"),IF($F486="","reserve",$F486)="rejected"),-N($G486),IF(AND($E486="correction",IF($F486="","reserve",$F486)="rejected"),N($G486),0))))</f>
        <v/>
      </c>
      <c r="O486" s="30" t="str">
        <f aca="false">IF($C486="","",IF($E486="collected",N($G486),IF(AND(OR($E486="returned_to_brand",$E486="given_to_roster_office",$E486="released_to_office",$E486="disposed"),IF($F486="","reserve",$F486)="leftover"),-N($G486),IF(AND($E486="correction",IF($F486="","reserve",$F486)="leftover"),N($G486),0))))</f>
        <v/>
      </c>
      <c r="P486" s="30" t="str">
        <f aca="false">IF(OR($E486&lt;&gt;"received",$I486="",$L486=""),"",IF($I486&gt;=$L486+config!$B$19,"Y","N"))</f>
        <v/>
      </c>
      <c r="Q486" s="30" t="str">
        <f aca="false">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30" t="str">
        <f aca="false">IF($C486="","",$C486&amp;"|"&amp;$D486&amp;"|"&amp;$E486)</f>
        <v/>
      </c>
    </row>
    <row r="487" customFormat="false" ht="15" hidden="false" customHeight="false" outlineLevel="0" collapsed="false">
      <c r="A487" s="11"/>
      <c r="B487" s="38"/>
      <c r="E487" s="10"/>
      <c r="I487" s="11"/>
      <c r="J487" s="10"/>
      <c r="L487" s="31" t="str">
        <f aca="false">IF($C487="","",IFERROR(IF(INDEX(campaigns!$BG$2:$BG$51,MATCH($C487,campaigns!$A$2:$A$51,0))="","",INDEX(campaigns!$BG$2:$BG$51,MATCH($C487,campaigns!$A$2:$A$51,0))),""))</f>
        <v/>
      </c>
      <c r="M487" s="30" t="str">
        <f aca="false">IF($C487="","",IF(OR($E487="received"),N($G487),IF(OR($E487="rejected",$E487="delivered",$E487="topped_up"),-N($G487),IF(AND(OR($E487="returned_to_brand",$E487="given_to_roster_office",$E487="released_to_office",$E487="disposed"),IF($F487="","reserve",$F487)="reserve"),-N($G487),IF(AND($E487="correction",IF($F487="","reserve",$F487)="reserve"),N($G487),0)))))</f>
        <v/>
      </c>
      <c r="N487" s="30" t="str">
        <f aca="false">IF($C487="","",IF($E487="rejected",N($G487),IF(AND(OR($E487="returned_to_brand",$E487="given_to_roster_office",$E487="released_to_office",$E487="disposed"),IF($F487="","reserve",$F487)="rejected"),-N($G487),IF(AND($E487="correction",IF($F487="","reserve",$F487)="rejected"),N($G487),0))))</f>
        <v/>
      </c>
      <c r="O487" s="30" t="str">
        <f aca="false">IF($C487="","",IF($E487="collected",N($G487),IF(AND(OR($E487="returned_to_brand",$E487="given_to_roster_office",$E487="released_to_office",$E487="disposed"),IF($F487="","reserve",$F487)="leftover"),-N($G487),IF(AND($E487="correction",IF($F487="","reserve",$F487)="leftover"),N($G487),0))))</f>
        <v/>
      </c>
      <c r="P487" s="30" t="str">
        <f aca="false">IF(OR($E487&lt;&gt;"received",$I487="",$L487=""),"",IF($I487&gt;=$L487+config!$B$19,"Y","N"))</f>
        <v/>
      </c>
      <c r="Q487" s="30" t="str">
        <f aca="false">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30" t="str">
        <f aca="false">IF($C487="","",$C487&amp;"|"&amp;$D487&amp;"|"&amp;$E487)</f>
        <v/>
      </c>
    </row>
    <row r="488" customFormat="false" ht="15" hidden="false" customHeight="false" outlineLevel="0" collapsed="false">
      <c r="A488" s="11"/>
      <c r="B488" s="38"/>
      <c r="E488" s="10"/>
      <c r="I488" s="11"/>
      <c r="J488" s="10"/>
      <c r="L488" s="31" t="str">
        <f aca="false">IF($C488="","",IFERROR(IF(INDEX(campaigns!$BG$2:$BG$51,MATCH($C488,campaigns!$A$2:$A$51,0))="","",INDEX(campaigns!$BG$2:$BG$51,MATCH($C488,campaigns!$A$2:$A$51,0))),""))</f>
        <v/>
      </c>
      <c r="M488" s="30" t="str">
        <f aca="false">IF($C488="","",IF(OR($E488="received"),N($G488),IF(OR($E488="rejected",$E488="delivered",$E488="topped_up"),-N($G488),IF(AND(OR($E488="returned_to_brand",$E488="given_to_roster_office",$E488="released_to_office",$E488="disposed"),IF($F488="","reserve",$F488)="reserve"),-N($G488),IF(AND($E488="correction",IF($F488="","reserve",$F488)="reserve"),N($G488),0)))))</f>
        <v/>
      </c>
      <c r="N488" s="30" t="str">
        <f aca="false">IF($C488="","",IF($E488="rejected",N($G488),IF(AND(OR($E488="returned_to_brand",$E488="given_to_roster_office",$E488="released_to_office",$E488="disposed"),IF($F488="","reserve",$F488)="rejected"),-N($G488),IF(AND($E488="correction",IF($F488="","reserve",$F488)="rejected"),N($G488),0))))</f>
        <v/>
      </c>
      <c r="O488" s="30" t="str">
        <f aca="false">IF($C488="","",IF($E488="collected",N($G488),IF(AND(OR($E488="returned_to_brand",$E488="given_to_roster_office",$E488="released_to_office",$E488="disposed"),IF($F488="","reserve",$F488)="leftover"),-N($G488),IF(AND($E488="correction",IF($F488="","reserve",$F488)="leftover"),N($G488),0))))</f>
        <v/>
      </c>
      <c r="P488" s="30" t="str">
        <f aca="false">IF(OR($E488&lt;&gt;"received",$I488="",$L488=""),"",IF($I488&gt;=$L488+config!$B$19,"Y","N"))</f>
        <v/>
      </c>
      <c r="Q488" s="30" t="str">
        <f aca="false">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30" t="str">
        <f aca="false">IF($C488="","",$C488&amp;"|"&amp;$D488&amp;"|"&amp;$E488)</f>
        <v/>
      </c>
    </row>
    <row r="489" customFormat="false" ht="15" hidden="false" customHeight="false" outlineLevel="0" collapsed="false">
      <c r="A489" s="11"/>
      <c r="B489" s="38"/>
      <c r="E489" s="10"/>
      <c r="I489" s="11"/>
      <c r="J489" s="10"/>
      <c r="L489" s="31" t="str">
        <f aca="false">IF($C489="","",IFERROR(IF(INDEX(campaigns!$BG$2:$BG$51,MATCH($C489,campaigns!$A$2:$A$51,0))="","",INDEX(campaigns!$BG$2:$BG$51,MATCH($C489,campaigns!$A$2:$A$51,0))),""))</f>
        <v/>
      </c>
      <c r="M489" s="30" t="str">
        <f aca="false">IF($C489="","",IF(OR($E489="received"),N($G489),IF(OR($E489="rejected",$E489="delivered",$E489="topped_up"),-N($G489),IF(AND(OR($E489="returned_to_brand",$E489="given_to_roster_office",$E489="released_to_office",$E489="disposed"),IF($F489="","reserve",$F489)="reserve"),-N($G489),IF(AND($E489="correction",IF($F489="","reserve",$F489)="reserve"),N($G489),0)))))</f>
        <v/>
      </c>
      <c r="N489" s="30" t="str">
        <f aca="false">IF($C489="","",IF($E489="rejected",N($G489),IF(AND(OR($E489="returned_to_brand",$E489="given_to_roster_office",$E489="released_to_office",$E489="disposed"),IF($F489="","reserve",$F489)="rejected"),-N($G489),IF(AND($E489="correction",IF($F489="","reserve",$F489)="rejected"),N($G489),0))))</f>
        <v/>
      </c>
      <c r="O489" s="30" t="str">
        <f aca="false">IF($C489="","",IF($E489="collected",N($G489),IF(AND(OR($E489="returned_to_brand",$E489="given_to_roster_office",$E489="released_to_office",$E489="disposed"),IF($F489="","reserve",$F489)="leftover"),-N($G489),IF(AND($E489="correction",IF($F489="","reserve",$F489)="leftover"),N($G489),0))))</f>
        <v/>
      </c>
      <c r="P489" s="30" t="str">
        <f aca="false">IF(OR($E489&lt;&gt;"received",$I489="",$L489=""),"",IF($I489&gt;=$L489+config!$B$19,"Y","N"))</f>
        <v/>
      </c>
      <c r="Q489" s="30" t="str">
        <f aca="false">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30" t="str">
        <f aca="false">IF($C489="","",$C489&amp;"|"&amp;$D489&amp;"|"&amp;$E489)</f>
        <v/>
      </c>
    </row>
    <row r="490" customFormat="false" ht="15" hidden="false" customHeight="false" outlineLevel="0" collapsed="false">
      <c r="A490" s="11"/>
      <c r="B490" s="38"/>
      <c r="E490" s="10"/>
      <c r="I490" s="11"/>
      <c r="J490" s="10"/>
      <c r="L490" s="31" t="str">
        <f aca="false">IF($C490="","",IFERROR(IF(INDEX(campaigns!$BG$2:$BG$51,MATCH($C490,campaigns!$A$2:$A$51,0))="","",INDEX(campaigns!$BG$2:$BG$51,MATCH($C490,campaigns!$A$2:$A$51,0))),""))</f>
        <v/>
      </c>
      <c r="M490" s="30" t="str">
        <f aca="false">IF($C490="","",IF(OR($E490="received"),N($G490),IF(OR($E490="rejected",$E490="delivered",$E490="topped_up"),-N($G490),IF(AND(OR($E490="returned_to_brand",$E490="given_to_roster_office",$E490="released_to_office",$E490="disposed"),IF($F490="","reserve",$F490)="reserve"),-N($G490),IF(AND($E490="correction",IF($F490="","reserve",$F490)="reserve"),N($G490),0)))))</f>
        <v/>
      </c>
      <c r="N490" s="30" t="str">
        <f aca="false">IF($C490="","",IF($E490="rejected",N($G490),IF(AND(OR($E490="returned_to_brand",$E490="given_to_roster_office",$E490="released_to_office",$E490="disposed"),IF($F490="","reserve",$F490)="rejected"),-N($G490),IF(AND($E490="correction",IF($F490="","reserve",$F490)="rejected"),N($G490),0))))</f>
        <v/>
      </c>
      <c r="O490" s="30" t="str">
        <f aca="false">IF($C490="","",IF($E490="collected",N($G490),IF(AND(OR($E490="returned_to_brand",$E490="given_to_roster_office",$E490="released_to_office",$E490="disposed"),IF($F490="","reserve",$F490)="leftover"),-N($G490),IF(AND($E490="correction",IF($F490="","reserve",$F490)="leftover"),N($G490),0))))</f>
        <v/>
      </c>
      <c r="P490" s="30" t="str">
        <f aca="false">IF(OR($E490&lt;&gt;"received",$I490="",$L490=""),"",IF($I490&gt;=$L490+config!$B$19,"Y","N"))</f>
        <v/>
      </c>
      <c r="Q490" s="30" t="str">
        <f aca="false">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30" t="str">
        <f aca="false">IF($C490="","",$C490&amp;"|"&amp;$D490&amp;"|"&amp;$E490)</f>
        <v/>
      </c>
    </row>
    <row r="491" customFormat="false" ht="15" hidden="false" customHeight="false" outlineLevel="0" collapsed="false">
      <c r="A491" s="11"/>
      <c r="B491" s="38"/>
      <c r="E491" s="10"/>
      <c r="I491" s="11"/>
      <c r="J491" s="10"/>
      <c r="L491" s="31" t="str">
        <f aca="false">IF($C491="","",IFERROR(IF(INDEX(campaigns!$BG$2:$BG$51,MATCH($C491,campaigns!$A$2:$A$51,0))="","",INDEX(campaigns!$BG$2:$BG$51,MATCH($C491,campaigns!$A$2:$A$51,0))),""))</f>
        <v/>
      </c>
      <c r="M491" s="30" t="str">
        <f aca="false">IF($C491="","",IF(OR($E491="received"),N($G491),IF(OR($E491="rejected",$E491="delivered",$E491="topped_up"),-N($G491),IF(AND(OR($E491="returned_to_brand",$E491="given_to_roster_office",$E491="released_to_office",$E491="disposed"),IF($F491="","reserve",$F491)="reserve"),-N($G491),IF(AND($E491="correction",IF($F491="","reserve",$F491)="reserve"),N($G491),0)))))</f>
        <v/>
      </c>
      <c r="N491" s="30" t="str">
        <f aca="false">IF($C491="","",IF($E491="rejected",N($G491),IF(AND(OR($E491="returned_to_brand",$E491="given_to_roster_office",$E491="released_to_office",$E491="disposed"),IF($F491="","reserve",$F491)="rejected"),-N($G491),IF(AND($E491="correction",IF($F491="","reserve",$F491)="rejected"),N($G491),0))))</f>
        <v/>
      </c>
      <c r="O491" s="30" t="str">
        <f aca="false">IF($C491="","",IF($E491="collected",N($G491),IF(AND(OR($E491="returned_to_brand",$E491="given_to_roster_office",$E491="released_to_office",$E491="disposed"),IF($F491="","reserve",$F491)="leftover"),-N($G491),IF(AND($E491="correction",IF($F491="","reserve",$F491)="leftover"),N($G491),0))))</f>
        <v/>
      </c>
      <c r="P491" s="30" t="str">
        <f aca="false">IF(OR($E491&lt;&gt;"received",$I491="",$L491=""),"",IF($I491&gt;=$L491+config!$B$19,"Y","N"))</f>
        <v/>
      </c>
      <c r="Q491" s="30" t="str">
        <f aca="false">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30" t="str">
        <f aca="false">IF($C491="","",$C491&amp;"|"&amp;$D491&amp;"|"&amp;$E491)</f>
        <v/>
      </c>
    </row>
    <row r="492" customFormat="false" ht="15" hidden="false" customHeight="false" outlineLevel="0" collapsed="false">
      <c r="A492" s="11"/>
      <c r="B492" s="38"/>
      <c r="E492" s="10"/>
      <c r="I492" s="11"/>
      <c r="J492" s="10"/>
      <c r="L492" s="31" t="str">
        <f aca="false">IF($C492="","",IFERROR(IF(INDEX(campaigns!$BG$2:$BG$51,MATCH($C492,campaigns!$A$2:$A$51,0))="","",INDEX(campaigns!$BG$2:$BG$51,MATCH($C492,campaigns!$A$2:$A$51,0))),""))</f>
        <v/>
      </c>
      <c r="M492" s="30" t="str">
        <f aca="false">IF($C492="","",IF(OR($E492="received"),N($G492),IF(OR($E492="rejected",$E492="delivered",$E492="topped_up"),-N($G492),IF(AND(OR($E492="returned_to_brand",$E492="given_to_roster_office",$E492="released_to_office",$E492="disposed"),IF($F492="","reserve",$F492)="reserve"),-N($G492),IF(AND($E492="correction",IF($F492="","reserve",$F492)="reserve"),N($G492),0)))))</f>
        <v/>
      </c>
      <c r="N492" s="30" t="str">
        <f aca="false">IF($C492="","",IF($E492="rejected",N($G492),IF(AND(OR($E492="returned_to_brand",$E492="given_to_roster_office",$E492="released_to_office",$E492="disposed"),IF($F492="","reserve",$F492)="rejected"),-N($G492),IF(AND($E492="correction",IF($F492="","reserve",$F492)="rejected"),N($G492),0))))</f>
        <v/>
      </c>
      <c r="O492" s="30" t="str">
        <f aca="false">IF($C492="","",IF($E492="collected",N($G492),IF(AND(OR($E492="returned_to_brand",$E492="given_to_roster_office",$E492="released_to_office",$E492="disposed"),IF($F492="","reserve",$F492)="leftover"),-N($G492),IF(AND($E492="correction",IF($F492="","reserve",$F492)="leftover"),N($G492),0))))</f>
        <v/>
      </c>
      <c r="P492" s="30" t="str">
        <f aca="false">IF(OR($E492&lt;&gt;"received",$I492="",$L492=""),"",IF($I492&gt;=$L492+config!$B$19,"Y","N"))</f>
        <v/>
      </c>
      <c r="Q492" s="30" t="str">
        <f aca="false">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30" t="str">
        <f aca="false">IF($C492="","",$C492&amp;"|"&amp;$D492&amp;"|"&amp;$E492)</f>
        <v/>
      </c>
    </row>
    <row r="493" customFormat="false" ht="15" hidden="false" customHeight="false" outlineLevel="0" collapsed="false">
      <c r="A493" s="11"/>
      <c r="B493" s="38"/>
      <c r="E493" s="10"/>
      <c r="I493" s="11"/>
      <c r="J493" s="10"/>
      <c r="L493" s="31" t="str">
        <f aca="false">IF($C493="","",IFERROR(IF(INDEX(campaigns!$BG$2:$BG$51,MATCH($C493,campaigns!$A$2:$A$51,0))="","",INDEX(campaigns!$BG$2:$BG$51,MATCH($C493,campaigns!$A$2:$A$51,0))),""))</f>
        <v/>
      </c>
      <c r="M493" s="30" t="str">
        <f aca="false">IF($C493="","",IF(OR($E493="received"),N($G493),IF(OR($E493="rejected",$E493="delivered",$E493="topped_up"),-N($G493),IF(AND(OR($E493="returned_to_brand",$E493="given_to_roster_office",$E493="released_to_office",$E493="disposed"),IF($F493="","reserve",$F493)="reserve"),-N($G493),IF(AND($E493="correction",IF($F493="","reserve",$F493)="reserve"),N($G493),0)))))</f>
        <v/>
      </c>
      <c r="N493" s="30" t="str">
        <f aca="false">IF($C493="","",IF($E493="rejected",N($G493),IF(AND(OR($E493="returned_to_brand",$E493="given_to_roster_office",$E493="released_to_office",$E493="disposed"),IF($F493="","reserve",$F493)="rejected"),-N($G493),IF(AND($E493="correction",IF($F493="","reserve",$F493)="rejected"),N($G493),0))))</f>
        <v/>
      </c>
      <c r="O493" s="30" t="str">
        <f aca="false">IF($C493="","",IF($E493="collected",N($G493),IF(AND(OR($E493="returned_to_brand",$E493="given_to_roster_office",$E493="released_to_office",$E493="disposed"),IF($F493="","reserve",$F493)="leftover"),-N($G493),IF(AND($E493="correction",IF($F493="","reserve",$F493)="leftover"),N($G493),0))))</f>
        <v/>
      </c>
      <c r="P493" s="30" t="str">
        <f aca="false">IF(OR($E493&lt;&gt;"received",$I493="",$L493=""),"",IF($I493&gt;=$L493+config!$B$19,"Y","N"))</f>
        <v/>
      </c>
      <c r="Q493" s="30" t="str">
        <f aca="false">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30" t="str">
        <f aca="false">IF($C493="","",$C493&amp;"|"&amp;$D493&amp;"|"&amp;$E493)</f>
        <v/>
      </c>
    </row>
    <row r="494" customFormat="false" ht="15" hidden="false" customHeight="false" outlineLevel="0" collapsed="false">
      <c r="A494" s="11"/>
      <c r="B494" s="38"/>
      <c r="E494" s="10"/>
      <c r="I494" s="11"/>
      <c r="J494" s="10"/>
      <c r="L494" s="31" t="str">
        <f aca="false">IF($C494="","",IFERROR(IF(INDEX(campaigns!$BG$2:$BG$51,MATCH($C494,campaigns!$A$2:$A$51,0))="","",INDEX(campaigns!$BG$2:$BG$51,MATCH($C494,campaigns!$A$2:$A$51,0))),""))</f>
        <v/>
      </c>
      <c r="M494" s="30" t="str">
        <f aca="false">IF($C494="","",IF(OR($E494="received"),N($G494),IF(OR($E494="rejected",$E494="delivered",$E494="topped_up"),-N($G494),IF(AND(OR($E494="returned_to_brand",$E494="given_to_roster_office",$E494="released_to_office",$E494="disposed"),IF($F494="","reserve",$F494)="reserve"),-N($G494),IF(AND($E494="correction",IF($F494="","reserve",$F494)="reserve"),N($G494),0)))))</f>
        <v/>
      </c>
      <c r="N494" s="30" t="str">
        <f aca="false">IF($C494="","",IF($E494="rejected",N($G494),IF(AND(OR($E494="returned_to_brand",$E494="given_to_roster_office",$E494="released_to_office",$E494="disposed"),IF($F494="","reserve",$F494)="rejected"),-N($G494),IF(AND($E494="correction",IF($F494="","reserve",$F494)="rejected"),N($G494),0))))</f>
        <v/>
      </c>
      <c r="O494" s="30" t="str">
        <f aca="false">IF($C494="","",IF($E494="collected",N($G494),IF(AND(OR($E494="returned_to_brand",$E494="given_to_roster_office",$E494="released_to_office",$E494="disposed"),IF($F494="","reserve",$F494)="leftover"),-N($G494),IF(AND($E494="correction",IF($F494="","reserve",$F494)="leftover"),N($G494),0))))</f>
        <v/>
      </c>
      <c r="P494" s="30" t="str">
        <f aca="false">IF(OR($E494&lt;&gt;"received",$I494="",$L494=""),"",IF($I494&gt;=$L494+config!$B$19,"Y","N"))</f>
        <v/>
      </c>
      <c r="Q494" s="30" t="str">
        <f aca="false">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30" t="str">
        <f aca="false">IF($C494="","",$C494&amp;"|"&amp;$D494&amp;"|"&amp;$E494)</f>
        <v/>
      </c>
    </row>
    <row r="495" customFormat="false" ht="15" hidden="false" customHeight="false" outlineLevel="0" collapsed="false">
      <c r="A495" s="11"/>
      <c r="B495" s="38"/>
      <c r="E495" s="10"/>
      <c r="I495" s="11"/>
      <c r="J495" s="10"/>
      <c r="L495" s="31" t="str">
        <f aca="false">IF($C495="","",IFERROR(IF(INDEX(campaigns!$BG$2:$BG$51,MATCH($C495,campaigns!$A$2:$A$51,0))="","",INDEX(campaigns!$BG$2:$BG$51,MATCH($C495,campaigns!$A$2:$A$51,0))),""))</f>
        <v/>
      </c>
      <c r="M495" s="30" t="str">
        <f aca="false">IF($C495="","",IF(OR($E495="received"),N($G495),IF(OR($E495="rejected",$E495="delivered",$E495="topped_up"),-N($G495),IF(AND(OR($E495="returned_to_brand",$E495="given_to_roster_office",$E495="released_to_office",$E495="disposed"),IF($F495="","reserve",$F495)="reserve"),-N($G495),IF(AND($E495="correction",IF($F495="","reserve",$F495)="reserve"),N($G495),0)))))</f>
        <v/>
      </c>
      <c r="N495" s="30" t="str">
        <f aca="false">IF($C495="","",IF($E495="rejected",N($G495),IF(AND(OR($E495="returned_to_brand",$E495="given_to_roster_office",$E495="released_to_office",$E495="disposed"),IF($F495="","reserve",$F495)="rejected"),-N($G495),IF(AND($E495="correction",IF($F495="","reserve",$F495)="rejected"),N($G495),0))))</f>
        <v/>
      </c>
      <c r="O495" s="30" t="str">
        <f aca="false">IF($C495="","",IF($E495="collected",N($G495),IF(AND(OR($E495="returned_to_brand",$E495="given_to_roster_office",$E495="released_to_office",$E495="disposed"),IF($F495="","reserve",$F495)="leftover"),-N($G495),IF(AND($E495="correction",IF($F495="","reserve",$F495)="leftover"),N($G495),0))))</f>
        <v/>
      </c>
      <c r="P495" s="30" t="str">
        <f aca="false">IF(OR($E495&lt;&gt;"received",$I495="",$L495=""),"",IF($I495&gt;=$L495+config!$B$19,"Y","N"))</f>
        <v/>
      </c>
      <c r="Q495" s="30" t="str">
        <f aca="false">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30" t="str">
        <f aca="false">IF($C495="","",$C495&amp;"|"&amp;$D495&amp;"|"&amp;$E495)</f>
        <v/>
      </c>
    </row>
    <row r="496" customFormat="false" ht="15" hidden="false" customHeight="false" outlineLevel="0" collapsed="false">
      <c r="A496" s="11"/>
      <c r="B496" s="38"/>
      <c r="E496" s="10"/>
      <c r="I496" s="11"/>
      <c r="J496" s="10"/>
      <c r="L496" s="31" t="str">
        <f aca="false">IF($C496="","",IFERROR(IF(INDEX(campaigns!$BG$2:$BG$51,MATCH($C496,campaigns!$A$2:$A$51,0))="","",INDEX(campaigns!$BG$2:$BG$51,MATCH($C496,campaigns!$A$2:$A$51,0))),""))</f>
        <v/>
      </c>
      <c r="M496" s="30" t="str">
        <f aca="false">IF($C496="","",IF(OR($E496="received"),N($G496),IF(OR($E496="rejected",$E496="delivered",$E496="topped_up"),-N($G496),IF(AND(OR($E496="returned_to_brand",$E496="given_to_roster_office",$E496="released_to_office",$E496="disposed"),IF($F496="","reserve",$F496)="reserve"),-N($G496),IF(AND($E496="correction",IF($F496="","reserve",$F496)="reserve"),N($G496),0)))))</f>
        <v/>
      </c>
      <c r="N496" s="30" t="str">
        <f aca="false">IF($C496="","",IF($E496="rejected",N($G496),IF(AND(OR($E496="returned_to_brand",$E496="given_to_roster_office",$E496="released_to_office",$E496="disposed"),IF($F496="","reserve",$F496)="rejected"),-N($G496),IF(AND($E496="correction",IF($F496="","reserve",$F496)="rejected"),N($G496),0))))</f>
        <v/>
      </c>
      <c r="O496" s="30" t="str">
        <f aca="false">IF($C496="","",IF($E496="collected",N($G496),IF(AND(OR($E496="returned_to_brand",$E496="given_to_roster_office",$E496="released_to_office",$E496="disposed"),IF($F496="","reserve",$F496)="leftover"),-N($G496),IF(AND($E496="correction",IF($F496="","reserve",$F496)="leftover"),N($G496),0))))</f>
        <v/>
      </c>
      <c r="P496" s="30" t="str">
        <f aca="false">IF(OR($E496&lt;&gt;"received",$I496="",$L496=""),"",IF($I496&gt;=$L496+config!$B$19,"Y","N"))</f>
        <v/>
      </c>
      <c r="Q496" s="30" t="str">
        <f aca="false">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30" t="str">
        <f aca="false">IF($C496="","",$C496&amp;"|"&amp;$D496&amp;"|"&amp;$E496)</f>
        <v/>
      </c>
    </row>
    <row r="497" customFormat="false" ht="15" hidden="false" customHeight="false" outlineLevel="0" collapsed="false">
      <c r="A497" s="11"/>
      <c r="B497" s="38"/>
      <c r="E497" s="10"/>
      <c r="I497" s="11"/>
      <c r="J497" s="10"/>
      <c r="L497" s="31" t="str">
        <f aca="false">IF($C497="","",IFERROR(IF(INDEX(campaigns!$BG$2:$BG$51,MATCH($C497,campaigns!$A$2:$A$51,0))="","",INDEX(campaigns!$BG$2:$BG$51,MATCH($C497,campaigns!$A$2:$A$51,0))),""))</f>
        <v/>
      </c>
      <c r="M497" s="30" t="str">
        <f aca="false">IF($C497="","",IF(OR($E497="received"),N($G497),IF(OR($E497="rejected",$E497="delivered",$E497="topped_up"),-N($G497),IF(AND(OR($E497="returned_to_brand",$E497="given_to_roster_office",$E497="released_to_office",$E497="disposed"),IF($F497="","reserve",$F497)="reserve"),-N($G497),IF(AND($E497="correction",IF($F497="","reserve",$F497)="reserve"),N($G497),0)))))</f>
        <v/>
      </c>
      <c r="N497" s="30" t="str">
        <f aca="false">IF($C497="","",IF($E497="rejected",N($G497),IF(AND(OR($E497="returned_to_brand",$E497="given_to_roster_office",$E497="released_to_office",$E497="disposed"),IF($F497="","reserve",$F497)="rejected"),-N($G497),IF(AND($E497="correction",IF($F497="","reserve",$F497)="rejected"),N($G497),0))))</f>
        <v/>
      </c>
      <c r="O497" s="30" t="str">
        <f aca="false">IF($C497="","",IF($E497="collected",N($G497),IF(AND(OR($E497="returned_to_brand",$E497="given_to_roster_office",$E497="released_to_office",$E497="disposed"),IF($F497="","reserve",$F497)="leftover"),-N($G497),IF(AND($E497="correction",IF($F497="","reserve",$F497)="leftover"),N($G497),0))))</f>
        <v/>
      </c>
      <c r="P497" s="30" t="str">
        <f aca="false">IF(OR($E497&lt;&gt;"received",$I497="",$L497=""),"",IF($I497&gt;=$L497+config!$B$19,"Y","N"))</f>
        <v/>
      </c>
      <c r="Q497" s="30" t="str">
        <f aca="false">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30" t="str">
        <f aca="false">IF($C497="","",$C497&amp;"|"&amp;$D497&amp;"|"&amp;$E497)</f>
        <v/>
      </c>
    </row>
    <row r="498" customFormat="false" ht="15" hidden="false" customHeight="false" outlineLevel="0" collapsed="false">
      <c r="A498" s="11"/>
      <c r="B498" s="38"/>
      <c r="E498" s="10"/>
      <c r="I498" s="11"/>
      <c r="J498" s="10"/>
      <c r="L498" s="31" t="str">
        <f aca="false">IF($C498="","",IFERROR(IF(INDEX(campaigns!$BG$2:$BG$51,MATCH($C498,campaigns!$A$2:$A$51,0))="","",INDEX(campaigns!$BG$2:$BG$51,MATCH($C498,campaigns!$A$2:$A$51,0))),""))</f>
        <v/>
      </c>
      <c r="M498" s="30" t="str">
        <f aca="false">IF($C498="","",IF(OR($E498="received"),N($G498),IF(OR($E498="rejected",$E498="delivered",$E498="topped_up"),-N($G498),IF(AND(OR($E498="returned_to_brand",$E498="given_to_roster_office",$E498="released_to_office",$E498="disposed"),IF($F498="","reserve",$F498)="reserve"),-N($G498),IF(AND($E498="correction",IF($F498="","reserve",$F498)="reserve"),N($G498),0)))))</f>
        <v/>
      </c>
      <c r="N498" s="30" t="str">
        <f aca="false">IF($C498="","",IF($E498="rejected",N($G498),IF(AND(OR($E498="returned_to_brand",$E498="given_to_roster_office",$E498="released_to_office",$E498="disposed"),IF($F498="","reserve",$F498)="rejected"),-N($G498),IF(AND($E498="correction",IF($F498="","reserve",$F498)="rejected"),N($G498),0))))</f>
        <v/>
      </c>
      <c r="O498" s="30" t="str">
        <f aca="false">IF($C498="","",IF($E498="collected",N($G498),IF(AND(OR($E498="returned_to_brand",$E498="given_to_roster_office",$E498="released_to_office",$E498="disposed"),IF($F498="","reserve",$F498)="leftover"),-N($G498),IF(AND($E498="correction",IF($F498="","reserve",$F498)="leftover"),N($G498),0))))</f>
        <v/>
      </c>
      <c r="P498" s="30" t="str">
        <f aca="false">IF(OR($E498&lt;&gt;"received",$I498="",$L498=""),"",IF($I498&gt;=$L498+config!$B$19,"Y","N"))</f>
        <v/>
      </c>
      <c r="Q498" s="30" t="str">
        <f aca="false">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30" t="str">
        <f aca="false">IF($C498="","",$C498&amp;"|"&amp;$D498&amp;"|"&amp;$E498)</f>
        <v/>
      </c>
    </row>
    <row r="499" customFormat="false" ht="15" hidden="false" customHeight="false" outlineLevel="0" collapsed="false">
      <c r="A499" s="11"/>
      <c r="B499" s="38"/>
      <c r="E499" s="10"/>
      <c r="I499" s="11"/>
      <c r="J499" s="10"/>
      <c r="L499" s="31" t="str">
        <f aca="false">IF($C499="","",IFERROR(IF(INDEX(campaigns!$BG$2:$BG$51,MATCH($C499,campaigns!$A$2:$A$51,0))="","",INDEX(campaigns!$BG$2:$BG$51,MATCH($C499,campaigns!$A$2:$A$51,0))),""))</f>
        <v/>
      </c>
      <c r="M499" s="30" t="str">
        <f aca="false">IF($C499="","",IF(OR($E499="received"),N($G499),IF(OR($E499="rejected",$E499="delivered",$E499="topped_up"),-N($G499),IF(AND(OR($E499="returned_to_brand",$E499="given_to_roster_office",$E499="released_to_office",$E499="disposed"),IF($F499="","reserve",$F499)="reserve"),-N($G499),IF(AND($E499="correction",IF($F499="","reserve",$F499)="reserve"),N($G499),0)))))</f>
        <v/>
      </c>
      <c r="N499" s="30" t="str">
        <f aca="false">IF($C499="","",IF($E499="rejected",N($G499),IF(AND(OR($E499="returned_to_brand",$E499="given_to_roster_office",$E499="released_to_office",$E499="disposed"),IF($F499="","reserve",$F499)="rejected"),-N($G499),IF(AND($E499="correction",IF($F499="","reserve",$F499)="rejected"),N($G499),0))))</f>
        <v/>
      </c>
      <c r="O499" s="30" t="str">
        <f aca="false">IF($C499="","",IF($E499="collected",N($G499),IF(AND(OR($E499="returned_to_brand",$E499="given_to_roster_office",$E499="released_to_office",$E499="disposed"),IF($F499="","reserve",$F499)="leftover"),-N($G499),IF(AND($E499="correction",IF($F499="","reserve",$F499)="leftover"),N($G499),0))))</f>
        <v/>
      </c>
      <c r="P499" s="30" t="str">
        <f aca="false">IF(OR($E499&lt;&gt;"received",$I499="",$L499=""),"",IF($I499&gt;=$L499+config!$B$19,"Y","N"))</f>
        <v/>
      </c>
      <c r="Q499" s="30" t="str">
        <f aca="false">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30" t="str">
        <f aca="false">IF($C499="","",$C499&amp;"|"&amp;$D499&amp;"|"&amp;$E499)</f>
        <v/>
      </c>
    </row>
    <row r="500" customFormat="false" ht="15" hidden="false" customHeight="false" outlineLevel="0" collapsed="false">
      <c r="A500" s="11"/>
      <c r="B500" s="38"/>
      <c r="E500" s="10"/>
      <c r="I500" s="11"/>
      <c r="J500" s="10"/>
      <c r="L500" s="31" t="str">
        <f aca="false">IF($C500="","",IFERROR(IF(INDEX(campaigns!$BG$2:$BG$51,MATCH($C500,campaigns!$A$2:$A$51,0))="","",INDEX(campaigns!$BG$2:$BG$51,MATCH($C500,campaigns!$A$2:$A$51,0))),""))</f>
        <v/>
      </c>
      <c r="M500" s="30" t="str">
        <f aca="false">IF($C500="","",IF(OR($E500="received"),N($G500),IF(OR($E500="rejected",$E500="delivered",$E500="topped_up"),-N($G500),IF(AND(OR($E500="returned_to_brand",$E500="given_to_roster_office",$E500="released_to_office",$E500="disposed"),IF($F500="","reserve",$F500)="reserve"),-N($G500),IF(AND($E500="correction",IF($F500="","reserve",$F500)="reserve"),N($G500),0)))))</f>
        <v/>
      </c>
      <c r="N500" s="30" t="str">
        <f aca="false">IF($C500="","",IF($E500="rejected",N($G500),IF(AND(OR($E500="returned_to_brand",$E500="given_to_roster_office",$E500="released_to_office",$E500="disposed"),IF($F500="","reserve",$F500)="rejected"),-N($G500),IF(AND($E500="correction",IF($F500="","reserve",$F500)="rejected"),N($G500),0))))</f>
        <v/>
      </c>
      <c r="O500" s="30" t="str">
        <f aca="false">IF($C500="","",IF($E500="collected",N($G500),IF(AND(OR($E500="returned_to_brand",$E500="given_to_roster_office",$E500="released_to_office",$E500="disposed"),IF($F500="","reserve",$F500)="leftover"),-N($G500),IF(AND($E500="correction",IF($F500="","reserve",$F500)="leftover"),N($G500),0))))</f>
        <v/>
      </c>
      <c r="P500" s="30" t="str">
        <f aca="false">IF(OR($E500&lt;&gt;"received",$I500="",$L500=""),"",IF($I500&gt;=$L500+config!$B$19,"Y","N"))</f>
        <v/>
      </c>
      <c r="Q500" s="30" t="str">
        <f aca="false">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30" t="str">
        <f aca="false">IF($C500="","",$C500&amp;"|"&amp;$D500&amp;"|"&amp;$E500)</f>
        <v/>
      </c>
    </row>
    <row r="501" customFormat="false" ht="15" hidden="false" customHeight="false" outlineLevel="0" collapsed="false">
      <c r="A501" s="11"/>
      <c r="B501" s="38"/>
      <c r="E501" s="10"/>
      <c r="I501" s="11"/>
      <c r="J501" s="10"/>
      <c r="L501" s="31" t="str">
        <f aca="false">IF($C501="","",IFERROR(IF(INDEX(campaigns!$BG$2:$BG$51,MATCH($C501,campaigns!$A$2:$A$51,0))="","",INDEX(campaigns!$BG$2:$BG$51,MATCH($C501,campaigns!$A$2:$A$51,0))),""))</f>
        <v/>
      </c>
      <c r="M501" s="30" t="str">
        <f aca="false">IF($C501="","",IF(OR($E501="received"),N($G501),IF(OR($E501="rejected",$E501="delivered",$E501="topped_up"),-N($G501),IF(AND(OR($E501="returned_to_brand",$E501="given_to_roster_office",$E501="released_to_office",$E501="disposed"),IF($F501="","reserve",$F501)="reserve"),-N($G501),IF(AND($E501="correction",IF($F501="","reserve",$F501)="reserve"),N($G501),0)))))</f>
        <v/>
      </c>
      <c r="N501" s="30" t="str">
        <f aca="false">IF($C501="","",IF($E501="rejected",N($G501),IF(AND(OR($E501="returned_to_brand",$E501="given_to_roster_office",$E501="released_to_office",$E501="disposed"),IF($F501="","reserve",$F501)="rejected"),-N($G501),IF(AND($E501="correction",IF($F501="","reserve",$F501)="rejected"),N($G501),0))))</f>
        <v/>
      </c>
      <c r="O501" s="30" t="str">
        <f aca="false">IF($C501="","",IF($E501="collected",N($G501),IF(AND(OR($E501="returned_to_brand",$E501="given_to_roster_office",$E501="released_to_office",$E501="disposed"),IF($F501="","reserve",$F501)="leftover"),-N($G501),IF(AND($E501="correction",IF($F501="","reserve",$F501)="leftover"),N($G501),0))))</f>
        <v/>
      </c>
      <c r="P501" s="30" t="str">
        <f aca="false">IF(OR($E501&lt;&gt;"received",$I501="",$L501=""),"",IF($I501&gt;=$L501+config!$B$19,"Y","N"))</f>
        <v/>
      </c>
      <c r="Q501" s="30" t="str">
        <f aca="false">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30" t="str">
        <f aca="false">IF($C501="","",$C501&amp;"|"&amp;$D501&amp;"|"&amp;$E501)</f>
        <v/>
      </c>
    </row>
    <row r="502" customFormat="false" ht="15" hidden="false" customHeight="false" outlineLevel="0" collapsed="false">
      <c r="A502" s="11"/>
      <c r="B502" s="38"/>
      <c r="E502" s="10"/>
      <c r="I502" s="11"/>
      <c r="J502" s="10"/>
      <c r="L502" s="31" t="str">
        <f aca="false">IF($C502="","",IFERROR(IF(INDEX(campaigns!$BG$2:$BG$51,MATCH($C502,campaigns!$A$2:$A$51,0))="","",INDEX(campaigns!$BG$2:$BG$51,MATCH($C502,campaigns!$A$2:$A$51,0))),""))</f>
        <v/>
      </c>
      <c r="M502" s="30" t="str">
        <f aca="false">IF($C502="","",IF(OR($E502="received"),N($G502),IF(OR($E502="rejected",$E502="delivered",$E502="topped_up"),-N($G502),IF(AND(OR($E502="returned_to_brand",$E502="given_to_roster_office",$E502="released_to_office",$E502="disposed"),IF($F502="","reserve",$F502)="reserve"),-N($G502),IF(AND($E502="correction",IF($F502="","reserve",$F502)="reserve"),N($G502),0)))))</f>
        <v/>
      </c>
      <c r="N502" s="30" t="str">
        <f aca="false">IF($C502="","",IF($E502="rejected",N($G502),IF(AND(OR($E502="returned_to_brand",$E502="given_to_roster_office",$E502="released_to_office",$E502="disposed"),IF($F502="","reserve",$F502)="rejected"),-N($G502),IF(AND($E502="correction",IF($F502="","reserve",$F502)="rejected"),N($G502),0))))</f>
        <v/>
      </c>
      <c r="O502" s="30" t="str">
        <f aca="false">IF($C502="","",IF($E502="collected",N($G502),IF(AND(OR($E502="returned_to_brand",$E502="given_to_roster_office",$E502="released_to_office",$E502="disposed"),IF($F502="","reserve",$F502)="leftover"),-N($G502),IF(AND($E502="correction",IF($F502="","reserve",$F502)="leftover"),N($G502),0))))</f>
        <v/>
      </c>
      <c r="P502" s="30" t="str">
        <f aca="false">IF(OR($E502&lt;&gt;"received",$I502="",$L502=""),"",IF($I502&gt;=$L502+config!$B$19,"Y","N"))</f>
        <v/>
      </c>
      <c r="Q502" s="30" t="str">
        <f aca="false">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30" t="str">
        <f aca="false">IF($C502="","",$C502&amp;"|"&amp;$D502&amp;"|"&amp;$E502)</f>
        <v/>
      </c>
    </row>
    <row r="503" customFormat="false" ht="15" hidden="false" customHeight="false" outlineLevel="0" collapsed="false">
      <c r="A503" s="11"/>
      <c r="B503" s="38"/>
      <c r="E503" s="10"/>
      <c r="I503" s="11"/>
      <c r="J503" s="10"/>
      <c r="L503" s="31" t="str">
        <f aca="false">IF($C503="","",IFERROR(IF(INDEX(campaigns!$BG$2:$BG$51,MATCH($C503,campaigns!$A$2:$A$51,0))="","",INDEX(campaigns!$BG$2:$BG$51,MATCH($C503,campaigns!$A$2:$A$51,0))),""))</f>
        <v/>
      </c>
      <c r="M503" s="30" t="str">
        <f aca="false">IF($C503="","",IF(OR($E503="received"),N($G503),IF(OR($E503="rejected",$E503="delivered",$E503="topped_up"),-N($G503),IF(AND(OR($E503="returned_to_brand",$E503="given_to_roster_office",$E503="released_to_office",$E503="disposed"),IF($F503="","reserve",$F503)="reserve"),-N($G503),IF(AND($E503="correction",IF($F503="","reserve",$F503)="reserve"),N($G503),0)))))</f>
        <v/>
      </c>
      <c r="N503" s="30" t="str">
        <f aca="false">IF($C503="","",IF($E503="rejected",N($G503),IF(AND(OR($E503="returned_to_brand",$E503="given_to_roster_office",$E503="released_to_office",$E503="disposed"),IF($F503="","reserve",$F503)="rejected"),-N($G503),IF(AND($E503="correction",IF($F503="","reserve",$F503)="rejected"),N($G503),0))))</f>
        <v/>
      </c>
      <c r="O503" s="30" t="str">
        <f aca="false">IF($C503="","",IF($E503="collected",N($G503),IF(AND(OR($E503="returned_to_brand",$E503="given_to_roster_office",$E503="released_to_office",$E503="disposed"),IF($F503="","reserve",$F503)="leftover"),-N($G503),IF(AND($E503="correction",IF($F503="","reserve",$F503)="leftover"),N($G503),0))))</f>
        <v/>
      </c>
      <c r="P503" s="30" t="str">
        <f aca="false">IF(OR($E503&lt;&gt;"received",$I503="",$L503=""),"",IF($I503&gt;=$L503+config!$B$19,"Y","N"))</f>
        <v/>
      </c>
      <c r="Q503" s="30" t="str">
        <f aca="false">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30" t="str">
        <f aca="false">IF($C503="","",$C503&amp;"|"&amp;$D503&amp;"|"&amp;$E503)</f>
        <v/>
      </c>
    </row>
    <row r="504" customFormat="false" ht="15" hidden="false" customHeight="false" outlineLevel="0" collapsed="false">
      <c r="A504" s="11"/>
      <c r="B504" s="38"/>
      <c r="E504" s="10"/>
      <c r="I504" s="11"/>
      <c r="J504" s="10"/>
      <c r="L504" s="31" t="str">
        <f aca="false">IF($C504="","",IFERROR(IF(INDEX(campaigns!$BG$2:$BG$51,MATCH($C504,campaigns!$A$2:$A$51,0))="","",INDEX(campaigns!$BG$2:$BG$51,MATCH($C504,campaigns!$A$2:$A$51,0))),""))</f>
        <v/>
      </c>
      <c r="M504" s="30" t="str">
        <f aca="false">IF($C504="","",IF(OR($E504="received"),N($G504),IF(OR($E504="rejected",$E504="delivered",$E504="topped_up"),-N($G504),IF(AND(OR($E504="returned_to_brand",$E504="given_to_roster_office",$E504="released_to_office",$E504="disposed"),IF($F504="","reserve",$F504)="reserve"),-N($G504),IF(AND($E504="correction",IF($F504="","reserve",$F504)="reserve"),N($G504),0)))))</f>
        <v/>
      </c>
      <c r="N504" s="30" t="str">
        <f aca="false">IF($C504="","",IF($E504="rejected",N($G504),IF(AND(OR($E504="returned_to_brand",$E504="given_to_roster_office",$E504="released_to_office",$E504="disposed"),IF($F504="","reserve",$F504)="rejected"),-N($G504),IF(AND($E504="correction",IF($F504="","reserve",$F504)="rejected"),N($G504),0))))</f>
        <v/>
      </c>
      <c r="O504" s="30" t="str">
        <f aca="false">IF($C504="","",IF($E504="collected",N($G504),IF(AND(OR($E504="returned_to_brand",$E504="given_to_roster_office",$E504="released_to_office",$E504="disposed"),IF($F504="","reserve",$F504)="leftover"),-N($G504),IF(AND($E504="correction",IF($F504="","reserve",$F504)="leftover"),N($G504),0))))</f>
        <v/>
      </c>
      <c r="P504" s="30" t="str">
        <f aca="false">IF(OR($E504&lt;&gt;"received",$I504="",$L504=""),"",IF($I504&gt;=$L504+config!$B$19,"Y","N"))</f>
        <v/>
      </c>
      <c r="Q504" s="30" t="str">
        <f aca="false">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30" t="str">
        <f aca="false">IF($C504="","",$C504&amp;"|"&amp;$D504&amp;"|"&amp;$E504)</f>
        <v/>
      </c>
    </row>
    <row r="505" customFormat="false" ht="15" hidden="false" customHeight="false" outlineLevel="0" collapsed="false">
      <c r="A505" s="11"/>
      <c r="B505" s="38"/>
      <c r="E505" s="10"/>
      <c r="I505" s="11"/>
      <c r="J505" s="10"/>
      <c r="L505" s="31" t="str">
        <f aca="false">IF($C505="","",IFERROR(IF(INDEX(campaigns!$BG$2:$BG$51,MATCH($C505,campaigns!$A$2:$A$51,0))="","",INDEX(campaigns!$BG$2:$BG$51,MATCH($C505,campaigns!$A$2:$A$51,0))),""))</f>
        <v/>
      </c>
      <c r="M505" s="30" t="str">
        <f aca="false">IF($C505="","",IF(OR($E505="received"),N($G505),IF(OR($E505="rejected",$E505="delivered",$E505="topped_up"),-N($G505),IF(AND(OR($E505="returned_to_brand",$E505="given_to_roster_office",$E505="released_to_office",$E505="disposed"),IF($F505="","reserve",$F505)="reserve"),-N($G505),IF(AND($E505="correction",IF($F505="","reserve",$F505)="reserve"),N($G505),0)))))</f>
        <v/>
      </c>
      <c r="N505" s="30" t="str">
        <f aca="false">IF($C505="","",IF($E505="rejected",N($G505),IF(AND(OR($E505="returned_to_brand",$E505="given_to_roster_office",$E505="released_to_office",$E505="disposed"),IF($F505="","reserve",$F505)="rejected"),-N($G505),IF(AND($E505="correction",IF($F505="","reserve",$F505)="rejected"),N($G505),0))))</f>
        <v/>
      </c>
      <c r="O505" s="30" t="str">
        <f aca="false">IF($C505="","",IF($E505="collected",N($G505),IF(AND(OR($E505="returned_to_brand",$E505="given_to_roster_office",$E505="released_to_office",$E505="disposed"),IF($F505="","reserve",$F505)="leftover"),-N($G505),IF(AND($E505="correction",IF($F505="","reserve",$F505)="leftover"),N($G505),0))))</f>
        <v/>
      </c>
      <c r="P505" s="30" t="str">
        <f aca="false">IF(OR($E505&lt;&gt;"received",$I505="",$L505=""),"",IF($I505&gt;=$L505+config!$B$19,"Y","N"))</f>
        <v/>
      </c>
      <c r="Q505" s="30" t="str">
        <f aca="false">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30" t="str">
        <f aca="false">IF($C505="","",$C505&amp;"|"&amp;$D505&amp;"|"&amp;$E505)</f>
        <v/>
      </c>
    </row>
    <row r="506" customFormat="false" ht="15" hidden="false" customHeight="false" outlineLevel="0" collapsed="false">
      <c r="A506" s="11"/>
      <c r="B506" s="38"/>
      <c r="E506" s="10"/>
      <c r="I506" s="11"/>
      <c r="J506" s="10"/>
      <c r="L506" s="31" t="str">
        <f aca="false">IF($C506="","",IFERROR(IF(INDEX(campaigns!$BG$2:$BG$51,MATCH($C506,campaigns!$A$2:$A$51,0))="","",INDEX(campaigns!$BG$2:$BG$51,MATCH($C506,campaigns!$A$2:$A$51,0))),""))</f>
        <v/>
      </c>
      <c r="M506" s="30" t="str">
        <f aca="false">IF($C506="","",IF(OR($E506="received"),N($G506),IF(OR($E506="rejected",$E506="delivered",$E506="topped_up"),-N($G506),IF(AND(OR($E506="returned_to_brand",$E506="given_to_roster_office",$E506="released_to_office",$E506="disposed"),IF($F506="","reserve",$F506)="reserve"),-N($G506),IF(AND($E506="correction",IF($F506="","reserve",$F506)="reserve"),N($G506),0)))))</f>
        <v/>
      </c>
      <c r="N506" s="30" t="str">
        <f aca="false">IF($C506="","",IF($E506="rejected",N($G506),IF(AND(OR($E506="returned_to_brand",$E506="given_to_roster_office",$E506="released_to_office",$E506="disposed"),IF($F506="","reserve",$F506)="rejected"),-N($G506),IF(AND($E506="correction",IF($F506="","reserve",$F506)="rejected"),N($G506),0))))</f>
        <v/>
      </c>
      <c r="O506" s="30" t="str">
        <f aca="false">IF($C506="","",IF($E506="collected",N($G506),IF(AND(OR($E506="returned_to_brand",$E506="given_to_roster_office",$E506="released_to_office",$E506="disposed"),IF($F506="","reserve",$F506)="leftover"),-N($G506),IF(AND($E506="correction",IF($F506="","reserve",$F506)="leftover"),N($G506),0))))</f>
        <v/>
      </c>
      <c r="P506" s="30" t="str">
        <f aca="false">IF(OR($E506&lt;&gt;"received",$I506="",$L506=""),"",IF($I506&gt;=$L506+config!$B$19,"Y","N"))</f>
        <v/>
      </c>
      <c r="Q506" s="30" t="str">
        <f aca="false">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30" t="str">
        <f aca="false">IF($C506="","",$C506&amp;"|"&amp;$D506&amp;"|"&amp;$E506)</f>
        <v/>
      </c>
    </row>
    <row r="507" customFormat="false" ht="15" hidden="false" customHeight="false" outlineLevel="0" collapsed="false">
      <c r="A507" s="11"/>
      <c r="B507" s="38"/>
      <c r="E507" s="10"/>
      <c r="I507" s="11"/>
      <c r="J507" s="10"/>
      <c r="L507" s="31" t="str">
        <f aca="false">IF($C507="","",IFERROR(IF(INDEX(campaigns!$BG$2:$BG$51,MATCH($C507,campaigns!$A$2:$A$51,0))="","",INDEX(campaigns!$BG$2:$BG$51,MATCH($C507,campaigns!$A$2:$A$51,0))),""))</f>
        <v/>
      </c>
      <c r="M507" s="30" t="str">
        <f aca="false">IF($C507="","",IF(OR($E507="received"),N($G507),IF(OR($E507="rejected",$E507="delivered",$E507="topped_up"),-N($G507),IF(AND(OR($E507="returned_to_brand",$E507="given_to_roster_office",$E507="released_to_office",$E507="disposed"),IF($F507="","reserve",$F507)="reserve"),-N($G507),IF(AND($E507="correction",IF($F507="","reserve",$F507)="reserve"),N($G507),0)))))</f>
        <v/>
      </c>
      <c r="N507" s="30" t="str">
        <f aca="false">IF($C507="","",IF($E507="rejected",N($G507),IF(AND(OR($E507="returned_to_brand",$E507="given_to_roster_office",$E507="released_to_office",$E507="disposed"),IF($F507="","reserve",$F507)="rejected"),-N($G507),IF(AND($E507="correction",IF($F507="","reserve",$F507)="rejected"),N($G507),0))))</f>
        <v/>
      </c>
      <c r="O507" s="30" t="str">
        <f aca="false">IF($C507="","",IF($E507="collected",N($G507),IF(AND(OR($E507="returned_to_brand",$E507="given_to_roster_office",$E507="released_to_office",$E507="disposed"),IF($F507="","reserve",$F507)="leftover"),-N($G507),IF(AND($E507="correction",IF($F507="","reserve",$F507)="leftover"),N($G507),0))))</f>
        <v/>
      </c>
      <c r="P507" s="30" t="str">
        <f aca="false">IF(OR($E507&lt;&gt;"received",$I507="",$L507=""),"",IF($I507&gt;=$L507+config!$B$19,"Y","N"))</f>
        <v/>
      </c>
      <c r="Q507" s="30" t="str">
        <f aca="false">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30" t="str">
        <f aca="false">IF($C507="","",$C507&amp;"|"&amp;$D507&amp;"|"&amp;$E507)</f>
        <v/>
      </c>
    </row>
    <row r="508" customFormat="false" ht="15" hidden="false" customHeight="false" outlineLevel="0" collapsed="false">
      <c r="A508" s="11"/>
      <c r="B508" s="38"/>
      <c r="E508" s="10"/>
      <c r="I508" s="11"/>
      <c r="J508" s="10"/>
      <c r="L508" s="31" t="str">
        <f aca="false">IF($C508="","",IFERROR(IF(INDEX(campaigns!$BG$2:$BG$51,MATCH($C508,campaigns!$A$2:$A$51,0))="","",INDEX(campaigns!$BG$2:$BG$51,MATCH($C508,campaigns!$A$2:$A$51,0))),""))</f>
        <v/>
      </c>
      <c r="M508" s="30" t="str">
        <f aca="false">IF($C508="","",IF(OR($E508="received"),N($G508),IF(OR($E508="rejected",$E508="delivered",$E508="topped_up"),-N($G508),IF(AND(OR($E508="returned_to_brand",$E508="given_to_roster_office",$E508="released_to_office",$E508="disposed"),IF($F508="","reserve",$F508)="reserve"),-N($G508),IF(AND($E508="correction",IF($F508="","reserve",$F508)="reserve"),N($G508),0)))))</f>
        <v/>
      </c>
      <c r="N508" s="30" t="str">
        <f aca="false">IF($C508="","",IF($E508="rejected",N($G508),IF(AND(OR($E508="returned_to_brand",$E508="given_to_roster_office",$E508="released_to_office",$E508="disposed"),IF($F508="","reserve",$F508)="rejected"),-N($G508),IF(AND($E508="correction",IF($F508="","reserve",$F508)="rejected"),N($G508),0))))</f>
        <v/>
      </c>
      <c r="O508" s="30" t="str">
        <f aca="false">IF($C508="","",IF($E508="collected",N($G508),IF(AND(OR($E508="returned_to_brand",$E508="given_to_roster_office",$E508="released_to_office",$E508="disposed"),IF($F508="","reserve",$F508)="leftover"),-N($G508),IF(AND($E508="correction",IF($F508="","reserve",$F508)="leftover"),N($G508),0))))</f>
        <v/>
      </c>
      <c r="P508" s="30" t="str">
        <f aca="false">IF(OR($E508&lt;&gt;"received",$I508="",$L508=""),"",IF($I508&gt;=$L508+config!$B$19,"Y","N"))</f>
        <v/>
      </c>
      <c r="Q508" s="30" t="str">
        <f aca="false">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30" t="str">
        <f aca="false">IF($C508="","",$C508&amp;"|"&amp;$D508&amp;"|"&amp;$E508)</f>
        <v/>
      </c>
    </row>
    <row r="509" customFormat="false" ht="15" hidden="false" customHeight="false" outlineLevel="0" collapsed="false">
      <c r="A509" s="11"/>
      <c r="B509" s="38"/>
      <c r="E509" s="10"/>
      <c r="I509" s="11"/>
      <c r="J509" s="10"/>
      <c r="L509" s="31" t="str">
        <f aca="false">IF($C509="","",IFERROR(IF(INDEX(campaigns!$BG$2:$BG$51,MATCH($C509,campaigns!$A$2:$A$51,0))="","",INDEX(campaigns!$BG$2:$BG$51,MATCH($C509,campaigns!$A$2:$A$51,0))),""))</f>
        <v/>
      </c>
      <c r="M509" s="30" t="str">
        <f aca="false">IF($C509="","",IF(OR($E509="received"),N($G509),IF(OR($E509="rejected",$E509="delivered",$E509="topped_up"),-N($G509),IF(AND(OR($E509="returned_to_brand",$E509="given_to_roster_office",$E509="released_to_office",$E509="disposed"),IF($F509="","reserve",$F509)="reserve"),-N($G509),IF(AND($E509="correction",IF($F509="","reserve",$F509)="reserve"),N($G509),0)))))</f>
        <v/>
      </c>
      <c r="N509" s="30" t="str">
        <f aca="false">IF($C509="","",IF($E509="rejected",N($G509),IF(AND(OR($E509="returned_to_brand",$E509="given_to_roster_office",$E509="released_to_office",$E509="disposed"),IF($F509="","reserve",$F509)="rejected"),-N($G509),IF(AND($E509="correction",IF($F509="","reserve",$F509)="rejected"),N($G509),0))))</f>
        <v/>
      </c>
      <c r="O509" s="30" t="str">
        <f aca="false">IF($C509="","",IF($E509="collected",N($G509),IF(AND(OR($E509="returned_to_brand",$E509="given_to_roster_office",$E509="released_to_office",$E509="disposed"),IF($F509="","reserve",$F509)="leftover"),-N($G509),IF(AND($E509="correction",IF($F509="","reserve",$F509)="leftover"),N($G509),0))))</f>
        <v/>
      </c>
      <c r="P509" s="30" t="str">
        <f aca="false">IF(OR($E509&lt;&gt;"received",$I509="",$L509=""),"",IF($I509&gt;=$L509+config!$B$19,"Y","N"))</f>
        <v/>
      </c>
      <c r="Q509" s="30" t="str">
        <f aca="false">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30" t="str">
        <f aca="false">IF($C509="","",$C509&amp;"|"&amp;$D509&amp;"|"&amp;$E509)</f>
        <v/>
      </c>
    </row>
    <row r="510" customFormat="false" ht="15" hidden="false" customHeight="false" outlineLevel="0" collapsed="false">
      <c r="A510" s="11"/>
      <c r="B510" s="38"/>
      <c r="E510" s="10"/>
      <c r="I510" s="11"/>
      <c r="J510" s="10"/>
      <c r="L510" s="31" t="str">
        <f aca="false">IF($C510="","",IFERROR(IF(INDEX(campaigns!$BG$2:$BG$51,MATCH($C510,campaigns!$A$2:$A$51,0))="","",INDEX(campaigns!$BG$2:$BG$51,MATCH($C510,campaigns!$A$2:$A$51,0))),""))</f>
        <v/>
      </c>
      <c r="M510" s="30" t="str">
        <f aca="false">IF($C510="","",IF(OR($E510="received"),N($G510),IF(OR($E510="rejected",$E510="delivered",$E510="topped_up"),-N($G510),IF(AND(OR($E510="returned_to_brand",$E510="given_to_roster_office",$E510="released_to_office",$E510="disposed"),IF($F510="","reserve",$F510)="reserve"),-N($G510),IF(AND($E510="correction",IF($F510="","reserve",$F510)="reserve"),N($G510),0)))))</f>
        <v/>
      </c>
      <c r="N510" s="30" t="str">
        <f aca="false">IF($C510="","",IF($E510="rejected",N($G510),IF(AND(OR($E510="returned_to_brand",$E510="given_to_roster_office",$E510="released_to_office",$E510="disposed"),IF($F510="","reserve",$F510)="rejected"),-N($G510),IF(AND($E510="correction",IF($F510="","reserve",$F510)="rejected"),N($G510),0))))</f>
        <v/>
      </c>
      <c r="O510" s="30" t="str">
        <f aca="false">IF($C510="","",IF($E510="collected",N($G510),IF(AND(OR($E510="returned_to_brand",$E510="given_to_roster_office",$E510="released_to_office",$E510="disposed"),IF($F510="","reserve",$F510)="leftover"),-N($G510),IF(AND($E510="correction",IF($F510="","reserve",$F510)="leftover"),N($G510),0))))</f>
        <v/>
      </c>
      <c r="P510" s="30" t="str">
        <f aca="false">IF(OR($E510&lt;&gt;"received",$I510="",$L510=""),"",IF($I510&gt;=$L510+config!$B$19,"Y","N"))</f>
        <v/>
      </c>
      <c r="Q510" s="30" t="str">
        <f aca="false">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30" t="str">
        <f aca="false">IF($C510="","",$C510&amp;"|"&amp;$D510&amp;"|"&amp;$E510)</f>
        <v/>
      </c>
    </row>
    <row r="511" customFormat="false" ht="15" hidden="false" customHeight="false" outlineLevel="0" collapsed="false">
      <c r="A511" s="11"/>
      <c r="B511" s="38"/>
      <c r="E511" s="10"/>
      <c r="I511" s="11"/>
      <c r="J511" s="10"/>
      <c r="L511" s="31" t="str">
        <f aca="false">IF($C511="","",IFERROR(IF(INDEX(campaigns!$BG$2:$BG$51,MATCH($C511,campaigns!$A$2:$A$51,0))="","",INDEX(campaigns!$BG$2:$BG$51,MATCH($C511,campaigns!$A$2:$A$51,0))),""))</f>
        <v/>
      </c>
      <c r="M511" s="30" t="str">
        <f aca="false">IF($C511="","",IF(OR($E511="received"),N($G511),IF(OR($E511="rejected",$E511="delivered",$E511="topped_up"),-N($G511),IF(AND(OR($E511="returned_to_brand",$E511="given_to_roster_office",$E511="released_to_office",$E511="disposed"),IF($F511="","reserve",$F511)="reserve"),-N($G511),IF(AND($E511="correction",IF($F511="","reserve",$F511)="reserve"),N($G511),0)))))</f>
        <v/>
      </c>
      <c r="N511" s="30" t="str">
        <f aca="false">IF($C511="","",IF($E511="rejected",N($G511),IF(AND(OR($E511="returned_to_brand",$E511="given_to_roster_office",$E511="released_to_office",$E511="disposed"),IF($F511="","reserve",$F511)="rejected"),-N($G511),IF(AND($E511="correction",IF($F511="","reserve",$F511)="rejected"),N($G511),0))))</f>
        <v/>
      </c>
      <c r="O511" s="30" t="str">
        <f aca="false">IF($C511="","",IF($E511="collected",N($G511),IF(AND(OR($E511="returned_to_brand",$E511="given_to_roster_office",$E511="released_to_office",$E511="disposed"),IF($F511="","reserve",$F511)="leftover"),-N($G511),IF(AND($E511="correction",IF($F511="","reserve",$F511)="leftover"),N($G511),0))))</f>
        <v/>
      </c>
      <c r="P511" s="30" t="str">
        <f aca="false">IF(OR($E511&lt;&gt;"received",$I511="",$L511=""),"",IF($I511&gt;=$L511+config!$B$19,"Y","N"))</f>
        <v/>
      </c>
      <c r="Q511" s="30" t="str">
        <f aca="false">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30" t="str">
        <f aca="false">IF($C511="","",$C511&amp;"|"&amp;$D511&amp;"|"&amp;$E511)</f>
        <v/>
      </c>
    </row>
    <row r="512" customFormat="false" ht="15" hidden="false" customHeight="false" outlineLevel="0" collapsed="false">
      <c r="A512" s="11"/>
      <c r="B512" s="38"/>
      <c r="E512" s="10"/>
      <c r="I512" s="11"/>
      <c r="J512" s="10"/>
      <c r="L512" s="31" t="str">
        <f aca="false">IF($C512="","",IFERROR(IF(INDEX(campaigns!$BG$2:$BG$51,MATCH($C512,campaigns!$A$2:$A$51,0))="","",INDEX(campaigns!$BG$2:$BG$51,MATCH($C512,campaigns!$A$2:$A$51,0))),""))</f>
        <v/>
      </c>
      <c r="M512" s="30" t="str">
        <f aca="false">IF($C512="","",IF(OR($E512="received"),N($G512),IF(OR($E512="rejected",$E512="delivered",$E512="topped_up"),-N($G512),IF(AND(OR($E512="returned_to_brand",$E512="given_to_roster_office",$E512="released_to_office",$E512="disposed"),IF($F512="","reserve",$F512)="reserve"),-N($G512),IF(AND($E512="correction",IF($F512="","reserve",$F512)="reserve"),N($G512),0)))))</f>
        <v/>
      </c>
      <c r="N512" s="30" t="str">
        <f aca="false">IF($C512="","",IF($E512="rejected",N($G512),IF(AND(OR($E512="returned_to_brand",$E512="given_to_roster_office",$E512="released_to_office",$E512="disposed"),IF($F512="","reserve",$F512)="rejected"),-N($G512),IF(AND($E512="correction",IF($F512="","reserve",$F512)="rejected"),N($G512),0))))</f>
        <v/>
      </c>
      <c r="O512" s="30" t="str">
        <f aca="false">IF($C512="","",IF($E512="collected",N($G512),IF(AND(OR($E512="returned_to_brand",$E512="given_to_roster_office",$E512="released_to_office",$E512="disposed"),IF($F512="","reserve",$F512)="leftover"),-N($G512),IF(AND($E512="correction",IF($F512="","reserve",$F512)="leftover"),N($G512),0))))</f>
        <v/>
      </c>
      <c r="P512" s="30" t="str">
        <f aca="false">IF(OR($E512&lt;&gt;"received",$I512="",$L512=""),"",IF($I512&gt;=$L512+config!$B$19,"Y","N"))</f>
        <v/>
      </c>
      <c r="Q512" s="30" t="str">
        <f aca="false">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30" t="str">
        <f aca="false">IF($C512="","",$C512&amp;"|"&amp;$D512&amp;"|"&amp;$E512)</f>
        <v/>
      </c>
    </row>
    <row r="513" customFormat="false" ht="15" hidden="false" customHeight="false" outlineLevel="0" collapsed="false">
      <c r="A513" s="11"/>
      <c r="B513" s="38"/>
      <c r="E513" s="10"/>
      <c r="I513" s="11"/>
      <c r="J513" s="10"/>
      <c r="L513" s="31" t="str">
        <f aca="false">IF($C513="","",IFERROR(IF(INDEX(campaigns!$BG$2:$BG$51,MATCH($C513,campaigns!$A$2:$A$51,0))="","",INDEX(campaigns!$BG$2:$BG$51,MATCH($C513,campaigns!$A$2:$A$51,0))),""))</f>
        <v/>
      </c>
      <c r="M513" s="30" t="str">
        <f aca="false">IF($C513="","",IF(OR($E513="received"),N($G513),IF(OR($E513="rejected",$E513="delivered",$E513="topped_up"),-N($G513),IF(AND(OR($E513="returned_to_brand",$E513="given_to_roster_office",$E513="released_to_office",$E513="disposed"),IF($F513="","reserve",$F513)="reserve"),-N($G513),IF(AND($E513="correction",IF($F513="","reserve",$F513)="reserve"),N($G513),0)))))</f>
        <v/>
      </c>
      <c r="N513" s="30" t="str">
        <f aca="false">IF($C513="","",IF($E513="rejected",N($G513),IF(AND(OR($E513="returned_to_brand",$E513="given_to_roster_office",$E513="released_to_office",$E513="disposed"),IF($F513="","reserve",$F513)="rejected"),-N($G513),IF(AND($E513="correction",IF($F513="","reserve",$F513)="rejected"),N($G513),0))))</f>
        <v/>
      </c>
      <c r="O513" s="30" t="str">
        <f aca="false">IF($C513="","",IF($E513="collected",N($G513),IF(AND(OR($E513="returned_to_brand",$E513="given_to_roster_office",$E513="released_to_office",$E513="disposed"),IF($F513="","reserve",$F513)="leftover"),-N($G513),IF(AND($E513="correction",IF($F513="","reserve",$F513)="leftover"),N($G513),0))))</f>
        <v/>
      </c>
      <c r="P513" s="30" t="str">
        <f aca="false">IF(OR($E513&lt;&gt;"received",$I513="",$L513=""),"",IF($I513&gt;=$L513+config!$B$19,"Y","N"))</f>
        <v/>
      </c>
      <c r="Q513" s="30" t="str">
        <f aca="false">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30" t="str">
        <f aca="false">IF($C513="","",$C513&amp;"|"&amp;$D513&amp;"|"&amp;$E513)</f>
        <v/>
      </c>
    </row>
    <row r="514" customFormat="false" ht="15" hidden="false" customHeight="false" outlineLevel="0" collapsed="false">
      <c r="A514" s="11"/>
      <c r="B514" s="38"/>
      <c r="E514" s="10"/>
      <c r="I514" s="11"/>
      <c r="J514" s="10"/>
      <c r="L514" s="31" t="str">
        <f aca="false">IF($C514="","",IFERROR(IF(INDEX(campaigns!$BG$2:$BG$51,MATCH($C514,campaigns!$A$2:$A$51,0))="","",INDEX(campaigns!$BG$2:$BG$51,MATCH($C514,campaigns!$A$2:$A$51,0))),""))</f>
        <v/>
      </c>
      <c r="M514" s="30" t="str">
        <f aca="false">IF($C514="","",IF(OR($E514="received"),N($G514),IF(OR($E514="rejected",$E514="delivered",$E514="topped_up"),-N($G514),IF(AND(OR($E514="returned_to_brand",$E514="given_to_roster_office",$E514="released_to_office",$E514="disposed"),IF($F514="","reserve",$F514)="reserve"),-N($G514),IF(AND($E514="correction",IF($F514="","reserve",$F514)="reserve"),N($G514),0)))))</f>
        <v/>
      </c>
      <c r="N514" s="30" t="str">
        <f aca="false">IF($C514="","",IF($E514="rejected",N($G514),IF(AND(OR($E514="returned_to_brand",$E514="given_to_roster_office",$E514="released_to_office",$E514="disposed"),IF($F514="","reserve",$F514)="rejected"),-N($G514),IF(AND($E514="correction",IF($F514="","reserve",$F514)="rejected"),N($G514),0))))</f>
        <v/>
      </c>
      <c r="O514" s="30" t="str">
        <f aca="false">IF($C514="","",IF($E514="collected",N($G514),IF(AND(OR($E514="returned_to_brand",$E514="given_to_roster_office",$E514="released_to_office",$E514="disposed"),IF($F514="","reserve",$F514)="leftover"),-N($G514),IF(AND($E514="correction",IF($F514="","reserve",$F514)="leftover"),N($G514),0))))</f>
        <v/>
      </c>
      <c r="P514" s="30" t="str">
        <f aca="false">IF(OR($E514&lt;&gt;"received",$I514="",$L514=""),"",IF($I514&gt;=$L514+config!$B$19,"Y","N"))</f>
        <v/>
      </c>
      <c r="Q514" s="30" t="str">
        <f aca="false">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30" t="str">
        <f aca="false">IF($C514="","",$C514&amp;"|"&amp;$D514&amp;"|"&amp;$E514)</f>
        <v/>
      </c>
    </row>
    <row r="515" customFormat="false" ht="15" hidden="false" customHeight="false" outlineLevel="0" collapsed="false">
      <c r="A515" s="11"/>
      <c r="B515" s="38"/>
      <c r="E515" s="10"/>
      <c r="I515" s="11"/>
      <c r="J515" s="10"/>
      <c r="L515" s="31" t="str">
        <f aca="false">IF($C515="","",IFERROR(IF(INDEX(campaigns!$BG$2:$BG$51,MATCH($C515,campaigns!$A$2:$A$51,0))="","",INDEX(campaigns!$BG$2:$BG$51,MATCH($C515,campaigns!$A$2:$A$51,0))),""))</f>
        <v/>
      </c>
      <c r="M515" s="30" t="str">
        <f aca="false">IF($C515="","",IF(OR($E515="received"),N($G515),IF(OR($E515="rejected",$E515="delivered",$E515="topped_up"),-N($G515),IF(AND(OR($E515="returned_to_brand",$E515="given_to_roster_office",$E515="released_to_office",$E515="disposed"),IF($F515="","reserve",$F515)="reserve"),-N($G515),IF(AND($E515="correction",IF($F515="","reserve",$F515)="reserve"),N($G515),0)))))</f>
        <v/>
      </c>
      <c r="N515" s="30" t="str">
        <f aca="false">IF($C515="","",IF($E515="rejected",N($G515),IF(AND(OR($E515="returned_to_brand",$E515="given_to_roster_office",$E515="released_to_office",$E515="disposed"),IF($F515="","reserve",$F515)="rejected"),-N($G515),IF(AND($E515="correction",IF($F515="","reserve",$F515)="rejected"),N($G515),0))))</f>
        <v/>
      </c>
      <c r="O515" s="30" t="str">
        <f aca="false">IF($C515="","",IF($E515="collected",N($G515),IF(AND(OR($E515="returned_to_brand",$E515="given_to_roster_office",$E515="released_to_office",$E515="disposed"),IF($F515="","reserve",$F515)="leftover"),-N($G515),IF(AND($E515="correction",IF($F515="","reserve",$F515)="leftover"),N($G515),0))))</f>
        <v/>
      </c>
      <c r="P515" s="30" t="str">
        <f aca="false">IF(OR($E515&lt;&gt;"received",$I515="",$L515=""),"",IF($I515&gt;=$L515+config!$B$19,"Y","N"))</f>
        <v/>
      </c>
      <c r="Q515" s="30" t="str">
        <f aca="false">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30" t="str">
        <f aca="false">IF($C515="","",$C515&amp;"|"&amp;$D515&amp;"|"&amp;$E515)</f>
        <v/>
      </c>
    </row>
    <row r="516" customFormat="false" ht="15" hidden="false" customHeight="false" outlineLevel="0" collapsed="false">
      <c r="A516" s="11"/>
      <c r="B516" s="38"/>
      <c r="E516" s="10"/>
      <c r="I516" s="11"/>
      <c r="J516" s="10"/>
      <c r="L516" s="31" t="str">
        <f aca="false">IF($C516="","",IFERROR(IF(INDEX(campaigns!$BG$2:$BG$51,MATCH($C516,campaigns!$A$2:$A$51,0))="","",INDEX(campaigns!$BG$2:$BG$51,MATCH($C516,campaigns!$A$2:$A$51,0))),""))</f>
        <v/>
      </c>
      <c r="M516" s="30" t="str">
        <f aca="false">IF($C516="","",IF(OR($E516="received"),N($G516),IF(OR($E516="rejected",$E516="delivered",$E516="topped_up"),-N($G516),IF(AND(OR($E516="returned_to_brand",$E516="given_to_roster_office",$E516="released_to_office",$E516="disposed"),IF($F516="","reserve",$F516)="reserve"),-N($G516),IF(AND($E516="correction",IF($F516="","reserve",$F516)="reserve"),N($G516),0)))))</f>
        <v/>
      </c>
      <c r="N516" s="30" t="str">
        <f aca="false">IF($C516="","",IF($E516="rejected",N($G516),IF(AND(OR($E516="returned_to_brand",$E516="given_to_roster_office",$E516="released_to_office",$E516="disposed"),IF($F516="","reserve",$F516)="rejected"),-N($G516),IF(AND($E516="correction",IF($F516="","reserve",$F516)="rejected"),N($G516),0))))</f>
        <v/>
      </c>
      <c r="O516" s="30" t="str">
        <f aca="false">IF($C516="","",IF($E516="collected",N($G516),IF(AND(OR($E516="returned_to_brand",$E516="given_to_roster_office",$E516="released_to_office",$E516="disposed"),IF($F516="","reserve",$F516)="leftover"),-N($G516),IF(AND($E516="correction",IF($F516="","reserve",$F516)="leftover"),N($G516),0))))</f>
        <v/>
      </c>
      <c r="P516" s="30" t="str">
        <f aca="false">IF(OR($E516&lt;&gt;"received",$I516="",$L516=""),"",IF($I516&gt;=$L516+config!$B$19,"Y","N"))</f>
        <v/>
      </c>
      <c r="Q516" s="30" t="str">
        <f aca="false">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30" t="str">
        <f aca="false">IF($C516="","",$C516&amp;"|"&amp;$D516&amp;"|"&amp;$E516)</f>
        <v/>
      </c>
    </row>
    <row r="517" customFormat="false" ht="15" hidden="false" customHeight="false" outlineLevel="0" collapsed="false">
      <c r="A517" s="11"/>
      <c r="B517" s="38"/>
      <c r="E517" s="10"/>
      <c r="I517" s="11"/>
      <c r="J517" s="10"/>
      <c r="L517" s="31" t="str">
        <f aca="false">IF($C517="","",IFERROR(IF(INDEX(campaigns!$BG$2:$BG$51,MATCH($C517,campaigns!$A$2:$A$51,0))="","",INDEX(campaigns!$BG$2:$BG$51,MATCH($C517,campaigns!$A$2:$A$51,0))),""))</f>
        <v/>
      </c>
      <c r="M517" s="30" t="str">
        <f aca="false">IF($C517="","",IF(OR($E517="received"),N($G517),IF(OR($E517="rejected",$E517="delivered",$E517="topped_up"),-N($G517),IF(AND(OR($E517="returned_to_brand",$E517="given_to_roster_office",$E517="released_to_office",$E517="disposed"),IF($F517="","reserve",$F517)="reserve"),-N($G517),IF(AND($E517="correction",IF($F517="","reserve",$F517)="reserve"),N($G517),0)))))</f>
        <v/>
      </c>
      <c r="N517" s="30" t="str">
        <f aca="false">IF($C517="","",IF($E517="rejected",N($G517),IF(AND(OR($E517="returned_to_brand",$E517="given_to_roster_office",$E517="released_to_office",$E517="disposed"),IF($F517="","reserve",$F517)="rejected"),-N($G517),IF(AND($E517="correction",IF($F517="","reserve",$F517)="rejected"),N($G517),0))))</f>
        <v/>
      </c>
      <c r="O517" s="30" t="str">
        <f aca="false">IF($C517="","",IF($E517="collected",N($G517),IF(AND(OR($E517="returned_to_brand",$E517="given_to_roster_office",$E517="released_to_office",$E517="disposed"),IF($F517="","reserve",$F517)="leftover"),-N($G517),IF(AND($E517="correction",IF($F517="","reserve",$F517)="leftover"),N($G517),0))))</f>
        <v/>
      </c>
      <c r="P517" s="30" t="str">
        <f aca="false">IF(OR($E517&lt;&gt;"received",$I517="",$L517=""),"",IF($I517&gt;=$L517+config!$B$19,"Y","N"))</f>
        <v/>
      </c>
      <c r="Q517" s="30" t="str">
        <f aca="false">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30" t="str">
        <f aca="false">IF($C517="","",$C517&amp;"|"&amp;$D517&amp;"|"&amp;$E517)</f>
        <v/>
      </c>
    </row>
    <row r="518" customFormat="false" ht="15" hidden="false" customHeight="false" outlineLevel="0" collapsed="false">
      <c r="A518" s="11"/>
      <c r="B518" s="38"/>
      <c r="E518" s="10"/>
      <c r="I518" s="11"/>
      <c r="J518" s="10"/>
      <c r="L518" s="31" t="str">
        <f aca="false">IF($C518="","",IFERROR(IF(INDEX(campaigns!$BG$2:$BG$51,MATCH($C518,campaigns!$A$2:$A$51,0))="","",INDEX(campaigns!$BG$2:$BG$51,MATCH($C518,campaigns!$A$2:$A$51,0))),""))</f>
        <v/>
      </c>
      <c r="M518" s="30" t="str">
        <f aca="false">IF($C518="","",IF(OR($E518="received"),N($G518),IF(OR($E518="rejected",$E518="delivered",$E518="topped_up"),-N($G518),IF(AND(OR($E518="returned_to_brand",$E518="given_to_roster_office",$E518="released_to_office",$E518="disposed"),IF($F518="","reserve",$F518)="reserve"),-N($G518),IF(AND($E518="correction",IF($F518="","reserve",$F518)="reserve"),N($G518),0)))))</f>
        <v/>
      </c>
      <c r="N518" s="30" t="str">
        <f aca="false">IF($C518="","",IF($E518="rejected",N($G518),IF(AND(OR($E518="returned_to_brand",$E518="given_to_roster_office",$E518="released_to_office",$E518="disposed"),IF($F518="","reserve",$F518)="rejected"),-N($G518),IF(AND($E518="correction",IF($F518="","reserve",$F518)="rejected"),N($G518),0))))</f>
        <v/>
      </c>
      <c r="O518" s="30" t="str">
        <f aca="false">IF($C518="","",IF($E518="collected",N($G518),IF(AND(OR($E518="returned_to_brand",$E518="given_to_roster_office",$E518="released_to_office",$E518="disposed"),IF($F518="","reserve",$F518)="leftover"),-N($G518),IF(AND($E518="correction",IF($F518="","reserve",$F518)="leftover"),N($G518),0))))</f>
        <v/>
      </c>
      <c r="P518" s="30" t="str">
        <f aca="false">IF(OR($E518&lt;&gt;"received",$I518="",$L518=""),"",IF($I518&gt;=$L518+config!$B$19,"Y","N"))</f>
        <v/>
      </c>
      <c r="Q518" s="30" t="str">
        <f aca="false">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30" t="str">
        <f aca="false">IF($C518="","",$C518&amp;"|"&amp;$D518&amp;"|"&amp;$E518)</f>
        <v/>
      </c>
    </row>
    <row r="519" customFormat="false" ht="15" hidden="false" customHeight="false" outlineLevel="0" collapsed="false">
      <c r="A519" s="11"/>
      <c r="B519" s="38"/>
      <c r="E519" s="10"/>
      <c r="I519" s="11"/>
      <c r="J519" s="10"/>
      <c r="L519" s="31" t="str">
        <f aca="false">IF($C519="","",IFERROR(IF(INDEX(campaigns!$BG$2:$BG$51,MATCH($C519,campaigns!$A$2:$A$51,0))="","",INDEX(campaigns!$BG$2:$BG$51,MATCH($C519,campaigns!$A$2:$A$51,0))),""))</f>
        <v/>
      </c>
      <c r="M519" s="30" t="str">
        <f aca="false">IF($C519="","",IF(OR($E519="received"),N($G519),IF(OR($E519="rejected",$E519="delivered",$E519="topped_up"),-N($G519),IF(AND(OR($E519="returned_to_brand",$E519="given_to_roster_office",$E519="released_to_office",$E519="disposed"),IF($F519="","reserve",$F519)="reserve"),-N($G519),IF(AND($E519="correction",IF($F519="","reserve",$F519)="reserve"),N($G519),0)))))</f>
        <v/>
      </c>
      <c r="N519" s="30" t="str">
        <f aca="false">IF($C519="","",IF($E519="rejected",N($G519),IF(AND(OR($E519="returned_to_brand",$E519="given_to_roster_office",$E519="released_to_office",$E519="disposed"),IF($F519="","reserve",$F519)="rejected"),-N($G519),IF(AND($E519="correction",IF($F519="","reserve",$F519)="rejected"),N($G519),0))))</f>
        <v/>
      </c>
      <c r="O519" s="30" t="str">
        <f aca="false">IF($C519="","",IF($E519="collected",N($G519),IF(AND(OR($E519="returned_to_brand",$E519="given_to_roster_office",$E519="released_to_office",$E519="disposed"),IF($F519="","reserve",$F519)="leftover"),-N($G519),IF(AND($E519="correction",IF($F519="","reserve",$F519)="leftover"),N($G519),0))))</f>
        <v/>
      </c>
      <c r="P519" s="30" t="str">
        <f aca="false">IF(OR($E519&lt;&gt;"received",$I519="",$L519=""),"",IF($I519&gt;=$L519+config!$B$19,"Y","N"))</f>
        <v/>
      </c>
      <c r="Q519" s="30" t="str">
        <f aca="false">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30" t="str">
        <f aca="false">IF($C519="","",$C519&amp;"|"&amp;$D519&amp;"|"&amp;$E519)</f>
        <v/>
      </c>
    </row>
    <row r="520" customFormat="false" ht="15" hidden="false" customHeight="false" outlineLevel="0" collapsed="false">
      <c r="A520" s="11"/>
      <c r="B520" s="38"/>
      <c r="E520" s="10"/>
      <c r="I520" s="11"/>
      <c r="J520" s="10"/>
      <c r="L520" s="31" t="str">
        <f aca="false">IF($C520="","",IFERROR(IF(INDEX(campaigns!$BG$2:$BG$51,MATCH($C520,campaigns!$A$2:$A$51,0))="","",INDEX(campaigns!$BG$2:$BG$51,MATCH($C520,campaigns!$A$2:$A$51,0))),""))</f>
        <v/>
      </c>
      <c r="M520" s="30" t="str">
        <f aca="false">IF($C520="","",IF(OR($E520="received"),N($G520),IF(OR($E520="rejected",$E520="delivered",$E520="topped_up"),-N($G520),IF(AND(OR($E520="returned_to_brand",$E520="given_to_roster_office",$E520="released_to_office",$E520="disposed"),IF($F520="","reserve",$F520)="reserve"),-N($G520),IF(AND($E520="correction",IF($F520="","reserve",$F520)="reserve"),N($G520),0)))))</f>
        <v/>
      </c>
      <c r="N520" s="30" t="str">
        <f aca="false">IF($C520="","",IF($E520="rejected",N($G520),IF(AND(OR($E520="returned_to_brand",$E520="given_to_roster_office",$E520="released_to_office",$E520="disposed"),IF($F520="","reserve",$F520)="rejected"),-N($G520),IF(AND($E520="correction",IF($F520="","reserve",$F520)="rejected"),N($G520),0))))</f>
        <v/>
      </c>
      <c r="O520" s="30" t="str">
        <f aca="false">IF($C520="","",IF($E520="collected",N($G520),IF(AND(OR($E520="returned_to_brand",$E520="given_to_roster_office",$E520="released_to_office",$E520="disposed"),IF($F520="","reserve",$F520)="leftover"),-N($G520),IF(AND($E520="correction",IF($F520="","reserve",$F520)="leftover"),N($G520),0))))</f>
        <v/>
      </c>
      <c r="P520" s="30" t="str">
        <f aca="false">IF(OR($E520&lt;&gt;"received",$I520="",$L520=""),"",IF($I520&gt;=$L520+config!$B$19,"Y","N"))</f>
        <v/>
      </c>
      <c r="Q520" s="30" t="str">
        <f aca="false">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30" t="str">
        <f aca="false">IF($C520="","",$C520&amp;"|"&amp;$D520&amp;"|"&amp;$E520)</f>
        <v/>
      </c>
    </row>
    <row r="521" customFormat="false" ht="15" hidden="false" customHeight="false" outlineLevel="0" collapsed="false">
      <c r="A521" s="11"/>
      <c r="B521" s="38"/>
      <c r="E521" s="10"/>
      <c r="I521" s="11"/>
      <c r="J521" s="10"/>
      <c r="L521" s="31" t="str">
        <f aca="false">IF($C521="","",IFERROR(IF(INDEX(campaigns!$BG$2:$BG$51,MATCH($C521,campaigns!$A$2:$A$51,0))="","",INDEX(campaigns!$BG$2:$BG$51,MATCH($C521,campaigns!$A$2:$A$51,0))),""))</f>
        <v/>
      </c>
      <c r="M521" s="30" t="str">
        <f aca="false">IF($C521="","",IF(OR($E521="received"),N($G521),IF(OR($E521="rejected",$E521="delivered",$E521="topped_up"),-N($G521),IF(AND(OR($E521="returned_to_brand",$E521="given_to_roster_office",$E521="released_to_office",$E521="disposed"),IF($F521="","reserve",$F521)="reserve"),-N($G521),IF(AND($E521="correction",IF($F521="","reserve",$F521)="reserve"),N($G521),0)))))</f>
        <v/>
      </c>
      <c r="N521" s="30" t="str">
        <f aca="false">IF($C521="","",IF($E521="rejected",N($G521),IF(AND(OR($E521="returned_to_brand",$E521="given_to_roster_office",$E521="released_to_office",$E521="disposed"),IF($F521="","reserve",$F521)="rejected"),-N($G521),IF(AND($E521="correction",IF($F521="","reserve",$F521)="rejected"),N($G521),0))))</f>
        <v/>
      </c>
      <c r="O521" s="30" t="str">
        <f aca="false">IF($C521="","",IF($E521="collected",N($G521),IF(AND(OR($E521="returned_to_brand",$E521="given_to_roster_office",$E521="released_to_office",$E521="disposed"),IF($F521="","reserve",$F521)="leftover"),-N($G521),IF(AND($E521="correction",IF($F521="","reserve",$F521)="leftover"),N($G521),0))))</f>
        <v/>
      </c>
      <c r="P521" s="30" t="str">
        <f aca="false">IF(OR($E521&lt;&gt;"received",$I521="",$L521=""),"",IF($I521&gt;=$L521+config!$B$19,"Y","N"))</f>
        <v/>
      </c>
      <c r="Q521" s="30" t="str">
        <f aca="false">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30" t="str">
        <f aca="false">IF($C521="","",$C521&amp;"|"&amp;$D521&amp;"|"&amp;$E521)</f>
        <v/>
      </c>
    </row>
    <row r="522" customFormat="false" ht="15" hidden="false" customHeight="false" outlineLevel="0" collapsed="false">
      <c r="A522" s="11"/>
      <c r="B522" s="38"/>
      <c r="E522" s="10"/>
      <c r="I522" s="11"/>
      <c r="J522" s="10"/>
      <c r="L522" s="31" t="str">
        <f aca="false">IF($C522="","",IFERROR(IF(INDEX(campaigns!$BG$2:$BG$51,MATCH($C522,campaigns!$A$2:$A$51,0))="","",INDEX(campaigns!$BG$2:$BG$51,MATCH($C522,campaigns!$A$2:$A$51,0))),""))</f>
        <v/>
      </c>
      <c r="M522" s="30" t="str">
        <f aca="false">IF($C522="","",IF(OR($E522="received"),N($G522),IF(OR($E522="rejected",$E522="delivered",$E522="topped_up"),-N($G522),IF(AND(OR($E522="returned_to_brand",$E522="given_to_roster_office",$E522="released_to_office",$E522="disposed"),IF($F522="","reserve",$F522)="reserve"),-N($G522),IF(AND($E522="correction",IF($F522="","reserve",$F522)="reserve"),N($G522),0)))))</f>
        <v/>
      </c>
      <c r="N522" s="30" t="str">
        <f aca="false">IF($C522="","",IF($E522="rejected",N($G522),IF(AND(OR($E522="returned_to_brand",$E522="given_to_roster_office",$E522="released_to_office",$E522="disposed"),IF($F522="","reserve",$F522)="rejected"),-N($G522),IF(AND($E522="correction",IF($F522="","reserve",$F522)="rejected"),N($G522),0))))</f>
        <v/>
      </c>
      <c r="O522" s="30" t="str">
        <f aca="false">IF($C522="","",IF($E522="collected",N($G522),IF(AND(OR($E522="returned_to_brand",$E522="given_to_roster_office",$E522="released_to_office",$E522="disposed"),IF($F522="","reserve",$F522)="leftover"),-N($G522),IF(AND($E522="correction",IF($F522="","reserve",$F522)="leftover"),N($G522),0))))</f>
        <v/>
      </c>
      <c r="P522" s="30" t="str">
        <f aca="false">IF(OR($E522&lt;&gt;"received",$I522="",$L522=""),"",IF($I522&gt;=$L522+config!$B$19,"Y","N"))</f>
        <v/>
      </c>
      <c r="Q522" s="30" t="str">
        <f aca="false">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30" t="str">
        <f aca="false">IF($C522="","",$C522&amp;"|"&amp;$D522&amp;"|"&amp;$E522)</f>
        <v/>
      </c>
    </row>
    <row r="523" customFormat="false" ht="15" hidden="false" customHeight="false" outlineLevel="0" collapsed="false">
      <c r="A523" s="11"/>
      <c r="B523" s="38"/>
      <c r="E523" s="10"/>
      <c r="I523" s="11"/>
      <c r="J523" s="10"/>
      <c r="L523" s="31" t="str">
        <f aca="false">IF($C523="","",IFERROR(IF(INDEX(campaigns!$BG$2:$BG$51,MATCH($C523,campaigns!$A$2:$A$51,0))="","",INDEX(campaigns!$BG$2:$BG$51,MATCH($C523,campaigns!$A$2:$A$51,0))),""))</f>
        <v/>
      </c>
      <c r="M523" s="30" t="str">
        <f aca="false">IF($C523="","",IF(OR($E523="received"),N($G523),IF(OR($E523="rejected",$E523="delivered",$E523="topped_up"),-N($G523),IF(AND(OR($E523="returned_to_brand",$E523="given_to_roster_office",$E523="released_to_office",$E523="disposed"),IF($F523="","reserve",$F523)="reserve"),-N($G523),IF(AND($E523="correction",IF($F523="","reserve",$F523)="reserve"),N($G523),0)))))</f>
        <v/>
      </c>
      <c r="N523" s="30" t="str">
        <f aca="false">IF($C523="","",IF($E523="rejected",N($G523),IF(AND(OR($E523="returned_to_brand",$E523="given_to_roster_office",$E523="released_to_office",$E523="disposed"),IF($F523="","reserve",$F523)="rejected"),-N($G523),IF(AND($E523="correction",IF($F523="","reserve",$F523)="rejected"),N($G523),0))))</f>
        <v/>
      </c>
      <c r="O523" s="30" t="str">
        <f aca="false">IF($C523="","",IF($E523="collected",N($G523),IF(AND(OR($E523="returned_to_brand",$E523="given_to_roster_office",$E523="released_to_office",$E523="disposed"),IF($F523="","reserve",$F523)="leftover"),-N($G523),IF(AND($E523="correction",IF($F523="","reserve",$F523)="leftover"),N($G523),0))))</f>
        <v/>
      </c>
      <c r="P523" s="30" t="str">
        <f aca="false">IF(OR($E523&lt;&gt;"received",$I523="",$L523=""),"",IF($I523&gt;=$L523+config!$B$19,"Y","N"))</f>
        <v/>
      </c>
      <c r="Q523" s="30" t="str">
        <f aca="false">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30" t="str">
        <f aca="false">IF($C523="","",$C523&amp;"|"&amp;$D523&amp;"|"&amp;$E523)</f>
        <v/>
      </c>
    </row>
    <row r="524" customFormat="false" ht="15" hidden="false" customHeight="false" outlineLevel="0" collapsed="false">
      <c r="A524" s="11"/>
      <c r="B524" s="38"/>
      <c r="E524" s="10"/>
      <c r="I524" s="11"/>
      <c r="J524" s="10"/>
      <c r="L524" s="31" t="str">
        <f aca="false">IF($C524="","",IFERROR(IF(INDEX(campaigns!$BG$2:$BG$51,MATCH($C524,campaigns!$A$2:$A$51,0))="","",INDEX(campaigns!$BG$2:$BG$51,MATCH($C524,campaigns!$A$2:$A$51,0))),""))</f>
        <v/>
      </c>
      <c r="M524" s="30" t="str">
        <f aca="false">IF($C524="","",IF(OR($E524="received"),N($G524),IF(OR($E524="rejected",$E524="delivered",$E524="topped_up"),-N($G524),IF(AND(OR($E524="returned_to_brand",$E524="given_to_roster_office",$E524="released_to_office",$E524="disposed"),IF($F524="","reserve",$F524)="reserve"),-N($G524),IF(AND($E524="correction",IF($F524="","reserve",$F524)="reserve"),N($G524),0)))))</f>
        <v/>
      </c>
      <c r="N524" s="30" t="str">
        <f aca="false">IF($C524="","",IF($E524="rejected",N($G524),IF(AND(OR($E524="returned_to_brand",$E524="given_to_roster_office",$E524="released_to_office",$E524="disposed"),IF($F524="","reserve",$F524)="rejected"),-N($G524),IF(AND($E524="correction",IF($F524="","reserve",$F524)="rejected"),N($G524),0))))</f>
        <v/>
      </c>
      <c r="O524" s="30" t="str">
        <f aca="false">IF($C524="","",IF($E524="collected",N($G524),IF(AND(OR($E524="returned_to_brand",$E524="given_to_roster_office",$E524="released_to_office",$E524="disposed"),IF($F524="","reserve",$F524)="leftover"),-N($G524),IF(AND($E524="correction",IF($F524="","reserve",$F524)="leftover"),N($G524),0))))</f>
        <v/>
      </c>
      <c r="P524" s="30" t="str">
        <f aca="false">IF(OR($E524&lt;&gt;"received",$I524="",$L524=""),"",IF($I524&gt;=$L524+config!$B$19,"Y","N"))</f>
        <v/>
      </c>
      <c r="Q524" s="30" t="str">
        <f aca="false">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30" t="str">
        <f aca="false">IF($C524="","",$C524&amp;"|"&amp;$D524&amp;"|"&amp;$E524)</f>
        <v/>
      </c>
    </row>
    <row r="525" customFormat="false" ht="15" hidden="false" customHeight="false" outlineLevel="0" collapsed="false">
      <c r="A525" s="11"/>
      <c r="B525" s="38"/>
      <c r="E525" s="10"/>
      <c r="I525" s="11"/>
      <c r="J525" s="10"/>
      <c r="L525" s="31" t="str">
        <f aca="false">IF($C525="","",IFERROR(IF(INDEX(campaigns!$BG$2:$BG$51,MATCH($C525,campaigns!$A$2:$A$51,0))="","",INDEX(campaigns!$BG$2:$BG$51,MATCH($C525,campaigns!$A$2:$A$51,0))),""))</f>
        <v/>
      </c>
      <c r="M525" s="30" t="str">
        <f aca="false">IF($C525="","",IF(OR($E525="received"),N($G525),IF(OR($E525="rejected",$E525="delivered",$E525="topped_up"),-N($G525),IF(AND(OR($E525="returned_to_brand",$E525="given_to_roster_office",$E525="released_to_office",$E525="disposed"),IF($F525="","reserve",$F525)="reserve"),-N($G525),IF(AND($E525="correction",IF($F525="","reserve",$F525)="reserve"),N($G525),0)))))</f>
        <v/>
      </c>
      <c r="N525" s="30" t="str">
        <f aca="false">IF($C525="","",IF($E525="rejected",N($G525),IF(AND(OR($E525="returned_to_brand",$E525="given_to_roster_office",$E525="released_to_office",$E525="disposed"),IF($F525="","reserve",$F525)="rejected"),-N($G525),IF(AND($E525="correction",IF($F525="","reserve",$F525)="rejected"),N($G525),0))))</f>
        <v/>
      </c>
      <c r="O525" s="30" t="str">
        <f aca="false">IF($C525="","",IF($E525="collected",N($G525),IF(AND(OR($E525="returned_to_brand",$E525="given_to_roster_office",$E525="released_to_office",$E525="disposed"),IF($F525="","reserve",$F525)="leftover"),-N($G525),IF(AND($E525="correction",IF($F525="","reserve",$F525)="leftover"),N($G525),0))))</f>
        <v/>
      </c>
      <c r="P525" s="30" t="str">
        <f aca="false">IF(OR($E525&lt;&gt;"received",$I525="",$L525=""),"",IF($I525&gt;=$L525+config!$B$19,"Y","N"))</f>
        <v/>
      </c>
      <c r="Q525" s="30" t="str">
        <f aca="false">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30" t="str">
        <f aca="false">IF($C525="","",$C525&amp;"|"&amp;$D525&amp;"|"&amp;$E525)</f>
        <v/>
      </c>
    </row>
    <row r="526" customFormat="false" ht="15" hidden="false" customHeight="false" outlineLevel="0" collapsed="false">
      <c r="A526" s="11"/>
      <c r="B526" s="38"/>
      <c r="E526" s="10"/>
      <c r="I526" s="11"/>
      <c r="J526" s="10"/>
      <c r="L526" s="31" t="str">
        <f aca="false">IF($C526="","",IFERROR(IF(INDEX(campaigns!$BG$2:$BG$51,MATCH($C526,campaigns!$A$2:$A$51,0))="","",INDEX(campaigns!$BG$2:$BG$51,MATCH($C526,campaigns!$A$2:$A$51,0))),""))</f>
        <v/>
      </c>
      <c r="M526" s="30" t="str">
        <f aca="false">IF($C526="","",IF(OR($E526="received"),N($G526),IF(OR($E526="rejected",$E526="delivered",$E526="topped_up"),-N($G526),IF(AND(OR($E526="returned_to_brand",$E526="given_to_roster_office",$E526="released_to_office",$E526="disposed"),IF($F526="","reserve",$F526)="reserve"),-N($G526),IF(AND($E526="correction",IF($F526="","reserve",$F526)="reserve"),N($G526),0)))))</f>
        <v/>
      </c>
      <c r="N526" s="30" t="str">
        <f aca="false">IF($C526="","",IF($E526="rejected",N($G526),IF(AND(OR($E526="returned_to_brand",$E526="given_to_roster_office",$E526="released_to_office",$E526="disposed"),IF($F526="","reserve",$F526)="rejected"),-N($G526),IF(AND($E526="correction",IF($F526="","reserve",$F526)="rejected"),N($G526),0))))</f>
        <v/>
      </c>
      <c r="O526" s="30" t="str">
        <f aca="false">IF($C526="","",IF($E526="collected",N($G526),IF(AND(OR($E526="returned_to_brand",$E526="given_to_roster_office",$E526="released_to_office",$E526="disposed"),IF($F526="","reserve",$F526)="leftover"),-N($G526),IF(AND($E526="correction",IF($F526="","reserve",$F526)="leftover"),N($G526),0))))</f>
        <v/>
      </c>
      <c r="P526" s="30" t="str">
        <f aca="false">IF(OR($E526&lt;&gt;"received",$I526="",$L526=""),"",IF($I526&gt;=$L526+config!$B$19,"Y","N"))</f>
        <v/>
      </c>
      <c r="Q526" s="30" t="str">
        <f aca="false">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30" t="str">
        <f aca="false">IF($C526="","",$C526&amp;"|"&amp;$D526&amp;"|"&amp;$E526)</f>
        <v/>
      </c>
    </row>
    <row r="527" customFormat="false" ht="15" hidden="false" customHeight="false" outlineLevel="0" collapsed="false">
      <c r="A527" s="11"/>
      <c r="B527" s="38"/>
      <c r="E527" s="10"/>
      <c r="I527" s="11"/>
      <c r="J527" s="10"/>
      <c r="L527" s="31" t="str">
        <f aca="false">IF($C527="","",IFERROR(IF(INDEX(campaigns!$BG$2:$BG$51,MATCH($C527,campaigns!$A$2:$A$51,0))="","",INDEX(campaigns!$BG$2:$BG$51,MATCH($C527,campaigns!$A$2:$A$51,0))),""))</f>
        <v/>
      </c>
      <c r="M527" s="30" t="str">
        <f aca="false">IF($C527="","",IF(OR($E527="received"),N($G527),IF(OR($E527="rejected",$E527="delivered",$E527="topped_up"),-N($G527),IF(AND(OR($E527="returned_to_brand",$E527="given_to_roster_office",$E527="released_to_office",$E527="disposed"),IF($F527="","reserve",$F527)="reserve"),-N($G527),IF(AND($E527="correction",IF($F527="","reserve",$F527)="reserve"),N($G527),0)))))</f>
        <v/>
      </c>
      <c r="N527" s="30" t="str">
        <f aca="false">IF($C527="","",IF($E527="rejected",N($G527),IF(AND(OR($E527="returned_to_brand",$E527="given_to_roster_office",$E527="released_to_office",$E527="disposed"),IF($F527="","reserve",$F527)="rejected"),-N($G527),IF(AND($E527="correction",IF($F527="","reserve",$F527)="rejected"),N($G527),0))))</f>
        <v/>
      </c>
      <c r="O527" s="30" t="str">
        <f aca="false">IF($C527="","",IF($E527="collected",N($G527),IF(AND(OR($E527="returned_to_brand",$E527="given_to_roster_office",$E527="released_to_office",$E527="disposed"),IF($F527="","reserve",$F527)="leftover"),-N($G527),IF(AND($E527="correction",IF($F527="","reserve",$F527)="leftover"),N($G527),0))))</f>
        <v/>
      </c>
      <c r="P527" s="30" t="str">
        <f aca="false">IF(OR($E527&lt;&gt;"received",$I527="",$L527=""),"",IF($I527&gt;=$L527+config!$B$19,"Y","N"))</f>
        <v/>
      </c>
      <c r="Q527" s="30" t="str">
        <f aca="false">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30" t="str">
        <f aca="false">IF($C527="","",$C527&amp;"|"&amp;$D527&amp;"|"&amp;$E527)</f>
        <v/>
      </c>
    </row>
    <row r="528" customFormat="false" ht="15" hidden="false" customHeight="false" outlineLevel="0" collapsed="false">
      <c r="A528" s="11"/>
      <c r="B528" s="38"/>
      <c r="E528" s="10"/>
      <c r="I528" s="11"/>
      <c r="J528" s="10"/>
      <c r="L528" s="31" t="str">
        <f aca="false">IF($C528="","",IFERROR(IF(INDEX(campaigns!$BG$2:$BG$51,MATCH($C528,campaigns!$A$2:$A$51,0))="","",INDEX(campaigns!$BG$2:$BG$51,MATCH($C528,campaigns!$A$2:$A$51,0))),""))</f>
        <v/>
      </c>
      <c r="M528" s="30" t="str">
        <f aca="false">IF($C528="","",IF(OR($E528="received"),N($G528),IF(OR($E528="rejected",$E528="delivered",$E528="topped_up"),-N($G528),IF(AND(OR($E528="returned_to_brand",$E528="given_to_roster_office",$E528="released_to_office",$E528="disposed"),IF($F528="","reserve",$F528)="reserve"),-N($G528),IF(AND($E528="correction",IF($F528="","reserve",$F528)="reserve"),N($G528),0)))))</f>
        <v/>
      </c>
      <c r="N528" s="30" t="str">
        <f aca="false">IF($C528="","",IF($E528="rejected",N($G528),IF(AND(OR($E528="returned_to_brand",$E528="given_to_roster_office",$E528="released_to_office",$E528="disposed"),IF($F528="","reserve",$F528)="rejected"),-N($G528),IF(AND($E528="correction",IF($F528="","reserve",$F528)="rejected"),N($G528),0))))</f>
        <v/>
      </c>
      <c r="O528" s="30" t="str">
        <f aca="false">IF($C528="","",IF($E528="collected",N($G528),IF(AND(OR($E528="returned_to_brand",$E528="given_to_roster_office",$E528="released_to_office",$E528="disposed"),IF($F528="","reserve",$F528)="leftover"),-N($G528),IF(AND($E528="correction",IF($F528="","reserve",$F528)="leftover"),N($G528),0))))</f>
        <v/>
      </c>
      <c r="P528" s="30" t="str">
        <f aca="false">IF(OR($E528&lt;&gt;"received",$I528="",$L528=""),"",IF($I528&gt;=$L528+config!$B$19,"Y","N"))</f>
        <v/>
      </c>
      <c r="Q528" s="30" t="str">
        <f aca="false">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30" t="str">
        <f aca="false">IF($C528="","",$C528&amp;"|"&amp;$D528&amp;"|"&amp;$E528)</f>
        <v/>
      </c>
    </row>
    <row r="529" customFormat="false" ht="15" hidden="false" customHeight="false" outlineLevel="0" collapsed="false">
      <c r="A529" s="11"/>
      <c r="B529" s="38"/>
      <c r="E529" s="10"/>
      <c r="I529" s="11"/>
      <c r="J529" s="10"/>
      <c r="L529" s="31" t="str">
        <f aca="false">IF($C529="","",IFERROR(IF(INDEX(campaigns!$BG$2:$BG$51,MATCH($C529,campaigns!$A$2:$A$51,0))="","",INDEX(campaigns!$BG$2:$BG$51,MATCH($C529,campaigns!$A$2:$A$51,0))),""))</f>
        <v/>
      </c>
      <c r="M529" s="30" t="str">
        <f aca="false">IF($C529="","",IF(OR($E529="received"),N($G529),IF(OR($E529="rejected",$E529="delivered",$E529="topped_up"),-N($G529),IF(AND(OR($E529="returned_to_brand",$E529="given_to_roster_office",$E529="released_to_office",$E529="disposed"),IF($F529="","reserve",$F529)="reserve"),-N($G529),IF(AND($E529="correction",IF($F529="","reserve",$F529)="reserve"),N($G529),0)))))</f>
        <v/>
      </c>
      <c r="N529" s="30" t="str">
        <f aca="false">IF($C529="","",IF($E529="rejected",N($G529),IF(AND(OR($E529="returned_to_brand",$E529="given_to_roster_office",$E529="released_to_office",$E529="disposed"),IF($F529="","reserve",$F529)="rejected"),-N($G529),IF(AND($E529="correction",IF($F529="","reserve",$F529)="rejected"),N($G529),0))))</f>
        <v/>
      </c>
      <c r="O529" s="30" t="str">
        <f aca="false">IF($C529="","",IF($E529="collected",N($G529),IF(AND(OR($E529="returned_to_brand",$E529="given_to_roster_office",$E529="released_to_office",$E529="disposed"),IF($F529="","reserve",$F529)="leftover"),-N($G529),IF(AND($E529="correction",IF($F529="","reserve",$F529)="leftover"),N($G529),0))))</f>
        <v/>
      </c>
      <c r="P529" s="30" t="str">
        <f aca="false">IF(OR($E529&lt;&gt;"received",$I529="",$L529=""),"",IF($I529&gt;=$L529+config!$B$19,"Y","N"))</f>
        <v/>
      </c>
      <c r="Q529" s="30" t="str">
        <f aca="false">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30" t="str">
        <f aca="false">IF($C529="","",$C529&amp;"|"&amp;$D529&amp;"|"&amp;$E529)</f>
        <v/>
      </c>
    </row>
    <row r="530" customFormat="false" ht="15" hidden="false" customHeight="false" outlineLevel="0" collapsed="false">
      <c r="A530" s="11"/>
      <c r="B530" s="38"/>
      <c r="E530" s="10"/>
      <c r="I530" s="11"/>
      <c r="J530" s="10"/>
      <c r="L530" s="31" t="str">
        <f aca="false">IF($C530="","",IFERROR(IF(INDEX(campaigns!$BG$2:$BG$51,MATCH($C530,campaigns!$A$2:$A$51,0))="","",INDEX(campaigns!$BG$2:$BG$51,MATCH($C530,campaigns!$A$2:$A$51,0))),""))</f>
        <v/>
      </c>
      <c r="M530" s="30" t="str">
        <f aca="false">IF($C530="","",IF(OR($E530="received"),N($G530),IF(OR($E530="rejected",$E530="delivered",$E530="topped_up"),-N($G530),IF(AND(OR($E530="returned_to_brand",$E530="given_to_roster_office",$E530="released_to_office",$E530="disposed"),IF($F530="","reserve",$F530)="reserve"),-N($G530),IF(AND($E530="correction",IF($F530="","reserve",$F530)="reserve"),N($G530),0)))))</f>
        <v/>
      </c>
      <c r="N530" s="30" t="str">
        <f aca="false">IF($C530="","",IF($E530="rejected",N($G530),IF(AND(OR($E530="returned_to_brand",$E530="given_to_roster_office",$E530="released_to_office",$E530="disposed"),IF($F530="","reserve",$F530)="rejected"),-N($G530),IF(AND($E530="correction",IF($F530="","reserve",$F530)="rejected"),N($G530),0))))</f>
        <v/>
      </c>
      <c r="O530" s="30" t="str">
        <f aca="false">IF($C530="","",IF($E530="collected",N($G530),IF(AND(OR($E530="returned_to_brand",$E530="given_to_roster_office",$E530="released_to_office",$E530="disposed"),IF($F530="","reserve",$F530)="leftover"),-N($G530),IF(AND($E530="correction",IF($F530="","reserve",$F530)="leftover"),N($G530),0))))</f>
        <v/>
      </c>
      <c r="P530" s="30" t="str">
        <f aca="false">IF(OR($E530&lt;&gt;"received",$I530="",$L530=""),"",IF($I530&gt;=$L530+config!$B$19,"Y","N"))</f>
        <v/>
      </c>
      <c r="Q530" s="30" t="str">
        <f aca="false">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30" t="str">
        <f aca="false">IF($C530="","",$C530&amp;"|"&amp;$D530&amp;"|"&amp;$E530)</f>
        <v/>
      </c>
    </row>
    <row r="531" customFormat="false" ht="15" hidden="false" customHeight="false" outlineLevel="0" collapsed="false">
      <c r="A531" s="11"/>
      <c r="B531" s="38"/>
      <c r="E531" s="10"/>
      <c r="I531" s="11"/>
      <c r="J531" s="10"/>
      <c r="L531" s="31" t="str">
        <f aca="false">IF($C531="","",IFERROR(IF(INDEX(campaigns!$BG$2:$BG$51,MATCH($C531,campaigns!$A$2:$A$51,0))="","",INDEX(campaigns!$BG$2:$BG$51,MATCH($C531,campaigns!$A$2:$A$51,0))),""))</f>
        <v/>
      </c>
      <c r="M531" s="30" t="str">
        <f aca="false">IF($C531="","",IF(OR($E531="received"),N($G531),IF(OR($E531="rejected",$E531="delivered",$E531="topped_up"),-N($G531),IF(AND(OR($E531="returned_to_brand",$E531="given_to_roster_office",$E531="released_to_office",$E531="disposed"),IF($F531="","reserve",$F531)="reserve"),-N($G531),IF(AND($E531="correction",IF($F531="","reserve",$F531)="reserve"),N($G531),0)))))</f>
        <v/>
      </c>
      <c r="N531" s="30" t="str">
        <f aca="false">IF($C531="","",IF($E531="rejected",N($G531),IF(AND(OR($E531="returned_to_brand",$E531="given_to_roster_office",$E531="released_to_office",$E531="disposed"),IF($F531="","reserve",$F531)="rejected"),-N($G531),IF(AND($E531="correction",IF($F531="","reserve",$F531)="rejected"),N($G531),0))))</f>
        <v/>
      </c>
      <c r="O531" s="30" t="str">
        <f aca="false">IF($C531="","",IF($E531="collected",N($G531),IF(AND(OR($E531="returned_to_brand",$E531="given_to_roster_office",$E531="released_to_office",$E531="disposed"),IF($F531="","reserve",$F531)="leftover"),-N($G531),IF(AND($E531="correction",IF($F531="","reserve",$F531)="leftover"),N($G531),0))))</f>
        <v/>
      </c>
      <c r="P531" s="30" t="str">
        <f aca="false">IF(OR($E531&lt;&gt;"received",$I531="",$L531=""),"",IF($I531&gt;=$L531+config!$B$19,"Y","N"))</f>
        <v/>
      </c>
      <c r="Q531" s="30" t="str">
        <f aca="false">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30" t="str">
        <f aca="false">IF($C531="","",$C531&amp;"|"&amp;$D531&amp;"|"&amp;$E531)</f>
        <v/>
      </c>
    </row>
    <row r="532" customFormat="false" ht="15" hidden="false" customHeight="false" outlineLevel="0" collapsed="false">
      <c r="A532" s="11"/>
      <c r="B532" s="38"/>
      <c r="E532" s="10"/>
      <c r="I532" s="11"/>
      <c r="J532" s="10"/>
      <c r="L532" s="31" t="str">
        <f aca="false">IF($C532="","",IFERROR(IF(INDEX(campaigns!$BG$2:$BG$51,MATCH($C532,campaigns!$A$2:$A$51,0))="","",INDEX(campaigns!$BG$2:$BG$51,MATCH($C532,campaigns!$A$2:$A$51,0))),""))</f>
        <v/>
      </c>
      <c r="M532" s="30" t="str">
        <f aca="false">IF($C532="","",IF(OR($E532="received"),N($G532),IF(OR($E532="rejected",$E532="delivered",$E532="topped_up"),-N($G532),IF(AND(OR($E532="returned_to_brand",$E532="given_to_roster_office",$E532="released_to_office",$E532="disposed"),IF($F532="","reserve",$F532)="reserve"),-N($G532),IF(AND($E532="correction",IF($F532="","reserve",$F532)="reserve"),N($G532),0)))))</f>
        <v/>
      </c>
      <c r="N532" s="30" t="str">
        <f aca="false">IF($C532="","",IF($E532="rejected",N($G532),IF(AND(OR($E532="returned_to_brand",$E532="given_to_roster_office",$E532="released_to_office",$E532="disposed"),IF($F532="","reserve",$F532)="rejected"),-N($G532),IF(AND($E532="correction",IF($F532="","reserve",$F532)="rejected"),N($G532),0))))</f>
        <v/>
      </c>
      <c r="O532" s="30" t="str">
        <f aca="false">IF($C532="","",IF($E532="collected",N($G532),IF(AND(OR($E532="returned_to_brand",$E532="given_to_roster_office",$E532="released_to_office",$E532="disposed"),IF($F532="","reserve",$F532)="leftover"),-N($G532),IF(AND($E532="correction",IF($F532="","reserve",$F532)="leftover"),N($G532),0))))</f>
        <v/>
      </c>
      <c r="P532" s="30" t="str">
        <f aca="false">IF(OR($E532&lt;&gt;"received",$I532="",$L532=""),"",IF($I532&gt;=$L532+config!$B$19,"Y","N"))</f>
        <v/>
      </c>
      <c r="Q532" s="30" t="str">
        <f aca="false">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30" t="str">
        <f aca="false">IF($C532="","",$C532&amp;"|"&amp;$D532&amp;"|"&amp;$E532)</f>
        <v/>
      </c>
    </row>
    <row r="533" customFormat="false" ht="15" hidden="false" customHeight="false" outlineLevel="0" collapsed="false">
      <c r="A533" s="11"/>
      <c r="B533" s="38"/>
      <c r="E533" s="10"/>
      <c r="I533" s="11"/>
      <c r="J533" s="10"/>
      <c r="L533" s="31" t="str">
        <f aca="false">IF($C533="","",IFERROR(IF(INDEX(campaigns!$BG$2:$BG$51,MATCH($C533,campaigns!$A$2:$A$51,0))="","",INDEX(campaigns!$BG$2:$BG$51,MATCH($C533,campaigns!$A$2:$A$51,0))),""))</f>
        <v/>
      </c>
      <c r="M533" s="30" t="str">
        <f aca="false">IF($C533="","",IF(OR($E533="received"),N($G533),IF(OR($E533="rejected",$E533="delivered",$E533="topped_up"),-N($G533),IF(AND(OR($E533="returned_to_brand",$E533="given_to_roster_office",$E533="released_to_office",$E533="disposed"),IF($F533="","reserve",$F533)="reserve"),-N($G533),IF(AND($E533="correction",IF($F533="","reserve",$F533)="reserve"),N($G533),0)))))</f>
        <v/>
      </c>
      <c r="N533" s="30" t="str">
        <f aca="false">IF($C533="","",IF($E533="rejected",N($G533),IF(AND(OR($E533="returned_to_brand",$E533="given_to_roster_office",$E533="released_to_office",$E533="disposed"),IF($F533="","reserve",$F533)="rejected"),-N($G533),IF(AND($E533="correction",IF($F533="","reserve",$F533)="rejected"),N($G533),0))))</f>
        <v/>
      </c>
      <c r="O533" s="30" t="str">
        <f aca="false">IF($C533="","",IF($E533="collected",N($G533),IF(AND(OR($E533="returned_to_brand",$E533="given_to_roster_office",$E533="released_to_office",$E533="disposed"),IF($F533="","reserve",$F533)="leftover"),-N($G533),IF(AND($E533="correction",IF($F533="","reserve",$F533)="leftover"),N($G533),0))))</f>
        <v/>
      </c>
      <c r="P533" s="30" t="str">
        <f aca="false">IF(OR($E533&lt;&gt;"received",$I533="",$L533=""),"",IF($I533&gt;=$L533+config!$B$19,"Y","N"))</f>
        <v/>
      </c>
      <c r="Q533" s="30" t="str">
        <f aca="false">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30" t="str">
        <f aca="false">IF($C533="","",$C533&amp;"|"&amp;$D533&amp;"|"&amp;$E533)</f>
        <v/>
      </c>
    </row>
    <row r="534" customFormat="false" ht="15" hidden="false" customHeight="false" outlineLevel="0" collapsed="false">
      <c r="A534" s="11"/>
      <c r="B534" s="38"/>
      <c r="E534" s="10"/>
      <c r="I534" s="11"/>
      <c r="J534" s="10"/>
      <c r="L534" s="31" t="str">
        <f aca="false">IF($C534="","",IFERROR(IF(INDEX(campaigns!$BG$2:$BG$51,MATCH($C534,campaigns!$A$2:$A$51,0))="","",INDEX(campaigns!$BG$2:$BG$51,MATCH($C534,campaigns!$A$2:$A$51,0))),""))</f>
        <v/>
      </c>
      <c r="M534" s="30" t="str">
        <f aca="false">IF($C534="","",IF(OR($E534="received"),N($G534),IF(OR($E534="rejected",$E534="delivered",$E534="topped_up"),-N($G534),IF(AND(OR($E534="returned_to_brand",$E534="given_to_roster_office",$E534="released_to_office",$E534="disposed"),IF($F534="","reserve",$F534)="reserve"),-N($G534),IF(AND($E534="correction",IF($F534="","reserve",$F534)="reserve"),N($G534),0)))))</f>
        <v/>
      </c>
      <c r="N534" s="30" t="str">
        <f aca="false">IF($C534="","",IF($E534="rejected",N($G534),IF(AND(OR($E534="returned_to_brand",$E534="given_to_roster_office",$E534="released_to_office",$E534="disposed"),IF($F534="","reserve",$F534)="rejected"),-N($G534),IF(AND($E534="correction",IF($F534="","reserve",$F534)="rejected"),N($G534),0))))</f>
        <v/>
      </c>
      <c r="O534" s="30" t="str">
        <f aca="false">IF($C534="","",IF($E534="collected",N($G534),IF(AND(OR($E534="returned_to_brand",$E534="given_to_roster_office",$E534="released_to_office",$E534="disposed"),IF($F534="","reserve",$F534)="leftover"),-N($G534),IF(AND($E534="correction",IF($F534="","reserve",$F534)="leftover"),N($G534),0))))</f>
        <v/>
      </c>
      <c r="P534" s="30" t="str">
        <f aca="false">IF(OR($E534&lt;&gt;"received",$I534="",$L534=""),"",IF($I534&gt;=$L534+config!$B$19,"Y","N"))</f>
        <v/>
      </c>
      <c r="Q534" s="30" t="str">
        <f aca="false">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30" t="str">
        <f aca="false">IF($C534="","",$C534&amp;"|"&amp;$D534&amp;"|"&amp;$E534)</f>
        <v/>
      </c>
    </row>
    <row r="535" customFormat="false" ht="15" hidden="false" customHeight="false" outlineLevel="0" collapsed="false">
      <c r="A535" s="11"/>
      <c r="B535" s="38"/>
      <c r="E535" s="10"/>
      <c r="I535" s="11"/>
      <c r="J535" s="10"/>
      <c r="L535" s="31" t="str">
        <f aca="false">IF($C535="","",IFERROR(IF(INDEX(campaigns!$BG$2:$BG$51,MATCH($C535,campaigns!$A$2:$A$51,0))="","",INDEX(campaigns!$BG$2:$BG$51,MATCH($C535,campaigns!$A$2:$A$51,0))),""))</f>
        <v/>
      </c>
      <c r="M535" s="30" t="str">
        <f aca="false">IF($C535="","",IF(OR($E535="received"),N($G535),IF(OR($E535="rejected",$E535="delivered",$E535="topped_up"),-N($G535),IF(AND(OR($E535="returned_to_brand",$E535="given_to_roster_office",$E535="released_to_office",$E535="disposed"),IF($F535="","reserve",$F535)="reserve"),-N($G535),IF(AND($E535="correction",IF($F535="","reserve",$F535)="reserve"),N($G535),0)))))</f>
        <v/>
      </c>
      <c r="N535" s="30" t="str">
        <f aca="false">IF($C535="","",IF($E535="rejected",N($G535),IF(AND(OR($E535="returned_to_brand",$E535="given_to_roster_office",$E535="released_to_office",$E535="disposed"),IF($F535="","reserve",$F535)="rejected"),-N($G535),IF(AND($E535="correction",IF($F535="","reserve",$F535)="rejected"),N($G535),0))))</f>
        <v/>
      </c>
      <c r="O535" s="30" t="str">
        <f aca="false">IF($C535="","",IF($E535="collected",N($G535),IF(AND(OR($E535="returned_to_brand",$E535="given_to_roster_office",$E535="released_to_office",$E535="disposed"),IF($F535="","reserve",$F535)="leftover"),-N($G535),IF(AND($E535="correction",IF($F535="","reserve",$F535)="leftover"),N($G535),0))))</f>
        <v/>
      </c>
      <c r="P535" s="30" t="str">
        <f aca="false">IF(OR($E535&lt;&gt;"received",$I535="",$L535=""),"",IF($I535&gt;=$L535+config!$B$19,"Y","N"))</f>
        <v/>
      </c>
      <c r="Q535" s="30" t="str">
        <f aca="false">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30" t="str">
        <f aca="false">IF($C535="","",$C535&amp;"|"&amp;$D535&amp;"|"&amp;$E535)</f>
        <v/>
      </c>
    </row>
    <row r="536" customFormat="false" ht="15" hidden="false" customHeight="false" outlineLevel="0" collapsed="false">
      <c r="A536" s="11"/>
      <c r="B536" s="38"/>
      <c r="E536" s="10"/>
      <c r="I536" s="11"/>
      <c r="J536" s="10"/>
      <c r="L536" s="31" t="str">
        <f aca="false">IF($C536="","",IFERROR(IF(INDEX(campaigns!$BG$2:$BG$51,MATCH($C536,campaigns!$A$2:$A$51,0))="","",INDEX(campaigns!$BG$2:$BG$51,MATCH($C536,campaigns!$A$2:$A$51,0))),""))</f>
        <v/>
      </c>
      <c r="M536" s="30" t="str">
        <f aca="false">IF($C536="","",IF(OR($E536="received"),N($G536),IF(OR($E536="rejected",$E536="delivered",$E536="topped_up"),-N($G536),IF(AND(OR($E536="returned_to_brand",$E536="given_to_roster_office",$E536="released_to_office",$E536="disposed"),IF($F536="","reserve",$F536)="reserve"),-N($G536),IF(AND($E536="correction",IF($F536="","reserve",$F536)="reserve"),N($G536),0)))))</f>
        <v/>
      </c>
      <c r="N536" s="30" t="str">
        <f aca="false">IF($C536="","",IF($E536="rejected",N($G536),IF(AND(OR($E536="returned_to_brand",$E536="given_to_roster_office",$E536="released_to_office",$E536="disposed"),IF($F536="","reserve",$F536)="rejected"),-N($G536),IF(AND($E536="correction",IF($F536="","reserve",$F536)="rejected"),N($G536),0))))</f>
        <v/>
      </c>
      <c r="O536" s="30" t="str">
        <f aca="false">IF($C536="","",IF($E536="collected",N($G536),IF(AND(OR($E536="returned_to_brand",$E536="given_to_roster_office",$E536="released_to_office",$E536="disposed"),IF($F536="","reserve",$F536)="leftover"),-N($G536),IF(AND($E536="correction",IF($F536="","reserve",$F536)="leftover"),N($G536),0))))</f>
        <v/>
      </c>
      <c r="P536" s="30" t="str">
        <f aca="false">IF(OR($E536&lt;&gt;"received",$I536="",$L536=""),"",IF($I536&gt;=$L536+config!$B$19,"Y","N"))</f>
        <v/>
      </c>
      <c r="Q536" s="30" t="str">
        <f aca="false">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30" t="str">
        <f aca="false">IF($C536="","",$C536&amp;"|"&amp;$D536&amp;"|"&amp;$E536)</f>
        <v/>
      </c>
    </row>
    <row r="537" customFormat="false" ht="15" hidden="false" customHeight="false" outlineLevel="0" collapsed="false">
      <c r="A537" s="11"/>
      <c r="B537" s="38"/>
      <c r="E537" s="10"/>
      <c r="I537" s="11"/>
      <c r="J537" s="10"/>
      <c r="L537" s="31" t="str">
        <f aca="false">IF($C537="","",IFERROR(IF(INDEX(campaigns!$BG$2:$BG$51,MATCH($C537,campaigns!$A$2:$A$51,0))="","",INDEX(campaigns!$BG$2:$BG$51,MATCH($C537,campaigns!$A$2:$A$51,0))),""))</f>
        <v/>
      </c>
      <c r="M537" s="30" t="str">
        <f aca="false">IF($C537="","",IF(OR($E537="received"),N($G537),IF(OR($E537="rejected",$E537="delivered",$E537="topped_up"),-N($G537),IF(AND(OR($E537="returned_to_brand",$E537="given_to_roster_office",$E537="released_to_office",$E537="disposed"),IF($F537="","reserve",$F537)="reserve"),-N($G537),IF(AND($E537="correction",IF($F537="","reserve",$F537)="reserve"),N($G537),0)))))</f>
        <v/>
      </c>
      <c r="N537" s="30" t="str">
        <f aca="false">IF($C537="","",IF($E537="rejected",N($G537),IF(AND(OR($E537="returned_to_brand",$E537="given_to_roster_office",$E537="released_to_office",$E537="disposed"),IF($F537="","reserve",$F537)="rejected"),-N($G537),IF(AND($E537="correction",IF($F537="","reserve",$F537)="rejected"),N($G537),0))))</f>
        <v/>
      </c>
      <c r="O537" s="30" t="str">
        <f aca="false">IF($C537="","",IF($E537="collected",N($G537),IF(AND(OR($E537="returned_to_brand",$E537="given_to_roster_office",$E537="released_to_office",$E537="disposed"),IF($F537="","reserve",$F537)="leftover"),-N($G537),IF(AND($E537="correction",IF($F537="","reserve",$F537)="leftover"),N($G537),0))))</f>
        <v/>
      </c>
      <c r="P537" s="30" t="str">
        <f aca="false">IF(OR($E537&lt;&gt;"received",$I537="",$L537=""),"",IF($I537&gt;=$L537+config!$B$19,"Y","N"))</f>
        <v/>
      </c>
      <c r="Q537" s="30" t="str">
        <f aca="false">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30" t="str">
        <f aca="false">IF($C537="","",$C537&amp;"|"&amp;$D537&amp;"|"&amp;$E537)</f>
        <v/>
      </c>
    </row>
    <row r="538" customFormat="false" ht="15" hidden="false" customHeight="false" outlineLevel="0" collapsed="false">
      <c r="A538" s="11"/>
      <c r="B538" s="38"/>
      <c r="E538" s="10"/>
      <c r="I538" s="11"/>
      <c r="J538" s="10"/>
      <c r="L538" s="31" t="str">
        <f aca="false">IF($C538="","",IFERROR(IF(INDEX(campaigns!$BG$2:$BG$51,MATCH($C538,campaigns!$A$2:$A$51,0))="","",INDEX(campaigns!$BG$2:$BG$51,MATCH($C538,campaigns!$A$2:$A$51,0))),""))</f>
        <v/>
      </c>
      <c r="M538" s="30" t="str">
        <f aca="false">IF($C538="","",IF(OR($E538="received"),N($G538),IF(OR($E538="rejected",$E538="delivered",$E538="topped_up"),-N($G538),IF(AND(OR($E538="returned_to_brand",$E538="given_to_roster_office",$E538="released_to_office",$E538="disposed"),IF($F538="","reserve",$F538)="reserve"),-N($G538),IF(AND($E538="correction",IF($F538="","reserve",$F538)="reserve"),N($G538),0)))))</f>
        <v/>
      </c>
      <c r="N538" s="30" t="str">
        <f aca="false">IF($C538="","",IF($E538="rejected",N($G538),IF(AND(OR($E538="returned_to_brand",$E538="given_to_roster_office",$E538="released_to_office",$E538="disposed"),IF($F538="","reserve",$F538)="rejected"),-N($G538),IF(AND($E538="correction",IF($F538="","reserve",$F538)="rejected"),N($G538),0))))</f>
        <v/>
      </c>
      <c r="O538" s="30" t="str">
        <f aca="false">IF($C538="","",IF($E538="collected",N($G538),IF(AND(OR($E538="returned_to_brand",$E538="given_to_roster_office",$E538="released_to_office",$E538="disposed"),IF($F538="","reserve",$F538)="leftover"),-N($G538),IF(AND($E538="correction",IF($F538="","reserve",$F538)="leftover"),N($G538),0))))</f>
        <v/>
      </c>
      <c r="P538" s="30" t="str">
        <f aca="false">IF(OR($E538&lt;&gt;"received",$I538="",$L538=""),"",IF($I538&gt;=$L538+config!$B$19,"Y","N"))</f>
        <v/>
      </c>
      <c r="Q538" s="30" t="str">
        <f aca="false">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30" t="str">
        <f aca="false">IF($C538="","",$C538&amp;"|"&amp;$D538&amp;"|"&amp;$E538)</f>
        <v/>
      </c>
    </row>
    <row r="539" customFormat="false" ht="15" hidden="false" customHeight="false" outlineLevel="0" collapsed="false">
      <c r="A539" s="11"/>
      <c r="B539" s="38"/>
      <c r="E539" s="10"/>
      <c r="I539" s="11"/>
      <c r="J539" s="10"/>
      <c r="L539" s="31" t="str">
        <f aca="false">IF($C539="","",IFERROR(IF(INDEX(campaigns!$BG$2:$BG$51,MATCH($C539,campaigns!$A$2:$A$51,0))="","",INDEX(campaigns!$BG$2:$BG$51,MATCH($C539,campaigns!$A$2:$A$51,0))),""))</f>
        <v/>
      </c>
      <c r="M539" s="30" t="str">
        <f aca="false">IF($C539="","",IF(OR($E539="received"),N($G539),IF(OR($E539="rejected",$E539="delivered",$E539="topped_up"),-N($G539),IF(AND(OR($E539="returned_to_brand",$E539="given_to_roster_office",$E539="released_to_office",$E539="disposed"),IF($F539="","reserve",$F539)="reserve"),-N($G539),IF(AND($E539="correction",IF($F539="","reserve",$F539)="reserve"),N($G539),0)))))</f>
        <v/>
      </c>
      <c r="N539" s="30" t="str">
        <f aca="false">IF($C539="","",IF($E539="rejected",N($G539),IF(AND(OR($E539="returned_to_brand",$E539="given_to_roster_office",$E539="released_to_office",$E539="disposed"),IF($F539="","reserve",$F539)="rejected"),-N($G539),IF(AND($E539="correction",IF($F539="","reserve",$F539)="rejected"),N($G539),0))))</f>
        <v/>
      </c>
      <c r="O539" s="30" t="str">
        <f aca="false">IF($C539="","",IF($E539="collected",N($G539),IF(AND(OR($E539="returned_to_brand",$E539="given_to_roster_office",$E539="released_to_office",$E539="disposed"),IF($F539="","reserve",$F539)="leftover"),-N($G539),IF(AND($E539="correction",IF($F539="","reserve",$F539)="leftover"),N($G539),0))))</f>
        <v/>
      </c>
      <c r="P539" s="30" t="str">
        <f aca="false">IF(OR($E539&lt;&gt;"received",$I539="",$L539=""),"",IF($I539&gt;=$L539+config!$B$19,"Y","N"))</f>
        <v/>
      </c>
      <c r="Q539" s="30" t="str">
        <f aca="false">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30" t="str">
        <f aca="false">IF($C539="","",$C539&amp;"|"&amp;$D539&amp;"|"&amp;$E539)</f>
        <v/>
      </c>
    </row>
    <row r="540" customFormat="false" ht="15" hidden="false" customHeight="false" outlineLevel="0" collapsed="false">
      <c r="A540" s="11"/>
      <c r="B540" s="38"/>
      <c r="E540" s="10"/>
      <c r="I540" s="11"/>
      <c r="J540" s="10"/>
      <c r="L540" s="31" t="str">
        <f aca="false">IF($C540="","",IFERROR(IF(INDEX(campaigns!$BG$2:$BG$51,MATCH($C540,campaigns!$A$2:$A$51,0))="","",INDEX(campaigns!$BG$2:$BG$51,MATCH($C540,campaigns!$A$2:$A$51,0))),""))</f>
        <v/>
      </c>
      <c r="M540" s="30" t="str">
        <f aca="false">IF($C540="","",IF(OR($E540="received"),N($G540),IF(OR($E540="rejected",$E540="delivered",$E540="topped_up"),-N($G540),IF(AND(OR($E540="returned_to_brand",$E540="given_to_roster_office",$E540="released_to_office",$E540="disposed"),IF($F540="","reserve",$F540)="reserve"),-N($G540),IF(AND($E540="correction",IF($F540="","reserve",$F540)="reserve"),N($G540),0)))))</f>
        <v/>
      </c>
      <c r="N540" s="30" t="str">
        <f aca="false">IF($C540="","",IF($E540="rejected",N($G540),IF(AND(OR($E540="returned_to_brand",$E540="given_to_roster_office",$E540="released_to_office",$E540="disposed"),IF($F540="","reserve",$F540)="rejected"),-N($G540),IF(AND($E540="correction",IF($F540="","reserve",$F540)="rejected"),N($G540),0))))</f>
        <v/>
      </c>
      <c r="O540" s="30" t="str">
        <f aca="false">IF($C540="","",IF($E540="collected",N($G540),IF(AND(OR($E540="returned_to_brand",$E540="given_to_roster_office",$E540="released_to_office",$E540="disposed"),IF($F540="","reserve",$F540)="leftover"),-N($G540),IF(AND($E540="correction",IF($F540="","reserve",$F540)="leftover"),N($G540),0))))</f>
        <v/>
      </c>
      <c r="P540" s="30" t="str">
        <f aca="false">IF(OR($E540&lt;&gt;"received",$I540="",$L540=""),"",IF($I540&gt;=$L540+config!$B$19,"Y","N"))</f>
        <v/>
      </c>
      <c r="Q540" s="30" t="str">
        <f aca="false">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30" t="str">
        <f aca="false">IF($C540="","",$C540&amp;"|"&amp;$D540&amp;"|"&amp;$E540)</f>
        <v/>
      </c>
    </row>
    <row r="541" customFormat="false" ht="15" hidden="false" customHeight="false" outlineLevel="0" collapsed="false">
      <c r="A541" s="11"/>
      <c r="B541" s="38"/>
      <c r="E541" s="10"/>
      <c r="I541" s="11"/>
      <c r="J541" s="10"/>
      <c r="L541" s="31" t="str">
        <f aca="false">IF($C541="","",IFERROR(IF(INDEX(campaigns!$BG$2:$BG$51,MATCH($C541,campaigns!$A$2:$A$51,0))="","",INDEX(campaigns!$BG$2:$BG$51,MATCH($C541,campaigns!$A$2:$A$51,0))),""))</f>
        <v/>
      </c>
      <c r="M541" s="30" t="str">
        <f aca="false">IF($C541="","",IF(OR($E541="received"),N($G541),IF(OR($E541="rejected",$E541="delivered",$E541="topped_up"),-N($G541),IF(AND(OR($E541="returned_to_brand",$E541="given_to_roster_office",$E541="released_to_office",$E541="disposed"),IF($F541="","reserve",$F541)="reserve"),-N($G541),IF(AND($E541="correction",IF($F541="","reserve",$F541)="reserve"),N($G541),0)))))</f>
        <v/>
      </c>
      <c r="N541" s="30" t="str">
        <f aca="false">IF($C541="","",IF($E541="rejected",N($G541),IF(AND(OR($E541="returned_to_brand",$E541="given_to_roster_office",$E541="released_to_office",$E541="disposed"),IF($F541="","reserve",$F541)="rejected"),-N($G541),IF(AND($E541="correction",IF($F541="","reserve",$F541)="rejected"),N($G541),0))))</f>
        <v/>
      </c>
      <c r="O541" s="30" t="str">
        <f aca="false">IF($C541="","",IF($E541="collected",N($G541),IF(AND(OR($E541="returned_to_brand",$E541="given_to_roster_office",$E541="released_to_office",$E541="disposed"),IF($F541="","reserve",$F541)="leftover"),-N($G541),IF(AND($E541="correction",IF($F541="","reserve",$F541)="leftover"),N($G541),0))))</f>
        <v/>
      </c>
      <c r="P541" s="30" t="str">
        <f aca="false">IF(OR($E541&lt;&gt;"received",$I541="",$L541=""),"",IF($I541&gt;=$L541+config!$B$19,"Y","N"))</f>
        <v/>
      </c>
      <c r="Q541" s="30" t="str">
        <f aca="false">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30" t="str">
        <f aca="false">IF($C541="","",$C541&amp;"|"&amp;$D541&amp;"|"&amp;$E541)</f>
        <v/>
      </c>
    </row>
    <row r="542" customFormat="false" ht="15" hidden="false" customHeight="false" outlineLevel="0" collapsed="false">
      <c r="A542" s="11"/>
      <c r="B542" s="38"/>
      <c r="E542" s="10"/>
      <c r="I542" s="11"/>
      <c r="J542" s="10"/>
      <c r="L542" s="31" t="str">
        <f aca="false">IF($C542="","",IFERROR(IF(INDEX(campaigns!$BG$2:$BG$51,MATCH($C542,campaigns!$A$2:$A$51,0))="","",INDEX(campaigns!$BG$2:$BG$51,MATCH($C542,campaigns!$A$2:$A$51,0))),""))</f>
        <v/>
      </c>
      <c r="M542" s="30" t="str">
        <f aca="false">IF($C542="","",IF(OR($E542="received"),N($G542),IF(OR($E542="rejected",$E542="delivered",$E542="topped_up"),-N($G542),IF(AND(OR($E542="returned_to_brand",$E542="given_to_roster_office",$E542="released_to_office",$E542="disposed"),IF($F542="","reserve",$F542)="reserve"),-N($G542),IF(AND($E542="correction",IF($F542="","reserve",$F542)="reserve"),N($G542),0)))))</f>
        <v/>
      </c>
      <c r="N542" s="30" t="str">
        <f aca="false">IF($C542="","",IF($E542="rejected",N($G542),IF(AND(OR($E542="returned_to_brand",$E542="given_to_roster_office",$E542="released_to_office",$E542="disposed"),IF($F542="","reserve",$F542)="rejected"),-N($G542),IF(AND($E542="correction",IF($F542="","reserve",$F542)="rejected"),N($G542),0))))</f>
        <v/>
      </c>
      <c r="O542" s="30" t="str">
        <f aca="false">IF($C542="","",IF($E542="collected",N($G542),IF(AND(OR($E542="returned_to_brand",$E542="given_to_roster_office",$E542="released_to_office",$E542="disposed"),IF($F542="","reserve",$F542)="leftover"),-N($G542),IF(AND($E542="correction",IF($F542="","reserve",$F542)="leftover"),N($G542),0))))</f>
        <v/>
      </c>
      <c r="P542" s="30" t="str">
        <f aca="false">IF(OR($E542&lt;&gt;"received",$I542="",$L542=""),"",IF($I542&gt;=$L542+config!$B$19,"Y","N"))</f>
        <v/>
      </c>
      <c r="Q542" s="30" t="str">
        <f aca="false">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30" t="str">
        <f aca="false">IF($C542="","",$C542&amp;"|"&amp;$D542&amp;"|"&amp;$E542)</f>
        <v/>
      </c>
    </row>
    <row r="543" customFormat="false" ht="15" hidden="false" customHeight="false" outlineLevel="0" collapsed="false">
      <c r="A543" s="11"/>
      <c r="B543" s="38"/>
      <c r="E543" s="10"/>
      <c r="I543" s="11"/>
      <c r="J543" s="10"/>
      <c r="L543" s="31" t="str">
        <f aca="false">IF($C543="","",IFERROR(IF(INDEX(campaigns!$BG$2:$BG$51,MATCH($C543,campaigns!$A$2:$A$51,0))="","",INDEX(campaigns!$BG$2:$BG$51,MATCH($C543,campaigns!$A$2:$A$51,0))),""))</f>
        <v/>
      </c>
      <c r="M543" s="30" t="str">
        <f aca="false">IF($C543="","",IF(OR($E543="received"),N($G543),IF(OR($E543="rejected",$E543="delivered",$E543="topped_up"),-N($G543),IF(AND(OR($E543="returned_to_brand",$E543="given_to_roster_office",$E543="released_to_office",$E543="disposed"),IF($F543="","reserve",$F543)="reserve"),-N($G543),IF(AND($E543="correction",IF($F543="","reserve",$F543)="reserve"),N($G543),0)))))</f>
        <v/>
      </c>
      <c r="N543" s="30" t="str">
        <f aca="false">IF($C543="","",IF($E543="rejected",N($G543),IF(AND(OR($E543="returned_to_brand",$E543="given_to_roster_office",$E543="released_to_office",$E543="disposed"),IF($F543="","reserve",$F543)="rejected"),-N($G543),IF(AND($E543="correction",IF($F543="","reserve",$F543)="rejected"),N($G543),0))))</f>
        <v/>
      </c>
      <c r="O543" s="30" t="str">
        <f aca="false">IF($C543="","",IF($E543="collected",N($G543),IF(AND(OR($E543="returned_to_brand",$E543="given_to_roster_office",$E543="released_to_office",$E543="disposed"),IF($F543="","reserve",$F543)="leftover"),-N($G543),IF(AND($E543="correction",IF($F543="","reserve",$F543)="leftover"),N($G543),0))))</f>
        <v/>
      </c>
      <c r="P543" s="30" t="str">
        <f aca="false">IF(OR($E543&lt;&gt;"received",$I543="",$L543=""),"",IF($I543&gt;=$L543+config!$B$19,"Y","N"))</f>
        <v/>
      </c>
      <c r="Q543" s="30" t="str">
        <f aca="false">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30" t="str">
        <f aca="false">IF($C543="","",$C543&amp;"|"&amp;$D543&amp;"|"&amp;$E543)</f>
        <v/>
      </c>
    </row>
    <row r="544" customFormat="false" ht="15" hidden="false" customHeight="false" outlineLevel="0" collapsed="false">
      <c r="A544" s="11"/>
      <c r="B544" s="38"/>
      <c r="E544" s="10"/>
      <c r="I544" s="11"/>
      <c r="J544" s="10"/>
      <c r="L544" s="31" t="str">
        <f aca="false">IF($C544="","",IFERROR(IF(INDEX(campaigns!$BG$2:$BG$51,MATCH($C544,campaigns!$A$2:$A$51,0))="","",INDEX(campaigns!$BG$2:$BG$51,MATCH($C544,campaigns!$A$2:$A$51,0))),""))</f>
        <v/>
      </c>
      <c r="M544" s="30" t="str">
        <f aca="false">IF($C544="","",IF(OR($E544="received"),N($G544),IF(OR($E544="rejected",$E544="delivered",$E544="topped_up"),-N($G544),IF(AND(OR($E544="returned_to_brand",$E544="given_to_roster_office",$E544="released_to_office",$E544="disposed"),IF($F544="","reserve",$F544)="reserve"),-N($G544),IF(AND($E544="correction",IF($F544="","reserve",$F544)="reserve"),N($G544),0)))))</f>
        <v/>
      </c>
      <c r="N544" s="30" t="str">
        <f aca="false">IF($C544="","",IF($E544="rejected",N($G544),IF(AND(OR($E544="returned_to_brand",$E544="given_to_roster_office",$E544="released_to_office",$E544="disposed"),IF($F544="","reserve",$F544)="rejected"),-N($G544),IF(AND($E544="correction",IF($F544="","reserve",$F544)="rejected"),N($G544),0))))</f>
        <v/>
      </c>
      <c r="O544" s="30" t="str">
        <f aca="false">IF($C544="","",IF($E544="collected",N($G544),IF(AND(OR($E544="returned_to_brand",$E544="given_to_roster_office",$E544="released_to_office",$E544="disposed"),IF($F544="","reserve",$F544)="leftover"),-N($G544),IF(AND($E544="correction",IF($F544="","reserve",$F544)="leftover"),N($G544),0))))</f>
        <v/>
      </c>
      <c r="P544" s="30" t="str">
        <f aca="false">IF(OR($E544&lt;&gt;"received",$I544="",$L544=""),"",IF($I544&gt;=$L544+config!$B$19,"Y","N"))</f>
        <v/>
      </c>
      <c r="Q544" s="30" t="str">
        <f aca="false">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30" t="str">
        <f aca="false">IF($C544="","",$C544&amp;"|"&amp;$D544&amp;"|"&amp;$E544)</f>
        <v/>
      </c>
    </row>
    <row r="545" customFormat="false" ht="15" hidden="false" customHeight="false" outlineLevel="0" collapsed="false">
      <c r="A545" s="11"/>
      <c r="B545" s="38"/>
      <c r="E545" s="10"/>
      <c r="I545" s="11"/>
      <c r="J545" s="10"/>
      <c r="L545" s="31" t="str">
        <f aca="false">IF($C545="","",IFERROR(IF(INDEX(campaigns!$BG$2:$BG$51,MATCH($C545,campaigns!$A$2:$A$51,0))="","",INDEX(campaigns!$BG$2:$BG$51,MATCH($C545,campaigns!$A$2:$A$51,0))),""))</f>
        <v/>
      </c>
      <c r="M545" s="30" t="str">
        <f aca="false">IF($C545="","",IF(OR($E545="received"),N($G545),IF(OR($E545="rejected",$E545="delivered",$E545="topped_up"),-N($G545),IF(AND(OR($E545="returned_to_brand",$E545="given_to_roster_office",$E545="released_to_office",$E545="disposed"),IF($F545="","reserve",$F545)="reserve"),-N($G545),IF(AND($E545="correction",IF($F545="","reserve",$F545)="reserve"),N($G545),0)))))</f>
        <v/>
      </c>
      <c r="N545" s="30" t="str">
        <f aca="false">IF($C545="","",IF($E545="rejected",N($G545),IF(AND(OR($E545="returned_to_brand",$E545="given_to_roster_office",$E545="released_to_office",$E545="disposed"),IF($F545="","reserve",$F545)="rejected"),-N($G545),IF(AND($E545="correction",IF($F545="","reserve",$F545)="rejected"),N($G545),0))))</f>
        <v/>
      </c>
      <c r="O545" s="30" t="str">
        <f aca="false">IF($C545="","",IF($E545="collected",N($G545),IF(AND(OR($E545="returned_to_brand",$E545="given_to_roster_office",$E545="released_to_office",$E545="disposed"),IF($F545="","reserve",$F545)="leftover"),-N($G545),IF(AND($E545="correction",IF($F545="","reserve",$F545)="leftover"),N($G545),0))))</f>
        <v/>
      </c>
      <c r="P545" s="30" t="str">
        <f aca="false">IF(OR($E545&lt;&gt;"received",$I545="",$L545=""),"",IF($I545&gt;=$L545+config!$B$19,"Y","N"))</f>
        <v/>
      </c>
      <c r="Q545" s="30" t="str">
        <f aca="false">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30" t="str">
        <f aca="false">IF($C545="","",$C545&amp;"|"&amp;$D545&amp;"|"&amp;$E545)</f>
        <v/>
      </c>
    </row>
    <row r="546" customFormat="false" ht="15" hidden="false" customHeight="false" outlineLevel="0" collapsed="false">
      <c r="A546" s="11"/>
      <c r="B546" s="38"/>
      <c r="E546" s="10"/>
      <c r="I546" s="11"/>
      <c r="J546" s="10"/>
      <c r="L546" s="31" t="str">
        <f aca="false">IF($C546="","",IFERROR(IF(INDEX(campaigns!$BG$2:$BG$51,MATCH($C546,campaigns!$A$2:$A$51,0))="","",INDEX(campaigns!$BG$2:$BG$51,MATCH($C546,campaigns!$A$2:$A$51,0))),""))</f>
        <v/>
      </c>
      <c r="M546" s="30" t="str">
        <f aca="false">IF($C546="","",IF(OR($E546="received"),N($G546),IF(OR($E546="rejected",$E546="delivered",$E546="topped_up"),-N($G546),IF(AND(OR($E546="returned_to_brand",$E546="given_to_roster_office",$E546="released_to_office",$E546="disposed"),IF($F546="","reserve",$F546)="reserve"),-N($G546),IF(AND($E546="correction",IF($F546="","reserve",$F546)="reserve"),N($G546),0)))))</f>
        <v/>
      </c>
      <c r="N546" s="30" t="str">
        <f aca="false">IF($C546="","",IF($E546="rejected",N($G546),IF(AND(OR($E546="returned_to_brand",$E546="given_to_roster_office",$E546="released_to_office",$E546="disposed"),IF($F546="","reserve",$F546)="rejected"),-N($G546),IF(AND($E546="correction",IF($F546="","reserve",$F546)="rejected"),N($G546),0))))</f>
        <v/>
      </c>
      <c r="O546" s="30" t="str">
        <f aca="false">IF($C546="","",IF($E546="collected",N($G546),IF(AND(OR($E546="returned_to_brand",$E546="given_to_roster_office",$E546="released_to_office",$E546="disposed"),IF($F546="","reserve",$F546)="leftover"),-N($G546),IF(AND($E546="correction",IF($F546="","reserve",$F546)="leftover"),N($G546),0))))</f>
        <v/>
      </c>
      <c r="P546" s="30" t="str">
        <f aca="false">IF(OR($E546&lt;&gt;"received",$I546="",$L546=""),"",IF($I546&gt;=$L546+config!$B$19,"Y","N"))</f>
        <v/>
      </c>
      <c r="Q546" s="30" t="str">
        <f aca="false">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30" t="str">
        <f aca="false">IF($C546="","",$C546&amp;"|"&amp;$D546&amp;"|"&amp;$E546)</f>
        <v/>
      </c>
    </row>
    <row r="547" customFormat="false" ht="15" hidden="false" customHeight="false" outlineLevel="0" collapsed="false">
      <c r="A547" s="11"/>
      <c r="B547" s="38"/>
      <c r="E547" s="10"/>
      <c r="I547" s="11"/>
      <c r="J547" s="10"/>
      <c r="L547" s="31" t="str">
        <f aca="false">IF($C547="","",IFERROR(IF(INDEX(campaigns!$BG$2:$BG$51,MATCH($C547,campaigns!$A$2:$A$51,0))="","",INDEX(campaigns!$BG$2:$BG$51,MATCH($C547,campaigns!$A$2:$A$51,0))),""))</f>
        <v/>
      </c>
      <c r="M547" s="30" t="str">
        <f aca="false">IF($C547="","",IF(OR($E547="received"),N($G547),IF(OR($E547="rejected",$E547="delivered",$E547="topped_up"),-N($G547),IF(AND(OR($E547="returned_to_brand",$E547="given_to_roster_office",$E547="released_to_office",$E547="disposed"),IF($F547="","reserve",$F547)="reserve"),-N($G547),IF(AND($E547="correction",IF($F547="","reserve",$F547)="reserve"),N($G547),0)))))</f>
        <v/>
      </c>
      <c r="N547" s="30" t="str">
        <f aca="false">IF($C547="","",IF($E547="rejected",N($G547),IF(AND(OR($E547="returned_to_brand",$E547="given_to_roster_office",$E547="released_to_office",$E547="disposed"),IF($F547="","reserve",$F547)="rejected"),-N($G547),IF(AND($E547="correction",IF($F547="","reserve",$F547)="rejected"),N($G547),0))))</f>
        <v/>
      </c>
      <c r="O547" s="30" t="str">
        <f aca="false">IF($C547="","",IF($E547="collected",N($G547),IF(AND(OR($E547="returned_to_brand",$E547="given_to_roster_office",$E547="released_to_office",$E547="disposed"),IF($F547="","reserve",$F547)="leftover"),-N($G547),IF(AND($E547="correction",IF($F547="","reserve",$F547)="leftover"),N($G547),0))))</f>
        <v/>
      </c>
      <c r="P547" s="30" t="str">
        <f aca="false">IF(OR($E547&lt;&gt;"received",$I547="",$L547=""),"",IF($I547&gt;=$L547+config!$B$19,"Y","N"))</f>
        <v/>
      </c>
      <c r="Q547" s="30" t="str">
        <f aca="false">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30" t="str">
        <f aca="false">IF($C547="","",$C547&amp;"|"&amp;$D547&amp;"|"&amp;$E547)</f>
        <v/>
      </c>
    </row>
    <row r="548" customFormat="false" ht="15" hidden="false" customHeight="false" outlineLevel="0" collapsed="false">
      <c r="A548" s="11"/>
      <c r="B548" s="38"/>
      <c r="E548" s="10"/>
      <c r="I548" s="11"/>
      <c r="J548" s="10"/>
      <c r="L548" s="31" t="str">
        <f aca="false">IF($C548="","",IFERROR(IF(INDEX(campaigns!$BG$2:$BG$51,MATCH($C548,campaigns!$A$2:$A$51,0))="","",INDEX(campaigns!$BG$2:$BG$51,MATCH($C548,campaigns!$A$2:$A$51,0))),""))</f>
        <v/>
      </c>
      <c r="M548" s="30" t="str">
        <f aca="false">IF($C548="","",IF(OR($E548="received"),N($G548),IF(OR($E548="rejected",$E548="delivered",$E548="topped_up"),-N($G548),IF(AND(OR($E548="returned_to_brand",$E548="given_to_roster_office",$E548="released_to_office",$E548="disposed"),IF($F548="","reserve",$F548)="reserve"),-N($G548),IF(AND($E548="correction",IF($F548="","reserve",$F548)="reserve"),N($G548),0)))))</f>
        <v/>
      </c>
      <c r="N548" s="30" t="str">
        <f aca="false">IF($C548="","",IF($E548="rejected",N($G548),IF(AND(OR($E548="returned_to_brand",$E548="given_to_roster_office",$E548="released_to_office",$E548="disposed"),IF($F548="","reserve",$F548)="rejected"),-N($G548),IF(AND($E548="correction",IF($F548="","reserve",$F548)="rejected"),N($G548),0))))</f>
        <v/>
      </c>
      <c r="O548" s="30" t="str">
        <f aca="false">IF($C548="","",IF($E548="collected",N($G548),IF(AND(OR($E548="returned_to_brand",$E548="given_to_roster_office",$E548="released_to_office",$E548="disposed"),IF($F548="","reserve",$F548)="leftover"),-N($G548),IF(AND($E548="correction",IF($F548="","reserve",$F548)="leftover"),N($G548),0))))</f>
        <v/>
      </c>
      <c r="P548" s="30" t="str">
        <f aca="false">IF(OR($E548&lt;&gt;"received",$I548="",$L548=""),"",IF($I548&gt;=$L548+config!$B$19,"Y","N"))</f>
        <v/>
      </c>
      <c r="Q548" s="30" t="str">
        <f aca="false">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30" t="str">
        <f aca="false">IF($C548="","",$C548&amp;"|"&amp;$D548&amp;"|"&amp;$E548)</f>
        <v/>
      </c>
    </row>
    <row r="549" customFormat="false" ht="15" hidden="false" customHeight="false" outlineLevel="0" collapsed="false">
      <c r="A549" s="11"/>
      <c r="B549" s="38"/>
      <c r="E549" s="10"/>
      <c r="I549" s="11"/>
      <c r="J549" s="10"/>
      <c r="L549" s="31" t="str">
        <f aca="false">IF($C549="","",IFERROR(IF(INDEX(campaigns!$BG$2:$BG$51,MATCH($C549,campaigns!$A$2:$A$51,0))="","",INDEX(campaigns!$BG$2:$BG$51,MATCH($C549,campaigns!$A$2:$A$51,0))),""))</f>
        <v/>
      </c>
      <c r="M549" s="30" t="str">
        <f aca="false">IF($C549="","",IF(OR($E549="received"),N($G549),IF(OR($E549="rejected",$E549="delivered",$E549="topped_up"),-N($G549),IF(AND(OR($E549="returned_to_brand",$E549="given_to_roster_office",$E549="released_to_office",$E549="disposed"),IF($F549="","reserve",$F549)="reserve"),-N($G549),IF(AND($E549="correction",IF($F549="","reserve",$F549)="reserve"),N($G549),0)))))</f>
        <v/>
      </c>
      <c r="N549" s="30" t="str">
        <f aca="false">IF($C549="","",IF($E549="rejected",N($G549),IF(AND(OR($E549="returned_to_brand",$E549="given_to_roster_office",$E549="released_to_office",$E549="disposed"),IF($F549="","reserve",$F549)="rejected"),-N($G549),IF(AND($E549="correction",IF($F549="","reserve",$F549)="rejected"),N($G549),0))))</f>
        <v/>
      </c>
      <c r="O549" s="30" t="str">
        <f aca="false">IF($C549="","",IF($E549="collected",N($G549),IF(AND(OR($E549="returned_to_brand",$E549="given_to_roster_office",$E549="released_to_office",$E549="disposed"),IF($F549="","reserve",$F549)="leftover"),-N($G549),IF(AND($E549="correction",IF($F549="","reserve",$F549)="leftover"),N($G549),0))))</f>
        <v/>
      </c>
      <c r="P549" s="30" t="str">
        <f aca="false">IF(OR($E549&lt;&gt;"received",$I549="",$L549=""),"",IF($I549&gt;=$L549+config!$B$19,"Y","N"))</f>
        <v/>
      </c>
      <c r="Q549" s="30" t="str">
        <f aca="false">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30" t="str">
        <f aca="false">IF($C549="","",$C549&amp;"|"&amp;$D549&amp;"|"&amp;$E549)</f>
        <v/>
      </c>
    </row>
    <row r="550" customFormat="false" ht="15" hidden="false" customHeight="false" outlineLevel="0" collapsed="false">
      <c r="A550" s="11"/>
      <c r="B550" s="38"/>
      <c r="E550" s="10"/>
      <c r="I550" s="11"/>
      <c r="J550" s="10"/>
      <c r="L550" s="31" t="str">
        <f aca="false">IF($C550="","",IFERROR(IF(INDEX(campaigns!$BG$2:$BG$51,MATCH($C550,campaigns!$A$2:$A$51,0))="","",INDEX(campaigns!$BG$2:$BG$51,MATCH($C550,campaigns!$A$2:$A$51,0))),""))</f>
        <v/>
      </c>
      <c r="M550" s="30" t="str">
        <f aca="false">IF($C550="","",IF(OR($E550="received"),N($G550),IF(OR($E550="rejected",$E550="delivered",$E550="topped_up"),-N($G550),IF(AND(OR($E550="returned_to_brand",$E550="given_to_roster_office",$E550="released_to_office",$E550="disposed"),IF($F550="","reserve",$F550)="reserve"),-N($G550),IF(AND($E550="correction",IF($F550="","reserve",$F550)="reserve"),N($G550),0)))))</f>
        <v/>
      </c>
      <c r="N550" s="30" t="str">
        <f aca="false">IF($C550="","",IF($E550="rejected",N($G550),IF(AND(OR($E550="returned_to_brand",$E550="given_to_roster_office",$E550="released_to_office",$E550="disposed"),IF($F550="","reserve",$F550)="rejected"),-N($G550),IF(AND($E550="correction",IF($F550="","reserve",$F550)="rejected"),N($G550),0))))</f>
        <v/>
      </c>
      <c r="O550" s="30" t="str">
        <f aca="false">IF($C550="","",IF($E550="collected",N($G550),IF(AND(OR($E550="returned_to_brand",$E550="given_to_roster_office",$E550="released_to_office",$E550="disposed"),IF($F550="","reserve",$F550)="leftover"),-N($G550),IF(AND($E550="correction",IF($F550="","reserve",$F550)="leftover"),N($G550),0))))</f>
        <v/>
      </c>
      <c r="P550" s="30" t="str">
        <f aca="false">IF(OR($E550&lt;&gt;"received",$I550="",$L550=""),"",IF($I550&gt;=$L550+config!$B$19,"Y","N"))</f>
        <v/>
      </c>
      <c r="Q550" s="30" t="str">
        <f aca="false">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30" t="str">
        <f aca="false">IF($C550="","",$C550&amp;"|"&amp;$D550&amp;"|"&amp;$E550)</f>
        <v/>
      </c>
    </row>
    <row r="551" customFormat="false" ht="15" hidden="false" customHeight="false" outlineLevel="0" collapsed="false">
      <c r="A551" s="11"/>
      <c r="B551" s="38"/>
      <c r="E551" s="10"/>
      <c r="I551" s="11"/>
      <c r="J551" s="10"/>
      <c r="L551" s="31" t="str">
        <f aca="false">IF($C551="","",IFERROR(IF(INDEX(campaigns!$BG$2:$BG$51,MATCH($C551,campaigns!$A$2:$A$51,0))="","",INDEX(campaigns!$BG$2:$BG$51,MATCH($C551,campaigns!$A$2:$A$51,0))),""))</f>
        <v/>
      </c>
      <c r="M551" s="30" t="str">
        <f aca="false">IF($C551="","",IF(OR($E551="received"),N($G551),IF(OR($E551="rejected",$E551="delivered",$E551="topped_up"),-N($G551),IF(AND(OR($E551="returned_to_brand",$E551="given_to_roster_office",$E551="released_to_office",$E551="disposed"),IF($F551="","reserve",$F551)="reserve"),-N($G551),IF(AND($E551="correction",IF($F551="","reserve",$F551)="reserve"),N($G551),0)))))</f>
        <v/>
      </c>
      <c r="N551" s="30" t="str">
        <f aca="false">IF($C551="","",IF($E551="rejected",N($G551),IF(AND(OR($E551="returned_to_brand",$E551="given_to_roster_office",$E551="released_to_office",$E551="disposed"),IF($F551="","reserve",$F551)="rejected"),-N($G551),IF(AND($E551="correction",IF($F551="","reserve",$F551)="rejected"),N($G551),0))))</f>
        <v/>
      </c>
      <c r="O551" s="30" t="str">
        <f aca="false">IF($C551="","",IF($E551="collected",N($G551),IF(AND(OR($E551="returned_to_brand",$E551="given_to_roster_office",$E551="released_to_office",$E551="disposed"),IF($F551="","reserve",$F551)="leftover"),-N($G551),IF(AND($E551="correction",IF($F551="","reserve",$F551)="leftover"),N($G551),0))))</f>
        <v/>
      </c>
      <c r="P551" s="30" t="str">
        <f aca="false">IF(OR($E551&lt;&gt;"received",$I551="",$L551=""),"",IF($I551&gt;=$L551+config!$B$19,"Y","N"))</f>
        <v/>
      </c>
      <c r="Q551" s="30" t="str">
        <f aca="false">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30" t="str">
        <f aca="false">IF($C551="","",$C551&amp;"|"&amp;$D551&amp;"|"&amp;$E551)</f>
        <v/>
      </c>
    </row>
    <row r="552" customFormat="false" ht="15" hidden="false" customHeight="false" outlineLevel="0" collapsed="false">
      <c r="A552" s="11"/>
      <c r="B552" s="38"/>
      <c r="E552" s="10"/>
      <c r="I552" s="11"/>
      <c r="J552" s="10"/>
      <c r="L552" s="31" t="str">
        <f aca="false">IF($C552="","",IFERROR(IF(INDEX(campaigns!$BG$2:$BG$51,MATCH($C552,campaigns!$A$2:$A$51,0))="","",INDEX(campaigns!$BG$2:$BG$51,MATCH($C552,campaigns!$A$2:$A$51,0))),""))</f>
        <v/>
      </c>
      <c r="M552" s="30" t="str">
        <f aca="false">IF($C552="","",IF(OR($E552="received"),N($G552),IF(OR($E552="rejected",$E552="delivered",$E552="topped_up"),-N($G552),IF(AND(OR($E552="returned_to_brand",$E552="given_to_roster_office",$E552="released_to_office",$E552="disposed"),IF($F552="","reserve",$F552)="reserve"),-N($G552),IF(AND($E552="correction",IF($F552="","reserve",$F552)="reserve"),N($G552),0)))))</f>
        <v/>
      </c>
      <c r="N552" s="30" t="str">
        <f aca="false">IF($C552="","",IF($E552="rejected",N($G552),IF(AND(OR($E552="returned_to_brand",$E552="given_to_roster_office",$E552="released_to_office",$E552="disposed"),IF($F552="","reserve",$F552)="rejected"),-N($G552),IF(AND($E552="correction",IF($F552="","reserve",$F552)="rejected"),N($G552),0))))</f>
        <v/>
      </c>
      <c r="O552" s="30" t="str">
        <f aca="false">IF($C552="","",IF($E552="collected",N($G552),IF(AND(OR($E552="returned_to_brand",$E552="given_to_roster_office",$E552="released_to_office",$E552="disposed"),IF($F552="","reserve",$F552)="leftover"),-N($G552),IF(AND($E552="correction",IF($F552="","reserve",$F552)="leftover"),N($G552),0))))</f>
        <v/>
      </c>
      <c r="P552" s="30" t="str">
        <f aca="false">IF(OR($E552&lt;&gt;"received",$I552="",$L552=""),"",IF($I552&gt;=$L552+config!$B$19,"Y","N"))</f>
        <v/>
      </c>
      <c r="Q552" s="30" t="str">
        <f aca="false">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30" t="str">
        <f aca="false">IF($C552="","",$C552&amp;"|"&amp;$D552&amp;"|"&amp;$E552)</f>
        <v/>
      </c>
    </row>
    <row r="553" customFormat="false" ht="15" hidden="false" customHeight="false" outlineLevel="0" collapsed="false">
      <c r="A553" s="11"/>
      <c r="B553" s="38"/>
      <c r="E553" s="10"/>
      <c r="I553" s="11"/>
      <c r="J553" s="10"/>
      <c r="L553" s="31" t="str">
        <f aca="false">IF($C553="","",IFERROR(IF(INDEX(campaigns!$BG$2:$BG$51,MATCH($C553,campaigns!$A$2:$A$51,0))="","",INDEX(campaigns!$BG$2:$BG$51,MATCH($C553,campaigns!$A$2:$A$51,0))),""))</f>
        <v/>
      </c>
      <c r="M553" s="30" t="str">
        <f aca="false">IF($C553="","",IF(OR($E553="received"),N($G553),IF(OR($E553="rejected",$E553="delivered",$E553="topped_up"),-N($G553),IF(AND(OR($E553="returned_to_brand",$E553="given_to_roster_office",$E553="released_to_office",$E553="disposed"),IF($F553="","reserve",$F553)="reserve"),-N($G553),IF(AND($E553="correction",IF($F553="","reserve",$F553)="reserve"),N($G553),0)))))</f>
        <v/>
      </c>
      <c r="N553" s="30" t="str">
        <f aca="false">IF($C553="","",IF($E553="rejected",N($G553),IF(AND(OR($E553="returned_to_brand",$E553="given_to_roster_office",$E553="released_to_office",$E553="disposed"),IF($F553="","reserve",$F553)="rejected"),-N($G553),IF(AND($E553="correction",IF($F553="","reserve",$F553)="rejected"),N($G553),0))))</f>
        <v/>
      </c>
      <c r="O553" s="30" t="str">
        <f aca="false">IF($C553="","",IF($E553="collected",N($G553),IF(AND(OR($E553="returned_to_brand",$E553="given_to_roster_office",$E553="released_to_office",$E553="disposed"),IF($F553="","reserve",$F553)="leftover"),-N($G553),IF(AND($E553="correction",IF($F553="","reserve",$F553)="leftover"),N($G553),0))))</f>
        <v/>
      </c>
      <c r="P553" s="30" t="str">
        <f aca="false">IF(OR($E553&lt;&gt;"received",$I553="",$L553=""),"",IF($I553&gt;=$L553+config!$B$19,"Y","N"))</f>
        <v/>
      </c>
      <c r="Q553" s="30" t="str">
        <f aca="false">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30" t="str">
        <f aca="false">IF($C553="","",$C553&amp;"|"&amp;$D553&amp;"|"&amp;$E553)</f>
        <v/>
      </c>
    </row>
    <row r="554" customFormat="false" ht="15" hidden="false" customHeight="false" outlineLevel="0" collapsed="false">
      <c r="A554" s="11"/>
      <c r="B554" s="38"/>
      <c r="E554" s="10"/>
      <c r="I554" s="11"/>
      <c r="J554" s="10"/>
      <c r="L554" s="31" t="str">
        <f aca="false">IF($C554="","",IFERROR(IF(INDEX(campaigns!$BG$2:$BG$51,MATCH($C554,campaigns!$A$2:$A$51,0))="","",INDEX(campaigns!$BG$2:$BG$51,MATCH($C554,campaigns!$A$2:$A$51,0))),""))</f>
        <v/>
      </c>
      <c r="M554" s="30" t="str">
        <f aca="false">IF($C554="","",IF(OR($E554="received"),N($G554),IF(OR($E554="rejected",$E554="delivered",$E554="topped_up"),-N($G554),IF(AND(OR($E554="returned_to_brand",$E554="given_to_roster_office",$E554="released_to_office",$E554="disposed"),IF($F554="","reserve",$F554)="reserve"),-N($G554),IF(AND($E554="correction",IF($F554="","reserve",$F554)="reserve"),N($G554),0)))))</f>
        <v/>
      </c>
      <c r="N554" s="30" t="str">
        <f aca="false">IF($C554="","",IF($E554="rejected",N($G554),IF(AND(OR($E554="returned_to_brand",$E554="given_to_roster_office",$E554="released_to_office",$E554="disposed"),IF($F554="","reserve",$F554)="rejected"),-N($G554),IF(AND($E554="correction",IF($F554="","reserve",$F554)="rejected"),N($G554),0))))</f>
        <v/>
      </c>
      <c r="O554" s="30" t="str">
        <f aca="false">IF($C554="","",IF($E554="collected",N($G554),IF(AND(OR($E554="returned_to_brand",$E554="given_to_roster_office",$E554="released_to_office",$E554="disposed"),IF($F554="","reserve",$F554)="leftover"),-N($G554),IF(AND($E554="correction",IF($F554="","reserve",$F554)="leftover"),N($G554),0))))</f>
        <v/>
      </c>
      <c r="P554" s="30" t="str">
        <f aca="false">IF(OR($E554&lt;&gt;"received",$I554="",$L554=""),"",IF($I554&gt;=$L554+config!$B$19,"Y","N"))</f>
        <v/>
      </c>
      <c r="Q554" s="30" t="str">
        <f aca="false">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30" t="str">
        <f aca="false">IF($C554="","",$C554&amp;"|"&amp;$D554&amp;"|"&amp;$E554)</f>
        <v/>
      </c>
    </row>
    <row r="555" customFormat="false" ht="15" hidden="false" customHeight="false" outlineLevel="0" collapsed="false">
      <c r="A555" s="11"/>
      <c r="B555" s="38"/>
      <c r="E555" s="10"/>
      <c r="I555" s="11"/>
      <c r="J555" s="10"/>
      <c r="L555" s="31" t="str">
        <f aca="false">IF($C555="","",IFERROR(IF(INDEX(campaigns!$BG$2:$BG$51,MATCH($C555,campaigns!$A$2:$A$51,0))="","",INDEX(campaigns!$BG$2:$BG$51,MATCH($C555,campaigns!$A$2:$A$51,0))),""))</f>
        <v/>
      </c>
      <c r="M555" s="30" t="str">
        <f aca="false">IF($C555="","",IF(OR($E555="received"),N($G555),IF(OR($E555="rejected",$E555="delivered",$E555="topped_up"),-N($G555),IF(AND(OR($E555="returned_to_brand",$E555="given_to_roster_office",$E555="released_to_office",$E555="disposed"),IF($F555="","reserve",$F555)="reserve"),-N($G555),IF(AND($E555="correction",IF($F555="","reserve",$F555)="reserve"),N($G555),0)))))</f>
        <v/>
      </c>
      <c r="N555" s="30" t="str">
        <f aca="false">IF($C555="","",IF($E555="rejected",N($G555),IF(AND(OR($E555="returned_to_brand",$E555="given_to_roster_office",$E555="released_to_office",$E555="disposed"),IF($F555="","reserve",$F555)="rejected"),-N($G555),IF(AND($E555="correction",IF($F555="","reserve",$F555)="rejected"),N($G555),0))))</f>
        <v/>
      </c>
      <c r="O555" s="30" t="str">
        <f aca="false">IF($C555="","",IF($E555="collected",N($G555),IF(AND(OR($E555="returned_to_brand",$E555="given_to_roster_office",$E555="released_to_office",$E555="disposed"),IF($F555="","reserve",$F555)="leftover"),-N($G555),IF(AND($E555="correction",IF($F555="","reserve",$F555)="leftover"),N($G555),0))))</f>
        <v/>
      </c>
      <c r="P555" s="30" t="str">
        <f aca="false">IF(OR($E555&lt;&gt;"received",$I555="",$L555=""),"",IF($I555&gt;=$L555+config!$B$19,"Y","N"))</f>
        <v/>
      </c>
      <c r="Q555" s="30" t="str">
        <f aca="false">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30" t="str">
        <f aca="false">IF($C555="","",$C555&amp;"|"&amp;$D555&amp;"|"&amp;$E555)</f>
        <v/>
      </c>
    </row>
    <row r="556" customFormat="false" ht="15" hidden="false" customHeight="false" outlineLevel="0" collapsed="false">
      <c r="A556" s="11"/>
      <c r="B556" s="38"/>
      <c r="E556" s="10"/>
      <c r="I556" s="11"/>
      <c r="J556" s="10"/>
      <c r="L556" s="31" t="str">
        <f aca="false">IF($C556="","",IFERROR(IF(INDEX(campaigns!$BG$2:$BG$51,MATCH($C556,campaigns!$A$2:$A$51,0))="","",INDEX(campaigns!$BG$2:$BG$51,MATCH($C556,campaigns!$A$2:$A$51,0))),""))</f>
        <v/>
      </c>
      <c r="M556" s="30" t="str">
        <f aca="false">IF($C556="","",IF(OR($E556="received"),N($G556),IF(OR($E556="rejected",$E556="delivered",$E556="topped_up"),-N($G556),IF(AND(OR($E556="returned_to_brand",$E556="given_to_roster_office",$E556="released_to_office",$E556="disposed"),IF($F556="","reserve",$F556)="reserve"),-N($G556),IF(AND($E556="correction",IF($F556="","reserve",$F556)="reserve"),N($G556),0)))))</f>
        <v/>
      </c>
      <c r="N556" s="30" t="str">
        <f aca="false">IF($C556="","",IF($E556="rejected",N($G556),IF(AND(OR($E556="returned_to_brand",$E556="given_to_roster_office",$E556="released_to_office",$E556="disposed"),IF($F556="","reserve",$F556)="rejected"),-N($G556),IF(AND($E556="correction",IF($F556="","reserve",$F556)="rejected"),N($G556),0))))</f>
        <v/>
      </c>
      <c r="O556" s="30" t="str">
        <f aca="false">IF($C556="","",IF($E556="collected",N($G556),IF(AND(OR($E556="returned_to_brand",$E556="given_to_roster_office",$E556="released_to_office",$E556="disposed"),IF($F556="","reserve",$F556)="leftover"),-N($G556),IF(AND($E556="correction",IF($F556="","reserve",$F556)="leftover"),N($G556),0))))</f>
        <v/>
      </c>
      <c r="P556" s="30" t="str">
        <f aca="false">IF(OR($E556&lt;&gt;"received",$I556="",$L556=""),"",IF($I556&gt;=$L556+config!$B$19,"Y","N"))</f>
        <v/>
      </c>
      <c r="Q556" s="30" t="str">
        <f aca="false">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30" t="str">
        <f aca="false">IF($C556="","",$C556&amp;"|"&amp;$D556&amp;"|"&amp;$E556)</f>
        <v/>
      </c>
    </row>
    <row r="557" customFormat="false" ht="15" hidden="false" customHeight="false" outlineLevel="0" collapsed="false">
      <c r="A557" s="11"/>
      <c r="B557" s="38"/>
      <c r="E557" s="10"/>
      <c r="I557" s="11"/>
      <c r="J557" s="10"/>
      <c r="L557" s="31" t="str">
        <f aca="false">IF($C557="","",IFERROR(IF(INDEX(campaigns!$BG$2:$BG$51,MATCH($C557,campaigns!$A$2:$A$51,0))="","",INDEX(campaigns!$BG$2:$BG$51,MATCH($C557,campaigns!$A$2:$A$51,0))),""))</f>
        <v/>
      </c>
      <c r="M557" s="30" t="str">
        <f aca="false">IF($C557="","",IF(OR($E557="received"),N($G557),IF(OR($E557="rejected",$E557="delivered",$E557="topped_up"),-N($G557),IF(AND(OR($E557="returned_to_brand",$E557="given_to_roster_office",$E557="released_to_office",$E557="disposed"),IF($F557="","reserve",$F557)="reserve"),-N($G557),IF(AND($E557="correction",IF($F557="","reserve",$F557)="reserve"),N($G557),0)))))</f>
        <v/>
      </c>
      <c r="N557" s="30" t="str">
        <f aca="false">IF($C557="","",IF($E557="rejected",N($G557),IF(AND(OR($E557="returned_to_brand",$E557="given_to_roster_office",$E557="released_to_office",$E557="disposed"),IF($F557="","reserve",$F557)="rejected"),-N($G557),IF(AND($E557="correction",IF($F557="","reserve",$F557)="rejected"),N($G557),0))))</f>
        <v/>
      </c>
      <c r="O557" s="30" t="str">
        <f aca="false">IF($C557="","",IF($E557="collected",N($G557),IF(AND(OR($E557="returned_to_brand",$E557="given_to_roster_office",$E557="released_to_office",$E557="disposed"),IF($F557="","reserve",$F557)="leftover"),-N($G557),IF(AND($E557="correction",IF($F557="","reserve",$F557)="leftover"),N($G557),0))))</f>
        <v/>
      </c>
      <c r="P557" s="30" t="str">
        <f aca="false">IF(OR($E557&lt;&gt;"received",$I557="",$L557=""),"",IF($I557&gt;=$L557+config!$B$19,"Y","N"))</f>
        <v/>
      </c>
      <c r="Q557" s="30" t="str">
        <f aca="false">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30" t="str">
        <f aca="false">IF($C557="","",$C557&amp;"|"&amp;$D557&amp;"|"&amp;$E557)</f>
        <v/>
      </c>
    </row>
    <row r="558" customFormat="false" ht="15" hidden="false" customHeight="false" outlineLevel="0" collapsed="false">
      <c r="A558" s="11"/>
      <c r="B558" s="38"/>
      <c r="E558" s="10"/>
      <c r="I558" s="11"/>
      <c r="J558" s="10"/>
      <c r="L558" s="31" t="str">
        <f aca="false">IF($C558="","",IFERROR(IF(INDEX(campaigns!$BG$2:$BG$51,MATCH($C558,campaigns!$A$2:$A$51,0))="","",INDEX(campaigns!$BG$2:$BG$51,MATCH($C558,campaigns!$A$2:$A$51,0))),""))</f>
        <v/>
      </c>
      <c r="M558" s="30" t="str">
        <f aca="false">IF($C558="","",IF(OR($E558="received"),N($G558),IF(OR($E558="rejected",$E558="delivered",$E558="topped_up"),-N($G558),IF(AND(OR($E558="returned_to_brand",$E558="given_to_roster_office",$E558="released_to_office",$E558="disposed"),IF($F558="","reserve",$F558)="reserve"),-N($G558),IF(AND($E558="correction",IF($F558="","reserve",$F558)="reserve"),N($G558),0)))))</f>
        <v/>
      </c>
      <c r="N558" s="30" t="str">
        <f aca="false">IF($C558="","",IF($E558="rejected",N($G558),IF(AND(OR($E558="returned_to_brand",$E558="given_to_roster_office",$E558="released_to_office",$E558="disposed"),IF($F558="","reserve",$F558)="rejected"),-N($G558),IF(AND($E558="correction",IF($F558="","reserve",$F558)="rejected"),N($G558),0))))</f>
        <v/>
      </c>
      <c r="O558" s="30" t="str">
        <f aca="false">IF($C558="","",IF($E558="collected",N($G558),IF(AND(OR($E558="returned_to_brand",$E558="given_to_roster_office",$E558="released_to_office",$E558="disposed"),IF($F558="","reserve",$F558)="leftover"),-N($G558),IF(AND($E558="correction",IF($F558="","reserve",$F558)="leftover"),N($G558),0))))</f>
        <v/>
      </c>
      <c r="P558" s="30" t="str">
        <f aca="false">IF(OR($E558&lt;&gt;"received",$I558="",$L558=""),"",IF($I558&gt;=$L558+config!$B$19,"Y","N"))</f>
        <v/>
      </c>
      <c r="Q558" s="30" t="str">
        <f aca="false">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30" t="str">
        <f aca="false">IF($C558="","",$C558&amp;"|"&amp;$D558&amp;"|"&amp;$E558)</f>
        <v/>
      </c>
    </row>
    <row r="559" customFormat="false" ht="15" hidden="false" customHeight="false" outlineLevel="0" collapsed="false">
      <c r="A559" s="11"/>
      <c r="B559" s="38"/>
      <c r="E559" s="10"/>
      <c r="I559" s="11"/>
      <c r="J559" s="10"/>
      <c r="L559" s="31" t="str">
        <f aca="false">IF($C559="","",IFERROR(IF(INDEX(campaigns!$BG$2:$BG$51,MATCH($C559,campaigns!$A$2:$A$51,0))="","",INDEX(campaigns!$BG$2:$BG$51,MATCH($C559,campaigns!$A$2:$A$51,0))),""))</f>
        <v/>
      </c>
      <c r="M559" s="30" t="str">
        <f aca="false">IF($C559="","",IF(OR($E559="received"),N($G559),IF(OR($E559="rejected",$E559="delivered",$E559="topped_up"),-N($G559),IF(AND(OR($E559="returned_to_brand",$E559="given_to_roster_office",$E559="released_to_office",$E559="disposed"),IF($F559="","reserve",$F559)="reserve"),-N($G559),IF(AND($E559="correction",IF($F559="","reserve",$F559)="reserve"),N($G559),0)))))</f>
        <v/>
      </c>
      <c r="N559" s="30" t="str">
        <f aca="false">IF($C559="","",IF($E559="rejected",N($G559),IF(AND(OR($E559="returned_to_brand",$E559="given_to_roster_office",$E559="released_to_office",$E559="disposed"),IF($F559="","reserve",$F559)="rejected"),-N($G559),IF(AND($E559="correction",IF($F559="","reserve",$F559)="rejected"),N($G559),0))))</f>
        <v/>
      </c>
      <c r="O559" s="30" t="str">
        <f aca="false">IF($C559="","",IF($E559="collected",N($G559),IF(AND(OR($E559="returned_to_brand",$E559="given_to_roster_office",$E559="released_to_office",$E559="disposed"),IF($F559="","reserve",$F559)="leftover"),-N($G559),IF(AND($E559="correction",IF($F559="","reserve",$F559)="leftover"),N($G559),0))))</f>
        <v/>
      </c>
      <c r="P559" s="30" t="str">
        <f aca="false">IF(OR($E559&lt;&gt;"received",$I559="",$L559=""),"",IF($I559&gt;=$L559+config!$B$19,"Y","N"))</f>
        <v/>
      </c>
      <c r="Q559" s="30" t="str">
        <f aca="false">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30" t="str">
        <f aca="false">IF($C559="","",$C559&amp;"|"&amp;$D559&amp;"|"&amp;$E559)</f>
        <v/>
      </c>
    </row>
    <row r="560" customFormat="false" ht="15" hidden="false" customHeight="false" outlineLevel="0" collapsed="false">
      <c r="A560" s="11"/>
      <c r="B560" s="38"/>
      <c r="E560" s="10"/>
      <c r="I560" s="11"/>
      <c r="J560" s="10"/>
      <c r="L560" s="31" t="str">
        <f aca="false">IF($C560="","",IFERROR(IF(INDEX(campaigns!$BG$2:$BG$51,MATCH($C560,campaigns!$A$2:$A$51,0))="","",INDEX(campaigns!$BG$2:$BG$51,MATCH($C560,campaigns!$A$2:$A$51,0))),""))</f>
        <v/>
      </c>
      <c r="M560" s="30" t="str">
        <f aca="false">IF($C560="","",IF(OR($E560="received"),N($G560),IF(OR($E560="rejected",$E560="delivered",$E560="topped_up"),-N($G560),IF(AND(OR($E560="returned_to_brand",$E560="given_to_roster_office",$E560="released_to_office",$E560="disposed"),IF($F560="","reserve",$F560)="reserve"),-N($G560),IF(AND($E560="correction",IF($F560="","reserve",$F560)="reserve"),N($G560),0)))))</f>
        <v/>
      </c>
      <c r="N560" s="30" t="str">
        <f aca="false">IF($C560="","",IF($E560="rejected",N($G560),IF(AND(OR($E560="returned_to_brand",$E560="given_to_roster_office",$E560="released_to_office",$E560="disposed"),IF($F560="","reserve",$F560)="rejected"),-N($G560),IF(AND($E560="correction",IF($F560="","reserve",$F560)="rejected"),N($G560),0))))</f>
        <v/>
      </c>
      <c r="O560" s="30" t="str">
        <f aca="false">IF($C560="","",IF($E560="collected",N($G560),IF(AND(OR($E560="returned_to_brand",$E560="given_to_roster_office",$E560="released_to_office",$E560="disposed"),IF($F560="","reserve",$F560)="leftover"),-N($G560),IF(AND($E560="correction",IF($F560="","reserve",$F560)="leftover"),N($G560),0))))</f>
        <v/>
      </c>
      <c r="P560" s="30" t="str">
        <f aca="false">IF(OR($E560&lt;&gt;"received",$I560="",$L560=""),"",IF($I560&gt;=$L560+config!$B$19,"Y","N"))</f>
        <v/>
      </c>
      <c r="Q560" s="30" t="str">
        <f aca="false">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30" t="str">
        <f aca="false">IF($C560="","",$C560&amp;"|"&amp;$D560&amp;"|"&amp;$E560)</f>
        <v/>
      </c>
    </row>
    <row r="561" customFormat="false" ht="15" hidden="false" customHeight="false" outlineLevel="0" collapsed="false">
      <c r="A561" s="11"/>
      <c r="B561" s="38"/>
      <c r="E561" s="10"/>
      <c r="I561" s="11"/>
      <c r="J561" s="10"/>
      <c r="L561" s="31" t="str">
        <f aca="false">IF($C561="","",IFERROR(IF(INDEX(campaigns!$BG$2:$BG$51,MATCH($C561,campaigns!$A$2:$A$51,0))="","",INDEX(campaigns!$BG$2:$BG$51,MATCH($C561,campaigns!$A$2:$A$51,0))),""))</f>
        <v/>
      </c>
      <c r="M561" s="30" t="str">
        <f aca="false">IF($C561="","",IF(OR($E561="received"),N($G561),IF(OR($E561="rejected",$E561="delivered",$E561="topped_up"),-N($G561),IF(AND(OR($E561="returned_to_brand",$E561="given_to_roster_office",$E561="released_to_office",$E561="disposed"),IF($F561="","reserve",$F561)="reserve"),-N($G561),IF(AND($E561="correction",IF($F561="","reserve",$F561)="reserve"),N($G561),0)))))</f>
        <v/>
      </c>
      <c r="N561" s="30" t="str">
        <f aca="false">IF($C561="","",IF($E561="rejected",N($G561),IF(AND(OR($E561="returned_to_brand",$E561="given_to_roster_office",$E561="released_to_office",$E561="disposed"),IF($F561="","reserve",$F561)="rejected"),-N($G561),IF(AND($E561="correction",IF($F561="","reserve",$F561)="rejected"),N($G561),0))))</f>
        <v/>
      </c>
      <c r="O561" s="30" t="str">
        <f aca="false">IF($C561="","",IF($E561="collected",N($G561),IF(AND(OR($E561="returned_to_brand",$E561="given_to_roster_office",$E561="released_to_office",$E561="disposed"),IF($F561="","reserve",$F561)="leftover"),-N($G561),IF(AND($E561="correction",IF($F561="","reserve",$F561)="leftover"),N($G561),0))))</f>
        <v/>
      </c>
      <c r="P561" s="30" t="str">
        <f aca="false">IF(OR($E561&lt;&gt;"received",$I561="",$L561=""),"",IF($I561&gt;=$L561+config!$B$19,"Y","N"))</f>
        <v/>
      </c>
      <c r="Q561" s="30" t="str">
        <f aca="false">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30" t="str">
        <f aca="false">IF($C561="","",$C561&amp;"|"&amp;$D561&amp;"|"&amp;$E561)</f>
        <v/>
      </c>
    </row>
    <row r="562" customFormat="false" ht="15" hidden="false" customHeight="false" outlineLevel="0" collapsed="false">
      <c r="A562" s="11"/>
      <c r="B562" s="38"/>
      <c r="E562" s="10"/>
      <c r="I562" s="11"/>
      <c r="J562" s="10"/>
      <c r="L562" s="31" t="str">
        <f aca="false">IF($C562="","",IFERROR(IF(INDEX(campaigns!$BG$2:$BG$51,MATCH($C562,campaigns!$A$2:$A$51,0))="","",INDEX(campaigns!$BG$2:$BG$51,MATCH($C562,campaigns!$A$2:$A$51,0))),""))</f>
        <v/>
      </c>
      <c r="M562" s="30" t="str">
        <f aca="false">IF($C562="","",IF(OR($E562="received"),N($G562),IF(OR($E562="rejected",$E562="delivered",$E562="topped_up"),-N($G562),IF(AND(OR($E562="returned_to_brand",$E562="given_to_roster_office",$E562="released_to_office",$E562="disposed"),IF($F562="","reserve",$F562)="reserve"),-N($G562),IF(AND($E562="correction",IF($F562="","reserve",$F562)="reserve"),N($G562),0)))))</f>
        <v/>
      </c>
      <c r="N562" s="30" t="str">
        <f aca="false">IF($C562="","",IF($E562="rejected",N($G562),IF(AND(OR($E562="returned_to_brand",$E562="given_to_roster_office",$E562="released_to_office",$E562="disposed"),IF($F562="","reserve",$F562)="rejected"),-N($G562),IF(AND($E562="correction",IF($F562="","reserve",$F562)="rejected"),N($G562),0))))</f>
        <v/>
      </c>
      <c r="O562" s="30" t="str">
        <f aca="false">IF($C562="","",IF($E562="collected",N($G562),IF(AND(OR($E562="returned_to_brand",$E562="given_to_roster_office",$E562="released_to_office",$E562="disposed"),IF($F562="","reserve",$F562)="leftover"),-N($G562),IF(AND($E562="correction",IF($F562="","reserve",$F562)="leftover"),N($G562),0))))</f>
        <v/>
      </c>
      <c r="P562" s="30" t="str">
        <f aca="false">IF(OR($E562&lt;&gt;"received",$I562="",$L562=""),"",IF($I562&gt;=$L562+config!$B$19,"Y","N"))</f>
        <v/>
      </c>
      <c r="Q562" s="30" t="str">
        <f aca="false">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30" t="str">
        <f aca="false">IF($C562="","",$C562&amp;"|"&amp;$D562&amp;"|"&amp;$E562)</f>
        <v/>
      </c>
    </row>
    <row r="563" customFormat="false" ht="15" hidden="false" customHeight="false" outlineLevel="0" collapsed="false">
      <c r="A563" s="11"/>
      <c r="B563" s="38"/>
      <c r="E563" s="10"/>
      <c r="I563" s="11"/>
      <c r="J563" s="10"/>
      <c r="L563" s="31" t="str">
        <f aca="false">IF($C563="","",IFERROR(IF(INDEX(campaigns!$BG$2:$BG$51,MATCH($C563,campaigns!$A$2:$A$51,0))="","",INDEX(campaigns!$BG$2:$BG$51,MATCH($C563,campaigns!$A$2:$A$51,0))),""))</f>
        <v/>
      </c>
      <c r="M563" s="30" t="str">
        <f aca="false">IF($C563="","",IF(OR($E563="received"),N($G563),IF(OR($E563="rejected",$E563="delivered",$E563="topped_up"),-N($G563),IF(AND(OR($E563="returned_to_brand",$E563="given_to_roster_office",$E563="released_to_office",$E563="disposed"),IF($F563="","reserve",$F563)="reserve"),-N($G563),IF(AND($E563="correction",IF($F563="","reserve",$F563)="reserve"),N($G563),0)))))</f>
        <v/>
      </c>
      <c r="N563" s="30" t="str">
        <f aca="false">IF($C563="","",IF($E563="rejected",N($G563),IF(AND(OR($E563="returned_to_brand",$E563="given_to_roster_office",$E563="released_to_office",$E563="disposed"),IF($F563="","reserve",$F563)="rejected"),-N($G563),IF(AND($E563="correction",IF($F563="","reserve",$F563)="rejected"),N($G563),0))))</f>
        <v/>
      </c>
      <c r="O563" s="30" t="str">
        <f aca="false">IF($C563="","",IF($E563="collected",N($G563),IF(AND(OR($E563="returned_to_brand",$E563="given_to_roster_office",$E563="released_to_office",$E563="disposed"),IF($F563="","reserve",$F563)="leftover"),-N($G563),IF(AND($E563="correction",IF($F563="","reserve",$F563)="leftover"),N($G563),0))))</f>
        <v/>
      </c>
      <c r="P563" s="30" t="str">
        <f aca="false">IF(OR($E563&lt;&gt;"received",$I563="",$L563=""),"",IF($I563&gt;=$L563+config!$B$19,"Y","N"))</f>
        <v/>
      </c>
      <c r="Q563" s="30" t="str">
        <f aca="false">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30" t="str">
        <f aca="false">IF($C563="","",$C563&amp;"|"&amp;$D563&amp;"|"&amp;$E563)</f>
        <v/>
      </c>
    </row>
    <row r="564" customFormat="false" ht="15" hidden="false" customHeight="false" outlineLevel="0" collapsed="false">
      <c r="A564" s="11"/>
      <c r="B564" s="38"/>
      <c r="E564" s="10"/>
      <c r="I564" s="11"/>
      <c r="J564" s="10"/>
      <c r="L564" s="31" t="str">
        <f aca="false">IF($C564="","",IFERROR(IF(INDEX(campaigns!$BG$2:$BG$51,MATCH($C564,campaigns!$A$2:$A$51,0))="","",INDEX(campaigns!$BG$2:$BG$51,MATCH($C564,campaigns!$A$2:$A$51,0))),""))</f>
        <v/>
      </c>
      <c r="M564" s="30" t="str">
        <f aca="false">IF($C564="","",IF(OR($E564="received"),N($G564),IF(OR($E564="rejected",$E564="delivered",$E564="topped_up"),-N($G564),IF(AND(OR($E564="returned_to_brand",$E564="given_to_roster_office",$E564="released_to_office",$E564="disposed"),IF($F564="","reserve",$F564)="reserve"),-N($G564),IF(AND($E564="correction",IF($F564="","reserve",$F564)="reserve"),N($G564),0)))))</f>
        <v/>
      </c>
      <c r="N564" s="30" t="str">
        <f aca="false">IF($C564="","",IF($E564="rejected",N($G564),IF(AND(OR($E564="returned_to_brand",$E564="given_to_roster_office",$E564="released_to_office",$E564="disposed"),IF($F564="","reserve",$F564)="rejected"),-N($G564),IF(AND($E564="correction",IF($F564="","reserve",$F564)="rejected"),N($G564),0))))</f>
        <v/>
      </c>
      <c r="O564" s="30" t="str">
        <f aca="false">IF($C564="","",IF($E564="collected",N($G564),IF(AND(OR($E564="returned_to_brand",$E564="given_to_roster_office",$E564="released_to_office",$E564="disposed"),IF($F564="","reserve",$F564)="leftover"),-N($G564),IF(AND($E564="correction",IF($F564="","reserve",$F564)="leftover"),N($G564),0))))</f>
        <v/>
      </c>
      <c r="P564" s="30" t="str">
        <f aca="false">IF(OR($E564&lt;&gt;"received",$I564="",$L564=""),"",IF($I564&gt;=$L564+config!$B$19,"Y","N"))</f>
        <v/>
      </c>
      <c r="Q564" s="30" t="str">
        <f aca="false">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30" t="str">
        <f aca="false">IF($C564="","",$C564&amp;"|"&amp;$D564&amp;"|"&amp;$E564)</f>
        <v/>
      </c>
    </row>
    <row r="565" customFormat="false" ht="15" hidden="false" customHeight="false" outlineLevel="0" collapsed="false">
      <c r="A565" s="11"/>
      <c r="B565" s="38"/>
      <c r="E565" s="10"/>
      <c r="I565" s="11"/>
      <c r="J565" s="10"/>
      <c r="L565" s="31" t="str">
        <f aca="false">IF($C565="","",IFERROR(IF(INDEX(campaigns!$BG$2:$BG$51,MATCH($C565,campaigns!$A$2:$A$51,0))="","",INDEX(campaigns!$BG$2:$BG$51,MATCH($C565,campaigns!$A$2:$A$51,0))),""))</f>
        <v/>
      </c>
      <c r="M565" s="30" t="str">
        <f aca="false">IF($C565="","",IF(OR($E565="received"),N($G565),IF(OR($E565="rejected",$E565="delivered",$E565="topped_up"),-N($G565),IF(AND(OR($E565="returned_to_brand",$E565="given_to_roster_office",$E565="released_to_office",$E565="disposed"),IF($F565="","reserve",$F565)="reserve"),-N($G565),IF(AND($E565="correction",IF($F565="","reserve",$F565)="reserve"),N($G565),0)))))</f>
        <v/>
      </c>
      <c r="N565" s="30" t="str">
        <f aca="false">IF($C565="","",IF($E565="rejected",N($G565),IF(AND(OR($E565="returned_to_brand",$E565="given_to_roster_office",$E565="released_to_office",$E565="disposed"),IF($F565="","reserve",$F565)="rejected"),-N($G565),IF(AND($E565="correction",IF($F565="","reserve",$F565)="rejected"),N($G565),0))))</f>
        <v/>
      </c>
      <c r="O565" s="30" t="str">
        <f aca="false">IF($C565="","",IF($E565="collected",N($G565),IF(AND(OR($E565="returned_to_brand",$E565="given_to_roster_office",$E565="released_to_office",$E565="disposed"),IF($F565="","reserve",$F565)="leftover"),-N($G565),IF(AND($E565="correction",IF($F565="","reserve",$F565)="leftover"),N($G565),0))))</f>
        <v/>
      </c>
      <c r="P565" s="30" t="str">
        <f aca="false">IF(OR($E565&lt;&gt;"received",$I565="",$L565=""),"",IF($I565&gt;=$L565+config!$B$19,"Y","N"))</f>
        <v/>
      </c>
      <c r="Q565" s="30" t="str">
        <f aca="false">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30" t="str">
        <f aca="false">IF($C565="","",$C565&amp;"|"&amp;$D565&amp;"|"&amp;$E565)</f>
        <v/>
      </c>
    </row>
    <row r="566" customFormat="false" ht="15" hidden="false" customHeight="false" outlineLevel="0" collapsed="false">
      <c r="A566" s="11"/>
      <c r="B566" s="38"/>
      <c r="E566" s="10"/>
      <c r="I566" s="11"/>
      <c r="J566" s="10"/>
      <c r="L566" s="31" t="str">
        <f aca="false">IF($C566="","",IFERROR(IF(INDEX(campaigns!$BG$2:$BG$51,MATCH($C566,campaigns!$A$2:$A$51,0))="","",INDEX(campaigns!$BG$2:$BG$51,MATCH($C566,campaigns!$A$2:$A$51,0))),""))</f>
        <v/>
      </c>
      <c r="M566" s="30" t="str">
        <f aca="false">IF($C566="","",IF(OR($E566="received"),N($G566),IF(OR($E566="rejected",$E566="delivered",$E566="topped_up"),-N($G566),IF(AND(OR($E566="returned_to_brand",$E566="given_to_roster_office",$E566="released_to_office",$E566="disposed"),IF($F566="","reserve",$F566)="reserve"),-N($G566),IF(AND($E566="correction",IF($F566="","reserve",$F566)="reserve"),N($G566),0)))))</f>
        <v/>
      </c>
      <c r="N566" s="30" t="str">
        <f aca="false">IF($C566="","",IF($E566="rejected",N($G566),IF(AND(OR($E566="returned_to_brand",$E566="given_to_roster_office",$E566="released_to_office",$E566="disposed"),IF($F566="","reserve",$F566)="rejected"),-N($G566),IF(AND($E566="correction",IF($F566="","reserve",$F566)="rejected"),N($G566),0))))</f>
        <v/>
      </c>
      <c r="O566" s="30" t="str">
        <f aca="false">IF($C566="","",IF($E566="collected",N($G566),IF(AND(OR($E566="returned_to_brand",$E566="given_to_roster_office",$E566="released_to_office",$E566="disposed"),IF($F566="","reserve",$F566)="leftover"),-N($G566),IF(AND($E566="correction",IF($F566="","reserve",$F566)="leftover"),N($G566),0))))</f>
        <v/>
      </c>
      <c r="P566" s="30" t="str">
        <f aca="false">IF(OR($E566&lt;&gt;"received",$I566="",$L566=""),"",IF($I566&gt;=$L566+config!$B$19,"Y","N"))</f>
        <v/>
      </c>
      <c r="Q566" s="30" t="str">
        <f aca="false">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30" t="str">
        <f aca="false">IF($C566="","",$C566&amp;"|"&amp;$D566&amp;"|"&amp;$E566)</f>
        <v/>
      </c>
    </row>
    <row r="567" customFormat="false" ht="15" hidden="false" customHeight="false" outlineLevel="0" collapsed="false">
      <c r="A567" s="11"/>
      <c r="B567" s="38"/>
      <c r="E567" s="10"/>
      <c r="I567" s="11"/>
      <c r="J567" s="10"/>
      <c r="L567" s="31" t="str">
        <f aca="false">IF($C567="","",IFERROR(IF(INDEX(campaigns!$BG$2:$BG$51,MATCH($C567,campaigns!$A$2:$A$51,0))="","",INDEX(campaigns!$BG$2:$BG$51,MATCH($C567,campaigns!$A$2:$A$51,0))),""))</f>
        <v/>
      </c>
      <c r="M567" s="30" t="str">
        <f aca="false">IF($C567="","",IF(OR($E567="received"),N($G567),IF(OR($E567="rejected",$E567="delivered",$E567="topped_up"),-N($G567),IF(AND(OR($E567="returned_to_brand",$E567="given_to_roster_office",$E567="released_to_office",$E567="disposed"),IF($F567="","reserve",$F567)="reserve"),-N($G567),IF(AND($E567="correction",IF($F567="","reserve",$F567)="reserve"),N($G567),0)))))</f>
        <v/>
      </c>
      <c r="N567" s="30" t="str">
        <f aca="false">IF($C567="","",IF($E567="rejected",N($G567),IF(AND(OR($E567="returned_to_brand",$E567="given_to_roster_office",$E567="released_to_office",$E567="disposed"),IF($F567="","reserve",$F567)="rejected"),-N($G567),IF(AND($E567="correction",IF($F567="","reserve",$F567)="rejected"),N($G567),0))))</f>
        <v/>
      </c>
      <c r="O567" s="30" t="str">
        <f aca="false">IF($C567="","",IF($E567="collected",N($G567),IF(AND(OR($E567="returned_to_brand",$E567="given_to_roster_office",$E567="released_to_office",$E567="disposed"),IF($F567="","reserve",$F567)="leftover"),-N($G567),IF(AND($E567="correction",IF($F567="","reserve",$F567)="leftover"),N($G567),0))))</f>
        <v/>
      </c>
      <c r="P567" s="30" t="str">
        <f aca="false">IF(OR($E567&lt;&gt;"received",$I567="",$L567=""),"",IF($I567&gt;=$L567+config!$B$19,"Y","N"))</f>
        <v/>
      </c>
      <c r="Q567" s="30" t="str">
        <f aca="false">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30" t="str">
        <f aca="false">IF($C567="","",$C567&amp;"|"&amp;$D567&amp;"|"&amp;$E567)</f>
        <v/>
      </c>
    </row>
    <row r="568" customFormat="false" ht="15" hidden="false" customHeight="false" outlineLevel="0" collapsed="false">
      <c r="A568" s="11"/>
      <c r="B568" s="38"/>
      <c r="E568" s="10"/>
      <c r="I568" s="11"/>
      <c r="J568" s="10"/>
      <c r="L568" s="31" t="str">
        <f aca="false">IF($C568="","",IFERROR(IF(INDEX(campaigns!$BG$2:$BG$51,MATCH($C568,campaigns!$A$2:$A$51,0))="","",INDEX(campaigns!$BG$2:$BG$51,MATCH($C568,campaigns!$A$2:$A$51,0))),""))</f>
        <v/>
      </c>
      <c r="M568" s="30" t="str">
        <f aca="false">IF($C568="","",IF(OR($E568="received"),N($G568),IF(OR($E568="rejected",$E568="delivered",$E568="topped_up"),-N($G568),IF(AND(OR($E568="returned_to_brand",$E568="given_to_roster_office",$E568="released_to_office",$E568="disposed"),IF($F568="","reserve",$F568)="reserve"),-N($G568),IF(AND($E568="correction",IF($F568="","reserve",$F568)="reserve"),N($G568),0)))))</f>
        <v/>
      </c>
      <c r="N568" s="30" t="str">
        <f aca="false">IF($C568="","",IF($E568="rejected",N($G568),IF(AND(OR($E568="returned_to_brand",$E568="given_to_roster_office",$E568="released_to_office",$E568="disposed"),IF($F568="","reserve",$F568)="rejected"),-N($G568),IF(AND($E568="correction",IF($F568="","reserve",$F568)="rejected"),N($G568),0))))</f>
        <v/>
      </c>
      <c r="O568" s="30" t="str">
        <f aca="false">IF($C568="","",IF($E568="collected",N($G568),IF(AND(OR($E568="returned_to_brand",$E568="given_to_roster_office",$E568="released_to_office",$E568="disposed"),IF($F568="","reserve",$F568)="leftover"),-N($G568),IF(AND($E568="correction",IF($F568="","reserve",$F568)="leftover"),N($G568),0))))</f>
        <v/>
      </c>
      <c r="P568" s="30" t="str">
        <f aca="false">IF(OR($E568&lt;&gt;"received",$I568="",$L568=""),"",IF($I568&gt;=$L568+config!$B$19,"Y","N"))</f>
        <v/>
      </c>
      <c r="Q568" s="30" t="str">
        <f aca="false">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30" t="str">
        <f aca="false">IF($C568="","",$C568&amp;"|"&amp;$D568&amp;"|"&amp;$E568)</f>
        <v/>
      </c>
    </row>
    <row r="569" customFormat="false" ht="15" hidden="false" customHeight="false" outlineLevel="0" collapsed="false">
      <c r="A569" s="11"/>
      <c r="B569" s="38"/>
      <c r="E569" s="10"/>
      <c r="I569" s="11"/>
      <c r="J569" s="10"/>
      <c r="L569" s="31" t="str">
        <f aca="false">IF($C569="","",IFERROR(IF(INDEX(campaigns!$BG$2:$BG$51,MATCH($C569,campaigns!$A$2:$A$51,0))="","",INDEX(campaigns!$BG$2:$BG$51,MATCH($C569,campaigns!$A$2:$A$51,0))),""))</f>
        <v/>
      </c>
      <c r="M569" s="30" t="str">
        <f aca="false">IF($C569="","",IF(OR($E569="received"),N($G569),IF(OR($E569="rejected",$E569="delivered",$E569="topped_up"),-N($G569),IF(AND(OR($E569="returned_to_brand",$E569="given_to_roster_office",$E569="released_to_office",$E569="disposed"),IF($F569="","reserve",$F569)="reserve"),-N($G569),IF(AND($E569="correction",IF($F569="","reserve",$F569)="reserve"),N($G569),0)))))</f>
        <v/>
      </c>
      <c r="N569" s="30" t="str">
        <f aca="false">IF($C569="","",IF($E569="rejected",N($G569),IF(AND(OR($E569="returned_to_brand",$E569="given_to_roster_office",$E569="released_to_office",$E569="disposed"),IF($F569="","reserve",$F569)="rejected"),-N($G569),IF(AND($E569="correction",IF($F569="","reserve",$F569)="rejected"),N($G569),0))))</f>
        <v/>
      </c>
      <c r="O569" s="30" t="str">
        <f aca="false">IF($C569="","",IF($E569="collected",N($G569),IF(AND(OR($E569="returned_to_brand",$E569="given_to_roster_office",$E569="released_to_office",$E569="disposed"),IF($F569="","reserve",$F569)="leftover"),-N($G569),IF(AND($E569="correction",IF($F569="","reserve",$F569)="leftover"),N($G569),0))))</f>
        <v/>
      </c>
      <c r="P569" s="30" t="str">
        <f aca="false">IF(OR($E569&lt;&gt;"received",$I569="",$L569=""),"",IF($I569&gt;=$L569+config!$B$19,"Y","N"))</f>
        <v/>
      </c>
      <c r="Q569" s="30" t="str">
        <f aca="false">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30" t="str">
        <f aca="false">IF($C569="","",$C569&amp;"|"&amp;$D569&amp;"|"&amp;$E569)</f>
        <v/>
      </c>
    </row>
    <row r="570" customFormat="false" ht="15" hidden="false" customHeight="false" outlineLevel="0" collapsed="false">
      <c r="A570" s="11"/>
      <c r="B570" s="38"/>
      <c r="E570" s="10"/>
      <c r="I570" s="11"/>
      <c r="J570" s="10"/>
      <c r="L570" s="31" t="str">
        <f aca="false">IF($C570="","",IFERROR(IF(INDEX(campaigns!$BG$2:$BG$51,MATCH($C570,campaigns!$A$2:$A$51,0))="","",INDEX(campaigns!$BG$2:$BG$51,MATCH($C570,campaigns!$A$2:$A$51,0))),""))</f>
        <v/>
      </c>
      <c r="M570" s="30" t="str">
        <f aca="false">IF($C570="","",IF(OR($E570="received"),N($G570),IF(OR($E570="rejected",$E570="delivered",$E570="topped_up"),-N($G570),IF(AND(OR($E570="returned_to_brand",$E570="given_to_roster_office",$E570="released_to_office",$E570="disposed"),IF($F570="","reserve",$F570)="reserve"),-N($G570),IF(AND($E570="correction",IF($F570="","reserve",$F570)="reserve"),N($G570),0)))))</f>
        <v/>
      </c>
      <c r="N570" s="30" t="str">
        <f aca="false">IF($C570="","",IF($E570="rejected",N($G570),IF(AND(OR($E570="returned_to_brand",$E570="given_to_roster_office",$E570="released_to_office",$E570="disposed"),IF($F570="","reserve",$F570)="rejected"),-N($G570),IF(AND($E570="correction",IF($F570="","reserve",$F570)="rejected"),N($G570),0))))</f>
        <v/>
      </c>
      <c r="O570" s="30" t="str">
        <f aca="false">IF($C570="","",IF($E570="collected",N($G570),IF(AND(OR($E570="returned_to_brand",$E570="given_to_roster_office",$E570="released_to_office",$E570="disposed"),IF($F570="","reserve",$F570)="leftover"),-N($G570),IF(AND($E570="correction",IF($F570="","reserve",$F570)="leftover"),N($G570),0))))</f>
        <v/>
      </c>
      <c r="P570" s="30" t="str">
        <f aca="false">IF(OR($E570&lt;&gt;"received",$I570="",$L570=""),"",IF($I570&gt;=$L570+config!$B$19,"Y","N"))</f>
        <v/>
      </c>
      <c r="Q570" s="30" t="str">
        <f aca="false">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30" t="str">
        <f aca="false">IF($C570="","",$C570&amp;"|"&amp;$D570&amp;"|"&amp;$E570)</f>
        <v/>
      </c>
    </row>
    <row r="571" customFormat="false" ht="15" hidden="false" customHeight="false" outlineLevel="0" collapsed="false">
      <c r="A571" s="11"/>
      <c r="B571" s="38"/>
      <c r="E571" s="10"/>
      <c r="I571" s="11"/>
      <c r="J571" s="10"/>
      <c r="L571" s="31" t="str">
        <f aca="false">IF($C571="","",IFERROR(IF(INDEX(campaigns!$BG$2:$BG$51,MATCH($C571,campaigns!$A$2:$A$51,0))="","",INDEX(campaigns!$BG$2:$BG$51,MATCH($C571,campaigns!$A$2:$A$51,0))),""))</f>
        <v/>
      </c>
      <c r="M571" s="30" t="str">
        <f aca="false">IF($C571="","",IF(OR($E571="received"),N($G571),IF(OR($E571="rejected",$E571="delivered",$E571="topped_up"),-N($G571),IF(AND(OR($E571="returned_to_brand",$E571="given_to_roster_office",$E571="released_to_office",$E571="disposed"),IF($F571="","reserve",$F571)="reserve"),-N($G571),IF(AND($E571="correction",IF($F571="","reserve",$F571)="reserve"),N($G571),0)))))</f>
        <v/>
      </c>
      <c r="N571" s="30" t="str">
        <f aca="false">IF($C571="","",IF($E571="rejected",N($G571),IF(AND(OR($E571="returned_to_brand",$E571="given_to_roster_office",$E571="released_to_office",$E571="disposed"),IF($F571="","reserve",$F571)="rejected"),-N($G571),IF(AND($E571="correction",IF($F571="","reserve",$F571)="rejected"),N($G571),0))))</f>
        <v/>
      </c>
      <c r="O571" s="30" t="str">
        <f aca="false">IF($C571="","",IF($E571="collected",N($G571),IF(AND(OR($E571="returned_to_brand",$E571="given_to_roster_office",$E571="released_to_office",$E571="disposed"),IF($F571="","reserve",$F571)="leftover"),-N($G571),IF(AND($E571="correction",IF($F571="","reserve",$F571)="leftover"),N($G571),0))))</f>
        <v/>
      </c>
      <c r="P571" s="30" t="str">
        <f aca="false">IF(OR($E571&lt;&gt;"received",$I571="",$L571=""),"",IF($I571&gt;=$L571+config!$B$19,"Y","N"))</f>
        <v/>
      </c>
      <c r="Q571" s="30" t="str">
        <f aca="false">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30" t="str">
        <f aca="false">IF($C571="","",$C571&amp;"|"&amp;$D571&amp;"|"&amp;$E571)</f>
        <v/>
      </c>
    </row>
    <row r="572" customFormat="false" ht="15" hidden="false" customHeight="false" outlineLevel="0" collapsed="false">
      <c r="A572" s="11"/>
      <c r="B572" s="38"/>
      <c r="E572" s="10"/>
      <c r="I572" s="11"/>
      <c r="J572" s="10"/>
      <c r="L572" s="31" t="str">
        <f aca="false">IF($C572="","",IFERROR(IF(INDEX(campaigns!$BG$2:$BG$51,MATCH($C572,campaigns!$A$2:$A$51,0))="","",INDEX(campaigns!$BG$2:$BG$51,MATCH($C572,campaigns!$A$2:$A$51,0))),""))</f>
        <v/>
      </c>
      <c r="M572" s="30" t="str">
        <f aca="false">IF($C572="","",IF(OR($E572="received"),N($G572),IF(OR($E572="rejected",$E572="delivered",$E572="topped_up"),-N($G572),IF(AND(OR($E572="returned_to_brand",$E572="given_to_roster_office",$E572="released_to_office",$E572="disposed"),IF($F572="","reserve",$F572)="reserve"),-N($G572),IF(AND($E572="correction",IF($F572="","reserve",$F572)="reserve"),N($G572),0)))))</f>
        <v/>
      </c>
      <c r="N572" s="30" t="str">
        <f aca="false">IF($C572="","",IF($E572="rejected",N($G572),IF(AND(OR($E572="returned_to_brand",$E572="given_to_roster_office",$E572="released_to_office",$E572="disposed"),IF($F572="","reserve",$F572)="rejected"),-N($G572),IF(AND($E572="correction",IF($F572="","reserve",$F572)="rejected"),N($G572),0))))</f>
        <v/>
      </c>
      <c r="O572" s="30" t="str">
        <f aca="false">IF($C572="","",IF($E572="collected",N($G572),IF(AND(OR($E572="returned_to_brand",$E572="given_to_roster_office",$E572="released_to_office",$E572="disposed"),IF($F572="","reserve",$F572)="leftover"),-N($G572),IF(AND($E572="correction",IF($F572="","reserve",$F572)="leftover"),N($G572),0))))</f>
        <v/>
      </c>
      <c r="P572" s="30" t="str">
        <f aca="false">IF(OR($E572&lt;&gt;"received",$I572="",$L572=""),"",IF($I572&gt;=$L572+config!$B$19,"Y","N"))</f>
        <v/>
      </c>
      <c r="Q572" s="30" t="str">
        <f aca="false">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30" t="str">
        <f aca="false">IF($C572="","",$C572&amp;"|"&amp;$D572&amp;"|"&amp;$E572)</f>
        <v/>
      </c>
    </row>
    <row r="573" customFormat="false" ht="15" hidden="false" customHeight="false" outlineLevel="0" collapsed="false">
      <c r="A573" s="11"/>
      <c r="B573" s="38"/>
      <c r="E573" s="10"/>
      <c r="I573" s="11"/>
      <c r="J573" s="10"/>
      <c r="L573" s="31" t="str">
        <f aca="false">IF($C573="","",IFERROR(IF(INDEX(campaigns!$BG$2:$BG$51,MATCH($C573,campaigns!$A$2:$A$51,0))="","",INDEX(campaigns!$BG$2:$BG$51,MATCH($C573,campaigns!$A$2:$A$51,0))),""))</f>
        <v/>
      </c>
      <c r="M573" s="30" t="str">
        <f aca="false">IF($C573="","",IF(OR($E573="received"),N($G573),IF(OR($E573="rejected",$E573="delivered",$E573="topped_up"),-N($G573),IF(AND(OR($E573="returned_to_brand",$E573="given_to_roster_office",$E573="released_to_office",$E573="disposed"),IF($F573="","reserve",$F573)="reserve"),-N($G573),IF(AND($E573="correction",IF($F573="","reserve",$F573)="reserve"),N($G573),0)))))</f>
        <v/>
      </c>
      <c r="N573" s="30" t="str">
        <f aca="false">IF($C573="","",IF($E573="rejected",N($G573),IF(AND(OR($E573="returned_to_brand",$E573="given_to_roster_office",$E573="released_to_office",$E573="disposed"),IF($F573="","reserve",$F573)="rejected"),-N($G573),IF(AND($E573="correction",IF($F573="","reserve",$F573)="rejected"),N($G573),0))))</f>
        <v/>
      </c>
      <c r="O573" s="30" t="str">
        <f aca="false">IF($C573="","",IF($E573="collected",N($G573),IF(AND(OR($E573="returned_to_brand",$E573="given_to_roster_office",$E573="released_to_office",$E573="disposed"),IF($F573="","reserve",$F573)="leftover"),-N($G573),IF(AND($E573="correction",IF($F573="","reserve",$F573)="leftover"),N($G573),0))))</f>
        <v/>
      </c>
      <c r="P573" s="30" t="str">
        <f aca="false">IF(OR($E573&lt;&gt;"received",$I573="",$L573=""),"",IF($I573&gt;=$L573+config!$B$19,"Y","N"))</f>
        <v/>
      </c>
      <c r="Q573" s="30" t="str">
        <f aca="false">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30" t="str">
        <f aca="false">IF($C573="","",$C573&amp;"|"&amp;$D573&amp;"|"&amp;$E573)</f>
        <v/>
      </c>
    </row>
    <row r="574" customFormat="false" ht="15" hidden="false" customHeight="false" outlineLevel="0" collapsed="false">
      <c r="A574" s="11"/>
      <c r="B574" s="38"/>
      <c r="E574" s="10"/>
      <c r="I574" s="11"/>
      <c r="J574" s="10"/>
      <c r="L574" s="31" t="str">
        <f aca="false">IF($C574="","",IFERROR(IF(INDEX(campaigns!$BG$2:$BG$51,MATCH($C574,campaigns!$A$2:$A$51,0))="","",INDEX(campaigns!$BG$2:$BG$51,MATCH($C574,campaigns!$A$2:$A$51,0))),""))</f>
        <v/>
      </c>
      <c r="M574" s="30" t="str">
        <f aca="false">IF($C574="","",IF(OR($E574="received"),N($G574),IF(OR($E574="rejected",$E574="delivered",$E574="topped_up"),-N($G574),IF(AND(OR($E574="returned_to_brand",$E574="given_to_roster_office",$E574="released_to_office",$E574="disposed"),IF($F574="","reserve",$F574)="reserve"),-N($G574),IF(AND($E574="correction",IF($F574="","reserve",$F574)="reserve"),N($G574),0)))))</f>
        <v/>
      </c>
      <c r="N574" s="30" t="str">
        <f aca="false">IF($C574="","",IF($E574="rejected",N($G574),IF(AND(OR($E574="returned_to_brand",$E574="given_to_roster_office",$E574="released_to_office",$E574="disposed"),IF($F574="","reserve",$F574)="rejected"),-N($G574),IF(AND($E574="correction",IF($F574="","reserve",$F574)="rejected"),N($G574),0))))</f>
        <v/>
      </c>
      <c r="O574" s="30" t="str">
        <f aca="false">IF($C574="","",IF($E574="collected",N($G574),IF(AND(OR($E574="returned_to_brand",$E574="given_to_roster_office",$E574="released_to_office",$E574="disposed"),IF($F574="","reserve",$F574)="leftover"),-N($G574),IF(AND($E574="correction",IF($F574="","reserve",$F574)="leftover"),N($G574),0))))</f>
        <v/>
      </c>
      <c r="P574" s="30" t="str">
        <f aca="false">IF(OR($E574&lt;&gt;"received",$I574="",$L574=""),"",IF($I574&gt;=$L574+config!$B$19,"Y","N"))</f>
        <v/>
      </c>
      <c r="Q574" s="30" t="str">
        <f aca="false">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30" t="str">
        <f aca="false">IF($C574="","",$C574&amp;"|"&amp;$D574&amp;"|"&amp;$E574)</f>
        <v/>
      </c>
    </row>
    <row r="575" customFormat="false" ht="15" hidden="false" customHeight="false" outlineLevel="0" collapsed="false">
      <c r="A575" s="11"/>
      <c r="B575" s="38"/>
      <c r="E575" s="10"/>
      <c r="I575" s="11"/>
      <c r="J575" s="10"/>
      <c r="L575" s="31" t="str">
        <f aca="false">IF($C575="","",IFERROR(IF(INDEX(campaigns!$BG$2:$BG$51,MATCH($C575,campaigns!$A$2:$A$51,0))="","",INDEX(campaigns!$BG$2:$BG$51,MATCH($C575,campaigns!$A$2:$A$51,0))),""))</f>
        <v/>
      </c>
      <c r="M575" s="30" t="str">
        <f aca="false">IF($C575="","",IF(OR($E575="received"),N($G575),IF(OR($E575="rejected",$E575="delivered",$E575="topped_up"),-N($G575),IF(AND(OR($E575="returned_to_brand",$E575="given_to_roster_office",$E575="released_to_office",$E575="disposed"),IF($F575="","reserve",$F575)="reserve"),-N($G575),IF(AND($E575="correction",IF($F575="","reserve",$F575)="reserve"),N($G575),0)))))</f>
        <v/>
      </c>
      <c r="N575" s="30" t="str">
        <f aca="false">IF($C575="","",IF($E575="rejected",N($G575),IF(AND(OR($E575="returned_to_brand",$E575="given_to_roster_office",$E575="released_to_office",$E575="disposed"),IF($F575="","reserve",$F575)="rejected"),-N($G575),IF(AND($E575="correction",IF($F575="","reserve",$F575)="rejected"),N($G575),0))))</f>
        <v/>
      </c>
      <c r="O575" s="30" t="str">
        <f aca="false">IF($C575="","",IF($E575="collected",N($G575),IF(AND(OR($E575="returned_to_brand",$E575="given_to_roster_office",$E575="released_to_office",$E575="disposed"),IF($F575="","reserve",$F575)="leftover"),-N($G575),IF(AND($E575="correction",IF($F575="","reserve",$F575)="leftover"),N($G575),0))))</f>
        <v/>
      </c>
      <c r="P575" s="30" t="str">
        <f aca="false">IF(OR($E575&lt;&gt;"received",$I575="",$L575=""),"",IF($I575&gt;=$L575+config!$B$19,"Y","N"))</f>
        <v/>
      </c>
      <c r="Q575" s="30" t="str">
        <f aca="false">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30" t="str">
        <f aca="false">IF($C575="","",$C575&amp;"|"&amp;$D575&amp;"|"&amp;$E575)</f>
        <v/>
      </c>
    </row>
    <row r="576" customFormat="false" ht="15" hidden="false" customHeight="false" outlineLevel="0" collapsed="false">
      <c r="A576" s="11"/>
      <c r="B576" s="38"/>
      <c r="E576" s="10"/>
      <c r="I576" s="11"/>
      <c r="J576" s="10"/>
      <c r="L576" s="31" t="str">
        <f aca="false">IF($C576="","",IFERROR(IF(INDEX(campaigns!$BG$2:$BG$51,MATCH($C576,campaigns!$A$2:$A$51,0))="","",INDEX(campaigns!$BG$2:$BG$51,MATCH($C576,campaigns!$A$2:$A$51,0))),""))</f>
        <v/>
      </c>
      <c r="M576" s="30" t="str">
        <f aca="false">IF($C576="","",IF(OR($E576="received"),N($G576),IF(OR($E576="rejected",$E576="delivered",$E576="topped_up"),-N($G576),IF(AND(OR($E576="returned_to_brand",$E576="given_to_roster_office",$E576="released_to_office",$E576="disposed"),IF($F576="","reserve",$F576)="reserve"),-N($G576),IF(AND($E576="correction",IF($F576="","reserve",$F576)="reserve"),N($G576),0)))))</f>
        <v/>
      </c>
      <c r="N576" s="30" t="str">
        <f aca="false">IF($C576="","",IF($E576="rejected",N($G576),IF(AND(OR($E576="returned_to_brand",$E576="given_to_roster_office",$E576="released_to_office",$E576="disposed"),IF($F576="","reserve",$F576)="rejected"),-N($G576),IF(AND($E576="correction",IF($F576="","reserve",$F576)="rejected"),N($G576),0))))</f>
        <v/>
      </c>
      <c r="O576" s="30" t="str">
        <f aca="false">IF($C576="","",IF($E576="collected",N($G576),IF(AND(OR($E576="returned_to_brand",$E576="given_to_roster_office",$E576="released_to_office",$E576="disposed"),IF($F576="","reserve",$F576)="leftover"),-N($G576),IF(AND($E576="correction",IF($F576="","reserve",$F576)="leftover"),N($G576),0))))</f>
        <v/>
      </c>
      <c r="P576" s="30" t="str">
        <f aca="false">IF(OR($E576&lt;&gt;"received",$I576="",$L576=""),"",IF($I576&gt;=$L576+config!$B$19,"Y","N"))</f>
        <v/>
      </c>
      <c r="Q576" s="30" t="str">
        <f aca="false">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30" t="str">
        <f aca="false">IF($C576="","",$C576&amp;"|"&amp;$D576&amp;"|"&amp;$E576)</f>
        <v/>
      </c>
    </row>
    <row r="577" customFormat="false" ht="15" hidden="false" customHeight="false" outlineLevel="0" collapsed="false">
      <c r="A577" s="11"/>
      <c r="B577" s="38"/>
      <c r="E577" s="10"/>
      <c r="I577" s="11"/>
      <c r="J577" s="10"/>
      <c r="L577" s="31" t="str">
        <f aca="false">IF($C577="","",IFERROR(IF(INDEX(campaigns!$BG$2:$BG$51,MATCH($C577,campaigns!$A$2:$A$51,0))="","",INDEX(campaigns!$BG$2:$BG$51,MATCH($C577,campaigns!$A$2:$A$51,0))),""))</f>
        <v/>
      </c>
      <c r="M577" s="30" t="str">
        <f aca="false">IF($C577="","",IF(OR($E577="received"),N($G577),IF(OR($E577="rejected",$E577="delivered",$E577="topped_up"),-N($G577),IF(AND(OR($E577="returned_to_brand",$E577="given_to_roster_office",$E577="released_to_office",$E577="disposed"),IF($F577="","reserve",$F577)="reserve"),-N($G577),IF(AND($E577="correction",IF($F577="","reserve",$F577)="reserve"),N($G577),0)))))</f>
        <v/>
      </c>
      <c r="N577" s="30" t="str">
        <f aca="false">IF($C577="","",IF($E577="rejected",N($G577),IF(AND(OR($E577="returned_to_brand",$E577="given_to_roster_office",$E577="released_to_office",$E577="disposed"),IF($F577="","reserve",$F577)="rejected"),-N($G577),IF(AND($E577="correction",IF($F577="","reserve",$F577)="rejected"),N($G577),0))))</f>
        <v/>
      </c>
      <c r="O577" s="30" t="str">
        <f aca="false">IF($C577="","",IF($E577="collected",N($G577),IF(AND(OR($E577="returned_to_brand",$E577="given_to_roster_office",$E577="released_to_office",$E577="disposed"),IF($F577="","reserve",$F577)="leftover"),-N($G577),IF(AND($E577="correction",IF($F577="","reserve",$F577)="leftover"),N($G577),0))))</f>
        <v/>
      </c>
      <c r="P577" s="30" t="str">
        <f aca="false">IF(OR($E577&lt;&gt;"received",$I577="",$L577=""),"",IF($I577&gt;=$L577+config!$B$19,"Y","N"))</f>
        <v/>
      </c>
      <c r="Q577" s="30" t="str">
        <f aca="false">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30" t="str">
        <f aca="false">IF($C577="","",$C577&amp;"|"&amp;$D577&amp;"|"&amp;$E577)</f>
        <v/>
      </c>
    </row>
    <row r="578" customFormat="false" ht="15" hidden="false" customHeight="false" outlineLevel="0" collapsed="false">
      <c r="A578" s="11"/>
      <c r="B578" s="38"/>
      <c r="E578" s="10"/>
      <c r="I578" s="11"/>
      <c r="J578" s="10"/>
      <c r="L578" s="31" t="str">
        <f aca="false">IF($C578="","",IFERROR(IF(INDEX(campaigns!$BG$2:$BG$51,MATCH($C578,campaigns!$A$2:$A$51,0))="","",INDEX(campaigns!$BG$2:$BG$51,MATCH($C578,campaigns!$A$2:$A$51,0))),""))</f>
        <v/>
      </c>
      <c r="M578" s="30" t="str">
        <f aca="false">IF($C578="","",IF(OR($E578="received"),N($G578),IF(OR($E578="rejected",$E578="delivered",$E578="topped_up"),-N($G578),IF(AND(OR($E578="returned_to_brand",$E578="given_to_roster_office",$E578="released_to_office",$E578="disposed"),IF($F578="","reserve",$F578)="reserve"),-N($G578),IF(AND($E578="correction",IF($F578="","reserve",$F578)="reserve"),N($G578),0)))))</f>
        <v/>
      </c>
      <c r="N578" s="30" t="str">
        <f aca="false">IF($C578="","",IF($E578="rejected",N($G578),IF(AND(OR($E578="returned_to_brand",$E578="given_to_roster_office",$E578="released_to_office",$E578="disposed"),IF($F578="","reserve",$F578)="rejected"),-N($G578),IF(AND($E578="correction",IF($F578="","reserve",$F578)="rejected"),N($G578),0))))</f>
        <v/>
      </c>
      <c r="O578" s="30" t="str">
        <f aca="false">IF($C578="","",IF($E578="collected",N($G578),IF(AND(OR($E578="returned_to_brand",$E578="given_to_roster_office",$E578="released_to_office",$E578="disposed"),IF($F578="","reserve",$F578)="leftover"),-N($G578),IF(AND($E578="correction",IF($F578="","reserve",$F578)="leftover"),N($G578),0))))</f>
        <v/>
      </c>
      <c r="P578" s="30" t="str">
        <f aca="false">IF(OR($E578&lt;&gt;"received",$I578="",$L578=""),"",IF($I578&gt;=$L578+config!$B$19,"Y","N"))</f>
        <v/>
      </c>
      <c r="Q578" s="30" t="str">
        <f aca="false">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30" t="str">
        <f aca="false">IF($C578="","",$C578&amp;"|"&amp;$D578&amp;"|"&amp;$E578)</f>
        <v/>
      </c>
    </row>
    <row r="579" customFormat="false" ht="15" hidden="false" customHeight="false" outlineLevel="0" collapsed="false">
      <c r="A579" s="11"/>
      <c r="B579" s="38"/>
      <c r="E579" s="10"/>
      <c r="I579" s="11"/>
      <c r="J579" s="10"/>
      <c r="L579" s="31" t="str">
        <f aca="false">IF($C579="","",IFERROR(IF(INDEX(campaigns!$BG$2:$BG$51,MATCH($C579,campaigns!$A$2:$A$51,0))="","",INDEX(campaigns!$BG$2:$BG$51,MATCH($C579,campaigns!$A$2:$A$51,0))),""))</f>
        <v/>
      </c>
      <c r="M579" s="30" t="str">
        <f aca="false">IF($C579="","",IF(OR($E579="received"),N($G579),IF(OR($E579="rejected",$E579="delivered",$E579="topped_up"),-N($G579),IF(AND(OR($E579="returned_to_brand",$E579="given_to_roster_office",$E579="released_to_office",$E579="disposed"),IF($F579="","reserve",$F579)="reserve"),-N($G579),IF(AND($E579="correction",IF($F579="","reserve",$F579)="reserve"),N($G579),0)))))</f>
        <v/>
      </c>
      <c r="N579" s="30" t="str">
        <f aca="false">IF($C579="","",IF($E579="rejected",N($G579),IF(AND(OR($E579="returned_to_brand",$E579="given_to_roster_office",$E579="released_to_office",$E579="disposed"),IF($F579="","reserve",$F579)="rejected"),-N($G579),IF(AND($E579="correction",IF($F579="","reserve",$F579)="rejected"),N($G579),0))))</f>
        <v/>
      </c>
      <c r="O579" s="30" t="str">
        <f aca="false">IF($C579="","",IF($E579="collected",N($G579),IF(AND(OR($E579="returned_to_brand",$E579="given_to_roster_office",$E579="released_to_office",$E579="disposed"),IF($F579="","reserve",$F579)="leftover"),-N($G579),IF(AND($E579="correction",IF($F579="","reserve",$F579)="leftover"),N($G579),0))))</f>
        <v/>
      </c>
      <c r="P579" s="30" t="str">
        <f aca="false">IF(OR($E579&lt;&gt;"received",$I579="",$L579=""),"",IF($I579&gt;=$L579+config!$B$19,"Y","N"))</f>
        <v/>
      </c>
      <c r="Q579" s="30" t="str">
        <f aca="false">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30" t="str">
        <f aca="false">IF($C579="","",$C579&amp;"|"&amp;$D579&amp;"|"&amp;$E579)</f>
        <v/>
      </c>
    </row>
    <row r="580" customFormat="false" ht="15" hidden="false" customHeight="false" outlineLevel="0" collapsed="false">
      <c r="A580" s="11"/>
      <c r="B580" s="38"/>
      <c r="E580" s="10"/>
      <c r="I580" s="11"/>
      <c r="J580" s="10"/>
      <c r="L580" s="31" t="str">
        <f aca="false">IF($C580="","",IFERROR(IF(INDEX(campaigns!$BG$2:$BG$51,MATCH($C580,campaigns!$A$2:$A$51,0))="","",INDEX(campaigns!$BG$2:$BG$51,MATCH($C580,campaigns!$A$2:$A$51,0))),""))</f>
        <v/>
      </c>
      <c r="M580" s="30" t="str">
        <f aca="false">IF($C580="","",IF(OR($E580="received"),N($G580),IF(OR($E580="rejected",$E580="delivered",$E580="topped_up"),-N($G580),IF(AND(OR($E580="returned_to_brand",$E580="given_to_roster_office",$E580="released_to_office",$E580="disposed"),IF($F580="","reserve",$F580)="reserve"),-N($G580),IF(AND($E580="correction",IF($F580="","reserve",$F580)="reserve"),N($G580),0)))))</f>
        <v/>
      </c>
      <c r="N580" s="30" t="str">
        <f aca="false">IF($C580="","",IF($E580="rejected",N($G580),IF(AND(OR($E580="returned_to_brand",$E580="given_to_roster_office",$E580="released_to_office",$E580="disposed"),IF($F580="","reserve",$F580)="rejected"),-N($G580),IF(AND($E580="correction",IF($F580="","reserve",$F580)="rejected"),N($G580),0))))</f>
        <v/>
      </c>
      <c r="O580" s="30" t="str">
        <f aca="false">IF($C580="","",IF($E580="collected",N($G580),IF(AND(OR($E580="returned_to_brand",$E580="given_to_roster_office",$E580="released_to_office",$E580="disposed"),IF($F580="","reserve",$F580)="leftover"),-N($G580),IF(AND($E580="correction",IF($F580="","reserve",$F580)="leftover"),N($G580),0))))</f>
        <v/>
      </c>
      <c r="P580" s="30" t="str">
        <f aca="false">IF(OR($E580&lt;&gt;"received",$I580="",$L580=""),"",IF($I580&gt;=$L580+config!$B$19,"Y","N"))</f>
        <v/>
      </c>
      <c r="Q580" s="30" t="str">
        <f aca="false">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30" t="str">
        <f aca="false">IF($C580="","",$C580&amp;"|"&amp;$D580&amp;"|"&amp;$E580)</f>
        <v/>
      </c>
    </row>
    <row r="581" customFormat="false" ht="15" hidden="false" customHeight="false" outlineLevel="0" collapsed="false">
      <c r="A581" s="11"/>
      <c r="B581" s="38"/>
      <c r="E581" s="10"/>
      <c r="I581" s="11"/>
      <c r="J581" s="10"/>
      <c r="L581" s="31" t="str">
        <f aca="false">IF($C581="","",IFERROR(IF(INDEX(campaigns!$BG$2:$BG$51,MATCH($C581,campaigns!$A$2:$A$51,0))="","",INDEX(campaigns!$BG$2:$BG$51,MATCH($C581,campaigns!$A$2:$A$51,0))),""))</f>
        <v/>
      </c>
      <c r="M581" s="30" t="str">
        <f aca="false">IF($C581="","",IF(OR($E581="received"),N($G581),IF(OR($E581="rejected",$E581="delivered",$E581="topped_up"),-N($G581),IF(AND(OR($E581="returned_to_brand",$E581="given_to_roster_office",$E581="released_to_office",$E581="disposed"),IF($F581="","reserve",$F581)="reserve"),-N($G581),IF(AND($E581="correction",IF($F581="","reserve",$F581)="reserve"),N($G581),0)))))</f>
        <v/>
      </c>
      <c r="N581" s="30" t="str">
        <f aca="false">IF($C581="","",IF($E581="rejected",N($G581),IF(AND(OR($E581="returned_to_brand",$E581="given_to_roster_office",$E581="released_to_office",$E581="disposed"),IF($F581="","reserve",$F581)="rejected"),-N($G581),IF(AND($E581="correction",IF($F581="","reserve",$F581)="rejected"),N($G581),0))))</f>
        <v/>
      </c>
      <c r="O581" s="30" t="str">
        <f aca="false">IF($C581="","",IF($E581="collected",N($G581),IF(AND(OR($E581="returned_to_brand",$E581="given_to_roster_office",$E581="released_to_office",$E581="disposed"),IF($F581="","reserve",$F581)="leftover"),-N($G581),IF(AND($E581="correction",IF($F581="","reserve",$F581)="leftover"),N($G581),0))))</f>
        <v/>
      </c>
      <c r="P581" s="30" t="str">
        <f aca="false">IF(OR($E581&lt;&gt;"received",$I581="",$L581=""),"",IF($I581&gt;=$L581+config!$B$19,"Y","N"))</f>
        <v/>
      </c>
      <c r="Q581" s="30" t="str">
        <f aca="false">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30" t="str">
        <f aca="false">IF($C581="","",$C581&amp;"|"&amp;$D581&amp;"|"&amp;$E581)</f>
        <v/>
      </c>
    </row>
    <row r="582" customFormat="false" ht="15" hidden="false" customHeight="false" outlineLevel="0" collapsed="false">
      <c r="A582" s="11"/>
      <c r="B582" s="38"/>
      <c r="E582" s="10"/>
      <c r="I582" s="11"/>
      <c r="J582" s="10"/>
      <c r="L582" s="31" t="str">
        <f aca="false">IF($C582="","",IFERROR(IF(INDEX(campaigns!$BG$2:$BG$51,MATCH($C582,campaigns!$A$2:$A$51,0))="","",INDEX(campaigns!$BG$2:$BG$51,MATCH($C582,campaigns!$A$2:$A$51,0))),""))</f>
        <v/>
      </c>
      <c r="M582" s="30" t="str">
        <f aca="false">IF($C582="","",IF(OR($E582="received"),N($G582),IF(OR($E582="rejected",$E582="delivered",$E582="topped_up"),-N($G582),IF(AND(OR($E582="returned_to_brand",$E582="given_to_roster_office",$E582="released_to_office",$E582="disposed"),IF($F582="","reserve",$F582)="reserve"),-N($G582),IF(AND($E582="correction",IF($F582="","reserve",$F582)="reserve"),N($G582),0)))))</f>
        <v/>
      </c>
      <c r="N582" s="30" t="str">
        <f aca="false">IF($C582="","",IF($E582="rejected",N($G582),IF(AND(OR($E582="returned_to_brand",$E582="given_to_roster_office",$E582="released_to_office",$E582="disposed"),IF($F582="","reserve",$F582)="rejected"),-N($G582),IF(AND($E582="correction",IF($F582="","reserve",$F582)="rejected"),N($G582),0))))</f>
        <v/>
      </c>
      <c r="O582" s="30" t="str">
        <f aca="false">IF($C582="","",IF($E582="collected",N($G582),IF(AND(OR($E582="returned_to_brand",$E582="given_to_roster_office",$E582="released_to_office",$E582="disposed"),IF($F582="","reserve",$F582)="leftover"),-N($G582),IF(AND($E582="correction",IF($F582="","reserve",$F582)="leftover"),N($G582),0))))</f>
        <v/>
      </c>
      <c r="P582" s="30" t="str">
        <f aca="false">IF(OR($E582&lt;&gt;"received",$I582="",$L582=""),"",IF($I582&gt;=$L582+config!$B$19,"Y","N"))</f>
        <v/>
      </c>
      <c r="Q582" s="30" t="str">
        <f aca="false">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30" t="str">
        <f aca="false">IF($C582="","",$C582&amp;"|"&amp;$D582&amp;"|"&amp;$E582)</f>
        <v/>
      </c>
    </row>
    <row r="583" customFormat="false" ht="15" hidden="false" customHeight="false" outlineLevel="0" collapsed="false">
      <c r="A583" s="11"/>
      <c r="B583" s="38"/>
      <c r="E583" s="10"/>
      <c r="I583" s="11"/>
      <c r="J583" s="10"/>
      <c r="L583" s="31" t="str">
        <f aca="false">IF($C583="","",IFERROR(IF(INDEX(campaigns!$BG$2:$BG$51,MATCH($C583,campaigns!$A$2:$A$51,0))="","",INDEX(campaigns!$BG$2:$BG$51,MATCH($C583,campaigns!$A$2:$A$51,0))),""))</f>
        <v/>
      </c>
      <c r="M583" s="30" t="str">
        <f aca="false">IF($C583="","",IF(OR($E583="received"),N($G583),IF(OR($E583="rejected",$E583="delivered",$E583="topped_up"),-N($G583),IF(AND(OR($E583="returned_to_brand",$E583="given_to_roster_office",$E583="released_to_office",$E583="disposed"),IF($F583="","reserve",$F583)="reserve"),-N($G583),IF(AND($E583="correction",IF($F583="","reserve",$F583)="reserve"),N($G583),0)))))</f>
        <v/>
      </c>
      <c r="N583" s="30" t="str">
        <f aca="false">IF($C583="","",IF($E583="rejected",N($G583),IF(AND(OR($E583="returned_to_brand",$E583="given_to_roster_office",$E583="released_to_office",$E583="disposed"),IF($F583="","reserve",$F583)="rejected"),-N($G583),IF(AND($E583="correction",IF($F583="","reserve",$F583)="rejected"),N($G583),0))))</f>
        <v/>
      </c>
      <c r="O583" s="30" t="str">
        <f aca="false">IF($C583="","",IF($E583="collected",N($G583),IF(AND(OR($E583="returned_to_brand",$E583="given_to_roster_office",$E583="released_to_office",$E583="disposed"),IF($F583="","reserve",$F583)="leftover"),-N($G583),IF(AND($E583="correction",IF($F583="","reserve",$F583)="leftover"),N($G583),0))))</f>
        <v/>
      </c>
      <c r="P583" s="30" t="str">
        <f aca="false">IF(OR($E583&lt;&gt;"received",$I583="",$L583=""),"",IF($I583&gt;=$L583+config!$B$19,"Y","N"))</f>
        <v/>
      </c>
      <c r="Q583" s="30" t="str">
        <f aca="false">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30" t="str">
        <f aca="false">IF($C583="","",$C583&amp;"|"&amp;$D583&amp;"|"&amp;$E583)</f>
        <v/>
      </c>
    </row>
    <row r="584" customFormat="false" ht="15" hidden="false" customHeight="false" outlineLevel="0" collapsed="false">
      <c r="A584" s="11"/>
      <c r="B584" s="38"/>
      <c r="E584" s="10"/>
      <c r="I584" s="11"/>
      <c r="J584" s="10"/>
      <c r="L584" s="31" t="str">
        <f aca="false">IF($C584="","",IFERROR(IF(INDEX(campaigns!$BG$2:$BG$51,MATCH($C584,campaigns!$A$2:$A$51,0))="","",INDEX(campaigns!$BG$2:$BG$51,MATCH($C584,campaigns!$A$2:$A$51,0))),""))</f>
        <v/>
      </c>
      <c r="M584" s="30" t="str">
        <f aca="false">IF($C584="","",IF(OR($E584="received"),N($G584),IF(OR($E584="rejected",$E584="delivered",$E584="topped_up"),-N($G584),IF(AND(OR($E584="returned_to_brand",$E584="given_to_roster_office",$E584="released_to_office",$E584="disposed"),IF($F584="","reserve",$F584)="reserve"),-N($G584),IF(AND($E584="correction",IF($F584="","reserve",$F584)="reserve"),N($G584),0)))))</f>
        <v/>
      </c>
      <c r="N584" s="30" t="str">
        <f aca="false">IF($C584="","",IF($E584="rejected",N($G584),IF(AND(OR($E584="returned_to_brand",$E584="given_to_roster_office",$E584="released_to_office",$E584="disposed"),IF($F584="","reserve",$F584)="rejected"),-N($G584),IF(AND($E584="correction",IF($F584="","reserve",$F584)="rejected"),N($G584),0))))</f>
        <v/>
      </c>
      <c r="O584" s="30" t="str">
        <f aca="false">IF($C584="","",IF($E584="collected",N($G584),IF(AND(OR($E584="returned_to_brand",$E584="given_to_roster_office",$E584="released_to_office",$E584="disposed"),IF($F584="","reserve",$F584)="leftover"),-N($G584),IF(AND($E584="correction",IF($F584="","reserve",$F584)="leftover"),N($G584),0))))</f>
        <v/>
      </c>
      <c r="P584" s="30" t="str">
        <f aca="false">IF(OR($E584&lt;&gt;"received",$I584="",$L584=""),"",IF($I584&gt;=$L584+config!$B$19,"Y","N"))</f>
        <v/>
      </c>
      <c r="Q584" s="30" t="str">
        <f aca="false">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30" t="str">
        <f aca="false">IF($C584="","",$C584&amp;"|"&amp;$D584&amp;"|"&amp;$E584)</f>
        <v/>
      </c>
    </row>
    <row r="585" customFormat="false" ht="15" hidden="false" customHeight="false" outlineLevel="0" collapsed="false">
      <c r="A585" s="11"/>
      <c r="B585" s="38"/>
      <c r="E585" s="10"/>
      <c r="I585" s="11"/>
      <c r="J585" s="10"/>
      <c r="L585" s="31" t="str">
        <f aca="false">IF($C585="","",IFERROR(IF(INDEX(campaigns!$BG$2:$BG$51,MATCH($C585,campaigns!$A$2:$A$51,0))="","",INDEX(campaigns!$BG$2:$BG$51,MATCH($C585,campaigns!$A$2:$A$51,0))),""))</f>
        <v/>
      </c>
      <c r="M585" s="30" t="str">
        <f aca="false">IF($C585="","",IF(OR($E585="received"),N($G585),IF(OR($E585="rejected",$E585="delivered",$E585="topped_up"),-N($G585),IF(AND(OR($E585="returned_to_brand",$E585="given_to_roster_office",$E585="released_to_office",$E585="disposed"),IF($F585="","reserve",$F585)="reserve"),-N($G585),IF(AND($E585="correction",IF($F585="","reserve",$F585)="reserve"),N($G585),0)))))</f>
        <v/>
      </c>
      <c r="N585" s="30" t="str">
        <f aca="false">IF($C585="","",IF($E585="rejected",N($G585),IF(AND(OR($E585="returned_to_brand",$E585="given_to_roster_office",$E585="released_to_office",$E585="disposed"),IF($F585="","reserve",$F585)="rejected"),-N($G585),IF(AND($E585="correction",IF($F585="","reserve",$F585)="rejected"),N($G585),0))))</f>
        <v/>
      </c>
      <c r="O585" s="30" t="str">
        <f aca="false">IF($C585="","",IF($E585="collected",N($G585),IF(AND(OR($E585="returned_to_brand",$E585="given_to_roster_office",$E585="released_to_office",$E585="disposed"),IF($F585="","reserve",$F585)="leftover"),-N($G585),IF(AND($E585="correction",IF($F585="","reserve",$F585)="leftover"),N($G585),0))))</f>
        <v/>
      </c>
      <c r="P585" s="30" t="str">
        <f aca="false">IF(OR($E585&lt;&gt;"received",$I585="",$L585=""),"",IF($I585&gt;=$L585+config!$B$19,"Y","N"))</f>
        <v/>
      </c>
      <c r="Q585" s="30" t="str">
        <f aca="false">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30" t="str">
        <f aca="false">IF($C585="","",$C585&amp;"|"&amp;$D585&amp;"|"&amp;$E585)</f>
        <v/>
      </c>
    </row>
    <row r="586" customFormat="false" ht="15" hidden="false" customHeight="false" outlineLevel="0" collapsed="false">
      <c r="A586" s="11"/>
      <c r="B586" s="38"/>
      <c r="E586" s="10"/>
      <c r="I586" s="11"/>
      <c r="J586" s="10"/>
      <c r="L586" s="31" t="str">
        <f aca="false">IF($C586="","",IFERROR(IF(INDEX(campaigns!$BG$2:$BG$51,MATCH($C586,campaigns!$A$2:$A$51,0))="","",INDEX(campaigns!$BG$2:$BG$51,MATCH($C586,campaigns!$A$2:$A$51,0))),""))</f>
        <v/>
      </c>
      <c r="M586" s="30" t="str">
        <f aca="false">IF($C586="","",IF(OR($E586="received"),N($G586),IF(OR($E586="rejected",$E586="delivered",$E586="topped_up"),-N($G586),IF(AND(OR($E586="returned_to_brand",$E586="given_to_roster_office",$E586="released_to_office",$E586="disposed"),IF($F586="","reserve",$F586)="reserve"),-N($G586),IF(AND($E586="correction",IF($F586="","reserve",$F586)="reserve"),N($G586),0)))))</f>
        <v/>
      </c>
      <c r="N586" s="30" t="str">
        <f aca="false">IF($C586="","",IF($E586="rejected",N($G586),IF(AND(OR($E586="returned_to_brand",$E586="given_to_roster_office",$E586="released_to_office",$E586="disposed"),IF($F586="","reserve",$F586)="rejected"),-N($G586),IF(AND($E586="correction",IF($F586="","reserve",$F586)="rejected"),N($G586),0))))</f>
        <v/>
      </c>
      <c r="O586" s="30" t="str">
        <f aca="false">IF($C586="","",IF($E586="collected",N($G586),IF(AND(OR($E586="returned_to_brand",$E586="given_to_roster_office",$E586="released_to_office",$E586="disposed"),IF($F586="","reserve",$F586)="leftover"),-N($G586),IF(AND($E586="correction",IF($F586="","reserve",$F586)="leftover"),N($G586),0))))</f>
        <v/>
      </c>
      <c r="P586" s="30" t="str">
        <f aca="false">IF(OR($E586&lt;&gt;"received",$I586="",$L586=""),"",IF($I586&gt;=$L586+config!$B$19,"Y","N"))</f>
        <v/>
      </c>
      <c r="Q586" s="30" t="str">
        <f aca="false">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30" t="str">
        <f aca="false">IF($C586="","",$C586&amp;"|"&amp;$D586&amp;"|"&amp;$E586)</f>
        <v/>
      </c>
    </row>
    <row r="587" customFormat="false" ht="15" hidden="false" customHeight="false" outlineLevel="0" collapsed="false">
      <c r="A587" s="11"/>
      <c r="B587" s="38"/>
      <c r="E587" s="10"/>
      <c r="I587" s="11"/>
      <c r="J587" s="10"/>
      <c r="L587" s="31" t="str">
        <f aca="false">IF($C587="","",IFERROR(IF(INDEX(campaigns!$BG$2:$BG$51,MATCH($C587,campaigns!$A$2:$A$51,0))="","",INDEX(campaigns!$BG$2:$BG$51,MATCH($C587,campaigns!$A$2:$A$51,0))),""))</f>
        <v/>
      </c>
      <c r="M587" s="30" t="str">
        <f aca="false">IF($C587="","",IF(OR($E587="received"),N($G587),IF(OR($E587="rejected",$E587="delivered",$E587="topped_up"),-N($G587),IF(AND(OR($E587="returned_to_brand",$E587="given_to_roster_office",$E587="released_to_office",$E587="disposed"),IF($F587="","reserve",$F587)="reserve"),-N($G587),IF(AND($E587="correction",IF($F587="","reserve",$F587)="reserve"),N($G587),0)))))</f>
        <v/>
      </c>
      <c r="N587" s="30" t="str">
        <f aca="false">IF($C587="","",IF($E587="rejected",N($G587),IF(AND(OR($E587="returned_to_brand",$E587="given_to_roster_office",$E587="released_to_office",$E587="disposed"),IF($F587="","reserve",$F587)="rejected"),-N($G587),IF(AND($E587="correction",IF($F587="","reserve",$F587)="rejected"),N($G587),0))))</f>
        <v/>
      </c>
      <c r="O587" s="30" t="str">
        <f aca="false">IF($C587="","",IF($E587="collected",N($G587),IF(AND(OR($E587="returned_to_brand",$E587="given_to_roster_office",$E587="released_to_office",$E587="disposed"),IF($F587="","reserve",$F587)="leftover"),-N($G587),IF(AND($E587="correction",IF($F587="","reserve",$F587)="leftover"),N($G587),0))))</f>
        <v/>
      </c>
      <c r="P587" s="30" t="str">
        <f aca="false">IF(OR($E587&lt;&gt;"received",$I587="",$L587=""),"",IF($I587&gt;=$L587+config!$B$19,"Y","N"))</f>
        <v/>
      </c>
      <c r="Q587" s="30" t="str">
        <f aca="false">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30" t="str">
        <f aca="false">IF($C587="","",$C587&amp;"|"&amp;$D587&amp;"|"&amp;$E587)</f>
        <v/>
      </c>
    </row>
    <row r="588" customFormat="false" ht="15" hidden="false" customHeight="false" outlineLevel="0" collapsed="false">
      <c r="A588" s="11"/>
      <c r="B588" s="38"/>
      <c r="E588" s="10"/>
      <c r="I588" s="11"/>
      <c r="J588" s="10"/>
      <c r="L588" s="31" t="str">
        <f aca="false">IF($C588="","",IFERROR(IF(INDEX(campaigns!$BG$2:$BG$51,MATCH($C588,campaigns!$A$2:$A$51,0))="","",INDEX(campaigns!$BG$2:$BG$51,MATCH($C588,campaigns!$A$2:$A$51,0))),""))</f>
        <v/>
      </c>
      <c r="M588" s="30" t="str">
        <f aca="false">IF($C588="","",IF(OR($E588="received"),N($G588),IF(OR($E588="rejected",$E588="delivered",$E588="topped_up"),-N($G588),IF(AND(OR($E588="returned_to_brand",$E588="given_to_roster_office",$E588="released_to_office",$E588="disposed"),IF($F588="","reserve",$F588)="reserve"),-N($G588),IF(AND($E588="correction",IF($F588="","reserve",$F588)="reserve"),N($G588),0)))))</f>
        <v/>
      </c>
      <c r="N588" s="30" t="str">
        <f aca="false">IF($C588="","",IF($E588="rejected",N($G588),IF(AND(OR($E588="returned_to_brand",$E588="given_to_roster_office",$E588="released_to_office",$E588="disposed"),IF($F588="","reserve",$F588)="rejected"),-N($G588),IF(AND($E588="correction",IF($F588="","reserve",$F588)="rejected"),N($G588),0))))</f>
        <v/>
      </c>
      <c r="O588" s="30" t="str">
        <f aca="false">IF($C588="","",IF($E588="collected",N($G588),IF(AND(OR($E588="returned_to_brand",$E588="given_to_roster_office",$E588="released_to_office",$E588="disposed"),IF($F588="","reserve",$F588)="leftover"),-N($G588),IF(AND($E588="correction",IF($F588="","reserve",$F588)="leftover"),N($G588),0))))</f>
        <v/>
      </c>
      <c r="P588" s="30" t="str">
        <f aca="false">IF(OR($E588&lt;&gt;"received",$I588="",$L588=""),"",IF($I588&gt;=$L588+config!$B$19,"Y","N"))</f>
        <v/>
      </c>
      <c r="Q588" s="30" t="str">
        <f aca="false">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30" t="str">
        <f aca="false">IF($C588="","",$C588&amp;"|"&amp;$D588&amp;"|"&amp;$E588)</f>
        <v/>
      </c>
    </row>
    <row r="589" customFormat="false" ht="15" hidden="false" customHeight="false" outlineLevel="0" collapsed="false">
      <c r="A589" s="11"/>
      <c r="B589" s="38"/>
      <c r="E589" s="10"/>
      <c r="I589" s="11"/>
      <c r="J589" s="10"/>
      <c r="L589" s="31" t="str">
        <f aca="false">IF($C589="","",IFERROR(IF(INDEX(campaigns!$BG$2:$BG$51,MATCH($C589,campaigns!$A$2:$A$51,0))="","",INDEX(campaigns!$BG$2:$BG$51,MATCH($C589,campaigns!$A$2:$A$51,0))),""))</f>
        <v/>
      </c>
      <c r="M589" s="30" t="str">
        <f aca="false">IF($C589="","",IF(OR($E589="received"),N($G589),IF(OR($E589="rejected",$E589="delivered",$E589="topped_up"),-N($G589),IF(AND(OR($E589="returned_to_brand",$E589="given_to_roster_office",$E589="released_to_office",$E589="disposed"),IF($F589="","reserve",$F589)="reserve"),-N($G589),IF(AND($E589="correction",IF($F589="","reserve",$F589)="reserve"),N($G589),0)))))</f>
        <v/>
      </c>
      <c r="N589" s="30" t="str">
        <f aca="false">IF($C589="","",IF($E589="rejected",N($G589),IF(AND(OR($E589="returned_to_brand",$E589="given_to_roster_office",$E589="released_to_office",$E589="disposed"),IF($F589="","reserve",$F589)="rejected"),-N($G589),IF(AND($E589="correction",IF($F589="","reserve",$F589)="rejected"),N($G589),0))))</f>
        <v/>
      </c>
      <c r="O589" s="30" t="str">
        <f aca="false">IF($C589="","",IF($E589="collected",N($G589),IF(AND(OR($E589="returned_to_brand",$E589="given_to_roster_office",$E589="released_to_office",$E589="disposed"),IF($F589="","reserve",$F589)="leftover"),-N($G589),IF(AND($E589="correction",IF($F589="","reserve",$F589)="leftover"),N($G589),0))))</f>
        <v/>
      </c>
      <c r="P589" s="30" t="str">
        <f aca="false">IF(OR($E589&lt;&gt;"received",$I589="",$L589=""),"",IF($I589&gt;=$L589+config!$B$19,"Y","N"))</f>
        <v/>
      </c>
      <c r="Q589" s="30" t="str">
        <f aca="false">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30" t="str">
        <f aca="false">IF($C589="","",$C589&amp;"|"&amp;$D589&amp;"|"&amp;$E589)</f>
        <v/>
      </c>
    </row>
    <row r="590" customFormat="false" ht="15" hidden="false" customHeight="false" outlineLevel="0" collapsed="false">
      <c r="A590" s="11"/>
      <c r="B590" s="38"/>
      <c r="E590" s="10"/>
      <c r="I590" s="11"/>
      <c r="J590" s="10"/>
      <c r="L590" s="31" t="str">
        <f aca="false">IF($C590="","",IFERROR(IF(INDEX(campaigns!$BG$2:$BG$51,MATCH($C590,campaigns!$A$2:$A$51,0))="","",INDEX(campaigns!$BG$2:$BG$51,MATCH($C590,campaigns!$A$2:$A$51,0))),""))</f>
        <v/>
      </c>
      <c r="M590" s="30" t="str">
        <f aca="false">IF($C590="","",IF(OR($E590="received"),N($G590),IF(OR($E590="rejected",$E590="delivered",$E590="topped_up"),-N($G590),IF(AND(OR($E590="returned_to_brand",$E590="given_to_roster_office",$E590="released_to_office",$E590="disposed"),IF($F590="","reserve",$F590)="reserve"),-N($G590),IF(AND($E590="correction",IF($F590="","reserve",$F590)="reserve"),N($G590),0)))))</f>
        <v/>
      </c>
      <c r="N590" s="30" t="str">
        <f aca="false">IF($C590="","",IF($E590="rejected",N($G590),IF(AND(OR($E590="returned_to_brand",$E590="given_to_roster_office",$E590="released_to_office",$E590="disposed"),IF($F590="","reserve",$F590)="rejected"),-N($G590),IF(AND($E590="correction",IF($F590="","reserve",$F590)="rejected"),N($G590),0))))</f>
        <v/>
      </c>
      <c r="O590" s="30" t="str">
        <f aca="false">IF($C590="","",IF($E590="collected",N($G590),IF(AND(OR($E590="returned_to_brand",$E590="given_to_roster_office",$E590="released_to_office",$E590="disposed"),IF($F590="","reserve",$F590)="leftover"),-N($G590),IF(AND($E590="correction",IF($F590="","reserve",$F590)="leftover"),N($G590),0))))</f>
        <v/>
      </c>
      <c r="P590" s="30" t="str">
        <f aca="false">IF(OR($E590&lt;&gt;"received",$I590="",$L590=""),"",IF($I590&gt;=$L590+config!$B$19,"Y","N"))</f>
        <v/>
      </c>
      <c r="Q590" s="30" t="str">
        <f aca="false">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30" t="str">
        <f aca="false">IF($C590="","",$C590&amp;"|"&amp;$D590&amp;"|"&amp;$E590)</f>
        <v/>
      </c>
    </row>
    <row r="591" customFormat="false" ht="15" hidden="false" customHeight="false" outlineLevel="0" collapsed="false">
      <c r="A591" s="11"/>
      <c r="B591" s="38"/>
      <c r="E591" s="10"/>
      <c r="I591" s="11"/>
      <c r="J591" s="10"/>
      <c r="L591" s="31" t="str">
        <f aca="false">IF($C591="","",IFERROR(IF(INDEX(campaigns!$BG$2:$BG$51,MATCH($C591,campaigns!$A$2:$A$51,0))="","",INDEX(campaigns!$BG$2:$BG$51,MATCH($C591,campaigns!$A$2:$A$51,0))),""))</f>
        <v/>
      </c>
      <c r="M591" s="30" t="str">
        <f aca="false">IF($C591="","",IF(OR($E591="received"),N($G591),IF(OR($E591="rejected",$E591="delivered",$E591="topped_up"),-N($G591),IF(AND(OR($E591="returned_to_brand",$E591="given_to_roster_office",$E591="released_to_office",$E591="disposed"),IF($F591="","reserve",$F591)="reserve"),-N($G591),IF(AND($E591="correction",IF($F591="","reserve",$F591)="reserve"),N($G591),0)))))</f>
        <v/>
      </c>
      <c r="N591" s="30" t="str">
        <f aca="false">IF($C591="","",IF($E591="rejected",N($G591),IF(AND(OR($E591="returned_to_brand",$E591="given_to_roster_office",$E591="released_to_office",$E591="disposed"),IF($F591="","reserve",$F591)="rejected"),-N($G591),IF(AND($E591="correction",IF($F591="","reserve",$F591)="rejected"),N($G591),0))))</f>
        <v/>
      </c>
      <c r="O591" s="30" t="str">
        <f aca="false">IF($C591="","",IF($E591="collected",N($G591),IF(AND(OR($E591="returned_to_brand",$E591="given_to_roster_office",$E591="released_to_office",$E591="disposed"),IF($F591="","reserve",$F591)="leftover"),-N($G591),IF(AND($E591="correction",IF($F591="","reserve",$F591)="leftover"),N($G591),0))))</f>
        <v/>
      </c>
      <c r="P591" s="30" t="str">
        <f aca="false">IF(OR($E591&lt;&gt;"received",$I591="",$L591=""),"",IF($I591&gt;=$L591+config!$B$19,"Y","N"))</f>
        <v/>
      </c>
      <c r="Q591" s="30" t="str">
        <f aca="false">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30" t="str">
        <f aca="false">IF($C591="","",$C591&amp;"|"&amp;$D591&amp;"|"&amp;$E591)</f>
        <v/>
      </c>
    </row>
    <row r="592" customFormat="false" ht="15" hidden="false" customHeight="false" outlineLevel="0" collapsed="false">
      <c r="A592" s="11"/>
      <c r="B592" s="38"/>
      <c r="E592" s="10"/>
      <c r="I592" s="11"/>
      <c r="J592" s="10"/>
      <c r="L592" s="31" t="str">
        <f aca="false">IF($C592="","",IFERROR(IF(INDEX(campaigns!$BG$2:$BG$51,MATCH($C592,campaigns!$A$2:$A$51,0))="","",INDEX(campaigns!$BG$2:$BG$51,MATCH($C592,campaigns!$A$2:$A$51,0))),""))</f>
        <v/>
      </c>
      <c r="M592" s="30" t="str">
        <f aca="false">IF($C592="","",IF(OR($E592="received"),N($G592),IF(OR($E592="rejected",$E592="delivered",$E592="topped_up"),-N($G592),IF(AND(OR($E592="returned_to_brand",$E592="given_to_roster_office",$E592="released_to_office",$E592="disposed"),IF($F592="","reserve",$F592)="reserve"),-N($G592),IF(AND($E592="correction",IF($F592="","reserve",$F592)="reserve"),N($G592),0)))))</f>
        <v/>
      </c>
      <c r="N592" s="30" t="str">
        <f aca="false">IF($C592="","",IF($E592="rejected",N($G592),IF(AND(OR($E592="returned_to_brand",$E592="given_to_roster_office",$E592="released_to_office",$E592="disposed"),IF($F592="","reserve",$F592)="rejected"),-N($G592),IF(AND($E592="correction",IF($F592="","reserve",$F592)="rejected"),N($G592),0))))</f>
        <v/>
      </c>
      <c r="O592" s="30" t="str">
        <f aca="false">IF($C592="","",IF($E592="collected",N($G592),IF(AND(OR($E592="returned_to_brand",$E592="given_to_roster_office",$E592="released_to_office",$E592="disposed"),IF($F592="","reserve",$F592)="leftover"),-N($G592),IF(AND($E592="correction",IF($F592="","reserve",$F592)="leftover"),N($G592),0))))</f>
        <v/>
      </c>
      <c r="P592" s="30" t="str">
        <f aca="false">IF(OR($E592&lt;&gt;"received",$I592="",$L592=""),"",IF($I592&gt;=$L592+config!$B$19,"Y","N"))</f>
        <v/>
      </c>
      <c r="Q592" s="30" t="str">
        <f aca="false">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30" t="str">
        <f aca="false">IF($C592="","",$C592&amp;"|"&amp;$D592&amp;"|"&amp;$E592)</f>
        <v/>
      </c>
    </row>
    <row r="593" customFormat="false" ht="15" hidden="false" customHeight="false" outlineLevel="0" collapsed="false">
      <c r="A593" s="11"/>
      <c r="B593" s="38"/>
      <c r="E593" s="10"/>
      <c r="I593" s="11"/>
      <c r="J593" s="10"/>
      <c r="L593" s="31" t="str">
        <f aca="false">IF($C593="","",IFERROR(IF(INDEX(campaigns!$BG$2:$BG$51,MATCH($C593,campaigns!$A$2:$A$51,0))="","",INDEX(campaigns!$BG$2:$BG$51,MATCH($C593,campaigns!$A$2:$A$51,0))),""))</f>
        <v/>
      </c>
      <c r="M593" s="30" t="str">
        <f aca="false">IF($C593="","",IF(OR($E593="received"),N($G593),IF(OR($E593="rejected",$E593="delivered",$E593="topped_up"),-N($G593),IF(AND(OR($E593="returned_to_brand",$E593="given_to_roster_office",$E593="released_to_office",$E593="disposed"),IF($F593="","reserve",$F593)="reserve"),-N($G593),IF(AND($E593="correction",IF($F593="","reserve",$F593)="reserve"),N($G593),0)))))</f>
        <v/>
      </c>
      <c r="N593" s="30" t="str">
        <f aca="false">IF($C593="","",IF($E593="rejected",N($G593),IF(AND(OR($E593="returned_to_brand",$E593="given_to_roster_office",$E593="released_to_office",$E593="disposed"),IF($F593="","reserve",$F593)="rejected"),-N($G593),IF(AND($E593="correction",IF($F593="","reserve",$F593)="rejected"),N($G593),0))))</f>
        <v/>
      </c>
      <c r="O593" s="30" t="str">
        <f aca="false">IF($C593="","",IF($E593="collected",N($G593),IF(AND(OR($E593="returned_to_brand",$E593="given_to_roster_office",$E593="released_to_office",$E593="disposed"),IF($F593="","reserve",$F593)="leftover"),-N($G593),IF(AND($E593="correction",IF($F593="","reserve",$F593)="leftover"),N($G593),0))))</f>
        <v/>
      </c>
      <c r="P593" s="30" t="str">
        <f aca="false">IF(OR($E593&lt;&gt;"received",$I593="",$L593=""),"",IF($I593&gt;=$L593+config!$B$19,"Y","N"))</f>
        <v/>
      </c>
      <c r="Q593" s="30" t="str">
        <f aca="false">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30" t="str">
        <f aca="false">IF($C593="","",$C593&amp;"|"&amp;$D593&amp;"|"&amp;$E593)</f>
        <v/>
      </c>
    </row>
    <row r="594" customFormat="false" ht="15" hidden="false" customHeight="false" outlineLevel="0" collapsed="false">
      <c r="A594" s="11"/>
      <c r="B594" s="38"/>
      <c r="E594" s="10"/>
      <c r="I594" s="11"/>
      <c r="J594" s="10"/>
      <c r="L594" s="31" t="str">
        <f aca="false">IF($C594="","",IFERROR(IF(INDEX(campaigns!$BG$2:$BG$51,MATCH($C594,campaigns!$A$2:$A$51,0))="","",INDEX(campaigns!$BG$2:$BG$51,MATCH($C594,campaigns!$A$2:$A$51,0))),""))</f>
        <v/>
      </c>
      <c r="M594" s="30" t="str">
        <f aca="false">IF($C594="","",IF(OR($E594="received"),N($G594),IF(OR($E594="rejected",$E594="delivered",$E594="topped_up"),-N($G594),IF(AND(OR($E594="returned_to_brand",$E594="given_to_roster_office",$E594="released_to_office",$E594="disposed"),IF($F594="","reserve",$F594)="reserve"),-N($G594),IF(AND($E594="correction",IF($F594="","reserve",$F594)="reserve"),N($G594),0)))))</f>
        <v/>
      </c>
      <c r="N594" s="30" t="str">
        <f aca="false">IF($C594="","",IF($E594="rejected",N($G594),IF(AND(OR($E594="returned_to_brand",$E594="given_to_roster_office",$E594="released_to_office",$E594="disposed"),IF($F594="","reserve",$F594)="rejected"),-N($G594),IF(AND($E594="correction",IF($F594="","reserve",$F594)="rejected"),N($G594),0))))</f>
        <v/>
      </c>
      <c r="O594" s="30" t="str">
        <f aca="false">IF($C594="","",IF($E594="collected",N($G594),IF(AND(OR($E594="returned_to_brand",$E594="given_to_roster_office",$E594="released_to_office",$E594="disposed"),IF($F594="","reserve",$F594)="leftover"),-N($G594),IF(AND($E594="correction",IF($F594="","reserve",$F594)="leftover"),N($G594),0))))</f>
        <v/>
      </c>
      <c r="P594" s="30" t="str">
        <f aca="false">IF(OR($E594&lt;&gt;"received",$I594="",$L594=""),"",IF($I594&gt;=$L594+config!$B$19,"Y","N"))</f>
        <v/>
      </c>
      <c r="Q594" s="30" t="str">
        <f aca="false">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30" t="str">
        <f aca="false">IF($C594="","",$C594&amp;"|"&amp;$D594&amp;"|"&amp;$E594)</f>
        <v/>
      </c>
    </row>
    <row r="595" customFormat="false" ht="15" hidden="false" customHeight="false" outlineLevel="0" collapsed="false">
      <c r="A595" s="11"/>
      <c r="B595" s="38"/>
      <c r="E595" s="10"/>
      <c r="I595" s="11"/>
      <c r="J595" s="10"/>
      <c r="L595" s="31" t="str">
        <f aca="false">IF($C595="","",IFERROR(IF(INDEX(campaigns!$BG$2:$BG$51,MATCH($C595,campaigns!$A$2:$A$51,0))="","",INDEX(campaigns!$BG$2:$BG$51,MATCH($C595,campaigns!$A$2:$A$51,0))),""))</f>
        <v/>
      </c>
      <c r="M595" s="30" t="str">
        <f aca="false">IF($C595="","",IF(OR($E595="received"),N($G595),IF(OR($E595="rejected",$E595="delivered",$E595="topped_up"),-N($G595),IF(AND(OR($E595="returned_to_brand",$E595="given_to_roster_office",$E595="released_to_office",$E595="disposed"),IF($F595="","reserve",$F595)="reserve"),-N($G595),IF(AND($E595="correction",IF($F595="","reserve",$F595)="reserve"),N($G595),0)))))</f>
        <v/>
      </c>
      <c r="N595" s="30" t="str">
        <f aca="false">IF($C595="","",IF($E595="rejected",N($G595),IF(AND(OR($E595="returned_to_brand",$E595="given_to_roster_office",$E595="released_to_office",$E595="disposed"),IF($F595="","reserve",$F595)="rejected"),-N($G595),IF(AND($E595="correction",IF($F595="","reserve",$F595)="rejected"),N($G595),0))))</f>
        <v/>
      </c>
      <c r="O595" s="30" t="str">
        <f aca="false">IF($C595="","",IF($E595="collected",N($G595),IF(AND(OR($E595="returned_to_brand",$E595="given_to_roster_office",$E595="released_to_office",$E595="disposed"),IF($F595="","reserve",$F595)="leftover"),-N($G595),IF(AND($E595="correction",IF($F595="","reserve",$F595)="leftover"),N($G595),0))))</f>
        <v/>
      </c>
      <c r="P595" s="30" t="str">
        <f aca="false">IF(OR($E595&lt;&gt;"received",$I595="",$L595=""),"",IF($I595&gt;=$L595+config!$B$19,"Y","N"))</f>
        <v/>
      </c>
      <c r="Q595" s="30" t="str">
        <f aca="false">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30" t="str">
        <f aca="false">IF($C595="","",$C595&amp;"|"&amp;$D595&amp;"|"&amp;$E595)</f>
        <v/>
      </c>
    </row>
    <row r="596" customFormat="false" ht="15" hidden="false" customHeight="false" outlineLevel="0" collapsed="false">
      <c r="A596" s="11"/>
      <c r="B596" s="38"/>
      <c r="E596" s="10"/>
      <c r="I596" s="11"/>
      <c r="J596" s="10"/>
      <c r="L596" s="31" t="str">
        <f aca="false">IF($C596="","",IFERROR(IF(INDEX(campaigns!$BG$2:$BG$51,MATCH($C596,campaigns!$A$2:$A$51,0))="","",INDEX(campaigns!$BG$2:$BG$51,MATCH($C596,campaigns!$A$2:$A$51,0))),""))</f>
        <v/>
      </c>
      <c r="M596" s="30" t="str">
        <f aca="false">IF($C596="","",IF(OR($E596="received"),N($G596),IF(OR($E596="rejected",$E596="delivered",$E596="topped_up"),-N($G596),IF(AND(OR($E596="returned_to_brand",$E596="given_to_roster_office",$E596="released_to_office",$E596="disposed"),IF($F596="","reserve",$F596)="reserve"),-N($G596),IF(AND($E596="correction",IF($F596="","reserve",$F596)="reserve"),N($G596),0)))))</f>
        <v/>
      </c>
      <c r="N596" s="30" t="str">
        <f aca="false">IF($C596="","",IF($E596="rejected",N($G596),IF(AND(OR($E596="returned_to_brand",$E596="given_to_roster_office",$E596="released_to_office",$E596="disposed"),IF($F596="","reserve",$F596)="rejected"),-N($G596),IF(AND($E596="correction",IF($F596="","reserve",$F596)="rejected"),N($G596),0))))</f>
        <v/>
      </c>
      <c r="O596" s="30" t="str">
        <f aca="false">IF($C596="","",IF($E596="collected",N($G596),IF(AND(OR($E596="returned_to_brand",$E596="given_to_roster_office",$E596="released_to_office",$E596="disposed"),IF($F596="","reserve",$F596)="leftover"),-N($G596),IF(AND($E596="correction",IF($F596="","reserve",$F596)="leftover"),N($G596),0))))</f>
        <v/>
      </c>
      <c r="P596" s="30" t="str">
        <f aca="false">IF(OR($E596&lt;&gt;"received",$I596="",$L596=""),"",IF($I596&gt;=$L596+config!$B$19,"Y","N"))</f>
        <v/>
      </c>
      <c r="Q596" s="30" t="str">
        <f aca="false">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30" t="str">
        <f aca="false">IF($C596="","",$C596&amp;"|"&amp;$D596&amp;"|"&amp;$E596)</f>
        <v/>
      </c>
    </row>
    <row r="597" customFormat="false" ht="15" hidden="false" customHeight="false" outlineLevel="0" collapsed="false">
      <c r="A597" s="11"/>
      <c r="B597" s="38"/>
      <c r="E597" s="10"/>
      <c r="I597" s="11"/>
      <c r="J597" s="10"/>
      <c r="L597" s="31" t="str">
        <f aca="false">IF($C597="","",IFERROR(IF(INDEX(campaigns!$BG$2:$BG$51,MATCH($C597,campaigns!$A$2:$A$51,0))="","",INDEX(campaigns!$BG$2:$BG$51,MATCH($C597,campaigns!$A$2:$A$51,0))),""))</f>
        <v/>
      </c>
      <c r="M597" s="30" t="str">
        <f aca="false">IF($C597="","",IF(OR($E597="received"),N($G597),IF(OR($E597="rejected",$E597="delivered",$E597="topped_up"),-N($G597),IF(AND(OR($E597="returned_to_brand",$E597="given_to_roster_office",$E597="released_to_office",$E597="disposed"),IF($F597="","reserve",$F597)="reserve"),-N($G597),IF(AND($E597="correction",IF($F597="","reserve",$F597)="reserve"),N($G597),0)))))</f>
        <v/>
      </c>
      <c r="N597" s="30" t="str">
        <f aca="false">IF($C597="","",IF($E597="rejected",N($G597),IF(AND(OR($E597="returned_to_brand",$E597="given_to_roster_office",$E597="released_to_office",$E597="disposed"),IF($F597="","reserve",$F597)="rejected"),-N($G597),IF(AND($E597="correction",IF($F597="","reserve",$F597)="rejected"),N($G597),0))))</f>
        <v/>
      </c>
      <c r="O597" s="30" t="str">
        <f aca="false">IF($C597="","",IF($E597="collected",N($G597),IF(AND(OR($E597="returned_to_brand",$E597="given_to_roster_office",$E597="released_to_office",$E597="disposed"),IF($F597="","reserve",$F597)="leftover"),-N($G597),IF(AND($E597="correction",IF($F597="","reserve",$F597)="leftover"),N($G597),0))))</f>
        <v/>
      </c>
      <c r="P597" s="30" t="str">
        <f aca="false">IF(OR($E597&lt;&gt;"received",$I597="",$L597=""),"",IF($I597&gt;=$L597+config!$B$19,"Y","N"))</f>
        <v/>
      </c>
      <c r="Q597" s="30" t="str">
        <f aca="false">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30" t="str">
        <f aca="false">IF($C597="","",$C597&amp;"|"&amp;$D597&amp;"|"&amp;$E597)</f>
        <v/>
      </c>
    </row>
    <row r="598" customFormat="false" ht="15" hidden="false" customHeight="false" outlineLevel="0" collapsed="false">
      <c r="A598" s="11"/>
      <c r="B598" s="38"/>
      <c r="E598" s="10"/>
      <c r="I598" s="11"/>
      <c r="J598" s="10"/>
      <c r="L598" s="31" t="str">
        <f aca="false">IF($C598="","",IFERROR(IF(INDEX(campaigns!$BG$2:$BG$51,MATCH($C598,campaigns!$A$2:$A$51,0))="","",INDEX(campaigns!$BG$2:$BG$51,MATCH($C598,campaigns!$A$2:$A$51,0))),""))</f>
        <v/>
      </c>
      <c r="M598" s="30" t="str">
        <f aca="false">IF($C598="","",IF(OR($E598="received"),N($G598),IF(OR($E598="rejected",$E598="delivered",$E598="topped_up"),-N($G598),IF(AND(OR($E598="returned_to_brand",$E598="given_to_roster_office",$E598="released_to_office",$E598="disposed"),IF($F598="","reserve",$F598)="reserve"),-N($G598),IF(AND($E598="correction",IF($F598="","reserve",$F598)="reserve"),N($G598),0)))))</f>
        <v/>
      </c>
      <c r="N598" s="30" t="str">
        <f aca="false">IF($C598="","",IF($E598="rejected",N($G598),IF(AND(OR($E598="returned_to_brand",$E598="given_to_roster_office",$E598="released_to_office",$E598="disposed"),IF($F598="","reserve",$F598)="rejected"),-N($G598),IF(AND($E598="correction",IF($F598="","reserve",$F598)="rejected"),N($G598),0))))</f>
        <v/>
      </c>
      <c r="O598" s="30" t="str">
        <f aca="false">IF($C598="","",IF($E598="collected",N($G598),IF(AND(OR($E598="returned_to_brand",$E598="given_to_roster_office",$E598="released_to_office",$E598="disposed"),IF($F598="","reserve",$F598)="leftover"),-N($G598),IF(AND($E598="correction",IF($F598="","reserve",$F598)="leftover"),N($G598),0))))</f>
        <v/>
      </c>
      <c r="P598" s="30" t="str">
        <f aca="false">IF(OR($E598&lt;&gt;"received",$I598="",$L598=""),"",IF($I598&gt;=$L598+config!$B$19,"Y","N"))</f>
        <v/>
      </c>
      <c r="Q598" s="30" t="str">
        <f aca="false">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30" t="str">
        <f aca="false">IF($C598="","",$C598&amp;"|"&amp;$D598&amp;"|"&amp;$E598)</f>
        <v/>
      </c>
    </row>
    <row r="599" customFormat="false" ht="15" hidden="false" customHeight="false" outlineLevel="0" collapsed="false">
      <c r="A599" s="11"/>
      <c r="B599" s="38"/>
      <c r="E599" s="10"/>
      <c r="I599" s="11"/>
      <c r="J599" s="10"/>
      <c r="L599" s="31" t="str">
        <f aca="false">IF($C599="","",IFERROR(IF(INDEX(campaigns!$BG$2:$BG$51,MATCH($C599,campaigns!$A$2:$A$51,0))="","",INDEX(campaigns!$BG$2:$BG$51,MATCH($C599,campaigns!$A$2:$A$51,0))),""))</f>
        <v/>
      </c>
      <c r="M599" s="30" t="str">
        <f aca="false">IF($C599="","",IF(OR($E599="received"),N($G599),IF(OR($E599="rejected",$E599="delivered",$E599="topped_up"),-N($G599),IF(AND(OR($E599="returned_to_brand",$E599="given_to_roster_office",$E599="released_to_office",$E599="disposed"),IF($F599="","reserve",$F599)="reserve"),-N($G599),IF(AND($E599="correction",IF($F599="","reserve",$F599)="reserve"),N($G599),0)))))</f>
        <v/>
      </c>
      <c r="N599" s="30" t="str">
        <f aca="false">IF($C599="","",IF($E599="rejected",N($G599),IF(AND(OR($E599="returned_to_brand",$E599="given_to_roster_office",$E599="released_to_office",$E599="disposed"),IF($F599="","reserve",$F599)="rejected"),-N($G599),IF(AND($E599="correction",IF($F599="","reserve",$F599)="rejected"),N($G599),0))))</f>
        <v/>
      </c>
      <c r="O599" s="30" t="str">
        <f aca="false">IF($C599="","",IF($E599="collected",N($G599),IF(AND(OR($E599="returned_to_brand",$E599="given_to_roster_office",$E599="released_to_office",$E599="disposed"),IF($F599="","reserve",$F599)="leftover"),-N($G599),IF(AND($E599="correction",IF($F599="","reserve",$F599)="leftover"),N($G599),0))))</f>
        <v/>
      </c>
      <c r="P599" s="30" t="str">
        <f aca="false">IF(OR($E599&lt;&gt;"received",$I599="",$L599=""),"",IF($I599&gt;=$L599+config!$B$19,"Y","N"))</f>
        <v/>
      </c>
      <c r="Q599" s="30" t="str">
        <f aca="false">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30" t="str">
        <f aca="false">IF($C599="","",$C599&amp;"|"&amp;$D599&amp;"|"&amp;$E599)</f>
        <v/>
      </c>
    </row>
    <row r="600" customFormat="false" ht="15" hidden="false" customHeight="false" outlineLevel="0" collapsed="false">
      <c r="A600" s="11"/>
      <c r="B600" s="38"/>
      <c r="E600" s="10"/>
      <c r="I600" s="11"/>
      <c r="J600" s="10"/>
      <c r="L600" s="31" t="str">
        <f aca="false">IF($C600="","",IFERROR(IF(INDEX(campaigns!$BG$2:$BG$51,MATCH($C600,campaigns!$A$2:$A$51,0))="","",INDEX(campaigns!$BG$2:$BG$51,MATCH($C600,campaigns!$A$2:$A$51,0))),""))</f>
        <v/>
      </c>
      <c r="M600" s="30" t="str">
        <f aca="false">IF($C600="","",IF(OR($E600="received"),N($G600),IF(OR($E600="rejected",$E600="delivered",$E600="topped_up"),-N($G600),IF(AND(OR($E600="returned_to_brand",$E600="given_to_roster_office",$E600="released_to_office",$E600="disposed"),IF($F600="","reserve",$F600)="reserve"),-N($G600),IF(AND($E600="correction",IF($F600="","reserve",$F600)="reserve"),N($G600),0)))))</f>
        <v/>
      </c>
      <c r="N600" s="30" t="str">
        <f aca="false">IF($C600="","",IF($E600="rejected",N($G600),IF(AND(OR($E600="returned_to_brand",$E600="given_to_roster_office",$E600="released_to_office",$E600="disposed"),IF($F600="","reserve",$F600)="rejected"),-N($G600),IF(AND($E600="correction",IF($F600="","reserve",$F600)="rejected"),N($G600),0))))</f>
        <v/>
      </c>
      <c r="O600" s="30" t="str">
        <f aca="false">IF($C600="","",IF($E600="collected",N($G600),IF(AND(OR($E600="returned_to_brand",$E600="given_to_roster_office",$E600="released_to_office",$E600="disposed"),IF($F600="","reserve",$F600)="leftover"),-N($G600),IF(AND($E600="correction",IF($F600="","reserve",$F600)="leftover"),N($G600),0))))</f>
        <v/>
      </c>
      <c r="P600" s="30" t="str">
        <f aca="false">IF(OR($E600&lt;&gt;"received",$I600="",$L600=""),"",IF($I600&gt;=$L600+config!$B$19,"Y","N"))</f>
        <v/>
      </c>
      <c r="Q600" s="30" t="str">
        <f aca="false">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30" t="str">
        <f aca="false">IF($C600="","",$C600&amp;"|"&amp;$D600&amp;"|"&amp;$E600)</f>
        <v/>
      </c>
    </row>
    <row r="601" customFormat="false" ht="15" hidden="false" customHeight="false" outlineLevel="0" collapsed="false">
      <c r="A601" s="11"/>
      <c r="B601" s="38"/>
      <c r="E601" s="10"/>
      <c r="I601" s="11"/>
      <c r="J601" s="10"/>
      <c r="L601" s="31" t="str">
        <f aca="false">IF($C601="","",IFERROR(IF(INDEX(campaigns!$BG$2:$BG$51,MATCH($C601,campaigns!$A$2:$A$51,0))="","",INDEX(campaigns!$BG$2:$BG$51,MATCH($C601,campaigns!$A$2:$A$51,0))),""))</f>
        <v/>
      </c>
      <c r="M601" s="30" t="str">
        <f aca="false">IF($C601="","",IF(OR($E601="received"),N($G601),IF(OR($E601="rejected",$E601="delivered",$E601="topped_up"),-N($G601),IF(AND(OR($E601="returned_to_brand",$E601="given_to_roster_office",$E601="released_to_office",$E601="disposed"),IF($F601="","reserve",$F601)="reserve"),-N($G601),IF(AND($E601="correction",IF($F601="","reserve",$F601)="reserve"),N($G601),0)))))</f>
        <v/>
      </c>
      <c r="N601" s="30" t="str">
        <f aca="false">IF($C601="","",IF($E601="rejected",N($G601),IF(AND(OR($E601="returned_to_brand",$E601="given_to_roster_office",$E601="released_to_office",$E601="disposed"),IF($F601="","reserve",$F601)="rejected"),-N($G601),IF(AND($E601="correction",IF($F601="","reserve",$F601)="rejected"),N($G601),0))))</f>
        <v/>
      </c>
      <c r="O601" s="30" t="str">
        <f aca="false">IF($C601="","",IF($E601="collected",N($G601),IF(AND(OR($E601="returned_to_brand",$E601="given_to_roster_office",$E601="released_to_office",$E601="disposed"),IF($F601="","reserve",$F601)="leftover"),-N($G601),IF(AND($E601="correction",IF($F601="","reserve",$F601)="leftover"),N($G601),0))))</f>
        <v/>
      </c>
      <c r="P601" s="30" t="str">
        <f aca="false">IF(OR($E601&lt;&gt;"received",$I601="",$L601=""),"",IF($I601&gt;=$L601+config!$B$19,"Y","N"))</f>
        <v/>
      </c>
      <c r="Q601" s="30" t="str">
        <f aca="false">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30" t="str">
        <f aca="false">IF($C601="","",$C601&amp;"|"&amp;$D601&amp;"|"&amp;$E601)</f>
        <v/>
      </c>
    </row>
    <row r="602" customFormat="false" ht="15" hidden="false" customHeight="false" outlineLevel="0" collapsed="false">
      <c r="A602" s="11"/>
      <c r="B602" s="38"/>
      <c r="E602" s="10"/>
      <c r="I602" s="11"/>
      <c r="J602" s="10"/>
      <c r="L602" s="31" t="str">
        <f aca="false">IF($C602="","",IFERROR(IF(INDEX(campaigns!$BG$2:$BG$51,MATCH($C602,campaigns!$A$2:$A$51,0))="","",INDEX(campaigns!$BG$2:$BG$51,MATCH($C602,campaigns!$A$2:$A$51,0))),""))</f>
        <v/>
      </c>
      <c r="M602" s="30" t="str">
        <f aca="false">IF($C602="","",IF(OR($E602="received"),N($G602),IF(OR($E602="rejected",$E602="delivered",$E602="topped_up"),-N($G602),IF(AND(OR($E602="returned_to_brand",$E602="given_to_roster_office",$E602="released_to_office",$E602="disposed"),IF($F602="","reserve",$F602)="reserve"),-N($G602),IF(AND($E602="correction",IF($F602="","reserve",$F602)="reserve"),N($G602),0)))))</f>
        <v/>
      </c>
      <c r="N602" s="30" t="str">
        <f aca="false">IF($C602="","",IF($E602="rejected",N($G602),IF(AND(OR($E602="returned_to_brand",$E602="given_to_roster_office",$E602="released_to_office",$E602="disposed"),IF($F602="","reserve",$F602)="rejected"),-N($G602),IF(AND($E602="correction",IF($F602="","reserve",$F602)="rejected"),N($G602),0))))</f>
        <v/>
      </c>
      <c r="O602" s="30" t="str">
        <f aca="false">IF($C602="","",IF($E602="collected",N($G602),IF(AND(OR($E602="returned_to_brand",$E602="given_to_roster_office",$E602="released_to_office",$E602="disposed"),IF($F602="","reserve",$F602)="leftover"),-N($G602),IF(AND($E602="correction",IF($F602="","reserve",$F602)="leftover"),N($G602),0))))</f>
        <v/>
      </c>
      <c r="P602" s="30" t="str">
        <f aca="false">IF(OR($E602&lt;&gt;"received",$I602="",$L602=""),"",IF($I602&gt;=$L602+config!$B$19,"Y","N"))</f>
        <v/>
      </c>
      <c r="Q602" s="30" t="str">
        <f aca="false">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30" t="str">
        <f aca="false">IF($C602="","",$C602&amp;"|"&amp;$D602&amp;"|"&amp;$E602)</f>
        <v/>
      </c>
    </row>
    <row r="603" customFormat="false" ht="15" hidden="false" customHeight="false" outlineLevel="0" collapsed="false">
      <c r="A603" s="11"/>
      <c r="B603" s="38"/>
      <c r="E603" s="10"/>
      <c r="I603" s="11"/>
      <c r="J603" s="10"/>
      <c r="L603" s="31" t="str">
        <f aca="false">IF($C603="","",IFERROR(IF(INDEX(campaigns!$BG$2:$BG$51,MATCH($C603,campaigns!$A$2:$A$51,0))="","",INDEX(campaigns!$BG$2:$BG$51,MATCH($C603,campaigns!$A$2:$A$51,0))),""))</f>
        <v/>
      </c>
      <c r="M603" s="30" t="str">
        <f aca="false">IF($C603="","",IF(OR($E603="received"),N($G603),IF(OR($E603="rejected",$E603="delivered",$E603="topped_up"),-N($G603),IF(AND(OR($E603="returned_to_brand",$E603="given_to_roster_office",$E603="released_to_office",$E603="disposed"),IF($F603="","reserve",$F603)="reserve"),-N($G603),IF(AND($E603="correction",IF($F603="","reserve",$F603)="reserve"),N($G603),0)))))</f>
        <v/>
      </c>
      <c r="N603" s="30" t="str">
        <f aca="false">IF($C603="","",IF($E603="rejected",N($G603),IF(AND(OR($E603="returned_to_brand",$E603="given_to_roster_office",$E603="released_to_office",$E603="disposed"),IF($F603="","reserve",$F603)="rejected"),-N($G603),IF(AND($E603="correction",IF($F603="","reserve",$F603)="rejected"),N($G603),0))))</f>
        <v/>
      </c>
      <c r="O603" s="30" t="str">
        <f aca="false">IF($C603="","",IF($E603="collected",N($G603),IF(AND(OR($E603="returned_to_brand",$E603="given_to_roster_office",$E603="released_to_office",$E603="disposed"),IF($F603="","reserve",$F603)="leftover"),-N($G603),IF(AND($E603="correction",IF($F603="","reserve",$F603)="leftover"),N($G603),0))))</f>
        <v/>
      </c>
      <c r="P603" s="30" t="str">
        <f aca="false">IF(OR($E603&lt;&gt;"received",$I603="",$L603=""),"",IF($I603&gt;=$L603+config!$B$19,"Y","N"))</f>
        <v/>
      </c>
      <c r="Q603" s="30" t="str">
        <f aca="false">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30" t="str">
        <f aca="false">IF($C603="","",$C603&amp;"|"&amp;$D603&amp;"|"&amp;$E603)</f>
        <v/>
      </c>
    </row>
    <row r="604" customFormat="false" ht="15" hidden="false" customHeight="false" outlineLevel="0" collapsed="false">
      <c r="A604" s="11"/>
      <c r="B604" s="38"/>
      <c r="E604" s="10"/>
      <c r="I604" s="11"/>
      <c r="J604" s="10"/>
      <c r="L604" s="31" t="str">
        <f aca="false">IF($C604="","",IFERROR(IF(INDEX(campaigns!$BG$2:$BG$51,MATCH($C604,campaigns!$A$2:$A$51,0))="","",INDEX(campaigns!$BG$2:$BG$51,MATCH($C604,campaigns!$A$2:$A$51,0))),""))</f>
        <v/>
      </c>
      <c r="M604" s="30" t="str">
        <f aca="false">IF($C604="","",IF(OR($E604="received"),N($G604),IF(OR($E604="rejected",$E604="delivered",$E604="topped_up"),-N($G604),IF(AND(OR($E604="returned_to_brand",$E604="given_to_roster_office",$E604="released_to_office",$E604="disposed"),IF($F604="","reserve",$F604)="reserve"),-N($G604),IF(AND($E604="correction",IF($F604="","reserve",$F604)="reserve"),N($G604),0)))))</f>
        <v/>
      </c>
      <c r="N604" s="30" t="str">
        <f aca="false">IF($C604="","",IF($E604="rejected",N($G604),IF(AND(OR($E604="returned_to_brand",$E604="given_to_roster_office",$E604="released_to_office",$E604="disposed"),IF($F604="","reserve",$F604)="rejected"),-N($G604),IF(AND($E604="correction",IF($F604="","reserve",$F604)="rejected"),N($G604),0))))</f>
        <v/>
      </c>
      <c r="O604" s="30" t="str">
        <f aca="false">IF($C604="","",IF($E604="collected",N($G604),IF(AND(OR($E604="returned_to_brand",$E604="given_to_roster_office",$E604="released_to_office",$E604="disposed"),IF($F604="","reserve",$F604)="leftover"),-N($G604),IF(AND($E604="correction",IF($F604="","reserve",$F604)="leftover"),N($G604),0))))</f>
        <v/>
      </c>
      <c r="P604" s="30" t="str">
        <f aca="false">IF(OR($E604&lt;&gt;"received",$I604="",$L604=""),"",IF($I604&gt;=$L604+config!$B$19,"Y","N"))</f>
        <v/>
      </c>
      <c r="Q604" s="30" t="str">
        <f aca="false">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30" t="str">
        <f aca="false">IF($C604="","",$C604&amp;"|"&amp;$D604&amp;"|"&amp;$E604)</f>
        <v/>
      </c>
    </row>
    <row r="605" customFormat="false" ht="15" hidden="false" customHeight="false" outlineLevel="0" collapsed="false">
      <c r="A605" s="11"/>
      <c r="B605" s="38"/>
      <c r="E605" s="10"/>
      <c r="I605" s="11"/>
      <c r="J605" s="10"/>
      <c r="L605" s="31" t="str">
        <f aca="false">IF($C605="","",IFERROR(IF(INDEX(campaigns!$BG$2:$BG$51,MATCH($C605,campaigns!$A$2:$A$51,0))="","",INDEX(campaigns!$BG$2:$BG$51,MATCH($C605,campaigns!$A$2:$A$51,0))),""))</f>
        <v/>
      </c>
      <c r="M605" s="30" t="str">
        <f aca="false">IF($C605="","",IF(OR($E605="received"),N($G605),IF(OR($E605="rejected",$E605="delivered",$E605="topped_up"),-N($G605),IF(AND(OR($E605="returned_to_brand",$E605="given_to_roster_office",$E605="released_to_office",$E605="disposed"),IF($F605="","reserve",$F605)="reserve"),-N($G605),IF(AND($E605="correction",IF($F605="","reserve",$F605)="reserve"),N($G605),0)))))</f>
        <v/>
      </c>
      <c r="N605" s="30" t="str">
        <f aca="false">IF($C605="","",IF($E605="rejected",N($G605),IF(AND(OR($E605="returned_to_brand",$E605="given_to_roster_office",$E605="released_to_office",$E605="disposed"),IF($F605="","reserve",$F605)="rejected"),-N($G605),IF(AND($E605="correction",IF($F605="","reserve",$F605)="rejected"),N($G605),0))))</f>
        <v/>
      </c>
      <c r="O605" s="30" t="str">
        <f aca="false">IF($C605="","",IF($E605="collected",N($G605),IF(AND(OR($E605="returned_to_brand",$E605="given_to_roster_office",$E605="released_to_office",$E605="disposed"),IF($F605="","reserve",$F605)="leftover"),-N($G605),IF(AND($E605="correction",IF($F605="","reserve",$F605)="leftover"),N($G605),0))))</f>
        <v/>
      </c>
      <c r="P605" s="30" t="str">
        <f aca="false">IF(OR($E605&lt;&gt;"received",$I605="",$L605=""),"",IF($I605&gt;=$L605+config!$B$19,"Y","N"))</f>
        <v/>
      </c>
      <c r="Q605" s="30" t="str">
        <f aca="false">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30" t="str">
        <f aca="false">IF($C605="","",$C605&amp;"|"&amp;$D605&amp;"|"&amp;$E605)</f>
        <v/>
      </c>
    </row>
    <row r="606" customFormat="false" ht="15" hidden="false" customHeight="false" outlineLevel="0" collapsed="false">
      <c r="A606" s="11"/>
      <c r="B606" s="38"/>
      <c r="E606" s="10"/>
      <c r="I606" s="11"/>
      <c r="J606" s="10"/>
      <c r="L606" s="31" t="str">
        <f aca="false">IF($C606="","",IFERROR(IF(INDEX(campaigns!$BG$2:$BG$51,MATCH($C606,campaigns!$A$2:$A$51,0))="","",INDEX(campaigns!$BG$2:$BG$51,MATCH($C606,campaigns!$A$2:$A$51,0))),""))</f>
        <v/>
      </c>
      <c r="M606" s="30" t="str">
        <f aca="false">IF($C606="","",IF(OR($E606="received"),N($G606),IF(OR($E606="rejected",$E606="delivered",$E606="topped_up"),-N($G606),IF(AND(OR($E606="returned_to_brand",$E606="given_to_roster_office",$E606="released_to_office",$E606="disposed"),IF($F606="","reserve",$F606)="reserve"),-N($G606),IF(AND($E606="correction",IF($F606="","reserve",$F606)="reserve"),N($G606),0)))))</f>
        <v/>
      </c>
      <c r="N606" s="30" t="str">
        <f aca="false">IF($C606="","",IF($E606="rejected",N($G606),IF(AND(OR($E606="returned_to_brand",$E606="given_to_roster_office",$E606="released_to_office",$E606="disposed"),IF($F606="","reserve",$F606)="rejected"),-N($G606),IF(AND($E606="correction",IF($F606="","reserve",$F606)="rejected"),N($G606),0))))</f>
        <v/>
      </c>
      <c r="O606" s="30" t="str">
        <f aca="false">IF($C606="","",IF($E606="collected",N($G606),IF(AND(OR($E606="returned_to_brand",$E606="given_to_roster_office",$E606="released_to_office",$E606="disposed"),IF($F606="","reserve",$F606)="leftover"),-N($G606),IF(AND($E606="correction",IF($F606="","reserve",$F606)="leftover"),N($G606),0))))</f>
        <v/>
      </c>
      <c r="P606" s="30" t="str">
        <f aca="false">IF(OR($E606&lt;&gt;"received",$I606="",$L606=""),"",IF($I606&gt;=$L606+config!$B$19,"Y","N"))</f>
        <v/>
      </c>
      <c r="Q606" s="30" t="str">
        <f aca="false">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30" t="str">
        <f aca="false">IF($C606="","",$C606&amp;"|"&amp;$D606&amp;"|"&amp;$E606)</f>
        <v/>
      </c>
    </row>
    <row r="607" customFormat="false" ht="15" hidden="false" customHeight="false" outlineLevel="0" collapsed="false">
      <c r="A607" s="11"/>
      <c r="B607" s="38"/>
      <c r="E607" s="10"/>
      <c r="I607" s="11"/>
      <c r="J607" s="10"/>
      <c r="L607" s="31" t="str">
        <f aca="false">IF($C607="","",IFERROR(IF(INDEX(campaigns!$BG$2:$BG$51,MATCH($C607,campaigns!$A$2:$A$51,0))="","",INDEX(campaigns!$BG$2:$BG$51,MATCH($C607,campaigns!$A$2:$A$51,0))),""))</f>
        <v/>
      </c>
      <c r="M607" s="30" t="str">
        <f aca="false">IF($C607="","",IF(OR($E607="received"),N($G607),IF(OR($E607="rejected",$E607="delivered",$E607="topped_up"),-N($G607),IF(AND(OR($E607="returned_to_brand",$E607="given_to_roster_office",$E607="released_to_office",$E607="disposed"),IF($F607="","reserve",$F607)="reserve"),-N($G607),IF(AND($E607="correction",IF($F607="","reserve",$F607)="reserve"),N($G607),0)))))</f>
        <v/>
      </c>
      <c r="N607" s="30" t="str">
        <f aca="false">IF($C607="","",IF($E607="rejected",N($G607),IF(AND(OR($E607="returned_to_brand",$E607="given_to_roster_office",$E607="released_to_office",$E607="disposed"),IF($F607="","reserve",$F607)="rejected"),-N($G607),IF(AND($E607="correction",IF($F607="","reserve",$F607)="rejected"),N($G607),0))))</f>
        <v/>
      </c>
      <c r="O607" s="30" t="str">
        <f aca="false">IF($C607="","",IF($E607="collected",N($G607),IF(AND(OR($E607="returned_to_brand",$E607="given_to_roster_office",$E607="released_to_office",$E607="disposed"),IF($F607="","reserve",$F607)="leftover"),-N($G607),IF(AND($E607="correction",IF($F607="","reserve",$F607)="leftover"),N($G607),0))))</f>
        <v/>
      </c>
      <c r="P607" s="30" t="str">
        <f aca="false">IF(OR($E607&lt;&gt;"received",$I607="",$L607=""),"",IF($I607&gt;=$L607+config!$B$19,"Y","N"))</f>
        <v/>
      </c>
      <c r="Q607" s="30" t="str">
        <f aca="false">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30" t="str">
        <f aca="false">IF($C607="","",$C607&amp;"|"&amp;$D607&amp;"|"&amp;$E607)</f>
        <v/>
      </c>
    </row>
    <row r="608" customFormat="false" ht="15" hidden="false" customHeight="false" outlineLevel="0" collapsed="false">
      <c r="A608" s="11"/>
      <c r="B608" s="38"/>
      <c r="E608" s="10"/>
      <c r="I608" s="11"/>
      <c r="J608" s="10"/>
      <c r="L608" s="31" t="str">
        <f aca="false">IF($C608="","",IFERROR(IF(INDEX(campaigns!$BG$2:$BG$51,MATCH($C608,campaigns!$A$2:$A$51,0))="","",INDEX(campaigns!$BG$2:$BG$51,MATCH($C608,campaigns!$A$2:$A$51,0))),""))</f>
        <v/>
      </c>
      <c r="M608" s="30" t="str">
        <f aca="false">IF($C608="","",IF(OR($E608="received"),N($G608),IF(OR($E608="rejected",$E608="delivered",$E608="topped_up"),-N($G608),IF(AND(OR($E608="returned_to_brand",$E608="given_to_roster_office",$E608="released_to_office",$E608="disposed"),IF($F608="","reserve",$F608)="reserve"),-N($G608),IF(AND($E608="correction",IF($F608="","reserve",$F608)="reserve"),N($G608),0)))))</f>
        <v/>
      </c>
      <c r="N608" s="30" t="str">
        <f aca="false">IF($C608="","",IF($E608="rejected",N($G608),IF(AND(OR($E608="returned_to_brand",$E608="given_to_roster_office",$E608="released_to_office",$E608="disposed"),IF($F608="","reserve",$F608)="rejected"),-N($G608),IF(AND($E608="correction",IF($F608="","reserve",$F608)="rejected"),N($G608),0))))</f>
        <v/>
      </c>
      <c r="O608" s="30" t="str">
        <f aca="false">IF($C608="","",IF($E608="collected",N($G608),IF(AND(OR($E608="returned_to_brand",$E608="given_to_roster_office",$E608="released_to_office",$E608="disposed"),IF($F608="","reserve",$F608)="leftover"),-N($G608),IF(AND($E608="correction",IF($F608="","reserve",$F608)="leftover"),N($G608),0))))</f>
        <v/>
      </c>
      <c r="P608" s="30" t="str">
        <f aca="false">IF(OR($E608&lt;&gt;"received",$I608="",$L608=""),"",IF($I608&gt;=$L608+config!$B$19,"Y","N"))</f>
        <v/>
      </c>
      <c r="Q608" s="30" t="str">
        <f aca="false">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30" t="str">
        <f aca="false">IF($C608="","",$C608&amp;"|"&amp;$D608&amp;"|"&amp;$E608)</f>
        <v/>
      </c>
    </row>
    <row r="609" customFormat="false" ht="15" hidden="false" customHeight="false" outlineLevel="0" collapsed="false">
      <c r="A609" s="11"/>
      <c r="B609" s="38"/>
      <c r="E609" s="10"/>
      <c r="I609" s="11"/>
      <c r="J609" s="10"/>
      <c r="L609" s="31" t="str">
        <f aca="false">IF($C609="","",IFERROR(IF(INDEX(campaigns!$BG$2:$BG$51,MATCH($C609,campaigns!$A$2:$A$51,0))="","",INDEX(campaigns!$BG$2:$BG$51,MATCH($C609,campaigns!$A$2:$A$51,0))),""))</f>
        <v/>
      </c>
      <c r="M609" s="30" t="str">
        <f aca="false">IF($C609="","",IF(OR($E609="received"),N($G609),IF(OR($E609="rejected",$E609="delivered",$E609="topped_up"),-N($G609),IF(AND(OR($E609="returned_to_brand",$E609="given_to_roster_office",$E609="released_to_office",$E609="disposed"),IF($F609="","reserve",$F609)="reserve"),-N($G609),IF(AND($E609="correction",IF($F609="","reserve",$F609)="reserve"),N($G609),0)))))</f>
        <v/>
      </c>
      <c r="N609" s="30" t="str">
        <f aca="false">IF($C609="","",IF($E609="rejected",N($G609),IF(AND(OR($E609="returned_to_brand",$E609="given_to_roster_office",$E609="released_to_office",$E609="disposed"),IF($F609="","reserve",$F609)="rejected"),-N($G609),IF(AND($E609="correction",IF($F609="","reserve",$F609)="rejected"),N($G609),0))))</f>
        <v/>
      </c>
      <c r="O609" s="30" t="str">
        <f aca="false">IF($C609="","",IF($E609="collected",N($G609),IF(AND(OR($E609="returned_to_brand",$E609="given_to_roster_office",$E609="released_to_office",$E609="disposed"),IF($F609="","reserve",$F609)="leftover"),-N($G609),IF(AND($E609="correction",IF($F609="","reserve",$F609)="leftover"),N($G609),0))))</f>
        <v/>
      </c>
      <c r="P609" s="30" t="str">
        <f aca="false">IF(OR($E609&lt;&gt;"received",$I609="",$L609=""),"",IF($I609&gt;=$L609+config!$B$19,"Y","N"))</f>
        <v/>
      </c>
      <c r="Q609" s="30" t="str">
        <f aca="false">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30" t="str">
        <f aca="false">IF($C609="","",$C609&amp;"|"&amp;$D609&amp;"|"&amp;$E609)</f>
        <v/>
      </c>
    </row>
    <row r="610" customFormat="false" ht="15" hidden="false" customHeight="false" outlineLevel="0" collapsed="false">
      <c r="A610" s="11"/>
      <c r="B610" s="38"/>
      <c r="E610" s="10"/>
      <c r="I610" s="11"/>
      <c r="J610" s="10"/>
      <c r="L610" s="31" t="str">
        <f aca="false">IF($C610="","",IFERROR(IF(INDEX(campaigns!$BG$2:$BG$51,MATCH($C610,campaigns!$A$2:$A$51,0))="","",INDEX(campaigns!$BG$2:$BG$51,MATCH($C610,campaigns!$A$2:$A$51,0))),""))</f>
        <v/>
      </c>
      <c r="M610" s="30" t="str">
        <f aca="false">IF($C610="","",IF(OR($E610="received"),N($G610),IF(OR($E610="rejected",$E610="delivered",$E610="topped_up"),-N($G610),IF(AND(OR($E610="returned_to_brand",$E610="given_to_roster_office",$E610="released_to_office",$E610="disposed"),IF($F610="","reserve",$F610)="reserve"),-N($G610),IF(AND($E610="correction",IF($F610="","reserve",$F610)="reserve"),N($G610),0)))))</f>
        <v/>
      </c>
      <c r="N610" s="30" t="str">
        <f aca="false">IF($C610="","",IF($E610="rejected",N($G610),IF(AND(OR($E610="returned_to_brand",$E610="given_to_roster_office",$E610="released_to_office",$E610="disposed"),IF($F610="","reserve",$F610)="rejected"),-N($G610),IF(AND($E610="correction",IF($F610="","reserve",$F610)="rejected"),N($G610),0))))</f>
        <v/>
      </c>
      <c r="O610" s="30" t="str">
        <f aca="false">IF($C610="","",IF($E610="collected",N($G610),IF(AND(OR($E610="returned_to_brand",$E610="given_to_roster_office",$E610="released_to_office",$E610="disposed"),IF($F610="","reserve",$F610)="leftover"),-N($G610),IF(AND($E610="correction",IF($F610="","reserve",$F610)="leftover"),N($G610),0))))</f>
        <v/>
      </c>
      <c r="P610" s="30" t="str">
        <f aca="false">IF(OR($E610&lt;&gt;"received",$I610="",$L610=""),"",IF($I610&gt;=$L610+config!$B$19,"Y","N"))</f>
        <v/>
      </c>
      <c r="Q610" s="30" t="str">
        <f aca="false">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30" t="str">
        <f aca="false">IF($C610="","",$C610&amp;"|"&amp;$D610&amp;"|"&amp;$E610)</f>
        <v/>
      </c>
    </row>
    <row r="611" customFormat="false" ht="15" hidden="false" customHeight="false" outlineLevel="0" collapsed="false">
      <c r="A611" s="11"/>
      <c r="B611" s="38"/>
      <c r="E611" s="10"/>
      <c r="I611" s="11"/>
      <c r="J611" s="10"/>
      <c r="L611" s="31" t="str">
        <f aca="false">IF($C611="","",IFERROR(IF(INDEX(campaigns!$BG$2:$BG$51,MATCH($C611,campaigns!$A$2:$A$51,0))="","",INDEX(campaigns!$BG$2:$BG$51,MATCH($C611,campaigns!$A$2:$A$51,0))),""))</f>
        <v/>
      </c>
      <c r="M611" s="30" t="str">
        <f aca="false">IF($C611="","",IF(OR($E611="received"),N($G611),IF(OR($E611="rejected",$E611="delivered",$E611="topped_up"),-N($G611),IF(AND(OR($E611="returned_to_brand",$E611="given_to_roster_office",$E611="released_to_office",$E611="disposed"),IF($F611="","reserve",$F611)="reserve"),-N($G611),IF(AND($E611="correction",IF($F611="","reserve",$F611)="reserve"),N($G611),0)))))</f>
        <v/>
      </c>
      <c r="N611" s="30" t="str">
        <f aca="false">IF($C611="","",IF($E611="rejected",N($G611),IF(AND(OR($E611="returned_to_brand",$E611="given_to_roster_office",$E611="released_to_office",$E611="disposed"),IF($F611="","reserve",$F611)="rejected"),-N($G611),IF(AND($E611="correction",IF($F611="","reserve",$F611)="rejected"),N($G611),0))))</f>
        <v/>
      </c>
      <c r="O611" s="30" t="str">
        <f aca="false">IF($C611="","",IF($E611="collected",N($G611),IF(AND(OR($E611="returned_to_brand",$E611="given_to_roster_office",$E611="released_to_office",$E611="disposed"),IF($F611="","reserve",$F611)="leftover"),-N($G611),IF(AND($E611="correction",IF($F611="","reserve",$F611)="leftover"),N($G611),0))))</f>
        <v/>
      </c>
      <c r="P611" s="30" t="str">
        <f aca="false">IF(OR($E611&lt;&gt;"received",$I611="",$L611=""),"",IF($I611&gt;=$L611+config!$B$19,"Y","N"))</f>
        <v/>
      </c>
      <c r="Q611" s="30" t="str">
        <f aca="false">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30" t="str">
        <f aca="false">IF($C611="","",$C611&amp;"|"&amp;$D611&amp;"|"&amp;$E611)</f>
        <v/>
      </c>
    </row>
    <row r="612" customFormat="false" ht="15" hidden="false" customHeight="false" outlineLevel="0" collapsed="false">
      <c r="A612" s="11"/>
      <c r="B612" s="38"/>
      <c r="E612" s="10"/>
      <c r="I612" s="11"/>
      <c r="J612" s="10"/>
      <c r="L612" s="31" t="str">
        <f aca="false">IF($C612="","",IFERROR(IF(INDEX(campaigns!$BG$2:$BG$51,MATCH($C612,campaigns!$A$2:$A$51,0))="","",INDEX(campaigns!$BG$2:$BG$51,MATCH($C612,campaigns!$A$2:$A$51,0))),""))</f>
        <v/>
      </c>
      <c r="M612" s="30" t="str">
        <f aca="false">IF($C612="","",IF(OR($E612="received"),N($G612),IF(OR($E612="rejected",$E612="delivered",$E612="topped_up"),-N($G612),IF(AND(OR($E612="returned_to_brand",$E612="given_to_roster_office",$E612="released_to_office",$E612="disposed"),IF($F612="","reserve",$F612)="reserve"),-N($G612),IF(AND($E612="correction",IF($F612="","reserve",$F612)="reserve"),N($G612),0)))))</f>
        <v/>
      </c>
      <c r="N612" s="30" t="str">
        <f aca="false">IF($C612="","",IF($E612="rejected",N($G612),IF(AND(OR($E612="returned_to_brand",$E612="given_to_roster_office",$E612="released_to_office",$E612="disposed"),IF($F612="","reserve",$F612)="rejected"),-N($G612),IF(AND($E612="correction",IF($F612="","reserve",$F612)="rejected"),N($G612),0))))</f>
        <v/>
      </c>
      <c r="O612" s="30" t="str">
        <f aca="false">IF($C612="","",IF($E612="collected",N($G612),IF(AND(OR($E612="returned_to_brand",$E612="given_to_roster_office",$E612="released_to_office",$E612="disposed"),IF($F612="","reserve",$F612)="leftover"),-N($G612),IF(AND($E612="correction",IF($F612="","reserve",$F612)="leftover"),N($G612),0))))</f>
        <v/>
      </c>
      <c r="P612" s="30" t="str">
        <f aca="false">IF(OR($E612&lt;&gt;"received",$I612="",$L612=""),"",IF($I612&gt;=$L612+config!$B$19,"Y","N"))</f>
        <v/>
      </c>
      <c r="Q612" s="30" t="str">
        <f aca="false">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30" t="str">
        <f aca="false">IF($C612="","",$C612&amp;"|"&amp;$D612&amp;"|"&amp;$E612)</f>
        <v/>
      </c>
    </row>
    <row r="613" customFormat="false" ht="15" hidden="false" customHeight="false" outlineLevel="0" collapsed="false">
      <c r="A613" s="11"/>
      <c r="B613" s="38"/>
      <c r="E613" s="10"/>
      <c r="I613" s="11"/>
      <c r="J613" s="10"/>
      <c r="L613" s="31" t="str">
        <f aca="false">IF($C613="","",IFERROR(IF(INDEX(campaigns!$BG$2:$BG$51,MATCH($C613,campaigns!$A$2:$A$51,0))="","",INDEX(campaigns!$BG$2:$BG$51,MATCH($C613,campaigns!$A$2:$A$51,0))),""))</f>
        <v/>
      </c>
      <c r="M613" s="30" t="str">
        <f aca="false">IF($C613="","",IF(OR($E613="received"),N($G613),IF(OR($E613="rejected",$E613="delivered",$E613="topped_up"),-N($G613),IF(AND(OR($E613="returned_to_brand",$E613="given_to_roster_office",$E613="released_to_office",$E613="disposed"),IF($F613="","reserve",$F613)="reserve"),-N($G613),IF(AND($E613="correction",IF($F613="","reserve",$F613)="reserve"),N($G613),0)))))</f>
        <v/>
      </c>
      <c r="N613" s="30" t="str">
        <f aca="false">IF($C613="","",IF($E613="rejected",N($G613),IF(AND(OR($E613="returned_to_brand",$E613="given_to_roster_office",$E613="released_to_office",$E613="disposed"),IF($F613="","reserve",$F613)="rejected"),-N($G613),IF(AND($E613="correction",IF($F613="","reserve",$F613)="rejected"),N($G613),0))))</f>
        <v/>
      </c>
      <c r="O613" s="30" t="str">
        <f aca="false">IF($C613="","",IF($E613="collected",N($G613),IF(AND(OR($E613="returned_to_brand",$E613="given_to_roster_office",$E613="released_to_office",$E613="disposed"),IF($F613="","reserve",$F613)="leftover"),-N($G613),IF(AND($E613="correction",IF($F613="","reserve",$F613)="leftover"),N($G613),0))))</f>
        <v/>
      </c>
      <c r="P613" s="30" t="str">
        <f aca="false">IF(OR($E613&lt;&gt;"received",$I613="",$L613=""),"",IF($I613&gt;=$L613+config!$B$19,"Y","N"))</f>
        <v/>
      </c>
      <c r="Q613" s="30" t="str">
        <f aca="false">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30" t="str">
        <f aca="false">IF($C613="","",$C613&amp;"|"&amp;$D613&amp;"|"&amp;$E613)</f>
        <v/>
      </c>
    </row>
    <row r="614" customFormat="false" ht="15" hidden="false" customHeight="false" outlineLevel="0" collapsed="false">
      <c r="A614" s="11"/>
      <c r="B614" s="38"/>
      <c r="E614" s="10"/>
      <c r="I614" s="11"/>
      <c r="J614" s="10"/>
      <c r="L614" s="31" t="str">
        <f aca="false">IF($C614="","",IFERROR(IF(INDEX(campaigns!$BG$2:$BG$51,MATCH($C614,campaigns!$A$2:$A$51,0))="","",INDEX(campaigns!$BG$2:$BG$51,MATCH($C614,campaigns!$A$2:$A$51,0))),""))</f>
        <v/>
      </c>
      <c r="M614" s="30" t="str">
        <f aca="false">IF($C614="","",IF(OR($E614="received"),N($G614),IF(OR($E614="rejected",$E614="delivered",$E614="topped_up"),-N($G614),IF(AND(OR($E614="returned_to_brand",$E614="given_to_roster_office",$E614="released_to_office",$E614="disposed"),IF($F614="","reserve",$F614)="reserve"),-N($G614),IF(AND($E614="correction",IF($F614="","reserve",$F614)="reserve"),N($G614),0)))))</f>
        <v/>
      </c>
      <c r="N614" s="30" t="str">
        <f aca="false">IF($C614="","",IF($E614="rejected",N($G614),IF(AND(OR($E614="returned_to_brand",$E614="given_to_roster_office",$E614="released_to_office",$E614="disposed"),IF($F614="","reserve",$F614)="rejected"),-N($G614),IF(AND($E614="correction",IF($F614="","reserve",$F614)="rejected"),N($G614),0))))</f>
        <v/>
      </c>
      <c r="O614" s="30" t="str">
        <f aca="false">IF($C614="","",IF($E614="collected",N($G614),IF(AND(OR($E614="returned_to_brand",$E614="given_to_roster_office",$E614="released_to_office",$E614="disposed"),IF($F614="","reserve",$F614)="leftover"),-N($G614),IF(AND($E614="correction",IF($F614="","reserve",$F614)="leftover"),N($G614),0))))</f>
        <v/>
      </c>
      <c r="P614" s="30" t="str">
        <f aca="false">IF(OR($E614&lt;&gt;"received",$I614="",$L614=""),"",IF($I614&gt;=$L614+config!$B$19,"Y","N"))</f>
        <v/>
      </c>
      <c r="Q614" s="30" t="str">
        <f aca="false">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30" t="str">
        <f aca="false">IF($C614="","",$C614&amp;"|"&amp;$D614&amp;"|"&amp;$E614)</f>
        <v/>
      </c>
    </row>
    <row r="615" customFormat="false" ht="15" hidden="false" customHeight="false" outlineLevel="0" collapsed="false">
      <c r="A615" s="11"/>
      <c r="B615" s="38"/>
      <c r="E615" s="10"/>
      <c r="I615" s="11"/>
      <c r="J615" s="10"/>
      <c r="L615" s="31" t="str">
        <f aca="false">IF($C615="","",IFERROR(IF(INDEX(campaigns!$BG$2:$BG$51,MATCH($C615,campaigns!$A$2:$A$51,0))="","",INDEX(campaigns!$BG$2:$BG$51,MATCH($C615,campaigns!$A$2:$A$51,0))),""))</f>
        <v/>
      </c>
      <c r="M615" s="30" t="str">
        <f aca="false">IF($C615="","",IF(OR($E615="received"),N($G615),IF(OR($E615="rejected",$E615="delivered",$E615="topped_up"),-N($G615),IF(AND(OR($E615="returned_to_brand",$E615="given_to_roster_office",$E615="released_to_office",$E615="disposed"),IF($F615="","reserve",$F615)="reserve"),-N($G615),IF(AND($E615="correction",IF($F615="","reserve",$F615)="reserve"),N($G615),0)))))</f>
        <v/>
      </c>
      <c r="N615" s="30" t="str">
        <f aca="false">IF($C615="","",IF($E615="rejected",N($G615),IF(AND(OR($E615="returned_to_brand",$E615="given_to_roster_office",$E615="released_to_office",$E615="disposed"),IF($F615="","reserve",$F615)="rejected"),-N($G615),IF(AND($E615="correction",IF($F615="","reserve",$F615)="rejected"),N($G615),0))))</f>
        <v/>
      </c>
      <c r="O615" s="30" t="str">
        <f aca="false">IF($C615="","",IF($E615="collected",N($G615),IF(AND(OR($E615="returned_to_brand",$E615="given_to_roster_office",$E615="released_to_office",$E615="disposed"),IF($F615="","reserve",$F615)="leftover"),-N($G615),IF(AND($E615="correction",IF($F615="","reserve",$F615)="leftover"),N($G615),0))))</f>
        <v/>
      </c>
      <c r="P615" s="30" t="str">
        <f aca="false">IF(OR($E615&lt;&gt;"received",$I615="",$L615=""),"",IF($I615&gt;=$L615+config!$B$19,"Y","N"))</f>
        <v/>
      </c>
      <c r="Q615" s="30" t="str">
        <f aca="false">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30" t="str">
        <f aca="false">IF($C615="","",$C615&amp;"|"&amp;$D615&amp;"|"&amp;$E615)</f>
        <v/>
      </c>
    </row>
    <row r="616" customFormat="false" ht="15" hidden="false" customHeight="false" outlineLevel="0" collapsed="false">
      <c r="A616" s="11"/>
      <c r="B616" s="38"/>
      <c r="E616" s="10"/>
      <c r="I616" s="11"/>
      <c r="J616" s="10"/>
      <c r="L616" s="31" t="str">
        <f aca="false">IF($C616="","",IFERROR(IF(INDEX(campaigns!$BG$2:$BG$51,MATCH($C616,campaigns!$A$2:$A$51,0))="","",INDEX(campaigns!$BG$2:$BG$51,MATCH($C616,campaigns!$A$2:$A$51,0))),""))</f>
        <v/>
      </c>
      <c r="M616" s="30" t="str">
        <f aca="false">IF($C616="","",IF(OR($E616="received"),N($G616),IF(OR($E616="rejected",$E616="delivered",$E616="topped_up"),-N($G616),IF(AND(OR($E616="returned_to_brand",$E616="given_to_roster_office",$E616="released_to_office",$E616="disposed"),IF($F616="","reserve",$F616)="reserve"),-N($G616),IF(AND($E616="correction",IF($F616="","reserve",$F616)="reserve"),N($G616),0)))))</f>
        <v/>
      </c>
      <c r="N616" s="30" t="str">
        <f aca="false">IF($C616="","",IF($E616="rejected",N($G616),IF(AND(OR($E616="returned_to_brand",$E616="given_to_roster_office",$E616="released_to_office",$E616="disposed"),IF($F616="","reserve",$F616)="rejected"),-N($G616),IF(AND($E616="correction",IF($F616="","reserve",$F616)="rejected"),N($G616),0))))</f>
        <v/>
      </c>
      <c r="O616" s="30" t="str">
        <f aca="false">IF($C616="","",IF($E616="collected",N($G616),IF(AND(OR($E616="returned_to_brand",$E616="given_to_roster_office",$E616="released_to_office",$E616="disposed"),IF($F616="","reserve",$F616)="leftover"),-N($G616),IF(AND($E616="correction",IF($F616="","reserve",$F616)="leftover"),N($G616),0))))</f>
        <v/>
      </c>
      <c r="P616" s="30" t="str">
        <f aca="false">IF(OR($E616&lt;&gt;"received",$I616="",$L616=""),"",IF($I616&gt;=$L616+config!$B$19,"Y","N"))</f>
        <v/>
      </c>
      <c r="Q616" s="30" t="str">
        <f aca="false">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30" t="str">
        <f aca="false">IF($C616="","",$C616&amp;"|"&amp;$D616&amp;"|"&amp;$E616)</f>
        <v/>
      </c>
    </row>
    <row r="617" customFormat="false" ht="15" hidden="false" customHeight="false" outlineLevel="0" collapsed="false">
      <c r="A617" s="11"/>
      <c r="B617" s="38"/>
      <c r="E617" s="10"/>
      <c r="I617" s="11"/>
      <c r="J617" s="10"/>
      <c r="L617" s="31" t="str">
        <f aca="false">IF($C617="","",IFERROR(IF(INDEX(campaigns!$BG$2:$BG$51,MATCH($C617,campaigns!$A$2:$A$51,0))="","",INDEX(campaigns!$BG$2:$BG$51,MATCH($C617,campaigns!$A$2:$A$51,0))),""))</f>
        <v/>
      </c>
      <c r="M617" s="30" t="str">
        <f aca="false">IF($C617="","",IF(OR($E617="received"),N($G617),IF(OR($E617="rejected",$E617="delivered",$E617="topped_up"),-N($G617),IF(AND(OR($E617="returned_to_brand",$E617="given_to_roster_office",$E617="released_to_office",$E617="disposed"),IF($F617="","reserve",$F617)="reserve"),-N($G617),IF(AND($E617="correction",IF($F617="","reserve",$F617)="reserve"),N($G617),0)))))</f>
        <v/>
      </c>
      <c r="N617" s="30" t="str">
        <f aca="false">IF($C617="","",IF($E617="rejected",N($G617),IF(AND(OR($E617="returned_to_brand",$E617="given_to_roster_office",$E617="released_to_office",$E617="disposed"),IF($F617="","reserve",$F617)="rejected"),-N($G617),IF(AND($E617="correction",IF($F617="","reserve",$F617)="rejected"),N($G617),0))))</f>
        <v/>
      </c>
      <c r="O617" s="30" t="str">
        <f aca="false">IF($C617="","",IF($E617="collected",N($G617),IF(AND(OR($E617="returned_to_brand",$E617="given_to_roster_office",$E617="released_to_office",$E617="disposed"),IF($F617="","reserve",$F617)="leftover"),-N($G617),IF(AND($E617="correction",IF($F617="","reserve",$F617)="leftover"),N($G617),0))))</f>
        <v/>
      </c>
      <c r="P617" s="30" t="str">
        <f aca="false">IF(OR($E617&lt;&gt;"received",$I617="",$L617=""),"",IF($I617&gt;=$L617+config!$B$19,"Y","N"))</f>
        <v/>
      </c>
      <c r="Q617" s="30" t="str">
        <f aca="false">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30" t="str">
        <f aca="false">IF($C617="","",$C617&amp;"|"&amp;$D617&amp;"|"&amp;$E617)</f>
        <v/>
      </c>
    </row>
    <row r="618" customFormat="false" ht="15" hidden="false" customHeight="false" outlineLevel="0" collapsed="false">
      <c r="A618" s="11"/>
      <c r="B618" s="38"/>
      <c r="E618" s="10"/>
      <c r="I618" s="11"/>
      <c r="J618" s="10"/>
      <c r="L618" s="31" t="str">
        <f aca="false">IF($C618="","",IFERROR(IF(INDEX(campaigns!$BG$2:$BG$51,MATCH($C618,campaigns!$A$2:$A$51,0))="","",INDEX(campaigns!$BG$2:$BG$51,MATCH($C618,campaigns!$A$2:$A$51,0))),""))</f>
        <v/>
      </c>
      <c r="M618" s="30" t="str">
        <f aca="false">IF($C618="","",IF(OR($E618="received"),N($G618),IF(OR($E618="rejected",$E618="delivered",$E618="topped_up"),-N($G618),IF(AND(OR($E618="returned_to_brand",$E618="given_to_roster_office",$E618="released_to_office",$E618="disposed"),IF($F618="","reserve",$F618)="reserve"),-N($G618),IF(AND($E618="correction",IF($F618="","reserve",$F618)="reserve"),N($G618),0)))))</f>
        <v/>
      </c>
      <c r="N618" s="30" t="str">
        <f aca="false">IF($C618="","",IF($E618="rejected",N($G618),IF(AND(OR($E618="returned_to_brand",$E618="given_to_roster_office",$E618="released_to_office",$E618="disposed"),IF($F618="","reserve",$F618)="rejected"),-N($G618),IF(AND($E618="correction",IF($F618="","reserve",$F618)="rejected"),N($G618),0))))</f>
        <v/>
      </c>
      <c r="O618" s="30" t="str">
        <f aca="false">IF($C618="","",IF($E618="collected",N($G618),IF(AND(OR($E618="returned_to_brand",$E618="given_to_roster_office",$E618="released_to_office",$E618="disposed"),IF($F618="","reserve",$F618)="leftover"),-N($G618),IF(AND($E618="correction",IF($F618="","reserve",$F618)="leftover"),N($G618),0))))</f>
        <v/>
      </c>
      <c r="P618" s="30" t="str">
        <f aca="false">IF(OR($E618&lt;&gt;"received",$I618="",$L618=""),"",IF($I618&gt;=$L618+config!$B$19,"Y","N"))</f>
        <v/>
      </c>
      <c r="Q618" s="30" t="str">
        <f aca="false">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30" t="str">
        <f aca="false">IF($C618="","",$C618&amp;"|"&amp;$D618&amp;"|"&amp;$E618)</f>
        <v/>
      </c>
    </row>
    <row r="619" customFormat="false" ht="15" hidden="false" customHeight="false" outlineLevel="0" collapsed="false">
      <c r="A619" s="11"/>
      <c r="B619" s="38"/>
      <c r="E619" s="10"/>
      <c r="I619" s="11"/>
      <c r="J619" s="10"/>
      <c r="L619" s="31" t="str">
        <f aca="false">IF($C619="","",IFERROR(IF(INDEX(campaigns!$BG$2:$BG$51,MATCH($C619,campaigns!$A$2:$A$51,0))="","",INDEX(campaigns!$BG$2:$BG$51,MATCH($C619,campaigns!$A$2:$A$51,0))),""))</f>
        <v/>
      </c>
      <c r="M619" s="30" t="str">
        <f aca="false">IF($C619="","",IF(OR($E619="received"),N($G619),IF(OR($E619="rejected",$E619="delivered",$E619="topped_up"),-N($G619),IF(AND(OR($E619="returned_to_brand",$E619="given_to_roster_office",$E619="released_to_office",$E619="disposed"),IF($F619="","reserve",$F619)="reserve"),-N($G619),IF(AND($E619="correction",IF($F619="","reserve",$F619)="reserve"),N($G619),0)))))</f>
        <v/>
      </c>
      <c r="N619" s="30" t="str">
        <f aca="false">IF($C619="","",IF($E619="rejected",N($G619),IF(AND(OR($E619="returned_to_brand",$E619="given_to_roster_office",$E619="released_to_office",$E619="disposed"),IF($F619="","reserve",$F619)="rejected"),-N($G619),IF(AND($E619="correction",IF($F619="","reserve",$F619)="rejected"),N($G619),0))))</f>
        <v/>
      </c>
      <c r="O619" s="30" t="str">
        <f aca="false">IF($C619="","",IF($E619="collected",N($G619),IF(AND(OR($E619="returned_to_brand",$E619="given_to_roster_office",$E619="released_to_office",$E619="disposed"),IF($F619="","reserve",$F619)="leftover"),-N($G619),IF(AND($E619="correction",IF($F619="","reserve",$F619)="leftover"),N($G619),0))))</f>
        <v/>
      </c>
      <c r="P619" s="30" t="str">
        <f aca="false">IF(OR($E619&lt;&gt;"received",$I619="",$L619=""),"",IF($I619&gt;=$L619+config!$B$19,"Y","N"))</f>
        <v/>
      </c>
      <c r="Q619" s="30" t="str">
        <f aca="false">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30" t="str">
        <f aca="false">IF($C619="","",$C619&amp;"|"&amp;$D619&amp;"|"&amp;$E619)</f>
        <v/>
      </c>
    </row>
    <row r="620" customFormat="false" ht="15" hidden="false" customHeight="false" outlineLevel="0" collapsed="false">
      <c r="A620" s="11"/>
      <c r="B620" s="38"/>
      <c r="E620" s="10"/>
      <c r="I620" s="11"/>
      <c r="J620" s="10"/>
      <c r="L620" s="31" t="str">
        <f aca="false">IF($C620="","",IFERROR(IF(INDEX(campaigns!$BG$2:$BG$51,MATCH($C620,campaigns!$A$2:$A$51,0))="","",INDEX(campaigns!$BG$2:$BG$51,MATCH($C620,campaigns!$A$2:$A$51,0))),""))</f>
        <v/>
      </c>
      <c r="M620" s="30" t="str">
        <f aca="false">IF($C620="","",IF(OR($E620="received"),N($G620),IF(OR($E620="rejected",$E620="delivered",$E620="topped_up"),-N($G620),IF(AND(OR($E620="returned_to_brand",$E620="given_to_roster_office",$E620="released_to_office",$E620="disposed"),IF($F620="","reserve",$F620)="reserve"),-N($G620),IF(AND($E620="correction",IF($F620="","reserve",$F620)="reserve"),N($G620),0)))))</f>
        <v/>
      </c>
      <c r="N620" s="30" t="str">
        <f aca="false">IF($C620="","",IF($E620="rejected",N($G620),IF(AND(OR($E620="returned_to_brand",$E620="given_to_roster_office",$E620="released_to_office",$E620="disposed"),IF($F620="","reserve",$F620)="rejected"),-N($G620),IF(AND($E620="correction",IF($F620="","reserve",$F620)="rejected"),N($G620),0))))</f>
        <v/>
      </c>
      <c r="O620" s="30" t="str">
        <f aca="false">IF($C620="","",IF($E620="collected",N($G620),IF(AND(OR($E620="returned_to_brand",$E620="given_to_roster_office",$E620="released_to_office",$E620="disposed"),IF($F620="","reserve",$F620)="leftover"),-N($G620),IF(AND($E620="correction",IF($F620="","reserve",$F620)="leftover"),N($G620),0))))</f>
        <v/>
      </c>
      <c r="P620" s="30" t="str">
        <f aca="false">IF(OR($E620&lt;&gt;"received",$I620="",$L620=""),"",IF($I620&gt;=$L620+config!$B$19,"Y","N"))</f>
        <v/>
      </c>
      <c r="Q620" s="30" t="str">
        <f aca="false">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30" t="str">
        <f aca="false">IF($C620="","",$C620&amp;"|"&amp;$D620&amp;"|"&amp;$E620)</f>
        <v/>
      </c>
    </row>
    <row r="621" customFormat="false" ht="15" hidden="false" customHeight="false" outlineLevel="0" collapsed="false">
      <c r="A621" s="11"/>
      <c r="B621" s="38"/>
      <c r="E621" s="10"/>
      <c r="I621" s="11"/>
      <c r="J621" s="10"/>
      <c r="L621" s="31" t="str">
        <f aca="false">IF($C621="","",IFERROR(IF(INDEX(campaigns!$BG$2:$BG$51,MATCH($C621,campaigns!$A$2:$A$51,0))="","",INDEX(campaigns!$BG$2:$BG$51,MATCH($C621,campaigns!$A$2:$A$51,0))),""))</f>
        <v/>
      </c>
      <c r="M621" s="30" t="str">
        <f aca="false">IF($C621="","",IF(OR($E621="received"),N($G621),IF(OR($E621="rejected",$E621="delivered",$E621="topped_up"),-N($G621),IF(AND(OR($E621="returned_to_brand",$E621="given_to_roster_office",$E621="released_to_office",$E621="disposed"),IF($F621="","reserve",$F621)="reserve"),-N($G621),IF(AND($E621="correction",IF($F621="","reserve",$F621)="reserve"),N($G621),0)))))</f>
        <v/>
      </c>
      <c r="N621" s="30" t="str">
        <f aca="false">IF($C621="","",IF($E621="rejected",N($G621),IF(AND(OR($E621="returned_to_brand",$E621="given_to_roster_office",$E621="released_to_office",$E621="disposed"),IF($F621="","reserve",$F621)="rejected"),-N($G621),IF(AND($E621="correction",IF($F621="","reserve",$F621)="rejected"),N($G621),0))))</f>
        <v/>
      </c>
      <c r="O621" s="30" t="str">
        <f aca="false">IF($C621="","",IF($E621="collected",N($G621),IF(AND(OR($E621="returned_to_brand",$E621="given_to_roster_office",$E621="released_to_office",$E621="disposed"),IF($F621="","reserve",$F621)="leftover"),-N($G621),IF(AND($E621="correction",IF($F621="","reserve",$F621)="leftover"),N($G621),0))))</f>
        <v/>
      </c>
      <c r="P621" s="30" t="str">
        <f aca="false">IF(OR($E621&lt;&gt;"received",$I621="",$L621=""),"",IF($I621&gt;=$L621+config!$B$19,"Y","N"))</f>
        <v/>
      </c>
      <c r="Q621" s="30" t="str">
        <f aca="false">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30" t="str">
        <f aca="false">IF($C621="","",$C621&amp;"|"&amp;$D621&amp;"|"&amp;$E621)</f>
        <v/>
      </c>
    </row>
    <row r="622" customFormat="false" ht="15" hidden="false" customHeight="false" outlineLevel="0" collapsed="false">
      <c r="A622" s="11"/>
      <c r="B622" s="38"/>
      <c r="E622" s="10"/>
      <c r="I622" s="11"/>
      <c r="J622" s="10"/>
      <c r="L622" s="31" t="str">
        <f aca="false">IF($C622="","",IFERROR(IF(INDEX(campaigns!$BG$2:$BG$51,MATCH($C622,campaigns!$A$2:$A$51,0))="","",INDEX(campaigns!$BG$2:$BG$51,MATCH($C622,campaigns!$A$2:$A$51,0))),""))</f>
        <v/>
      </c>
      <c r="M622" s="30" t="str">
        <f aca="false">IF($C622="","",IF(OR($E622="received"),N($G622),IF(OR($E622="rejected",$E622="delivered",$E622="topped_up"),-N($G622),IF(AND(OR($E622="returned_to_brand",$E622="given_to_roster_office",$E622="released_to_office",$E622="disposed"),IF($F622="","reserve",$F622)="reserve"),-N($G622),IF(AND($E622="correction",IF($F622="","reserve",$F622)="reserve"),N($G622),0)))))</f>
        <v/>
      </c>
      <c r="N622" s="30" t="str">
        <f aca="false">IF($C622="","",IF($E622="rejected",N($G622),IF(AND(OR($E622="returned_to_brand",$E622="given_to_roster_office",$E622="released_to_office",$E622="disposed"),IF($F622="","reserve",$F622)="rejected"),-N($G622),IF(AND($E622="correction",IF($F622="","reserve",$F622)="rejected"),N($G622),0))))</f>
        <v/>
      </c>
      <c r="O622" s="30" t="str">
        <f aca="false">IF($C622="","",IF($E622="collected",N($G622),IF(AND(OR($E622="returned_to_brand",$E622="given_to_roster_office",$E622="released_to_office",$E622="disposed"),IF($F622="","reserve",$F622)="leftover"),-N($G622),IF(AND($E622="correction",IF($F622="","reserve",$F622)="leftover"),N($G622),0))))</f>
        <v/>
      </c>
      <c r="P622" s="30" t="str">
        <f aca="false">IF(OR($E622&lt;&gt;"received",$I622="",$L622=""),"",IF($I622&gt;=$L622+config!$B$19,"Y","N"))</f>
        <v/>
      </c>
      <c r="Q622" s="30" t="str">
        <f aca="false">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30" t="str">
        <f aca="false">IF($C622="","",$C622&amp;"|"&amp;$D622&amp;"|"&amp;$E622)</f>
        <v/>
      </c>
    </row>
    <row r="623" customFormat="false" ht="15" hidden="false" customHeight="false" outlineLevel="0" collapsed="false">
      <c r="A623" s="11"/>
      <c r="B623" s="38"/>
      <c r="E623" s="10"/>
      <c r="I623" s="11"/>
      <c r="J623" s="10"/>
      <c r="L623" s="31" t="str">
        <f aca="false">IF($C623="","",IFERROR(IF(INDEX(campaigns!$BG$2:$BG$51,MATCH($C623,campaigns!$A$2:$A$51,0))="","",INDEX(campaigns!$BG$2:$BG$51,MATCH($C623,campaigns!$A$2:$A$51,0))),""))</f>
        <v/>
      </c>
      <c r="M623" s="30" t="str">
        <f aca="false">IF($C623="","",IF(OR($E623="received"),N($G623),IF(OR($E623="rejected",$E623="delivered",$E623="topped_up"),-N($G623),IF(AND(OR($E623="returned_to_brand",$E623="given_to_roster_office",$E623="released_to_office",$E623="disposed"),IF($F623="","reserve",$F623)="reserve"),-N($G623),IF(AND($E623="correction",IF($F623="","reserve",$F623)="reserve"),N($G623),0)))))</f>
        <v/>
      </c>
      <c r="N623" s="30" t="str">
        <f aca="false">IF($C623="","",IF($E623="rejected",N($G623),IF(AND(OR($E623="returned_to_brand",$E623="given_to_roster_office",$E623="released_to_office",$E623="disposed"),IF($F623="","reserve",$F623)="rejected"),-N($G623),IF(AND($E623="correction",IF($F623="","reserve",$F623)="rejected"),N($G623),0))))</f>
        <v/>
      </c>
      <c r="O623" s="30" t="str">
        <f aca="false">IF($C623="","",IF($E623="collected",N($G623),IF(AND(OR($E623="returned_to_brand",$E623="given_to_roster_office",$E623="released_to_office",$E623="disposed"),IF($F623="","reserve",$F623)="leftover"),-N($G623),IF(AND($E623="correction",IF($F623="","reserve",$F623)="leftover"),N($G623),0))))</f>
        <v/>
      </c>
      <c r="P623" s="30" t="str">
        <f aca="false">IF(OR($E623&lt;&gt;"received",$I623="",$L623=""),"",IF($I623&gt;=$L623+config!$B$19,"Y","N"))</f>
        <v/>
      </c>
      <c r="Q623" s="30" t="str">
        <f aca="false">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30" t="str">
        <f aca="false">IF($C623="","",$C623&amp;"|"&amp;$D623&amp;"|"&amp;$E623)</f>
        <v/>
      </c>
    </row>
    <row r="624" customFormat="false" ht="15" hidden="false" customHeight="false" outlineLevel="0" collapsed="false">
      <c r="A624" s="11"/>
      <c r="B624" s="38"/>
      <c r="E624" s="10"/>
      <c r="I624" s="11"/>
      <c r="J624" s="10"/>
      <c r="L624" s="31" t="str">
        <f aca="false">IF($C624="","",IFERROR(IF(INDEX(campaigns!$BG$2:$BG$51,MATCH($C624,campaigns!$A$2:$A$51,0))="","",INDEX(campaigns!$BG$2:$BG$51,MATCH($C624,campaigns!$A$2:$A$51,0))),""))</f>
        <v/>
      </c>
      <c r="M624" s="30" t="str">
        <f aca="false">IF($C624="","",IF(OR($E624="received"),N($G624),IF(OR($E624="rejected",$E624="delivered",$E624="topped_up"),-N($G624),IF(AND(OR($E624="returned_to_brand",$E624="given_to_roster_office",$E624="released_to_office",$E624="disposed"),IF($F624="","reserve",$F624)="reserve"),-N($G624),IF(AND($E624="correction",IF($F624="","reserve",$F624)="reserve"),N($G624),0)))))</f>
        <v/>
      </c>
      <c r="N624" s="30" t="str">
        <f aca="false">IF($C624="","",IF($E624="rejected",N($G624),IF(AND(OR($E624="returned_to_brand",$E624="given_to_roster_office",$E624="released_to_office",$E624="disposed"),IF($F624="","reserve",$F624)="rejected"),-N($G624),IF(AND($E624="correction",IF($F624="","reserve",$F624)="rejected"),N($G624),0))))</f>
        <v/>
      </c>
      <c r="O624" s="30" t="str">
        <f aca="false">IF($C624="","",IF($E624="collected",N($G624),IF(AND(OR($E624="returned_to_brand",$E624="given_to_roster_office",$E624="released_to_office",$E624="disposed"),IF($F624="","reserve",$F624)="leftover"),-N($G624),IF(AND($E624="correction",IF($F624="","reserve",$F624)="leftover"),N($G624),0))))</f>
        <v/>
      </c>
      <c r="P624" s="30" t="str">
        <f aca="false">IF(OR($E624&lt;&gt;"received",$I624="",$L624=""),"",IF($I624&gt;=$L624+config!$B$19,"Y","N"))</f>
        <v/>
      </c>
      <c r="Q624" s="30" t="str">
        <f aca="false">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30" t="str">
        <f aca="false">IF($C624="","",$C624&amp;"|"&amp;$D624&amp;"|"&amp;$E624)</f>
        <v/>
      </c>
    </row>
    <row r="625" customFormat="false" ht="15" hidden="false" customHeight="false" outlineLevel="0" collapsed="false">
      <c r="A625" s="11"/>
      <c r="B625" s="38"/>
      <c r="E625" s="10"/>
      <c r="I625" s="11"/>
      <c r="J625" s="10"/>
      <c r="L625" s="31" t="str">
        <f aca="false">IF($C625="","",IFERROR(IF(INDEX(campaigns!$BG$2:$BG$51,MATCH($C625,campaigns!$A$2:$A$51,0))="","",INDEX(campaigns!$BG$2:$BG$51,MATCH($C625,campaigns!$A$2:$A$51,0))),""))</f>
        <v/>
      </c>
      <c r="M625" s="30" t="str">
        <f aca="false">IF($C625="","",IF(OR($E625="received"),N($G625),IF(OR($E625="rejected",$E625="delivered",$E625="topped_up"),-N($G625),IF(AND(OR($E625="returned_to_brand",$E625="given_to_roster_office",$E625="released_to_office",$E625="disposed"),IF($F625="","reserve",$F625)="reserve"),-N($G625),IF(AND($E625="correction",IF($F625="","reserve",$F625)="reserve"),N($G625),0)))))</f>
        <v/>
      </c>
      <c r="N625" s="30" t="str">
        <f aca="false">IF($C625="","",IF($E625="rejected",N($G625),IF(AND(OR($E625="returned_to_brand",$E625="given_to_roster_office",$E625="released_to_office",$E625="disposed"),IF($F625="","reserve",$F625)="rejected"),-N($G625),IF(AND($E625="correction",IF($F625="","reserve",$F625)="rejected"),N($G625),0))))</f>
        <v/>
      </c>
      <c r="O625" s="30" t="str">
        <f aca="false">IF($C625="","",IF($E625="collected",N($G625),IF(AND(OR($E625="returned_to_brand",$E625="given_to_roster_office",$E625="released_to_office",$E625="disposed"),IF($F625="","reserve",$F625)="leftover"),-N($G625),IF(AND($E625="correction",IF($F625="","reserve",$F625)="leftover"),N($G625),0))))</f>
        <v/>
      </c>
      <c r="P625" s="30" t="str">
        <f aca="false">IF(OR($E625&lt;&gt;"received",$I625="",$L625=""),"",IF($I625&gt;=$L625+config!$B$19,"Y","N"))</f>
        <v/>
      </c>
      <c r="Q625" s="30" t="str">
        <f aca="false">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30" t="str">
        <f aca="false">IF($C625="","",$C625&amp;"|"&amp;$D625&amp;"|"&amp;$E625)</f>
        <v/>
      </c>
    </row>
    <row r="626" customFormat="false" ht="15" hidden="false" customHeight="false" outlineLevel="0" collapsed="false">
      <c r="A626" s="11"/>
      <c r="B626" s="38"/>
      <c r="E626" s="10"/>
      <c r="I626" s="11"/>
      <c r="J626" s="10"/>
      <c r="L626" s="31" t="str">
        <f aca="false">IF($C626="","",IFERROR(IF(INDEX(campaigns!$BG$2:$BG$51,MATCH($C626,campaigns!$A$2:$A$51,0))="","",INDEX(campaigns!$BG$2:$BG$51,MATCH($C626,campaigns!$A$2:$A$51,0))),""))</f>
        <v/>
      </c>
      <c r="M626" s="30" t="str">
        <f aca="false">IF($C626="","",IF(OR($E626="received"),N($G626),IF(OR($E626="rejected",$E626="delivered",$E626="topped_up"),-N($G626),IF(AND(OR($E626="returned_to_brand",$E626="given_to_roster_office",$E626="released_to_office",$E626="disposed"),IF($F626="","reserve",$F626)="reserve"),-N($G626),IF(AND($E626="correction",IF($F626="","reserve",$F626)="reserve"),N($G626),0)))))</f>
        <v/>
      </c>
      <c r="N626" s="30" t="str">
        <f aca="false">IF($C626="","",IF($E626="rejected",N($G626),IF(AND(OR($E626="returned_to_brand",$E626="given_to_roster_office",$E626="released_to_office",$E626="disposed"),IF($F626="","reserve",$F626)="rejected"),-N($G626),IF(AND($E626="correction",IF($F626="","reserve",$F626)="rejected"),N($G626),0))))</f>
        <v/>
      </c>
      <c r="O626" s="30" t="str">
        <f aca="false">IF($C626="","",IF($E626="collected",N($G626),IF(AND(OR($E626="returned_to_brand",$E626="given_to_roster_office",$E626="released_to_office",$E626="disposed"),IF($F626="","reserve",$F626)="leftover"),-N($G626),IF(AND($E626="correction",IF($F626="","reserve",$F626)="leftover"),N($G626),0))))</f>
        <v/>
      </c>
      <c r="P626" s="30" t="str">
        <f aca="false">IF(OR($E626&lt;&gt;"received",$I626="",$L626=""),"",IF($I626&gt;=$L626+config!$B$19,"Y","N"))</f>
        <v/>
      </c>
      <c r="Q626" s="30" t="str">
        <f aca="false">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30" t="str">
        <f aca="false">IF($C626="","",$C626&amp;"|"&amp;$D626&amp;"|"&amp;$E626)</f>
        <v/>
      </c>
    </row>
    <row r="627" customFormat="false" ht="15" hidden="false" customHeight="false" outlineLevel="0" collapsed="false">
      <c r="A627" s="11"/>
      <c r="B627" s="38"/>
      <c r="E627" s="10"/>
      <c r="I627" s="11"/>
      <c r="J627" s="10"/>
      <c r="L627" s="31" t="str">
        <f aca="false">IF($C627="","",IFERROR(IF(INDEX(campaigns!$BG$2:$BG$51,MATCH($C627,campaigns!$A$2:$A$51,0))="","",INDEX(campaigns!$BG$2:$BG$51,MATCH($C627,campaigns!$A$2:$A$51,0))),""))</f>
        <v/>
      </c>
      <c r="M627" s="30" t="str">
        <f aca="false">IF($C627="","",IF(OR($E627="received"),N($G627),IF(OR($E627="rejected",$E627="delivered",$E627="topped_up"),-N($G627),IF(AND(OR($E627="returned_to_brand",$E627="given_to_roster_office",$E627="released_to_office",$E627="disposed"),IF($F627="","reserve",$F627)="reserve"),-N($G627),IF(AND($E627="correction",IF($F627="","reserve",$F627)="reserve"),N($G627),0)))))</f>
        <v/>
      </c>
      <c r="N627" s="30" t="str">
        <f aca="false">IF($C627="","",IF($E627="rejected",N($G627),IF(AND(OR($E627="returned_to_brand",$E627="given_to_roster_office",$E627="released_to_office",$E627="disposed"),IF($F627="","reserve",$F627)="rejected"),-N($G627),IF(AND($E627="correction",IF($F627="","reserve",$F627)="rejected"),N($G627),0))))</f>
        <v/>
      </c>
      <c r="O627" s="30" t="str">
        <f aca="false">IF($C627="","",IF($E627="collected",N($G627),IF(AND(OR($E627="returned_to_brand",$E627="given_to_roster_office",$E627="released_to_office",$E627="disposed"),IF($F627="","reserve",$F627)="leftover"),-N($G627),IF(AND($E627="correction",IF($F627="","reserve",$F627)="leftover"),N($G627),0))))</f>
        <v/>
      </c>
      <c r="P627" s="30" t="str">
        <f aca="false">IF(OR($E627&lt;&gt;"received",$I627="",$L627=""),"",IF($I627&gt;=$L627+config!$B$19,"Y","N"))</f>
        <v/>
      </c>
      <c r="Q627" s="30" t="str">
        <f aca="false">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30" t="str">
        <f aca="false">IF($C627="","",$C627&amp;"|"&amp;$D627&amp;"|"&amp;$E627)</f>
        <v/>
      </c>
    </row>
    <row r="628" customFormat="false" ht="15" hidden="false" customHeight="false" outlineLevel="0" collapsed="false">
      <c r="A628" s="11"/>
      <c r="B628" s="38"/>
      <c r="E628" s="10"/>
      <c r="I628" s="11"/>
      <c r="J628" s="10"/>
      <c r="L628" s="31" t="str">
        <f aca="false">IF($C628="","",IFERROR(IF(INDEX(campaigns!$BG$2:$BG$51,MATCH($C628,campaigns!$A$2:$A$51,0))="","",INDEX(campaigns!$BG$2:$BG$51,MATCH($C628,campaigns!$A$2:$A$51,0))),""))</f>
        <v/>
      </c>
      <c r="M628" s="30" t="str">
        <f aca="false">IF($C628="","",IF(OR($E628="received"),N($G628),IF(OR($E628="rejected",$E628="delivered",$E628="topped_up"),-N($G628),IF(AND(OR($E628="returned_to_brand",$E628="given_to_roster_office",$E628="released_to_office",$E628="disposed"),IF($F628="","reserve",$F628)="reserve"),-N($G628),IF(AND($E628="correction",IF($F628="","reserve",$F628)="reserve"),N($G628),0)))))</f>
        <v/>
      </c>
      <c r="N628" s="30" t="str">
        <f aca="false">IF($C628="","",IF($E628="rejected",N($G628),IF(AND(OR($E628="returned_to_brand",$E628="given_to_roster_office",$E628="released_to_office",$E628="disposed"),IF($F628="","reserve",$F628)="rejected"),-N($G628),IF(AND($E628="correction",IF($F628="","reserve",$F628)="rejected"),N($G628),0))))</f>
        <v/>
      </c>
      <c r="O628" s="30" t="str">
        <f aca="false">IF($C628="","",IF($E628="collected",N($G628),IF(AND(OR($E628="returned_to_brand",$E628="given_to_roster_office",$E628="released_to_office",$E628="disposed"),IF($F628="","reserve",$F628)="leftover"),-N($G628),IF(AND($E628="correction",IF($F628="","reserve",$F628)="leftover"),N($G628),0))))</f>
        <v/>
      </c>
      <c r="P628" s="30" t="str">
        <f aca="false">IF(OR($E628&lt;&gt;"received",$I628="",$L628=""),"",IF($I628&gt;=$L628+config!$B$19,"Y","N"))</f>
        <v/>
      </c>
      <c r="Q628" s="30" t="str">
        <f aca="false">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30" t="str">
        <f aca="false">IF($C628="","",$C628&amp;"|"&amp;$D628&amp;"|"&amp;$E628)</f>
        <v/>
      </c>
    </row>
    <row r="629" customFormat="false" ht="15" hidden="false" customHeight="false" outlineLevel="0" collapsed="false">
      <c r="A629" s="11"/>
      <c r="B629" s="38"/>
      <c r="E629" s="10"/>
      <c r="I629" s="11"/>
      <c r="J629" s="10"/>
      <c r="L629" s="31" t="str">
        <f aca="false">IF($C629="","",IFERROR(IF(INDEX(campaigns!$BG$2:$BG$51,MATCH($C629,campaigns!$A$2:$A$51,0))="","",INDEX(campaigns!$BG$2:$BG$51,MATCH($C629,campaigns!$A$2:$A$51,0))),""))</f>
        <v/>
      </c>
      <c r="M629" s="30" t="str">
        <f aca="false">IF($C629="","",IF(OR($E629="received"),N($G629),IF(OR($E629="rejected",$E629="delivered",$E629="topped_up"),-N($G629),IF(AND(OR($E629="returned_to_brand",$E629="given_to_roster_office",$E629="released_to_office",$E629="disposed"),IF($F629="","reserve",$F629)="reserve"),-N($G629),IF(AND($E629="correction",IF($F629="","reserve",$F629)="reserve"),N($G629),0)))))</f>
        <v/>
      </c>
      <c r="N629" s="30" t="str">
        <f aca="false">IF($C629="","",IF($E629="rejected",N($G629),IF(AND(OR($E629="returned_to_brand",$E629="given_to_roster_office",$E629="released_to_office",$E629="disposed"),IF($F629="","reserve",$F629)="rejected"),-N($G629),IF(AND($E629="correction",IF($F629="","reserve",$F629)="rejected"),N($G629),0))))</f>
        <v/>
      </c>
      <c r="O629" s="30" t="str">
        <f aca="false">IF($C629="","",IF($E629="collected",N($G629),IF(AND(OR($E629="returned_to_brand",$E629="given_to_roster_office",$E629="released_to_office",$E629="disposed"),IF($F629="","reserve",$F629)="leftover"),-N($G629),IF(AND($E629="correction",IF($F629="","reserve",$F629)="leftover"),N($G629),0))))</f>
        <v/>
      </c>
      <c r="P629" s="30" t="str">
        <f aca="false">IF(OR($E629&lt;&gt;"received",$I629="",$L629=""),"",IF($I629&gt;=$L629+config!$B$19,"Y","N"))</f>
        <v/>
      </c>
      <c r="Q629" s="30" t="str">
        <f aca="false">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30" t="str">
        <f aca="false">IF($C629="","",$C629&amp;"|"&amp;$D629&amp;"|"&amp;$E629)</f>
        <v/>
      </c>
    </row>
    <row r="630" customFormat="false" ht="15" hidden="false" customHeight="false" outlineLevel="0" collapsed="false">
      <c r="A630" s="11"/>
      <c r="B630" s="38"/>
      <c r="E630" s="10"/>
      <c r="I630" s="11"/>
      <c r="J630" s="10"/>
      <c r="L630" s="31" t="str">
        <f aca="false">IF($C630="","",IFERROR(IF(INDEX(campaigns!$BG$2:$BG$51,MATCH($C630,campaigns!$A$2:$A$51,0))="","",INDEX(campaigns!$BG$2:$BG$51,MATCH($C630,campaigns!$A$2:$A$51,0))),""))</f>
        <v/>
      </c>
      <c r="M630" s="30" t="str">
        <f aca="false">IF($C630="","",IF(OR($E630="received"),N($G630),IF(OR($E630="rejected",$E630="delivered",$E630="topped_up"),-N($G630),IF(AND(OR($E630="returned_to_brand",$E630="given_to_roster_office",$E630="released_to_office",$E630="disposed"),IF($F630="","reserve",$F630)="reserve"),-N($G630),IF(AND($E630="correction",IF($F630="","reserve",$F630)="reserve"),N($G630),0)))))</f>
        <v/>
      </c>
      <c r="N630" s="30" t="str">
        <f aca="false">IF($C630="","",IF($E630="rejected",N($G630),IF(AND(OR($E630="returned_to_brand",$E630="given_to_roster_office",$E630="released_to_office",$E630="disposed"),IF($F630="","reserve",$F630)="rejected"),-N($G630),IF(AND($E630="correction",IF($F630="","reserve",$F630)="rejected"),N($G630),0))))</f>
        <v/>
      </c>
      <c r="O630" s="30" t="str">
        <f aca="false">IF($C630="","",IF($E630="collected",N($G630),IF(AND(OR($E630="returned_to_brand",$E630="given_to_roster_office",$E630="released_to_office",$E630="disposed"),IF($F630="","reserve",$F630)="leftover"),-N($G630),IF(AND($E630="correction",IF($F630="","reserve",$F630)="leftover"),N($G630),0))))</f>
        <v/>
      </c>
      <c r="P630" s="30" t="str">
        <f aca="false">IF(OR($E630&lt;&gt;"received",$I630="",$L630=""),"",IF($I630&gt;=$L630+config!$B$19,"Y","N"))</f>
        <v/>
      </c>
      <c r="Q630" s="30" t="str">
        <f aca="false">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30" t="str">
        <f aca="false">IF($C630="","",$C630&amp;"|"&amp;$D630&amp;"|"&amp;$E630)</f>
        <v/>
      </c>
    </row>
    <row r="631" customFormat="false" ht="15" hidden="false" customHeight="false" outlineLevel="0" collapsed="false">
      <c r="A631" s="11"/>
      <c r="B631" s="38"/>
      <c r="E631" s="10"/>
      <c r="I631" s="11"/>
      <c r="J631" s="10"/>
      <c r="L631" s="31" t="str">
        <f aca="false">IF($C631="","",IFERROR(IF(INDEX(campaigns!$BG$2:$BG$51,MATCH($C631,campaigns!$A$2:$A$51,0))="","",INDEX(campaigns!$BG$2:$BG$51,MATCH($C631,campaigns!$A$2:$A$51,0))),""))</f>
        <v/>
      </c>
      <c r="M631" s="30" t="str">
        <f aca="false">IF($C631="","",IF(OR($E631="received"),N($G631),IF(OR($E631="rejected",$E631="delivered",$E631="topped_up"),-N($G631),IF(AND(OR($E631="returned_to_brand",$E631="given_to_roster_office",$E631="released_to_office",$E631="disposed"),IF($F631="","reserve",$F631)="reserve"),-N($G631),IF(AND($E631="correction",IF($F631="","reserve",$F631)="reserve"),N($G631),0)))))</f>
        <v/>
      </c>
      <c r="N631" s="30" t="str">
        <f aca="false">IF($C631="","",IF($E631="rejected",N($G631),IF(AND(OR($E631="returned_to_brand",$E631="given_to_roster_office",$E631="released_to_office",$E631="disposed"),IF($F631="","reserve",$F631)="rejected"),-N($G631),IF(AND($E631="correction",IF($F631="","reserve",$F631)="rejected"),N($G631),0))))</f>
        <v/>
      </c>
      <c r="O631" s="30" t="str">
        <f aca="false">IF($C631="","",IF($E631="collected",N($G631),IF(AND(OR($E631="returned_to_brand",$E631="given_to_roster_office",$E631="released_to_office",$E631="disposed"),IF($F631="","reserve",$F631)="leftover"),-N($G631),IF(AND($E631="correction",IF($F631="","reserve",$F631)="leftover"),N($G631),0))))</f>
        <v/>
      </c>
      <c r="P631" s="30" t="str">
        <f aca="false">IF(OR($E631&lt;&gt;"received",$I631="",$L631=""),"",IF($I631&gt;=$L631+config!$B$19,"Y","N"))</f>
        <v/>
      </c>
      <c r="Q631" s="30" t="str">
        <f aca="false">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30" t="str">
        <f aca="false">IF($C631="","",$C631&amp;"|"&amp;$D631&amp;"|"&amp;$E631)</f>
        <v/>
      </c>
    </row>
    <row r="632" customFormat="false" ht="15" hidden="false" customHeight="false" outlineLevel="0" collapsed="false">
      <c r="A632" s="11"/>
      <c r="B632" s="38"/>
      <c r="E632" s="10"/>
      <c r="I632" s="11"/>
      <c r="J632" s="10"/>
      <c r="L632" s="31" t="str">
        <f aca="false">IF($C632="","",IFERROR(IF(INDEX(campaigns!$BG$2:$BG$51,MATCH($C632,campaigns!$A$2:$A$51,0))="","",INDEX(campaigns!$BG$2:$BG$51,MATCH($C632,campaigns!$A$2:$A$51,0))),""))</f>
        <v/>
      </c>
      <c r="M632" s="30" t="str">
        <f aca="false">IF($C632="","",IF(OR($E632="received"),N($G632),IF(OR($E632="rejected",$E632="delivered",$E632="topped_up"),-N($G632),IF(AND(OR($E632="returned_to_brand",$E632="given_to_roster_office",$E632="released_to_office",$E632="disposed"),IF($F632="","reserve",$F632)="reserve"),-N($G632),IF(AND($E632="correction",IF($F632="","reserve",$F632)="reserve"),N($G632),0)))))</f>
        <v/>
      </c>
      <c r="N632" s="30" t="str">
        <f aca="false">IF($C632="","",IF($E632="rejected",N($G632),IF(AND(OR($E632="returned_to_brand",$E632="given_to_roster_office",$E632="released_to_office",$E632="disposed"),IF($F632="","reserve",$F632)="rejected"),-N($G632),IF(AND($E632="correction",IF($F632="","reserve",$F632)="rejected"),N($G632),0))))</f>
        <v/>
      </c>
      <c r="O632" s="30" t="str">
        <f aca="false">IF($C632="","",IF($E632="collected",N($G632),IF(AND(OR($E632="returned_to_brand",$E632="given_to_roster_office",$E632="released_to_office",$E632="disposed"),IF($F632="","reserve",$F632)="leftover"),-N($G632),IF(AND($E632="correction",IF($F632="","reserve",$F632)="leftover"),N($G632),0))))</f>
        <v/>
      </c>
      <c r="P632" s="30" t="str">
        <f aca="false">IF(OR($E632&lt;&gt;"received",$I632="",$L632=""),"",IF($I632&gt;=$L632+config!$B$19,"Y","N"))</f>
        <v/>
      </c>
      <c r="Q632" s="30" t="str">
        <f aca="false">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30" t="str">
        <f aca="false">IF($C632="","",$C632&amp;"|"&amp;$D632&amp;"|"&amp;$E632)</f>
        <v/>
      </c>
    </row>
    <row r="633" customFormat="false" ht="15" hidden="false" customHeight="false" outlineLevel="0" collapsed="false">
      <c r="A633" s="11"/>
      <c r="B633" s="38"/>
      <c r="E633" s="10"/>
      <c r="I633" s="11"/>
      <c r="J633" s="10"/>
      <c r="L633" s="31" t="str">
        <f aca="false">IF($C633="","",IFERROR(IF(INDEX(campaigns!$BG$2:$BG$51,MATCH($C633,campaigns!$A$2:$A$51,0))="","",INDEX(campaigns!$BG$2:$BG$51,MATCH($C633,campaigns!$A$2:$A$51,0))),""))</f>
        <v/>
      </c>
      <c r="M633" s="30" t="str">
        <f aca="false">IF($C633="","",IF(OR($E633="received"),N($G633),IF(OR($E633="rejected",$E633="delivered",$E633="topped_up"),-N($G633),IF(AND(OR($E633="returned_to_brand",$E633="given_to_roster_office",$E633="released_to_office",$E633="disposed"),IF($F633="","reserve",$F633)="reserve"),-N($G633),IF(AND($E633="correction",IF($F633="","reserve",$F633)="reserve"),N($G633),0)))))</f>
        <v/>
      </c>
      <c r="N633" s="30" t="str">
        <f aca="false">IF($C633="","",IF($E633="rejected",N($G633),IF(AND(OR($E633="returned_to_brand",$E633="given_to_roster_office",$E633="released_to_office",$E633="disposed"),IF($F633="","reserve",$F633)="rejected"),-N($G633),IF(AND($E633="correction",IF($F633="","reserve",$F633)="rejected"),N($G633),0))))</f>
        <v/>
      </c>
      <c r="O633" s="30" t="str">
        <f aca="false">IF($C633="","",IF($E633="collected",N($G633),IF(AND(OR($E633="returned_to_brand",$E633="given_to_roster_office",$E633="released_to_office",$E633="disposed"),IF($F633="","reserve",$F633)="leftover"),-N($G633),IF(AND($E633="correction",IF($F633="","reserve",$F633)="leftover"),N($G633),0))))</f>
        <v/>
      </c>
      <c r="P633" s="30" t="str">
        <f aca="false">IF(OR($E633&lt;&gt;"received",$I633="",$L633=""),"",IF($I633&gt;=$L633+config!$B$19,"Y","N"))</f>
        <v/>
      </c>
      <c r="Q633" s="30" t="str">
        <f aca="false">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30" t="str">
        <f aca="false">IF($C633="","",$C633&amp;"|"&amp;$D633&amp;"|"&amp;$E633)</f>
        <v/>
      </c>
    </row>
    <row r="634" customFormat="false" ht="15" hidden="false" customHeight="false" outlineLevel="0" collapsed="false">
      <c r="A634" s="11"/>
      <c r="B634" s="38"/>
      <c r="E634" s="10"/>
      <c r="I634" s="11"/>
      <c r="J634" s="10"/>
      <c r="L634" s="31" t="str">
        <f aca="false">IF($C634="","",IFERROR(IF(INDEX(campaigns!$BG$2:$BG$51,MATCH($C634,campaigns!$A$2:$A$51,0))="","",INDEX(campaigns!$BG$2:$BG$51,MATCH($C634,campaigns!$A$2:$A$51,0))),""))</f>
        <v/>
      </c>
      <c r="M634" s="30" t="str">
        <f aca="false">IF($C634="","",IF(OR($E634="received"),N($G634),IF(OR($E634="rejected",$E634="delivered",$E634="topped_up"),-N($G634),IF(AND(OR($E634="returned_to_brand",$E634="given_to_roster_office",$E634="released_to_office",$E634="disposed"),IF($F634="","reserve",$F634)="reserve"),-N($G634),IF(AND($E634="correction",IF($F634="","reserve",$F634)="reserve"),N($G634),0)))))</f>
        <v/>
      </c>
      <c r="N634" s="30" t="str">
        <f aca="false">IF($C634="","",IF($E634="rejected",N($G634),IF(AND(OR($E634="returned_to_brand",$E634="given_to_roster_office",$E634="released_to_office",$E634="disposed"),IF($F634="","reserve",$F634)="rejected"),-N($G634),IF(AND($E634="correction",IF($F634="","reserve",$F634)="rejected"),N($G634),0))))</f>
        <v/>
      </c>
      <c r="O634" s="30" t="str">
        <f aca="false">IF($C634="","",IF($E634="collected",N($G634),IF(AND(OR($E634="returned_to_brand",$E634="given_to_roster_office",$E634="released_to_office",$E634="disposed"),IF($F634="","reserve",$F634)="leftover"),-N($G634),IF(AND($E634="correction",IF($F634="","reserve",$F634)="leftover"),N($G634),0))))</f>
        <v/>
      </c>
      <c r="P634" s="30" t="str">
        <f aca="false">IF(OR($E634&lt;&gt;"received",$I634="",$L634=""),"",IF($I634&gt;=$L634+config!$B$19,"Y","N"))</f>
        <v/>
      </c>
      <c r="Q634" s="30" t="str">
        <f aca="false">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30" t="str">
        <f aca="false">IF($C634="","",$C634&amp;"|"&amp;$D634&amp;"|"&amp;$E634)</f>
        <v/>
      </c>
    </row>
    <row r="635" customFormat="false" ht="15" hidden="false" customHeight="false" outlineLevel="0" collapsed="false">
      <c r="A635" s="11"/>
      <c r="B635" s="38"/>
      <c r="E635" s="10"/>
      <c r="I635" s="11"/>
      <c r="J635" s="10"/>
      <c r="L635" s="31" t="str">
        <f aca="false">IF($C635="","",IFERROR(IF(INDEX(campaigns!$BG$2:$BG$51,MATCH($C635,campaigns!$A$2:$A$51,0))="","",INDEX(campaigns!$BG$2:$BG$51,MATCH($C635,campaigns!$A$2:$A$51,0))),""))</f>
        <v/>
      </c>
      <c r="M635" s="30" t="str">
        <f aca="false">IF($C635="","",IF(OR($E635="received"),N($G635),IF(OR($E635="rejected",$E635="delivered",$E635="topped_up"),-N($G635),IF(AND(OR($E635="returned_to_brand",$E635="given_to_roster_office",$E635="released_to_office",$E635="disposed"),IF($F635="","reserve",$F635)="reserve"),-N($G635),IF(AND($E635="correction",IF($F635="","reserve",$F635)="reserve"),N($G635),0)))))</f>
        <v/>
      </c>
      <c r="N635" s="30" t="str">
        <f aca="false">IF($C635="","",IF($E635="rejected",N($G635),IF(AND(OR($E635="returned_to_brand",$E635="given_to_roster_office",$E635="released_to_office",$E635="disposed"),IF($F635="","reserve",$F635)="rejected"),-N($G635),IF(AND($E635="correction",IF($F635="","reserve",$F635)="rejected"),N($G635),0))))</f>
        <v/>
      </c>
      <c r="O635" s="30" t="str">
        <f aca="false">IF($C635="","",IF($E635="collected",N($G635),IF(AND(OR($E635="returned_to_brand",$E635="given_to_roster_office",$E635="released_to_office",$E635="disposed"),IF($F635="","reserve",$F635)="leftover"),-N($G635),IF(AND($E635="correction",IF($F635="","reserve",$F635)="leftover"),N($G635),0))))</f>
        <v/>
      </c>
      <c r="P635" s="30" t="str">
        <f aca="false">IF(OR($E635&lt;&gt;"received",$I635="",$L635=""),"",IF($I635&gt;=$L635+config!$B$19,"Y","N"))</f>
        <v/>
      </c>
      <c r="Q635" s="30" t="str">
        <f aca="false">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30" t="str">
        <f aca="false">IF($C635="","",$C635&amp;"|"&amp;$D635&amp;"|"&amp;$E635)</f>
        <v/>
      </c>
    </row>
    <row r="636" customFormat="false" ht="15" hidden="false" customHeight="false" outlineLevel="0" collapsed="false">
      <c r="A636" s="11"/>
      <c r="B636" s="38"/>
      <c r="E636" s="10"/>
      <c r="I636" s="11"/>
      <c r="J636" s="10"/>
      <c r="L636" s="31" t="str">
        <f aca="false">IF($C636="","",IFERROR(IF(INDEX(campaigns!$BG$2:$BG$51,MATCH($C636,campaigns!$A$2:$A$51,0))="","",INDEX(campaigns!$BG$2:$BG$51,MATCH($C636,campaigns!$A$2:$A$51,0))),""))</f>
        <v/>
      </c>
      <c r="M636" s="30" t="str">
        <f aca="false">IF($C636="","",IF(OR($E636="received"),N($G636),IF(OR($E636="rejected",$E636="delivered",$E636="topped_up"),-N($G636),IF(AND(OR($E636="returned_to_brand",$E636="given_to_roster_office",$E636="released_to_office",$E636="disposed"),IF($F636="","reserve",$F636)="reserve"),-N($G636),IF(AND($E636="correction",IF($F636="","reserve",$F636)="reserve"),N($G636),0)))))</f>
        <v/>
      </c>
      <c r="N636" s="30" t="str">
        <f aca="false">IF($C636="","",IF($E636="rejected",N($G636),IF(AND(OR($E636="returned_to_brand",$E636="given_to_roster_office",$E636="released_to_office",$E636="disposed"),IF($F636="","reserve",$F636)="rejected"),-N($G636),IF(AND($E636="correction",IF($F636="","reserve",$F636)="rejected"),N($G636),0))))</f>
        <v/>
      </c>
      <c r="O636" s="30" t="str">
        <f aca="false">IF($C636="","",IF($E636="collected",N($G636),IF(AND(OR($E636="returned_to_brand",$E636="given_to_roster_office",$E636="released_to_office",$E636="disposed"),IF($F636="","reserve",$F636)="leftover"),-N($G636),IF(AND($E636="correction",IF($F636="","reserve",$F636)="leftover"),N($G636),0))))</f>
        <v/>
      </c>
      <c r="P636" s="30" t="str">
        <f aca="false">IF(OR($E636&lt;&gt;"received",$I636="",$L636=""),"",IF($I636&gt;=$L636+config!$B$19,"Y","N"))</f>
        <v/>
      </c>
      <c r="Q636" s="30" t="str">
        <f aca="false">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30" t="str">
        <f aca="false">IF($C636="","",$C636&amp;"|"&amp;$D636&amp;"|"&amp;$E636)</f>
        <v/>
      </c>
    </row>
    <row r="637" customFormat="false" ht="15" hidden="false" customHeight="false" outlineLevel="0" collapsed="false">
      <c r="A637" s="11"/>
      <c r="B637" s="38"/>
      <c r="E637" s="10"/>
      <c r="I637" s="11"/>
      <c r="J637" s="10"/>
      <c r="L637" s="31" t="str">
        <f aca="false">IF($C637="","",IFERROR(IF(INDEX(campaigns!$BG$2:$BG$51,MATCH($C637,campaigns!$A$2:$A$51,0))="","",INDEX(campaigns!$BG$2:$BG$51,MATCH($C637,campaigns!$A$2:$A$51,0))),""))</f>
        <v/>
      </c>
      <c r="M637" s="30" t="str">
        <f aca="false">IF($C637="","",IF(OR($E637="received"),N($G637),IF(OR($E637="rejected",$E637="delivered",$E637="topped_up"),-N($G637),IF(AND(OR($E637="returned_to_brand",$E637="given_to_roster_office",$E637="released_to_office",$E637="disposed"),IF($F637="","reserve",$F637)="reserve"),-N($G637),IF(AND($E637="correction",IF($F637="","reserve",$F637)="reserve"),N($G637),0)))))</f>
        <v/>
      </c>
      <c r="N637" s="30" t="str">
        <f aca="false">IF($C637="","",IF($E637="rejected",N($G637),IF(AND(OR($E637="returned_to_brand",$E637="given_to_roster_office",$E637="released_to_office",$E637="disposed"),IF($F637="","reserve",$F637)="rejected"),-N($G637),IF(AND($E637="correction",IF($F637="","reserve",$F637)="rejected"),N($G637),0))))</f>
        <v/>
      </c>
      <c r="O637" s="30" t="str">
        <f aca="false">IF($C637="","",IF($E637="collected",N($G637),IF(AND(OR($E637="returned_to_brand",$E637="given_to_roster_office",$E637="released_to_office",$E637="disposed"),IF($F637="","reserve",$F637)="leftover"),-N($G637),IF(AND($E637="correction",IF($F637="","reserve",$F637)="leftover"),N($G637),0))))</f>
        <v/>
      </c>
      <c r="P637" s="30" t="str">
        <f aca="false">IF(OR($E637&lt;&gt;"received",$I637="",$L637=""),"",IF($I637&gt;=$L637+config!$B$19,"Y","N"))</f>
        <v/>
      </c>
      <c r="Q637" s="30" t="str">
        <f aca="false">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30" t="str">
        <f aca="false">IF($C637="","",$C637&amp;"|"&amp;$D637&amp;"|"&amp;$E637)</f>
        <v/>
      </c>
    </row>
    <row r="638" customFormat="false" ht="15" hidden="false" customHeight="false" outlineLevel="0" collapsed="false">
      <c r="A638" s="11"/>
      <c r="B638" s="38"/>
      <c r="E638" s="10"/>
      <c r="I638" s="11"/>
      <c r="J638" s="10"/>
      <c r="L638" s="31" t="str">
        <f aca="false">IF($C638="","",IFERROR(IF(INDEX(campaigns!$BG$2:$BG$51,MATCH($C638,campaigns!$A$2:$A$51,0))="","",INDEX(campaigns!$BG$2:$BG$51,MATCH($C638,campaigns!$A$2:$A$51,0))),""))</f>
        <v/>
      </c>
      <c r="M638" s="30" t="str">
        <f aca="false">IF($C638="","",IF(OR($E638="received"),N($G638),IF(OR($E638="rejected",$E638="delivered",$E638="topped_up"),-N($G638),IF(AND(OR($E638="returned_to_brand",$E638="given_to_roster_office",$E638="released_to_office",$E638="disposed"),IF($F638="","reserve",$F638)="reserve"),-N($G638),IF(AND($E638="correction",IF($F638="","reserve",$F638)="reserve"),N($G638),0)))))</f>
        <v/>
      </c>
      <c r="N638" s="30" t="str">
        <f aca="false">IF($C638="","",IF($E638="rejected",N($G638),IF(AND(OR($E638="returned_to_brand",$E638="given_to_roster_office",$E638="released_to_office",$E638="disposed"),IF($F638="","reserve",$F638)="rejected"),-N($G638),IF(AND($E638="correction",IF($F638="","reserve",$F638)="rejected"),N($G638),0))))</f>
        <v/>
      </c>
      <c r="O638" s="30" t="str">
        <f aca="false">IF($C638="","",IF($E638="collected",N($G638),IF(AND(OR($E638="returned_to_brand",$E638="given_to_roster_office",$E638="released_to_office",$E638="disposed"),IF($F638="","reserve",$F638)="leftover"),-N($G638),IF(AND($E638="correction",IF($F638="","reserve",$F638)="leftover"),N($G638),0))))</f>
        <v/>
      </c>
      <c r="P638" s="30" t="str">
        <f aca="false">IF(OR($E638&lt;&gt;"received",$I638="",$L638=""),"",IF($I638&gt;=$L638+config!$B$19,"Y","N"))</f>
        <v/>
      </c>
      <c r="Q638" s="30" t="str">
        <f aca="false">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30" t="str">
        <f aca="false">IF($C638="","",$C638&amp;"|"&amp;$D638&amp;"|"&amp;$E638)</f>
        <v/>
      </c>
    </row>
    <row r="639" customFormat="false" ht="15" hidden="false" customHeight="false" outlineLevel="0" collapsed="false">
      <c r="A639" s="11"/>
      <c r="B639" s="38"/>
      <c r="E639" s="10"/>
      <c r="I639" s="11"/>
      <c r="J639" s="10"/>
      <c r="L639" s="31" t="str">
        <f aca="false">IF($C639="","",IFERROR(IF(INDEX(campaigns!$BG$2:$BG$51,MATCH($C639,campaigns!$A$2:$A$51,0))="","",INDEX(campaigns!$BG$2:$BG$51,MATCH($C639,campaigns!$A$2:$A$51,0))),""))</f>
        <v/>
      </c>
      <c r="M639" s="30" t="str">
        <f aca="false">IF($C639="","",IF(OR($E639="received"),N($G639),IF(OR($E639="rejected",$E639="delivered",$E639="topped_up"),-N($G639),IF(AND(OR($E639="returned_to_brand",$E639="given_to_roster_office",$E639="released_to_office",$E639="disposed"),IF($F639="","reserve",$F639)="reserve"),-N($G639),IF(AND($E639="correction",IF($F639="","reserve",$F639)="reserve"),N($G639),0)))))</f>
        <v/>
      </c>
      <c r="N639" s="30" t="str">
        <f aca="false">IF($C639="","",IF($E639="rejected",N($G639),IF(AND(OR($E639="returned_to_brand",$E639="given_to_roster_office",$E639="released_to_office",$E639="disposed"),IF($F639="","reserve",$F639)="rejected"),-N($G639),IF(AND($E639="correction",IF($F639="","reserve",$F639)="rejected"),N($G639),0))))</f>
        <v/>
      </c>
      <c r="O639" s="30" t="str">
        <f aca="false">IF($C639="","",IF($E639="collected",N($G639),IF(AND(OR($E639="returned_to_brand",$E639="given_to_roster_office",$E639="released_to_office",$E639="disposed"),IF($F639="","reserve",$F639)="leftover"),-N($G639),IF(AND($E639="correction",IF($F639="","reserve",$F639)="leftover"),N($G639),0))))</f>
        <v/>
      </c>
      <c r="P639" s="30" t="str">
        <f aca="false">IF(OR($E639&lt;&gt;"received",$I639="",$L639=""),"",IF($I639&gt;=$L639+config!$B$19,"Y","N"))</f>
        <v/>
      </c>
      <c r="Q639" s="30" t="str">
        <f aca="false">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30" t="str">
        <f aca="false">IF($C639="","",$C639&amp;"|"&amp;$D639&amp;"|"&amp;$E639)</f>
        <v/>
      </c>
    </row>
    <row r="640" customFormat="false" ht="15" hidden="false" customHeight="false" outlineLevel="0" collapsed="false">
      <c r="A640" s="11"/>
      <c r="B640" s="38"/>
      <c r="E640" s="10"/>
      <c r="I640" s="11"/>
      <c r="J640" s="10"/>
      <c r="L640" s="31" t="str">
        <f aca="false">IF($C640="","",IFERROR(IF(INDEX(campaigns!$BG$2:$BG$51,MATCH($C640,campaigns!$A$2:$A$51,0))="","",INDEX(campaigns!$BG$2:$BG$51,MATCH($C640,campaigns!$A$2:$A$51,0))),""))</f>
        <v/>
      </c>
      <c r="M640" s="30" t="str">
        <f aca="false">IF($C640="","",IF(OR($E640="received"),N($G640),IF(OR($E640="rejected",$E640="delivered",$E640="topped_up"),-N($G640),IF(AND(OR($E640="returned_to_brand",$E640="given_to_roster_office",$E640="released_to_office",$E640="disposed"),IF($F640="","reserve",$F640)="reserve"),-N($G640),IF(AND($E640="correction",IF($F640="","reserve",$F640)="reserve"),N($G640),0)))))</f>
        <v/>
      </c>
      <c r="N640" s="30" t="str">
        <f aca="false">IF($C640="","",IF($E640="rejected",N($G640),IF(AND(OR($E640="returned_to_brand",$E640="given_to_roster_office",$E640="released_to_office",$E640="disposed"),IF($F640="","reserve",$F640)="rejected"),-N($G640),IF(AND($E640="correction",IF($F640="","reserve",$F640)="rejected"),N($G640),0))))</f>
        <v/>
      </c>
      <c r="O640" s="30" t="str">
        <f aca="false">IF($C640="","",IF($E640="collected",N($G640),IF(AND(OR($E640="returned_to_brand",$E640="given_to_roster_office",$E640="released_to_office",$E640="disposed"),IF($F640="","reserve",$F640)="leftover"),-N($G640),IF(AND($E640="correction",IF($F640="","reserve",$F640)="leftover"),N($G640),0))))</f>
        <v/>
      </c>
      <c r="P640" s="30" t="str">
        <f aca="false">IF(OR($E640&lt;&gt;"received",$I640="",$L640=""),"",IF($I640&gt;=$L640+config!$B$19,"Y","N"))</f>
        <v/>
      </c>
      <c r="Q640" s="30" t="str">
        <f aca="false">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30" t="str">
        <f aca="false">IF($C640="","",$C640&amp;"|"&amp;$D640&amp;"|"&amp;$E640)</f>
        <v/>
      </c>
    </row>
    <row r="641" customFormat="false" ht="15" hidden="false" customHeight="false" outlineLevel="0" collapsed="false">
      <c r="A641" s="11"/>
      <c r="B641" s="38"/>
      <c r="E641" s="10"/>
      <c r="I641" s="11"/>
      <c r="J641" s="10"/>
      <c r="L641" s="31" t="str">
        <f aca="false">IF($C641="","",IFERROR(IF(INDEX(campaigns!$BG$2:$BG$51,MATCH($C641,campaigns!$A$2:$A$51,0))="","",INDEX(campaigns!$BG$2:$BG$51,MATCH($C641,campaigns!$A$2:$A$51,0))),""))</f>
        <v/>
      </c>
      <c r="M641" s="30" t="str">
        <f aca="false">IF($C641="","",IF(OR($E641="received"),N($G641),IF(OR($E641="rejected",$E641="delivered",$E641="topped_up"),-N($G641),IF(AND(OR($E641="returned_to_brand",$E641="given_to_roster_office",$E641="released_to_office",$E641="disposed"),IF($F641="","reserve",$F641)="reserve"),-N($G641),IF(AND($E641="correction",IF($F641="","reserve",$F641)="reserve"),N($G641),0)))))</f>
        <v/>
      </c>
      <c r="N641" s="30" t="str">
        <f aca="false">IF($C641="","",IF($E641="rejected",N($G641),IF(AND(OR($E641="returned_to_brand",$E641="given_to_roster_office",$E641="released_to_office",$E641="disposed"),IF($F641="","reserve",$F641)="rejected"),-N($G641),IF(AND($E641="correction",IF($F641="","reserve",$F641)="rejected"),N($G641),0))))</f>
        <v/>
      </c>
      <c r="O641" s="30" t="str">
        <f aca="false">IF($C641="","",IF($E641="collected",N($G641),IF(AND(OR($E641="returned_to_brand",$E641="given_to_roster_office",$E641="released_to_office",$E641="disposed"),IF($F641="","reserve",$F641)="leftover"),-N($G641),IF(AND($E641="correction",IF($F641="","reserve",$F641)="leftover"),N($G641),0))))</f>
        <v/>
      </c>
      <c r="P641" s="30" t="str">
        <f aca="false">IF(OR($E641&lt;&gt;"received",$I641="",$L641=""),"",IF($I641&gt;=$L641+config!$B$19,"Y","N"))</f>
        <v/>
      </c>
      <c r="Q641" s="30" t="str">
        <f aca="false">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30" t="str">
        <f aca="false">IF($C641="","",$C641&amp;"|"&amp;$D641&amp;"|"&amp;$E641)</f>
        <v/>
      </c>
    </row>
    <row r="642" customFormat="false" ht="15" hidden="false" customHeight="false" outlineLevel="0" collapsed="false">
      <c r="A642" s="11"/>
      <c r="B642" s="38"/>
      <c r="E642" s="10"/>
      <c r="I642" s="11"/>
      <c r="J642" s="10"/>
      <c r="L642" s="31" t="str">
        <f aca="false">IF($C642="","",IFERROR(IF(INDEX(campaigns!$BG$2:$BG$51,MATCH($C642,campaigns!$A$2:$A$51,0))="","",INDEX(campaigns!$BG$2:$BG$51,MATCH($C642,campaigns!$A$2:$A$51,0))),""))</f>
        <v/>
      </c>
      <c r="M642" s="30" t="str">
        <f aca="false">IF($C642="","",IF(OR($E642="received"),N($G642),IF(OR($E642="rejected",$E642="delivered",$E642="topped_up"),-N($G642),IF(AND(OR($E642="returned_to_brand",$E642="given_to_roster_office",$E642="released_to_office",$E642="disposed"),IF($F642="","reserve",$F642)="reserve"),-N($G642),IF(AND($E642="correction",IF($F642="","reserve",$F642)="reserve"),N($G642),0)))))</f>
        <v/>
      </c>
      <c r="N642" s="30" t="str">
        <f aca="false">IF($C642="","",IF($E642="rejected",N($G642),IF(AND(OR($E642="returned_to_brand",$E642="given_to_roster_office",$E642="released_to_office",$E642="disposed"),IF($F642="","reserve",$F642)="rejected"),-N($G642),IF(AND($E642="correction",IF($F642="","reserve",$F642)="rejected"),N($G642),0))))</f>
        <v/>
      </c>
      <c r="O642" s="30" t="str">
        <f aca="false">IF($C642="","",IF($E642="collected",N($G642),IF(AND(OR($E642="returned_to_brand",$E642="given_to_roster_office",$E642="released_to_office",$E642="disposed"),IF($F642="","reserve",$F642)="leftover"),-N($G642),IF(AND($E642="correction",IF($F642="","reserve",$F642)="leftover"),N($G642),0))))</f>
        <v/>
      </c>
      <c r="P642" s="30" t="str">
        <f aca="false">IF(OR($E642&lt;&gt;"received",$I642="",$L642=""),"",IF($I642&gt;=$L642+config!$B$19,"Y","N"))</f>
        <v/>
      </c>
      <c r="Q642" s="30" t="str">
        <f aca="false">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30" t="str">
        <f aca="false">IF($C642="","",$C642&amp;"|"&amp;$D642&amp;"|"&amp;$E642)</f>
        <v/>
      </c>
    </row>
    <row r="643" customFormat="false" ht="15" hidden="false" customHeight="false" outlineLevel="0" collapsed="false">
      <c r="A643" s="11"/>
      <c r="B643" s="38"/>
      <c r="E643" s="10"/>
      <c r="I643" s="11"/>
      <c r="J643" s="10"/>
      <c r="L643" s="31" t="str">
        <f aca="false">IF($C643="","",IFERROR(IF(INDEX(campaigns!$BG$2:$BG$51,MATCH($C643,campaigns!$A$2:$A$51,0))="","",INDEX(campaigns!$BG$2:$BG$51,MATCH($C643,campaigns!$A$2:$A$51,0))),""))</f>
        <v/>
      </c>
      <c r="M643" s="30" t="str">
        <f aca="false">IF($C643="","",IF(OR($E643="received"),N($G643),IF(OR($E643="rejected",$E643="delivered",$E643="topped_up"),-N($G643),IF(AND(OR($E643="returned_to_brand",$E643="given_to_roster_office",$E643="released_to_office",$E643="disposed"),IF($F643="","reserve",$F643)="reserve"),-N($G643),IF(AND($E643="correction",IF($F643="","reserve",$F643)="reserve"),N($G643),0)))))</f>
        <v/>
      </c>
      <c r="N643" s="30" t="str">
        <f aca="false">IF($C643="","",IF($E643="rejected",N($G643),IF(AND(OR($E643="returned_to_brand",$E643="given_to_roster_office",$E643="released_to_office",$E643="disposed"),IF($F643="","reserve",$F643)="rejected"),-N($G643),IF(AND($E643="correction",IF($F643="","reserve",$F643)="rejected"),N($G643),0))))</f>
        <v/>
      </c>
      <c r="O643" s="30" t="str">
        <f aca="false">IF($C643="","",IF($E643="collected",N($G643),IF(AND(OR($E643="returned_to_brand",$E643="given_to_roster_office",$E643="released_to_office",$E643="disposed"),IF($F643="","reserve",$F643)="leftover"),-N($G643),IF(AND($E643="correction",IF($F643="","reserve",$F643)="leftover"),N($G643),0))))</f>
        <v/>
      </c>
      <c r="P643" s="30" t="str">
        <f aca="false">IF(OR($E643&lt;&gt;"received",$I643="",$L643=""),"",IF($I643&gt;=$L643+config!$B$19,"Y","N"))</f>
        <v/>
      </c>
      <c r="Q643" s="30" t="str">
        <f aca="false">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30" t="str">
        <f aca="false">IF($C643="","",$C643&amp;"|"&amp;$D643&amp;"|"&amp;$E643)</f>
        <v/>
      </c>
    </row>
    <row r="644" customFormat="false" ht="15" hidden="false" customHeight="false" outlineLevel="0" collapsed="false">
      <c r="A644" s="11"/>
      <c r="B644" s="38"/>
      <c r="E644" s="10"/>
      <c r="I644" s="11"/>
      <c r="J644" s="10"/>
      <c r="L644" s="31" t="str">
        <f aca="false">IF($C644="","",IFERROR(IF(INDEX(campaigns!$BG$2:$BG$51,MATCH($C644,campaigns!$A$2:$A$51,0))="","",INDEX(campaigns!$BG$2:$BG$51,MATCH($C644,campaigns!$A$2:$A$51,0))),""))</f>
        <v/>
      </c>
      <c r="M644" s="30" t="str">
        <f aca="false">IF($C644="","",IF(OR($E644="received"),N($G644),IF(OR($E644="rejected",$E644="delivered",$E644="topped_up"),-N($G644),IF(AND(OR($E644="returned_to_brand",$E644="given_to_roster_office",$E644="released_to_office",$E644="disposed"),IF($F644="","reserve",$F644)="reserve"),-N($G644),IF(AND($E644="correction",IF($F644="","reserve",$F644)="reserve"),N($G644),0)))))</f>
        <v/>
      </c>
      <c r="N644" s="30" t="str">
        <f aca="false">IF($C644="","",IF($E644="rejected",N($G644),IF(AND(OR($E644="returned_to_brand",$E644="given_to_roster_office",$E644="released_to_office",$E644="disposed"),IF($F644="","reserve",$F644)="rejected"),-N($G644),IF(AND($E644="correction",IF($F644="","reserve",$F644)="rejected"),N($G644),0))))</f>
        <v/>
      </c>
      <c r="O644" s="30" t="str">
        <f aca="false">IF($C644="","",IF($E644="collected",N($G644),IF(AND(OR($E644="returned_to_brand",$E644="given_to_roster_office",$E644="released_to_office",$E644="disposed"),IF($F644="","reserve",$F644)="leftover"),-N($G644),IF(AND($E644="correction",IF($F644="","reserve",$F644)="leftover"),N($G644),0))))</f>
        <v/>
      </c>
      <c r="P644" s="30" t="str">
        <f aca="false">IF(OR($E644&lt;&gt;"received",$I644="",$L644=""),"",IF($I644&gt;=$L644+config!$B$19,"Y","N"))</f>
        <v/>
      </c>
      <c r="Q644" s="30" t="str">
        <f aca="false">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30" t="str">
        <f aca="false">IF($C644="","",$C644&amp;"|"&amp;$D644&amp;"|"&amp;$E644)</f>
        <v/>
      </c>
    </row>
    <row r="645" customFormat="false" ht="15" hidden="false" customHeight="false" outlineLevel="0" collapsed="false">
      <c r="A645" s="11"/>
      <c r="B645" s="38"/>
      <c r="E645" s="10"/>
      <c r="I645" s="11"/>
      <c r="J645" s="10"/>
      <c r="L645" s="31" t="str">
        <f aca="false">IF($C645="","",IFERROR(IF(INDEX(campaigns!$BG$2:$BG$51,MATCH($C645,campaigns!$A$2:$A$51,0))="","",INDEX(campaigns!$BG$2:$BG$51,MATCH($C645,campaigns!$A$2:$A$51,0))),""))</f>
        <v/>
      </c>
      <c r="M645" s="30" t="str">
        <f aca="false">IF($C645="","",IF(OR($E645="received"),N($G645),IF(OR($E645="rejected",$E645="delivered",$E645="topped_up"),-N($G645),IF(AND(OR($E645="returned_to_brand",$E645="given_to_roster_office",$E645="released_to_office",$E645="disposed"),IF($F645="","reserve",$F645)="reserve"),-N($G645),IF(AND($E645="correction",IF($F645="","reserve",$F645)="reserve"),N($G645),0)))))</f>
        <v/>
      </c>
      <c r="N645" s="30" t="str">
        <f aca="false">IF($C645="","",IF($E645="rejected",N($G645),IF(AND(OR($E645="returned_to_brand",$E645="given_to_roster_office",$E645="released_to_office",$E645="disposed"),IF($F645="","reserve",$F645)="rejected"),-N($G645),IF(AND($E645="correction",IF($F645="","reserve",$F645)="rejected"),N($G645),0))))</f>
        <v/>
      </c>
      <c r="O645" s="30" t="str">
        <f aca="false">IF($C645="","",IF($E645="collected",N($G645),IF(AND(OR($E645="returned_to_brand",$E645="given_to_roster_office",$E645="released_to_office",$E645="disposed"),IF($F645="","reserve",$F645)="leftover"),-N($G645),IF(AND($E645="correction",IF($F645="","reserve",$F645)="leftover"),N($G645),0))))</f>
        <v/>
      </c>
      <c r="P645" s="30" t="str">
        <f aca="false">IF(OR($E645&lt;&gt;"received",$I645="",$L645=""),"",IF($I645&gt;=$L645+config!$B$19,"Y","N"))</f>
        <v/>
      </c>
      <c r="Q645" s="30" t="str">
        <f aca="false">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30" t="str">
        <f aca="false">IF($C645="","",$C645&amp;"|"&amp;$D645&amp;"|"&amp;$E645)</f>
        <v/>
      </c>
    </row>
    <row r="646" customFormat="false" ht="15" hidden="false" customHeight="false" outlineLevel="0" collapsed="false">
      <c r="A646" s="11"/>
      <c r="B646" s="38"/>
      <c r="E646" s="10"/>
      <c r="I646" s="11"/>
      <c r="J646" s="10"/>
      <c r="L646" s="31" t="str">
        <f aca="false">IF($C646="","",IFERROR(IF(INDEX(campaigns!$BG$2:$BG$51,MATCH($C646,campaigns!$A$2:$A$51,0))="","",INDEX(campaigns!$BG$2:$BG$51,MATCH($C646,campaigns!$A$2:$A$51,0))),""))</f>
        <v/>
      </c>
      <c r="M646" s="30" t="str">
        <f aca="false">IF($C646="","",IF(OR($E646="received"),N($G646),IF(OR($E646="rejected",$E646="delivered",$E646="topped_up"),-N($G646),IF(AND(OR($E646="returned_to_brand",$E646="given_to_roster_office",$E646="released_to_office",$E646="disposed"),IF($F646="","reserve",$F646)="reserve"),-N($G646),IF(AND($E646="correction",IF($F646="","reserve",$F646)="reserve"),N($G646),0)))))</f>
        <v/>
      </c>
      <c r="N646" s="30" t="str">
        <f aca="false">IF($C646="","",IF($E646="rejected",N($G646),IF(AND(OR($E646="returned_to_brand",$E646="given_to_roster_office",$E646="released_to_office",$E646="disposed"),IF($F646="","reserve",$F646)="rejected"),-N($G646),IF(AND($E646="correction",IF($F646="","reserve",$F646)="rejected"),N($G646),0))))</f>
        <v/>
      </c>
      <c r="O646" s="30" t="str">
        <f aca="false">IF($C646="","",IF($E646="collected",N($G646),IF(AND(OR($E646="returned_to_brand",$E646="given_to_roster_office",$E646="released_to_office",$E646="disposed"),IF($F646="","reserve",$F646)="leftover"),-N($G646),IF(AND($E646="correction",IF($F646="","reserve",$F646)="leftover"),N($G646),0))))</f>
        <v/>
      </c>
      <c r="P646" s="30" t="str">
        <f aca="false">IF(OR($E646&lt;&gt;"received",$I646="",$L646=""),"",IF($I646&gt;=$L646+config!$B$19,"Y","N"))</f>
        <v/>
      </c>
      <c r="Q646" s="30" t="str">
        <f aca="false">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30" t="str">
        <f aca="false">IF($C646="","",$C646&amp;"|"&amp;$D646&amp;"|"&amp;$E646)</f>
        <v/>
      </c>
    </row>
    <row r="647" customFormat="false" ht="15" hidden="false" customHeight="false" outlineLevel="0" collapsed="false">
      <c r="A647" s="11"/>
      <c r="B647" s="38"/>
      <c r="E647" s="10"/>
      <c r="I647" s="11"/>
      <c r="J647" s="10"/>
      <c r="L647" s="31" t="str">
        <f aca="false">IF($C647="","",IFERROR(IF(INDEX(campaigns!$BG$2:$BG$51,MATCH($C647,campaigns!$A$2:$A$51,0))="","",INDEX(campaigns!$BG$2:$BG$51,MATCH($C647,campaigns!$A$2:$A$51,0))),""))</f>
        <v/>
      </c>
      <c r="M647" s="30" t="str">
        <f aca="false">IF($C647="","",IF(OR($E647="received"),N($G647),IF(OR($E647="rejected",$E647="delivered",$E647="topped_up"),-N($G647),IF(AND(OR($E647="returned_to_brand",$E647="given_to_roster_office",$E647="released_to_office",$E647="disposed"),IF($F647="","reserve",$F647)="reserve"),-N($G647),IF(AND($E647="correction",IF($F647="","reserve",$F647)="reserve"),N($G647),0)))))</f>
        <v/>
      </c>
      <c r="N647" s="30" t="str">
        <f aca="false">IF($C647="","",IF($E647="rejected",N($G647),IF(AND(OR($E647="returned_to_brand",$E647="given_to_roster_office",$E647="released_to_office",$E647="disposed"),IF($F647="","reserve",$F647)="rejected"),-N($G647),IF(AND($E647="correction",IF($F647="","reserve",$F647)="rejected"),N($G647),0))))</f>
        <v/>
      </c>
      <c r="O647" s="30" t="str">
        <f aca="false">IF($C647="","",IF($E647="collected",N($G647),IF(AND(OR($E647="returned_to_brand",$E647="given_to_roster_office",$E647="released_to_office",$E647="disposed"),IF($F647="","reserve",$F647)="leftover"),-N($G647),IF(AND($E647="correction",IF($F647="","reserve",$F647)="leftover"),N($G647),0))))</f>
        <v/>
      </c>
      <c r="P647" s="30" t="str">
        <f aca="false">IF(OR($E647&lt;&gt;"received",$I647="",$L647=""),"",IF($I647&gt;=$L647+config!$B$19,"Y","N"))</f>
        <v/>
      </c>
      <c r="Q647" s="30" t="str">
        <f aca="false">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30" t="str">
        <f aca="false">IF($C647="","",$C647&amp;"|"&amp;$D647&amp;"|"&amp;$E647)</f>
        <v/>
      </c>
    </row>
    <row r="648" customFormat="false" ht="15" hidden="false" customHeight="false" outlineLevel="0" collapsed="false">
      <c r="A648" s="11"/>
      <c r="B648" s="38"/>
      <c r="E648" s="10"/>
      <c r="I648" s="11"/>
      <c r="J648" s="10"/>
      <c r="L648" s="31" t="str">
        <f aca="false">IF($C648="","",IFERROR(IF(INDEX(campaigns!$BG$2:$BG$51,MATCH($C648,campaigns!$A$2:$A$51,0))="","",INDEX(campaigns!$BG$2:$BG$51,MATCH($C648,campaigns!$A$2:$A$51,0))),""))</f>
        <v/>
      </c>
      <c r="M648" s="30" t="str">
        <f aca="false">IF($C648="","",IF(OR($E648="received"),N($G648),IF(OR($E648="rejected",$E648="delivered",$E648="topped_up"),-N($G648),IF(AND(OR($E648="returned_to_brand",$E648="given_to_roster_office",$E648="released_to_office",$E648="disposed"),IF($F648="","reserve",$F648)="reserve"),-N($G648),IF(AND($E648="correction",IF($F648="","reserve",$F648)="reserve"),N($G648),0)))))</f>
        <v/>
      </c>
      <c r="N648" s="30" t="str">
        <f aca="false">IF($C648="","",IF($E648="rejected",N($G648),IF(AND(OR($E648="returned_to_brand",$E648="given_to_roster_office",$E648="released_to_office",$E648="disposed"),IF($F648="","reserve",$F648)="rejected"),-N($G648),IF(AND($E648="correction",IF($F648="","reserve",$F648)="rejected"),N($G648),0))))</f>
        <v/>
      </c>
      <c r="O648" s="30" t="str">
        <f aca="false">IF($C648="","",IF($E648="collected",N($G648),IF(AND(OR($E648="returned_to_brand",$E648="given_to_roster_office",$E648="released_to_office",$E648="disposed"),IF($F648="","reserve",$F648)="leftover"),-N($G648),IF(AND($E648="correction",IF($F648="","reserve",$F648)="leftover"),N($G648),0))))</f>
        <v/>
      </c>
      <c r="P648" s="30" t="str">
        <f aca="false">IF(OR($E648&lt;&gt;"received",$I648="",$L648=""),"",IF($I648&gt;=$L648+config!$B$19,"Y","N"))</f>
        <v/>
      </c>
      <c r="Q648" s="30" t="str">
        <f aca="false">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30" t="str">
        <f aca="false">IF($C648="","",$C648&amp;"|"&amp;$D648&amp;"|"&amp;$E648)</f>
        <v/>
      </c>
    </row>
    <row r="649" customFormat="false" ht="15" hidden="false" customHeight="false" outlineLevel="0" collapsed="false">
      <c r="A649" s="11"/>
      <c r="B649" s="38"/>
      <c r="E649" s="10"/>
      <c r="I649" s="11"/>
      <c r="J649" s="10"/>
      <c r="L649" s="31" t="str">
        <f aca="false">IF($C649="","",IFERROR(IF(INDEX(campaigns!$BG$2:$BG$51,MATCH($C649,campaigns!$A$2:$A$51,0))="","",INDEX(campaigns!$BG$2:$BG$51,MATCH($C649,campaigns!$A$2:$A$51,0))),""))</f>
        <v/>
      </c>
      <c r="M649" s="30" t="str">
        <f aca="false">IF($C649="","",IF(OR($E649="received"),N($G649),IF(OR($E649="rejected",$E649="delivered",$E649="topped_up"),-N($G649),IF(AND(OR($E649="returned_to_brand",$E649="given_to_roster_office",$E649="released_to_office",$E649="disposed"),IF($F649="","reserve",$F649)="reserve"),-N($G649),IF(AND($E649="correction",IF($F649="","reserve",$F649)="reserve"),N($G649),0)))))</f>
        <v/>
      </c>
      <c r="N649" s="30" t="str">
        <f aca="false">IF($C649="","",IF($E649="rejected",N($G649),IF(AND(OR($E649="returned_to_brand",$E649="given_to_roster_office",$E649="released_to_office",$E649="disposed"),IF($F649="","reserve",$F649)="rejected"),-N($G649),IF(AND($E649="correction",IF($F649="","reserve",$F649)="rejected"),N($G649),0))))</f>
        <v/>
      </c>
      <c r="O649" s="30" t="str">
        <f aca="false">IF($C649="","",IF($E649="collected",N($G649),IF(AND(OR($E649="returned_to_brand",$E649="given_to_roster_office",$E649="released_to_office",$E649="disposed"),IF($F649="","reserve",$F649)="leftover"),-N($G649),IF(AND($E649="correction",IF($F649="","reserve",$F649)="leftover"),N($G649),0))))</f>
        <v/>
      </c>
      <c r="P649" s="30" t="str">
        <f aca="false">IF(OR($E649&lt;&gt;"received",$I649="",$L649=""),"",IF($I649&gt;=$L649+config!$B$19,"Y","N"))</f>
        <v/>
      </c>
      <c r="Q649" s="30" t="str">
        <f aca="false">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30" t="str">
        <f aca="false">IF($C649="","",$C649&amp;"|"&amp;$D649&amp;"|"&amp;$E649)</f>
        <v/>
      </c>
    </row>
    <row r="650" customFormat="false" ht="15" hidden="false" customHeight="false" outlineLevel="0" collapsed="false">
      <c r="A650" s="11"/>
      <c r="B650" s="38"/>
      <c r="E650" s="10"/>
      <c r="I650" s="11"/>
      <c r="J650" s="10"/>
      <c r="L650" s="31" t="str">
        <f aca="false">IF($C650="","",IFERROR(IF(INDEX(campaigns!$BG$2:$BG$51,MATCH($C650,campaigns!$A$2:$A$51,0))="","",INDEX(campaigns!$BG$2:$BG$51,MATCH($C650,campaigns!$A$2:$A$51,0))),""))</f>
        <v/>
      </c>
      <c r="M650" s="30" t="str">
        <f aca="false">IF($C650="","",IF(OR($E650="received"),N($G650),IF(OR($E650="rejected",$E650="delivered",$E650="topped_up"),-N($G650),IF(AND(OR($E650="returned_to_brand",$E650="given_to_roster_office",$E650="released_to_office",$E650="disposed"),IF($F650="","reserve",$F650)="reserve"),-N($G650),IF(AND($E650="correction",IF($F650="","reserve",$F650)="reserve"),N($G650),0)))))</f>
        <v/>
      </c>
      <c r="N650" s="30" t="str">
        <f aca="false">IF($C650="","",IF($E650="rejected",N($G650),IF(AND(OR($E650="returned_to_brand",$E650="given_to_roster_office",$E650="released_to_office",$E650="disposed"),IF($F650="","reserve",$F650)="rejected"),-N($G650),IF(AND($E650="correction",IF($F650="","reserve",$F650)="rejected"),N($G650),0))))</f>
        <v/>
      </c>
      <c r="O650" s="30" t="str">
        <f aca="false">IF($C650="","",IF($E650="collected",N($G650),IF(AND(OR($E650="returned_to_brand",$E650="given_to_roster_office",$E650="released_to_office",$E650="disposed"),IF($F650="","reserve",$F650)="leftover"),-N($G650),IF(AND($E650="correction",IF($F650="","reserve",$F650)="leftover"),N($G650),0))))</f>
        <v/>
      </c>
      <c r="P650" s="30" t="str">
        <f aca="false">IF(OR($E650&lt;&gt;"received",$I650="",$L650=""),"",IF($I650&gt;=$L650+config!$B$19,"Y","N"))</f>
        <v/>
      </c>
      <c r="Q650" s="30" t="str">
        <f aca="false">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30" t="str">
        <f aca="false">IF($C650="","",$C650&amp;"|"&amp;$D650&amp;"|"&amp;$E650)</f>
        <v/>
      </c>
    </row>
    <row r="651" customFormat="false" ht="15" hidden="false" customHeight="false" outlineLevel="0" collapsed="false">
      <c r="A651" s="11"/>
      <c r="B651" s="38"/>
      <c r="E651" s="10"/>
      <c r="I651" s="11"/>
      <c r="J651" s="10"/>
      <c r="L651" s="31" t="str">
        <f aca="false">IF($C651="","",IFERROR(IF(INDEX(campaigns!$BG$2:$BG$51,MATCH($C651,campaigns!$A$2:$A$51,0))="","",INDEX(campaigns!$BG$2:$BG$51,MATCH($C651,campaigns!$A$2:$A$51,0))),""))</f>
        <v/>
      </c>
      <c r="M651" s="30" t="str">
        <f aca="false">IF($C651="","",IF(OR($E651="received"),N($G651),IF(OR($E651="rejected",$E651="delivered",$E651="topped_up"),-N($G651),IF(AND(OR($E651="returned_to_brand",$E651="given_to_roster_office",$E651="released_to_office",$E651="disposed"),IF($F651="","reserve",$F651)="reserve"),-N($G651),IF(AND($E651="correction",IF($F651="","reserve",$F651)="reserve"),N($G651),0)))))</f>
        <v/>
      </c>
      <c r="N651" s="30" t="str">
        <f aca="false">IF($C651="","",IF($E651="rejected",N($G651),IF(AND(OR($E651="returned_to_brand",$E651="given_to_roster_office",$E651="released_to_office",$E651="disposed"),IF($F651="","reserve",$F651)="rejected"),-N($G651),IF(AND($E651="correction",IF($F651="","reserve",$F651)="rejected"),N($G651),0))))</f>
        <v/>
      </c>
      <c r="O651" s="30" t="str">
        <f aca="false">IF($C651="","",IF($E651="collected",N($G651),IF(AND(OR($E651="returned_to_brand",$E651="given_to_roster_office",$E651="released_to_office",$E651="disposed"),IF($F651="","reserve",$F651)="leftover"),-N($G651),IF(AND($E651="correction",IF($F651="","reserve",$F651)="leftover"),N($G651),0))))</f>
        <v/>
      </c>
      <c r="P651" s="30" t="str">
        <f aca="false">IF(OR($E651&lt;&gt;"received",$I651="",$L651=""),"",IF($I651&gt;=$L651+config!$B$19,"Y","N"))</f>
        <v/>
      </c>
      <c r="Q651" s="30" t="str">
        <f aca="false">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30" t="str">
        <f aca="false">IF($C651="","",$C651&amp;"|"&amp;$D651&amp;"|"&amp;$E651)</f>
        <v/>
      </c>
    </row>
    <row r="652" customFormat="false" ht="15" hidden="false" customHeight="false" outlineLevel="0" collapsed="false">
      <c r="A652" s="11"/>
      <c r="B652" s="38"/>
      <c r="E652" s="10"/>
      <c r="I652" s="11"/>
      <c r="J652" s="10"/>
      <c r="L652" s="31" t="str">
        <f aca="false">IF($C652="","",IFERROR(IF(INDEX(campaigns!$BG$2:$BG$51,MATCH($C652,campaigns!$A$2:$A$51,0))="","",INDEX(campaigns!$BG$2:$BG$51,MATCH($C652,campaigns!$A$2:$A$51,0))),""))</f>
        <v/>
      </c>
      <c r="M652" s="30" t="str">
        <f aca="false">IF($C652="","",IF(OR($E652="received"),N($G652),IF(OR($E652="rejected",$E652="delivered",$E652="topped_up"),-N($G652),IF(AND(OR($E652="returned_to_brand",$E652="given_to_roster_office",$E652="released_to_office",$E652="disposed"),IF($F652="","reserve",$F652)="reserve"),-N($G652),IF(AND($E652="correction",IF($F652="","reserve",$F652)="reserve"),N($G652),0)))))</f>
        <v/>
      </c>
      <c r="N652" s="30" t="str">
        <f aca="false">IF($C652="","",IF($E652="rejected",N($G652),IF(AND(OR($E652="returned_to_brand",$E652="given_to_roster_office",$E652="released_to_office",$E652="disposed"),IF($F652="","reserve",$F652)="rejected"),-N($G652),IF(AND($E652="correction",IF($F652="","reserve",$F652)="rejected"),N($G652),0))))</f>
        <v/>
      </c>
      <c r="O652" s="30" t="str">
        <f aca="false">IF($C652="","",IF($E652="collected",N($G652),IF(AND(OR($E652="returned_to_brand",$E652="given_to_roster_office",$E652="released_to_office",$E652="disposed"),IF($F652="","reserve",$F652)="leftover"),-N($G652),IF(AND($E652="correction",IF($F652="","reserve",$F652)="leftover"),N($G652),0))))</f>
        <v/>
      </c>
      <c r="P652" s="30" t="str">
        <f aca="false">IF(OR($E652&lt;&gt;"received",$I652="",$L652=""),"",IF($I652&gt;=$L652+config!$B$19,"Y","N"))</f>
        <v/>
      </c>
      <c r="Q652" s="30" t="str">
        <f aca="false">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30" t="str">
        <f aca="false">IF($C652="","",$C652&amp;"|"&amp;$D652&amp;"|"&amp;$E652)</f>
        <v/>
      </c>
    </row>
    <row r="653" customFormat="false" ht="15" hidden="false" customHeight="false" outlineLevel="0" collapsed="false">
      <c r="A653" s="11"/>
      <c r="B653" s="38"/>
      <c r="E653" s="10"/>
      <c r="I653" s="11"/>
      <c r="J653" s="10"/>
      <c r="L653" s="31" t="str">
        <f aca="false">IF($C653="","",IFERROR(IF(INDEX(campaigns!$BG$2:$BG$51,MATCH($C653,campaigns!$A$2:$A$51,0))="","",INDEX(campaigns!$BG$2:$BG$51,MATCH($C653,campaigns!$A$2:$A$51,0))),""))</f>
        <v/>
      </c>
      <c r="M653" s="30" t="str">
        <f aca="false">IF($C653="","",IF(OR($E653="received"),N($G653),IF(OR($E653="rejected",$E653="delivered",$E653="topped_up"),-N($G653),IF(AND(OR($E653="returned_to_brand",$E653="given_to_roster_office",$E653="released_to_office",$E653="disposed"),IF($F653="","reserve",$F653)="reserve"),-N($G653),IF(AND($E653="correction",IF($F653="","reserve",$F653)="reserve"),N($G653),0)))))</f>
        <v/>
      </c>
      <c r="N653" s="30" t="str">
        <f aca="false">IF($C653="","",IF($E653="rejected",N($G653),IF(AND(OR($E653="returned_to_brand",$E653="given_to_roster_office",$E653="released_to_office",$E653="disposed"),IF($F653="","reserve",$F653)="rejected"),-N($G653),IF(AND($E653="correction",IF($F653="","reserve",$F653)="rejected"),N($G653),0))))</f>
        <v/>
      </c>
      <c r="O653" s="30" t="str">
        <f aca="false">IF($C653="","",IF($E653="collected",N($G653),IF(AND(OR($E653="returned_to_brand",$E653="given_to_roster_office",$E653="released_to_office",$E653="disposed"),IF($F653="","reserve",$F653)="leftover"),-N($G653),IF(AND($E653="correction",IF($F653="","reserve",$F653)="leftover"),N($G653),0))))</f>
        <v/>
      </c>
      <c r="P653" s="30" t="str">
        <f aca="false">IF(OR($E653&lt;&gt;"received",$I653="",$L653=""),"",IF($I653&gt;=$L653+config!$B$19,"Y","N"))</f>
        <v/>
      </c>
      <c r="Q653" s="30" t="str">
        <f aca="false">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30" t="str">
        <f aca="false">IF($C653="","",$C653&amp;"|"&amp;$D653&amp;"|"&amp;$E653)</f>
        <v/>
      </c>
    </row>
    <row r="654" customFormat="false" ht="15" hidden="false" customHeight="false" outlineLevel="0" collapsed="false">
      <c r="A654" s="11"/>
      <c r="B654" s="38"/>
      <c r="E654" s="10"/>
      <c r="I654" s="11"/>
      <c r="J654" s="10"/>
      <c r="L654" s="31" t="str">
        <f aca="false">IF($C654="","",IFERROR(IF(INDEX(campaigns!$BG$2:$BG$51,MATCH($C654,campaigns!$A$2:$A$51,0))="","",INDEX(campaigns!$BG$2:$BG$51,MATCH($C654,campaigns!$A$2:$A$51,0))),""))</f>
        <v/>
      </c>
      <c r="M654" s="30" t="str">
        <f aca="false">IF($C654="","",IF(OR($E654="received"),N($G654),IF(OR($E654="rejected",$E654="delivered",$E654="topped_up"),-N($G654),IF(AND(OR($E654="returned_to_brand",$E654="given_to_roster_office",$E654="released_to_office",$E654="disposed"),IF($F654="","reserve",$F654)="reserve"),-N($G654),IF(AND($E654="correction",IF($F654="","reserve",$F654)="reserve"),N($G654),0)))))</f>
        <v/>
      </c>
      <c r="N654" s="30" t="str">
        <f aca="false">IF($C654="","",IF($E654="rejected",N($G654),IF(AND(OR($E654="returned_to_brand",$E654="given_to_roster_office",$E654="released_to_office",$E654="disposed"),IF($F654="","reserve",$F654)="rejected"),-N($G654),IF(AND($E654="correction",IF($F654="","reserve",$F654)="rejected"),N($G654),0))))</f>
        <v/>
      </c>
      <c r="O654" s="30" t="str">
        <f aca="false">IF($C654="","",IF($E654="collected",N($G654),IF(AND(OR($E654="returned_to_brand",$E654="given_to_roster_office",$E654="released_to_office",$E654="disposed"),IF($F654="","reserve",$F654)="leftover"),-N($G654),IF(AND($E654="correction",IF($F654="","reserve",$F654)="leftover"),N($G654),0))))</f>
        <v/>
      </c>
      <c r="P654" s="30" t="str">
        <f aca="false">IF(OR($E654&lt;&gt;"received",$I654="",$L654=""),"",IF($I654&gt;=$L654+config!$B$19,"Y","N"))</f>
        <v/>
      </c>
      <c r="Q654" s="30" t="str">
        <f aca="false">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30" t="str">
        <f aca="false">IF($C654="","",$C654&amp;"|"&amp;$D654&amp;"|"&amp;$E654)</f>
        <v/>
      </c>
    </row>
    <row r="655" customFormat="false" ht="15" hidden="false" customHeight="false" outlineLevel="0" collapsed="false">
      <c r="A655" s="11"/>
      <c r="B655" s="38"/>
      <c r="E655" s="10"/>
      <c r="I655" s="11"/>
      <c r="J655" s="10"/>
      <c r="L655" s="31" t="str">
        <f aca="false">IF($C655="","",IFERROR(IF(INDEX(campaigns!$BG$2:$BG$51,MATCH($C655,campaigns!$A$2:$A$51,0))="","",INDEX(campaigns!$BG$2:$BG$51,MATCH($C655,campaigns!$A$2:$A$51,0))),""))</f>
        <v/>
      </c>
      <c r="M655" s="30" t="str">
        <f aca="false">IF($C655="","",IF(OR($E655="received"),N($G655),IF(OR($E655="rejected",$E655="delivered",$E655="topped_up"),-N($G655),IF(AND(OR($E655="returned_to_brand",$E655="given_to_roster_office",$E655="released_to_office",$E655="disposed"),IF($F655="","reserve",$F655)="reserve"),-N($G655),IF(AND($E655="correction",IF($F655="","reserve",$F655)="reserve"),N($G655),0)))))</f>
        <v/>
      </c>
      <c r="N655" s="30" t="str">
        <f aca="false">IF($C655="","",IF($E655="rejected",N($G655),IF(AND(OR($E655="returned_to_brand",$E655="given_to_roster_office",$E655="released_to_office",$E655="disposed"),IF($F655="","reserve",$F655)="rejected"),-N($G655),IF(AND($E655="correction",IF($F655="","reserve",$F655)="rejected"),N($G655),0))))</f>
        <v/>
      </c>
      <c r="O655" s="30" t="str">
        <f aca="false">IF($C655="","",IF($E655="collected",N($G655),IF(AND(OR($E655="returned_to_brand",$E655="given_to_roster_office",$E655="released_to_office",$E655="disposed"),IF($F655="","reserve",$F655)="leftover"),-N($G655),IF(AND($E655="correction",IF($F655="","reserve",$F655)="leftover"),N($G655),0))))</f>
        <v/>
      </c>
      <c r="P655" s="30" t="str">
        <f aca="false">IF(OR($E655&lt;&gt;"received",$I655="",$L655=""),"",IF($I655&gt;=$L655+config!$B$19,"Y","N"))</f>
        <v/>
      </c>
      <c r="Q655" s="30" t="str">
        <f aca="false">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30" t="str">
        <f aca="false">IF($C655="","",$C655&amp;"|"&amp;$D655&amp;"|"&amp;$E655)</f>
        <v/>
      </c>
    </row>
    <row r="656" customFormat="false" ht="15" hidden="false" customHeight="false" outlineLevel="0" collapsed="false">
      <c r="A656" s="11"/>
      <c r="B656" s="38"/>
      <c r="E656" s="10"/>
      <c r="I656" s="11"/>
      <c r="J656" s="10"/>
      <c r="L656" s="31" t="str">
        <f aca="false">IF($C656="","",IFERROR(IF(INDEX(campaigns!$BG$2:$BG$51,MATCH($C656,campaigns!$A$2:$A$51,0))="","",INDEX(campaigns!$BG$2:$BG$51,MATCH($C656,campaigns!$A$2:$A$51,0))),""))</f>
        <v/>
      </c>
      <c r="M656" s="30" t="str">
        <f aca="false">IF($C656="","",IF(OR($E656="received"),N($G656),IF(OR($E656="rejected",$E656="delivered",$E656="topped_up"),-N($G656),IF(AND(OR($E656="returned_to_brand",$E656="given_to_roster_office",$E656="released_to_office",$E656="disposed"),IF($F656="","reserve",$F656)="reserve"),-N($G656),IF(AND($E656="correction",IF($F656="","reserve",$F656)="reserve"),N($G656),0)))))</f>
        <v/>
      </c>
      <c r="N656" s="30" t="str">
        <f aca="false">IF($C656="","",IF($E656="rejected",N($G656),IF(AND(OR($E656="returned_to_brand",$E656="given_to_roster_office",$E656="released_to_office",$E656="disposed"),IF($F656="","reserve",$F656)="rejected"),-N($G656),IF(AND($E656="correction",IF($F656="","reserve",$F656)="rejected"),N($G656),0))))</f>
        <v/>
      </c>
      <c r="O656" s="30" t="str">
        <f aca="false">IF($C656="","",IF($E656="collected",N($G656),IF(AND(OR($E656="returned_to_brand",$E656="given_to_roster_office",$E656="released_to_office",$E656="disposed"),IF($F656="","reserve",$F656)="leftover"),-N($G656),IF(AND($E656="correction",IF($F656="","reserve",$F656)="leftover"),N($G656),0))))</f>
        <v/>
      </c>
      <c r="P656" s="30" t="str">
        <f aca="false">IF(OR($E656&lt;&gt;"received",$I656="",$L656=""),"",IF($I656&gt;=$L656+config!$B$19,"Y","N"))</f>
        <v/>
      </c>
      <c r="Q656" s="30" t="str">
        <f aca="false">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30" t="str">
        <f aca="false">IF($C656="","",$C656&amp;"|"&amp;$D656&amp;"|"&amp;$E656)</f>
        <v/>
      </c>
    </row>
    <row r="657" customFormat="false" ht="15" hidden="false" customHeight="false" outlineLevel="0" collapsed="false">
      <c r="A657" s="11"/>
      <c r="B657" s="38"/>
      <c r="E657" s="10"/>
      <c r="I657" s="11"/>
      <c r="J657" s="10"/>
      <c r="L657" s="31" t="str">
        <f aca="false">IF($C657="","",IFERROR(IF(INDEX(campaigns!$BG$2:$BG$51,MATCH($C657,campaigns!$A$2:$A$51,0))="","",INDEX(campaigns!$BG$2:$BG$51,MATCH($C657,campaigns!$A$2:$A$51,0))),""))</f>
        <v/>
      </c>
      <c r="M657" s="30" t="str">
        <f aca="false">IF($C657="","",IF(OR($E657="received"),N($G657),IF(OR($E657="rejected",$E657="delivered",$E657="topped_up"),-N($G657),IF(AND(OR($E657="returned_to_brand",$E657="given_to_roster_office",$E657="released_to_office",$E657="disposed"),IF($F657="","reserve",$F657)="reserve"),-N($G657),IF(AND($E657="correction",IF($F657="","reserve",$F657)="reserve"),N($G657),0)))))</f>
        <v/>
      </c>
      <c r="N657" s="30" t="str">
        <f aca="false">IF($C657="","",IF($E657="rejected",N($G657),IF(AND(OR($E657="returned_to_brand",$E657="given_to_roster_office",$E657="released_to_office",$E657="disposed"),IF($F657="","reserve",$F657)="rejected"),-N($G657),IF(AND($E657="correction",IF($F657="","reserve",$F657)="rejected"),N($G657),0))))</f>
        <v/>
      </c>
      <c r="O657" s="30" t="str">
        <f aca="false">IF($C657="","",IF($E657="collected",N($G657),IF(AND(OR($E657="returned_to_brand",$E657="given_to_roster_office",$E657="released_to_office",$E657="disposed"),IF($F657="","reserve",$F657)="leftover"),-N($G657),IF(AND($E657="correction",IF($F657="","reserve",$F657)="leftover"),N($G657),0))))</f>
        <v/>
      </c>
      <c r="P657" s="30" t="str">
        <f aca="false">IF(OR($E657&lt;&gt;"received",$I657="",$L657=""),"",IF($I657&gt;=$L657+config!$B$19,"Y","N"))</f>
        <v/>
      </c>
      <c r="Q657" s="30" t="str">
        <f aca="false">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30" t="str">
        <f aca="false">IF($C657="","",$C657&amp;"|"&amp;$D657&amp;"|"&amp;$E657)</f>
        <v/>
      </c>
    </row>
    <row r="658" customFormat="false" ht="15" hidden="false" customHeight="false" outlineLevel="0" collapsed="false">
      <c r="A658" s="11"/>
      <c r="B658" s="38"/>
      <c r="E658" s="10"/>
      <c r="I658" s="11"/>
      <c r="J658" s="10"/>
      <c r="L658" s="31" t="str">
        <f aca="false">IF($C658="","",IFERROR(IF(INDEX(campaigns!$BG$2:$BG$51,MATCH($C658,campaigns!$A$2:$A$51,0))="","",INDEX(campaigns!$BG$2:$BG$51,MATCH($C658,campaigns!$A$2:$A$51,0))),""))</f>
        <v/>
      </c>
      <c r="M658" s="30" t="str">
        <f aca="false">IF($C658="","",IF(OR($E658="received"),N($G658),IF(OR($E658="rejected",$E658="delivered",$E658="topped_up"),-N($G658),IF(AND(OR($E658="returned_to_brand",$E658="given_to_roster_office",$E658="released_to_office",$E658="disposed"),IF($F658="","reserve",$F658)="reserve"),-N($G658),IF(AND($E658="correction",IF($F658="","reserve",$F658)="reserve"),N($G658),0)))))</f>
        <v/>
      </c>
      <c r="N658" s="30" t="str">
        <f aca="false">IF($C658="","",IF($E658="rejected",N($G658),IF(AND(OR($E658="returned_to_brand",$E658="given_to_roster_office",$E658="released_to_office",$E658="disposed"),IF($F658="","reserve",$F658)="rejected"),-N($G658),IF(AND($E658="correction",IF($F658="","reserve",$F658)="rejected"),N($G658),0))))</f>
        <v/>
      </c>
      <c r="O658" s="30" t="str">
        <f aca="false">IF($C658="","",IF($E658="collected",N($G658),IF(AND(OR($E658="returned_to_brand",$E658="given_to_roster_office",$E658="released_to_office",$E658="disposed"),IF($F658="","reserve",$F658)="leftover"),-N($G658),IF(AND($E658="correction",IF($F658="","reserve",$F658)="leftover"),N($G658),0))))</f>
        <v/>
      </c>
      <c r="P658" s="30" t="str">
        <f aca="false">IF(OR($E658&lt;&gt;"received",$I658="",$L658=""),"",IF($I658&gt;=$L658+config!$B$19,"Y","N"))</f>
        <v/>
      </c>
      <c r="Q658" s="30" t="str">
        <f aca="false">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30" t="str">
        <f aca="false">IF($C658="","",$C658&amp;"|"&amp;$D658&amp;"|"&amp;$E658)</f>
        <v/>
      </c>
    </row>
    <row r="659" customFormat="false" ht="15" hidden="false" customHeight="false" outlineLevel="0" collapsed="false">
      <c r="A659" s="11"/>
      <c r="B659" s="38"/>
      <c r="E659" s="10"/>
      <c r="I659" s="11"/>
      <c r="J659" s="10"/>
      <c r="L659" s="31" t="str">
        <f aca="false">IF($C659="","",IFERROR(IF(INDEX(campaigns!$BG$2:$BG$51,MATCH($C659,campaigns!$A$2:$A$51,0))="","",INDEX(campaigns!$BG$2:$BG$51,MATCH($C659,campaigns!$A$2:$A$51,0))),""))</f>
        <v/>
      </c>
      <c r="M659" s="30" t="str">
        <f aca="false">IF($C659="","",IF(OR($E659="received"),N($G659),IF(OR($E659="rejected",$E659="delivered",$E659="topped_up"),-N($G659),IF(AND(OR($E659="returned_to_brand",$E659="given_to_roster_office",$E659="released_to_office",$E659="disposed"),IF($F659="","reserve",$F659)="reserve"),-N($G659),IF(AND($E659="correction",IF($F659="","reserve",$F659)="reserve"),N($G659),0)))))</f>
        <v/>
      </c>
      <c r="N659" s="30" t="str">
        <f aca="false">IF($C659="","",IF($E659="rejected",N($G659),IF(AND(OR($E659="returned_to_brand",$E659="given_to_roster_office",$E659="released_to_office",$E659="disposed"),IF($F659="","reserve",$F659)="rejected"),-N($G659),IF(AND($E659="correction",IF($F659="","reserve",$F659)="rejected"),N($G659),0))))</f>
        <v/>
      </c>
      <c r="O659" s="30" t="str">
        <f aca="false">IF($C659="","",IF($E659="collected",N($G659),IF(AND(OR($E659="returned_to_brand",$E659="given_to_roster_office",$E659="released_to_office",$E659="disposed"),IF($F659="","reserve",$F659)="leftover"),-N($G659),IF(AND($E659="correction",IF($F659="","reserve",$F659)="leftover"),N($G659),0))))</f>
        <v/>
      </c>
      <c r="P659" s="30" t="str">
        <f aca="false">IF(OR($E659&lt;&gt;"received",$I659="",$L659=""),"",IF($I659&gt;=$L659+config!$B$19,"Y","N"))</f>
        <v/>
      </c>
      <c r="Q659" s="30" t="str">
        <f aca="false">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30" t="str">
        <f aca="false">IF($C659="","",$C659&amp;"|"&amp;$D659&amp;"|"&amp;$E659)</f>
        <v/>
      </c>
    </row>
    <row r="660" customFormat="false" ht="15" hidden="false" customHeight="false" outlineLevel="0" collapsed="false">
      <c r="A660" s="11"/>
      <c r="B660" s="38"/>
      <c r="E660" s="10"/>
      <c r="I660" s="11"/>
      <c r="J660" s="10"/>
      <c r="L660" s="31" t="str">
        <f aca="false">IF($C660="","",IFERROR(IF(INDEX(campaigns!$BG$2:$BG$51,MATCH($C660,campaigns!$A$2:$A$51,0))="","",INDEX(campaigns!$BG$2:$BG$51,MATCH($C660,campaigns!$A$2:$A$51,0))),""))</f>
        <v/>
      </c>
      <c r="M660" s="30" t="str">
        <f aca="false">IF($C660="","",IF(OR($E660="received"),N($G660),IF(OR($E660="rejected",$E660="delivered",$E660="topped_up"),-N($G660),IF(AND(OR($E660="returned_to_brand",$E660="given_to_roster_office",$E660="released_to_office",$E660="disposed"),IF($F660="","reserve",$F660)="reserve"),-N($G660),IF(AND($E660="correction",IF($F660="","reserve",$F660)="reserve"),N($G660),0)))))</f>
        <v/>
      </c>
      <c r="N660" s="30" t="str">
        <f aca="false">IF($C660="","",IF($E660="rejected",N($G660),IF(AND(OR($E660="returned_to_brand",$E660="given_to_roster_office",$E660="released_to_office",$E660="disposed"),IF($F660="","reserve",$F660)="rejected"),-N($G660),IF(AND($E660="correction",IF($F660="","reserve",$F660)="rejected"),N($G660),0))))</f>
        <v/>
      </c>
      <c r="O660" s="30" t="str">
        <f aca="false">IF($C660="","",IF($E660="collected",N($G660),IF(AND(OR($E660="returned_to_brand",$E660="given_to_roster_office",$E660="released_to_office",$E660="disposed"),IF($F660="","reserve",$F660)="leftover"),-N($G660),IF(AND($E660="correction",IF($F660="","reserve",$F660)="leftover"),N($G660),0))))</f>
        <v/>
      </c>
      <c r="P660" s="30" t="str">
        <f aca="false">IF(OR($E660&lt;&gt;"received",$I660="",$L660=""),"",IF($I660&gt;=$L660+config!$B$19,"Y","N"))</f>
        <v/>
      </c>
      <c r="Q660" s="30" t="str">
        <f aca="false">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30" t="str">
        <f aca="false">IF($C660="","",$C660&amp;"|"&amp;$D660&amp;"|"&amp;$E660)</f>
        <v/>
      </c>
    </row>
    <row r="661" customFormat="false" ht="15" hidden="false" customHeight="false" outlineLevel="0" collapsed="false">
      <c r="A661" s="11"/>
      <c r="B661" s="38"/>
      <c r="E661" s="10"/>
      <c r="I661" s="11"/>
      <c r="J661" s="10"/>
      <c r="L661" s="31" t="str">
        <f aca="false">IF($C661="","",IFERROR(IF(INDEX(campaigns!$BG$2:$BG$51,MATCH($C661,campaigns!$A$2:$A$51,0))="","",INDEX(campaigns!$BG$2:$BG$51,MATCH($C661,campaigns!$A$2:$A$51,0))),""))</f>
        <v/>
      </c>
      <c r="M661" s="30" t="str">
        <f aca="false">IF($C661="","",IF(OR($E661="received"),N($G661),IF(OR($E661="rejected",$E661="delivered",$E661="topped_up"),-N($G661),IF(AND(OR($E661="returned_to_brand",$E661="given_to_roster_office",$E661="released_to_office",$E661="disposed"),IF($F661="","reserve",$F661)="reserve"),-N($G661),IF(AND($E661="correction",IF($F661="","reserve",$F661)="reserve"),N($G661),0)))))</f>
        <v/>
      </c>
      <c r="N661" s="30" t="str">
        <f aca="false">IF($C661="","",IF($E661="rejected",N($G661),IF(AND(OR($E661="returned_to_brand",$E661="given_to_roster_office",$E661="released_to_office",$E661="disposed"),IF($F661="","reserve",$F661)="rejected"),-N($G661),IF(AND($E661="correction",IF($F661="","reserve",$F661)="rejected"),N($G661),0))))</f>
        <v/>
      </c>
      <c r="O661" s="30" t="str">
        <f aca="false">IF($C661="","",IF($E661="collected",N($G661),IF(AND(OR($E661="returned_to_brand",$E661="given_to_roster_office",$E661="released_to_office",$E661="disposed"),IF($F661="","reserve",$F661)="leftover"),-N($G661),IF(AND($E661="correction",IF($F661="","reserve",$F661)="leftover"),N($G661),0))))</f>
        <v/>
      </c>
      <c r="P661" s="30" t="str">
        <f aca="false">IF(OR($E661&lt;&gt;"received",$I661="",$L661=""),"",IF($I661&gt;=$L661+config!$B$19,"Y","N"))</f>
        <v/>
      </c>
      <c r="Q661" s="30" t="str">
        <f aca="false">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30" t="str">
        <f aca="false">IF($C661="","",$C661&amp;"|"&amp;$D661&amp;"|"&amp;$E661)</f>
        <v/>
      </c>
    </row>
    <row r="662" customFormat="false" ht="15" hidden="false" customHeight="false" outlineLevel="0" collapsed="false">
      <c r="A662" s="11"/>
      <c r="B662" s="38"/>
      <c r="E662" s="10"/>
      <c r="I662" s="11"/>
      <c r="J662" s="10"/>
      <c r="L662" s="31" t="str">
        <f aca="false">IF($C662="","",IFERROR(IF(INDEX(campaigns!$BG$2:$BG$51,MATCH($C662,campaigns!$A$2:$A$51,0))="","",INDEX(campaigns!$BG$2:$BG$51,MATCH($C662,campaigns!$A$2:$A$51,0))),""))</f>
        <v/>
      </c>
      <c r="M662" s="30" t="str">
        <f aca="false">IF($C662="","",IF(OR($E662="received"),N($G662),IF(OR($E662="rejected",$E662="delivered",$E662="topped_up"),-N($G662),IF(AND(OR($E662="returned_to_brand",$E662="given_to_roster_office",$E662="released_to_office",$E662="disposed"),IF($F662="","reserve",$F662)="reserve"),-N($G662),IF(AND($E662="correction",IF($F662="","reserve",$F662)="reserve"),N($G662),0)))))</f>
        <v/>
      </c>
      <c r="N662" s="30" t="str">
        <f aca="false">IF($C662="","",IF($E662="rejected",N($G662),IF(AND(OR($E662="returned_to_brand",$E662="given_to_roster_office",$E662="released_to_office",$E662="disposed"),IF($F662="","reserve",$F662)="rejected"),-N($G662),IF(AND($E662="correction",IF($F662="","reserve",$F662)="rejected"),N($G662),0))))</f>
        <v/>
      </c>
      <c r="O662" s="30" t="str">
        <f aca="false">IF($C662="","",IF($E662="collected",N($G662),IF(AND(OR($E662="returned_to_brand",$E662="given_to_roster_office",$E662="released_to_office",$E662="disposed"),IF($F662="","reserve",$F662)="leftover"),-N($G662),IF(AND($E662="correction",IF($F662="","reserve",$F662)="leftover"),N($G662),0))))</f>
        <v/>
      </c>
      <c r="P662" s="30" t="str">
        <f aca="false">IF(OR($E662&lt;&gt;"received",$I662="",$L662=""),"",IF($I662&gt;=$L662+config!$B$19,"Y","N"))</f>
        <v/>
      </c>
      <c r="Q662" s="30" t="str">
        <f aca="false">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30" t="str">
        <f aca="false">IF($C662="","",$C662&amp;"|"&amp;$D662&amp;"|"&amp;$E662)</f>
        <v/>
      </c>
    </row>
    <row r="663" customFormat="false" ht="15" hidden="false" customHeight="false" outlineLevel="0" collapsed="false">
      <c r="A663" s="11"/>
      <c r="B663" s="38"/>
      <c r="E663" s="10"/>
      <c r="I663" s="11"/>
      <c r="J663" s="10"/>
      <c r="L663" s="31" t="str">
        <f aca="false">IF($C663="","",IFERROR(IF(INDEX(campaigns!$BG$2:$BG$51,MATCH($C663,campaigns!$A$2:$A$51,0))="","",INDEX(campaigns!$BG$2:$BG$51,MATCH($C663,campaigns!$A$2:$A$51,0))),""))</f>
        <v/>
      </c>
      <c r="M663" s="30" t="str">
        <f aca="false">IF($C663="","",IF(OR($E663="received"),N($G663),IF(OR($E663="rejected",$E663="delivered",$E663="topped_up"),-N($G663),IF(AND(OR($E663="returned_to_brand",$E663="given_to_roster_office",$E663="released_to_office",$E663="disposed"),IF($F663="","reserve",$F663)="reserve"),-N($G663),IF(AND($E663="correction",IF($F663="","reserve",$F663)="reserve"),N($G663),0)))))</f>
        <v/>
      </c>
      <c r="N663" s="30" t="str">
        <f aca="false">IF($C663="","",IF($E663="rejected",N($G663),IF(AND(OR($E663="returned_to_brand",$E663="given_to_roster_office",$E663="released_to_office",$E663="disposed"),IF($F663="","reserve",$F663)="rejected"),-N($G663),IF(AND($E663="correction",IF($F663="","reserve",$F663)="rejected"),N($G663),0))))</f>
        <v/>
      </c>
      <c r="O663" s="30" t="str">
        <f aca="false">IF($C663="","",IF($E663="collected",N($G663),IF(AND(OR($E663="returned_to_brand",$E663="given_to_roster_office",$E663="released_to_office",$E663="disposed"),IF($F663="","reserve",$F663)="leftover"),-N($G663),IF(AND($E663="correction",IF($F663="","reserve",$F663)="leftover"),N($G663),0))))</f>
        <v/>
      </c>
      <c r="P663" s="30" t="str">
        <f aca="false">IF(OR($E663&lt;&gt;"received",$I663="",$L663=""),"",IF($I663&gt;=$L663+config!$B$19,"Y","N"))</f>
        <v/>
      </c>
      <c r="Q663" s="30" t="str">
        <f aca="false">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30" t="str">
        <f aca="false">IF($C663="","",$C663&amp;"|"&amp;$D663&amp;"|"&amp;$E663)</f>
        <v/>
      </c>
    </row>
    <row r="664" customFormat="false" ht="15" hidden="false" customHeight="false" outlineLevel="0" collapsed="false">
      <c r="A664" s="11"/>
      <c r="B664" s="38"/>
      <c r="E664" s="10"/>
      <c r="I664" s="11"/>
      <c r="J664" s="10"/>
      <c r="L664" s="31" t="str">
        <f aca="false">IF($C664="","",IFERROR(IF(INDEX(campaigns!$BG$2:$BG$51,MATCH($C664,campaigns!$A$2:$A$51,0))="","",INDEX(campaigns!$BG$2:$BG$51,MATCH($C664,campaigns!$A$2:$A$51,0))),""))</f>
        <v/>
      </c>
      <c r="M664" s="30" t="str">
        <f aca="false">IF($C664="","",IF(OR($E664="received"),N($G664),IF(OR($E664="rejected",$E664="delivered",$E664="topped_up"),-N($G664),IF(AND(OR($E664="returned_to_brand",$E664="given_to_roster_office",$E664="released_to_office",$E664="disposed"),IF($F664="","reserve",$F664)="reserve"),-N($G664),IF(AND($E664="correction",IF($F664="","reserve",$F664)="reserve"),N($G664),0)))))</f>
        <v/>
      </c>
      <c r="N664" s="30" t="str">
        <f aca="false">IF($C664="","",IF($E664="rejected",N($G664),IF(AND(OR($E664="returned_to_brand",$E664="given_to_roster_office",$E664="released_to_office",$E664="disposed"),IF($F664="","reserve",$F664)="rejected"),-N($G664),IF(AND($E664="correction",IF($F664="","reserve",$F664)="rejected"),N($G664),0))))</f>
        <v/>
      </c>
      <c r="O664" s="30" t="str">
        <f aca="false">IF($C664="","",IF($E664="collected",N($G664),IF(AND(OR($E664="returned_to_brand",$E664="given_to_roster_office",$E664="released_to_office",$E664="disposed"),IF($F664="","reserve",$F664)="leftover"),-N($G664),IF(AND($E664="correction",IF($F664="","reserve",$F664)="leftover"),N($G664),0))))</f>
        <v/>
      </c>
      <c r="P664" s="30" t="str">
        <f aca="false">IF(OR($E664&lt;&gt;"received",$I664="",$L664=""),"",IF($I664&gt;=$L664+config!$B$19,"Y","N"))</f>
        <v/>
      </c>
      <c r="Q664" s="30" t="str">
        <f aca="false">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30" t="str">
        <f aca="false">IF($C664="","",$C664&amp;"|"&amp;$D664&amp;"|"&amp;$E664)</f>
        <v/>
      </c>
    </row>
    <row r="665" customFormat="false" ht="15" hidden="false" customHeight="false" outlineLevel="0" collapsed="false">
      <c r="A665" s="11"/>
      <c r="B665" s="38"/>
      <c r="E665" s="10"/>
      <c r="I665" s="11"/>
      <c r="J665" s="10"/>
      <c r="L665" s="31" t="str">
        <f aca="false">IF($C665="","",IFERROR(IF(INDEX(campaigns!$BG$2:$BG$51,MATCH($C665,campaigns!$A$2:$A$51,0))="","",INDEX(campaigns!$BG$2:$BG$51,MATCH($C665,campaigns!$A$2:$A$51,0))),""))</f>
        <v/>
      </c>
      <c r="M665" s="30" t="str">
        <f aca="false">IF($C665="","",IF(OR($E665="received"),N($G665),IF(OR($E665="rejected",$E665="delivered",$E665="topped_up"),-N($G665),IF(AND(OR($E665="returned_to_brand",$E665="given_to_roster_office",$E665="released_to_office",$E665="disposed"),IF($F665="","reserve",$F665)="reserve"),-N($G665),IF(AND($E665="correction",IF($F665="","reserve",$F665)="reserve"),N($G665),0)))))</f>
        <v/>
      </c>
      <c r="N665" s="30" t="str">
        <f aca="false">IF($C665="","",IF($E665="rejected",N($G665),IF(AND(OR($E665="returned_to_brand",$E665="given_to_roster_office",$E665="released_to_office",$E665="disposed"),IF($F665="","reserve",$F665)="rejected"),-N($G665),IF(AND($E665="correction",IF($F665="","reserve",$F665)="rejected"),N($G665),0))))</f>
        <v/>
      </c>
      <c r="O665" s="30" t="str">
        <f aca="false">IF($C665="","",IF($E665="collected",N($G665),IF(AND(OR($E665="returned_to_brand",$E665="given_to_roster_office",$E665="released_to_office",$E665="disposed"),IF($F665="","reserve",$F665)="leftover"),-N($G665),IF(AND($E665="correction",IF($F665="","reserve",$F665)="leftover"),N($G665),0))))</f>
        <v/>
      </c>
      <c r="P665" s="30" t="str">
        <f aca="false">IF(OR($E665&lt;&gt;"received",$I665="",$L665=""),"",IF($I665&gt;=$L665+config!$B$19,"Y","N"))</f>
        <v/>
      </c>
      <c r="Q665" s="30" t="str">
        <f aca="false">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30" t="str">
        <f aca="false">IF($C665="","",$C665&amp;"|"&amp;$D665&amp;"|"&amp;$E665)</f>
        <v/>
      </c>
    </row>
    <row r="666" customFormat="false" ht="15" hidden="false" customHeight="false" outlineLevel="0" collapsed="false">
      <c r="A666" s="11"/>
      <c r="B666" s="38"/>
      <c r="E666" s="10"/>
      <c r="I666" s="11"/>
      <c r="J666" s="10"/>
      <c r="L666" s="31" t="str">
        <f aca="false">IF($C666="","",IFERROR(IF(INDEX(campaigns!$BG$2:$BG$51,MATCH($C666,campaigns!$A$2:$A$51,0))="","",INDEX(campaigns!$BG$2:$BG$51,MATCH($C666,campaigns!$A$2:$A$51,0))),""))</f>
        <v/>
      </c>
      <c r="M666" s="30" t="str">
        <f aca="false">IF($C666="","",IF(OR($E666="received"),N($G666),IF(OR($E666="rejected",$E666="delivered",$E666="topped_up"),-N($G666),IF(AND(OR($E666="returned_to_brand",$E666="given_to_roster_office",$E666="released_to_office",$E666="disposed"),IF($F666="","reserve",$F666)="reserve"),-N($G666),IF(AND($E666="correction",IF($F666="","reserve",$F666)="reserve"),N($G666),0)))))</f>
        <v/>
      </c>
      <c r="N666" s="30" t="str">
        <f aca="false">IF($C666="","",IF($E666="rejected",N($G666),IF(AND(OR($E666="returned_to_brand",$E666="given_to_roster_office",$E666="released_to_office",$E666="disposed"),IF($F666="","reserve",$F666)="rejected"),-N($G666),IF(AND($E666="correction",IF($F666="","reserve",$F666)="rejected"),N($G666),0))))</f>
        <v/>
      </c>
      <c r="O666" s="30" t="str">
        <f aca="false">IF($C666="","",IF($E666="collected",N($G666),IF(AND(OR($E666="returned_to_brand",$E666="given_to_roster_office",$E666="released_to_office",$E666="disposed"),IF($F666="","reserve",$F666)="leftover"),-N($G666),IF(AND($E666="correction",IF($F666="","reserve",$F666)="leftover"),N($G666),0))))</f>
        <v/>
      </c>
      <c r="P666" s="30" t="str">
        <f aca="false">IF(OR($E666&lt;&gt;"received",$I666="",$L666=""),"",IF($I666&gt;=$L666+config!$B$19,"Y","N"))</f>
        <v/>
      </c>
      <c r="Q666" s="30" t="str">
        <f aca="false">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30" t="str">
        <f aca="false">IF($C666="","",$C666&amp;"|"&amp;$D666&amp;"|"&amp;$E666)</f>
        <v/>
      </c>
    </row>
    <row r="667" customFormat="false" ht="15" hidden="false" customHeight="false" outlineLevel="0" collapsed="false">
      <c r="A667" s="11"/>
      <c r="B667" s="38"/>
      <c r="E667" s="10"/>
      <c r="I667" s="11"/>
      <c r="J667" s="10"/>
      <c r="L667" s="31" t="str">
        <f aca="false">IF($C667="","",IFERROR(IF(INDEX(campaigns!$BG$2:$BG$51,MATCH($C667,campaigns!$A$2:$A$51,0))="","",INDEX(campaigns!$BG$2:$BG$51,MATCH($C667,campaigns!$A$2:$A$51,0))),""))</f>
        <v/>
      </c>
      <c r="M667" s="30" t="str">
        <f aca="false">IF($C667="","",IF(OR($E667="received"),N($G667),IF(OR($E667="rejected",$E667="delivered",$E667="topped_up"),-N($G667),IF(AND(OR($E667="returned_to_brand",$E667="given_to_roster_office",$E667="released_to_office",$E667="disposed"),IF($F667="","reserve",$F667)="reserve"),-N($G667),IF(AND($E667="correction",IF($F667="","reserve",$F667)="reserve"),N($G667),0)))))</f>
        <v/>
      </c>
      <c r="N667" s="30" t="str">
        <f aca="false">IF($C667="","",IF($E667="rejected",N($G667),IF(AND(OR($E667="returned_to_brand",$E667="given_to_roster_office",$E667="released_to_office",$E667="disposed"),IF($F667="","reserve",$F667)="rejected"),-N($G667),IF(AND($E667="correction",IF($F667="","reserve",$F667)="rejected"),N($G667),0))))</f>
        <v/>
      </c>
      <c r="O667" s="30" t="str">
        <f aca="false">IF($C667="","",IF($E667="collected",N($G667),IF(AND(OR($E667="returned_to_brand",$E667="given_to_roster_office",$E667="released_to_office",$E667="disposed"),IF($F667="","reserve",$F667)="leftover"),-N($G667),IF(AND($E667="correction",IF($F667="","reserve",$F667)="leftover"),N($G667),0))))</f>
        <v/>
      </c>
      <c r="P667" s="30" t="str">
        <f aca="false">IF(OR($E667&lt;&gt;"received",$I667="",$L667=""),"",IF($I667&gt;=$L667+config!$B$19,"Y","N"))</f>
        <v/>
      </c>
      <c r="Q667" s="30" t="str">
        <f aca="false">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30" t="str">
        <f aca="false">IF($C667="","",$C667&amp;"|"&amp;$D667&amp;"|"&amp;$E667)</f>
        <v/>
      </c>
    </row>
    <row r="668" customFormat="false" ht="15" hidden="false" customHeight="false" outlineLevel="0" collapsed="false">
      <c r="A668" s="11"/>
      <c r="B668" s="38"/>
      <c r="E668" s="10"/>
      <c r="I668" s="11"/>
      <c r="J668" s="10"/>
      <c r="L668" s="31" t="str">
        <f aca="false">IF($C668="","",IFERROR(IF(INDEX(campaigns!$BG$2:$BG$51,MATCH($C668,campaigns!$A$2:$A$51,0))="","",INDEX(campaigns!$BG$2:$BG$51,MATCH($C668,campaigns!$A$2:$A$51,0))),""))</f>
        <v/>
      </c>
      <c r="M668" s="30" t="str">
        <f aca="false">IF($C668="","",IF(OR($E668="received"),N($G668),IF(OR($E668="rejected",$E668="delivered",$E668="topped_up"),-N($G668),IF(AND(OR($E668="returned_to_brand",$E668="given_to_roster_office",$E668="released_to_office",$E668="disposed"),IF($F668="","reserve",$F668)="reserve"),-N($G668),IF(AND($E668="correction",IF($F668="","reserve",$F668)="reserve"),N($G668),0)))))</f>
        <v/>
      </c>
      <c r="N668" s="30" t="str">
        <f aca="false">IF($C668="","",IF($E668="rejected",N($G668),IF(AND(OR($E668="returned_to_brand",$E668="given_to_roster_office",$E668="released_to_office",$E668="disposed"),IF($F668="","reserve",$F668)="rejected"),-N($G668),IF(AND($E668="correction",IF($F668="","reserve",$F668)="rejected"),N($G668),0))))</f>
        <v/>
      </c>
      <c r="O668" s="30" t="str">
        <f aca="false">IF($C668="","",IF($E668="collected",N($G668),IF(AND(OR($E668="returned_to_brand",$E668="given_to_roster_office",$E668="released_to_office",$E668="disposed"),IF($F668="","reserve",$F668)="leftover"),-N($G668),IF(AND($E668="correction",IF($F668="","reserve",$F668)="leftover"),N($G668),0))))</f>
        <v/>
      </c>
      <c r="P668" s="30" t="str">
        <f aca="false">IF(OR($E668&lt;&gt;"received",$I668="",$L668=""),"",IF($I668&gt;=$L668+config!$B$19,"Y","N"))</f>
        <v/>
      </c>
      <c r="Q668" s="30" t="str">
        <f aca="false">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30" t="str">
        <f aca="false">IF($C668="","",$C668&amp;"|"&amp;$D668&amp;"|"&amp;$E668)</f>
        <v/>
      </c>
    </row>
    <row r="669" customFormat="false" ht="15" hidden="false" customHeight="false" outlineLevel="0" collapsed="false">
      <c r="A669" s="11"/>
      <c r="B669" s="38"/>
      <c r="E669" s="10"/>
      <c r="I669" s="11"/>
      <c r="J669" s="10"/>
      <c r="L669" s="31" t="str">
        <f aca="false">IF($C669="","",IFERROR(IF(INDEX(campaigns!$BG$2:$BG$51,MATCH($C669,campaigns!$A$2:$A$51,0))="","",INDEX(campaigns!$BG$2:$BG$51,MATCH($C669,campaigns!$A$2:$A$51,0))),""))</f>
        <v/>
      </c>
      <c r="M669" s="30" t="str">
        <f aca="false">IF($C669="","",IF(OR($E669="received"),N($G669),IF(OR($E669="rejected",$E669="delivered",$E669="topped_up"),-N($G669),IF(AND(OR($E669="returned_to_brand",$E669="given_to_roster_office",$E669="released_to_office",$E669="disposed"),IF($F669="","reserve",$F669)="reserve"),-N($G669),IF(AND($E669="correction",IF($F669="","reserve",$F669)="reserve"),N($G669),0)))))</f>
        <v/>
      </c>
      <c r="N669" s="30" t="str">
        <f aca="false">IF($C669="","",IF($E669="rejected",N($G669),IF(AND(OR($E669="returned_to_brand",$E669="given_to_roster_office",$E669="released_to_office",$E669="disposed"),IF($F669="","reserve",$F669)="rejected"),-N($G669),IF(AND($E669="correction",IF($F669="","reserve",$F669)="rejected"),N($G669),0))))</f>
        <v/>
      </c>
      <c r="O669" s="30" t="str">
        <f aca="false">IF($C669="","",IF($E669="collected",N($G669),IF(AND(OR($E669="returned_to_brand",$E669="given_to_roster_office",$E669="released_to_office",$E669="disposed"),IF($F669="","reserve",$F669)="leftover"),-N($G669),IF(AND($E669="correction",IF($F669="","reserve",$F669)="leftover"),N($G669),0))))</f>
        <v/>
      </c>
      <c r="P669" s="30" t="str">
        <f aca="false">IF(OR($E669&lt;&gt;"received",$I669="",$L669=""),"",IF($I669&gt;=$L669+config!$B$19,"Y","N"))</f>
        <v/>
      </c>
      <c r="Q669" s="30" t="str">
        <f aca="false">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30" t="str">
        <f aca="false">IF($C669="","",$C669&amp;"|"&amp;$D669&amp;"|"&amp;$E669)</f>
        <v/>
      </c>
    </row>
    <row r="670" customFormat="false" ht="15" hidden="false" customHeight="false" outlineLevel="0" collapsed="false">
      <c r="A670" s="11"/>
      <c r="B670" s="38"/>
      <c r="E670" s="10"/>
      <c r="I670" s="11"/>
      <c r="J670" s="10"/>
      <c r="L670" s="31" t="str">
        <f aca="false">IF($C670="","",IFERROR(IF(INDEX(campaigns!$BG$2:$BG$51,MATCH($C670,campaigns!$A$2:$A$51,0))="","",INDEX(campaigns!$BG$2:$BG$51,MATCH($C670,campaigns!$A$2:$A$51,0))),""))</f>
        <v/>
      </c>
      <c r="M670" s="30" t="str">
        <f aca="false">IF($C670="","",IF(OR($E670="received"),N($G670),IF(OR($E670="rejected",$E670="delivered",$E670="topped_up"),-N($G670),IF(AND(OR($E670="returned_to_brand",$E670="given_to_roster_office",$E670="released_to_office",$E670="disposed"),IF($F670="","reserve",$F670)="reserve"),-N($G670),IF(AND($E670="correction",IF($F670="","reserve",$F670)="reserve"),N($G670),0)))))</f>
        <v/>
      </c>
      <c r="N670" s="30" t="str">
        <f aca="false">IF($C670="","",IF($E670="rejected",N($G670),IF(AND(OR($E670="returned_to_brand",$E670="given_to_roster_office",$E670="released_to_office",$E670="disposed"),IF($F670="","reserve",$F670)="rejected"),-N($G670),IF(AND($E670="correction",IF($F670="","reserve",$F670)="rejected"),N($G670),0))))</f>
        <v/>
      </c>
      <c r="O670" s="30" t="str">
        <f aca="false">IF($C670="","",IF($E670="collected",N($G670),IF(AND(OR($E670="returned_to_brand",$E670="given_to_roster_office",$E670="released_to_office",$E670="disposed"),IF($F670="","reserve",$F670)="leftover"),-N($G670),IF(AND($E670="correction",IF($F670="","reserve",$F670)="leftover"),N($G670),0))))</f>
        <v/>
      </c>
      <c r="P670" s="30" t="str">
        <f aca="false">IF(OR($E670&lt;&gt;"received",$I670="",$L670=""),"",IF($I670&gt;=$L670+config!$B$19,"Y","N"))</f>
        <v/>
      </c>
      <c r="Q670" s="30" t="str">
        <f aca="false">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30" t="str">
        <f aca="false">IF($C670="","",$C670&amp;"|"&amp;$D670&amp;"|"&amp;$E670)</f>
        <v/>
      </c>
    </row>
    <row r="671" customFormat="false" ht="15" hidden="false" customHeight="false" outlineLevel="0" collapsed="false">
      <c r="A671" s="11"/>
      <c r="B671" s="38"/>
      <c r="E671" s="10"/>
      <c r="I671" s="11"/>
      <c r="J671" s="10"/>
      <c r="L671" s="31" t="str">
        <f aca="false">IF($C671="","",IFERROR(IF(INDEX(campaigns!$BG$2:$BG$51,MATCH($C671,campaigns!$A$2:$A$51,0))="","",INDEX(campaigns!$BG$2:$BG$51,MATCH($C671,campaigns!$A$2:$A$51,0))),""))</f>
        <v/>
      </c>
      <c r="M671" s="30" t="str">
        <f aca="false">IF($C671="","",IF(OR($E671="received"),N($G671),IF(OR($E671="rejected",$E671="delivered",$E671="topped_up"),-N($G671),IF(AND(OR($E671="returned_to_brand",$E671="given_to_roster_office",$E671="released_to_office",$E671="disposed"),IF($F671="","reserve",$F671)="reserve"),-N($G671),IF(AND($E671="correction",IF($F671="","reserve",$F671)="reserve"),N($G671),0)))))</f>
        <v/>
      </c>
      <c r="N671" s="30" t="str">
        <f aca="false">IF($C671="","",IF($E671="rejected",N($G671),IF(AND(OR($E671="returned_to_brand",$E671="given_to_roster_office",$E671="released_to_office",$E671="disposed"),IF($F671="","reserve",$F671)="rejected"),-N($G671),IF(AND($E671="correction",IF($F671="","reserve",$F671)="rejected"),N($G671),0))))</f>
        <v/>
      </c>
      <c r="O671" s="30" t="str">
        <f aca="false">IF($C671="","",IF($E671="collected",N($G671),IF(AND(OR($E671="returned_to_brand",$E671="given_to_roster_office",$E671="released_to_office",$E671="disposed"),IF($F671="","reserve",$F671)="leftover"),-N($G671),IF(AND($E671="correction",IF($F671="","reserve",$F671)="leftover"),N($G671),0))))</f>
        <v/>
      </c>
      <c r="P671" s="30" t="str">
        <f aca="false">IF(OR($E671&lt;&gt;"received",$I671="",$L671=""),"",IF($I671&gt;=$L671+config!$B$19,"Y","N"))</f>
        <v/>
      </c>
      <c r="Q671" s="30" t="str">
        <f aca="false">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30" t="str">
        <f aca="false">IF($C671="","",$C671&amp;"|"&amp;$D671&amp;"|"&amp;$E671)</f>
        <v/>
      </c>
    </row>
    <row r="672" customFormat="false" ht="15" hidden="false" customHeight="false" outlineLevel="0" collapsed="false">
      <c r="A672" s="11"/>
      <c r="B672" s="38"/>
      <c r="E672" s="10"/>
      <c r="I672" s="11"/>
      <c r="J672" s="10"/>
      <c r="L672" s="31" t="str">
        <f aca="false">IF($C672="","",IFERROR(IF(INDEX(campaigns!$BG$2:$BG$51,MATCH($C672,campaigns!$A$2:$A$51,0))="","",INDEX(campaigns!$BG$2:$BG$51,MATCH($C672,campaigns!$A$2:$A$51,0))),""))</f>
        <v/>
      </c>
      <c r="M672" s="30" t="str">
        <f aca="false">IF($C672="","",IF(OR($E672="received"),N($G672),IF(OR($E672="rejected",$E672="delivered",$E672="topped_up"),-N($G672),IF(AND(OR($E672="returned_to_brand",$E672="given_to_roster_office",$E672="released_to_office",$E672="disposed"),IF($F672="","reserve",$F672)="reserve"),-N($G672),IF(AND($E672="correction",IF($F672="","reserve",$F672)="reserve"),N($G672),0)))))</f>
        <v/>
      </c>
      <c r="N672" s="30" t="str">
        <f aca="false">IF($C672="","",IF($E672="rejected",N($G672),IF(AND(OR($E672="returned_to_brand",$E672="given_to_roster_office",$E672="released_to_office",$E672="disposed"),IF($F672="","reserve",$F672)="rejected"),-N($G672),IF(AND($E672="correction",IF($F672="","reserve",$F672)="rejected"),N($G672),0))))</f>
        <v/>
      </c>
      <c r="O672" s="30" t="str">
        <f aca="false">IF($C672="","",IF($E672="collected",N($G672),IF(AND(OR($E672="returned_to_brand",$E672="given_to_roster_office",$E672="released_to_office",$E672="disposed"),IF($F672="","reserve",$F672)="leftover"),-N($G672),IF(AND($E672="correction",IF($F672="","reserve",$F672)="leftover"),N($G672),0))))</f>
        <v/>
      </c>
      <c r="P672" s="30" t="str">
        <f aca="false">IF(OR($E672&lt;&gt;"received",$I672="",$L672=""),"",IF($I672&gt;=$L672+config!$B$19,"Y","N"))</f>
        <v/>
      </c>
      <c r="Q672" s="30" t="str">
        <f aca="false">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30" t="str">
        <f aca="false">IF($C672="","",$C672&amp;"|"&amp;$D672&amp;"|"&amp;$E672)</f>
        <v/>
      </c>
    </row>
    <row r="673" customFormat="false" ht="15" hidden="false" customHeight="false" outlineLevel="0" collapsed="false">
      <c r="A673" s="11"/>
      <c r="B673" s="38"/>
      <c r="E673" s="10"/>
      <c r="I673" s="11"/>
      <c r="J673" s="10"/>
      <c r="L673" s="31" t="str">
        <f aca="false">IF($C673="","",IFERROR(IF(INDEX(campaigns!$BG$2:$BG$51,MATCH($C673,campaigns!$A$2:$A$51,0))="","",INDEX(campaigns!$BG$2:$BG$51,MATCH($C673,campaigns!$A$2:$A$51,0))),""))</f>
        <v/>
      </c>
      <c r="M673" s="30" t="str">
        <f aca="false">IF($C673="","",IF(OR($E673="received"),N($G673),IF(OR($E673="rejected",$E673="delivered",$E673="topped_up"),-N($G673),IF(AND(OR($E673="returned_to_brand",$E673="given_to_roster_office",$E673="released_to_office",$E673="disposed"),IF($F673="","reserve",$F673)="reserve"),-N($G673),IF(AND($E673="correction",IF($F673="","reserve",$F673)="reserve"),N($G673),0)))))</f>
        <v/>
      </c>
      <c r="N673" s="30" t="str">
        <f aca="false">IF($C673="","",IF($E673="rejected",N($G673),IF(AND(OR($E673="returned_to_brand",$E673="given_to_roster_office",$E673="released_to_office",$E673="disposed"),IF($F673="","reserve",$F673)="rejected"),-N($G673),IF(AND($E673="correction",IF($F673="","reserve",$F673)="rejected"),N($G673),0))))</f>
        <v/>
      </c>
      <c r="O673" s="30" t="str">
        <f aca="false">IF($C673="","",IF($E673="collected",N($G673),IF(AND(OR($E673="returned_to_brand",$E673="given_to_roster_office",$E673="released_to_office",$E673="disposed"),IF($F673="","reserve",$F673)="leftover"),-N($G673),IF(AND($E673="correction",IF($F673="","reserve",$F673)="leftover"),N($G673),0))))</f>
        <v/>
      </c>
      <c r="P673" s="30" t="str">
        <f aca="false">IF(OR($E673&lt;&gt;"received",$I673="",$L673=""),"",IF($I673&gt;=$L673+config!$B$19,"Y","N"))</f>
        <v/>
      </c>
      <c r="Q673" s="30" t="str">
        <f aca="false">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30" t="str">
        <f aca="false">IF($C673="","",$C673&amp;"|"&amp;$D673&amp;"|"&amp;$E673)</f>
        <v/>
      </c>
    </row>
    <row r="674" customFormat="false" ht="15" hidden="false" customHeight="false" outlineLevel="0" collapsed="false">
      <c r="A674" s="11"/>
      <c r="B674" s="38"/>
      <c r="E674" s="10"/>
      <c r="I674" s="11"/>
      <c r="J674" s="10"/>
      <c r="L674" s="31" t="str">
        <f aca="false">IF($C674="","",IFERROR(IF(INDEX(campaigns!$BG$2:$BG$51,MATCH($C674,campaigns!$A$2:$A$51,0))="","",INDEX(campaigns!$BG$2:$BG$51,MATCH($C674,campaigns!$A$2:$A$51,0))),""))</f>
        <v/>
      </c>
      <c r="M674" s="30" t="str">
        <f aca="false">IF($C674="","",IF(OR($E674="received"),N($G674),IF(OR($E674="rejected",$E674="delivered",$E674="topped_up"),-N($G674),IF(AND(OR($E674="returned_to_brand",$E674="given_to_roster_office",$E674="released_to_office",$E674="disposed"),IF($F674="","reserve",$F674)="reserve"),-N($G674),IF(AND($E674="correction",IF($F674="","reserve",$F674)="reserve"),N($G674),0)))))</f>
        <v/>
      </c>
      <c r="N674" s="30" t="str">
        <f aca="false">IF($C674="","",IF($E674="rejected",N($G674),IF(AND(OR($E674="returned_to_brand",$E674="given_to_roster_office",$E674="released_to_office",$E674="disposed"),IF($F674="","reserve",$F674)="rejected"),-N($G674),IF(AND($E674="correction",IF($F674="","reserve",$F674)="rejected"),N($G674),0))))</f>
        <v/>
      </c>
      <c r="O674" s="30" t="str">
        <f aca="false">IF($C674="","",IF($E674="collected",N($G674),IF(AND(OR($E674="returned_to_brand",$E674="given_to_roster_office",$E674="released_to_office",$E674="disposed"),IF($F674="","reserve",$F674)="leftover"),-N($G674),IF(AND($E674="correction",IF($F674="","reserve",$F674)="leftover"),N($G674),0))))</f>
        <v/>
      </c>
      <c r="P674" s="30" t="str">
        <f aca="false">IF(OR($E674&lt;&gt;"received",$I674="",$L674=""),"",IF($I674&gt;=$L674+config!$B$19,"Y","N"))</f>
        <v/>
      </c>
      <c r="Q674" s="30" t="str">
        <f aca="false">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30" t="str">
        <f aca="false">IF($C674="","",$C674&amp;"|"&amp;$D674&amp;"|"&amp;$E674)</f>
        <v/>
      </c>
    </row>
    <row r="675" customFormat="false" ht="15" hidden="false" customHeight="false" outlineLevel="0" collapsed="false">
      <c r="A675" s="11"/>
      <c r="B675" s="38"/>
      <c r="E675" s="10"/>
      <c r="I675" s="11"/>
      <c r="J675" s="10"/>
      <c r="L675" s="31" t="str">
        <f aca="false">IF($C675="","",IFERROR(IF(INDEX(campaigns!$BG$2:$BG$51,MATCH($C675,campaigns!$A$2:$A$51,0))="","",INDEX(campaigns!$BG$2:$BG$51,MATCH($C675,campaigns!$A$2:$A$51,0))),""))</f>
        <v/>
      </c>
      <c r="M675" s="30" t="str">
        <f aca="false">IF($C675="","",IF(OR($E675="received"),N($G675),IF(OR($E675="rejected",$E675="delivered",$E675="topped_up"),-N($G675),IF(AND(OR($E675="returned_to_brand",$E675="given_to_roster_office",$E675="released_to_office",$E675="disposed"),IF($F675="","reserve",$F675)="reserve"),-N($G675),IF(AND($E675="correction",IF($F675="","reserve",$F675)="reserve"),N($G675),0)))))</f>
        <v/>
      </c>
      <c r="N675" s="30" t="str">
        <f aca="false">IF($C675="","",IF($E675="rejected",N($G675),IF(AND(OR($E675="returned_to_brand",$E675="given_to_roster_office",$E675="released_to_office",$E675="disposed"),IF($F675="","reserve",$F675)="rejected"),-N($G675),IF(AND($E675="correction",IF($F675="","reserve",$F675)="rejected"),N($G675),0))))</f>
        <v/>
      </c>
      <c r="O675" s="30" t="str">
        <f aca="false">IF($C675="","",IF($E675="collected",N($G675),IF(AND(OR($E675="returned_to_brand",$E675="given_to_roster_office",$E675="released_to_office",$E675="disposed"),IF($F675="","reserve",$F675)="leftover"),-N($G675),IF(AND($E675="correction",IF($F675="","reserve",$F675)="leftover"),N($G675),0))))</f>
        <v/>
      </c>
      <c r="P675" s="30" t="str">
        <f aca="false">IF(OR($E675&lt;&gt;"received",$I675="",$L675=""),"",IF($I675&gt;=$L675+config!$B$19,"Y","N"))</f>
        <v/>
      </c>
      <c r="Q675" s="30" t="str">
        <f aca="false">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30" t="str">
        <f aca="false">IF($C675="","",$C675&amp;"|"&amp;$D675&amp;"|"&amp;$E675)</f>
        <v/>
      </c>
    </row>
    <row r="676" customFormat="false" ht="15" hidden="false" customHeight="false" outlineLevel="0" collapsed="false">
      <c r="A676" s="11"/>
      <c r="B676" s="38"/>
      <c r="E676" s="10"/>
      <c r="I676" s="11"/>
      <c r="J676" s="10"/>
      <c r="L676" s="31" t="str">
        <f aca="false">IF($C676="","",IFERROR(IF(INDEX(campaigns!$BG$2:$BG$51,MATCH($C676,campaigns!$A$2:$A$51,0))="","",INDEX(campaigns!$BG$2:$BG$51,MATCH($C676,campaigns!$A$2:$A$51,0))),""))</f>
        <v/>
      </c>
      <c r="M676" s="30" t="str">
        <f aca="false">IF($C676="","",IF(OR($E676="received"),N($G676),IF(OR($E676="rejected",$E676="delivered",$E676="topped_up"),-N($G676),IF(AND(OR($E676="returned_to_brand",$E676="given_to_roster_office",$E676="released_to_office",$E676="disposed"),IF($F676="","reserve",$F676)="reserve"),-N($G676),IF(AND($E676="correction",IF($F676="","reserve",$F676)="reserve"),N($G676),0)))))</f>
        <v/>
      </c>
      <c r="N676" s="30" t="str">
        <f aca="false">IF($C676="","",IF($E676="rejected",N($G676),IF(AND(OR($E676="returned_to_brand",$E676="given_to_roster_office",$E676="released_to_office",$E676="disposed"),IF($F676="","reserve",$F676)="rejected"),-N($G676),IF(AND($E676="correction",IF($F676="","reserve",$F676)="rejected"),N($G676),0))))</f>
        <v/>
      </c>
      <c r="O676" s="30" t="str">
        <f aca="false">IF($C676="","",IF($E676="collected",N($G676),IF(AND(OR($E676="returned_to_brand",$E676="given_to_roster_office",$E676="released_to_office",$E676="disposed"),IF($F676="","reserve",$F676)="leftover"),-N($G676),IF(AND($E676="correction",IF($F676="","reserve",$F676)="leftover"),N($G676),0))))</f>
        <v/>
      </c>
      <c r="P676" s="30" t="str">
        <f aca="false">IF(OR($E676&lt;&gt;"received",$I676="",$L676=""),"",IF($I676&gt;=$L676+config!$B$19,"Y","N"))</f>
        <v/>
      </c>
      <c r="Q676" s="30" t="str">
        <f aca="false">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30" t="str">
        <f aca="false">IF($C676="","",$C676&amp;"|"&amp;$D676&amp;"|"&amp;$E676)</f>
        <v/>
      </c>
    </row>
    <row r="677" customFormat="false" ht="15" hidden="false" customHeight="false" outlineLevel="0" collapsed="false">
      <c r="A677" s="11"/>
      <c r="B677" s="38"/>
      <c r="E677" s="10"/>
      <c r="I677" s="11"/>
      <c r="J677" s="10"/>
      <c r="L677" s="31" t="str">
        <f aca="false">IF($C677="","",IFERROR(IF(INDEX(campaigns!$BG$2:$BG$51,MATCH($C677,campaigns!$A$2:$A$51,0))="","",INDEX(campaigns!$BG$2:$BG$51,MATCH($C677,campaigns!$A$2:$A$51,0))),""))</f>
        <v/>
      </c>
      <c r="M677" s="30" t="str">
        <f aca="false">IF($C677="","",IF(OR($E677="received"),N($G677),IF(OR($E677="rejected",$E677="delivered",$E677="topped_up"),-N($G677),IF(AND(OR($E677="returned_to_brand",$E677="given_to_roster_office",$E677="released_to_office",$E677="disposed"),IF($F677="","reserve",$F677)="reserve"),-N($G677),IF(AND($E677="correction",IF($F677="","reserve",$F677)="reserve"),N($G677),0)))))</f>
        <v/>
      </c>
      <c r="N677" s="30" t="str">
        <f aca="false">IF($C677="","",IF($E677="rejected",N($G677),IF(AND(OR($E677="returned_to_brand",$E677="given_to_roster_office",$E677="released_to_office",$E677="disposed"),IF($F677="","reserve",$F677)="rejected"),-N($G677),IF(AND($E677="correction",IF($F677="","reserve",$F677)="rejected"),N($G677),0))))</f>
        <v/>
      </c>
      <c r="O677" s="30" t="str">
        <f aca="false">IF($C677="","",IF($E677="collected",N($G677),IF(AND(OR($E677="returned_to_brand",$E677="given_to_roster_office",$E677="released_to_office",$E677="disposed"),IF($F677="","reserve",$F677)="leftover"),-N($G677),IF(AND($E677="correction",IF($F677="","reserve",$F677)="leftover"),N($G677),0))))</f>
        <v/>
      </c>
      <c r="P677" s="30" t="str">
        <f aca="false">IF(OR($E677&lt;&gt;"received",$I677="",$L677=""),"",IF($I677&gt;=$L677+config!$B$19,"Y","N"))</f>
        <v/>
      </c>
      <c r="Q677" s="30" t="str">
        <f aca="false">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30" t="str">
        <f aca="false">IF($C677="","",$C677&amp;"|"&amp;$D677&amp;"|"&amp;$E677)</f>
        <v/>
      </c>
    </row>
    <row r="678" customFormat="false" ht="15" hidden="false" customHeight="false" outlineLevel="0" collapsed="false">
      <c r="A678" s="11"/>
      <c r="B678" s="38"/>
      <c r="E678" s="10"/>
      <c r="I678" s="11"/>
      <c r="J678" s="10"/>
      <c r="L678" s="31" t="str">
        <f aca="false">IF($C678="","",IFERROR(IF(INDEX(campaigns!$BG$2:$BG$51,MATCH($C678,campaigns!$A$2:$A$51,0))="","",INDEX(campaigns!$BG$2:$BG$51,MATCH($C678,campaigns!$A$2:$A$51,0))),""))</f>
        <v/>
      </c>
      <c r="M678" s="30" t="str">
        <f aca="false">IF($C678="","",IF(OR($E678="received"),N($G678),IF(OR($E678="rejected",$E678="delivered",$E678="topped_up"),-N($G678),IF(AND(OR($E678="returned_to_brand",$E678="given_to_roster_office",$E678="released_to_office",$E678="disposed"),IF($F678="","reserve",$F678)="reserve"),-N($G678),IF(AND($E678="correction",IF($F678="","reserve",$F678)="reserve"),N($G678),0)))))</f>
        <v/>
      </c>
      <c r="N678" s="30" t="str">
        <f aca="false">IF($C678="","",IF($E678="rejected",N($G678),IF(AND(OR($E678="returned_to_brand",$E678="given_to_roster_office",$E678="released_to_office",$E678="disposed"),IF($F678="","reserve",$F678)="rejected"),-N($G678),IF(AND($E678="correction",IF($F678="","reserve",$F678)="rejected"),N($G678),0))))</f>
        <v/>
      </c>
      <c r="O678" s="30" t="str">
        <f aca="false">IF($C678="","",IF($E678="collected",N($G678),IF(AND(OR($E678="returned_to_brand",$E678="given_to_roster_office",$E678="released_to_office",$E678="disposed"),IF($F678="","reserve",$F678)="leftover"),-N($G678),IF(AND($E678="correction",IF($F678="","reserve",$F678)="leftover"),N($G678),0))))</f>
        <v/>
      </c>
      <c r="P678" s="30" t="str">
        <f aca="false">IF(OR($E678&lt;&gt;"received",$I678="",$L678=""),"",IF($I678&gt;=$L678+config!$B$19,"Y","N"))</f>
        <v/>
      </c>
      <c r="Q678" s="30" t="str">
        <f aca="false">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30" t="str">
        <f aca="false">IF($C678="","",$C678&amp;"|"&amp;$D678&amp;"|"&amp;$E678)</f>
        <v/>
      </c>
    </row>
    <row r="679" customFormat="false" ht="15" hidden="false" customHeight="false" outlineLevel="0" collapsed="false">
      <c r="A679" s="11"/>
      <c r="B679" s="38"/>
      <c r="E679" s="10"/>
      <c r="I679" s="11"/>
      <c r="J679" s="10"/>
      <c r="L679" s="31" t="str">
        <f aca="false">IF($C679="","",IFERROR(IF(INDEX(campaigns!$BG$2:$BG$51,MATCH($C679,campaigns!$A$2:$A$51,0))="","",INDEX(campaigns!$BG$2:$BG$51,MATCH($C679,campaigns!$A$2:$A$51,0))),""))</f>
        <v/>
      </c>
      <c r="M679" s="30" t="str">
        <f aca="false">IF($C679="","",IF(OR($E679="received"),N($G679),IF(OR($E679="rejected",$E679="delivered",$E679="topped_up"),-N($G679),IF(AND(OR($E679="returned_to_brand",$E679="given_to_roster_office",$E679="released_to_office",$E679="disposed"),IF($F679="","reserve",$F679)="reserve"),-N($G679),IF(AND($E679="correction",IF($F679="","reserve",$F679)="reserve"),N($G679),0)))))</f>
        <v/>
      </c>
      <c r="N679" s="30" t="str">
        <f aca="false">IF($C679="","",IF($E679="rejected",N($G679),IF(AND(OR($E679="returned_to_brand",$E679="given_to_roster_office",$E679="released_to_office",$E679="disposed"),IF($F679="","reserve",$F679)="rejected"),-N($G679),IF(AND($E679="correction",IF($F679="","reserve",$F679)="rejected"),N($G679),0))))</f>
        <v/>
      </c>
      <c r="O679" s="30" t="str">
        <f aca="false">IF($C679="","",IF($E679="collected",N($G679),IF(AND(OR($E679="returned_to_brand",$E679="given_to_roster_office",$E679="released_to_office",$E679="disposed"),IF($F679="","reserve",$F679)="leftover"),-N($G679),IF(AND($E679="correction",IF($F679="","reserve",$F679)="leftover"),N($G679),0))))</f>
        <v/>
      </c>
      <c r="P679" s="30" t="str">
        <f aca="false">IF(OR($E679&lt;&gt;"received",$I679="",$L679=""),"",IF($I679&gt;=$L679+config!$B$19,"Y","N"))</f>
        <v/>
      </c>
      <c r="Q679" s="30" t="str">
        <f aca="false">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30" t="str">
        <f aca="false">IF($C679="","",$C679&amp;"|"&amp;$D679&amp;"|"&amp;$E679)</f>
        <v/>
      </c>
    </row>
    <row r="680" customFormat="false" ht="15" hidden="false" customHeight="false" outlineLevel="0" collapsed="false">
      <c r="A680" s="11"/>
      <c r="B680" s="38"/>
      <c r="E680" s="10"/>
      <c r="I680" s="11"/>
      <c r="J680" s="10"/>
      <c r="L680" s="31" t="str">
        <f aca="false">IF($C680="","",IFERROR(IF(INDEX(campaigns!$BG$2:$BG$51,MATCH($C680,campaigns!$A$2:$A$51,0))="","",INDEX(campaigns!$BG$2:$BG$51,MATCH($C680,campaigns!$A$2:$A$51,0))),""))</f>
        <v/>
      </c>
      <c r="M680" s="30" t="str">
        <f aca="false">IF($C680="","",IF(OR($E680="received"),N($G680),IF(OR($E680="rejected",$E680="delivered",$E680="topped_up"),-N($G680),IF(AND(OR($E680="returned_to_brand",$E680="given_to_roster_office",$E680="released_to_office",$E680="disposed"),IF($F680="","reserve",$F680)="reserve"),-N($G680),IF(AND($E680="correction",IF($F680="","reserve",$F680)="reserve"),N($G680),0)))))</f>
        <v/>
      </c>
      <c r="N680" s="30" t="str">
        <f aca="false">IF($C680="","",IF($E680="rejected",N($G680),IF(AND(OR($E680="returned_to_brand",$E680="given_to_roster_office",$E680="released_to_office",$E680="disposed"),IF($F680="","reserve",$F680)="rejected"),-N($G680),IF(AND($E680="correction",IF($F680="","reserve",$F680)="rejected"),N($G680),0))))</f>
        <v/>
      </c>
      <c r="O680" s="30" t="str">
        <f aca="false">IF($C680="","",IF($E680="collected",N($G680),IF(AND(OR($E680="returned_to_brand",$E680="given_to_roster_office",$E680="released_to_office",$E680="disposed"),IF($F680="","reserve",$F680)="leftover"),-N($G680),IF(AND($E680="correction",IF($F680="","reserve",$F680)="leftover"),N($G680),0))))</f>
        <v/>
      </c>
      <c r="P680" s="30" t="str">
        <f aca="false">IF(OR($E680&lt;&gt;"received",$I680="",$L680=""),"",IF($I680&gt;=$L680+config!$B$19,"Y","N"))</f>
        <v/>
      </c>
      <c r="Q680" s="30" t="str">
        <f aca="false">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30" t="str">
        <f aca="false">IF($C680="","",$C680&amp;"|"&amp;$D680&amp;"|"&amp;$E680)</f>
        <v/>
      </c>
    </row>
    <row r="681" customFormat="false" ht="15" hidden="false" customHeight="false" outlineLevel="0" collapsed="false">
      <c r="A681" s="11"/>
      <c r="B681" s="38"/>
      <c r="E681" s="10"/>
      <c r="I681" s="11"/>
      <c r="J681" s="10"/>
      <c r="L681" s="31" t="str">
        <f aca="false">IF($C681="","",IFERROR(IF(INDEX(campaigns!$BG$2:$BG$51,MATCH($C681,campaigns!$A$2:$A$51,0))="","",INDEX(campaigns!$BG$2:$BG$51,MATCH($C681,campaigns!$A$2:$A$51,0))),""))</f>
        <v/>
      </c>
      <c r="M681" s="30" t="str">
        <f aca="false">IF($C681="","",IF(OR($E681="received"),N($G681),IF(OR($E681="rejected",$E681="delivered",$E681="topped_up"),-N($G681),IF(AND(OR($E681="returned_to_brand",$E681="given_to_roster_office",$E681="released_to_office",$E681="disposed"),IF($F681="","reserve",$F681)="reserve"),-N($G681),IF(AND($E681="correction",IF($F681="","reserve",$F681)="reserve"),N($G681),0)))))</f>
        <v/>
      </c>
      <c r="N681" s="30" t="str">
        <f aca="false">IF($C681="","",IF($E681="rejected",N($G681),IF(AND(OR($E681="returned_to_brand",$E681="given_to_roster_office",$E681="released_to_office",$E681="disposed"),IF($F681="","reserve",$F681)="rejected"),-N($G681),IF(AND($E681="correction",IF($F681="","reserve",$F681)="rejected"),N($G681),0))))</f>
        <v/>
      </c>
      <c r="O681" s="30" t="str">
        <f aca="false">IF($C681="","",IF($E681="collected",N($G681),IF(AND(OR($E681="returned_to_brand",$E681="given_to_roster_office",$E681="released_to_office",$E681="disposed"),IF($F681="","reserve",$F681)="leftover"),-N($G681),IF(AND($E681="correction",IF($F681="","reserve",$F681)="leftover"),N($G681),0))))</f>
        <v/>
      </c>
      <c r="P681" s="30" t="str">
        <f aca="false">IF(OR($E681&lt;&gt;"received",$I681="",$L681=""),"",IF($I681&gt;=$L681+config!$B$19,"Y","N"))</f>
        <v/>
      </c>
      <c r="Q681" s="30" t="str">
        <f aca="false">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30" t="str">
        <f aca="false">IF($C681="","",$C681&amp;"|"&amp;$D681&amp;"|"&amp;$E681)</f>
        <v/>
      </c>
    </row>
    <row r="682" customFormat="false" ht="15" hidden="false" customHeight="false" outlineLevel="0" collapsed="false">
      <c r="A682" s="11"/>
      <c r="B682" s="38"/>
      <c r="E682" s="10"/>
      <c r="I682" s="11"/>
      <c r="J682" s="10"/>
      <c r="L682" s="31" t="str">
        <f aca="false">IF($C682="","",IFERROR(IF(INDEX(campaigns!$BG$2:$BG$51,MATCH($C682,campaigns!$A$2:$A$51,0))="","",INDEX(campaigns!$BG$2:$BG$51,MATCH($C682,campaigns!$A$2:$A$51,0))),""))</f>
        <v/>
      </c>
      <c r="M682" s="30" t="str">
        <f aca="false">IF($C682="","",IF(OR($E682="received"),N($G682),IF(OR($E682="rejected",$E682="delivered",$E682="topped_up"),-N($G682),IF(AND(OR($E682="returned_to_brand",$E682="given_to_roster_office",$E682="released_to_office",$E682="disposed"),IF($F682="","reserve",$F682)="reserve"),-N($G682),IF(AND($E682="correction",IF($F682="","reserve",$F682)="reserve"),N($G682),0)))))</f>
        <v/>
      </c>
      <c r="N682" s="30" t="str">
        <f aca="false">IF($C682="","",IF($E682="rejected",N($G682),IF(AND(OR($E682="returned_to_brand",$E682="given_to_roster_office",$E682="released_to_office",$E682="disposed"),IF($F682="","reserve",$F682)="rejected"),-N($G682),IF(AND($E682="correction",IF($F682="","reserve",$F682)="rejected"),N($G682),0))))</f>
        <v/>
      </c>
      <c r="O682" s="30" t="str">
        <f aca="false">IF($C682="","",IF($E682="collected",N($G682),IF(AND(OR($E682="returned_to_brand",$E682="given_to_roster_office",$E682="released_to_office",$E682="disposed"),IF($F682="","reserve",$F682)="leftover"),-N($G682),IF(AND($E682="correction",IF($F682="","reserve",$F682)="leftover"),N($G682),0))))</f>
        <v/>
      </c>
      <c r="P682" s="30" t="str">
        <f aca="false">IF(OR($E682&lt;&gt;"received",$I682="",$L682=""),"",IF($I682&gt;=$L682+config!$B$19,"Y","N"))</f>
        <v/>
      </c>
      <c r="Q682" s="30" t="str">
        <f aca="false">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30" t="str">
        <f aca="false">IF($C682="","",$C682&amp;"|"&amp;$D682&amp;"|"&amp;$E682)</f>
        <v/>
      </c>
    </row>
    <row r="683" customFormat="false" ht="15" hidden="false" customHeight="false" outlineLevel="0" collapsed="false">
      <c r="A683" s="11"/>
      <c r="B683" s="38"/>
      <c r="E683" s="10"/>
      <c r="I683" s="11"/>
      <c r="J683" s="10"/>
      <c r="L683" s="31" t="str">
        <f aca="false">IF($C683="","",IFERROR(IF(INDEX(campaigns!$BG$2:$BG$51,MATCH($C683,campaigns!$A$2:$A$51,0))="","",INDEX(campaigns!$BG$2:$BG$51,MATCH($C683,campaigns!$A$2:$A$51,0))),""))</f>
        <v/>
      </c>
      <c r="M683" s="30" t="str">
        <f aca="false">IF($C683="","",IF(OR($E683="received"),N($G683),IF(OR($E683="rejected",$E683="delivered",$E683="topped_up"),-N($G683),IF(AND(OR($E683="returned_to_brand",$E683="given_to_roster_office",$E683="released_to_office",$E683="disposed"),IF($F683="","reserve",$F683)="reserve"),-N($G683),IF(AND($E683="correction",IF($F683="","reserve",$F683)="reserve"),N($G683),0)))))</f>
        <v/>
      </c>
      <c r="N683" s="30" t="str">
        <f aca="false">IF($C683="","",IF($E683="rejected",N($G683),IF(AND(OR($E683="returned_to_brand",$E683="given_to_roster_office",$E683="released_to_office",$E683="disposed"),IF($F683="","reserve",$F683)="rejected"),-N($G683),IF(AND($E683="correction",IF($F683="","reserve",$F683)="rejected"),N($G683),0))))</f>
        <v/>
      </c>
      <c r="O683" s="30" t="str">
        <f aca="false">IF($C683="","",IF($E683="collected",N($G683),IF(AND(OR($E683="returned_to_brand",$E683="given_to_roster_office",$E683="released_to_office",$E683="disposed"),IF($F683="","reserve",$F683)="leftover"),-N($G683),IF(AND($E683="correction",IF($F683="","reserve",$F683)="leftover"),N($G683),0))))</f>
        <v/>
      </c>
      <c r="P683" s="30" t="str">
        <f aca="false">IF(OR($E683&lt;&gt;"received",$I683="",$L683=""),"",IF($I683&gt;=$L683+config!$B$19,"Y","N"))</f>
        <v/>
      </c>
      <c r="Q683" s="30" t="str">
        <f aca="false">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30" t="str">
        <f aca="false">IF($C683="","",$C683&amp;"|"&amp;$D683&amp;"|"&amp;$E683)</f>
        <v/>
      </c>
    </row>
    <row r="684" customFormat="false" ht="15" hidden="false" customHeight="false" outlineLevel="0" collapsed="false">
      <c r="A684" s="11"/>
      <c r="B684" s="38"/>
      <c r="E684" s="10"/>
      <c r="I684" s="11"/>
      <c r="J684" s="10"/>
      <c r="L684" s="31" t="str">
        <f aca="false">IF($C684="","",IFERROR(IF(INDEX(campaigns!$BG$2:$BG$51,MATCH($C684,campaigns!$A$2:$A$51,0))="","",INDEX(campaigns!$BG$2:$BG$51,MATCH($C684,campaigns!$A$2:$A$51,0))),""))</f>
        <v/>
      </c>
      <c r="M684" s="30" t="str">
        <f aca="false">IF($C684="","",IF(OR($E684="received"),N($G684),IF(OR($E684="rejected",$E684="delivered",$E684="topped_up"),-N($G684),IF(AND(OR($E684="returned_to_brand",$E684="given_to_roster_office",$E684="released_to_office",$E684="disposed"),IF($F684="","reserve",$F684)="reserve"),-N($G684),IF(AND($E684="correction",IF($F684="","reserve",$F684)="reserve"),N($G684),0)))))</f>
        <v/>
      </c>
      <c r="N684" s="30" t="str">
        <f aca="false">IF($C684="","",IF($E684="rejected",N($G684),IF(AND(OR($E684="returned_to_brand",$E684="given_to_roster_office",$E684="released_to_office",$E684="disposed"),IF($F684="","reserve",$F684)="rejected"),-N($G684),IF(AND($E684="correction",IF($F684="","reserve",$F684)="rejected"),N($G684),0))))</f>
        <v/>
      </c>
      <c r="O684" s="30" t="str">
        <f aca="false">IF($C684="","",IF($E684="collected",N($G684),IF(AND(OR($E684="returned_to_brand",$E684="given_to_roster_office",$E684="released_to_office",$E684="disposed"),IF($F684="","reserve",$F684)="leftover"),-N($G684),IF(AND($E684="correction",IF($F684="","reserve",$F684)="leftover"),N($G684),0))))</f>
        <v/>
      </c>
      <c r="P684" s="30" t="str">
        <f aca="false">IF(OR($E684&lt;&gt;"received",$I684="",$L684=""),"",IF($I684&gt;=$L684+config!$B$19,"Y","N"))</f>
        <v/>
      </c>
      <c r="Q684" s="30" t="str">
        <f aca="false">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30" t="str">
        <f aca="false">IF($C684="","",$C684&amp;"|"&amp;$D684&amp;"|"&amp;$E684)</f>
        <v/>
      </c>
    </row>
    <row r="685" customFormat="false" ht="15" hidden="false" customHeight="false" outlineLevel="0" collapsed="false">
      <c r="A685" s="11"/>
      <c r="B685" s="38"/>
      <c r="E685" s="10"/>
      <c r="I685" s="11"/>
      <c r="J685" s="10"/>
      <c r="L685" s="31" t="str">
        <f aca="false">IF($C685="","",IFERROR(IF(INDEX(campaigns!$BG$2:$BG$51,MATCH($C685,campaigns!$A$2:$A$51,0))="","",INDEX(campaigns!$BG$2:$BG$51,MATCH($C685,campaigns!$A$2:$A$51,0))),""))</f>
        <v/>
      </c>
      <c r="M685" s="30" t="str">
        <f aca="false">IF($C685="","",IF(OR($E685="received"),N($G685),IF(OR($E685="rejected",$E685="delivered",$E685="topped_up"),-N($G685),IF(AND(OR($E685="returned_to_brand",$E685="given_to_roster_office",$E685="released_to_office",$E685="disposed"),IF($F685="","reserve",$F685)="reserve"),-N($G685),IF(AND($E685="correction",IF($F685="","reserve",$F685)="reserve"),N($G685),0)))))</f>
        <v/>
      </c>
      <c r="N685" s="30" t="str">
        <f aca="false">IF($C685="","",IF($E685="rejected",N($G685),IF(AND(OR($E685="returned_to_brand",$E685="given_to_roster_office",$E685="released_to_office",$E685="disposed"),IF($F685="","reserve",$F685)="rejected"),-N($G685),IF(AND($E685="correction",IF($F685="","reserve",$F685)="rejected"),N($G685),0))))</f>
        <v/>
      </c>
      <c r="O685" s="30" t="str">
        <f aca="false">IF($C685="","",IF($E685="collected",N($G685),IF(AND(OR($E685="returned_to_brand",$E685="given_to_roster_office",$E685="released_to_office",$E685="disposed"),IF($F685="","reserve",$F685)="leftover"),-N($G685),IF(AND($E685="correction",IF($F685="","reserve",$F685)="leftover"),N($G685),0))))</f>
        <v/>
      </c>
      <c r="P685" s="30" t="str">
        <f aca="false">IF(OR($E685&lt;&gt;"received",$I685="",$L685=""),"",IF($I685&gt;=$L685+config!$B$19,"Y","N"))</f>
        <v/>
      </c>
      <c r="Q685" s="30" t="str">
        <f aca="false">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30" t="str">
        <f aca="false">IF($C685="","",$C685&amp;"|"&amp;$D685&amp;"|"&amp;$E685)</f>
        <v/>
      </c>
    </row>
    <row r="686" customFormat="false" ht="15" hidden="false" customHeight="false" outlineLevel="0" collapsed="false">
      <c r="A686" s="11"/>
      <c r="B686" s="38"/>
      <c r="E686" s="10"/>
      <c r="I686" s="11"/>
      <c r="J686" s="10"/>
      <c r="L686" s="31" t="str">
        <f aca="false">IF($C686="","",IFERROR(IF(INDEX(campaigns!$BG$2:$BG$51,MATCH($C686,campaigns!$A$2:$A$51,0))="","",INDEX(campaigns!$BG$2:$BG$51,MATCH($C686,campaigns!$A$2:$A$51,0))),""))</f>
        <v/>
      </c>
      <c r="M686" s="30" t="str">
        <f aca="false">IF($C686="","",IF(OR($E686="received"),N($G686),IF(OR($E686="rejected",$E686="delivered",$E686="topped_up"),-N($G686),IF(AND(OR($E686="returned_to_brand",$E686="given_to_roster_office",$E686="released_to_office",$E686="disposed"),IF($F686="","reserve",$F686)="reserve"),-N($G686),IF(AND($E686="correction",IF($F686="","reserve",$F686)="reserve"),N($G686),0)))))</f>
        <v/>
      </c>
      <c r="N686" s="30" t="str">
        <f aca="false">IF($C686="","",IF($E686="rejected",N($G686),IF(AND(OR($E686="returned_to_brand",$E686="given_to_roster_office",$E686="released_to_office",$E686="disposed"),IF($F686="","reserve",$F686)="rejected"),-N($G686),IF(AND($E686="correction",IF($F686="","reserve",$F686)="rejected"),N($G686),0))))</f>
        <v/>
      </c>
      <c r="O686" s="30" t="str">
        <f aca="false">IF($C686="","",IF($E686="collected",N($G686),IF(AND(OR($E686="returned_to_brand",$E686="given_to_roster_office",$E686="released_to_office",$E686="disposed"),IF($F686="","reserve",$F686)="leftover"),-N($G686),IF(AND($E686="correction",IF($F686="","reserve",$F686)="leftover"),N($G686),0))))</f>
        <v/>
      </c>
      <c r="P686" s="30" t="str">
        <f aca="false">IF(OR($E686&lt;&gt;"received",$I686="",$L686=""),"",IF($I686&gt;=$L686+config!$B$19,"Y","N"))</f>
        <v/>
      </c>
      <c r="Q686" s="30" t="str">
        <f aca="false">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30" t="str">
        <f aca="false">IF($C686="","",$C686&amp;"|"&amp;$D686&amp;"|"&amp;$E686)</f>
        <v/>
      </c>
    </row>
    <row r="687" customFormat="false" ht="15" hidden="false" customHeight="false" outlineLevel="0" collapsed="false">
      <c r="A687" s="11"/>
      <c r="B687" s="38"/>
      <c r="E687" s="10"/>
      <c r="I687" s="11"/>
      <c r="J687" s="10"/>
      <c r="L687" s="31" t="str">
        <f aca="false">IF($C687="","",IFERROR(IF(INDEX(campaigns!$BG$2:$BG$51,MATCH($C687,campaigns!$A$2:$A$51,0))="","",INDEX(campaigns!$BG$2:$BG$51,MATCH($C687,campaigns!$A$2:$A$51,0))),""))</f>
        <v/>
      </c>
      <c r="M687" s="30" t="str">
        <f aca="false">IF($C687="","",IF(OR($E687="received"),N($G687),IF(OR($E687="rejected",$E687="delivered",$E687="topped_up"),-N($G687),IF(AND(OR($E687="returned_to_brand",$E687="given_to_roster_office",$E687="released_to_office",$E687="disposed"),IF($F687="","reserve",$F687)="reserve"),-N($G687),IF(AND($E687="correction",IF($F687="","reserve",$F687)="reserve"),N($G687),0)))))</f>
        <v/>
      </c>
      <c r="N687" s="30" t="str">
        <f aca="false">IF($C687="","",IF($E687="rejected",N($G687),IF(AND(OR($E687="returned_to_brand",$E687="given_to_roster_office",$E687="released_to_office",$E687="disposed"),IF($F687="","reserve",$F687)="rejected"),-N($G687),IF(AND($E687="correction",IF($F687="","reserve",$F687)="rejected"),N($G687),0))))</f>
        <v/>
      </c>
      <c r="O687" s="30" t="str">
        <f aca="false">IF($C687="","",IF($E687="collected",N($G687),IF(AND(OR($E687="returned_to_brand",$E687="given_to_roster_office",$E687="released_to_office",$E687="disposed"),IF($F687="","reserve",$F687)="leftover"),-N($G687),IF(AND($E687="correction",IF($F687="","reserve",$F687)="leftover"),N($G687),0))))</f>
        <v/>
      </c>
      <c r="P687" s="30" t="str">
        <f aca="false">IF(OR($E687&lt;&gt;"received",$I687="",$L687=""),"",IF($I687&gt;=$L687+config!$B$19,"Y","N"))</f>
        <v/>
      </c>
      <c r="Q687" s="30" t="str">
        <f aca="false">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30" t="str">
        <f aca="false">IF($C687="","",$C687&amp;"|"&amp;$D687&amp;"|"&amp;$E687)</f>
        <v/>
      </c>
    </row>
    <row r="688" customFormat="false" ht="15" hidden="false" customHeight="false" outlineLevel="0" collapsed="false">
      <c r="A688" s="11"/>
      <c r="B688" s="38"/>
      <c r="E688" s="10"/>
      <c r="I688" s="11"/>
      <c r="J688" s="10"/>
      <c r="L688" s="31" t="str">
        <f aca="false">IF($C688="","",IFERROR(IF(INDEX(campaigns!$BG$2:$BG$51,MATCH($C688,campaigns!$A$2:$A$51,0))="","",INDEX(campaigns!$BG$2:$BG$51,MATCH($C688,campaigns!$A$2:$A$51,0))),""))</f>
        <v/>
      </c>
      <c r="M688" s="30" t="str">
        <f aca="false">IF($C688="","",IF(OR($E688="received"),N($G688),IF(OR($E688="rejected",$E688="delivered",$E688="topped_up"),-N($G688),IF(AND(OR($E688="returned_to_brand",$E688="given_to_roster_office",$E688="released_to_office",$E688="disposed"),IF($F688="","reserve",$F688)="reserve"),-N($G688),IF(AND($E688="correction",IF($F688="","reserve",$F688)="reserve"),N($G688),0)))))</f>
        <v/>
      </c>
      <c r="N688" s="30" t="str">
        <f aca="false">IF($C688="","",IF($E688="rejected",N($G688),IF(AND(OR($E688="returned_to_brand",$E688="given_to_roster_office",$E688="released_to_office",$E688="disposed"),IF($F688="","reserve",$F688)="rejected"),-N($G688),IF(AND($E688="correction",IF($F688="","reserve",$F688)="rejected"),N($G688),0))))</f>
        <v/>
      </c>
      <c r="O688" s="30" t="str">
        <f aca="false">IF($C688="","",IF($E688="collected",N($G688),IF(AND(OR($E688="returned_to_brand",$E688="given_to_roster_office",$E688="released_to_office",$E688="disposed"),IF($F688="","reserve",$F688)="leftover"),-N($G688),IF(AND($E688="correction",IF($F688="","reserve",$F688)="leftover"),N($G688),0))))</f>
        <v/>
      </c>
      <c r="P688" s="30" t="str">
        <f aca="false">IF(OR($E688&lt;&gt;"received",$I688="",$L688=""),"",IF($I688&gt;=$L688+config!$B$19,"Y","N"))</f>
        <v/>
      </c>
      <c r="Q688" s="30" t="str">
        <f aca="false">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30" t="str">
        <f aca="false">IF($C688="","",$C688&amp;"|"&amp;$D688&amp;"|"&amp;$E688)</f>
        <v/>
      </c>
    </row>
    <row r="689" customFormat="false" ht="15" hidden="false" customHeight="false" outlineLevel="0" collapsed="false">
      <c r="A689" s="11"/>
      <c r="B689" s="38"/>
      <c r="E689" s="10"/>
      <c r="I689" s="11"/>
      <c r="J689" s="10"/>
      <c r="L689" s="31" t="str">
        <f aca="false">IF($C689="","",IFERROR(IF(INDEX(campaigns!$BG$2:$BG$51,MATCH($C689,campaigns!$A$2:$A$51,0))="","",INDEX(campaigns!$BG$2:$BG$51,MATCH($C689,campaigns!$A$2:$A$51,0))),""))</f>
        <v/>
      </c>
      <c r="M689" s="30" t="str">
        <f aca="false">IF($C689="","",IF(OR($E689="received"),N($G689),IF(OR($E689="rejected",$E689="delivered",$E689="topped_up"),-N($G689),IF(AND(OR($E689="returned_to_brand",$E689="given_to_roster_office",$E689="released_to_office",$E689="disposed"),IF($F689="","reserve",$F689)="reserve"),-N($G689),IF(AND($E689="correction",IF($F689="","reserve",$F689)="reserve"),N($G689),0)))))</f>
        <v/>
      </c>
      <c r="N689" s="30" t="str">
        <f aca="false">IF($C689="","",IF($E689="rejected",N($G689),IF(AND(OR($E689="returned_to_brand",$E689="given_to_roster_office",$E689="released_to_office",$E689="disposed"),IF($F689="","reserve",$F689)="rejected"),-N($G689),IF(AND($E689="correction",IF($F689="","reserve",$F689)="rejected"),N($G689),0))))</f>
        <v/>
      </c>
      <c r="O689" s="30" t="str">
        <f aca="false">IF($C689="","",IF($E689="collected",N($G689),IF(AND(OR($E689="returned_to_brand",$E689="given_to_roster_office",$E689="released_to_office",$E689="disposed"),IF($F689="","reserve",$F689)="leftover"),-N($G689),IF(AND($E689="correction",IF($F689="","reserve",$F689)="leftover"),N($G689),0))))</f>
        <v/>
      </c>
      <c r="P689" s="30" t="str">
        <f aca="false">IF(OR($E689&lt;&gt;"received",$I689="",$L689=""),"",IF($I689&gt;=$L689+config!$B$19,"Y","N"))</f>
        <v/>
      </c>
      <c r="Q689" s="30" t="str">
        <f aca="false">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30" t="str">
        <f aca="false">IF($C689="","",$C689&amp;"|"&amp;$D689&amp;"|"&amp;$E689)</f>
        <v/>
      </c>
    </row>
    <row r="690" customFormat="false" ht="15" hidden="false" customHeight="false" outlineLevel="0" collapsed="false">
      <c r="A690" s="11"/>
      <c r="B690" s="38"/>
      <c r="E690" s="10"/>
      <c r="I690" s="11"/>
      <c r="J690" s="10"/>
      <c r="L690" s="31" t="str">
        <f aca="false">IF($C690="","",IFERROR(IF(INDEX(campaigns!$BG$2:$BG$51,MATCH($C690,campaigns!$A$2:$A$51,0))="","",INDEX(campaigns!$BG$2:$BG$51,MATCH($C690,campaigns!$A$2:$A$51,0))),""))</f>
        <v/>
      </c>
      <c r="M690" s="30" t="str">
        <f aca="false">IF($C690="","",IF(OR($E690="received"),N($G690),IF(OR($E690="rejected",$E690="delivered",$E690="topped_up"),-N($G690),IF(AND(OR($E690="returned_to_brand",$E690="given_to_roster_office",$E690="released_to_office",$E690="disposed"),IF($F690="","reserve",$F690)="reserve"),-N($G690),IF(AND($E690="correction",IF($F690="","reserve",$F690)="reserve"),N($G690),0)))))</f>
        <v/>
      </c>
      <c r="N690" s="30" t="str">
        <f aca="false">IF($C690="","",IF($E690="rejected",N($G690),IF(AND(OR($E690="returned_to_brand",$E690="given_to_roster_office",$E690="released_to_office",$E690="disposed"),IF($F690="","reserve",$F690)="rejected"),-N($G690),IF(AND($E690="correction",IF($F690="","reserve",$F690)="rejected"),N($G690),0))))</f>
        <v/>
      </c>
      <c r="O690" s="30" t="str">
        <f aca="false">IF($C690="","",IF($E690="collected",N($G690),IF(AND(OR($E690="returned_to_brand",$E690="given_to_roster_office",$E690="released_to_office",$E690="disposed"),IF($F690="","reserve",$F690)="leftover"),-N($G690),IF(AND($E690="correction",IF($F690="","reserve",$F690)="leftover"),N($G690),0))))</f>
        <v/>
      </c>
      <c r="P690" s="30" t="str">
        <f aca="false">IF(OR($E690&lt;&gt;"received",$I690="",$L690=""),"",IF($I690&gt;=$L690+config!$B$19,"Y","N"))</f>
        <v/>
      </c>
      <c r="Q690" s="30" t="str">
        <f aca="false">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30" t="str">
        <f aca="false">IF($C690="","",$C690&amp;"|"&amp;$D690&amp;"|"&amp;$E690)</f>
        <v/>
      </c>
    </row>
    <row r="691" customFormat="false" ht="15" hidden="false" customHeight="false" outlineLevel="0" collapsed="false">
      <c r="A691" s="11"/>
      <c r="B691" s="38"/>
      <c r="E691" s="10"/>
      <c r="I691" s="11"/>
      <c r="J691" s="10"/>
      <c r="L691" s="31" t="str">
        <f aca="false">IF($C691="","",IFERROR(IF(INDEX(campaigns!$BG$2:$BG$51,MATCH($C691,campaigns!$A$2:$A$51,0))="","",INDEX(campaigns!$BG$2:$BG$51,MATCH($C691,campaigns!$A$2:$A$51,0))),""))</f>
        <v/>
      </c>
      <c r="M691" s="30" t="str">
        <f aca="false">IF($C691="","",IF(OR($E691="received"),N($G691),IF(OR($E691="rejected",$E691="delivered",$E691="topped_up"),-N($G691),IF(AND(OR($E691="returned_to_brand",$E691="given_to_roster_office",$E691="released_to_office",$E691="disposed"),IF($F691="","reserve",$F691)="reserve"),-N($G691),IF(AND($E691="correction",IF($F691="","reserve",$F691)="reserve"),N($G691),0)))))</f>
        <v/>
      </c>
      <c r="N691" s="30" t="str">
        <f aca="false">IF($C691="","",IF($E691="rejected",N($G691),IF(AND(OR($E691="returned_to_brand",$E691="given_to_roster_office",$E691="released_to_office",$E691="disposed"),IF($F691="","reserve",$F691)="rejected"),-N($G691),IF(AND($E691="correction",IF($F691="","reserve",$F691)="rejected"),N($G691),0))))</f>
        <v/>
      </c>
      <c r="O691" s="30" t="str">
        <f aca="false">IF($C691="","",IF($E691="collected",N($G691),IF(AND(OR($E691="returned_to_brand",$E691="given_to_roster_office",$E691="released_to_office",$E691="disposed"),IF($F691="","reserve",$F691)="leftover"),-N($G691),IF(AND($E691="correction",IF($F691="","reserve",$F691)="leftover"),N($G691),0))))</f>
        <v/>
      </c>
      <c r="P691" s="30" t="str">
        <f aca="false">IF(OR($E691&lt;&gt;"received",$I691="",$L691=""),"",IF($I691&gt;=$L691+config!$B$19,"Y","N"))</f>
        <v/>
      </c>
      <c r="Q691" s="30" t="str">
        <f aca="false">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30" t="str">
        <f aca="false">IF($C691="","",$C691&amp;"|"&amp;$D691&amp;"|"&amp;$E691)</f>
        <v/>
      </c>
    </row>
    <row r="692" customFormat="false" ht="15" hidden="false" customHeight="false" outlineLevel="0" collapsed="false">
      <c r="A692" s="11"/>
      <c r="B692" s="38"/>
      <c r="E692" s="10"/>
      <c r="I692" s="11"/>
      <c r="J692" s="10"/>
      <c r="L692" s="31" t="str">
        <f aca="false">IF($C692="","",IFERROR(IF(INDEX(campaigns!$BG$2:$BG$51,MATCH($C692,campaigns!$A$2:$A$51,0))="","",INDEX(campaigns!$BG$2:$BG$51,MATCH($C692,campaigns!$A$2:$A$51,0))),""))</f>
        <v/>
      </c>
      <c r="M692" s="30" t="str">
        <f aca="false">IF($C692="","",IF(OR($E692="received"),N($G692),IF(OR($E692="rejected",$E692="delivered",$E692="topped_up"),-N($G692),IF(AND(OR($E692="returned_to_brand",$E692="given_to_roster_office",$E692="released_to_office",$E692="disposed"),IF($F692="","reserve",$F692)="reserve"),-N($G692),IF(AND($E692="correction",IF($F692="","reserve",$F692)="reserve"),N($G692),0)))))</f>
        <v/>
      </c>
      <c r="N692" s="30" t="str">
        <f aca="false">IF($C692="","",IF($E692="rejected",N($G692),IF(AND(OR($E692="returned_to_brand",$E692="given_to_roster_office",$E692="released_to_office",$E692="disposed"),IF($F692="","reserve",$F692)="rejected"),-N($G692),IF(AND($E692="correction",IF($F692="","reserve",$F692)="rejected"),N($G692),0))))</f>
        <v/>
      </c>
      <c r="O692" s="30" t="str">
        <f aca="false">IF($C692="","",IF($E692="collected",N($G692),IF(AND(OR($E692="returned_to_brand",$E692="given_to_roster_office",$E692="released_to_office",$E692="disposed"),IF($F692="","reserve",$F692)="leftover"),-N($G692),IF(AND($E692="correction",IF($F692="","reserve",$F692)="leftover"),N($G692),0))))</f>
        <v/>
      </c>
      <c r="P692" s="30" t="str">
        <f aca="false">IF(OR($E692&lt;&gt;"received",$I692="",$L692=""),"",IF($I692&gt;=$L692+config!$B$19,"Y","N"))</f>
        <v/>
      </c>
      <c r="Q692" s="30" t="str">
        <f aca="false">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30" t="str">
        <f aca="false">IF($C692="","",$C692&amp;"|"&amp;$D692&amp;"|"&amp;$E692)</f>
        <v/>
      </c>
    </row>
    <row r="693" customFormat="false" ht="15" hidden="false" customHeight="false" outlineLevel="0" collapsed="false">
      <c r="A693" s="11"/>
      <c r="B693" s="38"/>
      <c r="E693" s="10"/>
      <c r="I693" s="11"/>
      <c r="J693" s="10"/>
      <c r="L693" s="31" t="str">
        <f aca="false">IF($C693="","",IFERROR(IF(INDEX(campaigns!$BG$2:$BG$51,MATCH($C693,campaigns!$A$2:$A$51,0))="","",INDEX(campaigns!$BG$2:$BG$51,MATCH($C693,campaigns!$A$2:$A$51,0))),""))</f>
        <v/>
      </c>
      <c r="M693" s="30" t="str">
        <f aca="false">IF($C693="","",IF(OR($E693="received"),N($G693),IF(OR($E693="rejected",$E693="delivered",$E693="topped_up"),-N($G693),IF(AND(OR($E693="returned_to_brand",$E693="given_to_roster_office",$E693="released_to_office",$E693="disposed"),IF($F693="","reserve",$F693)="reserve"),-N($G693),IF(AND($E693="correction",IF($F693="","reserve",$F693)="reserve"),N($G693),0)))))</f>
        <v/>
      </c>
      <c r="N693" s="30" t="str">
        <f aca="false">IF($C693="","",IF($E693="rejected",N($G693),IF(AND(OR($E693="returned_to_brand",$E693="given_to_roster_office",$E693="released_to_office",$E693="disposed"),IF($F693="","reserve",$F693)="rejected"),-N($G693),IF(AND($E693="correction",IF($F693="","reserve",$F693)="rejected"),N($G693),0))))</f>
        <v/>
      </c>
      <c r="O693" s="30" t="str">
        <f aca="false">IF($C693="","",IF($E693="collected",N($G693),IF(AND(OR($E693="returned_to_brand",$E693="given_to_roster_office",$E693="released_to_office",$E693="disposed"),IF($F693="","reserve",$F693)="leftover"),-N($G693),IF(AND($E693="correction",IF($F693="","reserve",$F693)="leftover"),N($G693),0))))</f>
        <v/>
      </c>
      <c r="P693" s="30" t="str">
        <f aca="false">IF(OR($E693&lt;&gt;"received",$I693="",$L693=""),"",IF($I693&gt;=$L693+config!$B$19,"Y","N"))</f>
        <v/>
      </c>
      <c r="Q693" s="30" t="str">
        <f aca="false">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30" t="str">
        <f aca="false">IF($C693="","",$C693&amp;"|"&amp;$D693&amp;"|"&amp;$E693)</f>
        <v/>
      </c>
    </row>
    <row r="694" customFormat="false" ht="15" hidden="false" customHeight="false" outlineLevel="0" collapsed="false">
      <c r="A694" s="11"/>
      <c r="B694" s="38"/>
      <c r="E694" s="10"/>
      <c r="I694" s="11"/>
      <c r="J694" s="10"/>
      <c r="L694" s="31" t="str">
        <f aca="false">IF($C694="","",IFERROR(IF(INDEX(campaigns!$BG$2:$BG$51,MATCH($C694,campaigns!$A$2:$A$51,0))="","",INDEX(campaigns!$BG$2:$BG$51,MATCH($C694,campaigns!$A$2:$A$51,0))),""))</f>
        <v/>
      </c>
      <c r="M694" s="30" t="str">
        <f aca="false">IF($C694="","",IF(OR($E694="received"),N($G694),IF(OR($E694="rejected",$E694="delivered",$E694="topped_up"),-N($G694),IF(AND(OR($E694="returned_to_brand",$E694="given_to_roster_office",$E694="released_to_office",$E694="disposed"),IF($F694="","reserve",$F694)="reserve"),-N($G694),IF(AND($E694="correction",IF($F694="","reserve",$F694)="reserve"),N($G694),0)))))</f>
        <v/>
      </c>
      <c r="N694" s="30" t="str">
        <f aca="false">IF($C694="","",IF($E694="rejected",N($G694),IF(AND(OR($E694="returned_to_brand",$E694="given_to_roster_office",$E694="released_to_office",$E694="disposed"),IF($F694="","reserve",$F694)="rejected"),-N($G694),IF(AND($E694="correction",IF($F694="","reserve",$F694)="rejected"),N($G694),0))))</f>
        <v/>
      </c>
      <c r="O694" s="30" t="str">
        <f aca="false">IF($C694="","",IF($E694="collected",N($G694),IF(AND(OR($E694="returned_to_brand",$E694="given_to_roster_office",$E694="released_to_office",$E694="disposed"),IF($F694="","reserve",$F694)="leftover"),-N($G694),IF(AND($E694="correction",IF($F694="","reserve",$F694)="leftover"),N($G694),0))))</f>
        <v/>
      </c>
      <c r="P694" s="30" t="str">
        <f aca="false">IF(OR($E694&lt;&gt;"received",$I694="",$L694=""),"",IF($I694&gt;=$L694+config!$B$19,"Y","N"))</f>
        <v/>
      </c>
      <c r="Q694" s="30" t="str">
        <f aca="false">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30" t="str">
        <f aca="false">IF($C694="","",$C694&amp;"|"&amp;$D694&amp;"|"&amp;$E694)</f>
        <v/>
      </c>
    </row>
    <row r="695" customFormat="false" ht="15" hidden="false" customHeight="false" outlineLevel="0" collapsed="false">
      <c r="A695" s="11"/>
      <c r="B695" s="38"/>
      <c r="E695" s="10"/>
      <c r="I695" s="11"/>
      <c r="J695" s="10"/>
      <c r="L695" s="31" t="str">
        <f aca="false">IF($C695="","",IFERROR(IF(INDEX(campaigns!$BG$2:$BG$51,MATCH($C695,campaigns!$A$2:$A$51,0))="","",INDEX(campaigns!$BG$2:$BG$51,MATCH($C695,campaigns!$A$2:$A$51,0))),""))</f>
        <v/>
      </c>
      <c r="M695" s="30" t="str">
        <f aca="false">IF($C695="","",IF(OR($E695="received"),N($G695),IF(OR($E695="rejected",$E695="delivered",$E695="topped_up"),-N($G695),IF(AND(OR($E695="returned_to_brand",$E695="given_to_roster_office",$E695="released_to_office",$E695="disposed"),IF($F695="","reserve",$F695)="reserve"),-N($G695),IF(AND($E695="correction",IF($F695="","reserve",$F695)="reserve"),N($G695),0)))))</f>
        <v/>
      </c>
      <c r="N695" s="30" t="str">
        <f aca="false">IF($C695="","",IF($E695="rejected",N($G695),IF(AND(OR($E695="returned_to_brand",$E695="given_to_roster_office",$E695="released_to_office",$E695="disposed"),IF($F695="","reserve",$F695)="rejected"),-N($G695),IF(AND($E695="correction",IF($F695="","reserve",$F695)="rejected"),N($G695),0))))</f>
        <v/>
      </c>
      <c r="O695" s="30" t="str">
        <f aca="false">IF($C695="","",IF($E695="collected",N($G695),IF(AND(OR($E695="returned_to_brand",$E695="given_to_roster_office",$E695="released_to_office",$E695="disposed"),IF($F695="","reserve",$F695)="leftover"),-N($G695),IF(AND($E695="correction",IF($F695="","reserve",$F695)="leftover"),N($G695),0))))</f>
        <v/>
      </c>
      <c r="P695" s="30" t="str">
        <f aca="false">IF(OR($E695&lt;&gt;"received",$I695="",$L695=""),"",IF($I695&gt;=$L695+config!$B$19,"Y","N"))</f>
        <v/>
      </c>
      <c r="Q695" s="30" t="str">
        <f aca="false">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30" t="str">
        <f aca="false">IF($C695="","",$C695&amp;"|"&amp;$D695&amp;"|"&amp;$E695)</f>
        <v/>
      </c>
    </row>
    <row r="696" customFormat="false" ht="15" hidden="false" customHeight="false" outlineLevel="0" collapsed="false">
      <c r="A696" s="11"/>
      <c r="B696" s="38"/>
      <c r="E696" s="10"/>
      <c r="I696" s="11"/>
      <c r="J696" s="10"/>
      <c r="L696" s="31" t="str">
        <f aca="false">IF($C696="","",IFERROR(IF(INDEX(campaigns!$BG$2:$BG$51,MATCH($C696,campaigns!$A$2:$A$51,0))="","",INDEX(campaigns!$BG$2:$BG$51,MATCH($C696,campaigns!$A$2:$A$51,0))),""))</f>
        <v/>
      </c>
      <c r="M696" s="30" t="str">
        <f aca="false">IF($C696="","",IF(OR($E696="received"),N($G696),IF(OR($E696="rejected",$E696="delivered",$E696="topped_up"),-N($G696),IF(AND(OR($E696="returned_to_brand",$E696="given_to_roster_office",$E696="released_to_office",$E696="disposed"),IF($F696="","reserve",$F696)="reserve"),-N($G696),IF(AND($E696="correction",IF($F696="","reserve",$F696)="reserve"),N($G696),0)))))</f>
        <v/>
      </c>
      <c r="N696" s="30" t="str">
        <f aca="false">IF($C696="","",IF($E696="rejected",N($G696),IF(AND(OR($E696="returned_to_brand",$E696="given_to_roster_office",$E696="released_to_office",$E696="disposed"),IF($F696="","reserve",$F696)="rejected"),-N($G696),IF(AND($E696="correction",IF($F696="","reserve",$F696)="rejected"),N($G696),0))))</f>
        <v/>
      </c>
      <c r="O696" s="30" t="str">
        <f aca="false">IF($C696="","",IF($E696="collected",N($G696),IF(AND(OR($E696="returned_to_brand",$E696="given_to_roster_office",$E696="released_to_office",$E696="disposed"),IF($F696="","reserve",$F696)="leftover"),-N($G696),IF(AND($E696="correction",IF($F696="","reserve",$F696)="leftover"),N($G696),0))))</f>
        <v/>
      </c>
      <c r="P696" s="30" t="str">
        <f aca="false">IF(OR($E696&lt;&gt;"received",$I696="",$L696=""),"",IF($I696&gt;=$L696+config!$B$19,"Y","N"))</f>
        <v/>
      </c>
      <c r="Q696" s="30" t="str">
        <f aca="false">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30" t="str">
        <f aca="false">IF($C696="","",$C696&amp;"|"&amp;$D696&amp;"|"&amp;$E696)</f>
        <v/>
      </c>
    </row>
    <row r="697" customFormat="false" ht="15" hidden="false" customHeight="false" outlineLevel="0" collapsed="false">
      <c r="A697" s="11"/>
      <c r="B697" s="38"/>
      <c r="E697" s="10"/>
      <c r="I697" s="11"/>
      <c r="J697" s="10"/>
      <c r="L697" s="31" t="str">
        <f aca="false">IF($C697="","",IFERROR(IF(INDEX(campaigns!$BG$2:$BG$51,MATCH($C697,campaigns!$A$2:$A$51,0))="","",INDEX(campaigns!$BG$2:$BG$51,MATCH($C697,campaigns!$A$2:$A$51,0))),""))</f>
        <v/>
      </c>
      <c r="M697" s="30" t="str">
        <f aca="false">IF($C697="","",IF(OR($E697="received"),N($G697),IF(OR($E697="rejected",$E697="delivered",$E697="topped_up"),-N($G697),IF(AND(OR($E697="returned_to_brand",$E697="given_to_roster_office",$E697="released_to_office",$E697="disposed"),IF($F697="","reserve",$F697)="reserve"),-N($G697),IF(AND($E697="correction",IF($F697="","reserve",$F697)="reserve"),N($G697),0)))))</f>
        <v/>
      </c>
      <c r="N697" s="30" t="str">
        <f aca="false">IF($C697="","",IF($E697="rejected",N($G697),IF(AND(OR($E697="returned_to_brand",$E697="given_to_roster_office",$E697="released_to_office",$E697="disposed"),IF($F697="","reserve",$F697)="rejected"),-N($G697),IF(AND($E697="correction",IF($F697="","reserve",$F697)="rejected"),N($G697),0))))</f>
        <v/>
      </c>
      <c r="O697" s="30" t="str">
        <f aca="false">IF($C697="","",IF($E697="collected",N($G697),IF(AND(OR($E697="returned_to_brand",$E697="given_to_roster_office",$E697="released_to_office",$E697="disposed"),IF($F697="","reserve",$F697)="leftover"),-N($G697),IF(AND($E697="correction",IF($F697="","reserve",$F697)="leftover"),N($G697),0))))</f>
        <v/>
      </c>
      <c r="P697" s="30" t="str">
        <f aca="false">IF(OR($E697&lt;&gt;"received",$I697="",$L697=""),"",IF($I697&gt;=$L697+config!$B$19,"Y","N"))</f>
        <v/>
      </c>
      <c r="Q697" s="30" t="str">
        <f aca="false">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30" t="str">
        <f aca="false">IF($C697="","",$C697&amp;"|"&amp;$D697&amp;"|"&amp;$E697)</f>
        <v/>
      </c>
    </row>
    <row r="698" customFormat="false" ht="15" hidden="false" customHeight="false" outlineLevel="0" collapsed="false">
      <c r="A698" s="11"/>
      <c r="B698" s="38"/>
      <c r="E698" s="10"/>
      <c r="I698" s="11"/>
      <c r="J698" s="10"/>
      <c r="L698" s="31" t="str">
        <f aca="false">IF($C698="","",IFERROR(IF(INDEX(campaigns!$BG$2:$BG$51,MATCH($C698,campaigns!$A$2:$A$51,0))="","",INDEX(campaigns!$BG$2:$BG$51,MATCH($C698,campaigns!$A$2:$A$51,0))),""))</f>
        <v/>
      </c>
      <c r="M698" s="30" t="str">
        <f aca="false">IF($C698="","",IF(OR($E698="received"),N($G698),IF(OR($E698="rejected",$E698="delivered",$E698="topped_up"),-N($G698),IF(AND(OR($E698="returned_to_brand",$E698="given_to_roster_office",$E698="released_to_office",$E698="disposed"),IF($F698="","reserve",$F698)="reserve"),-N($G698),IF(AND($E698="correction",IF($F698="","reserve",$F698)="reserve"),N($G698),0)))))</f>
        <v/>
      </c>
      <c r="N698" s="30" t="str">
        <f aca="false">IF($C698="","",IF($E698="rejected",N($G698),IF(AND(OR($E698="returned_to_brand",$E698="given_to_roster_office",$E698="released_to_office",$E698="disposed"),IF($F698="","reserve",$F698)="rejected"),-N($G698),IF(AND($E698="correction",IF($F698="","reserve",$F698)="rejected"),N($G698),0))))</f>
        <v/>
      </c>
      <c r="O698" s="30" t="str">
        <f aca="false">IF($C698="","",IF($E698="collected",N($G698),IF(AND(OR($E698="returned_to_brand",$E698="given_to_roster_office",$E698="released_to_office",$E698="disposed"),IF($F698="","reserve",$F698)="leftover"),-N($G698),IF(AND($E698="correction",IF($F698="","reserve",$F698)="leftover"),N($G698),0))))</f>
        <v/>
      </c>
      <c r="P698" s="30" t="str">
        <f aca="false">IF(OR($E698&lt;&gt;"received",$I698="",$L698=""),"",IF($I698&gt;=$L698+config!$B$19,"Y","N"))</f>
        <v/>
      </c>
      <c r="Q698" s="30" t="str">
        <f aca="false">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30" t="str">
        <f aca="false">IF($C698="","",$C698&amp;"|"&amp;$D698&amp;"|"&amp;$E698)</f>
        <v/>
      </c>
    </row>
    <row r="699" customFormat="false" ht="15" hidden="false" customHeight="false" outlineLevel="0" collapsed="false">
      <c r="A699" s="11"/>
      <c r="B699" s="38"/>
      <c r="E699" s="10"/>
      <c r="I699" s="11"/>
      <c r="J699" s="10"/>
      <c r="L699" s="31" t="str">
        <f aca="false">IF($C699="","",IFERROR(IF(INDEX(campaigns!$BG$2:$BG$51,MATCH($C699,campaigns!$A$2:$A$51,0))="","",INDEX(campaigns!$BG$2:$BG$51,MATCH($C699,campaigns!$A$2:$A$51,0))),""))</f>
        <v/>
      </c>
      <c r="M699" s="30" t="str">
        <f aca="false">IF($C699="","",IF(OR($E699="received"),N($G699),IF(OR($E699="rejected",$E699="delivered",$E699="topped_up"),-N($G699),IF(AND(OR($E699="returned_to_brand",$E699="given_to_roster_office",$E699="released_to_office",$E699="disposed"),IF($F699="","reserve",$F699)="reserve"),-N($G699),IF(AND($E699="correction",IF($F699="","reserve",$F699)="reserve"),N($G699),0)))))</f>
        <v/>
      </c>
      <c r="N699" s="30" t="str">
        <f aca="false">IF($C699="","",IF($E699="rejected",N($G699),IF(AND(OR($E699="returned_to_brand",$E699="given_to_roster_office",$E699="released_to_office",$E699="disposed"),IF($F699="","reserve",$F699)="rejected"),-N($G699),IF(AND($E699="correction",IF($F699="","reserve",$F699)="rejected"),N($G699),0))))</f>
        <v/>
      </c>
      <c r="O699" s="30" t="str">
        <f aca="false">IF($C699="","",IF($E699="collected",N($G699),IF(AND(OR($E699="returned_to_brand",$E699="given_to_roster_office",$E699="released_to_office",$E699="disposed"),IF($F699="","reserve",$F699)="leftover"),-N($G699),IF(AND($E699="correction",IF($F699="","reserve",$F699)="leftover"),N($G699),0))))</f>
        <v/>
      </c>
      <c r="P699" s="30" t="str">
        <f aca="false">IF(OR($E699&lt;&gt;"received",$I699="",$L699=""),"",IF($I699&gt;=$L699+config!$B$19,"Y","N"))</f>
        <v/>
      </c>
      <c r="Q699" s="30" t="str">
        <f aca="false">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30" t="str">
        <f aca="false">IF($C699="","",$C699&amp;"|"&amp;$D699&amp;"|"&amp;$E699)</f>
        <v/>
      </c>
    </row>
    <row r="700" customFormat="false" ht="15" hidden="false" customHeight="false" outlineLevel="0" collapsed="false">
      <c r="A700" s="11"/>
      <c r="B700" s="38"/>
      <c r="E700" s="10"/>
      <c r="I700" s="11"/>
      <c r="J700" s="10"/>
      <c r="L700" s="31" t="str">
        <f aca="false">IF($C700="","",IFERROR(IF(INDEX(campaigns!$BG$2:$BG$51,MATCH($C700,campaigns!$A$2:$A$51,0))="","",INDEX(campaigns!$BG$2:$BG$51,MATCH($C700,campaigns!$A$2:$A$51,0))),""))</f>
        <v/>
      </c>
      <c r="M700" s="30" t="str">
        <f aca="false">IF($C700="","",IF(OR($E700="received"),N($G700),IF(OR($E700="rejected",$E700="delivered",$E700="topped_up"),-N($G700),IF(AND(OR($E700="returned_to_brand",$E700="given_to_roster_office",$E700="released_to_office",$E700="disposed"),IF($F700="","reserve",$F700)="reserve"),-N($G700),IF(AND($E700="correction",IF($F700="","reserve",$F700)="reserve"),N($G700),0)))))</f>
        <v/>
      </c>
      <c r="N700" s="30" t="str">
        <f aca="false">IF($C700="","",IF($E700="rejected",N($G700),IF(AND(OR($E700="returned_to_brand",$E700="given_to_roster_office",$E700="released_to_office",$E700="disposed"),IF($F700="","reserve",$F700)="rejected"),-N($G700),IF(AND($E700="correction",IF($F700="","reserve",$F700)="rejected"),N($G700),0))))</f>
        <v/>
      </c>
      <c r="O700" s="30" t="str">
        <f aca="false">IF($C700="","",IF($E700="collected",N($G700),IF(AND(OR($E700="returned_to_brand",$E700="given_to_roster_office",$E700="released_to_office",$E700="disposed"),IF($F700="","reserve",$F700)="leftover"),-N($G700),IF(AND($E700="correction",IF($F700="","reserve",$F700)="leftover"),N($G700),0))))</f>
        <v/>
      </c>
      <c r="P700" s="30" t="str">
        <f aca="false">IF(OR($E700&lt;&gt;"received",$I700="",$L700=""),"",IF($I700&gt;=$L700+config!$B$19,"Y","N"))</f>
        <v/>
      </c>
      <c r="Q700" s="30" t="str">
        <f aca="false">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30" t="str">
        <f aca="false">IF($C700="","",$C700&amp;"|"&amp;$D700&amp;"|"&amp;$E700)</f>
        <v/>
      </c>
    </row>
    <row r="701" customFormat="false" ht="15" hidden="false" customHeight="false" outlineLevel="0" collapsed="false">
      <c r="A701" s="11"/>
      <c r="B701" s="38"/>
      <c r="E701" s="10"/>
      <c r="I701" s="11"/>
      <c r="J701" s="10"/>
      <c r="L701" s="31" t="str">
        <f aca="false">IF($C701="","",IFERROR(IF(INDEX(campaigns!$BG$2:$BG$51,MATCH($C701,campaigns!$A$2:$A$51,0))="","",INDEX(campaigns!$BG$2:$BG$51,MATCH($C701,campaigns!$A$2:$A$51,0))),""))</f>
        <v/>
      </c>
      <c r="M701" s="30" t="str">
        <f aca="false">IF($C701="","",IF(OR($E701="received"),N($G701),IF(OR($E701="rejected",$E701="delivered",$E701="topped_up"),-N($G701),IF(AND(OR($E701="returned_to_brand",$E701="given_to_roster_office",$E701="released_to_office",$E701="disposed"),IF($F701="","reserve",$F701)="reserve"),-N($G701),IF(AND($E701="correction",IF($F701="","reserve",$F701)="reserve"),N($G701),0)))))</f>
        <v/>
      </c>
      <c r="N701" s="30" t="str">
        <f aca="false">IF($C701="","",IF($E701="rejected",N($G701),IF(AND(OR($E701="returned_to_brand",$E701="given_to_roster_office",$E701="released_to_office",$E701="disposed"),IF($F701="","reserve",$F701)="rejected"),-N($G701),IF(AND($E701="correction",IF($F701="","reserve",$F701)="rejected"),N($G701),0))))</f>
        <v/>
      </c>
      <c r="O701" s="30" t="str">
        <f aca="false">IF($C701="","",IF($E701="collected",N($G701),IF(AND(OR($E701="returned_to_brand",$E701="given_to_roster_office",$E701="released_to_office",$E701="disposed"),IF($F701="","reserve",$F701)="leftover"),-N($G701),IF(AND($E701="correction",IF($F701="","reserve",$F701)="leftover"),N($G701),0))))</f>
        <v/>
      </c>
      <c r="P701" s="30" t="str">
        <f aca="false">IF(OR($E701&lt;&gt;"received",$I701="",$L701=""),"",IF($I701&gt;=$L701+config!$B$19,"Y","N"))</f>
        <v/>
      </c>
      <c r="Q701" s="30" t="str">
        <f aca="false">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30" t="str">
        <f aca="false">IF($C701="","",$C701&amp;"|"&amp;$D701&amp;"|"&amp;$E701)</f>
        <v/>
      </c>
    </row>
    <row r="702" customFormat="false" ht="15" hidden="false" customHeight="false" outlineLevel="0" collapsed="false">
      <c r="A702" s="11"/>
      <c r="B702" s="38"/>
      <c r="E702" s="10"/>
      <c r="I702" s="11"/>
      <c r="J702" s="10"/>
      <c r="L702" s="31" t="str">
        <f aca="false">IF($C702="","",IFERROR(IF(INDEX(campaigns!$BG$2:$BG$51,MATCH($C702,campaigns!$A$2:$A$51,0))="","",INDEX(campaigns!$BG$2:$BG$51,MATCH($C702,campaigns!$A$2:$A$51,0))),""))</f>
        <v/>
      </c>
      <c r="M702" s="30" t="str">
        <f aca="false">IF($C702="","",IF(OR($E702="received"),N($G702),IF(OR($E702="rejected",$E702="delivered",$E702="topped_up"),-N($G702),IF(AND(OR($E702="returned_to_brand",$E702="given_to_roster_office",$E702="released_to_office",$E702="disposed"),IF($F702="","reserve",$F702)="reserve"),-N($G702),IF(AND($E702="correction",IF($F702="","reserve",$F702)="reserve"),N($G702),0)))))</f>
        <v/>
      </c>
      <c r="N702" s="30" t="str">
        <f aca="false">IF($C702="","",IF($E702="rejected",N($G702),IF(AND(OR($E702="returned_to_brand",$E702="given_to_roster_office",$E702="released_to_office",$E702="disposed"),IF($F702="","reserve",$F702)="rejected"),-N($G702),IF(AND($E702="correction",IF($F702="","reserve",$F702)="rejected"),N($G702),0))))</f>
        <v/>
      </c>
      <c r="O702" s="30" t="str">
        <f aca="false">IF($C702="","",IF($E702="collected",N($G702),IF(AND(OR($E702="returned_to_brand",$E702="given_to_roster_office",$E702="released_to_office",$E702="disposed"),IF($F702="","reserve",$F702)="leftover"),-N($G702),IF(AND($E702="correction",IF($F702="","reserve",$F702)="leftover"),N($G702),0))))</f>
        <v/>
      </c>
      <c r="P702" s="30" t="str">
        <f aca="false">IF(OR($E702&lt;&gt;"received",$I702="",$L702=""),"",IF($I702&gt;=$L702+config!$B$19,"Y","N"))</f>
        <v/>
      </c>
      <c r="Q702" s="30" t="str">
        <f aca="false">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30" t="str">
        <f aca="false">IF($C702="","",$C702&amp;"|"&amp;$D702&amp;"|"&amp;$E702)</f>
        <v/>
      </c>
    </row>
    <row r="703" customFormat="false" ht="15" hidden="false" customHeight="false" outlineLevel="0" collapsed="false">
      <c r="A703" s="11"/>
      <c r="B703" s="38"/>
      <c r="E703" s="10"/>
      <c r="I703" s="11"/>
      <c r="J703" s="10"/>
      <c r="L703" s="31" t="str">
        <f aca="false">IF($C703="","",IFERROR(IF(INDEX(campaigns!$BG$2:$BG$51,MATCH($C703,campaigns!$A$2:$A$51,0))="","",INDEX(campaigns!$BG$2:$BG$51,MATCH($C703,campaigns!$A$2:$A$51,0))),""))</f>
        <v/>
      </c>
      <c r="M703" s="30" t="str">
        <f aca="false">IF($C703="","",IF(OR($E703="received"),N($G703),IF(OR($E703="rejected",$E703="delivered",$E703="topped_up"),-N($G703),IF(AND(OR($E703="returned_to_brand",$E703="given_to_roster_office",$E703="released_to_office",$E703="disposed"),IF($F703="","reserve",$F703)="reserve"),-N($G703),IF(AND($E703="correction",IF($F703="","reserve",$F703)="reserve"),N($G703),0)))))</f>
        <v/>
      </c>
      <c r="N703" s="30" t="str">
        <f aca="false">IF($C703="","",IF($E703="rejected",N($G703),IF(AND(OR($E703="returned_to_brand",$E703="given_to_roster_office",$E703="released_to_office",$E703="disposed"),IF($F703="","reserve",$F703)="rejected"),-N($G703),IF(AND($E703="correction",IF($F703="","reserve",$F703)="rejected"),N($G703),0))))</f>
        <v/>
      </c>
      <c r="O703" s="30" t="str">
        <f aca="false">IF($C703="","",IF($E703="collected",N($G703),IF(AND(OR($E703="returned_to_brand",$E703="given_to_roster_office",$E703="released_to_office",$E703="disposed"),IF($F703="","reserve",$F703)="leftover"),-N($G703),IF(AND($E703="correction",IF($F703="","reserve",$F703)="leftover"),N($G703),0))))</f>
        <v/>
      </c>
      <c r="P703" s="30" t="str">
        <f aca="false">IF(OR($E703&lt;&gt;"received",$I703="",$L703=""),"",IF($I703&gt;=$L703+config!$B$19,"Y","N"))</f>
        <v/>
      </c>
      <c r="Q703" s="30" t="str">
        <f aca="false">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30" t="str">
        <f aca="false">IF($C703="","",$C703&amp;"|"&amp;$D703&amp;"|"&amp;$E703)</f>
        <v/>
      </c>
    </row>
    <row r="704" customFormat="false" ht="15" hidden="false" customHeight="false" outlineLevel="0" collapsed="false">
      <c r="A704" s="11"/>
      <c r="B704" s="38"/>
      <c r="E704" s="10"/>
      <c r="I704" s="11"/>
      <c r="J704" s="10"/>
      <c r="L704" s="31" t="str">
        <f aca="false">IF($C704="","",IFERROR(IF(INDEX(campaigns!$BG$2:$BG$51,MATCH($C704,campaigns!$A$2:$A$51,0))="","",INDEX(campaigns!$BG$2:$BG$51,MATCH($C704,campaigns!$A$2:$A$51,0))),""))</f>
        <v/>
      </c>
      <c r="M704" s="30" t="str">
        <f aca="false">IF($C704="","",IF(OR($E704="received"),N($G704),IF(OR($E704="rejected",$E704="delivered",$E704="topped_up"),-N($G704),IF(AND(OR($E704="returned_to_brand",$E704="given_to_roster_office",$E704="released_to_office",$E704="disposed"),IF($F704="","reserve",$F704)="reserve"),-N($G704),IF(AND($E704="correction",IF($F704="","reserve",$F704)="reserve"),N($G704),0)))))</f>
        <v/>
      </c>
      <c r="N704" s="30" t="str">
        <f aca="false">IF($C704="","",IF($E704="rejected",N($G704),IF(AND(OR($E704="returned_to_brand",$E704="given_to_roster_office",$E704="released_to_office",$E704="disposed"),IF($F704="","reserve",$F704)="rejected"),-N($G704),IF(AND($E704="correction",IF($F704="","reserve",$F704)="rejected"),N($G704),0))))</f>
        <v/>
      </c>
      <c r="O704" s="30" t="str">
        <f aca="false">IF($C704="","",IF($E704="collected",N($G704),IF(AND(OR($E704="returned_to_brand",$E704="given_to_roster_office",$E704="released_to_office",$E704="disposed"),IF($F704="","reserve",$F704)="leftover"),-N($G704),IF(AND($E704="correction",IF($F704="","reserve",$F704)="leftover"),N($G704),0))))</f>
        <v/>
      </c>
      <c r="P704" s="30" t="str">
        <f aca="false">IF(OR($E704&lt;&gt;"received",$I704="",$L704=""),"",IF($I704&gt;=$L704+config!$B$19,"Y","N"))</f>
        <v/>
      </c>
      <c r="Q704" s="30" t="str">
        <f aca="false">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30" t="str">
        <f aca="false">IF($C704="","",$C704&amp;"|"&amp;$D704&amp;"|"&amp;$E704)</f>
        <v/>
      </c>
    </row>
    <row r="705" customFormat="false" ht="15" hidden="false" customHeight="false" outlineLevel="0" collapsed="false">
      <c r="A705" s="11"/>
      <c r="B705" s="38"/>
      <c r="E705" s="10"/>
      <c r="I705" s="11"/>
      <c r="J705" s="10"/>
      <c r="L705" s="31" t="str">
        <f aca="false">IF($C705="","",IFERROR(IF(INDEX(campaigns!$BG$2:$BG$51,MATCH($C705,campaigns!$A$2:$A$51,0))="","",INDEX(campaigns!$BG$2:$BG$51,MATCH($C705,campaigns!$A$2:$A$51,0))),""))</f>
        <v/>
      </c>
      <c r="M705" s="30" t="str">
        <f aca="false">IF($C705="","",IF(OR($E705="received"),N($G705),IF(OR($E705="rejected",$E705="delivered",$E705="topped_up"),-N($G705),IF(AND(OR($E705="returned_to_brand",$E705="given_to_roster_office",$E705="released_to_office",$E705="disposed"),IF($F705="","reserve",$F705)="reserve"),-N($G705),IF(AND($E705="correction",IF($F705="","reserve",$F705)="reserve"),N($G705),0)))))</f>
        <v/>
      </c>
      <c r="N705" s="30" t="str">
        <f aca="false">IF($C705="","",IF($E705="rejected",N($G705),IF(AND(OR($E705="returned_to_brand",$E705="given_to_roster_office",$E705="released_to_office",$E705="disposed"),IF($F705="","reserve",$F705)="rejected"),-N($G705),IF(AND($E705="correction",IF($F705="","reserve",$F705)="rejected"),N($G705),0))))</f>
        <v/>
      </c>
      <c r="O705" s="30" t="str">
        <f aca="false">IF($C705="","",IF($E705="collected",N($G705),IF(AND(OR($E705="returned_to_brand",$E705="given_to_roster_office",$E705="released_to_office",$E705="disposed"),IF($F705="","reserve",$F705)="leftover"),-N($G705),IF(AND($E705="correction",IF($F705="","reserve",$F705)="leftover"),N($G705),0))))</f>
        <v/>
      </c>
      <c r="P705" s="30" t="str">
        <f aca="false">IF(OR($E705&lt;&gt;"received",$I705="",$L705=""),"",IF($I705&gt;=$L705+config!$B$19,"Y","N"))</f>
        <v/>
      </c>
      <c r="Q705" s="30" t="str">
        <f aca="false">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30" t="str">
        <f aca="false">IF($C705="","",$C705&amp;"|"&amp;$D705&amp;"|"&amp;$E705)</f>
        <v/>
      </c>
    </row>
    <row r="706" customFormat="false" ht="15" hidden="false" customHeight="false" outlineLevel="0" collapsed="false">
      <c r="A706" s="11"/>
      <c r="B706" s="38"/>
      <c r="E706" s="10"/>
      <c r="I706" s="11"/>
      <c r="J706" s="10"/>
      <c r="L706" s="31" t="str">
        <f aca="false">IF($C706="","",IFERROR(IF(INDEX(campaigns!$BG$2:$BG$51,MATCH($C706,campaigns!$A$2:$A$51,0))="","",INDEX(campaigns!$BG$2:$BG$51,MATCH($C706,campaigns!$A$2:$A$51,0))),""))</f>
        <v/>
      </c>
      <c r="M706" s="30" t="str">
        <f aca="false">IF($C706="","",IF(OR($E706="received"),N($G706),IF(OR($E706="rejected",$E706="delivered",$E706="topped_up"),-N($G706),IF(AND(OR($E706="returned_to_brand",$E706="given_to_roster_office",$E706="released_to_office",$E706="disposed"),IF($F706="","reserve",$F706)="reserve"),-N($G706),IF(AND($E706="correction",IF($F706="","reserve",$F706)="reserve"),N($G706),0)))))</f>
        <v/>
      </c>
      <c r="N706" s="30" t="str">
        <f aca="false">IF($C706="","",IF($E706="rejected",N($G706),IF(AND(OR($E706="returned_to_brand",$E706="given_to_roster_office",$E706="released_to_office",$E706="disposed"),IF($F706="","reserve",$F706)="rejected"),-N($G706),IF(AND($E706="correction",IF($F706="","reserve",$F706)="rejected"),N($G706),0))))</f>
        <v/>
      </c>
      <c r="O706" s="30" t="str">
        <f aca="false">IF($C706="","",IF($E706="collected",N($G706),IF(AND(OR($E706="returned_to_brand",$E706="given_to_roster_office",$E706="released_to_office",$E706="disposed"),IF($F706="","reserve",$F706)="leftover"),-N($G706),IF(AND($E706="correction",IF($F706="","reserve",$F706)="leftover"),N($G706),0))))</f>
        <v/>
      </c>
      <c r="P706" s="30" t="str">
        <f aca="false">IF(OR($E706&lt;&gt;"received",$I706="",$L706=""),"",IF($I706&gt;=$L706+config!$B$19,"Y","N"))</f>
        <v/>
      </c>
      <c r="Q706" s="30" t="str">
        <f aca="false">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30" t="str">
        <f aca="false">IF($C706="","",$C706&amp;"|"&amp;$D706&amp;"|"&amp;$E706)</f>
        <v/>
      </c>
    </row>
    <row r="707" customFormat="false" ht="15" hidden="false" customHeight="false" outlineLevel="0" collapsed="false">
      <c r="A707" s="11"/>
      <c r="B707" s="38"/>
      <c r="E707" s="10"/>
      <c r="I707" s="11"/>
      <c r="J707" s="10"/>
      <c r="L707" s="31" t="str">
        <f aca="false">IF($C707="","",IFERROR(IF(INDEX(campaigns!$BG$2:$BG$51,MATCH($C707,campaigns!$A$2:$A$51,0))="","",INDEX(campaigns!$BG$2:$BG$51,MATCH($C707,campaigns!$A$2:$A$51,0))),""))</f>
        <v/>
      </c>
      <c r="M707" s="30" t="str">
        <f aca="false">IF($C707="","",IF(OR($E707="received"),N($G707),IF(OR($E707="rejected",$E707="delivered",$E707="topped_up"),-N($G707),IF(AND(OR($E707="returned_to_brand",$E707="given_to_roster_office",$E707="released_to_office",$E707="disposed"),IF($F707="","reserve",$F707)="reserve"),-N($G707),IF(AND($E707="correction",IF($F707="","reserve",$F707)="reserve"),N($G707),0)))))</f>
        <v/>
      </c>
      <c r="N707" s="30" t="str">
        <f aca="false">IF($C707="","",IF($E707="rejected",N($G707),IF(AND(OR($E707="returned_to_brand",$E707="given_to_roster_office",$E707="released_to_office",$E707="disposed"),IF($F707="","reserve",$F707)="rejected"),-N($G707),IF(AND($E707="correction",IF($F707="","reserve",$F707)="rejected"),N($G707),0))))</f>
        <v/>
      </c>
      <c r="O707" s="30" t="str">
        <f aca="false">IF($C707="","",IF($E707="collected",N($G707),IF(AND(OR($E707="returned_to_brand",$E707="given_to_roster_office",$E707="released_to_office",$E707="disposed"),IF($F707="","reserve",$F707)="leftover"),-N($G707),IF(AND($E707="correction",IF($F707="","reserve",$F707)="leftover"),N($G707),0))))</f>
        <v/>
      </c>
      <c r="P707" s="30" t="str">
        <f aca="false">IF(OR($E707&lt;&gt;"received",$I707="",$L707=""),"",IF($I707&gt;=$L707+config!$B$19,"Y","N"))</f>
        <v/>
      </c>
      <c r="Q707" s="30" t="str">
        <f aca="false">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30" t="str">
        <f aca="false">IF($C707="","",$C707&amp;"|"&amp;$D707&amp;"|"&amp;$E707)</f>
        <v/>
      </c>
    </row>
    <row r="708" customFormat="false" ht="15" hidden="false" customHeight="false" outlineLevel="0" collapsed="false">
      <c r="A708" s="11"/>
      <c r="B708" s="38"/>
      <c r="E708" s="10"/>
      <c r="I708" s="11"/>
      <c r="J708" s="10"/>
      <c r="L708" s="31" t="str">
        <f aca="false">IF($C708="","",IFERROR(IF(INDEX(campaigns!$BG$2:$BG$51,MATCH($C708,campaigns!$A$2:$A$51,0))="","",INDEX(campaigns!$BG$2:$BG$51,MATCH($C708,campaigns!$A$2:$A$51,0))),""))</f>
        <v/>
      </c>
      <c r="M708" s="30" t="str">
        <f aca="false">IF($C708="","",IF(OR($E708="received"),N($G708),IF(OR($E708="rejected",$E708="delivered",$E708="topped_up"),-N($G708),IF(AND(OR($E708="returned_to_brand",$E708="given_to_roster_office",$E708="released_to_office",$E708="disposed"),IF($F708="","reserve",$F708)="reserve"),-N($G708),IF(AND($E708="correction",IF($F708="","reserve",$F708)="reserve"),N($G708),0)))))</f>
        <v/>
      </c>
      <c r="N708" s="30" t="str">
        <f aca="false">IF($C708="","",IF($E708="rejected",N($G708),IF(AND(OR($E708="returned_to_brand",$E708="given_to_roster_office",$E708="released_to_office",$E708="disposed"),IF($F708="","reserve",$F708)="rejected"),-N($G708),IF(AND($E708="correction",IF($F708="","reserve",$F708)="rejected"),N($G708),0))))</f>
        <v/>
      </c>
      <c r="O708" s="30" t="str">
        <f aca="false">IF($C708="","",IF($E708="collected",N($G708),IF(AND(OR($E708="returned_to_brand",$E708="given_to_roster_office",$E708="released_to_office",$E708="disposed"),IF($F708="","reserve",$F708)="leftover"),-N($G708),IF(AND($E708="correction",IF($F708="","reserve",$F708)="leftover"),N($G708),0))))</f>
        <v/>
      </c>
      <c r="P708" s="30" t="str">
        <f aca="false">IF(OR($E708&lt;&gt;"received",$I708="",$L708=""),"",IF($I708&gt;=$L708+config!$B$19,"Y","N"))</f>
        <v/>
      </c>
      <c r="Q708" s="30" t="str">
        <f aca="false">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30" t="str">
        <f aca="false">IF($C708="","",$C708&amp;"|"&amp;$D708&amp;"|"&amp;$E708)</f>
        <v/>
      </c>
    </row>
    <row r="709" customFormat="false" ht="15" hidden="false" customHeight="false" outlineLevel="0" collapsed="false">
      <c r="A709" s="11"/>
      <c r="B709" s="38"/>
      <c r="E709" s="10"/>
      <c r="I709" s="11"/>
      <c r="J709" s="10"/>
      <c r="L709" s="31" t="str">
        <f aca="false">IF($C709="","",IFERROR(IF(INDEX(campaigns!$BG$2:$BG$51,MATCH($C709,campaigns!$A$2:$A$51,0))="","",INDEX(campaigns!$BG$2:$BG$51,MATCH($C709,campaigns!$A$2:$A$51,0))),""))</f>
        <v/>
      </c>
      <c r="M709" s="30" t="str">
        <f aca="false">IF($C709="","",IF(OR($E709="received"),N($G709),IF(OR($E709="rejected",$E709="delivered",$E709="topped_up"),-N($G709),IF(AND(OR($E709="returned_to_brand",$E709="given_to_roster_office",$E709="released_to_office",$E709="disposed"),IF($F709="","reserve",$F709)="reserve"),-N($G709),IF(AND($E709="correction",IF($F709="","reserve",$F709)="reserve"),N($G709),0)))))</f>
        <v/>
      </c>
      <c r="N709" s="30" t="str">
        <f aca="false">IF($C709="","",IF($E709="rejected",N($G709),IF(AND(OR($E709="returned_to_brand",$E709="given_to_roster_office",$E709="released_to_office",$E709="disposed"),IF($F709="","reserve",$F709)="rejected"),-N($G709),IF(AND($E709="correction",IF($F709="","reserve",$F709)="rejected"),N($G709),0))))</f>
        <v/>
      </c>
      <c r="O709" s="30" t="str">
        <f aca="false">IF($C709="","",IF($E709="collected",N($G709),IF(AND(OR($E709="returned_to_brand",$E709="given_to_roster_office",$E709="released_to_office",$E709="disposed"),IF($F709="","reserve",$F709)="leftover"),-N($G709),IF(AND($E709="correction",IF($F709="","reserve",$F709)="leftover"),N($G709),0))))</f>
        <v/>
      </c>
      <c r="P709" s="30" t="str">
        <f aca="false">IF(OR($E709&lt;&gt;"received",$I709="",$L709=""),"",IF($I709&gt;=$L709+config!$B$19,"Y","N"))</f>
        <v/>
      </c>
      <c r="Q709" s="30" t="str">
        <f aca="false">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30" t="str">
        <f aca="false">IF($C709="","",$C709&amp;"|"&amp;$D709&amp;"|"&amp;$E709)</f>
        <v/>
      </c>
    </row>
    <row r="710" customFormat="false" ht="15" hidden="false" customHeight="false" outlineLevel="0" collapsed="false">
      <c r="A710" s="11"/>
      <c r="B710" s="38"/>
      <c r="E710" s="10"/>
      <c r="I710" s="11"/>
      <c r="J710" s="10"/>
      <c r="L710" s="31" t="str">
        <f aca="false">IF($C710="","",IFERROR(IF(INDEX(campaigns!$BG$2:$BG$51,MATCH($C710,campaigns!$A$2:$A$51,0))="","",INDEX(campaigns!$BG$2:$BG$51,MATCH($C710,campaigns!$A$2:$A$51,0))),""))</f>
        <v/>
      </c>
      <c r="M710" s="30" t="str">
        <f aca="false">IF($C710="","",IF(OR($E710="received"),N($G710),IF(OR($E710="rejected",$E710="delivered",$E710="topped_up"),-N($G710),IF(AND(OR($E710="returned_to_brand",$E710="given_to_roster_office",$E710="released_to_office",$E710="disposed"),IF($F710="","reserve",$F710)="reserve"),-N($G710),IF(AND($E710="correction",IF($F710="","reserve",$F710)="reserve"),N($G710),0)))))</f>
        <v/>
      </c>
      <c r="N710" s="30" t="str">
        <f aca="false">IF($C710="","",IF($E710="rejected",N($G710),IF(AND(OR($E710="returned_to_brand",$E710="given_to_roster_office",$E710="released_to_office",$E710="disposed"),IF($F710="","reserve",$F710)="rejected"),-N($G710),IF(AND($E710="correction",IF($F710="","reserve",$F710)="rejected"),N($G710),0))))</f>
        <v/>
      </c>
      <c r="O710" s="30" t="str">
        <f aca="false">IF($C710="","",IF($E710="collected",N($G710),IF(AND(OR($E710="returned_to_brand",$E710="given_to_roster_office",$E710="released_to_office",$E710="disposed"),IF($F710="","reserve",$F710)="leftover"),-N($G710),IF(AND($E710="correction",IF($F710="","reserve",$F710)="leftover"),N($G710),0))))</f>
        <v/>
      </c>
      <c r="P710" s="30" t="str">
        <f aca="false">IF(OR($E710&lt;&gt;"received",$I710="",$L710=""),"",IF($I710&gt;=$L710+config!$B$19,"Y","N"))</f>
        <v/>
      </c>
      <c r="Q710" s="30" t="str">
        <f aca="false">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30" t="str">
        <f aca="false">IF($C710="","",$C710&amp;"|"&amp;$D710&amp;"|"&amp;$E710)</f>
        <v/>
      </c>
    </row>
    <row r="711" customFormat="false" ht="15" hidden="false" customHeight="false" outlineLevel="0" collapsed="false">
      <c r="A711" s="11"/>
      <c r="B711" s="38"/>
      <c r="E711" s="10"/>
      <c r="I711" s="11"/>
      <c r="J711" s="10"/>
      <c r="L711" s="31" t="str">
        <f aca="false">IF($C711="","",IFERROR(IF(INDEX(campaigns!$BG$2:$BG$51,MATCH($C711,campaigns!$A$2:$A$51,0))="","",INDEX(campaigns!$BG$2:$BG$51,MATCH($C711,campaigns!$A$2:$A$51,0))),""))</f>
        <v/>
      </c>
      <c r="M711" s="30" t="str">
        <f aca="false">IF($C711="","",IF(OR($E711="received"),N($G711),IF(OR($E711="rejected",$E711="delivered",$E711="topped_up"),-N($G711),IF(AND(OR($E711="returned_to_brand",$E711="given_to_roster_office",$E711="released_to_office",$E711="disposed"),IF($F711="","reserve",$F711)="reserve"),-N($G711),IF(AND($E711="correction",IF($F711="","reserve",$F711)="reserve"),N($G711),0)))))</f>
        <v/>
      </c>
      <c r="N711" s="30" t="str">
        <f aca="false">IF($C711="","",IF($E711="rejected",N($G711),IF(AND(OR($E711="returned_to_brand",$E711="given_to_roster_office",$E711="released_to_office",$E711="disposed"),IF($F711="","reserve",$F711)="rejected"),-N($G711),IF(AND($E711="correction",IF($F711="","reserve",$F711)="rejected"),N($G711),0))))</f>
        <v/>
      </c>
      <c r="O711" s="30" t="str">
        <f aca="false">IF($C711="","",IF($E711="collected",N($G711),IF(AND(OR($E711="returned_to_brand",$E711="given_to_roster_office",$E711="released_to_office",$E711="disposed"),IF($F711="","reserve",$F711)="leftover"),-N($G711),IF(AND($E711="correction",IF($F711="","reserve",$F711)="leftover"),N($G711),0))))</f>
        <v/>
      </c>
      <c r="P711" s="30" t="str">
        <f aca="false">IF(OR($E711&lt;&gt;"received",$I711="",$L711=""),"",IF($I711&gt;=$L711+config!$B$19,"Y","N"))</f>
        <v/>
      </c>
      <c r="Q711" s="30" t="str">
        <f aca="false">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30" t="str">
        <f aca="false">IF($C711="","",$C711&amp;"|"&amp;$D711&amp;"|"&amp;$E711)</f>
        <v/>
      </c>
    </row>
    <row r="712" customFormat="false" ht="15" hidden="false" customHeight="false" outlineLevel="0" collapsed="false">
      <c r="A712" s="11"/>
      <c r="B712" s="38"/>
      <c r="E712" s="10"/>
      <c r="I712" s="11"/>
      <c r="J712" s="10"/>
      <c r="L712" s="31" t="str">
        <f aca="false">IF($C712="","",IFERROR(IF(INDEX(campaigns!$BG$2:$BG$51,MATCH($C712,campaigns!$A$2:$A$51,0))="","",INDEX(campaigns!$BG$2:$BG$51,MATCH($C712,campaigns!$A$2:$A$51,0))),""))</f>
        <v/>
      </c>
      <c r="M712" s="30" t="str">
        <f aca="false">IF($C712="","",IF(OR($E712="received"),N($G712),IF(OR($E712="rejected",$E712="delivered",$E712="topped_up"),-N($G712),IF(AND(OR($E712="returned_to_brand",$E712="given_to_roster_office",$E712="released_to_office",$E712="disposed"),IF($F712="","reserve",$F712)="reserve"),-N($G712),IF(AND($E712="correction",IF($F712="","reserve",$F712)="reserve"),N($G712),0)))))</f>
        <v/>
      </c>
      <c r="N712" s="30" t="str">
        <f aca="false">IF($C712="","",IF($E712="rejected",N($G712),IF(AND(OR($E712="returned_to_brand",$E712="given_to_roster_office",$E712="released_to_office",$E712="disposed"),IF($F712="","reserve",$F712)="rejected"),-N($G712),IF(AND($E712="correction",IF($F712="","reserve",$F712)="rejected"),N($G712),0))))</f>
        <v/>
      </c>
      <c r="O712" s="30" t="str">
        <f aca="false">IF($C712="","",IF($E712="collected",N($G712),IF(AND(OR($E712="returned_to_brand",$E712="given_to_roster_office",$E712="released_to_office",$E712="disposed"),IF($F712="","reserve",$F712)="leftover"),-N($G712),IF(AND($E712="correction",IF($F712="","reserve",$F712)="leftover"),N($G712),0))))</f>
        <v/>
      </c>
      <c r="P712" s="30" t="str">
        <f aca="false">IF(OR($E712&lt;&gt;"received",$I712="",$L712=""),"",IF($I712&gt;=$L712+config!$B$19,"Y","N"))</f>
        <v/>
      </c>
      <c r="Q712" s="30" t="str">
        <f aca="false">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30" t="str">
        <f aca="false">IF($C712="","",$C712&amp;"|"&amp;$D712&amp;"|"&amp;$E712)</f>
        <v/>
      </c>
    </row>
    <row r="713" customFormat="false" ht="15" hidden="false" customHeight="false" outlineLevel="0" collapsed="false">
      <c r="A713" s="11"/>
      <c r="B713" s="38"/>
      <c r="E713" s="10"/>
      <c r="I713" s="11"/>
      <c r="J713" s="10"/>
      <c r="L713" s="31" t="str">
        <f aca="false">IF($C713="","",IFERROR(IF(INDEX(campaigns!$BG$2:$BG$51,MATCH($C713,campaigns!$A$2:$A$51,0))="","",INDEX(campaigns!$BG$2:$BG$51,MATCH($C713,campaigns!$A$2:$A$51,0))),""))</f>
        <v/>
      </c>
      <c r="M713" s="30" t="str">
        <f aca="false">IF($C713="","",IF(OR($E713="received"),N($G713),IF(OR($E713="rejected",$E713="delivered",$E713="topped_up"),-N($G713),IF(AND(OR($E713="returned_to_brand",$E713="given_to_roster_office",$E713="released_to_office",$E713="disposed"),IF($F713="","reserve",$F713)="reserve"),-N($G713),IF(AND($E713="correction",IF($F713="","reserve",$F713)="reserve"),N($G713),0)))))</f>
        <v/>
      </c>
      <c r="N713" s="30" t="str">
        <f aca="false">IF($C713="","",IF($E713="rejected",N($G713),IF(AND(OR($E713="returned_to_brand",$E713="given_to_roster_office",$E713="released_to_office",$E713="disposed"),IF($F713="","reserve",$F713)="rejected"),-N($G713),IF(AND($E713="correction",IF($F713="","reserve",$F713)="rejected"),N($G713),0))))</f>
        <v/>
      </c>
      <c r="O713" s="30" t="str">
        <f aca="false">IF($C713="","",IF($E713="collected",N($G713),IF(AND(OR($E713="returned_to_brand",$E713="given_to_roster_office",$E713="released_to_office",$E713="disposed"),IF($F713="","reserve",$F713)="leftover"),-N($G713),IF(AND($E713="correction",IF($F713="","reserve",$F713)="leftover"),N($G713),0))))</f>
        <v/>
      </c>
      <c r="P713" s="30" t="str">
        <f aca="false">IF(OR($E713&lt;&gt;"received",$I713="",$L713=""),"",IF($I713&gt;=$L713+config!$B$19,"Y","N"))</f>
        <v/>
      </c>
      <c r="Q713" s="30" t="str">
        <f aca="false">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30" t="str">
        <f aca="false">IF($C713="","",$C713&amp;"|"&amp;$D713&amp;"|"&amp;$E713)</f>
        <v/>
      </c>
    </row>
    <row r="714" customFormat="false" ht="15" hidden="false" customHeight="false" outlineLevel="0" collapsed="false">
      <c r="A714" s="11"/>
      <c r="B714" s="38"/>
      <c r="E714" s="10"/>
      <c r="I714" s="11"/>
      <c r="J714" s="10"/>
      <c r="L714" s="31" t="str">
        <f aca="false">IF($C714="","",IFERROR(IF(INDEX(campaigns!$BG$2:$BG$51,MATCH($C714,campaigns!$A$2:$A$51,0))="","",INDEX(campaigns!$BG$2:$BG$51,MATCH($C714,campaigns!$A$2:$A$51,0))),""))</f>
        <v/>
      </c>
      <c r="M714" s="30" t="str">
        <f aca="false">IF($C714="","",IF(OR($E714="received"),N($G714),IF(OR($E714="rejected",$E714="delivered",$E714="topped_up"),-N($G714),IF(AND(OR($E714="returned_to_brand",$E714="given_to_roster_office",$E714="released_to_office",$E714="disposed"),IF($F714="","reserve",$F714)="reserve"),-N($G714),IF(AND($E714="correction",IF($F714="","reserve",$F714)="reserve"),N($G714),0)))))</f>
        <v/>
      </c>
      <c r="N714" s="30" t="str">
        <f aca="false">IF($C714="","",IF($E714="rejected",N($G714),IF(AND(OR($E714="returned_to_brand",$E714="given_to_roster_office",$E714="released_to_office",$E714="disposed"),IF($F714="","reserve",$F714)="rejected"),-N($G714),IF(AND($E714="correction",IF($F714="","reserve",$F714)="rejected"),N($G714),0))))</f>
        <v/>
      </c>
      <c r="O714" s="30" t="str">
        <f aca="false">IF($C714="","",IF($E714="collected",N($G714),IF(AND(OR($E714="returned_to_brand",$E714="given_to_roster_office",$E714="released_to_office",$E714="disposed"),IF($F714="","reserve",$F714)="leftover"),-N($G714),IF(AND($E714="correction",IF($F714="","reserve",$F714)="leftover"),N($G714),0))))</f>
        <v/>
      </c>
      <c r="P714" s="30" t="str">
        <f aca="false">IF(OR($E714&lt;&gt;"received",$I714="",$L714=""),"",IF($I714&gt;=$L714+config!$B$19,"Y","N"))</f>
        <v/>
      </c>
      <c r="Q714" s="30" t="str">
        <f aca="false">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30" t="str">
        <f aca="false">IF($C714="","",$C714&amp;"|"&amp;$D714&amp;"|"&amp;$E714)</f>
        <v/>
      </c>
    </row>
    <row r="715" customFormat="false" ht="15" hidden="false" customHeight="false" outlineLevel="0" collapsed="false">
      <c r="A715" s="11"/>
      <c r="B715" s="38"/>
      <c r="E715" s="10"/>
      <c r="I715" s="11"/>
      <c r="J715" s="10"/>
      <c r="L715" s="31" t="str">
        <f aca="false">IF($C715="","",IFERROR(IF(INDEX(campaigns!$BG$2:$BG$51,MATCH($C715,campaigns!$A$2:$A$51,0))="","",INDEX(campaigns!$BG$2:$BG$51,MATCH($C715,campaigns!$A$2:$A$51,0))),""))</f>
        <v/>
      </c>
      <c r="M715" s="30" t="str">
        <f aca="false">IF($C715="","",IF(OR($E715="received"),N($G715),IF(OR($E715="rejected",$E715="delivered",$E715="topped_up"),-N($G715),IF(AND(OR($E715="returned_to_brand",$E715="given_to_roster_office",$E715="released_to_office",$E715="disposed"),IF($F715="","reserve",$F715)="reserve"),-N($G715),IF(AND($E715="correction",IF($F715="","reserve",$F715)="reserve"),N($G715),0)))))</f>
        <v/>
      </c>
      <c r="N715" s="30" t="str">
        <f aca="false">IF($C715="","",IF($E715="rejected",N($G715),IF(AND(OR($E715="returned_to_brand",$E715="given_to_roster_office",$E715="released_to_office",$E715="disposed"),IF($F715="","reserve",$F715)="rejected"),-N($G715),IF(AND($E715="correction",IF($F715="","reserve",$F715)="rejected"),N($G715),0))))</f>
        <v/>
      </c>
      <c r="O715" s="30" t="str">
        <f aca="false">IF($C715="","",IF($E715="collected",N($G715),IF(AND(OR($E715="returned_to_brand",$E715="given_to_roster_office",$E715="released_to_office",$E715="disposed"),IF($F715="","reserve",$F715)="leftover"),-N($G715),IF(AND($E715="correction",IF($F715="","reserve",$F715)="leftover"),N($G715),0))))</f>
        <v/>
      </c>
      <c r="P715" s="30" t="str">
        <f aca="false">IF(OR($E715&lt;&gt;"received",$I715="",$L715=""),"",IF($I715&gt;=$L715+config!$B$19,"Y","N"))</f>
        <v/>
      </c>
      <c r="Q715" s="30" t="str">
        <f aca="false">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30" t="str">
        <f aca="false">IF($C715="","",$C715&amp;"|"&amp;$D715&amp;"|"&amp;$E715)</f>
        <v/>
      </c>
    </row>
    <row r="716" customFormat="false" ht="15" hidden="false" customHeight="false" outlineLevel="0" collapsed="false">
      <c r="A716" s="11"/>
      <c r="B716" s="38"/>
      <c r="E716" s="10"/>
      <c r="I716" s="11"/>
      <c r="J716" s="10"/>
      <c r="L716" s="31" t="str">
        <f aca="false">IF($C716="","",IFERROR(IF(INDEX(campaigns!$BG$2:$BG$51,MATCH($C716,campaigns!$A$2:$A$51,0))="","",INDEX(campaigns!$BG$2:$BG$51,MATCH($C716,campaigns!$A$2:$A$51,0))),""))</f>
        <v/>
      </c>
      <c r="M716" s="30" t="str">
        <f aca="false">IF($C716="","",IF(OR($E716="received"),N($G716),IF(OR($E716="rejected",$E716="delivered",$E716="topped_up"),-N($G716),IF(AND(OR($E716="returned_to_brand",$E716="given_to_roster_office",$E716="released_to_office",$E716="disposed"),IF($F716="","reserve",$F716)="reserve"),-N($G716),IF(AND($E716="correction",IF($F716="","reserve",$F716)="reserve"),N($G716),0)))))</f>
        <v/>
      </c>
      <c r="N716" s="30" t="str">
        <f aca="false">IF($C716="","",IF($E716="rejected",N($G716),IF(AND(OR($E716="returned_to_brand",$E716="given_to_roster_office",$E716="released_to_office",$E716="disposed"),IF($F716="","reserve",$F716)="rejected"),-N($G716),IF(AND($E716="correction",IF($F716="","reserve",$F716)="rejected"),N($G716),0))))</f>
        <v/>
      </c>
      <c r="O716" s="30" t="str">
        <f aca="false">IF($C716="","",IF($E716="collected",N($G716),IF(AND(OR($E716="returned_to_brand",$E716="given_to_roster_office",$E716="released_to_office",$E716="disposed"),IF($F716="","reserve",$F716)="leftover"),-N($G716),IF(AND($E716="correction",IF($F716="","reserve",$F716)="leftover"),N($G716),0))))</f>
        <v/>
      </c>
      <c r="P716" s="30" t="str">
        <f aca="false">IF(OR($E716&lt;&gt;"received",$I716="",$L716=""),"",IF($I716&gt;=$L716+config!$B$19,"Y","N"))</f>
        <v/>
      </c>
      <c r="Q716" s="30" t="str">
        <f aca="false">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30" t="str">
        <f aca="false">IF($C716="","",$C716&amp;"|"&amp;$D716&amp;"|"&amp;$E716)</f>
        <v/>
      </c>
    </row>
    <row r="717" customFormat="false" ht="15" hidden="false" customHeight="false" outlineLevel="0" collapsed="false">
      <c r="A717" s="11"/>
      <c r="B717" s="38"/>
      <c r="E717" s="10"/>
      <c r="I717" s="11"/>
      <c r="J717" s="10"/>
      <c r="L717" s="31" t="str">
        <f aca="false">IF($C717="","",IFERROR(IF(INDEX(campaigns!$BG$2:$BG$51,MATCH($C717,campaigns!$A$2:$A$51,0))="","",INDEX(campaigns!$BG$2:$BG$51,MATCH($C717,campaigns!$A$2:$A$51,0))),""))</f>
        <v/>
      </c>
      <c r="M717" s="30" t="str">
        <f aca="false">IF($C717="","",IF(OR($E717="received"),N($G717),IF(OR($E717="rejected",$E717="delivered",$E717="topped_up"),-N($G717),IF(AND(OR($E717="returned_to_brand",$E717="given_to_roster_office",$E717="released_to_office",$E717="disposed"),IF($F717="","reserve",$F717)="reserve"),-N($G717),IF(AND($E717="correction",IF($F717="","reserve",$F717)="reserve"),N($G717),0)))))</f>
        <v/>
      </c>
      <c r="N717" s="30" t="str">
        <f aca="false">IF($C717="","",IF($E717="rejected",N($G717),IF(AND(OR($E717="returned_to_brand",$E717="given_to_roster_office",$E717="released_to_office",$E717="disposed"),IF($F717="","reserve",$F717)="rejected"),-N($G717),IF(AND($E717="correction",IF($F717="","reserve",$F717)="rejected"),N($G717),0))))</f>
        <v/>
      </c>
      <c r="O717" s="30" t="str">
        <f aca="false">IF($C717="","",IF($E717="collected",N($G717),IF(AND(OR($E717="returned_to_brand",$E717="given_to_roster_office",$E717="released_to_office",$E717="disposed"),IF($F717="","reserve",$F717)="leftover"),-N($G717),IF(AND($E717="correction",IF($F717="","reserve",$F717)="leftover"),N($G717),0))))</f>
        <v/>
      </c>
      <c r="P717" s="30" t="str">
        <f aca="false">IF(OR($E717&lt;&gt;"received",$I717="",$L717=""),"",IF($I717&gt;=$L717+config!$B$19,"Y","N"))</f>
        <v/>
      </c>
      <c r="Q717" s="30" t="str">
        <f aca="false">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30" t="str">
        <f aca="false">IF($C717="","",$C717&amp;"|"&amp;$D717&amp;"|"&amp;$E717)</f>
        <v/>
      </c>
    </row>
    <row r="718" customFormat="false" ht="15" hidden="false" customHeight="false" outlineLevel="0" collapsed="false">
      <c r="A718" s="11"/>
      <c r="B718" s="38"/>
      <c r="E718" s="10"/>
      <c r="I718" s="11"/>
      <c r="J718" s="10"/>
      <c r="L718" s="31" t="str">
        <f aca="false">IF($C718="","",IFERROR(IF(INDEX(campaigns!$BG$2:$BG$51,MATCH($C718,campaigns!$A$2:$A$51,0))="","",INDEX(campaigns!$BG$2:$BG$51,MATCH($C718,campaigns!$A$2:$A$51,0))),""))</f>
        <v/>
      </c>
      <c r="M718" s="30" t="str">
        <f aca="false">IF($C718="","",IF(OR($E718="received"),N($G718),IF(OR($E718="rejected",$E718="delivered",$E718="topped_up"),-N($G718),IF(AND(OR($E718="returned_to_brand",$E718="given_to_roster_office",$E718="released_to_office",$E718="disposed"),IF($F718="","reserve",$F718)="reserve"),-N($G718),IF(AND($E718="correction",IF($F718="","reserve",$F718)="reserve"),N($G718),0)))))</f>
        <v/>
      </c>
      <c r="N718" s="30" t="str">
        <f aca="false">IF($C718="","",IF($E718="rejected",N($G718),IF(AND(OR($E718="returned_to_brand",$E718="given_to_roster_office",$E718="released_to_office",$E718="disposed"),IF($F718="","reserve",$F718)="rejected"),-N($G718),IF(AND($E718="correction",IF($F718="","reserve",$F718)="rejected"),N($G718),0))))</f>
        <v/>
      </c>
      <c r="O718" s="30" t="str">
        <f aca="false">IF($C718="","",IF($E718="collected",N($G718),IF(AND(OR($E718="returned_to_brand",$E718="given_to_roster_office",$E718="released_to_office",$E718="disposed"),IF($F718="","reserve",$F718)="leftover"),-N($G718),IF(AND($E718="correction",IF($F718="","reserve",$F718)="leftover"),N($G718),0))))</f>
        <v/>
      </c>
      <c r="P718" s="30" t="str">
        <f aca="false">IF(OR($E718&lt;&gt;"received",$I718="",$L718=""),"",IF($I718&gt;=$L718+config!$B$19,"Y","N"))</f>
        <v/>
      </c>
      <c r="Q718" s="30" t="str">
        <f aca="false">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30" t="str">
        <f aca="false">IF($C718="","",$C718&amp;"|"&amp;$D718&amp;"|"&amp;$E718)</f>
        <v/>
      </c>
    </row>
    <row r="719" customFormat="false" ht="15" hidden="false" customHeight="false" outlineLevel="0" collapsed="false">
      <c r="A719" s="11"/>
      <c r="B719" s="38"/>
      <c r="E719" s="10"/>
      <c r="I719" s="11"/>
      <c r="J719" s="10"/>
      <c r="L719" s="31" t="str">
        <f aca="false">IF($C719="","",IFERROR(IF(INDEX(campaigns!$BG$2:$BG$51,MATCH($C719,campaigns!$A$2:$A$51,0))="","",INDEX(campaigns!$BG$2:$BG$51,MATCH($C719,campaigns!$A$2:$A$51,0))),""))</f>
        <v/>
      </c>
      <c r="M719" s="30" t="str">
        <f aca="false">IF($C719="","",IF(OR($E719="received"),N($G719),IF(OR($E719="rejected",$E719="delivered",$E719="topped_up"),-N($G719),IF(AND(OR($E719="returned_to_brand",$E719="given_to_roster_office",$E719="released_to_office",$E719="disposed"),IF($F719="","reserve",$F719)="reserve"),-N($G719),IF(AND($E719="correction",IF($F719="","reserve",$F719)="reserve"),N($G719),0)))))</f>
        <v/>
      </c>
      <c r="N719" s="30" t="str">
        <f aca="false">IF($C719="","",IF($E719="rejected",N($G719),IF(AND(OR($E719="returned_to_brand",$E719="given_to_roster_office",$E719="released_to_office",$E719="disposed"),IF($F719="","reserve",$F719)="rejected"),-N($G719),IF(AND($E719="correction",IF($F719="","reserve",$F719)="rejected"),N($G719),0))))</f>
        <v/>
      </c>
      <c r="O719" s="30" t="str">
        <f aca="false">IF($C719="","",IF($E719="collected",N($G719),IF(AND(OR($E719="returned_to_brand",$E719="given_to_roster_office",$E719="released_to_office",$E719="disposed"),IF($F719="","reserve",$F719)="leftover"),-N($G719),IF(AND($E719="correction",IF($F719="","reserve",$F719)="leftover"),N($G719),0))))</f>
        <v/>
      </c>
      <c r="P719" s="30" t="str">
        <f aca="false">IF(OR($E719&lt;&gt;"received",$I719="",$L719=""),"",IF($I719&gt;=$L719+config!$B$19,"Y","N"))</f>
        <v/>
      </c>
      <c r="Q719" s="30" t="str">
        <f aca="false">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30" t="str">
        <f aca="false">IF($C719="","",$C719&amp;"|"&amp;$D719&amp;"|"&amp;$E719)</f>
        <v/>
      </c>
    </row>
    <row r="720" customFormat="false" ht="15" hidden="false" customHeight="false" outlineLevel="0" collapsed="false">
      <c r="A720" s="11"/>
      <c r="B720" s="38"/>
      <c r="E720" s="10"/>
      <c r="I720" s="11"/>
      <c r="J720" s="10"/>
      <c r="L720" s="31" t="str">
        <f aca="false">IF($C720="","",IFERROR(IF(INDEX(campaigns!$BG$2:$BG$51,MATCH($C720,campaigns!$A$2:$A$51,0))="","",INDEX(campaigns!$BG$2:$BG$51,MATCH($C720,campaigns!$A$2:$A$51,0))),""))</f>
        <v/>
      </c>
      <c r="M720" s="30" t="str">
        <f aca="false">IF($C720="","",IF(OR($E720="received"),N($G720),IF(OR($E720="rejected",$E720="delivered",$E720="topped_up"),-N($G720),IF(AND(OR($E720="returned_to_brand",$E720="given_to_roster_office",$E720="released_to_office",$E720="disposed"),IF($F720="","reserve",$F720)="reserve"),-N($G720),IF(AND($E720="correction",IF($F720="","reserve",$F720)="reserve"),N($G720),0)))))</f>
        <v/>
      </c>
      <c r="N720" s="30" t="str">
        <f aca="false">IF($C720="","",IF($E720="rejected",N($G720),IF(AND(OR($E720="returned_to_brand",$E720="given_to_roster_office",$E720="released_to_office",$E720="disposed"),IF($F720="","reserve",$F720)="rejected"),-N($G720),IF(AND($E720="correction",IF($F720="","reserve",$F720)="rejected"),N($G720),0))))</f>
        <v/>
      </c>
      <c r="O720" s="30" t="str">
        <f aca="false">IF($C720="","",IF($E720="collected",N($G720),IF(AND(OR($E720="returned_to_brand",$E720="given_to_roster_office",$E720="released_to_office",$E720="disposed"),IF($F720="","reserve",$F720)="leftover"),-N($G720),IF(AND($E720="correction",IF($F720="","reserve",$F720)="leftover"),N($G720),0))))</f>
        <v/>
      </c>
      <c r="P720" s="30" t="str">
        <f aca="false">IF(OR($E720&lt;&gt;"received",$I720="",$L720=""),"",IF($I720&gt;=$L720+config!$B$19,"Y","N"))</f>
        <v/>
      </c>
      <c r="Q720" s="30" t="str">
        <f aca="false">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30" t="str">
        <f aca="false">IF($C720="","",$C720&amp;"|"&amp;$D720&amp;"|"&amp;$E720)</f>
        <v/>
      </c>
    </row>
    <row r="721" customFormat="false" ht="15" hidden="false" customHeight="false" outlineLevel="0" collapsed="false">
      <c r="A721" s="11"/>
      <c r="B721" s="38"/>
      <c r="E721" s="10"/>
      <c r="I721" s="11"/>
      <c r="J721" s="10"/>
      <c r="L721" s="31" t="str">
        <f aca="false">IF($C721="","",IFERROR(IF(INDEX(campaigns!$BG$2:$BG$51,MATCH($C721,campaigns!$A$2:$A$51,0))="","",INDEX(campaigns!$BG$2:$BG$51,MATCH($C721,campaigns!$A$2:$A$51,0))),""))</f>
        <v/>
      </c>
      <c r="M721" s="30" t="str">
        <f aca="false">IF($C721="","",IF(OR($E721="received"),N($G721),IF(OR($E721="rejected",$E721="delivered",$E721="topped_up"),-N($G721),IF(AND(OR($E721="returned_to_brand",$E721="given_to_roster_office",$E721="released_to_office",$E721="disposed"),IF($F721="","reserve",$F721)="reserve"),-N($G721),IF(AND($E721="correction",IF($F721="","reserve",$F721)="reserve"),N($G721),0)))))</f>
        <v/>
      </c>
      <c r="N721" s="30" t="str">
        <f aca="false">IF($C721="","",IF($E721="rejected",N($G721),IF(AND(OR($E721="returned_to_brand",$E721="given_to_roster_office",$E721="released_to_office",$E721="disposed"),IF($F721="","reserve",$F721)="rejected"),-N($G721),IF(AND($E721="correction",IF($F721="","reserve",$F721)="rejected"),N($G721),0))))</f>
        <v/>
      </c>
      <c r="O721" s="30" t="str">
        <f aca="false">IF($C721="","",IF($E721="collected",N($G721),IF(AND(OR($E721="returned_to_brand",$E721="given_to_roster_office",$E721="released_to_office",$E721="disposed"),IF($F721="","reserve",$F721)="leftover"),-N($G721),IF(AND($E721="correction",IF($F721="","reserve",$F721)="leftover"),N($G721),0))))</f>
        <v/>
      </c>
      <c r="P721" s="30" t="str">
        <f aca="false">IF(OR($E721&lt;&gt;"received",$I721="",$L721=""),"",IF($I721&gt;=$L721+config!$B$19,"Y","N"))</f>
        <v/>
      </c>
      <c r="Q721" s="30" t="str">
        <f aca="false">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30" t="str">
        <f aca="false">IF($C721="","",$C721&amp;"|"&amp;$D721&amp;"|"&amp;$E721)</f>
        <v/>
      </c>
    </row>
    <row r="722" customFormat="false" ht="15" hidden="false" customHeight="false" outlineLevel="0" collapsed="false">
      <c r="A722" s="11"/>
      <c r="B722" s="38"/>
      <c r="E722" s="10"/>
      <c r="I722" s="11"/>
      <c r="J722" s="10"/>
      <c r="L722" s="31" t="str">
        <f aca="false">IF($C722="","",IFERROR(IF(INDEX(campaigns!$BG$2:$BG$51,MATCH($C722,campaigns!$A$2:$A$51,0))="","",INDEX(campaigns!$BG$2:$BG$51,MATCH($C722,campaigns!$A$2:$A$51,0))),""))</f>
        <v/>
      </c>
      <c r="M722" s="30" t="str">
        <f aca="false">IF($C722="","",IF(OR($E722="received"),N($G722),IF(OR($E722="rejected",$E722="delivered",$E722="topped_up"),-N($G722),IF(AND(OR($E722="returned_to_brand",$E722="given_to_roster_office",$E722="released_to_office",$E722="disposed"),IF($F722="","reserve",$F722)="reserve"),-N($G722),IF(AND($E722="correction",IF($F722="","reserve",$F722)="reserve"),N($G722),0)))))</f>
        <v/>
      </c>
      <c r="N722" s="30" t="str">
        <f aca="false">IF($C722="","",IF($E722="rejected",N($G722),IF(AND(OR($E722="returned_to_brand",$E722="given_to_roster_office",$E722="released_to_office",$E722="disposed"),IF($F722="","reserve",$F722)="rejected"),-N($G722),IF(AND($E722="correction",IF($F722="","reserve",$F722)="rejected"),N($G722),0))))</f>
        <v/>
      </c>
      <c r="O722" s="30" t="str">
        <f aca="false">IF($C722="","",IF($E722="collected",N($G722),IF(AND(OR($E722="returned_to_brand",$E722="given_to_roster_office",$E722="released_to_office",$E722="disposed"),IF($F722="","reserve",$F722)="leftover"),-N($G722),IF(AND($E722="correction",IF($F722="","reserve",$F722)="leftover"),N($G722),0))))</f>
        <v/>
      </c>
      <c r="P722" s="30" t="str">
        <f aca="false">IF(OR($E722&lt;&gt;"received",$I722="",$L722=""),"",IF($I722&gt;=$L722+config!$B$19,"Y","N"))</f>
        <v/>
      </c>
      <c r="Q722" s="30" t="str">
        <f aca="false">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30" t="str">
        <f aca="false">IF($C722="","",$C722&amp;"|"&amp;$D722&amp;"|"&amp;$E722)</f>
        <v/>
      </c>
    </row>
    <row r="723" customFormat="false" ht="15" hidden="false" customHeight="false" outlineLevel="0" collapsed="false">
      <c r="A723" s="11"/>
      <c r="B723" s="38"/>
      <c r="E723" s="10"/>
      <c r="I723" s="11"/>
      <c r="J723" s="10"/>
      <c r="L723" s="31" t="str">
        <f aca="false">IF($C723="","",IFERROR(IF(INDEX(campaigns!$BG$2:$BG$51,MATCH($C723,campaigns!$A$2:$A$51,0))="","",INDEX(campaigns!$BG$2:$BG$51,MATCH($C723,campaigns!$A$2:$A$51,0))),""))</f>
        <v/>
      </c>
      <c r="M723" s="30" t="str">
        <f aca="false">IF($C723="","",IF(OR($E723="received"),N($G723),IF(OR($E723="rejected",$E723="delivered",$E723="topped_up"),-N($G723),IF(AND(OR($E723="returned_to_brand",$E723="given_to_roster_office",$E723="released_to_office",$E723="disposed"),IF($F723="","reserve",$F723)="reserve"),-N($G723),IF(AND($E723="correction",IF($F723="","reserve",$F723)="reserve"),N($G723),0)))))</f>
        <v/>
      </c>
      <c r="N723" s="30" t="str">
        <f aca="false">IF($C723="","",IF($E723="rejected",N($G723),IF(AND(OR($E723="returned_to_brand",$E723="given_to_roster_office",$E723="released_to_office",$E723="disposed"),IF($F723="","reserve",$F723)="rejected"),-N($G723),IF(AND($E723="correction",IF($F723="","reserve",$F723)="rejected"),N($G723),0))))</f>
        <v/>
      </c>
      <c r="O723" s="30" t="str">
        <f aca="false">IF($C723="","",IF($E723="collected",N($G723),IF(AND(OR($E723="returned_to_brand",$E723="given_to_roster_office",$E723="released_to_office",$E723="disposed"),IF($F723="","reserve",$F723)="leftover"),-N($G723),IF(AND($E723="correction",IF($F723="","reserve",$F723)="leftover"),N($G723),0))))</f>
        <v/>
      </c>
      <c r="P723" s="30" t="str">
        <f aca="false">IF(OR($E723&lt;&gt;"received",$I723="",$L723=""),"",IF($I723&gt;=$L723+config!$B$19,"Y","N"))</f>
        <v/>
      </c>
      <c r="Q723" s="30" t="str">
        <f aca="false">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30" t="str">
        <f aca="false">IF($C723="","",$C723&amp;"|"&amp;$D723&amp;"|"&amp;$E723)</f>
        <v/>
      </c>
    </row>
    <row r="724" customFormat="false" ht="15" hidden="false" customHeight="false" outlineLevel="0" collapsed="false">
      <c r="A724" s="11"/>
      <c r="B724" s="38"/>
      <c r="E724" s="10"/>
      <c r="I724" s="11"/>
      <c r="J724" s="10"/>
      <c r="L724" s="31" t="str">
        <f aca="false">IF($C724="","",IFERROR(IF(INDEX(campaigns!$BG$2:$BG$51,MATCH($C724,campaigns!$A$2:$A$51,0))="","",INDEX(campaigns!$BG$2:$BG$51,MATCH($C724,campaigns!$A$2:$A$51,0))),""))</f>
        <v/>
      </c>
      <c r="M724" s="30" t="str">
        <f aca="false">IF($C724="","",IF(OR($E724="received"),N($G724),IF(OR($E724="rejected",$E724="delivered",$E724="topped_up"),-N($G724),IF(AND(OR($E724="returned_to_brand",$E724="given_to_roster_office",$E724="released_to_office",$E724="disposed"),IF($F724="","reserve",$F724)="reserve"),-N($G724),IF(AND($E724="correction",IF($F724="","reserve",$F724)="reserve"),N($G724),0)))))</f>
        <v/>
      </c>
      <c r="N724" s="30" t="str">
        <f aca="false">IF($C724="","",IF($E724="rejected",N($G724),IF(AND(OR($E724="returned_to_brand",$E724="given_to_roster_office",$E724="released_to_office",$E724="disposed"),IF($F724="","reserve",$F724)="rejected"),-N($G724),IF(AND($E724="correction",IF($F724="","reserve",$F724)="rejected"),N($G724),0))))</f>
        <v/>
      </c>
      <c r="O724" s="30" t="str">
        <f aca="false">IF($C724="","",IF($E724="collected",N($G724),IF(AND(OR($E724="returned_to_brand",$E724="given_to_roster_office",$E724="released_to_office",$E724="disposed"),IF($F724="","reserve",$F724)="leftover"),-N($G724),IF(AND($E724="correction",IF($F724="","reserve",$F724)="leftover"),N($G724),0))))</f>
        <v/>
      </c>
      <c r="P724" s="30" t="str">
        <f aca="false">IF(OR($E724&lt;&gt;"received",$I724="",$L724=""),"",IF($I724&gt;=$L724+config!$B$19,"Y","N"))</f>
        <v/>
      </c>
      <c r="Q724" s="30" t="str">
        <f aca="false">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30" t="str">
        <f aca="false">IF($C724="","",$C724&amp;"|"&amp;$D724&amp;"|"&amp;$E724)</f>
        <v/>
      </c>
    </row>
    <row r="725" customFormat="false" ht="15" hidden="false" customHeight="false" outlineLevel="0" collapsed="false">
      <c r="A725" s="11"/>
      <c r="B725" s="38"/>
      <c r="E725" s="10"/>
      <c r="I725" s="11"/>
      <c r="J725" s="10"/>
      <c r="L725" s="31" t="str">
        <f aca="false">IF($C725="","",IFERROR(IF(INDEX(campaigns!$BG$2:$BG$51,MATCH($C725,campaigns!$A$2:$A$51,0))="","",INDEX(campaigns!$BG$2:$BG$51,MATCH($C725,campaigns!$A$2:$A$51,0))),""))</f>
        <v/>
      </c>
      <c r="M725" s="30" t="str">
        <f aca="false">IF($C725="","",IF(OR($E725="received"),N($G725),IF(OR($E725="rejected",$E725="delivered",$E725="topped_up"),-N($G725),IF(AND(OR($E725="returned_to_brand",$E725="given_to_roster_office",$E725="released_to_office",$E725="disposed"),IF($F725="","reserve",$F725)="reserve"),-N($G725),IF(AND($E725="correction",IF($F725="","reserve",$F725)="reserve"),N($G725),0)))))</f>
        <v/>
      </c>
      <c r="N725" s="30" t="str">
        <f aca="false">IF($C725="","",IF($E725="rejected",N($G725),IF(AND(OR($E725="returned_to_brand",$E725="given_to_roster_office",$E725="released_to_office",$E725="disposed"),IF($F725="","reserve",$F725)="rejected"),-N($G725),IF(AND($E725="correction",IF($F725="","reserve",$F725)="rejected"),N($G725),0))))</f>
        <v/>
      </c>
      <c r="O725" s="30" t="str">
        <f aca="false">IF($C725="","",IF($E725="collected",N($G725),IF(AND(OR($E725="returned_to_brand",$E725="given_to_roster_office",$E725="released_to_office",$E725="disposed"),IF($F725="","reserve",$F725)="leftover"),-N($G725),IF(AND($E725="correction",IF($F725="","reserve",$F725)="leftover"),N($G725),0))))</f>
        <v/>
      </c>
      <c r="P725" s="30" t="str">
        <f aca="false">IF(OR($E725&lt;&gt;"received",$I725="",$L725=""),"",IF($I725&gt;=$L725+config!$B$19,"Y","N"))</f>
        <v/>
      </c>
      <c r="Q725" s="30" t="str">
        <f aca="false">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30" t="str">
        <f aca="false">IF($C725="","",$C725&amp;"|"&amp;$D725&amp;"|"&amp;$E725)</f>
        <v/>
      </c>
    </row>
    <row r="726" customFormat="false" ht="15" hidden="false" customHeight="false" outlineLevel="0" collapsed="false">
      <c r="A726" s="11"/>
      <c r="B726" s="38"/>
      <c r="E726" s="10"/>
      <c r="I726" s="11"/>
      <c r="J726" s="10"/>
      <c r="L726" s="31" t="str">
        <f aca="false">IF($C726="","",IFERROR(IF(INDEX(campaigns!$BG$2:$BG$51,MATCH($C726,campaigns!$A$2:$A$51,0))="","",INDEX(campaigns!$BG$2:$BG$51,MATCH($C726,campaigns!$A$2:$A$51,0))),""))</f>
        <v/>
      </c>
      <c r="M726" s="30" t="str">
        <f aca="false">IF($C726="","",IF(OR($E726="received"),N($G726),IF(OR($E726="rejected",$E726="delivered",$E726="topped_up"),-N($G726),IF(AND(OR($E726="returned_to_brand",$E726="given_to_roster_office",$E726="released_to_office",$E726="disposed"),IF($F726="","reserve",$F726)="reserve"),-N($G726),IF(AND($E726="correction",IF($F726="","reserve",$F726)="reserve"),N($G726),0)))))</f>
        <v/>
      </c>
      <c r="N726" s="30" t="str">
        <f aca="false">IF($C726="","",IF($E726="rejected",N($G726),IF(AND(OR($E726="returned_to_brand",$E726="given_to_roster_office",$E726="released_to_office",$E726="disposed"),IF($F726="","reserve",$F726)="rejected"),-N($G726),IF(AND($E726="correction",IF($F726="","reserve",$F726)="rejected"),N($G726),0))))</f>
        <v/>
      </c>
      <c r="O726" s="30" t="str">
        <f aca="false">IF($C726="","",IF($E726="collected",N($G726),IF(AND(OR($E726="returned_to_brand",$E726="given_to_roster_office",$E726="released_to_office",$E726="disposed"),IF($F726="","reserve",$F726)="leftover"),-N($G726),IF(AND($E726="correction",IF($F726="","reserve",$F726)="leftover"),N($G726),0))))</f>
        <v/>
      </c>
      <c r="P726" s="30" t="str">
        <f aca="false">IF(OR($E726&lt;&gt;"received",$I726="",$L726=""),"",IF($I726&gt;=$L726+config!$B$19,"Y","N"))</f>
        <v/>
      </c>
      <c r="Q726" s="30" t="str">
        <f aca="false">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30" t="str">
        <f aca="false">IF($C726="","",$C726&amp;"|"&amp;$D726&amp;"|"&amp;$E726)</f>
        <v/>
      </c>
    </row>
    <row r="727" customFormat="false" ht="15" hidden="false" customHeight="false" outlineLevel="0" collapsed="false">
      <c r="A727" s="11"/>
      <c r="B727" s="38"/>
      <c r="E727" s="10"/>
      <c r="I727" s="11"/>
      <c r="J727" s="10"/>
      <c r="L727" s="31" t="str">
        <f aca="false">IF($C727="","",IFERROR(IF(INDEX(campaigns!$BG$2:$BG$51,MATCH($C727,campaigns!$A$2:$A$51,0))="","",INDEX(campaigns!$BG$2:$BG$51,MATCH($C727,campaigns!$A$2:$A$51,0))),""))</f>
        <v/>
      </c>
      <c r="M727" s="30" t="str">
        <f aca="false">IF($C727="","",IF(OR($E727="received"),N($G727),IF(OR($E727="rejected",$E727="delivered",$E727="topped_up"),-N($G727),IF(AND(OR($E727="returned_to_brand",$E727="given_to_roster_office",$E727="released_to_office",$E727="disposed"),IF($F727="","reserve",$F727)="reserve"),-N($G727),IF(AND($E727="correction",IF($F727="","reserve",$F727)="reserve"),N($G727),0)))))</f>
        <v/>
      </c>
      <c r="N727" s="30" t="str">
        <f aca="false">IF($C727="","",IF($E727="rejected",N($G727),IF(AND(OR($E727="returned_to_brand",$E727="given_to_roster_office",$E727="released_to_office",$E727="disposed"),IF($F727="","reserve",$F727)="rejected"),-N($G727),IF(AND($E727="correction",IF($F727="","reserve",$F727)="rejected"),N($G727),0))))</f>
        <v/>
      </c>
      <c r="O727" s="30" t="str">
        <f aca="false">IF($C727="","",IF($E727="collected",N($G727),IF(AND(OR($E727="returned_to_brand",$E727="given_to_roster_office",$E727="released_to_office",$E727="disposed"),IF($F727="","reserve",$F727)="leftover"),-N($G727),IF(AND($E727="correction",IF($F727="","reserve",$F727)="leftover"),N($G727),0))))</f>
        <v/>
      </c>
      <c r="P727" s="30" t="str">
        <f aca="false">IF(OR($E727&lt;&gt;"received",$I727="",$L727=""),"",IF($I727&gt;=$L727+config!$B$19,"Y","N"))</f>
        <v/>
      </c>
      <c r="Q727" s="30" t="str">
        <f aca="false">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30" t="str">
        <f aca="false">IF($C727="","",$C727&amp;"|"&amp;$D727&amp;"|"&amp;$E727)</f>
        <v/>
      </c>
    </row>
    <row r="728" customFormat="false" ht="15" hidden="false" customHeight="false" outlineLevel="0" collapsed="false">
      <c r="A728" s="11"/>
      <c r="B728" s="38"/>
      <c r="E728" s="10"/>
      <c r="I728" s="11"/>
      <c r="J728" s="10"/>
      <c r="L728" s="31" t="str">
        <f aca="false">IF($C728="","",IFERROR(IF(INDEX(campaigns!$BG$2:$BG$51,MATCH($C728,campaigns!$A$2:$A$51,0))="","",INDEX(campaigns!$BG$2:$BG$51,MATCH($C728,campaigns!$A$2:$A$51,0))),""))</f>
        <v/>
      </c>
      <c r="M728" s="30" t="str">
        <f aca="false">IF($C728="","",IF(OR($E728="received"),N($G728),IF(OR($E728="rejected",$E728="delivered",$E728="topped_up"),-N($G728),IF(AND(OR($E728="returned_to_brand",$E728="given_to_roster_office",$E728="released_to_office",$E728="disposed"),IF($F728="","reserve",$F728)="reserve"),-N($G728),IF(AND($E728="correction",IF($F728="","reserve",$F728)="reserve"),N($G728),0)))))</f>
        <v/>
      </c>
      <c r="N728" s="30" t="str">
        <f aca="false">IF($C728="","",IF($E728="rejected",N($G728),IF(AND(OR($E728="returned_to_brand",$E728="given_to_roster_office",$E728="released_to_office",$E728="disposed"),IF($F728="","reserve",$F728)="rejected"),-N($G728),IF(AND($E728="correction",IF($F728="","reserve",$F728)="rejected"),N($G728),0))))</f>
        <v/>
      </c>
      <c r="O728" s="30" t="str">
        <f aca="false">IF($C728="","",IF($E728="collected",N($G728),IF(AND(OR($E728="returned_to_brand",$E728="given_to_roster_office",$E728="released_to_office",$E728="disposed"),IF($F728="","reserve",$F728)="leftover"),-N($G728),IF(AND($E728="correction",IF($F728="","reserve",$F728)="leftover"),N($G728),0))))</f>
        <v/>
      </c>
      <c r="P728" s="30" t="str">
        <f aca="false">IF(OR($E728&lt;&gt;"received",$I728="",$L728=""),"",IF($I728&gt;=$L728+config!$B$19,"Y","N"))</f>
        <v/>
      </c>
      <c r="Q728" s="30" t="str">
        <f aca="false">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30" t="str">
        <f aca="false">IF($C728="","",$C728&amp;"|"&amp;$D728&amp;"|"&amp;$E728)</f>
        <v/>
      </c>
    </row>
    <row r="729" customFormat="false" ht="15" hidden="false" customHeight="false" outlineLevel="0" collapsed="false">
      <c r="A729" s="11"/>
      <c r="B729" s="38"/>
      <c r="E729" s="10"/>
      <c r="I729" s="11"/>
      <c r="J729" s="10"/>
      <c r="L729" s="31" t="str">
        <f aca="false">IF($C729="","",IFERROR(IF(INDEX(campaigns!$BG$2:$BG$51,MATCH($C729,campaigns!$A$2:$A$51,0))="","",INDEX(campaigns!$BG$2:$BG$51,MATCH($C729,campaigns!$A$2:$A$51,0))),""))</f>
        <v/>
      </c>
      <c r="M729" s="30" t="str">
        <f aca="false">IF($C729="","",IF(OR($E729="received"),N($G729),IF(OR($E729="rejected",$E729="delivered",$E729="topped_up"),-N($G729),IF(AND(OR($E729="returned_to_brand",$E729="given_to_roster_office",$E729="released_to_office",$E729="disposed"),IF($F729="","reserve",$F729)="reserve"),-N($G729),IF(AND($E729="correction",IF($F729="","reserve",$F729)="reserve"),N($G729),0)))))</f>
        <v/>
      </c>
      <c r="N729" s="30" t="str">
        <f aca="false">IF($C729="","",IF($E729="rejected",N($G729),IF(AND(OR($E729="returned_to_brand",$E729="given_to_roster_office",$E729="released_to_office",$E729="disposed"),IF($F729="","reserve",$F729)="rejected"),-N($G729),IF(AND($E729="correction",IF($F729="","reserve",$F729)="rejected"),N($G729),0))))</f>
        <v/>
      </c>
      <c r="O729" s="30" t="str">
        <f aca="false">IF($C729="","",IF($E729="collected",N($G729),IF(AND(OR($E729="returned_to_brand",$E729="given_to_roster_office",$E729="released_to_office",$E729="disposed"),IF($F729="","reserve",$F729)="leftover"),-N($G729),IF(AND($E729="correction",IF($F729="","reserve",$F729)="leftover"),N($G729),0))))</f>
        <v/>
      </c>
      <c r="P729" s="30" t="str">
        <f aca="false">IF(OR($E729&lt;&gt;"received",$I729="",$L729=""),"",IF($I729&gt;=$L729+config!$B$19,"Y","N"))</f>
        <v/>
      </c>
      <c r="Q729" s="30" t="str">
        <f aca="false">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30" t="str">
        <f aca="false">IF($C729="","",$C729&amp;"|"&amp;$D729&amp;"|"&amp;$E729)</f>
        <v/>
      </c>
    </row>
    <row r="730" customFormat="false" ht="15" hidden="false" customHeight="false" outlineLevel="0" collapsed="false">
      <c r="A730" s="11"/>
      <c r="B730" s="38"/>
      <c r="E730" s="10"/>
      <c r="I730" s="11"/>
      <c r="J730" s="10"/>
      <c r="L730" s="31" t="str">
        <f aca="false">IF($C730="","",IFERROR(IF(INDEX(campaigns!$BG$2:$BG$51,MATCH($C730,campaigns!$A$2:$A$51,0))="","",INDEX(campaigns!$BG$2:$BG$51,MATCH($C730,campaigns!$A$2:$A$51,0))),""))</f>
        <v/>
      </c>
      <c r="M730" s="30" t="str">
        <f aca="false">IF($C730="","",IF(OR($E730="received"),N($G730),IF(OR($E730="rejected",$E730="delivered",$E730="topped_up"),-N($G730),IF(AND(OR($E730="returned_to_brand",$E730="given_to_roster_office",$E730="released_to_office",$E730="disposed"),IF($F730="","reserve",$F730)="reserve"),-N($G730),IF(AND($E730="correction",IF($F730="","reserve",$F730)="reserve"),N($G730),0)))))</f>
        <v/>
      </c>
      <c r="N730" s="30" t="str">
        <f aca="false">IF($C730="","",IF($E730="rejected",N($G730),IF(AND(OR($E730="returned_to_brand",$E730="given_to_roster_office",$E730="released_to_office",$E730="disposed"),IF($F730="","reserve",$F730)="rejected"),-N($G730),IF(AND($E730="correction",IF($F730="","reserve",$F730)="rejected"),N($G730),0))))</f>
        <v/>
      </c>
      <c r="O730" s="30" t="str">
        <f aca="false">IF($C730="","",IF($E730="collected",N($G730),IF(AND(OR($E730="returned_to_brand",$E730="given_to_roster_office",$E730="released_to_office",$E730="disposed"),IF($F730="","reserve",$F730)="leftover"),-N($G730),IF(AND($E730="correction",IF($F730="","reserve",$F730)="leftover"),N($G730),0))))</f>
        <v/>
      </c>
      <c r="P730" s="30" t="str">
        <f aca="false">IF(OR($E730&lt;&gt;"received",$I730="",$L730=""),"",IF($I730&gt;=$L730+config!$B$19,"Y","N"))</f>
        <v/>
      </c>
      <c r="Q730" s="30" t="str">
        <f aca="false">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30" t="str">
        <f aca="false">IF($C730="","",$C730&amp;"|"&amp;$D730&amp;"|"&amp;$E730)</f>
        <v/>
      </c>
    </row>
    <row r="731" customFormat="false" ht="15" hidden="false" customHeight="false" outlineLevel="0" collapsed="false">
      <c r="A731" s="11"/>
      <c r="B731" s="38"/>
      <c r="E731" s="10"/>
      <c r="I731" s="11"/>
      <c r="J731" s="10"/>
      <c r="L731" s="31" t="str">
        <f aca="false">IF($C731="","",IFERROR(IF(INDEX(campaigns!$BG$2:$BG$51,MATCH($C731,campaigns!$A$2:$A$51,0))="","",INDEX(campaigns!$BG$2:$BG$51,MATCH($C731,campaigns!$A$2:$A$51,0))),""))</f>
        <v/>
      </c>
      <c r="M731" s="30" t="str">
        <f aca="false">IF($C731="","",IF(OR($E731="received"),N($G731),IF(OR($E731="rejected",$E731="delivered",$E731="topped_up"),-N($G731),IF(AND(OR($E731="returned_to_brand",$E731="given_to_roster_office",$E731="released_to_office",$E731="disposed"),IF($F731="","reserve",$F731)="reserve"),-N($G731),IF(AND($E731="correction",IF($F731="","reserve",$F731)="reserve"),N($G731),0)))))</f>
        <v/>
      </c>
      <c r="N731" s="30" t="str">
        <f aca="false">IF($C731="","",IF($E731="rejected",N($G731),IF(AND(OR($E731="returned_to_brand",$E731="given_to_roster_office",$E731="released_to_office",$E731="disposed"),IF($F731="","reserve",$F731)="rejected"),-N($G731),IF(AND($E731="correction",IF($F731="","reserve",$F731)="rejected"),N($G731),0))))</f>
        <v/>
      </c>
      <c r="O731" s="30" t="str">
        <f aca="false">IF($C731="","",IF($E731="collected",N($G731),IF(AND(OR($E731="returned_to_brand",$E731="given_to_roster_office",$E731="released_to_office",$E731="disposed"),IF($F731="","reserve",$F731)="leftover"),-N($G731),IF(AND($E731="correction",IF($F731="","reserve",$F731)="leftover"),N($G731),0))))</f>
        <v/>
      </c>
      <c r="P731" s="30" t="str">
        <f aca="false">IF(OR($E731&lt;&gt;"received",$I731="",$L731=""),"",IF($I731&gt;=$L731+config!$B$19,"Y","N"))</f>
        <v/>
      </c>
      <c r="Q731" s="30" t="str">
        <f aca="false">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30" t="str">
        <f aca="false">IF($C731="","",$C731&amp;"|"&amp;$D731&amp;"|"&amp;$E731)</f>
        <v/>
      </c>
    </row>
    <row r="732" customFormat="false" ht="15" hidden="false" customHeight="false" outlineLevel="0" collapsed="false">
      <c r="A732" s="11"/>
      <c r="B732" s="38"/>
      <c r="E732" s="10"/>
      <c r="I732" s="11"/>
      <c r="J732" s="10"/>
      <c r="L732" s="31" t="str">
        <f aca="false">IF($C732="","",IFERROR(IF(INDEX(campaigns!$BG$2:$BG$51,MATCH($C732,campaigns!$A$2:$A$51,0))="","",INDEX(campaigns!$BG$2:$BG$51,MATCH($C732,campaigns!$A$2:$A$51,0))),""))</f>
        <v/>
      </c>
      <c r="M732" s="30" t="str">
        <f aca="false">IF($C732="","",IF(OR($E732="received"),N($G732),IF(OR($E732="rejected",$E732="delivered",$E732="topped_up"),-N($G732),IF(AND(OR($E732="returned_to_brand",$E732="given_to_roster_office",$E732="released_to_office",$E732="disposed"),IF($F732="","reserve",$F732)="reserve"),-N($G732),IF(AND($E732="correction",IF($F732="","reserve",$F732)="reserve"),N($G732),0)))))</f>
        <v/>
      </c>
      <c r="N732" s="30" t="str">
        <f aca="false">IF($C732="","",IF($E732="rejected",N($G732),IF(AND(OR($E732="returned_to_brand",$E732="given_to_roster_office",$E732="released_to_office",$E732="disposed"),IF($F732="","reserve",$F732)="rejected"),-N($G732),IF(AND($E732="correction",IF($F732="","reserve",$F732)="rejected"),N($G732),0))))</f>
        <v/>
      </c>
      <c r="O732" s="30" t="str">
        <f aca="false">IF($C732="","",IF($E732="collected",N($G732),IF(AND(OR($E732="returned_to_brand",$E732="given_to_roster_office",$E732="released_to_office",$E732="disposed"),IF($F732="","reserve",$F732)="leftover"),-N($G732),IF(AND($E732="correction",IF($F732="","reserve",$F732)="leftover"),N($G732),0))))</f>
        <v/>
      </c>
      <c r="P732" s="30" t="str">
        <f aca="false">IF(OR($E732&lt;&gt;"received",$I732="",$L732=""),"",IF($I732&gt;=$L732+config!$B$19,"Y","N"))</f>
        <v/>
      </c>
      <c r="Q732" s="30" t="str">
        <f aca="false">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30" t="str">
        <f aca="false">IF($C732="","",$C732&amp;"|"&amp;$D732&amp;"|"&amp;$E732)</f>
        <v/>
      </c>
    </row>
    <row r="733" customFormat="false" ht="15" hidden="false" customHeight="false" outlineLevel="0" collapsed="false">
      <c r="A733" s="11"/>
      <c r="B733" s="38"/>
      <c r="E733" s="10"/>
      <c r="I733" s="11"/>
      <c r="J733" s="10"/>
      <c r="L733" s="31" t="str">
        <f aca="false">IF($C733="","",IFERROR(IF(INDEX(campaigns!$BG$2:$BG$51,MATCH($C733,campaigns!$A$2:$A$51,0))="","",INDEX(campaigns!$BG$2:$BG$51,MATCH($C733,campaigns!$A$2:$A$51,0))),""))</f>
        <v/>
      </c>
      <c r="M733" s="30" t="str">
        <f aca="false">IF($C733="","",IF(OR($E733="received"),N($G733),IF(OR($E733="rejected",$E733="delivered",$E733="topped_up"),-N($G733),IF(AND(OR($E733="returned_to_brand",$E733="given_to_roster_office",$E733="released_to_office",$E733="disposed"),IF($F733="","reserve",$F733)="reserve"),-N($G733),IF(AND($E733="correction",IF($F733="","reserve",$F733)="reserve"),N($G733),0)))))</f>
        <v/>
      </c>
      <c r="N733" s="30" t="str">
        <f aca="false">IF($C733="","",IF($E733="rejected",N($G733),IF(AND(OR($E733="returned_to_brand",$E733="given_to_roster_office",$E733="released_to_office",$E733="disposed"),IF($F733="","reserve",$F733)="rejected"),-N($G733),IF(AND($E733="correction",IF($F733="","reserve",$F733)="rejected"),N($G733),0))))</f>
        <v/>
      </c>
      <c r="O733" s="30" t="str">
        <f aca="false">IF($C733="","",IF($E733="collected",N($G733),IF(AND(OR($E733="returned_to_brand",$E733="given_to_roster_office",$E733="released_to_office",$E733="disposed"),IF($F733="","reserve",$F733)="leftover"),-N($G733),IF(AND($E733="correction",IF($F733="","reserve",$F733)="leftover"),N($G733),0))))</f>
        <v/>
      </c>
      <c r="P733" s="30" t="str">
        <f aca="false">IF(OR($E733&lt;&gt;"received",$I733="",$L733=""),"",IF($I733&gt;=$L733+config!$B$19,"Y","N"))</f>
        <v/>
      </c>
      <c r="Q733" s="30" t="str">
        <f aca="false">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30" t="str">
        <f aca="false">IF($C733="","",$C733&amp;"|"&amp;$D733&amp;"|"&amp;$E733)</f>
        <v/>
      </c>
    </row>
    <row r="734" customFormat="false" ht="15" hidden="false" customHeight="false" outlineLevel="0" collapsed="false">
      <c r="A734" s="11"/>
      <c r="B734" s="38"/>
      <c r="E734" s="10"/>
      <c r="I734" s="11"/>
      <c r="J734" s="10"/>
      <c r="L734" s="31" t="str">
        <f aca="false">IF($C734="","",IFERROR(IF(INDEX(campaigns!$BG$2:$BG$51,MATCH($C734,campaigns!$A$2:$A$51,0))="","",INDEX(campaigns!$BG$2:$BG$51,MATCH($C734,campaigns!$A$2:$A$51,0))),""))</f>
        <v/>
      </c>
      <c r="M734" s="30" t="str">
        <f aca="false">IF($C734="","",IF(OR($E734="received"),N($G734),IF(OR($E734="rejected",$E734="delivered",$E734="topped_up"),-N($G734),IF(AND(OR($E734="returned_to_brand",$E734="given_to_roster_office",$E734="released_to_office",$E734="disposed"),IF($F734="","reserve",$F734)="reserve"),-N($G734),IF(AND($E734="correction",IF($F734="","reserve",$F734)="reserve"),N($G734),0)))))</f>
        <v/>
      </c>
      <c r="N734" s="30" t="str">
        <f aca="false">IF($C734="","",IF($E734="rejected",N($G734),IF(AND(OR($E734="returned_to_brand",$E734="given_to_roster_office",$E734="released_to_office",$E734="disposed"),IF($F734="","reserve",$F734)="rejected"),-N($G734),IF(AND($E734="correction",IF($F734="","reserve",$F734)="rejected"),N($G734),0))))</f>
        <v/>
      </c>
      <c r="O734" s="30" t="str">
        <f aca="false">IF($C734="","",IF($E734="collected",N($G734),IF(AND(OR($E734="returned_to_brand",$E734="given_to_roster_office",$E734="released_to_office",$E734="disposed"),IF($F734="","reserve",$F734)="leftover"),-N($G734),IF(AND($E734="correction",IF($F734="","reserve",$F734)="leftover"),N($G734),0))))</f>
        <v/>
      </c>
      <c r="P734" s="30" t="str">
        <f aca="false">IF(OR($E734&lt;&gt;"received",$I734="",$L734=""),"",IF($I734&gt;=$L734+config!$B$19,"Y","N"))</f>
        <v/>
      </c>
      <c r="Q734" s="30" t="str">
        <f aca="false">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30" t="str">
        <f aca="false">IF($C734="","",$C734&amp;"|"&amp;$D734&amp;"|"&amp;$E734)</f>
        <v/>
      </c>
    </row>
    <row r="735" customFormat="false" ht="15" hidden="false" customHeight="false" outlineLevel="0" collapsed="false">
      <c r="A735" s="11"/>
      <c r="B735" s="38"/>
      <c r="E735" s="10"/>
      <c r="I735" s="11"/>
      <c r="J735" s="10"/>
      <c r="L735" s="31" t="str">
        <f aca="false">IF($C735="","",IFERROR(IF(INDEX(campaigns!$BG$2:$BG$51,MATCH($C735,campaigns!$A$2:$A$51,0))="","",INDEX(campaigns!$BG$2:$BG$51,MATCH($C735,campaigns!$A$2:$A$51,0))),""))</f>
        <v/>
      </c>
      <c r="M735" s="30" t="str">
        <f aca="false">IF($C735="","",IF(OR($E735="received"),N($G735),IF(OR($E735="rejected",$E735="delivered",$E735="topped_up"),-N($G735),IF(AND(OR($E735="returned_to_brand",$E735="given_to_roster_office",$E735="released_to_office",$E735="disposed"),IF($F735="","reserve",$F735)="reserve"),-N($G735),IF(AND($E735="correction",IF($F735="","reserve",$F735)="reserve"),N($G735),0)))))</f>
        <v/>
      </c>
      <c r="N735" s="30" t="str">
        <f aca="false">IF($C735="","",IF($E735="rejected",N($G735),IF(AND(OR($E735="returned_to_brand",$E735="given_to_roster_office",$E735="released_to_office",$E735="disposed"),IF($F735="","reserve",$F735)="rejected"),-N($G735),IF(AND($E735="correction",IF($F735="","reserve",$F735)="rejected"),N($G735),0))))</f>
        <v/>
      </c>
      <c r="O735" s="30" t="str">
        <f aca="false">IF($C735="","",IF($E735="collected",N($G735),IF(AND(OR($E735="returned_to_brand",$E735="given_to_roster_office",$E735="released_to_office",$E735="disposed"),IF($F735="","reserve",$F735)="leftover"),-N($G735),IF(AND($E735="correction",IF($F735="","reserve",$F735)="leftover"),N($G735),0))))</f>
        <v/>
      </c>
      <c r="P735" s="30" t="str">
        <f aca="false">IF(OR($E735&lt;&gt;"received",$I735="",$L735=""),"",IF($I735&gt;=$L735+config!$B$19,"Y","N"))</f>
        <v/>
      </c>
      <c r="Q735" s="30" t="str">
        <f aca="false">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30" t="str">
        <f aca="false">IF($C735="","",$C735&amp;"|"&amp;$D735&amp;"|"&amp;$E735)</f>
        <v/>
      </c>
    </row>
    <row r="736" customFormat="false" ht="15" hidden="false" customHeight="false" outlineLevel="0" collapsed="false">
      <c r="A736" s="11"/>
      <c r="B736" s="38"/>
      <c r="E736" s="10"/>
      <c r="I736" s="11"/>
      <c r="J736" s="10"/>
      <c r="L736" s="31" t="str">
        <f aca="false">IF($C736="","",IFERROR(IF(INDEX(campaigns!$BG$2:$BG$51,MATCH($C736,campaigns!$A$2:$A$51,0))="","",INDEX(campaigns!$BG$2:$BG$51,MATCH($C736,campaigns!$A$2:$A$51,0))),""))</f>
        <v/>
      </c>
      <c r="M736" s="30" t="str">
        <f aca="false">IF($C736="","",IF(OR($E736="received"),N($G736),IF(OR($E736="rejected",$E736="delivered",$E736="topped_up"),-N($G736),IF(AND(OR($E736="returned_to_brand",$E736="given_to_roster_office",$E736="released_to_office",$E736="disposed"),IF($F736="","reserve",$F736)="reserve"),-N($G736),IF(AND($E736="correction",IF($F736="","reserve",$F736)="reserve"),N($G736),0)))))</f>
        <v/>
      </c>
      <c r="N736" s="30" t="str">
        <f aca="false">IF($C736="","",IF($E736="rejected",N($G736),IF(AND(OR($E736="returned_to_brand",$E736="given_to_roster_office",$E736="released_to_office",$E736="disposed"),IF($F736="","reserve",$F736)="rejected"),-N($G736),IF(AND($E736="correction",IF($F736="","reserve",$F736)="rejected"),N($G736),0))))</f>
        <v/>
      </c>
      <c r="O736" s="30" t="str">
        <f aca="false">IF($C736="","",IF($E736="collected",N($G736),IF(AND(OR($E736="returned_to_brand",$E736="given_to_roster_office",$E736="released_to_office",$E736="disposed"),IF($F736="","reserve",$F736)="leftover"),-N($G736),IF(AND($E736="correction",IF($F736="","reserve",$F736)="leftover"),N($G736),0))))</f>
        <v/>
      </c>
      <c r="P736" s="30" t="str">
        <f aca="false">IF(OR($E736&lt;&gt;"received",$I736="",$L736=""),"",IF($I736&gt;=$L736+config!$B$19,"Y","N"))</f>
        <v/>
      </c>
      <c r="Q736" s="30" t="str">
        <f aca="false">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30" t="str">
        <f aca="false">IF($C736="","",$C736&amp;"|"&amp;$D736&amp;"|"&amp;$E736)</f>
        <v/>
      </c>
    </row>
    <row r="737" customFormat="false" ht="15" hidden="false" customHeight="false" outlineLevel="0" collapsed="false">
      <c r="A737" s="11"/>
      <c r="B737" s="38"/>
      <c r="E737" s="10"/>
      <c r="I737" s="11"/>
      <c r="J737" s="10"/>
      <c r="L737" s="31" t="str">
        <f aca="false">IF($C737="","",IFERROR(IF(INDEX(campaigns!$BG$2:$BG$51,MATCH($C737,campaigns!$A$2:$A$51,0))="","",INDEX(campaigns!$BG$2:$BG$51,MATCH($C737,campaigns!$A$2:$A$51,0))),""))</f>
        <v/>
      </c>
      <c r="M737" s="30" t="str">
        <f aca="false">IF($C737="","",IF(OR($E737="received"),N($G737),IF(OR($E737="rejected",$E737="delivered",$E737="topped_up"),-N($G737),IF(AND(OR($E737="returned_to_brand",$E737="given_to_roster_office",$E737="released_to_office",$E737="disposed"),IF($F737="","reserve",$F737)="reserve"),-N($G737),IF(AND($E737="correction",IF($F737="","reserve",$F737)="reserve"),N($G737),0)))))</f>
        <v/>
      </c>
      <c r="N737" s="30" t="str">
        <f aca="false">IF($C737="","",IF($E737="rejected",N($G737),IF(AND(OR($E737="returned_to_brand",$E737="given_to_roster_office",$E737="released_to_office",$E737="disposed"),IF($F737="","reserve",$F737)="rejected"),-N($G737),IF(AND($E737="correction",IF($F737="","reserve",$F737)="rejected"),N($G737),0))))</f>
        <v/>
      </c>
      <c r="O737" s="30" t="str">
        <f aca="false">IF($C737="","",IF($E737="collected",N($G737),IF(AND(OR($E737="returned_to_brand",$E737="given_to_roster_office",$E737="released_to_office",$E737="disposed"),IF($F737="","reserve",$F737)="leftover"),-N($G737),IF(AND($E737="correction",IF($F737="","reserve",$F737)="leftover"),N($G737),0))))</f>
        <v/>
      </c>
      <c r="P737" s="30" t="str">
        <f aca="false">IF(OR($E737&lt;&gt;"received",$I737="",$L737=""),"",IF($I737&gt;=$L737+config!$B$19,"Y","N"))</f>
        <v/>
      </c>
      <c r="Q737" s="30" t="str">
        <f aca="false">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30" t="str">
        <f aca="false">IF($C737="","",$C737&amp;"|"&amp;$D737&amp;"|"&amp;$E737)</f>
        <v/>
      </c>
    </row>
    <row r="738" customFormat="false" ht="15" hidden="false" customHeight="false" outlineLevel="0" collapsed="false">
      <c r="A738" s="11"/>
      <c r="B738" s="38"/>
      <c r="E738" s="10"/>
      <c r="I738" s="11"/>
      <c r="J738" s="10"/>
      <c r="L738" s="31" t="str">
        <f aca="false">IF($C738="","",IFERROR(IF(INDEX(campaigns!$BG$2:$BG$51,MATCH($C738,campaigns!$A$2:$A$51,0))="","",INDEX(campaigns!$BG$2:$BG$51,MATCH($C738,campaigns!$A$2:$A$51,0))),""))</f>
        <v/>
      </c>
      <c r="M738" s="30" t="str">
        <f aca="false">IF($C738="","",IF(OR($E738="received"),N($G738),IF(OR($E738="rejected",$E738="delivered",$E738="topped_up"),-N($G738),IF(AND(OR($E738="returned_to_brand",$E738="given_to_roster_office",$E738="released_to_office",$E738="disposed"),IF($F738="","reserve",$F738)="reserve"),-N($G738),IF(AND($E738="correction",IF($F738="","reserve",$F738)="reserve"),N($G738),0)))))</f>
        <v/>
      </c>
      <c r="N738" s="30" t="str">
        <f aca="false">IF($C738="","",IF($E738="rejected",N($G738),IF(AND(OR($E738="returned_to_brand",$E738="given_to_roster_office",$E738="released_to_office",$E738="disposed"),IF($F738="","reserve",$F738)="rejected"),-N($G738),IF(AND($E738="correction",IF($F738="","reserve",$F738)="rejected"),N($G738),0))))</f>
        <v/>
      </c>
      <c r="O738" s="30" t="str">
        <f aca="false">IF($C738="","",IF($E738="collected",N($G738),IF(AND(OR($E738="returned_to_brand",$E738="given_to_roster_office",$E738="released_to_office",$E738="disposed"),IF($F738="","reserve",$F738)="leftover"),-N($G738),IF(AND($E738="correction",IF($F738="","reserve",$F738)="leftover"),N($G738),0))))</f>
        <v/>
      </c>
      <c r="P738" s="30" t="str">
        <f aca="false">IF(OR($E738&lt;&gt;"received",$I738="",$L738=""),"",IF($I738&gt;=$L738+config!$B$19,"Y","N"))</f>
        <v/>
      </c>
      <c r="Q738" s="30" t="str">
        <f aca="false">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30" t="str">
        <f aca="false">IF($C738="","",$C738&amp;"|"&amp;$D738&amp;"|"&amp;$E738)</f>
        <v/>
      </c>
    </row>
    <row r="739" customFormat="false" ht="15" hidden="false" customHeight="false" outlineLevel="0" collapsed="false">
      <c r="A739" s="11"/>
      <c r="B739" s="38"/>
      <c r="E739" s="10"/>
      <c r="I739" s="11"/>
      <c r="J739" s="10"/>
      <c r="L739" s="31" t="str">
        <f aca="false">IF($C739="","",IFERROR(IF(INDEX(campaigns!$BG$2:$BG$51,MATCH($C739,campaigns!$A$2:$A$51,0))="","",INDEX(campaigns!$BG$2:$BG$51,MATCH($C739,campaigns!$A$2:$A$51,0))),""))</f>
        <v/>
      </c>
      <c r="M739" s="30" t="str">
        <f aca="false">IF($C739="","",IF(OR($E739="received"),N($G739),IF(OR($E739="rejected",$E739="delivered",$E739="topped_up"),-N($G739),IF(AND(OR($E739="returned_to_brand",$E739="given_to_roster_office",$E739="released_to_office",$E739="disposed"),IF($F739="","reserve",$F739)="reserve"),-N($G739),IF(AND($E739="correction",IF($F739="","reserve",$F739)="reserve"),N($G739),0)))))</f>
        <v/>
      </c>
      <c r="N739" s="30" t="str">
        <f aca="false">IF($C739="","",IF($E739="rejected",N($G739),IF(AND(OR($E739="returned_to_brand",$E739="given_to_roster_office",$E739="released_to_office",$E739="disposed"),IF($F739="","reserve",$F739)="rejected"),-N($G739),IF(AND($E739="correction",IF($F739="","reserve",$F739)="rejected"),N($G739),0))))</f>
        <v/>
      </c>
      <c r="O739" s="30" t="str">
        <f aca="false">IF($C739="","",IF($E739="collected",N($G739),IF(AND(OR($E739="returned_to_brand",$E739="given_to_roster_office",$E739="released_to_office",$E739="disposed"),IF($F739="","reserve",$F739)="leftover"),-N($G739),IF(AND($E739="correction",IF($F739="","reserve",$F739)="leftover"),N($G739),0))))</f>
        <v/>
      </c>
      <c r="P739" s="30" t="str">
        <f aca="false">IF(OR($E739&lt;&gt;"received",$I739="",$L739=""),"",IF($I739&gt;=$L739+config!$B$19,"Y","N"))</f>
        <v/>
      </c>
      <c r="Q739" s="30" t="str">
        <f aca="false">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30" t="str">
        <f aca="false">IF($C739="","",$C739&amp;"|"&amp;$D739&amp;"|"&amp;$E739)</f>
        <v/>
      </c>
    </row>
    <row r="740" customFormat="false" ht="15" hidden="false" customHeight="false" outlineLevel="0" collapsed="false">
      <c r="A740" s="11"/>
      <c r="B740" s="38"/>
      <c r="E740" s="10"/>
      <c r="I740" s="11"/>
      <c r="J740" s="10"/>
      <c r="L740" s="31" t="str">
        <f aca="false">IF($C740="","",IFERROR(IF(INDEX(campaigns!$BG$2:$BG$51,MATCH($C740,campaigns!$A$2:$A$51,0))="","",INDEX(campaigns!$BG$2:$BG$51,MATCH($C740,campaigns!$A$2:$A$51,0))),""))</f>
        <v/>
      </c>
      <c r="M740" s="30" t="str">
        <f aca="false">IF($C740="","",IF(OR($E740="received"),N($G740),IF(OR($E740="rejected",$E740="delivered",$E740="topped_up"),-N($G740),IF(AND(OR($E740="returned_to_brand",$E740="given_to_roster_office",$E740="released_to_office",$E740="disposed"),IF($F740="","reserve",$F740)="reserve"),-N($G740),IF(AND($E740="correction",IF($F740="","reserve",$F740)="reserve"),N($G740),0)))))</f>
        <v/>
      </c>
      <c r="N740" s="30" t="str">
        <f aca="false">IF($C740="","",IF($E740="rejected",N($G740),IF(AND(OR($E740="returned_to_brand",$E740="given_to_roster_office",$E740="released_to_office",$E740="disposed"),IF($F740="","reserve",$F740)="rejected"),-N($G740),IF(AND($E740="correction",IF($F740="","reserve",$F740)="rejected"),N($G740),0))))</f>
        <v/>
      </c>
      <c r="O740" s="30" t="str">
        <f aca="false">IF($C740="","",IF($E740="collected",N($G740),IF(AND(OR($E740="returned_to_brand",$E740="given_to_roster_office",$E740="released_to_office",$E740="disposed"),IF($F740="","reserve",$F740)="leftover"),-N($G740),IF(AND($E740="correction",IF($F740="","reserve",$F740)="leftover"),N($G740),0))))</f>
        <v/>
      </c>
      <c r="P740" s="30" t="str">
        <f aca="false">IF(OR($E740&lt;&gt;"received",$I740="",$L740=""),"",IF($I740&gt;=$L740+config!$B$19,"Y","N"))</f>
        <v/>
      </c>
      <c r="Q740" s="30" t="str">
        <f aca="false">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30" t="str">
        <f aca="false">IF($C740="","",$C740&amp;"|"&amp;$D740&amp;"|"&amp;$E740)</f>
        <v/>
      </c>
    </row>
    <row r="741" customFormat="false" ht="15" hidden="false" customHeight="false" outlineLevel="0" collapsed="false">
      <c r="A741" s="11"/>
      <c r="B741" s="38"/>
      <c r="E741" s="10"/>
      <c r="I741" s="11"/>
      <c r="J741" s="10"/>
      <c r="L741" s="31" t="str">
        <f aca="false">IF($C741="","",IFERROR(IF(INDEX(campaigns!$BG$2:$BG$51,MATCH($C741,campaigns!$A$2:$A$51,0))="","",INDEX(campaigns!$BG$2:$BG$51,MATCH($C741,campaigns!$A$2:$A$51,0))),""))</f>
        <v/>
      </c>
      <c r="M741" s="30" t="str">
        <f aca="false">IF($C741="","",IF(OR($E741="received"),N($G741),IF(OR($E741="rejected",$E741="delivered",$E741="topped_up"),-N($G741),IF(AND(OR($E741="returned_to_brand",$E741="given_to_roster_office",$E741="released_to_office",$E741="disposed"),IF($F741="","reserve",$F741)="reserve"),-N($G741),IF(AND($E741="correction",IF($F741="","reserve",$F741)="reserve"),N($G741),0)))))</f>
        <v/>
      </c>
      <c r="N741" s="30" t="str">
        <f aca="false">IF($C741="","",IF($E741="rejected",N($G741),IF(AND(OR($E741="returned_to_brand",$E741="given_to_roster_office",$E741="released_to_office",$E741="disposed"),IF($F741="","reserve",$F741)="rejected"),-N($G741),IF(AND($E741="correction",IF($F741="","reserve",$F741)="rejected"),N($G741),0))))</f>
        <v/>
      </c>
      <c r="O741" s="30" t="str">
        <f aca="false">IF($C741="","",IF($E741="collected",N($G741),IF(AND(OR($E741="returned_to_brand",$E741="given_to_roster_office",$E741="released_to_office",$E741="disposed"),IF($F741="","reserve",$F741)="leftover"),-N($G741),IF(AND($E741="correction",IF($F741="","reserve",$F741)="leftover"),N($G741),0))))</f>
        <v/>
      </c>
      <c r="P741" s="30" t="str">
        <f aca="false">IF(OR($E741&lt;&gt;"received",$I741="",$L741=""),"",IF($I741&gt;=$L741+config!$B$19,"Y","N"))</f>
        <v/>
      </c>
      <c r="Q741" s="30" t="str">
        <f aca="false">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30" t="str">
        <f aca="false">IF($C741="","",$C741&amp;"|"&amp;$D741&amp;"|"&amp;$E741)</f>
        <v/>
      </c>
    </row>
    <row r="742" customFormat="false" ht="15" hidden="false" customHeight="false" outlineLevel="0" collapsed="false">
      <c r="A742" s="11"/>
      <c r="B742" s="38"/>
      <c r="E742" s="10"/>
      <c r="I742" s="11"/>
      <c r="J742" s="10"/>
      <c r="L742" s="31" t="str">
        <f aca="false">IF($C742="","",IFERROR(IF(INDEX(campaigns!$BG$2:$BG$51,MATCH($C742,campaigns!$A$2:$A$51,0))="","",INDEX(campaigns!$BG$2:$BG$51,MATCH($C742,campaigns!$A$2:$A$51,0))),""))</f>
        <v/>
      </c>
      <c r="M742" s="30" t="str">
        <f aca="false">IF($C742="","",IF(OR($E742="received"),N($G742),IF(OR($E742="rejected",$E742="delivered",$E742="topped_up"),-N($G742),IF(AND(OR($E742="returned_to_brand",$E742="given_to_roster_office",$E742="released_to_office",$E742="disposed"),IF($F742="","reserve",$F742)="reserve"),-N($G742),IF(AND($E742="correction",IF($F742="","reserve",$F742)="reserve"),N($G742),0)))))</f>
        <v/>
      </c>
      <c r="N742" s="30" t="str">
        <f aca="false">IF($C742="","",IF($E742="rejected",N($G742),IF(AND(OR($E742="returned_to_brand",$E742="given_to_roster_office",$E742="released_to_office",$E742="disposed"),IF($F742="","reserve",$F742)="rejected"),-N($G742),IF(AND($E742="correction",IF($F742="","reserve",$F742)="rejected"),N($G742),0))))</f>
        <v/>
      </c>
      <c r="O742" s="30" t="str">
        <f aca="false">IF($C742="","",IF($E742="collected",N($G742),IF(AND(OR($E742="returned_to_brand",$E742="given_to_roster_office",$E742="released_to_office",$E742="disposed"),IF($F742="","reserve",$F742)="leftover"),-N($G742),IF(AND($E742="correction",IF($F742="","reserve",$F742)="leftover"),N($G742),0))))</f>
        <v/>
      </c>
      <c r="P742" s="30" t="str">
        <f aca="false">IF(OR($E742&lt;&gt;"received",$I742="",$L742=""),"",IF($I742&gt;=$L742+config!$B$19,"Y","N"))</f>
        <v/>
      </c>
      <c r="Q742" s="30" t="str">
        <f aca="false">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30" t="str">
        <f aca="false">IF($C742="","",$C742&amp;"|"&amp;$D742&amp;"|"&amp;$E742)</f>
        <v/>
      </c>
    </row>
    <row r="743" customFormat="false" ht="15" hidden="false" customHeight="false" outlineLevel="0" collapsed="false">
      <c r="A743" s="11"/>
      <c r="B743" s="38"/>
      <c r="E743" s="10"/>
      <c r="I743" s="11"/>
      <c r="J743" s="10"/>
      <c r="L743" s="31" t="str">
        <f aca="false">IF($C743="","",IFERROR(IF(INDEX(campaigns!$BG$2:$BG$51,MATCH($C743,campaigns!$A$2:$A$51,0))="","",INDEX(campaigns!$BG$2:$BG$51,MATCH($C743,campaigns!$A$2:$A$51,0))),""))</f>
        <v/>
      </c>
      <c r="M743" s="30" t="str">
        <f aca="false">IF($C743="","",IF(OR($E743="received"),N($G743),IF(OR($E743="rejected",$E743="delivered",$E743="topped_up"),-N($G743),IF(AND(OR($E743="returned_to_brand",$E743="given_to_roster_office",$E743="released_to_office",$E743="disposed"),IF($F743="","reserve",$F743)="reserve"),-N($G743),IF(AND($E743="correction",IF($F743="","reserve",$F743)="reserve"),N($G743),0)))))</f>
        <v/>
      </c>
      <c r="N743" s="30" t="str">
        <f aca="false">IF($C743="","",IF($E743="rejected",N($G743),IF(AND(OR($E743="returned_to_brand",$E743="given_to_roster_office",$E743="released_to_office",$E743="disposed"),IF($F743="","reserve",$F743)="rejected"),-N($G743),IF(AND($E743="correction",IF($F743="","reserve",$F743)="rejected"),N($G743),0))))</f>
        <v/>
      </c>
      <c r="O743" s="30" t="str">
        <f aca="false">IF($C743="","",IF($E743="collected",N($G743),IF(AND(OR($E743="returned_to_brand",$E743="given_to_roster_office",$E743="released_to_office",$E743="disposed"),IF($F743="","reserve",$F743)="leftover"),-N($G743),IF(AND($E743="correction",IF($F743="","reserve",$F743)="leftover"),N($G743),0))))</f>
        <v/>
      </c>
      <c r="P743" s="30" t="str">
        <f aca="false">IF(OR($E743&lt;&gt;"received",$I743="",$L743=""),"",IF($I743&gt;=$L743+config!$B$19,"Y","N"))</f>
        <v/>
      </c>
      <c r="Q743" s="30" t="str">
        <f aca="false">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30" t="str">
        <f aca="false">IF($C743="","",$C743&amp;"|"&amp;$D743&amp;"|"&amp;$E743)</f>
        <v/>
      </c>
    </row>
    <row r="744" customFormat="false" ht="15" hidden="false" customHeight="false" outlineLevel="0" collapsed="false">
      <c r="A744" s="11"/>
      <c r="B744" s="38"/>
      <c r="E744" s="10"/>
      <c r="I744" s="11"/>
      <c r="J744" s="10"/>
      <c r="L744" s="31" t="str">
        <f aca="false">IF($C744="","",IFERROR(IF(INDEX(campaigns!$BG$2:$BG$51,MATCH($C744,campaigns!$A$2:$A$51,0))="","",INDEX(campaigns!$BG$2:$BG$51,MATCH($C744,campaigns!$A$2:$A$51,0))),""))</f>
        <v/>
      </c>
      <c r="M744" s="30" t="str">
        <f aca="false">IF($C744="","",IF(OR($E744="received"),N($G744),IF(OR($E744="rejected",$E744="delivered",$E744="topped_up"),-N($G744),IF(AND(OR($E744="returned_to_brand",$E744="given_to_roster_office",$E744="released_to_office",$E744="disposed"),IF($F744="","reserve",$F744)="reserve"),-N($G744),IF(AND($E744="correction",IF($F744="","reserve",$F744)="reserve"),N($G744),0)))))</f>
        <v/>
      </c>
      <c r="N744" s="30" t="str">
        <f aca="false">IF($C744="","",IF($E744="rejected",N($G744),IF(AND(OR($E744="returned_to_brand",$E744="given_to_roster_office",$E744="released_to_office",$E744="disposed"),IF($F744="","reserve",$F744)="rejected"),-N($G744),IF(AND($E744="correction",IF($F744="","reserve",$F744)="rejected"),N($G744),0))))</f>
        <v/>
      </c>
      <c r="O744" s="30" t="str">
        <f aca="false">IF($C744="","",IF($E744="collected",N($G744),IF(AND(OR($E744="returned_to_brand",$E744="given_to_roster_office",$E744="released_to_office",$E744="disposed"),IF($F744="","reserve",$F744)="leftover"),-N($G744),IF(AND($E744="correction",IF($F744="","reserve",$F744)="leftover"),N($G744),0))))</f>
        <v/>
      </c>
      <c r="P744" s="30" t="str">
        <f aca="false">IF(OR($E744&lt;&gt;"received",$I744="",$L744=""),"",IF($I744&gt;=$L744+config!$B$19,"Y","N"))</f>
        <v/>
      </c>
      <c r="Q744" s="30" t="str">
        <f aca="false">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30" t="str">
        <f aca="false">IF($C744="","",$C744&amp;"|"&amp;$D744&amp;"|"&amp;$E744)</f>
        <v/>
      </c>
    </row>
    <row r="745" customFormat="false" ht="15" hidden="false" customHeight="false" outlineLevel="0" collapsed="false">
      <c r="A745" s="11"/>
      <c r="B745" s="38"/>
      <c r="E745" s="10"/>
      <c r="I745" s="11"/>
      <c r="J745" s="10"/>
      <c r="L745" s="31" t="str">
        <f aca="false">IF($C745="","",IFERROR(IF(INDEX(campaigns!$BG$2:$BG$51,MATCH($C745,campaigns!$A$2:$A$51,0))="","",INDEX(campaigns!$BG$2:$BG$51,MATCH($C745,campaigns!$A$2:$A$51,0))),""))</f>
        <v/>
      </c>
      <c r="M745" s="30" t="str">
        <f aca="false">IF($C745="","",IF(OR($E745="received"),N($G745),IF(OR($E745="rejected",$E745="delivered",$E745="topped_up"),-N($G745),IF(AND(OR($E745="returned_to_brand",$E745="given_to_roster_office",$E745="released_to_office",$E745="disposed"),IF($F745="","reserve",$F745)="reserve"),-N($G745),IF(AND($E745="correction",IF($F745="","reserve",$F745)="reserve"),N($G745),0)))))</f>
        <v/>
      </c>
      <c r="N745" s="30" t="str">
        <f aca="false">IF($C745="","",IF($E745="rejected",N($G745),IF(AND(OR($E745="returned_to_brand",$E745="given_to_roster_office",$E745="released_to_office",$E745="disposed"),IF($F745="","reserve",$F745)="rejected"),-N($G745),IF(AND($E745="correction",IF($F745="","reserve",$F745)="rejected"),N($G745),0))))</f>
        <v/>
      </c>
      <c r="O745" s="30" t="str">
        <f aca="false">IF($C745="","",IF($E745="collected",N($G745),IF(AND(OR($E745="returned_to_brand",$E745="given_to_roster_office",$E745="released_to_office",$E745="disposed"),IF($F745="","reserve",$F745)="leftover"),-N($G745),IF(AND($E745="correction",IF($F745="","reserve",$F745)="leftover"),N($G745),0))))</f>
        <v/>
      </c>
      <c r="P745" s="30" t="str">
        <f aca="false">IF(OR($E745&lt;&gt;"received",$I745="",$L745=""),"",IF($I745&gt;=$L745+config!$B$19,"Y","N"))</f>
        <v/>
      </c>
      <c r="Q745" s="30" t="str">
        <f aca="false">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30" t="str">
        <f aca="false">IF($C745="","",$C745&amp;"|"&amp;$D745&amp;"|"&amp;$E745)</f>
        <v/>
      </c>
    </row>
    <row r="746" customFormat="false" ht="15" hidden="false" customHeight="false" outlineLevel="0" collapsed="false">
      <c r="A746" s="11"/>
      <c r="B746" s="38"/>
      <c r="E746" s="10"/>
      <c r="I746" s="11"/>
      <c r="J746" s="10"/>
      <c r="L746" s="31" t="str">
        <f aca="false">IF($C746="","",IFERROR(IF(INDEX(campaigns!$BG$2:$BG$51,MATCH($C746,campaigns!$A$2:$A$51,0))="","",INDEX(campaigns!$BG$2:$BG$51,MATCH($C746,campaigns!$A$2:$A$51,0))),""))</f>
        <v/>
      </c>
      <c r="M746" s="30" t="str">
        <f aca="false">IF($C746="","",IF(OR($E746="received"),N($G746),IF(OR($E746="rejected",$E746="delivered",$E746="topped_up"),-N($G746),IF(AND(OR($E746="returned_to_brand",$E746="given_to_roster_office",$E746="released_to_office",$E746="disposed"),IF($F746="","reserve",$F746)="reserve"),-N($G746),IF(AND($E746="correction",IF($F746="","reserve",$F746)="reserve"),N($G746),0)))))</f>
        <v/>
      </c>
      <c r="N746" s="30" t="str">
        <f aca="false">IF($C746="","",IF($E746="rejected",N($G746),IF(AND(OR($E746="returned_to_brand",$E746="given_to_roster_office",$E746="released_to_office",$E746="disposed"),IF($F746="","reserve",$F746)="rejected"),-N($G746),IF(AND($E746="correction",IF($F746="","reserve",$F746)="rejected"),N($G746),0))))</f>
        <v/>
      </c>
      <c r="O746" s="30" t="str">
        <f aca="false">IF($C746="","",IF($E746="collected",N($G746),IF(AND(OR($E746="returned_to_brand",$E746="given_to_roster_office",$E746="released_to_office",$E746="disposed"),IF($F746="","reserve",$F746)="leftover"),-N($G746),IF(AND($E746="correction",IF($F746="","reserve",$F746)="leftover"),N($G746),0))))</f>
        <v/>
      </c>
      <c r="P746" s="30" t="str">
        <f aca="false">IF(OR($E746&lt;&gt;"received",$I746="",$L746=""),"",IF($I746&gt;=$L746+config!$B$19,"Y","N"))</f>
        <v/>
      </c>
      <c r="Q746" s="30" t="str">
        <f aca="false">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30" t="str">
        <f aca="false">IF($C746="","",$C746&amp;"|"&amp;$D746&amp;"|"&amp;$E746)</f>
        <v/>
      </c>
    </row>
    <row r="747" customFormat="false" ht="15" hidden="false" customHeight="false" outlineLevel="0" collapsed="false">
      <c r="A747" s="11"/>
      <c r="B747" s="38"/>
      <c r="E747" s="10"/>
      <c r="I747" s="11"/>
      <c r="J747" s="10"/>
      <c r="L747" s="31" t="str">
        <f aca="false">IF($C747="","",IFERROR(IF(INDEX(campaigns!$BG$2:$BG$51,MATCH($C747,campaigns!$A$2:$A$51,0))="","",INDEX(campaigns!$BG$2:$BG$51,MATCH($C747,campaigns!$A$2:$A$51,0))),""))</f>
        <v/>
      </c>
      <c r="M747" s="30" t="str">
        <f aca="false">IF($C747="","",IF(OR($E747="received"),N($G747),IF(OR($E747="rejected",$E747="delivered",$E747="topped_up"),-N($G747),IF(AND(OR($E747="returned_to_brand",$E747="given_to_roster_office",$E747="released_to_office",$E747="disposed"),IF($F747="","reserve",$F747)="reserve"),-N($G747),IF(AND($E747="correction",IF($F747="","reserve",$F747)="reserve"),N($G747),0)))))</f>
        <v/>
      </c>
      <c r="N747" s="30" t="str">
        <f aca="false">IF($C747="","",IF($E747="rejected",N($G747),IF(AND(OR($E747="returned_to_brand",$E747="given_to_roster_office",$E747="released_to_office",$E747="disposed"),IF($F747="","reserve",$F747)="rejected"),-N($G747),IF(AND($E747="correction",IF($F747="","reserve",$F747)="rejected"),N($G747),0))))</f>
        <v/>
      </c>
      <c r="O747" s="30" t="str">
        <f aca="false">IF($C747="","",IF($E747="collected",N($G747),IF(AND(OR($E747="returned_to_brand",$E747="given_to_roster_office",$E747="released_to_office",$E747="disposed"),IF($F747="","reserve",$F747)="leftover"),-N($G747),IF(AND($E747="correction",IF($F747="","reserve",$F747)="leftover"),N($G747),0))))</f>
        <v/>
      </c>
      <c r="P747" s="30" t="str">
        <f aca="false">IF(OR($E747&lt;&gt;"received",$I747="",$L747=""),"",IF($I747&gt;=$L747+config!$B$19,"Y","N"))</f>
        <v/>
      </c>
      <c r="Q747" s="30" t="str">
        <f aca="false">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30" t="str">
        <f aca="false">IF($C747="","",$C747&amp;"|"&amp;$D747&amp;"|"&amp;$E747)</f>
        <v/>
      </c>
    </row>
    <row r="748" customFormat="false" ht="15" hidden="false" customHeight="false" outlineLevel="0" collapsed="false">
      <c r="A748" s="11"/>
      <c r="B748" s="38"/>
      <c r="E748" s="10"/>
      <c r="I748" s="11"/>
      <c r="J748" s="10"/>
      <c r="L748" s="31" t="str">
        <f aca="false">IF($C748="","",IFERROR(IF(INDEX(campaigns!$BG$2:$BG$51,MATCH($C748,campaigns!$A$2:$A$51,0))="","",INDEX(campaigns!$BG$2:$BG$51,MATCH($C748,campaigns!$A$2:$A$51,0))),""))</f>
        <v/>
      </c>
      <c r="M748" s="30" t="str">
        <f aca="false">IF($C748="","",IF(OR($E748="received"),N($G748),IF(OR($E748="rejected",$E748="delivered",$E748="topped_up"),-N($G748),IF(AND(OR($E748="returned_to_brand",$E748="given_to_roster_office",$E748="released_to_office",$E748="disposed"),IF($F748="","reserve",$F748)="reserve"),-N($G748),IF(AND($E748="correction",IF($F748="","reserve",$F748)="reserve"),N($G748),0)))))</f>
        <v/>
      </c>
      <c r="N748" s="30" t="str">
        <f aca="false">IF($C748="","",IF($E748="rejected",N($G748),IF(AND(OR($E748="returned_to_brand",$E748="given_to_roster_office",$E748="released_to_office",$E748="disposed"),IF($F748="","reserve",$F748)="rejected"),-N($G748),IF(AND($E748="correction",IF($F748="","reserve",$F748)="rejected"),N($G748),0))))</f>
        <v/>
      </c>
      <c r="O748" s="30" t="str">
        <f aca="false">IF($C748="","",IF($E748="collected",N($G748),IF(AND(OR($E748="returned_to_brand",$E748="given_to_roster_office",$E748="released_to_office",$E748="disposed"),IF($F748="","reserve",$F748)="leftover"),-N($G748),IF(AND($E748="correction",IF($F748="","reserve",$F748)="leftover"),N($G748),0))))</f>
        <v/>
      </c>
      <c r="P748" s="30" t="str">
        <f aca="false">IF(OR($E748&lt;&gt;"received",$I748="",$L748=""),"",IF($I748&gt;=$L748+config!$B$19,"Y","N"))</f>
        <v/>
      </c>
      <c r="Q748" s="30" t="str">
        <f aca="false">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30" t="str">
        <f aca="false">IF($C748="","",$C748&amp;"|"&amp;$D748&amp;"|"&amp;$E748)</f>
        <v/>
      </c>
    </row>
    <row r="749" customFormat="false" ht="15" hidden="false" customHeight="false" outlineLevel="0" collapsed="false">
      <c r="A749" s="11"/>
      <c r="B749" s="38"/>
      <c r="E749" s="10"/>
      <c r="I749" s="11"/>
      <c r="J749" s="10"/>
      <c r="L749" s="31" t="str">
        <f aca="false">IF($C749="","",IFERROR(IF(INDEX(campaigns!$BG$2:$BG$51,MATCH($C749,campaigns!$A$2:$A$51,0))="","",INDEX(campaigns!$BG$2:$BG$51,MATCH($C749,campaigns!$A$2:$A$51,0))),""))</f>
        <v/>
      </c>
      <c r="M749" s="30" t="str">
        <f aca="false">IF($C749="","",IF(OR($E749="received"),N($G749),IF(OR($E749="rejected",$E749="delivered",$E749="topped_up"),-N($G749),IF(AND(OR($E749="returned_to_brand",$E749="given_to_roster_office",$E749="released_to_office",$E749="disposed"),IF($F749="","reserve",$F749)="reserve"),-N($G749),IF(AND($E749="correction",IF($F749="","reserve",$F749)="reserve"),N($G749),0)))))</f>
        <v/>
      </c>
      <c r="N749" s="30" t="str">
        <f aca="false">IF($C749="","",IF($E749="rejected",N($G749),IF(AND(OR($E749="returned_to_brand",$E749="given_to_roster_office",$E749="released_to_office",$E749="disposed"),IF($F749="","reserve",$F749)="rejected"),-N($G749),IF(AND($E749="correction",IF($F749="","reserve",$F749)="rejected"),N($G749),0))))</f>
        <v/>
      </c>
      <c r="O749" s="30" t="str">
        <f aca="false">IF($C749="","",IF($E749="collected",N($G749),IF(AND(OR($E749="returned_to_brand",$E749="given_to_roster_office",$E749="released_to_office",$E749="disposed"),IF($F749="","reserve",$F749)="leftover"),-N($G749),IF(AND($E749="correction",IF($F749="","reserve",$F749)="leftover"),N($G749),0))))</f>
        <v/>
      </c>
      <c r="P749" s="30" t="str">
        <f aca="false">IF(OR($E749&lt;&gt;"received",$I749="",$L749=""),"",IF($I749&gt;=$L749+config!$B$19,"Y","N"))</f>
        <v/>
      </c>
      <c r="Q749" s="30" t="str">
        <f aca="false">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30" t="str">
        <f aca="false">IF($C749="","",$C749&amp;"|"&amp;$D749&amp;"|"&amp;$E749)</f>
        <v/>
      </c>
    </row>
    <row r="750" customFormat="false" ht="15" hidden="false" customHeight="false" outlineLevel="0" collapsed="false">
      <c r="A750" s="11"/>
      <c r="B750" s="38"/>
      <c r="E750" s="10"/>
      <c r="I750" s="11"/>
      <c r="J750" s="10"/>
      <c r="L750" s="31" t="str">
        <f aca="false">IF($C750="","",IFERROR(IF(INDEX(campaigns!$BG$2:$BG$51,MATCH($C750,campaigns!$A$2:$A$51,0))="","",INDEX(campaigns!$BG$2:$BG$51,MATCH($C750,campaigns!$A$2:$A$51,0))),""))</f>
        <v/>
      </c>
      <c r="M750" s="30" t="str">
        <f aca="false">IF($C750="","",IF(OR($E750="received"),N($G750),IF(OR($E750="rejected",$E750="delivered",$E750="topped_up"),-N($G750),IF(AND(OR($E750="returned_to_brand",$E750="given_to_roster_office",$E750="released_to_office",$E750="disposed"),IF($F750="","reserve",$F750)="reserve"),-N($G750),IF(AND($E750="correction",IF($F750="","reserve",$F750)="reserve"),N($G750),0)))))</f>
        <v/>
      </c>
      <c r="N750" s="30" t="str">
        <f aca="false">IF($C750="","",IF($E750="rejected",N($G750),IF(AND(OR($E750="returned_to_brand",$E750="given_to_roster_office",$E750="released_to_office",$E750="disposed"),IF($F750="","reserve",$F750)="rejected"),-N($G750),IF(AND($E750="correction",IF($F750="","reserve",$F750)="rejected"),N($G750),0))))</f>
        <v/>
      </c>
      <c r="O750" s="30" t="str">
        <f aca="false">IF($C750="","",IF($E750="collected",N($G750),IF(AND(OR($E750="returned_to_brand",$E750="given_to_roster_office",$E750="released_to_office",$E750="disposed"),IF($F750="","reserve",$F750)="leftover"),-N($G750),IF(AND($E750="correction",IF($F750="","reserve",$F750)="leftover"),N($G750),0))))</f>
        <v/>
      </c>
      <c r="P750" s="30" t="str">
        <f aca="false">IF(OR($E750&lt;&gt;"received",$I750="",$L750=""),"",IF($I750&gt;=$L750+config!$B$19,"Y","N"))</f>
        <v/>
      </c>
      <c r="Q750" s="30" t="str">
        <f aca="false">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30" t="str">
        <f aca="false">IF($C750="","",$C750&amp;"|"&amp;$D750&amp;"|"&amp;$E750)</f>
        <v/>
      </c>
    </row>
    <row r="751" customFormat="false" ht="15" hidden="false" customHeight="false" outlineLevel="0" collapsed="false">
      <c r="A751" s="11"/>
      <c r="B751" s="38"/>
      <c r="E751" s="10"/>
      <c r="I751" s="11"/>
      <c r="J751" s="10"/>
      <c r="L751" s="31" t="str">
        <f aca="false">IF($C751="","",IFERROR(IF(INDEX(campaigns!$BG$2:$BG$51,MATCH($C751,campaigns!$A$2:$A$51,0))="","",INDEX(campaigns!$BG$2:$BG$51,MATCH($C751,campaigns!$A$2:$A$51,0))),""))</f>
        <v/>
      </c>
      <c r="M751" s="30" t="str">
        <f aca="false">IF($C751="","",IF(OR($E751="received"),N($G751),IF(OR($E751="rejected",$E751="delivered",$E751="topped_up"),-N($G751),IF(AND(OR($E751="returned_to_brand",$E751="given_to_roster_office",$E751="released_to_office",$E751="disposed"),IF($F751="","reserve",$F751)="reserve"),-N($G751),IF(AND($E751="correction",IF($F751="","reserve",$F751)="reserve"),N($G751),0)))))</f>
        <v/>
      </c>
      <c r="N751" s="30" t="str">
        <f aca="false">IF($C751="","",IF($E751="rejected",N($G751),IF(AND(OR($E751="returned_to_brand",$E751="given_to_roster_office",$E751="released_to_office",$E751="disposed"),IF($F751="","reserve",$F751)="rejected"),-N($G751),IF(AND($E751="correction",IF($F751="","reserve",$F751)="rejected"),N($G751),0))))</f>
        <v/>
      </c>
      <c r="O751" s="30" t="str">
        <f aca="false">IF($C751="","",IF($E751="collected",N($G751),IF(AND(OR($E751="returned_to_brand",$E751="given_to_roster_office",$E751="released_to_office",$E751="disposed"),IF($F751="","reserve",$F751)="leftover"),-N($G751),IF(AND($E751="correction",IF($F751="","reserve",$F751)="leftover"),N($G751),0))))</f>
        <v/>
      </c>
      <c r="P751" s="30" t="str">
        <f aca="false">IF(OR($E751&lt;&gt;"received",$I751="",$L751=""),"",IF($I751&gt;=$L751+config!$B$19,"Y","N"))</f>
        <v/>
      </c>
      <c r="Q751" s="30" t="str">
        <f aca="false">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30" t="str">
        <f aca="false">IF($C751="","",$C751&amp;"|"&amp;$D751&amp;"|"&amp;$E751)</f>
        <v/>
      </c>
    </row>
    <row r="752" customFormat="false" ht="15" hidden="false" customHeight="false" outlineLevel="0" collapsed="false">
      <c r="A752" s="11"/>
      <c r="B752" s="38"/>
      <c r="E752" s="10"/>
      <c r="I752" s="11"/>
      <c r="J752" s="10"/>
      <c r="L752" s="31" t="str">
        <f aca="false">IF($C752="","",IFERROR(IF(INDEX(campaigns!$BG$2:$BG$51,MATCH($C752,campaigns!$A$2:$A$51,0))="","",INDEX(campaigns!$BG$2:$BG$51,MATCH($C752,campaigns!$A$2:$A$51,0))),""))</f>
        <v/>
      </c>
      <c r="M752" s="30" t="str">
        <f aca="false">IF($C752="","",IF(OR($E752="received"),N($G752),IF(OR($E752="rejected",$E752="delivered",$E752="topped_up"),-N($G752),IF(AND(OR($E752="returned_to_brand",$E752="given_to_roster_office",$E752="released_to_office",$E752="disposed"),IF($F752="","reserve",$F752)="reserve"),-N($G752),IF(AND($E752="correction",IF($F752="","reserve",$F752)="reserve"),N($G752),0)))))</f>
        <v/>
      </c>
      <c r="N752" s="30" t="str">
        <f aca="false">IF($C752="","",IF($E752="rejected",N($G752),IF(AND(OR($E752="returned_to_brand",$E752="given_to_roster_office",$E752="released_to_office",$E752="disposed"),IF($F752="","reserve",$F752)="rejected"),-N($G752),IF(AND($E752="correction",IF($F752="","reserve",$F752)="rejected"),N($G752),0))))</f>
        <v/>
      </c>
      <c r="O752" s="30" t="str">
        <f aca="false">IF($C752="","",IF($E752="collected",N($G752),IF(AND(OR($E752="returned_to_brand",$E752="given_to_roster_office",$E752="released_to_office",$E752="disposed"),IF($F752="","reserve",$F752)="leftover"),-N($G752),IF(AND($E752="correction",IF($F752="","reserve",$F752)="leftover"),N($G752),0))))</f>
        <v/>
      </c>
      <c r="P752" s="30" t="str">
        <f aca="false">IF(OR($E752&lt;&gt;"received",$I752="",$L752=""),"",IF($I752&gt;=$L752+config!$B$19,"Y","N"))</f>
        <v/>
      </c>
      <c r="Q752" s="30" t="str">
        <f aca="false">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30" t="str">
        <f aca="false">IF($C752="","",$C752&amp;"|"&amp;$D752&amp;"|"&amp;$E752)</f>
        <v/>
      </c>
    </row>
    <row r="753" customFormat="false" ht="15" hidden="false" customHeight="false" outlineLevel="0" collapsed="false">
      <c r="A753" s="11"/>
      <c r="B753" s="38"/>
      <c r="E753" s="10"/>
      <c r="I753" s="11"/>
      <c r="J753" s="10"/>
      <c r="L753" s="31" t="str">
        <f aca="false">IF($C753="","",IFERROR(IF(INDEX(campaigns!$BG$2:$BG$51,MATCH($C753,campaigns!$A$2:$A$51,0))="","",INDEX(campaigns!$BG$2:$BG$51,MATCH($C753,campaigns!$A$2:$A$51,0))),""))</f>
        <v/>
      </c>
      <c r="M753" s="30" t="str">
        <f aca="false">IF($C753="","",IF(OR($E753="received"),N($G753),IF(OR($E753="rejected",$E753="delivered",$E753="topped_up"),-N($G753),IF(AND(OR($E753="returned_to_brand",$E753="given_to_roster_office",$E753="released_to_office",$E753="disposed"),IF($F753="","reserve",$F753)="reserve"),-N($G753),IF(AND($E753="correction",IF($F753="","reserve",$F753)="reserve"),N($G753),0)))))</f>
        <v/>
      </c>
      <c r="N753" s="30" t="str">
        <f aca="false">IF($C753="","",IF($E753="rejected",N($G753),IF(AND(OR($E753="returned_to_brand",$E753="given_to_roster_office",$E753="released_to_office",$E753="disposed"),IF($F753="","reserve",$F753)="rejected"),-N($G753),IF(AND($E753="correction",IF($F753="","reserve",$F753)="rejected"),N($G753),0))))</f>
        <v/>
      </c>
      <c r="O753" s="30" t="str">
        <f aca="false">IF($C753="","",IF($E753="collected",N($G753),IF(AND(OR($E753="returned_to_brand",$E753="given_to_roster_office",$E753="released_to_office",$E753="disposed"),IF($F753="","reserve",$F753)="leftover"),-N($G753),IF(AND($E753="correction",IF($F753="","reserve",$F753)="leftover"),N($G753),0))))</f>
        <v/>
      </c>
      <c r="P753" s="30" t="str">
        <f aca="false">IF(OR($E753&lt;&gt;"received",$I753="",$L753=""),"",IF($I753&gt;=$L753+config!$B$19,"Y","N"))</f>
        <v/>
      </c>
      <c r="Q753" s="30" t="str">
        <f aca="false">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30" t="str">
        <f aca="false">IF($C753="","",$C753&amp;"|"&amp;$D753&amp;"|"&amp;$E753)</f>
        <v/>
      </c>
    </row>
    <row r="754" customFormat="false" ht="15" hidden="false" customHeight="false" outlineLevel="0" collapsed="false">
      <c r="A754" s="11"/>
      <c r="B754" s="38"/>
      <c r="E754" s="10"/>
      <c r="I754" s="11"/>
      <c r="J754" s="10"/>
      <c r="L754" s="31" t="str">
        <f aca="false">IF($C754="","",IFERROR(IF(INDEX(campaigns!$BG$2:$BG$51,MATCH($C754,campaigns!$A$2:$A$51,0))="","",INDEX(campaigns!$BG$2:$BG$51,MATCH($C754,campaigns!$A$2:$A$51,0))),""))</f>
        <v/>
      </c>
      <c r="M754" s="30" t="str">
        <f aca="false">IF($C754="","",IF(OR($E754="received"),N($G754),IF(OR($E754="rejected",$E754="delivered",$E754="topped_up"),-N($G754),IF(AND(OR($E754="returned_to_brand",$E754="given_to_roster_office",$E754="released_to_office",$E754="disposed"),IF($F754="","reserve",$F754)="reserve"),-N($G754),IF(AND($E754="correction",IF($F754="","reserve",$F754)="reserve"),N($G754),0)))))</f>
        <v/>
      </c>
      <c r="N754" s="30" t="str">
        <f aca="false">IF($C754="","",IF($E754="rejected",N($G754),IF(AND(OR($E754="returned_to_brand",$E754="given_to_roster_office",$E754="released_to_office",$E754="disposed"),IF($F754="","reserve",$F754)="rejected"),-N($G754),IF(AND($E754="correction",IF($F754="","reserve",$F754)="rejected"),N($G754),0))))</f>
        <v/>
      </c>
      <c r="O754" s="30" t="str">
        <f aca="false">IF($C754="","",IF($E754="collected",N($G754),IF(AND(OR($E754="returned_to_brand",$E754="given_to_roster_office",$E754="released_to_office",$E754="disposed"),IF($F754="","reserve",$F754)="leftover"),-N($G754),IF(AND($E754="correction",IF($F754="","reserve",$F754)="leftover"),N($G754),0))))</f>
        <v/>
      </c>
      <c r="P754" s="30" t="str">
        <f aca="false">IF(OR($E754&lt;&gt;"received",$I754="",$L754=""),"",IF($I754&gt;=$L754+config!$B$19,"Y","N"))</f>
        <v/>
      </c>
      <c r="Q754" s="30" t="str">
        <f aca="false">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30" t="str">
        <f aca="false">IF($C754="","",$C754&amp;"|"&amp;$D754&amp;"|"&amp;$E754)</f>
        <v/>
      </c>
    </row>
    <row r="755" customFormat="false" ht="15" hidden="false" customHeight="false" outlineLevel="0" collapsed="false">
      <c r="A755" s="11"/>
      <c r="B755" s="38"/>
      <c r="E755" s="10"/>
      <c r="I755" s="11"/>
      <c r="J755" s="10"/>
      <c r="L755" s="31" t="str">
        <f aca="false">IF($C755="","",IFERROR(IF(INDEX(campaigns!$BG$2:$BG$51,MATCH($C755,campaigns!$A$2:$A$51,0))="","",INDEX(campaigns!$BG$2:$BG$51,MATCH($C755,campaigns!$A$2:$A$51,0))),""))</f>
        <v/>
      </c>
      <c r="M755" s="30" t="str">
        <f aca="false">IF($C755="","",IF(OR($E755="received"),N($G755),IF(OR($E755="rejected",$E755="delivered",$E755="topped_up"),-N($G755),IF(AND(OR($E755="returned_to_brand",$E755="given_to_roster_office",$E755="released_to_office",$E755="disposed"),IF($F755="","reserve",$F755)="reserve"),-N($G755),IF(AND($E755="correction",IF($F755="","reserve",$F755)="reserve"),N($G755),0)))))</f>
        <v/>
      </c>
      <c r="N755" s="30" t="str">
        <f aca="false">IF($C755="","",IF($E755="rejected",N($G755),IF(AND(OR($E755="returned_to_brand",$E755="given_to_roster_office",$E755="released_to_office",$E755="disposed"),IF($F755="","reserve",$F755)="rejected"),-N($G755),IF(AND($E755="correction",IF($F755="","reserve",$F755)="rejected"),N($G755),0))))</f>
        <v/>
      </c>
      <c r="O755" s="30" t="str">
        <f aca="false">IF($C755="","",IF($E755="collected",N($G755),IF(AND(OR($E755="returned_to_brand",$E755="given_to_roster_office",$E755="released_to_office",$E755="disposed"),IF($F755="","reserve",$F755)="leftover"),-N($G755),IF(AND($E755="correction",IF($F755="","reserve",$F755)="leftover"),N($G755),0))))</f>
        <v/>
      </c>
      <c r="P755" s="30" t="str">
        <f aca="false">IF(OR($E755&lt;&gt;"received",$I755="",$L755=""),"",IF($I755&gt;=$L755+config!$B$19,"Y","N"))</f>
        <v/>
      </c>
      <c r="Q755" s="30" t="str">
        <f aca="false">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30" t="str">
        <f aca="false">IF($C755="","",$C755&amp;"|"&amp;$D755&amp;"|"&amp;$E755)</f>
        <v/>
      </c>
    </row>
    <row r="756" customFormat="false" ht="15" hidden="false" customHeight="false" outlineLevel="0" collapsed="false">
      <c r="A756" s="11"/>
      <c r="B756" s="38"/>
      <c r="E756" s="10"/>
      <c r="I756" s="11"/>
      <c r="J756" s="10"/>
      <c r="L756" s="31" t="str">
        <f aca="false">IF($C756="","",IFERROR(IF(INDEX(campaigns!$BG$2:$BG$51,MATCH($C756,campaigns!$A$2:$A$51,0))="","",INDEX(campaigns!$BG$2:$BG$51,MATCH($C756,campaigns!$A$2:$A$51,0))),""))</f>
        <v/>
      </c>
      <c r="M756" s="30" t="str">
        <f aca="false">IF($C756="","",IF(OR($E756="received"),N($G756),IF(OR($E756="rejected",$E756="delivered",$E756="topped_up"),-N($G756),IF(AND(OR($E756="returned_to_brand",$E756="given_to_roster_office",$E756="released_to_office",$E756="disposed"),IF($F756="","reserve",$F756)="reserve"),-N($G756),IF(AND($E756="correction",IF($F756="","reserve",$F756)="reserve"),N($G756),0)))))</f>
        <v/>
      </c>
      <c r="N756" s="30" t="str">
        <f aca="false">IF($C756="","",IF($E756="rejected",N($G756),IF(AND(OR($E756="returned_to_brand",$E756="given_to_roster_office",$E756="released_to_office",$E756="disposed"),IF($F756="","reserve",$F756)="rejected"),-N($G756),IF(AND($E756="correction",IF($F756="","reserve",$F756)="rejected"),N($G756),0))))</f>
        <v/>
      </c>
      <c r="O756" s="30" t="str">
        <f aca="false">IF($C756="","",IF($E756="collected",N($G756),IF(AND(OR($E756="returned_to_brand",$E756="given_to_roster_office",$E756="released_to_office",$E756="disposed"),IF($F756="","reserve",$F756)="leftover"),-N($G756),IF(AND($E756="correction",IF($F756="","reserve",$F756)="leftover"),N($G756),0))))</f>
        <v/>
      </c>
      <c r="P756" s="30" t="str">
        <f aca="false">IF(OR($E756&lt;&gt;"received",$I756="",$L756=""),"",IF($I756&gt;=$L756+config!$B$19,"Y","N"))</f>
        <v/>
      </c>
      <c r="Q756" s="30" t="str">
        <f aca="false">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30" t="str">
        <f aca="false">IF($C756="","",$C756&amp;"|"&amp;$D756&amp;"|"&amp;$E756)</f>
        <v/>
      </c>
    </row>
    <row r="757" customFormat="false" ht="15" hidden="false" customHeight="false" outlineLevel="0" collapsed="false">
      <c r="A757" s="11"/>
      <c r="B757" s="38"/>
      <c r="E757" s="10"/>
      <c r="I757" s="11"/>
      <c r="J757" s="10"/>
      <c r="L757" s="31" t="str">
        <f aca="false">IF($C757="","",IFERROR(IF(INDEX(campaigns!$BG$2:$BG$51,MATCH($C757,campaigns!$A$2:$A$51,0))="","",INDEX(campaigns!$BG$2:$BG$51,MATCH($C757,campaigns!$A$2:$A$51,0))),""))</f>
        <v/>
      </c>
      <c r="M757" s="30" t="str">
        <f aca="false">IF($C757="","",IF(OR($E757="received"),N($G757),IF(OR($E757="rejected",$E757="delivered",$E757="topped_up"),-N($G757),IF(AND(OR($E757="returned_to_brand",$E757="given_to_roster_office",$E757="released_to_office",$E757="disposed"),IF($F757="","reserve",$F757)="reserve"),-N($G757),IF(AND($E757="correction",IF($F757="","reserve",$F757)="reserve"),N($G757),0)))))</f>
        <v/>
      </c>
      <c r="N757" s="30" t="str">
        <f aca="false">IF($C757="","",IF($E757="rejected",N($G757),IF(AND(OR($E757="returned_to_brand",$E757="given_to_roster_office",$E757="released_to_office",$E757="disposed"),IF($F757="","reserve",$F757)="rejected"),-N($G757),IF(AND($E757="correction",IF($F757="","reserve",$F757)="rejected"),N($G757),0))))</f>
        <v/>
      </c>
      <c r="O757" s="30" t="str">
        <f aca="false">IF($C757="","",IF($E757="collected",N($G757),IF(AND(OR($E757="returned_to_brand",$E757="given_to_roster_office",$E757="released_to_office",$E757="disposed"),IF($F757="","reserve",$F757)="leftover"),-N($G757),IF(AND($E757="correction",IF($F757="","reserve",$F757)="leftover"),N($G757),0))))</f>
        <v/>
      </c>
      <c r="P757" s="30" t="str">
        <f aca="false">IF(OR($E757&lt;&gt;"received",$I757="",$L757=""),"",IF($I757&gt;=$L757+config!$B$19,"Y","N"))</f>
        <v/>
      </c>
      <c r="Q757" s="30" t="str">
        <f aca="false">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30" t="str">
        <f aca="false">IF($C757="","",$C757&amp;"|"&amp;$D757&amp;"|"&amp;$E757)</f>
        <v/>
      </c>
    </row>
    <row r="758" customFormat="false" ht="15" hidden="false" customHeight="false" outlineLevel="0" collapsed="false">
      <c r="A758" s="11"/>
      <c r="B758" s="38"/>
      <c r="E758" s="10"/>
      <c r="I758" s="11"/>
      <c r="J758" s="10"/>
      <c r="L758" s="31" t="str">
        <f aca="false">IF($C758="","",IFERROR(IF(INDEX(campaigns!$BG$2:$BG$51,MATCH($C758,campaigns!$A$2:$A$51,0))="","",INDEX(campaigns!$BG$2:$BG$51,MATCH($C758,campaigns!$A$2:$A$51,0))),""))</f>
        <v/>
      </c>
      <c r="M758" s="30" t="str">
        <f aca="false">IF($C758="","",IF(OR($E758="received"),N($G758),IF(OR($E758="rejected",$E758="delivered",$E758="topped_up"),-N($G758),IF(AND(OR($E758="returned_to_brand",$E758="given_to_roster_office",$E758="released_to_office",$E758="disposed"),IF($F758="","reserve",$F758)="reserve"),-N($G758),IF(AND($E758="correction",IF($F758="","reserve",$F758)="reserve"),N($G758),0)))))</f>
        <v/>
      </c>
      <c r="N758" s="30" t="str">
        <f aca="false">IF($C758="","",IF($E758="rejected",N($G758),IF(AND(OR($E758="returned_to_brand",$E758="given_to_roster_office",$E758="released_to_office",$E758="disposed"),IF($F758="","reserve",$F758)="rejected"),-N($G758),IF(AND($E758="correction",IF($F758="","reserve",$F758)="rejected"),N($G758),0))))</f>
        <v/>
      </c>
      <c r="O758" s="30" t="str">
        <f aca="false">IF($C758="","",IF($E758="collected",N($G758),IF(AND(OR($E758="returned_to_brand",$E758="given_to_roster_office",$E758="released_to_office",$E758="disposed"),IF($F758="","reserve",$F758)="leftover"),-N($G758),IF(AND($E758="correction",IF($F758="","reserve",$F758)="leftover"),N($G758),0))))</f>
        <v/>
      </c>
      <c r="P758" s="30" t="str">
        <f aca="false">IF(OR($E758&lt;&gt;"received",$I758="",$L758=""),"",IF($I758&gt;=$L758+config!$B$19,"Y","N"))</f>
        <v/>
      </c>
      <c r="Q758" s="30" t="str">
        <f aca="false">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30" t="str">
        <f aca="false">IF($C758="","",$C758&amp;"|"&amp;$D758&amp;"|"&amp;$E758)</f>
        <v/>
      </c>
    </row>
    <row r="759" customFormat="false" ht="15" hidden="false" customHeight="false" outlineLevel="0" collapsed="false">
      <c r="A759" s="11"/>
      <c r="B759" s="38"/>
      <c r="E759" s="10"/>
      <c r="I759" s="11"/>
      <c r="J759" s="10"/>
      <c r="L759" s="31" t="str">
        <f aca="false">IF($C759="","",IFERROR(IF(INDEX(campaigns!$BG$2:$BG$51,MATCH($C759,campaigns!$A$2:$A$51,0))="","",INDEX(campaigns!$BG$2:$BG$51,MATCH($C759,campaigns!$A$2:$A$51,0))),""))</f>
        <v/>
      </c>
      <c r="M759" s="30" t="str">
        <f aca="false">IF($C759="","",IF(OR($E759="received"),N($G759),IF(OR($E759="rejected",$E759="delivered",$E759="topped_up"),-N($G759),IF(AND(OR($E759="returned_to_brand",$E759="given_to_roster_office",$E759="released_to_office",$E759="disposed"),IF($F759="","reserve",$F759)="reserve"),-N($G759),IF(AND($E759="correction",IF($F759="","reserve",$F759)="reserve"),N($G759),0)))))</f>
        <v/>
      </c>
      <c r="N759" s="30" t="str">
        <f aca="false">IF($C759="","",IF($E759="rejected",N($G759),IF(AND(OR($E759="returned_to_brand",$E759="given_to_roster_office",$E759="released_to_office",$E759="disposed"),IF($F759="","reserve",$F759)="rejected"),-N($G759),IF(AND($E759="correction",IF($F759="","reserve",$F759)="rejected"),N($G759),0))))</f>
        <v/>
      </c>
      <c r="O759" s="30" t="str">
        <f aca="false">IF($C759="","",IF($E759="collected",N($G759),IF(AND(OR($E759="returned_to_brand",$E759="given_to_roster_office",$E759="released_to_office",$E759="disposed"),IF($F759="","reserve",$F759)="leftover"),-N($G759),IF(AND($E759="correction",IF($F759="","reserve",$F759)="leftover"),N($G759),0))))</f>
        <v/>
      </c>
      <c r="P759" s="30" t="str">
        <f aca="false">IF(OR($E759&lt;&gt;"received",$I759="",$L759=""),"",IF($I759&gt;=$L759+config!$B$19,"Y","N"))</f>
        <v/>
      </c>
      <c r="Q759" s="30" t="str">
        <f aca="false">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30" t="str">
        <f aca="false">IF($C759="","",$C759&amp;"|"&amp;$D759&amp;"|"&amp;$E759)</f>
        <v/>
      </c>
    </row>
    <row r="760" customFormat="false" ht="15" hidden="false" customHeight="false" outlineLevel="0" collapsed="false">
      <c r="A760" s="11"/>
      <c r="B760" s="38"/>
      <c r="E760" s="10"/>
      <c r="I760" s="11"/>
      <c r="J760" s="10"/>
      <c r="L760" s="31" t="str">
        <f aca="false">IF($C760="","",IFERROR(IF(INDEX(campaigns!$BG$2:$BG$51,MATCH($C760,campaigns!$A$2:$A$51,0))="","",INDEX(campaigns!$BG$2:$BG$51,MATCH($C760,campaigns!$A$2:$A$51,0))),""))</f>
        <v/>
      </c>
      <c r="M760" s="30" t="str">
        <f aca="false">IF($C760="","",IF(OR($E760="received"),N($G760),IF(OR($E760="rejected",$E760="delivered",$E760="topped_up"),-N($G760),IF(AND(OR($E760="returned_to_brand",$E760="given_to_roster_office",$E760="released_to_office",$E760="disposed"),IF($F760="","reserve",$F760)="reserve"),-N($G760),IF(AND($E760="correction",IF($F760="","reserve",$F760)="reserve"),N($G760),0)))))</f>
        <v/>
      </c>
      <c r="N760" s="30" t="str">
        <f aca="false">IF($C760="","",IF($E760="rejected",N($G760),IF(AND(OR($E760="returned_to_brand",$E760="given_to_roster_office",$E760="released_to_office",$E760="disposed"),IF($F760="","reserve",$F760)="rejected"),-N($G760),IF(AND($E760="correction",IF($F760="","reserve",$F760)="rejected"),N($G760),0))))</f>
        <v/>
      </c>
      <c r="O760" s="30" t="str">
        <f aca="false">IF($C760="","",IF($E760="collected",N($G760),IF(AND(OR($E760="returned_to_brand",$E760="given_to_roster_office",$E760="released_to_office",$E760="disposed"),IF($F760="","reserve",$F760)="leftover"),-N($G760),IF(AND($E760="correction",IF($F760="","reserve",$F760)="leftover"),N($G760),0))))</f>
        <v/>
      </c>
      <c r="P760" s="30" t="str">
        <f aca="false">IF(OR($E760&lt;&gt;"received",$I760="",$L760=""),"",IF($I760&gt;=$L760+config!$B$19,"Y","N"))</f>
        <v/>
      </c>
      <c r="Q760" s="30" t="str">
        <f aca="false">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30" t="str">
        <f aca="false">IF($C760="","",$C760&amp;"|"&amp;$D760&amp;"|"&amp;$E760)</f>
        <v/>
      </c>
    </row>
    <row r="761" customFormat="false" ht="15" hidden="false" customHeight="false" outlineLevel="0" collapsed="false">
      <c r="A761" s="11"/>
      <c r="B761" s="38"/>
      <c r="E761" s="10"/>
      <c r="I761" s="11"/>
      <c r="J761" s="10"/>
      <c r="L761" s="31" t="str">
        <f aca="false">IF($C761="","",IFERROR(IF(INDEX(campaigns!$BG$2:$BG$51,MATCH($C761,campaigns!$A$2:$A$51,0))="","",INDEX(campaigns!$BG$2:$BG$51,MATCH($C761,campaigns!$A$2:$A$51,0))),""))</f>
        <v/>
      </c>
      <c r="M761" s="30" t="str">
        <f aca="false">IF($C761="","",IF(OR($E761="received"),N($G761),IF(OR($E761="rejected",$E761="delivered",$E761="topped_up"),-N($G761),IF(AND(OR($E761="returned_to_brand",$E761="given_to_roster_office",$E761="released_to_office",$E761="disposed"),IF($F761="","reserve",$F761)="reserve"),-N($G761),IF(AND($E761="correction",IF($F761="","reserve",$F761)="reserve"),N($G761),0)))))</f>
        <v/>
      </c>
      <c r="N761" s="30" t="str">
        <f aca="false">IF($C761="","",IF($E761="rejected",N($G761),IF(AND(OR($E761="returned_to_brand",$E761="given_to_roster_office",$E761="released_to_office",$E761="disposed"),IF($F761="","reserve",$F761)="rejected"),-N($G761),IF(AND($E761="correction",IF($F761="","reserve",$F761)="rejected"),N($G761),0))))</f>
        <v/>
      </c>
      <c r="O761" s="30" t="str">
        <f aca="false">IF($C761="","",IF($E761="collected",N($G761),IF(AND(OR($E761="returned_to_brand",$E761="given_to_roster_office",$E761="released_to_office",$E761="disposed"),IF($F761="","reserve",$F761)="leftover"),-N($G761),IF(AND($E761="correction",IF($F761="","reserve",$F761)="leftover"),N($G761),0))))</f>
        <v/>
      </c>
      <c r="P761" s="30" t="str">
        <f aca="false">IF(OR($E761&lt;&gt;"received",$I761="",$L761=""),"",IF($I761&gt;=$L761+config!$B$19,"Y","N"))</f>
        <v/>
      </c>
      <c r="Q761" s="30" t="str">
        <f aca="false">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30" t="str">
        <f aca="false">IF($C761="","",$C761&amp;"|"&amp;$D761&amp;"|"&amp;$E761)</f>
        <v/>
      </c>
    </row>
    <row r="762" customFormat="false" ht="15" hidden="false" customHeight="false" outlineLevel="0" collapsed="false">
      <c r="A762" s="11"/>
      <c r="B762" s="38"/>
      <c r="E762" s="10"/>
      <c r="I762" s="11"/>
      <c r="J762" s="10"/>
      <c r="L762" s="31" t="str">
        <f aca="false">IF($C762="","",IFERROR(IF(INDEX(campaigns!$BG$2:$BG$51,MATCH($C762,campaigns!$A$2:$A$51,0))="","",INDEX(campaigns!$BG$2:$BG$51,MATCH($C762,campaigns!$A$2:$A$51,0))),""))</f>
        <v/>
      </c>
      <c r="M762" s="30" t="str">
        <f aca="false">IF($C762="","",IF(OR($E762="received"),N($G762),IF(OR($E762="rejected",$E762="delivered",$E762="topped_up"),-N($G762),IF(AND(OR($E762="returned_to_brand",$E762="given_to_roster_office",$E762="released_to_office",$E762="disposed"),IF($F762="","reserve",$F762)="reserve"),-N($G762),IF(AND($E762="correction",IF($F762="","reserve",$F762)="reserve"),N($G762),0)))))</f>
        <v/>
      </c>
      <c r="N762" s="30" t="str">
        <f aca="false">IF($C762="","",IF($E762="rejected",N($G762),IF(AND(OR($E762="returned_to_brand",$E762="given_to_roster_office",$E762="released_to_office",$E762="disposed"),IF($F762="","reserve",$F762)="rejected"),-N($G762),IF(AND($E762="correction",IF($F762="","reserve",$F762)="rejected"),N($G762),0))))</f>
        <v/>
      </c>
      <c r="O762" s="30" t="str">
        <f aca="false">IF($C762="","",IF($E762="collected",N($G762),IF(AND(OR($E762="returned_to_brand",$E762="given_to_roster_office",$E762="released_to_office",$E762="disposed"),IF($F762="","reserve",$F762)="leftover"),-N($G762),IF(AND($E762="correction",IF($F762="","reserve",$F762)="leftover"),N($G762),0))))</f>
        <v/>
      </c>
      <c r="P762" s="30" t="str">
        <f aca="false">IF(OR($E762&lt;&gt;"received",$I762="",$L762=""),"",IF($I762&gt;=$L762+config!$B$19,"Y","N"))</f>
        <v/>
      </c>
      <c r="Q762" s="30" t="str">
        <f aca="false">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30" t="str">
        <f aca="false">IF($C762="","",$C762&amp;"|"&amp;$D762&amp;"|"&amp;$E762)</f>
        <v/>
      </c>
    </row>
    <row r="763" customFormat="false" ht="15" hidden="false" customHeight="false" outlineLevel="0" collapsed="false">
      <c r="A763" s="11"/>
      <c r="B763" s="38"/>
      <c r="E763" s="10"/>
      <c r="I763" s="11"/>
      <c r="J763" s="10"/>
      <c r="L763" s="31" t="str">
        <f aca="false">IF($C763="","",IFERROR(IF(INDEX(campaigns!$BG$2:$BG$51,MATCH($C763,campaigns!$A$2:$A$51,0))="","",INDEX(campaigns!$BG$2:$BG$51,MATCH($C763,campaigns!$A$2:$A$51,0))),""))</f>
        <v/>
      </c>
      <c r="M763" s="30" t="str">
        <f aca="false">IF($C763="","",IF(OR($E763="received"),N($G763),IF(OR($E763="rejected",$E763="delivered",$E763="topped_up"),-N($G763),IF(AND(OR($E763="returned_to_brand",$E763="given_to_roster_office",$E763="released_to_office",$E763="disposed"),IF($F763="","reserve",$F763)="reserve"),-N($G763),IF(AND($E763="correction",IF($F763="","reserve",$F763)="reserve"),N($G763),0)))))</f>
        <v/>
      </c>
      <c r="N763" s="30" t="str">
        <f aca="false">IF($C763="","",IF($E763="rejected",N($G763),IF(AND(OR($E763="returned_to_brand",$E763="given_to_roster_office",$E763="released_to_office",$E763="disposed"),IF($F763="","reserve",$F763)="rejected"),-N($G763),IF(AND($E763="correction",IF($F763="","reserve",$F763)="rejected"),N($G763),0))))</f>
        <v/>
      </c>
      <c r="O763" s="30" t="str">
        <f aca="false">IF($C763="","",IF($E763="collected",N($G763),IF(AND(OR($E763="returned_to_brand",$E763="given_to_roster_office",$E763="released_to_office",$E763="disposed"),IF($F763="","reserve",$F763)="leftover"),-N($G763),IF(AND($E763="correction",IF($F763="","reserve",$F763)="leftover"),N($G763),0))))</f>
        <v/>
      </c>
      <c r="P763" s="30" t="str">
        <f aca="false">IF(OR($E763&lt;&gt;"received",$I763="",$L763=""),"",IF($I763&gt;=$L763+config!$B$19,"Y","N"))</f>
        <v/>
      </c>
      <c r="Q763" s="30" t="str">
        <f aca="false">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30" t="str">
        <f aca="false">IF($C763="","",$C763&amp;"|"&amp;$D763&amp;"|"&amp;$E763)</f>
        <v/>
      </c>
    </row>
    <row r="764" customFormat="false" ht="15" hidden="false" customHeight="false" outlineLevel="0" collapsed="false">
      <c r="A764" s="11"/>
      <c r="B764" s="38"/>
      <c r="E764" s="10"/>
      <c r="I764" s="11"/>
      <c r="J764" s="10"/>
      <c r="L764" s="31" t="str">
        <f aca="false">IF($C764="","",IFERROR(IF(INDEX(campaigns!$BG$2:$BG$51,MATCH($C764,campaigns!$A$2:$A$51,0))="","",INDEX(campaigns!$BG$2:$BG$51,MATCH($C764,campaigns!$A$2:$A$51,0))),""))</f>
        <v/>
      </c>
      <c r="M764" s="30" t="str">
        <f aca="false">IF($C764="","",IF(OR($E764="received"),N($G764),IF(OR($E764="rejected",$E764="delivered",$E764="topped_up"),-N($G764),IF(AND(OR($E764="returned_to_brand",$E764="given_to_roster_office",$E764="released_to_office",$E764="disposed"),IF($F764="","reserve",$F764)="reserve"),-N($G764),IF(AND($E764="correction",IF($F764="","reserve",$F764)="reserve"),N($G764),0)))))</f>
        <v/>
      </c>
      <c r="N764" s="30" t="str">
        <f aca="false">IF($C764="","",IF($E764="rejected",N($G764),IF(AND(OR($E764="returned_to_brand",$E764="given_to_roster_office",$E764="released_to_office",$E764="disposed"),IF($F764="","reserve",$F764)="rejected"),-N($G764),IF(AND($E764="correction",IF($F764="","reserve",$F764)="rejected"),N($G764),0))))</f>
        <v/>
      </c>
      <c r="O764" s="30" t="str">
        <f aca="false">IF($C764="","",IF($E764="collected",N($G764),IF(AND(OR($E764="returned_to_brand",$E764="given_to_roster_office",$E764="released_to_office",$E764="disposed"),IF($F764="","reserve",$F764)="leftover"),-N($G764),IF(AND($E764="correction",IF($F764="","reserve",$F764)="leftover"),N($G764),0))))</f>
        <v/>
      </c>
      <c r="P764" s="30" t="str">
        <f aca="false">IF(OR($E764&lt;&gt;"received",$I764="",$L764=""),"",IF($I764&gt;=$L764+config!$B$19,"Y","N"))</f>
        <v/>
      </c>
      <c r="Q764" s="30" t="str">
        <f aca="false">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30" t="str">
        <f aca="false">IF($C764="","",$C764&amp;"|"&amp;$D764&amp;"|"&amp;$E764)</f>
        <v/>
      </c>
    </row>
    <row r="765" customFormat="false" ht="15" hidden="false" customHeight="false" outlineLevel="0" collapsed="false">
      <c r="A765" s="11"/>
      <c r="B765" s="38"/>
      <c r="E765" s="10"/>
      <c r="I765" s="11"/>
      <c r="J765" s="10"/>
      <c r="L765" s="31" t="str">
        <f aca="false">IF($C765="","",IFERROR(IF(INDEX(campaigns!$BG$2:$BG$51,MATCH($C765,campaigns!$A$2:$A$51,0))="","",INDEX(campaigns!$BG$2:$BG$51,MATCH($C765,campaigns!$A$2:$A$51,0))),""))</f>
        <v/>
      </c>
      <c r="M765" s="30" t="str">
        <f aca="false">IF($C765="","",IF(OR($E765="received"),N($G765),IF(OR($E765="rejected",$E765="delivered",$E765="topped_up"),-N($G765),IF(AND(OR($E765="returned_to_brand",$E765="given_to_roster_office",$E765="released_to_office",$E765="disposed"),IF($F765="","reserve",$F765)="reserve"),-N($G765),IF(AND($E765="correction",IF($F765="","reserve",$F765)="reserve"),N($G765),0)))))</f>
        <v/>
      </c>
      <c r="N765" s="30" t="str">
        <f aca="false">IF($C765="","",IF($E765="rejected",N($G765),IF(AND(OR($E765="returned_to_brand",$E765="given_to_roster_office",$E765="released_to_office",$E765="disposed"),IF($F765="","reserve",$F765)="rejected"),-N($G765),IF(AND($E765="correction",IF($F765="","reserve",$F765)="rejected"),N($G765),0))))</f>
        <v/>
      </c>
      <c r="O765" s="30" t="str">
        <f aca="false">IF($C765="","",IF($E765="collected",N($G765),IF(AND(OR($E765="returned_to_brand",$E765="given_to_roster_office",$E765="released_to_office",$E765="disposed"),IF($F765="","reserve",$F765)="leftover"),-N($G765),IF(AND($E765="correction",IF($F765="","reserve",$F765)="leftover"),N($G765),0))))</f>
        <v/>
      </c>
      <c r="P765" s="30" t="str">
        <f aca="false">IF(OR($E765&lt;&gt;"received",$I765="",$L765=""),"",IF($I765&gt;=$L765+config!$B$19,"Y","N"))</f>
        <v/>
      </c>
      <c r="Q765" s="30" t="str">
        <f aca="false">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30" t="str">
        <f aca="false">IF($C765="","",$C765&amp;"|"&amp;$D765&amp;"|"&amp;$E765)</f>
        <v/>
      </c>
    </row>
    <row r="766" customFormat="false" ht="15" hidden="false" customHeight="false" outlineLevel="0" collapsed="false">
      <c r="A766" s="11"/>
      <c r="B766" s="38"/>
      <c r="E766" s="10"/>
      <c r="I766" s="11"/>
      <c r="J766" s="10"/>
      <c r="L766" s="31" t="str">
        <f aca="false">IF($C766="","",IFERROR(IF(INDEX(campaigns!$BG$2:$BG$51,MATCH($C766,campaigns!$A$2:$A$51,0))="","",INDEX(campaigns!$BG$2:$BG$51,MATCH($C766,campaigns!$A$2:$A$51,0))),""))</f>
        <v/>
      </c>
      <c r="M766" s="30" t="str">
        <f aca="false">IF($C766="","",IF(OR($E766="received"),N($G766),IF(OR($E766="rejected",$E766="delivered",$E766="topped_up"),-N($G766),IF(AND(OR($E766="returned_to_brand",$E766="given_to_roster_office",$E766="released_to_office",$E766="disposed"),IF($F766="","reserve",$F766)="reserve"),-N($G766),IF(AND($E766="correction",IF($F766="","reserve",$F766)="reserve"),N($G766),0)))))</f>
        <v/>
      </c>
      <c r="N766" s="30" t="str">
        <f aca="false">IF($C766="","",IF($E766="rejected",N($G766),IF(AND(OR($E766="returned_to_brand",$E766="given_to_roster_office",$E766="released_to_office",$E766="disposed"),IF($F766="","reserve",$F766)="rejected"),-N($G766),IF(AND($E766="correction",IF($F766="","reserve",$F766)="rejected"),N($G766),0))))</f>
        <v/>
      </c>
      <c r="O766" s="30" t="str">
        <f aca="false">IF($C766="","",IF($E766="collected",N($G766),IF(AND(OR($E766="returned_to_brand",$E766="given_to_roster_office",$E766="released_to_office",$E766="disposed"),IF($F766="","reserve",$F766)="leftover"),-N($G766),IF(AND($E766="correction",IF($F766="","reserve",$F766)="leftover"),N($G766),0))))</f>
        <v/>
      </c>
      <c r="P766" s="30" t="str">
        <f aca="false">IF(OR($E766&lt;&gt;"received",$I766="",$L766=""),"",IF($I766&gt;=$L766+config!$B$19,"Y","N"))</f>
        <v/>
      </c>
      <c r="Q766" s="30" t="str">
        <f aca="false">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30" t="str">
        <f aca="false">IF($C766="","",$C766&amp;"|"&amp;$D766&amp;"|"&amp;$E766)</f>
        <v/>
      </c>
    </row>
    <row r="767" customFormat="false" ht="15" hidden="false" customHeight="false" outlineLevel="0" collapsed="false">
      <c r="A767" s="11"/>
      <c r="B767" s="38"/>
      <c r="E767" s="10"/>
      <c r="I767" s="11"/>
      <c r="J767" s="10"/>
      <c r="L767" s="31" t="str">
        <f aca="false">IF($C767="","",IFERROR(IF(INDEX(campaigns!$BG$2:$BG$51,MATCH($C767,campaigns!$A$2:$A$51,0))="","",INDEX(campaigns!$BG$2:$BG$51,MATCH($C767,campaigns!$A$2:$A$51,0))),""))</f>
        <v/>
      </c>
      <c r="M767" s="30" t="str">
        <f aca="false">IF($C767="","",IF(OR($E767="received"),N($G767),IF(OR($E767="rejected",$E767="delivered",$E767="topped_up"),-N($G767),IF(AND(OR($E767="returned_to_brand",$E767="given_to_roster_office",$E767="released_to_office",$E767="disposed"),IF($F767="","reserve",$F767)="reserve"),-N($G767),IF(AND($E767="correction",IF($F767="","reserve",$F767)="reserve"),N($G767),0)))))</f>
        <v/>
      </c>
      <c r="N767" s="30" t="str">
        <f aca="false">IF($C767="","",IF($E767="rejected",N($G767),IF(AND(OR($E767="returned_to_brand",$E767="given_to_roster_office",$E767="released_to_office",$E767="disposed"),IF($F767="","reserve",$F767)="rejected"),-N($G767),IF(AND($E767="correction",IF($F767="","reserve",$F767)="rejected"),N($G767),0))))</f>
        <v/>
      </c>
      <c r="O767" s="30" t="str">
        <f aca="false">IF($C767="","",IF($E767="collected",N($G767),IF(AND(OR($E767="returned_to_brand",$E767="given_to_roster_office",$E767="released_to_office",$E767="disposed"),IF($F767="","reserve",$F767)="leftover"),-N($G767),IF(AND($E767="correction",IF($F767="","reserve",$F767)="leftover"),N($G767),0))))</f>
        <v/>
      </c>
      <c r="P767" s="30" t="str">
        <f aca="false">IF(OR($E767&lt;&gt;"received",$I767="",$L767=""),"",IF($I767&gt;=$L767+config!$B$19,"Y","N"))</f>
        <v/>
      </c>
      <c r="Q767" s="30" t="str">
        <f aca="false">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30" t="str">
        <f aca="false">IF($C767="","",$C767&amp;"|"&amp;$D767&amp;"|"&amp;$E767)</f>
        <v/>
      </c>
    </row>
    <row r="768" customFormat="false" ht="15" hidden="false" customHeight="false" outlineLevel="0" collapsed="false">
      <c r="A768" s="11"/>
      <c r="B768" s="38"/>
      <c r="E768" s="10"/>
      <c r="I768" s="11"/>
      <c r="J768" s="10"/>
      <c r="L768" s="31" t="str">
        <f aca="false">IF($C768="","",IFERROR(IF(INDEX(campaigns!$BG$2:$BG$51,MATCH($C768,campaigns!$A$2:$A$51,0))="","",INDEX(campaigns!$BG$2:$BG$51,MATCH($C768,campaigns!$A$2:$A$51,0))),""))</f>
        <v/>
      </c>
      <c r="M768" s="30" t="str">
        <f aca="false">IF($C768="","",IF(OR($E768="received"),N($G768),IF(OR($E768="rejected",$E768="delivered",$E768="topped_up"),-N($G768),IF(AND(OR($E768="returned_to_brand",$E768="given_to_roster_office",$E768="released_to_office",$E768="disposed"),IF($F768="","reserve",$F768)="reserve"),-N($G768),IF(AND($E768="correction",IF($F768="","reserve",$F768)="reserve"),N($G768),0)))))</f>
        <v/>
      </c>
      <c r="N768" s="30" t="str">
        <f aca="false">IF($C768="","",IF($E768="rejected",N($G768),IF(AND(OR($E768="returned_to_brand",$E768="given_to_roster_office",$E768="released_to_office",$E768="disposed"),IF($F768="","reserve",$F768)="rejected"),-N($G768),IF(AND($E768="correction",IF($F768="","reserve",$F768)="rejected"),N($G768),0))))</f>
        <v/>
      </c>
      <c r="O768" s="30" t="str">
        <f aca="false">IF($C768="","",IF($E768="collected",N($G768),IF(AND(OR($E768="returned_to_brand",$E768="given_to_roster_office",$E768="released_to_office",$E768="disposed"),IF($F768="","reserve",$F768)="leftover"),-N($G768),IF(AND($E768="correction",IF($F768="","reserve",$F768)="leftover"),N($G768),0))))</f>
        <v/>
      </c>
      <c r="P768" s="30" t="str">
        <f aca="false">IF(OR($E768&lt;&gt;"received",$I768="",$L768=""),"",IF($I768&gt;=$L768+config!$B$19,"Y","N"))</f>
        <v/>
      </c>
      <c r="Q768" s="30" t="str">
        <f aca="false">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30" t="str">
        <f aca="false">IF($C768="","",$C768&amp;"|"&amp;$D768&amp;"|"&amp;$E768)</f>
        <v/>
      </c>
    </row>
    <row r="769" customFormat="false" ht="15" hidden="false" customHeight="false" outlineLevel="0" collapsed="false">
      <c r="A769" s="11"/>
      <c r="B769" s="38"/>
      <c r="E769" s="10"/>
      <c r="I769" s="11"/>
      <c r="J769" s="10"/>
      <c r="L769" s="31" t="str">
        <f aca="false">IF($C769="","",IFERROR(IF(INDEX(campaigns!$BG$2:$BG$51,MATCH($C769,campaigns!$A$2:$A$51,0))="","",INDEX(campaigns!$BG$2:$BG$51,MATCH($C769,campaigns!$A$2:$A$51,0))),""))</f>
        <v/>
      </c>
      <c r="M769" s="30" t="str">
        <f aca="false">IF($C769="","",IF(OR($E769="received"),N($G769),IF(OR($E769="rejected",$E769="delivered",$E769="topped_up"),-N($G769),IF(AND(OR($E769="returned_to_brand",$E769="given_to_roster_office",$E769="released_to_office",$E769="disposed"),IF($F769="","reserve",$F769)="reserve"),-N($G769),IF(AND($E769="correction",IF($F769="","reserve",$F769)="reserve"),N($G769),0)))))</f>
        <v/>
      </c>
      <c r="N769" s="30" t="str">
        <f aca="false">IF($C769="","",IF($E769="rejected",N($G769),IF(AND(OR($E769="returned_to_brand",$E769="given_to_roster_office",$E769="released_to_office",$E769="disposed"),IF($F769="","reserve",$F769)="rejected"),-N($G769),IF(AND($E769="correction",IF($F769="","reserve",$F769)="rejected"),N($G769),0))))</f>
        <v/>
      </c>
      <c r="O769" s="30" t="str">
        <f aca="false">IF($C769="","",IF($E769="collected",N($G769),IF(AND(OR($E769="returned_to_brand",$E769="given_to_roster_office",$E769="released_to_office",$E769="disposed"),IF($F769="","reserve",$F769)="leftover"),-N($G769),IF(AND($E769="correction",IF($F769="","reserve",$F769)="leftover"),N($G769),0))))</f>
        <v/>
      </c>
      <c r="P769" s="30" t="str">
        <f aca="false">IF(OR($E769&lt;&gt;"received",$I769="",$L769=""),"",IF($I769&gt;=$L769+config!$B$19,"Y","N"))</f>
        <v/>
      </c>
      <c r="Q769" s="30" t="str">
        <f aca="false">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30" t="str">
        <f aca="false">IF($C769="","",$C769&amp;"|"&amp;$D769&amp;"|"&amp;$E769)</f>
        <v/>
      </c>
    </row>
    <row r="770" customFormat="false" ht="15" hidden="false" customHeight="false" outlineLevel="0" collapsed="false">
      <c r="A770" s="11"/>
      <c r="B770" s="38"/>
      <c r="E770" s="10"/>
      <c r="I770" s="11"/>
      <c r="J770" s="10"/>
      <c r="L770" s="31" t="str">
        <f aca="false">IF($C770="","",IFERROR(IF(INDEX(campaigns!$BG$2:$BG$51,MATCH($C770,campaigns!$A$2:$A$51,0))="","",INDEX(campaigns!$BG$2:$BG$51,MATCH($C770,campaigns!$A$2:$A$51,0))),""))</f>
        <v/>
      </c>
      <c r="M770" s="30" t="str">
        <f aca="false">IF($C770="","",IF(OR($E770="received"),N($G770),IF(OR($E770="rejected",$E770="delivered",$E770="topped_up"),-N($G770),IF(AND(OR($E770="returned_to_brand",$E770="given_to_roster_office",$E770="released_to_office",$E770="disposed"),IF($F770="","reserve",$F770)="reserve"),-N($G770),IF(AND($E770="correction",IF($F770="","reserve",$F770)="reserve"),N($G770),0)))))</f>
        <v/>
      </c>
      <c r="N770" s="30" t="str">
        <f aca="false">IF($C770="","",IF($E770="rejected",N($G770),IF(AND(OR($E770="returned_to_brand",$E770="given_to_roster_office",$E770="released_to_office",$E770="disposed"),IF($F770="","reserve",$F770)="rejected"),-N($G770),IF(AND($E770="correction",IF($F770="","reserve",$F770)="rejected"),N($G770),0))))</f>
        <v/>
      </c>
      <c r="O770" s="30" t="str">
        <f aca="false">IF($C770="","",IF($E770="collected",N($G770),IF(AND(OR($E770="returned_to_brand",$E770="given_to_roster_office",$E770="released_to_office",$E770="disposed"),IF($F770="","reserve",$F770)="leftover"),-N($G770),IF(AND($E770="correction",IF($F770="","reserve",$F770)="leftover"),N($G770),0))))</f>
        <v/>
      </c>
      <c r="P770" s="30" t="str">
        <f aca="false">IF(OR($E770&lt;&gt;"received",$I770="",$L770=""),"",IF($I770&gt;=$L770+config!$B$19,"Y","N"))</f>
        <v/>
      </c>
      <c r="Q770" s="30" t="str">
        <f aca="false">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30" t="str">
        <f aca="false">IF($C770="","",$C770&amp;"|"&amp;$D770&amp;"|"&amp;$E770)</f>
        <v/>
      </c>
    </row>
    <row r="771" customFormat="false" ht="15" hidden="false" customHeight="false" outlineLevel="0" collapsed="false">
      <c r="A771" s="11"/>
      <c r="B771" s="38"/>
      <c r="E771" s="10"/>
      <c r="I771" s="11"/>
      <c r="J771" s="10"/>
      <c r="L771" s="31" t="str">
        <f aca="false">IF($C771="","",IFERROR(IF(INDEX(campaigns!$BG$2:$BG$51,MATCH($C771,campaigns!$A$2:$A$51,0))="","",INDEX(campaigns!$BG$2:$BG$51,MATCH($C771,campaigns!$A$2:$A$51,0))),""))</f>
        <v/>
      </c>
      <c r="M771" s="30" t="str">
        <f aca="false">IF($C771="","",IF(OR($E771="received"),N($G771),IF(OR($E771="rejected",$E771="delivered",$E771="topped_up"),-N($G771),IF(AND(OR($E771="returned_to_brand",$E771="given_to_roster_office",$E771="released_to_office",$E771="disposed"),IF($F771="","reserve",$F771)="reserve"),-N($G771),IF(AND($E771="correction",IF($F771="","reserve",$F771)="reserve"),N($G771),0)))))</f>
        <v/>
      </c>
      <c r="N771" s="30" t="str">
        <f aca="false">IF($C771="","",IF($E771="rejected",N($G771),IF(AND(OR($E771="returned_to_brand",$E771="given_to_roster_office",$E771="released_to_office",$E771="disposed"),IF($F771="","reserve",$F771)="rejected"),-N($G771),IF(AND($E771="correction",IF($F771="","reserve",$F771)="rejected"),N($G771),0))))</f>
        <v/>
      </c>
      <c r="O771" s="30" t="str">
        <f aca="false">IF($C771="","",IF($E771="collected",N($G771),IF(AND(OR($E771="returned_to_brand",$E771="given_to_roster_office",$E771="released_to_office",$E771="disposed"),IF($F771="","reserve",$F771)="leftover"),-N($G771),IF(AND($E771="correction",IF($F771="","reserve",$F771)="leftover"),N($G771),0))))</f>
        <v/>
      </c>
      <c r="P771" s="30" t="str">
        <f aca="false">IF(OR($E771&lt;&gt;"received",$I771="",$L771=""),"",IF($I771&gt;=$L771+config!$B$19,"Y","N"))</f>
        <v/>
      </c>
      <c r="Q771" s="30" t="str">
        <f aca="false">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30" t="str">
        <f aca="false">IF($C771="","",$C771&amp;"|"&amp;$D771&amp;"|"&amp;$E771)</f>
        <v/>
      </c>
    </row>
    <row r="772" customFormat="false" ht="15" hidden="false" customHeight="false" outlineLevel="0" collapsed="false">
      <c r="A772" s="11"/>
      <c r="B772" s="38"/>
      <c r="E772" s="10"/>
      <c r="I772" s="11"/>
      <c r="J772" s="10"/>
      <c r="L772" s="31" t="str">
        <f aca="false">IF($C772="","",IFERROR(IF(INDEX(campaigns!$BG$2:$BG$51,MATCH($C772,campaigns!$A$2:$A$51,0))="","",INDEX(campaigns!$BG$2:$BG$51,MATCH($C772,campaigns!$A$2:$A$51,0))),""))</f>
        <v/>
      </c>
      <c r="M772" s="30" t="str">
        <f aca="false">IF($C772="","",IF(OR($E772="received"),N($G772),IF(OR($E772="rejected",$E772="delivered",$E772="topped_up"),-N($G772),IF(AND(OR($E772="returned_to_brand",$E772="given_to_roster_office",$E772="released_to_office",$E772="disposed"),IF($F772="","reserve",$F772)="reserve"),-N($G772),IF(AND($E772="correction",IF($F772="","reserve",$F772)="reserve"),N($G772),0)))))</f>
        <v/>
      </c>
      <c r="N772" s="30" t="str">
        <f aca="false">IF($C772="","",IF($E772="rejected",N($G772),IF(AND(OR($E772="returned_to_brand",$E772="given_to_roster_office",$E772="released_to_office",$E772="disposed"),IF($F772="","reserve",$F772)="rejected"),-N($G772),IF(AND($E772="correction",IF($F772="","reserve",$F772)="rejected"),N($G772),0))))</f>
        <v/>
      </c>
      <c r="O772" s="30" t="str">
        <f aca="false">IF($C772="","",IF($E772="collected",N($G772),IF(AND(OR($E772="returned_to_brand",$E772="given_to_roster_office",$E772="released_to_office",$E772="disposed"),IF($F772="","reserve",$F772)="leftover"),-N($G772),IF(AND($E772="correction",IF($F772="","reserve",$F772)="leftover"),N($G772),0))))</f>
        <v/>
      </c>
      <c r="P772" s="30" t="str">
        <f aca="false">IF(OR($E772&lt;&gt;"received",$I772="",$L772=""),"",IF($I772&gt;=$L772+config!$B$19,"Y","N"))</f>
        <v/>
      </c>
      <c r="Q772" s="30" t="str">
        <f aca="false">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30" t="str">
        <f aca="false">IF($C772="","",$C772&amp;"|"&amp;$D772&amp;"|"&amp;$E772)</f>
        <v/>
      </c>
    </row>
    <row r="773" customFormat="false" ht="15" hidden="false" customHeight="false" outlineLevel="0" collapsed="false">
      <c r="A773" s="11"/>
      <c r="B773" s="38"/>
      <c r="E773" s="10"/>
      <c r="I773" s="11"/>
      <c r="J773" s="10"/>
      <c r="L773" s="31" t="str">
        <f aca="false">IF($C773="","",IFERROR(IF(INDEX(campaigns!$BG$2:$BG$51,MATCH($C773,campaigns!$A$2:$A$51,0))="","",INDEX(campaigns!$BG$2:$BG$51,MATCH($C773,campaigns!$A$2:$A$51,0))),""))</f>
        <v/>
      </c>
      <c r="M773" s="30" t="str">
        <f aca="false">IF($C773="","",IF(OR($E773="received"),N($G773),IF(OR($E773="rejected",$E773="delivered",$E773="topped_up"),-N($G773),IF(AND(OR($E773="returned_to_brand",$E773="given_to_roster_office",$E773="released_to_office",$E773="disposed"),IF($F773="","reserve",$F773)="reserve"),-N($G773),IF(AND($E773="correction",IF($F773="","reserve",$F773)="reserve"),N($G773),0)))))</f>
        <v/>
      </c>
      <c r="N773" s="30" t="str">
        <f aca="false">IF($C773="","",IF($E773="rejected",N($G773),IF(AND(OR($E773="returned_to_brand",$E773="given_to_roster_office",$E773="released_to_office",$E773="disposed"),IF($F773="","reserve",$F773)="rejected"),-N($G773),IF(AND($E773="correction",IF($F773="","reserve",$F773)="rejected"),N($G773),0))))</f>
        <v/>
      </c>
      <c r="O773" s="30" t="str">
        <f aca="false">IF($C773="","",IF($E773="collected",N($G773),IF(AND(OR($E773="returned_to_brand",$E773="given_to_roster_office",$E773="released_to_office",$E773="disposed"),IF($F773="","reserve",$F773)="leftover"),-N($G773),IF(AND($E773="correction",IF($F773="","reserve",$F773)="leftover"),N($G773),0))))</f>
        <v/>
      </c>
      <c r="P773" s="30" t="str">
        <f aca="false">IF(OR($E773&lt;&gt;"received",$I773="",$L773=""),"",IF($I773&gt;=$L773+config!$B$19,"Y","N"))</f>
        <v/>
      </c>
      <c r="Q773" s="30" t="str">
        <f aca="false">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30" t="str">
        <f aca="false">IF($C773="","",$C773&amp;"|"&amp;$D773&amp;"|"&amp;$E773)</f>
        <v/>
      </c>
    </row>
    <row r="774" customFormat="false" ht="15" hidden="false" customHeight="false" outlineLevel="0" collapsed="false">
      <c r="A774" s="11"/>
      <c r="B774" s="38"/>
      <c r="E774" s="10"/>
      <c r="I774" s="11"/>
      <c r="J774" s="10"/>
      <c r="L774" s="31" t="str">
        <f aca="false">IF($C774="","",IFERROR(IF(INDEX(campaigns!$BG$2:$BG$51,MATCH($C774,campaigns!$A$2:$A$51,0))="","",INDEX(campaigns!$BG$2:$BG$51,MATCH($C774,campaigns!$A$2:$A$51,0))),""))</f>
        <v/>
      </c>
      <c r="M774" s="30" t="str">
        <f aca="false">IF($C774="","",IF(OR($E774="received"),N($G774),IF(OR($E774="rejected",$E774="delivered",$E774="topped_up"),-N($G774),IF(AND(OR($E774="returned_to_brand",$E774="given_to_roster_office",$E774="released_to_office",$E774="disposed"),IF($F774="","reserve",$F774)="reserve"),-N($G774),IF(AND($E774="correction",IF($F774="","reserve",$F774)="reserve"),N($G774),0)))))</f>
        <v/>
      </c>
      <c r="N774" s="30" t="str">
        <f aca="false">IF($C774="","",IF($E774="rejected",N($G774),IF(AND(OR($E774="returned_to_brand",$E774="given_to_roster_office",$E774="released_to_office",$E774="disposed"),IF($F774="","reserve",$F774)="rejected"),-N($G774),IF(AND($E774="correction",IF($F774="","reserve",$F774)="rejected"),N($G774),0))))</f>
        <v/>
      </c>
      <c r="O774" s="30" t="str">
        <f aca="false">IF($C774="","",IF($E774="collected",N($G774),IF(AND(OR($E774="returned_to_brand",$E774="given_to_roster_office",$E774="released_to_office",$E774="disposed"),IF($F774="","reserve",$F774)="leftover"),-N($G774),IF(AND($E774="correction",IF($F774="","reserve",$F774)="leftover"),N($G774),0))))</f>
        <v/>
      </c>
      <c r="P774" s="30" t="str">
        <f aca="false">IF(OR($E774&lt;&gt;"received",$I774="",$L774=""),"",IF($I774&gt;=$L774+config!$B$19,"Y","N"))</f>
        <v/>
      </c>
      <c r="Q774" s="30" t="str">
        <f aca="false">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30" t="str">
        <f aca="false">IF($C774="","",$C774&amp;"|"&amp;$D774&amp;"|"&amp;$E774)</f>
        <v/>
      </c>
    </row>
    <row r="775" customFormat="false" ht="15" hidden="false" customHeight="false" outlineLevel="0" collapsed="false">
      <c r="A775" s="11"/>
      <c r="B775" s="38"/>
      <c r="E775" s="10"/>
      <c r="I775" s="11"/>
      <c r="J775" s="10"/>
      <c r="L775" s="31" t="str">
        <f aca="false">IF($C775="","",IFERROR(IF(INDEX(campaigns!$BG$2:$BG$51,MATCH($C775,campaigns!$A$2:$A$51,0))="","",INDEX(campaigns!$BG$2:$BG$51,MATCH($C775,campaigns!$A$2:$A$51,0))),""))</f>
        <v/>
      </c>
      <c r="M775" s="30" t="str">
        <f aca="false">IF($C775="","",IF(OR($E775="received"),N($G775),IF(OR($E775="rejected",$E775="delivered",$E775="topped_up"),-N($G775),IF(AND(OR($E775="returned_to_brand",$E775="given_to_roster_office",$E775="released_to_office",$E775="disposed"),IF($F775="","reserve",$F775)="reserve"),-N($G775),IF(AND($E775="correction",IF($F775="","reserve",$F775)="reserve"),N($G775),0)))))</f>
        <v/>
      </c>
      <c r="N775" s="30" t="str">
        <f aca="false">IF($C775="","",IF($E775="rejected",N($G775),IF(AND(OR($E775="returned_to_brand",$E775="given_to_roster_office",$E775="released_to_office",$E775="disposed"),IF($F775="","reserve",$F775)="rejected"),-N($G775),IF(AND($E775="correction",IF($F775="","reserve",$F775)="rejected"),N($G775),0))))</f>
        <v/>
      </c>
      <c r="O775" s="30" t="str">
        <f aca="false">IF($C775="","",IF($E775="collected",N($G775),IF(AND(OR($E775="returned_to_brand",$E775="given_to_roster_office",$E775="released_to_office",$E775="disposed"),IF($F775="","reserve",$F775)="leftover"),-N($G775),IF(AND($E775="correction",IF($F775="","reserve",$F775)="leftover"),N($G775),0))))</f>
        <v/>
      </c>
      <c r="P775" s="30" t="str">
        <f aca="false">IF(OR($E775&lt;&gt;"received",$I775="",$L775=""),"",IF($I775&gt;=$L775+config!$B$19,"Y","N"))</f>
        <v/>
      </c>
      <c r="Q775" s="30" t="str">
        <f aca="false">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30" t="str">
        <f aca="false">IF($C775="","",$C775&amp;"|"&amp;$D775&amp;"|"&amp;$E775)</f>
        <v/>
      </c>
    </row>
    <row r="776" customFormat="false" ht="15" hidden="false" customHeight="false" outlineLevel="0" collapsed="false">
      <c r="A776" s="11"/>
      <c r="B776" s="38"/>
      <c r="E776" s="10"/>
      <c r="I776" s="11"/>
      <c r="J776" s="10"/>
      <c r="L776" s="31" t="str">
        <f aca="false">IF($C776="","",IFERROR(IF(INDEX(campaigns!$BG$2:$BG$51,MATCH($C776,campaigns!$A$2:$A$51,0))="","",INDEX(campaigns!$BG$2:$BG$51,MATCH($C776,campaigns!$A$2:$A$51,0))),""))</f>
        <v/>
      </c>
      <c r="M776" s="30" t="str">
        <f aca="false">IF($C776="","",IF(OR($E776="received"),N($G776),IF(OR($E776="rejected",$E776="delivered",$E776="topped_up"),-N($G776),IF(AND(OR($E776="returned_to_brand",$E776="given_to_roster_office",$E776="released_to_office",$E776="disposed"),IF($F776="","reserve",$F776)="reserve"),-N($G776),IF(AND($E776="correction",IF($F776="","reserve",$F776)="reserve"),N($G776),0)))))</f>
        <v/>
      </c>
      <c r="N776" s="30" t="str">
        <f aca="false">IF($C776="","",IF($E776="rejected",N($G776),IF(AND(OR($E776="returned_to_brand",$E776="given_to_roster_office",$E776="released_to_office",$E776="disposed"),IF($F776="","reserve",$F776)="rejected"),-N($G776),IF(AND($E776="correction",IF($F776="","reserve",$F776)="rejected"),N($G776),0))))</f>
        <v/>
      </c>
      <c r="O776" s="30" t="str">
        <f aca="false">IF($C776="","",IF($E776="collected",N($G776),IF(AND(OR($E776="returned_to_brand",$E776="given_to_roster_office",$E776="released_to_office",$E776="disposed"),IF($F776="","reserve",$F776)="leftover"),-N($G776),IF(AND($E776="correction",IF($F776="","reserve",$F776)="leftover"),N($G776),0))))</f>
        <v/>
      </c>
      <c r="P776" s="30" t="str">
        <f aca="false">IF(OR($E776&lt;&gt;"received",$I776="",$L776=""),"",IF($I776&gt;=$L776+config!$B$19,"Y","N"))</f>
        <v/>
      </c>
      <c r="Q776" s="30" t="str">
        <f aca="false">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30" t="str">
        <f aca="false">IF($C776="","",$C776&amp;"|"&amp;$D776&amp;"|"&amp;$E776)</f>
        <v/>
      </c>
    </row>
    <row r="777" customFormat="false" ht="15" hidden="false" customHeight="false" outlineLevel="0" collapsed="false">
      <c r="A777" s="11"/>
      <c r="B777" s="38"/>
      <c r="E777" s="10"/>
      <c r="I777" s="11"/>
      <c r="J777" s="10"/>
      <c r="L777" s="31" t="str">
        <f aca="false">IF($C777="","",IFERROR(IF(INDEX(campaigns!$BG$2:$BG$51,MATCH($C777,campaigns!$A$2:$A$51,0))="","",INDEX(campaigns!$BG$2:$BG$51,MATCH($C777,campaigns!$A$2:$A$51,0))),""))</f>
        <v/>
      </c>
      <c r="M777" s="30" t="str">
        <f aca="false">IF($C777="","",IF(OR($E777="received"),N($G777),IF(OR($E777="rejected",$E777="delivered",$E777="topped_up"),-N($G777),IF(AND(OR($E777="returned_to_brand",$E777="given_to_roster_office",$E777="released_to_office",$E777="disposed"),IF($F777="","reserve",$F777)="reserve"),-N($G777),IF(AND($E777="correction",IF($F777="","reserve",$F777)="reserve"),N($G777),0)))))</f>
        <v/>
      </c>
      <c r="N777" s="30" t="str">
        <f aca="false">IF($C777="","",IF($E777="rejected",N($G777),IF(AND(OR($E777="returned_to_brand",$E777="given_to_roster_office",$E777="released_to_office",$E777="disposed"),IF($F777="","reserve",$F777)="rejected"),-N($G777),IF(AND($E777="correction",IF($F777="","reserve",$F777)="rejected"),N($G777),0))))</f>
        <v/>
      </c>
      <c r="O777" s="30" t="str">
        <f aca="false">IF($C777="","",IF($E777="collected",N($G777),IF(AND(OR($E777="returned_to_brand",$E777="given_to_roster_office",$E777="released_to_office",$E777="disposed"),IF($F777="","reserve",$F777)="leftover"),-N($G777),IF(AND($E777="correction",IF($F777="","reserve",$F777)="leftover"),N($G777),0))))</f>
        <v/>
      </c>
      <c r="P777" s="30" t="str">
        <f aca="false">IF(OR($E777&lt;&gt;"received",$I777="",$L777=""),"",IF($I777&gt;=$L777+config!$B$19,"Y","N"))</f>
        <v/>
      </c>
      <c r="Q777" s="30" t="str">
        <f aca="false">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30" t="str">
        <f aca="false">IF($C777="","",$C777&amp;"|"&amp;$D777&amp;"|"&amp;$E777)</f>
        <v/>
      </c>
    </row>
    <row r="778" customFormat="false" ht="15" hidden="false" customHeight="false" outlineLevel="0" collapsed="false">
      <c r="A778" s="11"/>
      <c r="B778" s="38"/>
      <c r="E778" s="10"/>
      <c r="I778" s="11"/>
      <c r="J778" s="10"/>
      <c r="L778" s="31" t="str">
        <f aca="false">IF($C778="","",IFERROR(IF(INDEX(campaigns!$BG$2:$BG$51,MATCH($C778,campaigns!$A$2:$A$51,0))="","",INDEX(campaigns!$BG$2:$BG$51,MATCH($C778,campaigns!$A$2:$A$51,0))),""))</f>
        <v/>
      </c>
      <c r="M778" s="30" t="str">
        <f aca="false">IF($C778="","",IF(OR($E778="received"),N($G778),IF(OR($E778="rejected",$E778="delivered",$E778="topped_up"),-N($G778),IF(AND(OR($E778="returned_to_brand",$E778="given_to_roster_office",$E778="released_to_office",$E778="disposed"),IF($F778="","reserve",$F778)="reserve"),-N($G778),IF(AND($E778="correction",IF($F778="","reserve",$F778)="reserve"),N($G778),0)))))</f>
        <v/>
      </c>
      <c r="N778" s="30" t="str">
        <f aca="false">IF($C778="","",IF($E778="rejected",N($G778),IF(AND(OR($E778="returned_to_brand",$E778="given_to_roster_office",$E778="released_to_office",$E778="disposed"),IF($F778="","reserve",$F778)="rejected"),-N($G778),IF(AND($E778="correction",IF($F778="","reserve",$F778)="rejected"),N($G778),0))))</f>
        <v/>
      </c>
      <c r="O778" s="30" t="str">
        <f aca="false">IF($C778="","",IF($E778="collected",N($G778),IF(AND(OR($E778="returned_to_brand",$E778="given_to_roster_office",$E778="released_to_office",$E778="disposed"),IF($F778="","reserve",$F778)="leftover"),-N($G778),IF(AND($E778="correction",IF($F778="","reserve",$F778)="leftover"),N($G778),0))))</f>
        <v/>
      </c>
      <c r="P778" s="30" t="str">
        <f aca="false">IF(OR($E778&lt;&gt;"received",$I778="",$L778=""),"",IF($I778&gt;=$L778+config!$B$19,"Y","N"))</f>
        <v/>
      </c>
      <c r="Q778" s="30" t="str">
        <f aca="false">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30" t="str">
        <f aca="false">IF($C778="","",$C778&amp;"|"&amp;$D778&amp;"|"&amp;$E778)</f>
        <v/>
      </c>
    </row>
    <row r="779" customFormat="false" ht="15" hidden="false" customHeight="false" outlineLevel="0" collapsed="false">
      <c r="A779" s="11"/>
      <c r="B779" s="38"/>
      <c r="E779" s="10"/>
      <c r="I779" s="11"/>
      <c r="J779" s="10"/>
      <c r="L779" s="31" t="str">
        <f aca="false">IF($C779="","",IFERROR(IF(INDEX(campaigns!$BG$2:$BG$51,MATCH($C779,campaigns!$A$2:$A$51,0))="","",INDEX(campaigns!$BG$2:$BG$51,MATCH($C779,campaigns!$A$2:$A$51,0))),""))</f>
        <v/>
      </c>
      <c r="M779" s="30" t="str">
        <f aca="false">IF($C779="","",IF(OR($E779="received"),N($G779),IF(OR($E779="rejected",$E779="delivered",$E779="topped_up"),-N($G779),IF(AND(OR($E779="returned_to_brand",$E779="given_to_roster_office",$E779="released_to_office",$E779="disposed"),IF($F779="","reserve",$F779)="reserve"),-N($G779),IF(AND($E779="correction",IF($F779="","reserve",$F779)="reserve"),N($G779),0)))))</f>
        <v/>
      </c>
      <c r="N779" s="30" t="str">
        <f aca="false">IF($C779="","",IF($E779="rejected",N($G779),IF(AND(OR($E779="returned_to_brand",$E779="given_to_roster_office",$E779="released_to_office",$E779="disposed"),IF($F779="","reserve",$F779)="rejected"),-N($G779),IF(AND($E779="correction",IF($F779="","reserve",$F779)="rejected"),N($G779),0))))</f>
        <v/>
      </c>
      <c r="O779" s="30" t="str">
        <f aca="false">IF($C779="","",IF($E779="collected",N($G779),IF(AND(OR($E779="returned_to_brand",$E779="given_to_roster_office",$E779="released_to_office",$E779="disposed"),IF($F779="","reserve",$F779)="leftover"),-N($G779),IF(AND($E779="correction",IF($F779="","reserve",$F779)="leftover"),N($G779),0))))</f>
        <v/>
      </c>
      <c r="P779" s="30" t="str">
        <f aca="false">IF(OR($E779&lt;&gt;"received",$I779="",$L779=""),"",IF($I779&gt;=$L779+config!$B$19,"Y","N"))</f>
        <v/>
      </c>
      <c r="Q779" s="30" t="str">
        <f aca="false">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30" t="str">
        <f aca="false">IF($C779="","",$C779&amp;"|"&amp;$D779&amp;"|"&amp;$E779)</f>
        <v/>
      </c>
    </row>
    <row r="780" customFormat="false" ht="15" hidden="false" customHeight="false" outlineLevel="0" collapsed="false">
      <c r="A780" s="11"/>
      <c r="B780" s="38"/>
      <c r="E780" s="10"/>
      <c r="I780" s="11"/>
      <c r="J780" s="10"/>
      <c r="L780" s="31" t="str">
        <f aca="false">IF($C780="","",IFERROR(IF(INDEX(campaigns!$BG$2:$BG$51,MATCH($C780,campaigns!$A$2:$A$51,0))="","",INDEX(campaigns!$BG$2:$BG$51,MATCH($C780,campaigns!$A$2:$A$51,0))),""))</f>
        <v/>
      </c>
      <c r="M780" s="30" t="str">
        <f aca="false">IF($C780="","",IF(OR($E780="received"),N($G780),IF(OR($E780="rejected",$E780="delivered",$E780="topped_up"),-N($G780),IF(AND(OR($E780="returned_to_brand",$E780="given_to_roster_office",$E780="released_to_office",$E780="disposed"),IF($F780="","reserve",$F780)="reserve"),-N($G780),IF(AND($E780="correction",IF($F780="","reserve",$F780)="reserve"),N($G780),0)))))</f>
        <v/>
      </c>
      <c r="N780" s="30" t="str">
        <f aca="false">IF($C780="","",IF($E780="rejected",N($G780),IF(AND(OR($E780="returned_to_brand",$E780="given_to_roster_office",$E780="released_to_office",$E780="disposed"),IF($F780="","reserve",$F780)="rejected"),-N($G780),IF(AND($E780="correction",IF($F780="","reserve",$F780)="rejected"),N($G780),0))))</f>
        <v/>
      </c>
      <c r="O780" s="30" t="str">
        <f aca="false">IF($C780="","",IF($E780="collected",N($G780),IF(AND(OR($E780="returned_to_brand",$E780="given_to_roster_office",$E780="released_to_office",$E780="disposed"),IF($F780="","reserve",$F780)="leftover"),-N($G780),IF(AND($E780="correction",IF($F780="","reserve",$F780)="leftover"),N($G780),0))))</f>
        <v/>
      </c>
      <c r="P780" s="30" t="str">
        <f aca="false">IF(OR($E780&lt;&gt;"received",$I780="",$L780=""),"",IF($I780&gt;=$L780+config!$B$19,"Y","N"))</f>
        <v/>
      </c>
      <c r="Q780" s="30" t="str">
        <f aca="false">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30" t="str">
        <f aca="false">IF($C780="","",$C780&amp;"|"&amp;$D780&amp;"|"&amp;$E780)</f>
        <v/>
      </c>
    </row>
    <row r="781" customFormat="false" ht="15" hidden="false" customHeight="false" outlineLevel="0" collapsed="false">
      <c r="A781" s="11"/>
      <c r="B781" s="38"/>
      <c r="E781" s="10"/>
      <c r="I781" s="11"/>
      <c r="J781" s="10"/>
      <c r="L781" s="31" t="str">
        <f aca="false">IF($C781="","",IFERROR(IF(INDEX(campaigns!$BG$2:$BG$51,MATCH($C781,campaigns!$A$2:$A$51,0))="","",INDEX(campaigns!$BG$2:$BG$51,MATCH($C781,campaigns!$A$2:$A$51,0))),""))</f>
        <v/>
      </c>
      <c r="M781" s="30" t="str">
        <f aca="false">IF($C781="","",IF(OR($E781="received"),N($G781),IF(OR($E781="rejected",$E781="delivered",$E781="topped_up"),-N($G781),IF(AND(OR($E781="returned_to_brand",$E781="given_to_roster_office",$E781="released_to_office",$E781="disposed"),IF($F781="","reserve",$F781)="reserve"),-N($G781),IF(AND($E781="correction",IF($F781="","reserve",$F781)="reserve"),N($G781),0)))))</f>
        <v/>
      </c>
      <c r="N781" s="30" t="str">
        <f aca="false">IF($C781="","",IF($E781="rejected",N($G781),IF(AND(OR($E781="returned_to_brand",$E781="given_to_roster_office",$E781="released_to_office",$E781="disposed"),IF($F781="","reserve",$F781)="rejected"),-N($G781),IF(AND($E781="correction",IF($F781="","reserve",$F781)="rejected"),N($G781),0))))</f>
        <v/>
      </c>
      <c r="O781" s="30" t="str">
        <f aca="false">IF($C781="","",IF($E781="collected",N($G781),IF(AND(OR($E781="returned_to_brand",$E781="given_to_roster_office",$E781="released_to_office",$E781="disposed"),IF($F781="","reserve",$F781)="leftover"),-N($G781),IF(AND($E781="correction",IF($F781="","reserve",$F781)="leftover"),N($G781),0))))</f>
        <v/>
      </c>
      <c r="P781" s="30" t="str">
        <f aca="false">IF(OR($E781&lt;&gt;"received",$I781="",$L781=""),"",IF($I781&gt;=$L781+config!$B$19,"Y","N"))</f>
        <v/>
      </c>
      <c r="Q781" s="30" t="str">
        <f aca="false">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30" t="str">
        <f aca="false">IF($C781="","",$C781&amp;"|"&amp;$D781&amp;"|"&amp;$E781)</f>
        <v/>
      </c>
    </row>
    <row r="782" customFormat="false" ht="15" hidden="false" customHeight="false" outlineLevel="0" collapsed="false">
      <c r="A782" s="11"/>
      <c r="B782" s="38"/>
      <c r="E782" s="10"/>
      <c r="I782" s="11"/>
      <c r="J782" s="10"/>
      <c r="L782" s="31" t="str">
        <f aca="false">IF($C782="","",IFERROR(IF(INDEX(campaigns!$BG$2:$BG$51,MATCH($C782,campaigns!$A$2:$A$51,0))="","",INDEX(campaigns!$BG$2:$BG$51,MATCH($C782,campaigns!$A$2:$A$51,0))),""))</f>
        <v/>
      </c>
      <c r="M782" s="30" t="str">
        <f aca="false">IF($C782="","",IF(OR($E782="received"),N($G782),IF(OR($E782="rejected",$E782="delivered",$E782="topped_up"),-N($G782),IF(AND(OR($E782="returned_to_brand",$E782="given_to_roster_office",$E782="released_to_office",$E782="disposed"),IF($F782="","reserve",$F782)="reserve"),-N($G782),IF(AND($E782="correction",IF($F782="","reserve",$F782)="reserve"),N($G782),0)))))</f>
        <v/>
      </c>
      <c r="N782" s="30" t="str">
        <f aca="false">IF($C782="","",IF($E782="rejected",N($G782),IF(AND(OR($E782="returned_to_brand",$E782="given_to_roster_office",$E782="released_to_office",$E782="disposed"),IF($F782="","reserve",$F782)="rejected"),-N($G782),IF(AND($E782="correction",IF($F782="","reserve",$F782)="rejected"),N($G782),0))))</f>
        <v/>
      </c>
      <c r="O782" s="30" t="str">
        <f aca="false">IF($C782="","",IF($E782="collected",N($G782),IF(AND(OR($E782="returned_to_brand",$E782="given_to_roster_office",$E782="released_to_office",$E782="disposed"),IF($F782="","reserve",$F782)="leftover"),-N($G782),IF(AND($E782="correction",IF($F782="","reserve",$F782)="leftover"),N($G782),0))))</f>
        <v/>
      </c>
      <c r="P782" s="30" t="str">
        <f aca="false">IF(OR($E782&lt;&gt;"received",$I782="",$L782=""),"",IF($I782&gt;=$L782+config!$B$19,"Y","N"))</f>
        <v/>
      </c>
      <c r="Q782" s="30" t="str">
        <f aca="false">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30" t="str">
        <f aca="false">IF($C782="","",$C782&amp;"|"&amp;$D782&amp;"|"&amp;$E782)</f>
        <v/>
      </c>
    </row>
    <row r="783" customFormat="false" ht="15" hidden="false" customHeight="false" outlineLevel="0" collapsed="false">
      <c r="A783" s="11"/>
      <c r="B783" s="38"/>
      <c r="E783" s="10"/>
      <c r="I783" s="11"/>
      <c r="J783" s="10"/>
      <c r="L783" s="31" t="str">
        <f aca="false">IF($C783="","",IFERROR(IF(INDEX(campaigns!$BG$2:$BG$51,MATCH($C783,campaigns!$A$2:$A$51,0))="","",INDEX(campaigns!$BG$2:$BG$51,MATCH($C783,campaigns!$A$2:$A$51,0))),""))</f>
        <v/>
      </c>
      <c r="M783" s="30" t="str">
        <f aca="false">IF($C783="","",IF(OR($E783="received"),N($G783),IF(OR($E783="rejected",$E783="delivered",$E783="topped_up"),-N($G783),IF(AND(OR($E783="returned_to_brand",$E783="given_to_roster_office",$E783="released_to_office",$E783="disposed"),IF($F783="","reserve",$F783)="reserve"),-N($G783),IF(AND($E783="correction",IF($F783="","reserve",$F783)="reserve"),N($G783),0)))))</f>
        <v/>
      </c>
      <c r="N783" s="30" t="str">
        <f aca="false">IF($C783="","",IF($E783="rejected",N($G783),IF(AND(OR($E783="returned_to_brand",$E783="given_to_roster_office",$E783="released_to_office",$E783="disposed"),IF($F783="","reserve",$F783)="rejected"),-N($G783),IF(AND($E783="correction",IF($F783="","reserve",$F783)="rejected"),N($G783),0))))</f>
        <v/>
      </c>
      <c r="O783" s="30" t="str">
        <f aca="false">IF($C783="","",IF($E783="collected",N($G783),IF(AND(OR($E783="returned_to_brand",$E783="given_to_roster_office",$E783="released_to_office",$E783="disposed"),IF($F783="","reserve",$F783)="leftover"),-N($G783),IF(AND($E783="correction",IF($F783="","reserve",$F783)="leftover"),N($G783),0))))</f>
        <v/>
      </c>
      <c r="P783" s="30" t="str">
        <f aca="false">IF(OR($E783&lt;&gt;"received",$I783="",$L783=""),"",IF($I783&gt;=$L783+config!$B$19,"Y","N"))</f>
        <v/>
      </c>
      <c r="Q783" s="30" t="str">
        <f aca="false">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30" t="str">
        <f aca="false">IF($C783="","",$C783&amp;"|"&amp;$D783&amp;"|"&amp;$E783)</f>
        <v/>
      </c>
    </row>
    <row r="784" customFormat="false" ht="15" hidden="false" customHeight="false" outlineLevel="0" collapsed="false">
      <c r="A784" s="11"/>
      <c r="B784" s="38"/>
      <c r="E784" s="10"/>
      <c r="I784" s="11"/>
      <c r="J784" s="10"/>
      <c r="L784" s="31" t="str">
        <f aca="false">IF($C784="","",IFERROR(IF(INDEX(campaigns!$BG$2:$BG$51,MATCH($C784,campaigns!$A$2:$A$51,0))="","",INDEX(campaigns!$BG$2:$BG$51,MATCH($C784,campaigns!$A$2:$A$51,0))),""))</f>
        <v/>
      </c>
      <c r="M784" s="30" t="str">
        <f aca="false">IF($C784="","",IF(OR($E784="received"),N($G784),IF(OR($E784="rejected",$E784="delivered",$E784="topped_up"),-N($G784),IF(AND(OR($E784="returned_to_brand",$E784="given_to_roster_office",$E784="released_to_office",$E784="disposed"),IF($F784="","reserve",$F784)="reserve"),-N($G784),IF(AND($E784="correction",IF($F784="","reserve",$F784)="reserve"),N($G784),0)))))</f>
        <v/>
      </c>
      <c r="N784" s="30" t="str">
        <f aca="false">IF($C784="","",IF($E784="rejected",N($G784),IF(AND(OR($E784="returned_to_brand",$E784="given_to_roster_office",$E784="released_to_office",$E784="disposed"),IF($F784="","reserve",$F784)="rejected"),-N($G784),IF(AND($E784="correction",IF($F784="","reserve",$F784)="rejected"),N($G784),0))))</f>
        <v/>
      </c>
      <c r="O784" s="30" t="str">
        <f aca="false">IF($C784="","",IF($E784="collected",N($G784),IF(AND(OR($E784="returned_to_brand",$E784="given_to_roster_office",$E784="released_to_office",$E784="disposed"),IF($F784="","reserve",$F784)="leftover"),-N($G784),IF(AND($E784="correction",IF($F784="","reserve",$F784)="leftover"),N($G784),0))))</f>
        <v/>
      </c>
      <c r="P784" s="30" t="str">
        <f aca="false">IF(OR($E784&lt;&gt;"received",$I784="",$L784=""),"",IF($I784&gt;=$L784+config!$B$19,"Y","N"))</f>
        <v/>
      </c>
      <c r="Q784" s="30" t="str">
        <f aca="false">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30" t="str">
        <f aca="false">IF($C784="","",$C784&amp;"|"&amp;$D784&amp;"|"&amp;$E784)</f>
        <v/>
      </c>
    </row>
    <row r="785" customFormat="false" ht="15" hidden="false" customHeight="false" outlineLevel="0" collapsed="false">
      <c r="A785" s="11"/>
      <c r="B785" s="38"/>
      <c r="E785" s="10"/>
      <c r="I785" s="11"/>
      <c r="J785" s="10"/>
      <c r="L785" s="31" t="str">
        <f aca="false">IF($C785="","",IFERROR(IF(INDEX(campaigns!$BG$2:$BG$51,MATCH($C785,campaigns!$A$2:$A$51,0))="","",INDEX(campaigns!$BG$2:$BG$51,MATCH($C785,campaigns!$A$2:$A$51,0))),""))</f>
        <v/>
      </c>
      <c r="M785" s="30" t="str">
        <f aca="false">IF($C785="","",IF(OR($E785="received"),N($G785),IF(OR($E785="rejected",$E785="delivered",$E785="topped_up"),-N($G785),IF(AND(OR($E785="returned_to_brand",$E785="given_to_roster_office",$E785="released_to_office",$E785="disposed"),IF($F785="","reserve",$F785)="reserve"),-N($G785),IF(AND($E785="correction",IF($F785="","reserve",$F785)="reserve"),N($G785),0)))))</f>
        <v/>
      </c>
      <c r="N785" s="30" t="str">
        <f aca="false">IF($C785="","",IF($E785="rejected",N($G785),IF(AND(OR($E785="returned_to_brand",$E785="given_to_roster_office",$E785="released_to_office",$E785="disposed"),IF($F785="","reserve",$F785)="rejected"),-N($G785),IF(AND($E785="correction",IF($F785="","reserve",$F785)="rejected"),N($G785),0))))</f>
        <v/>
      </c>
      <c r="O785" s="30" t="str">
        <f aca="false">IF($C785="","",IF($E785="collected",N($G785),IF(AND(OR($E785="returned_to_brand",$E785="given_to_roster_office",$E785="released_to_office",$E785="disposed"),IF($F785="","reserve",$F785)="leftover"),-N($G785),IF(AND($E785="correction",IF($F785="","reserve",$F785)="leftover"),N($G785),0))))</f>
        <v/>
      </c>
      <c r="P785" s="30" t="str">
        <f aca="false">IF(OR($E785&lt;&gt;"received",$I785="",$L785=""),"",IF($I785&gt;=$L785+config!$B$19,"Y","N"))</f>
        <v/>
      </c>
      <c r="Q785" s="30" t="str">
        <f aca="false">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30" t="str">
        <f aca="false">IF($C785="","",$C785&amp;"|"&amp;$D785&amp;"|"&amp;$E785)</f>
        <v/>
      </c>
    </row>
    <row r="786" customFormat="false" ht="15" hidden="false" customHeight="false" outlineLevel="0" collapsed="false">
      <c r="A786" s="11"/>
      <c r="B786" s="38"/>
      <c r="E786" s="10"/>
      <c r="I786" s="11"/>
      <c r="J786" s="10"/>
      <c r="L786" s="31" t="str">
        <f aca="false">IF($C786="","",IFERROR(IF(INDEX(campaigns!$BG$2:$BG$51,MATCH($C786,campaigns!$A$2:$A$51,0))="","",INDEX(campaigns!$BG$2:$BG$51,MATCH($C786,campaigns!$A$2:$A$51,0))),""))</f>
        <v/>
      </c>
      <c r="M786" s="30" t="str">
        <f aca="false">IF($C786="","",IF(OR($E786="received"),N($G786),IF(OR($E786="rejected",$E786="delivered",$E786="topped_up"),-N($G786),IF(AND(OR($E786="returned_to_brand",$E786="given_to_roster_office",$E786="released_to_office",$E786="disposed"),IF($F786="","reserve",$F786)="reserve"),-N($G786),IF(AND($E786="correction",IF($F786="","reserve",$F786)="reserve"),N($G786),0)))))</f>
        <v/>
      </c>
      <c r="N786" s="30" t="str">
        <f aca="false">IF($C786="","",IF($E786="rejected",N($G786),IF(AND(OR($E786="returned_to_brand",$E786="given_to_roster_office",$E786="released_to_office",$E786="disposed"),IF($F786="","reserve",$F786)="rejected"),-N($G786),IF(AND($E786="correction",IF($F786="","reserve",$F786)="rejected"),N($G786),0))))</f>
        <v/>
      </c>
      <c r="O786" s="30" t="str">
        <f aca="false">IF($C786="","",IF($E786="collected",N($G786),IF(AND(OR($E786="returned_to_brand",$E786="given_to_roster_office",$E786="released_to_office",$E786="disposed"),IF($F786="","reserve",$F786)="leftover"),-N($G786),IF(AND($E786="correction",IF($F786="","reserve",$F786)="leftover"),N($G786),0))))</f>
        <v/>
      </c>
      <c r="P786" s="30" t="str">
        <f aca="false">IF(OR($E786&lt;&gt;"received",$I786="",$L786=""),"",IF($I786&gt;=$L786+config!$B$19,"Y","N"))</f>
        <v/>
      </c>
      <c r="Q786" s="30" t="str">
        <f aca="false">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30" t="str">
        <f aca="false">IF($C786="","",$C786&amp;"|"&amp;$D786&amp;"|"&amp;$E786)</f>
        <v/>
      </c>
    </row>
    <row r="787" customFormat="false" ht="15" hidden="false" customHeight="false" outlineLevel="0" collapsed="false">
      <c r="A787" s="11"/>
      <c r="B787" s="38"/>
      <c r="E787" s="10"/>
      <c r="I787" s="11"/>
      <c r="J787" s="10"/>
      <c r="L787" s="31" t="str">
        <f aca="false">IF($C787="","",IFERROR(IF(INDEX(campaigns!$BG$2:$BG$51,MATCH($C787,campaigns!$A$2:$A$51,0))="","",INDEX(campaigns!$BG$2:$BG$51,MATCH($C787,campaigns!$A$2:$A$51,0))),""))</f>
        <v/>
      </c>
      <c r="M787" s="30" t="str">
        <f aca="false">IF($C787="","",IF(OR($E787="received"),N($G787),IF(OR($E787="rejected",$E787="delivered",$E787="topped_up"),-N($G787),IF(AND(OR($E787="returned_to_brand",$E787="given_to_roster_office",$E787="released_to_office",$E787="disposed"),IF($F787="","reserve",$F787)="reserve"),-N($G787),IF(AND($E787="correction",IF($F787="","reserve",$F787)="reserve"),N($G787),0)))))</f>
        <v/>
      </c>
      <c r="N787" s="30" t="str">
        <f aca="false">IF($C787="","",IF($E787="rejected",N($G787),IF(AND(OR($E787="returned_to_brand",$E787="given_to_roster_office",$E787="released_to_office",$E787="disposed"),IF($F787="","reserve",$F787)="rejected"),-N($G787),IF(AND($E787="correction",IF($F787="","reserve",$F787)="rejected"),N($G787),0))))</f>
        <v/>
      </c>
      <c r="O787" s="30" t="str">
        <f aca="false">IF($C787="","",IF($E787="collected",N($G787),IF(AND(OR($E787="returned_to_brand",$E787="given_to_roster_office",$E787="released_to_office",$E787="disposed"),IF($F787="","reserve",$F787)="leftover"),-N($G787),IF(AND($E787="correction",IF($F787="","reserve",$F787)="leftover"),N($G787),0))))</f>
        <v/>
      </c>
      <c r="P787" s="30" t="str">
        <f aca="false">IF(OR($E787&lt;&gt;"received",$I787="",$L787=""),"",IF($I787&gt;=$L787+config!$B$19,"Y","N"))</f>
        <v/>
      </c>
      <c r="Q787" s="30" t="str">
        <f aca="false">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30" t="str">
        <f aca="false">IF($C787="","",$C787&amp;"|"&amp;$D787&amp;"|"&amp;$E787)</f>
        <v/>
      </c>
    </row>
    <row r="788" customFormat="false" ht="15" hidden="false" customHeight="false" outlineLevel="0" collapsed="false">
      <c r="A788" s="11"/>
      <c r="B788" s="38"/>
      <c r="E788" s="10"/>
      <c r="I788" s="11"/>
      <c r="J788" s="10"/>
      <c r="L788" s="31" t="str">
        <f aca="false">IF($C788="","",IFERROR(IF(INDEX(campaigns!$BG$2:$BG$51,MATCH($C788,campaigns!$A$2:$A$51,0))="","",INDEX(campaigns!$BG$2:$BG$51,MATCH($C788,campaigns!$A$2:$A$51,0))),""))</f>
        <v/>
      </c>
      <c r="M788" s="30" t="str">
        <f aca="false">IF($C788="","",IF(OR($E788="received"),N($G788),IF(OR($E788="rejected",$E788="delivered",$E788="topped_up"),-N($G788),IF(AND(OR($E788="returned_to_brand",$E788="given_to_roster_office",$E788="released_to_office",$E788="disposed"),IF($F788="","reserve",$F788)="reserve"),-N($G788),IF(AND($E788="correction",IF($F788="","reserve",$F788)="reserve"),N($G788),0)))))</f>
        <v/>
      </c>
      <c r="N788" s="30" t="str">
        <f aca="false">IF($C788="","",IF($E788="rejected",N($G788),IF(AND(OR($E788="returned_to_brand",$E788="given_to_roster_office",$E788="released_to_office",$E788="disposed"),IF($F788="","reserve",$F788)="rejected"),-N($G788),IF(AND($E788="correction",IF($F788="","reserve",$F788)="rejected"),N($G788),0))))</f>
        <v/>
      </c>
      <c r="O788" s="30" t="str">
        <f aca="false">IF($C788="","",IF($E788="collected",N($G788),IF(AND(OR($E788="returned_to_brand",$E788="given_to_roster_office",$E788="released_to_office",$E788="disposed"),IF($F788="","reserve",$F788)="leftover"),-N($G788),IF(AND($E788="correction",IF($F788="","reserve",$F788)="leftover"),N($G788),0))))</f>
        <v/>
      </c>
      <c r="P788" s="30" t="str">
        <f aca="false">IF(OR($E788&lt;&gt;"received",$I788="",$L788=""),"",IF($I788&gt;=$L788+config!$B$19,"Y","N"))</f>
        <v/>
      </c>
      <c r="Q788" s="30" t="str">
        <f aca="false">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30" t="str">
        <f aca="false">IF($C788="","",$C788&amp;"|"&amp;$D788&amp;"|"&amp;$E788)</f>
        <v/>
      </c>
    </row>
    <row r="789" customFormat="false" ht="15" hidden="false" customHeight="false" outlineLevel="0" collapsed="false">
      <c r="A789" s="11"/>
      <c r="B789" s="38"/>
      <c r="E789" s="10"/>
      <c r="I789" s="11"/>
      <c r="J789" s="10"/>
      <c r="L789" s="31" t="str">
        <f aca="false">IF($C789="","",IFERROR(IF(INDEX(campaigns!$BG$2:$BG$51,MATCH($C789,campaigns!$A$2:$A$51,0))="","",INDEX(campaigns!$BG$2:$BG$51,MATCH($C789,campaigns!$A$2:$A$51,0))),""))</f>
        <v/>
      </c>
      <c r="M789" s="30" t="str">
        <f aca="false">IF($C789="","",IF(OR($E789="received"),N($G789),IF(OR($E789="rejected",$E789="delivered",$E789="topped_up"),-N($G789),IF(AND(OR($E789="returned_to_brand",$E789="given_to_roster_office",$E789="released_to_office",$E789="disposed"),IF($F789="","reserve",$F789)="reserve"),-N($G789),IF(AND($E789="correction",IF($F789="","reserve",$F789)="reserve"),N($G789),0)))))</f>
        <v/>
      </c>
      <c r="N789" s="30" t="str">
        <f aca="false">IF($C789="","",IF($E789="rejected",N($G789),IF(AND(OR($E789="returned_to_brand",$E789="given_to_roster_office",$E789="released_to_office",$E789="disposed"),IF($F789="","reserve",$F789)="rejected"),-N($G789),IF(AND($E789="correction",IF($F789="","reserve",$F789)="rejected"),N($G789),0))))</f>
        <v/>
      </c>
      <c r="O789" s="30" t="str">
        <f aca="false">IF($C789="","",IF($E789="collected",N($G789),IF(AND(OR($E789="returned_to_brand",$E789="given_to_roster_office",$E789="released_to_office",$E789="disposed"),IF($F789="","reserve",$F789)="leftover"),-N($G789),IF(AND($E789="correction",IF($F789="","reserve",$F789)="leftover"),N($G789),0))))</f>
        <v/>
      </c>
      <c r="P789" s="30" t="str">
        <f aca="false">IF(OR($E789&lt;&gt;"received",$I789="",$L789=""),"",IF($I789&gt;=$L789+config!$B$19,"Y","N"))</f>
        <v/>
      </c>
      <c r="Q789" s="30" t="str">
        <f aca="false">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30" t="str">
        <f aca="false">IF($C789="","",$C789&amp;"|"&amp;$D789&amp;"|"&amp;$E789)</f>
        <v/>
      </c>
    </row>
    <row r="790" customFormat="false" ht="15" hidden="false" customHeight="false" outlineLevel="0" collapsed="false">
      <c r="A790" s="11"/>
      <c r="B790" s="38"/>
      <c r="E790" s="10"/>
      <c r="I790" s="11"/>
      <c r="J790" s="10"/>
      <c r="L790" s="31" t="str">
        <f aca="false">IF($C790="","",IFERROR(IF(INDEX(campaigns!$BG$2:$BG$51,MATCH($C790,campaigns!$A$2:$A$51,0))="","",INDEX(campaigns!$BG$2:$BG$51,MATCH($C790,campaigns!$A$2:$A$51,0))),""))</f>
        <v/>
      </c>
      <c r="M790" s="30" t="str">
        <f aca="false">IF($C790="","",IF(OR($E790="received"),N($G790),IF(OR($E790="rejected",$E790="delivered",$E790="topped_up"),-N($G790),IF(AND(OR($E790="returned_to_brand",$E790="given_to_roster_office",$E790="released_to_office",$E790="disposed"),IF($F790="","reserve",$F790)="reserve"),-N($G790),IF(AND($E790="correction",IF($F790="","reserve",$F790)="reserve"),N($G790),0)))))</f>
        <v/>
      </c>
      <c r="N790" s="30" t="str">
        <f aca="false">IF($C790="","",IF($E790="rejected",N($G790),IF(AND(OR($E790="returned_to_brand",$E790="given_to_roster_office",$E790="released_to_office",$E790="disposed"),IF($F790="","reserve",$F790)="rejected"),-N($G790),IF(AND($E790="correction",IF($F790="","reserve",$F790)="rejected"),N($G790),0))))</f>
        <v/>
      </c>
      <c r="O790" s="30" t="str">
        <f aca="false">IF($C790="","",IF($E790="collected",N($G790),IF(AND(OR($E790="returned_to_brand",$E790="given_to_roster_office",$E790="released_to_office",$E790="disposed"),IF($F790="","reserve",$F790)="leftover"),-N($G790),IF(AND($E790="correction",IF($F790="","reserve",$F790)="leftover"),N($G790),0))))</f>
        <v/>
      </c>
      <c r="P790" s="30" t="str">
        <f aca="false">IF(OR($E790&lt;&gt;"received",$I790="",$L790=""),"",IF($I790&gt;=$L790+config!$B$19,"Y","N"))</f>
        <v/>
      </c>
      <c r="Q790" s="30" t="str">
        <f aca="false">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30" t="str">
        <f aca="false">IF($C790="","",$C790&amp;"|"&amp;$D790&amp;"|"&amp;$E790)</f>
        <v/>
      </c>
    </row>
    <row r="791" customFormat="false" ht="15" hidden="false" customHeight="false" outlineLevel="0" collapsed="false">
      <c r="A791" s="11"/>
      <c r="B791" s="38"/>
      <c r="E791" s="10"/>
      <c r="I791" s="11"/>
      <c r="J791" s="10"/>
      <c r="L791" s="31" t="str">
        <f aca="false">IF($C791="","",IFERROR(IF(INDEX(campaigns!$BG$2:$BG$51,MATCH($C791,campaigns!$A$2:$A$51,0))="","",INDEX(campaigns!$BG$2:$BG$51,MATCH($C791,campaigns!$A$2:$A$51,0))),""))</f>
        <v/>
      </c>
      <c r="M791" s="30" t="str">
        <f aca="false">IF($C791="","",IF(OR($E791="received"),N($G791),IF(OR($E791="rejected",$E791="delivered",$E791="topped_up"),-N($G791),IF(AND(OR($E791="returned_to_brand",$E791="given_to_roster_office",$E791="released_to_office",$E791="disposed"),IF($F791="","reserve",$F791)="reserve"),-N($G791),IF(AND($E791="correction",IF($F791="","reserve",$F791)="reserve"),N($G791),0)))))</f>
        <v/>
      </c>
      <c r="N791" s="30" t="str">
        <f aca="false">IF($C791="","",IF($E791="rejected",N($G791),IF(AND(OR($E791="returned_to_brand",$E791="given_to_roster_office",$E791="released_to_office",$E791="disposed"),IF($F791="","reserve",$F791)="rejected"),-N($G791),IF(AND($E791="correction",IF($F791="","reserve",$F791)="rejected"),N($G791),0))))</f>
        <v/>
      </c>
      <c r="O791" s="30" t="str">
        <f aca="false">IF($C791="","",IF($E791="collected",N($G791),IF(AND(OR($E791="returned_to_brand",$E791="given_to_roster_office",$E791="released_to_office",$E791="disposed"),IF($F791="","reserve",$F791)="leftover"),-N($G791),IF(AND($E791="correction",IF($F791="","reserve",$F791)="leftover"),N($G791),0))))</f>
        <v/>
      </c>
      <c r="P791" s="30" t="str">
        <f aca="false">IF(OR($E791&lt;&gt;"received",$I791="",$L791=""),"",IF($I791&gt;=$L791+config!$B$19,"Y","N"))</f>
        <v/>
      </c>
      <c r="Q791" s="30" t="str">
        <f aca="false">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30" t="str">
        <f aca="false">IF($C791="","",$C791&amp;"|"&amp;$D791&amp;"|"&amp;$E791)</f>
        <v/>
      </c>
    </row>
    <row r="792" customFormat="false" ht="15" hidden="false" customHeight="false" outlineLevel="0" collapsed="false">
      <c r="A792" s="11"/>
      <c r="B792" s="38"/>
      <c r="E792" s="10"/>
      <c r="I792" s="11"/>
      <c r="J792" s="10"/>
      <c r="L792" s="31" t="str">
        <f aca="false">IF($C792="","",IFERROR(IF(INDEX(campaigns!$BG$2:$BG$51,MATCH($C792,campaigns!$A$2:$A$51,0))="","",INDEX(campaigns!$BG$2:$BG$51,MATCH($C792,campaigns!$A$2:$A$51,0))),""))</f>
        <v/>
      </c>
      <c r="M792" s="30" t="str">
        <f aca="false">IF($C792="","",IF(OR($E792="received"),N($G792),IF(OR($E792="rejected",$E792="delivered",$E792="topped_up"),-N($G792),IF(AND(OR($E792="returned_to_brand",$E792="given_to_roster_office",$E792="released_to_office",$E792="disposed"),IF($F792="","reserve",$F792)="reserve"),-N($G792),IF(AND($E792="correction",IF($F792="","reserve",$F792)="reserve"),N($G792),0)))))</f>
        <v/>
      </c>
      <c r="N792" s="30" t="str">
        <f aca="false">IF($C792="","",IF($E792="rejected",N($G792),IF(AND(OR($E792="returned_to_brand",$E792="given_to_roster_office",$E792="released_to_office",$E792="disposed"),IF($F792="","reserve",$F792)="rejected"),-N($G792),IF(AND($E792="correction",IF($F792="","reserve",$F792)="rejected"),N($G792),0))))</f>
        <v/>
      </c>
      <c r="O792" s="30" t="str">
        <f aca="false">IF($C792="","",IF($E792="collected",N($G792),IF(AND(OR($E792="returned_to_brand",$E792="given_to_roster_office",$E792="released_to_office",$E792="disposed"),IF($F792="","reserve",$F792)="leftover"),-N($G792),IF(AND($E792="correction",IF($F792="","reserve",$F792)="leftover"),N($G792),0))))</f>
        <v/>
      </c>
      <c r="P792" s="30" t="str">
        <f aca="false">IF(OR($E792&lt;&gt;"received",$I792="",$L792=""),"",IF($I792&gt;=$L792+config!$B$19,"Y","N"))</f>
        <v/>
      </c>
      <c r="Q792" s="30" t="str">
        <f aca="false">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30" t="str">
        <f aca="false">IF($C792="","",$C792&amp;"|"&amp;$D792&amp;"|"&amp;$E792)</f>
        <v/>
      </c>
    </row>
    <row r="793" customFormat="false" ht="15" hidden="false" customHeight="false" outlineLevel="0" collapsed="false">
      <c r="A793" s="11"/>
      <c r="B793" s="38"/>
      <c r="E793" s="10"/>
      <c r="I793" s="11"/>
      <c r="J793" s="10"/>
      <c r="L793" s="31" t="str">
        <f aca="false">IF($C793="","",IFERROR(IF(INDEX(campaigns!$BG$2:$BG$51,MATCH($C793,campaigns!$A$2:$A$51,0))="","",INDEX(campaigns!$BG$2:$BG$51,MATCH($C793,campaigns!$A$2:$A$51,0))),""))</f>
        <v/>
      </c>
      <c r="M793" s="30" t="str">
        <f aca="false">IF($C793="","",IF(OR($E793="received"),N($G793),IF(OR($E793="rejected",$E793="delivered",$E793="topped_up"),-N($G793),IF(AND(OR($E793="returned_to_brand",$E793="given_to_roster_office",$E793="released_to_office",$E793="disposed"),IF($F793="","reserve",$F793)="reserve"),-N($G793),IF(AND($E793="correction",IF($F793="","reserve",$F793)="reserve"),N($G793),0)))))</f>
        <v/>
      </c>
      <c r="N793" s="30" t="str">
        <f aca="false">IF($C793="","",IF($E793="rejected",N($G793),IF(AND(OR($E793="returned_to_brand",$E793="given_to_roster_office",$E793="released_to_office",$E793="disposed"),IF($F793="","reserve",$F793)="rejected"),-N($G793),IF(AND($E793="correction",IF($F793="","reserve",$F793)="rejected"),N($G793),0))))</f>
        <v/>
      </c>
      <c r="O793" s="30" t="str">
        <f aca="false">IF($C793="","",IF($E793="collected",N($G793),IF(AND(OR($E793="returned_to_brand",$E793="given_to_roster_office",$E793="released_to_office",$E793="disposed"),IF($F793="","reserve",$F793)="leftover"),-N($G793),IF(AND($E793="correction",IF($F793="","reserve",$F793)="leftover"),N($G793),0))))</f>
        <v/>
      </c>
      <c r="P793" s="30" t="str">
        <f aca="false">IF(OR($E793&lt;&gt;"received",$I793="",$L793=""),"",IF($I793&gt;=$L793+config!$B$19,"Y","N"))</f>
        <v/>
      </c>
      <c r="Q793" s="30" t="str">
        <f aca="false">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30" t="str">
        <f aca="false">IF($C793="","",$C793&amp;"|"&amp;$D793&amp;"|"&amp;$E793)</f>
        <v/>
      </c>
    </row>
    <row r="794" customFormat="false" ht="15" hidden="false" customHeight="false" outlineLevel="0" collapsed="false">
      <c r="A794" s="11"/>
      <c r="B794" s="38"/>
      <c r="E794" s="10"/>
      <c r="I794" s="11"/>
      <c r="J794" s="10"/>
      <c r="L794" s="31" t="str">
        <f aca="false">IF($C794="","",IFERROR(IF(INDEX(campaigns!$BG$2:$BG$51,MATCH($C794,campaigns!$A$2:$A$51,0))="","",INDEX(campaigns!$BG$2:$BG$51,MATCH($C794,campaigns!$A$2:$A$51,0))),""))</f>
        <v/>
      </c>
      <c r="M794" s="30" t="str">
        <f aca="false">IF($C794="","",IF(OR($E794="received"),N($G794),IF(OR($E794="rejected",$E794="delivered",$E794="topped_up"),-N($G794),IF(AND(OR($E794="returned_to_brand",$E794="given_to_roster_office",$E794="released_to_office",$E794="disposed"),IF($F794="","reserve",$F794)="reserve"),-N($G794),IF(AND($E794="correction",IF($F794="","reserve",$F794)="reserve"),N($G794),0)))))</f>
        <v/>
      </c>
      <c r="N794" s="30" t="str">
        <f aca="false">IF($C794="","",IF($E794="rejected",N($G794),IF(AND(OR($E794="returned_to_brand",$E794="given_to_roster_office",$E794="released_to_office",$E794="disposed"),IF($F794="","reserve",$F794)="rejected"),-N($G794),IF(AND($E794="correction",IF($F794="","reserve",$F794)="rejected"),N($G794),0))))</f>
        <v/>
      </c>
      <c r="O794" s="30" t="str">
        <f aca="false">IF($C794="","",IF($E794="collected",N($G794),IF(AND(OR($E794="returned_to_brand",$E794="given_to_roster_office",$E794="released_to_office",$E794="disposed"),IF($F794="","reserve",$F794)="leftover"),-N($G794),IF(AND($E794="correction",IF($F794="","reserve",$F794)="leftover"),N($G794),0))))</f>
        <v/>
      </c>
      <c r="P794" s="30" t="str">
        <f aca="false">IF(OR($E794&lt;&gt;"received",$I794="",$L794=""),"",IF($I794&gt;=$L794+config!$B$19,"Y","N"))</f>
        <v/>
      </c>
      <c r="Q794" s="30" t="str">
        <f aca="false">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30" t="str">
        <f aca="false">IF($C794="","",$C794&amp;"|"&amp;$D794&amp;"|"&amp;$E794)</f>
        <v/>
      </c>
    </row>
    <row r="795" customFormat="false" ht="15" hidden="false" customHeight="false" outlineLevel="0" collapsed="false">
      <c r="A795" s="11"/>
      <c r="B795" s="38"/>
      <c r="E795" s="10"/>
      <c r="I795" s="11"/>
      <c r="J795" s="10"/>
      <c r="L795" s="31" t="str">
        <f aca="false">IF($C795="","",IFERROR(IF(INDEX(campaigns!$BG$2:$BG$51,MATCH($C795,campaigns!$A$2:$A$51,0))="","",INDEX(campaigns!$BG$2:$BG$51,MATCH($C795,campaigns!$A$2:$A$51,0))),""))</f>
        <v/>
      </c>
      <c r="M795" s="30" t="str">
        <f aca="false">IF($C795="","",IF(OR($E795="received"),N($G795),IF(OR($E795="rejected",$E795="delivered",$E795="topped_up"),-N($G795),IF(AND(OR($E795="returned_to_brand",$E795="given_to_roster_office",$E795="released_to_office",$E795="disposed"),IF($F795="","reserve",$F795)="reserve"),-N($G795),IF(AND($E795="correction",IF($F795="","reserve",$F795)="reserve"),N($G795),0)))))</f>
        <v/>
      </c>
      <c r="N795" s="30" t="str">
        <f aca="false">IF($C795="","",IF($E795="rejected",N($G795),IF(AND(OR($E795="returned_to_brand",$E795="given_to_roster_office",$E795="released_to_office",$E795="disposed"),IF($F795="","reserve",$F795)="rejected"),-N($G795),IF(AND($E795="correction",IF($F795="","reserve",$F795)="rejected"),N($G795),0))))</f>
        <v/>
      </c>
      <c r="O795" s="30" t="str">
        <f aca="false">IF($C795="","",IF($E795="collected",N($G795),IF(AND(OR($E795="returned_to_brand",$E795="given_to_roster_office",$E795="released_to_office",$E795="disposed"),IF($F795="","reserve",$F795)="leftover"),-N($G795),IF(AND($E795="correction",IF($F795="","reserve",$F795)="leftover"),N($G795),0))))</f>
        <v/>
      </c>
      <c r="P795" s="30" t="str">
        <f aca="false">IF(OR($E795&lt;&gt;"received",$I795="",$L795=""),"",IF($I795&gt;=$L795+config!$B$19,"Y","N"))</f>
        <v/>
      </c>
      <c r="Q795" s="30" t="str">
        <f aca="false">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30" t="str">
        <f aca="false">IF($C795="","",$C795&amp;"|"&amp;$D795&amp;"|"&amp;$E795)</f>
        <v/>
      </c>
    </row>
    <row r="796" customFormat="false" ht="15" hidden="false" customHeight="false" outlineLevel="0" collapsed="false">
      <c r="A796" s="11"/>
      <c r="B796" s="38"/>
      <c r="E796" s="10"/>
      <c r="I796" s="11"/>
      <c r="J796" s="10"/>
      <c r="L796" s="31" t="str">
        <f aca="false">IF($C796="","",IFERROR(IF(INDEX(campaigns!$BG$2:$BG$51,MATCH($C796,campaigns!$A$2:$A$51,0))="","",INDEX(campaigns!$BG$2:$BG$51,MATCH($C796,campaigns!$A$2:$A$51,0))),""))</f>
        <v/>
      </c>
      <c r="M796" s="30" t="str">
        <f aca="false">IF($C796="","",IF(OR($E796="received"),N($G796),IF(OR($E796="rejected",$E796="delivered",$E796="topped_up"),-N($G796),IF(AND(OR($E796="returned_to_brand",$E796="given_to_roster_office",$E796="released_to_office",$E796="disposed"),IF($F796="","reserve",$F796)="reserve"),-N($G796),IF(AND($E796="correction",IF($F796="","reserve",$F796)="reserve"),N($G796),0)))))</f>
        <v/>
      </c>
      <c r="N796" s="30" t="str">
        <f aca="false">IF($C796="","",IF($E796="rejected",N($G796),IF(AND(OR($E796="returned_to_brand",$E796="given_to_roster_office",$E796="released_to_office",$E796="disposed"),IF($F796="","reserve",$F796)="rejected"),-N($G796),IF(AND($E796="correction",IF($F796="","reserve",$F796)="rejected"),N($G796),0))))</f>
        <v/>
      </c>
      <c r="O796" s="30" t="str">
        <f aca="false">IF($C796="","",IF($E796="collected",N($G796),IF(AND(OR($E796="returned_to_brand",$E796="given_to_roster_office",$E796="released_to_office",$E796="disposed"),IF($F796="","reserve",$F796)="leftover"),-N($G796),IF(AND($E796="correction",IF($F796="","reserve",$F796)="leftover"),N($G796),0))))</f>
        <v/>
      </c>
      <c r="P796" s="30" t="str">
        <f aca="false">IF(OR($E796&lt;&gt;"received",$I796="",$L796=""),"",IF($I796&gt;=$L796+config!$B$19,"Y","N"))</f>
        <v/>
      </c>
      <c r="Q796" s="30" t="str">
        <f aca="false">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30" t="str">
        <f aca="false">IF($C796="","",$C796&amp;"|"&amp;$D796&amp;"|"&amp;$E796)</f>
        <v/>
      </c>
    </row>
    <row r="797" customFormat="false" ht="15" hidden="false" customHeight="false" outlineLevel="0" collapsed="false">
      <c r="A797" s="11"/>
      <c r="B797" s="38"/>
      <c r="E797" s="10"/>
      <c r="I797" s="11"/>
      <c r="J797" s="10"/>
      <c r="L797" s="31" t="str">
        <f aca="false">IF($C797="","",IFERROR(IF(INDEX(campaigns!$BG$2:$BG$51,MATCH($C797,campaigns!$A$2:$A$51,0))="","",INDEX(campaigns!$BG$2:$BG$51,MATCH($C797,campaigns!$A$2:$A$51,0))),""))</f>
        <v/>
      </c>
      <c r="M797" s="30" t="str">
        <f aca="false">IF($C797="","",IF(OR($E797="received"),N($G797),IF(OR($E797="rejected",$E797="delivered",$E797="topped_up"),-N($G797),IF(AND(OR($E797="returned_to_brand",$E797="given_to_roster_office",$E797="released_to_office",$E797="disposed"),IF($F797="","reserve",$F797)="reserve"),-N($G797),IF(AND($E797="correction",IF($F797="","reserve",$F797)="reserve"),N($G797),0)))))</f>
        <v/>
      </c>
      <c r="N797" s="30" t="str">
        <f aca="false">IF($C797="","",IF($E797="rejected",N($G797),IF(AND(OR($E797="returned_to_brand",$E797="given_to_roster_office",$E797="released_to_office",$E797="disposed"),IF($F797="","reserve",$F797)="rejected"),-N($G797),IF(AND($E797="correction",IF($F797="","reserve",$F797)="rejected"),N($G797),0))))</f>
        <v/>
      </c>
      <c r="O797" s="30" t="str">
        <f aca="false">IF($C797="","",IF($E797="collected",N($G797),IF(AND(OR($E797="returned_to_brand",$E797="given_to_roster_office",$E797="released_to_office",$E797="disposed"),IF($F797="","reserve",$F797)="leftover"),-N($G797),IF(AND($E797="correction",IF($F797="","reserve",$F797)="leftover"),N($G797),0))))</f>
        <v/>
      </c>
      <c r="P797" s="30" t="str">
        <f aca="false">IF(OR($E797&lt;&gt;"received",$I797="",$L797=""),"",IF($I797&gt;=$L797+config!$B$19,"Y","N"))</f>
        <v/>
      </c>
      <c r="Q797" s="30" t="str">
        <f aca="false">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30" t="str">
        <f aca="false">IF($C797="","",$C797&amp;"|"&amp;$D797&amp;"|"&amp;$E797)</f>
        <v/>
      </c>
    </row>
    <row r="798" customFormat="false" ht="15" hidden="false" customHeight="false" outlineLevel="0" collapsed="false">
      <c r="A798" s="11"/>
      <c r="B798" s="38"/>
      <c r="E798" s="10"/>
      <c r="I798" s="11"/>
      <c r="J798" s="10"/>
      <c r="L798" s="31" t="str">
        <f aca="false">IF($C798="","",IFERROR(IF(INDEX(campaigns!$BG$2:$BG$51,MATCH($C798,campaigns!$A$2:$A$51,0))="","",INDEX(campaigns!$BG$2:$BG$51,MATCH($C798,campaigns!$A$2:$A$51,0))),""))</f>
        <v/>
      </c>
      <c r="M798" s="30" t="str">
        <f aca="false">IF($C798="","",IF(OR($E798="received"),N($G798),IF(OR($E798="rejected",$E798="delivered",$E798="topped_up"),-N($G798),IF(AND(OR($E798="returned_to_brand",$E798="given_to_roster_office",$E798="released_to_office",$E798="disposed"),IF($F798="","reserve",$F798)="reserve"),-N($G798),IF(AND($E798="correction",IF($F798="","reserve",$F798)="reserve"),N($G798),0)))))</f>
        <v/>
      </c>
      <c r="N798" s="30" t="str">
        <f aca="false">IF($C798="","",IF($E798="rejected",N($G798),IF(AND(OR($E798="returned_to_brand",$E798="given_to_roster_office",$E798="released_to_office",$E798="disposed"),IF($F798="","reserve",$F798)="rejected"),-N($G798),IF(AND($E798="correction",IF($F798="","reserve",$F798)="rejected"),N($G798),0))))</f>
        <v/>
      </c>
      <c r="O798" s="30" t="str">
        <f aca="false">IF($C798="","",IF($E798="collected",N($G798),IF(AND(OR($E798="returned_to_brand",$E798="given_to_roster_office",$E798="released_to_office",$E798="disposed"),IF($F798="","reserve",$F798)="leftover"),-N($G798),IF(AND($E798="correction",IF($F798="","reserve",$F798)="leftover"),N($G798),0))))</f>
        <v/>
      </c>
      <c r="P798" s="30" t="str">
        <f aca="false">IF(OR($E798&lt;&gt;"received",$I798="",$L798=""),"",IF($I798&gt;=$L798+config!$B$19,"Y","N"))</f>
        <v/>
      </c>
      <c r="Q798" s="30" t="str">
        <f aca="false">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30" t="str">
        <f aca="false">IF($C798="","",$C798&amp;"|"&amp;$D798&amp;"|"&amp;$E798)</f>
        <v/>
      </c>
    </row>
    <row r="799" customFormat="false" ht="15" hidden="false" customHeight="false" outlineLevel="0" collapsed="false">
      <c r="A799" s="11"/>
      <c r="B799" s="38"/>
      <c r="E799" s="10"/>
      <c r="I799" s="11"/>
      <c r="J799" s="10"/>
      <c r="L799" s="31" t="str">
        <f aca="false">IF($C799="","",IFERROR(IF(INDEX(campaigns!$BG$2:$BG$51,MATCH($C799,campaigns!$A$2:$A$51,0))="","",INDEX(campaigns!$BG$2:$BG$51,MATCH($C799,campaigns!$A$2:$A$51,0))),""))</f>
        <v/>
      </c>
      <c r="M799" s="30" t="str">
        <f aca="false">IF($C799="","",IF(OR($E799="received"),N($G799),IF(OR($E799="rejected",$E799="delivered",$E799="topped_up"),-N($G799),IF(AND(OR($E799="returned_to_brand",$E799="given_to_roster_office",$E799="released_to_office",$E799="disposed"),IF($F799="","reserve",$F799)="reserve"),-N($G799),IF(AND($E799="correction",IF($F799="","reserve",$F799)="reserve"),N($G799),0)))))</f>
        <v/>
      </c>
      <c r="N799" s="30" t="str">
        <f aca="false">IF($C799="","",IF($E799="rejected",N($G799),IF(AND(OR($E799="returned_to_brand",$E799="given_to_roster_office",$E799="released_to_office",$E799="disposed"),IF($F799="","reserve",$F799)="rejected"),-N($G799),IF(AND($E799="correction",IF($F799="","reserve",$F799)="rejected"),N($G799),0))))</f>
        <v/>
      </c>
      <c r="O799" s="30" t="str">
        <f aca="false">IF($C799="","",IF($E799="collected",N($G799),IF(AND(OR($E799="returned_to_brand",$E799="given_to_roster_office",$E799="released_to_office",$E799="disposed"),IF($F799="","reserve",$F799)="leftover"),-N($G799),IF(AND($E799="correction",IF($F799="","reserve",$F799)="leftover"),N($G799),0))))</f>
        <v/>
      </c>
      <c r="P799" s="30" t="str">
        <f aca="false">IF(OR($E799&lt;&gt;"received",$I799="",$L799=""),"",IF($I799&gt;=$L799+config!$B$19,"Y","N"))</f>
        <v/>
      </c>
      <c r="Q799" s="30" t="str">
        <f aca="false">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30" t="str">
        <f aca="false">IF($C799="","",$C799&amp;"|"&amp;$D799&amp;"|"&amp;$E799)</f>
        <v/>
      </c>
    </row>
    <row r="800" customFormat="false" ht="15" hidden="false" customHeight="false" outlineLevel="0" collapsed="false">
      <c r="A800" s="11"/>
      <c r="B800" s="38"/>
      <c r="E800" s="10"/>
      <c r="I800" s="11"/>
      <c r="J800" s="10"/>
      <c r="L800" s="31" t="str">
        <f aca="false">IF($C800="","",IFERROR(IF(INDEX(campaigns!$BG$2:$BG$51,MATCH($C800,campaigns!$A$2:$A$51,0))="","",INDEX(campaigns!$BG$2:$BG$51,MATCH($C800,campaigns!$A$2:$A$51,0))),""))</f>
        <v/>
      </c>
      <c r="M800" s="30" t="str">
        <f aca="false">IF($C800="","",IF(OR($E800="received"),N($G800),IF(OR($E800="rejected",$E800="delivered",$E800="topped_up"),-N($G800),IF(AND(OR($E800="returned_to_brand",$E800="given_to_roster_office",$E800="released_to_office",$E800="disposed"),IF($F800="","reserve",$F800)="reserve"),-N($G800),IF(AND($E800="correction",IF($F800="","reserve",$F800)="reserve"),N($G800),0)))))</f>
        <v/>
      </c>
      <c r="N800" s="30" t="str">
        <f aca="false">IF($C800="","",IF($E800="rejected",N($G800),IF(AND(OR($E800="returned_to_brand",$E800="given_to_roster_office",$E800="released_to_office",$E800="disposed"),IF($F800="","reserve",$F800)="rejected"),-N($G800),IF(AND($E800="correction",IF($F800="","reserve",$F800)="rejected"),N($G800),0))))</f>
        <v/>
      </c>
      <c r="O800" s="30" t="str">
        <f aca="false">IF($C800="","",IF($E800="collected",N($G800),IF(AND(OR($E800="returned_to_brand",$E800="given_to_roster_office",$E800="released_to_office",$E800="disposed"),IF($F800="","reserve",$F800)="leftover"),-N($G800),IF(AND($E800="correction",IF($F800="","reserve",$F800)="leftover"),N($G800),0))))</f>
        <v/>
      </c>
      <c r="P800" s="30" t="str">
        <f aca="false">IF(OR($E800&lt;&gt;"received",$I800="",$L800=""),"",IF($I800&gt;=$L800+config!$B$19,"Y","N"))</f>
        <v/>
      </c>
      <c r="Q800" s="30" t="str">
        <f aca="false">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30" t="str">
        <f aca="false">IF($C800="","",$C800&amp;"|"&amp;$D800&amp;"|"&amp;$E800)</f>
        <v/>
      </c>
    </row>
    <row r="801" customFormat="false" ht="15" hidden="false" customHeight="false" outlineLevel="0" collapsed="false">
      <c r="A801" s="11"/>
      <c r="B801" s="38"/>
      <c r="E801" s="10"/>
      <c r="I801" s="11"/>
      <c r="J801" s="10"/>
      <c r="L801" s="31" t="str">
        <f aca="false">IF($C801="","",IFERROR(IF(INDEX(campaigns!$BG$2:$BG$51,MATCH($C801,campaigns!$A$2:$A$51,0))="","",INDEX(campaigns!$BG$2:$BG$51,MATCH($C801,campaigns!$A$2:$A$51,0))),""))</f>
        <v/>
      </c>
      <c r="M801" s="30" t="str">
        <f aca="false">IF($C801="","",IF(OR($E801="received"),N($G801),IF(OR($E801="rejected",$E801="delivered",$E801="topped_up"),-N($G801),IF(AND(OR($E801="returned_to_brand",$E801="given_to_roster_office",$E801="released_to_office",$E801="disposed"),IF($F801="","reserve",$F801)="reserve"),-N($G801),IF(AND($E801="correction",IF($F801="","reserve",$F801)="reserve"),N($G801),0)))))</f>
        <v/>
      </c>
      <c r="N801" s="30" t="str">
        <f aca="false">IF($C801="","",IF($E801="rejected",N($G801),IF(AND(OR($E801="returned_to_brand",$E801="given_to_roster_office",$E801="released_to_office",$E801="disposed"),IF($F801="","reserve",$F801)="rejected"),-N($G801),IF(AND($E801="correction",IF($F801="","reserve",$F801)="rejected"),N($G801),0))))</f>
        <v/>
      </c>
      <c r="O801" s="30" t="str">
        <f aca="false">IF($C801="","",IF($E801="collected",N($G801),IF(AND(OR($E801="returned_to_brand",$E801="given_to_roster_office",$E801="released_to_office",$E801="disposed"),IF($F801="","reserve",$F801)="leftover"),-N($G801),IF(AND($E801="correction",IF($F801="","reserve",$F801)="leftover"),N($G801),0))))</f>
        <v/>
      </c>
      <c r="P801" s="30" t="str">
        <f aca="false">IF(OR($E801&lt;&gt;"received",$I801="",$L801=""),"",IF($I801&gt;=$L801+config!$B$19,"Y","N"))</f>
        <v/>
      </c>
      <c r="Q801" s="30" t="str">
        <f aca="false">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30" t="str">
        <f aca="false">IF($C801="","",$C801&amp;"|"&amp;$D801&amp;"|"&amp;$E801)</f>
        <v/>
      </c>
    </row>
  </sheetData>
  <conditionalFormatting sqref="Q2:Q801">
    <cfRule type="expression" priority="2" aboveAverage="0" equalAverage="0" bottom="0" percent="0" rank="0" text="" dxfId="1">
      <formula>LEN(Q2)&gt;0</formula>
    </cfRule>
  </conditionalFormatting>
  <dataValidations count="3">
    <dataValidation allowBlank="true" error="Pick a value from the list." errorStyle="stop" errorTitle="Not on the list" operator="between" showDropDown="false" showErrorMessage="true" showInputMessage="false" sqref="E2:E801" type="list">
      <formula1>"received,rejected,delivered,topped_up,collected,returned_to_brand,given_to_roster_office,released_to_office,disposed,correction"</formula1>
      <formula2>0</formula2>
    </dataValidation>
    <dataValidation allowBlank="true" error="Pick a value from the list." errorStyle="stop" errorTitle="Not on the list" operator="between" showDropDown="false" showErrorMessage="true" showInputMessage="false" sqref="F2:F801" type="list">
      <formula1>"reserve,rejected,leftover"</formula1>
      <formula2>0</formula2>
    </dataValidation>
    <dataValidation allowBlank="true" error="Pick a value from the list." errorStyle="stop" errorTitle="Not on the list" operator="between" showDropDown="false" showErrorMessage="true" showInputMessage="false" sqref="J2:J801" type="list">
      <formula1>"founder_count,courier_count,office_count,packing_list"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K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5" min="3" style="0" width="14"/>
    <col collapsed="false" customWidth="true" hidden="false" outlineLevel="0" max="6" min="6" style="0" width="6"/>
    <col collapsed="false" customWidth="true" hidden="false" outlineLevel="0" max="8" min="7" style="0" width="14"/>
    <col collapsed="false" customWidth="true" hidden="false" outlineLevel="0" max="9" min="9" style="0" width="24"/>
    <col collapsed="false" customWidth="true" hidden="false" outlineLevel="0" max="10" min="10" style="0" width="6"/>
    <col collapsed="false" customWidth="true" hidden="false" outlineLevel="0" max="11" min="11" style="0" width="30"/>
  </cols>
  <sheetData>
    <row r="1" customFormat="false" ht="15" hidden="false" customHeight="false" outlineLevel="0" collapsed="false">
      <c r="A1" s="28" t="s">
        <v>77</v>
      </c>
      <c r="B1" s="28" t="s">
        <v>780</v>
      </c>
      <c r="C1" s="28" t="s">
        <v>358</v>
      </c>
      <c r="D1" s="28" t="s">
        <v>642</v>
      </c>
      <c r="E1" s="28" t="s">
        <v>822</v>
      </c>
      <c r="F1" s="28" t="s">
        <v>85</v>
      </c>
      <c r="G1" s="28" t="s">
        <v>823</v>
      </c>
      <c r="H1" s="28" t="s">
        <v>824</v>
      </c>
      <c r="I1" s="28" t="s">
        <v>178</v>
      </c>
      <c r="J1" s="29" t="s">
        <v>825</v>
      </c>
      <c r="K1" s="29" t="s">
        <v>120</v>
      </c>
    </row>
    <row r="2" customFormat="false" ht="15" hidden="false" customHeight="false" outlineLevel="0" collapsed="false">
      <c r="A2" s="11" t="n">
        <v>46399</v>
      </c>
      <c r="B2" s="38" t="n">
        <v>0.356944444444445</v>
      </c>
      <c r="C2" s="10" t="s">
        <v>472</v>
      </c>
      <c r="D2" s="10" t="s">
        <v>678</v>
      </c>
      <c r="E2" s="10" t="s">
        <v>826</v>
      </c>
      <c r="F2" s="0" t="n">
        <v>40</v>
      </c>
      <c r="G2" s="10" t="s">
        <v>827</v>
      </c>
      <c r="H2" s="10" t="s">
        <v>828</v>
      </c>
      <c r="J2" s="30" t="n">
        <f aca="false">IF(OR($C2="",$A2=""),"",IF($A2&lt;IFERROR(IF(INDEX(campaigns!$BG$2:$BG$51,MATCH($C2,campaigns!$A$2:$A$51,0))="","",INDEX(campaigns!$BG$2:$BG$51,MATCH($C2,campaigns!$A$2:$A$51,0))),""),0,NETWORKDAYS(IFERROR(IF(INDEX(campaigns!$BG$2:$BG$51,MATCH($C2,campaigns!$A$2:$A$51,0))="","",INDEX(campaigns!$BG$2:$BG$51,MATCH($C2,campaigns!$A$2:$A$51,0))),""),$A2,calendar!$A$2:$A$80)))</f>
        <v>1</v>
      </c>
      <c r="K2" s="30" t="str">
        <f aca="false">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ustomFormat="false" ht="15" hidden="false" customHeight="false" outlineLevel="0" collapsed="false">
      <c r="A3" s="11" t="n">
        <v>46401</v>
      </c>
      <c r="B3" s="38" t="n">
        <v>0.458333333333333</v>
      </c>
      <c r="C3" s="10" t="s">
        <v>472</v>
      </c>
      <c r="D3" s="10" t="s">
        <v>678</v>
      </c>
      <c r="E3" s="10" t="s">
        <v>720</v>
      </c>
      <c r="F3" s="0" t="n">
        <v>4</v>
      </c>
      <c r="G3" s="10" t="s">
        <v>829</v>
      </c>
      <c r="J3" s="30" t="n">
        <f aca="false">IF(OR($C3="",$A3=""),"",IF($A3&lt;IFERROR(IF(INDEX(campaigns!$BG$2:$BG$51,MATCH($C3,campaigns!$A$2:$A$51,0))="","",INDEX(campaigns!$BG$2:$BG$51,MATCH($C3,campaigns!$A$2:$A$51,0))),""),0,NETWORKDAYS(IFERROR(IF(INDEX(campaigns!$BG$2:$BG$51,MATCH($C3,campaigns!$A$2:$A$51,0))="","",INDEX(campaigns!$BG$2:$BG$51,MATCH($C3,campaigns!$A$2:$A$51,0))),""),$A3,calendar!$A$2:$A$80)))</f>
        <v>3</v>
      </c>
      <c r="K3" s="30" t="str">
        <f aca="false">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ustomFormat="false" ht="15" hidden="false" customHeight="false" outlineLevel="0" collapsed="false">
      <c r="A4" s="11" t="n">
        <v>46406</v>
      </c>
      <c r="B4" s="38" t="n">
        <v>0.666666666666667</v>
      </c>
      <c r="C4" s="10" t="s">
        <v>472</v>
      </c>
      <c r="D4" s="10" t="s">
        <v>678</v>
      </c>
      <c r="E4" s="10" t="s">
        <v>721</v>
      </c>
      <c r="F4" s="0" t="n">
        <v>1</v>
      </c>
      <c r="G4" s="10" t="s">
        <v>827</v>
      </c>
      <c r="H4" s="10" t="s">
        <v>830</v>
      </c>
      <c r="J4" s="30" t="n">
        <f aca="false">IF(OR($C4="",$A4=""),"",IF($A4&lt;IFERROR(IF(INDEX(campaigns!$BG$2:$BG$51,MATCH($C4,campaigns!$A$2:$A$51,0))="","",INDEX(campaigns!$BG$2:$BG$51,MATCH($C4,campaigns!$A$2:$A$51,0))),""),0,NETWORKDAYS(IFERROR(IF(INDEX(campaigns!$BG$2:$BG$51,MATCH($C4,campaigns!$A$2:$A$51,0))="","",INDEX(campaigns!$BG$2:$BG$51,MATCH($C4,campaigns!$A$2:$A$51,0))),""),$A4,calendar!$A$2:$A$80)))</f>
        <v>5</v>
      </c>
      <c r="K4" s="30" t="str">
        <f aca="false">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ustomFormat="false" ht="15" hidden="false" customHeight="false" outlineLevel="0" collapsed="false">
      <c r="A5" s="11" t="n">
        <v>46399</v>
      </c>
      <c r="B5" s="38" t="n">
        <v>0.486111111111111</v>
      </c>
      <c r="C5" s="10" t="s">
        <v>472</v>
      </c>
      <c r="D5" s="10" t="s">
        <v>681</v>
      </c>
      <c r="E5" s="10" t="s">
        <v>826</v>
      </c>
      <c r="F5" s="0" t="n">
        <v>38</v>
      </c>
      <c r="G5" s="10" t="s">
        <v>827</v>
      </c>
      <c r="H5" s="10" t="s">
        <v>831</v>
      </c>
      <c r="J5" s="30" t="n">
        <f aca="false">IF(OR($C5="",$A5=""),"",IF($A5&lt;IFERROR(IF(INDEX(campaigns!$BG$2:$BG$51,MATCH($C5,campaigns!$A$2:$A$51,0))="","",INDEX(campaigns!$BG$2:$BG$51,MATCH($C5,campaigns!$A$2:$A$51,0))),""),0,NETWORKDAYS(IFERROR(IF(INDEX(campaigns!$BG$2:$BG$51,MATCH($C5,campaigns!$A$2:$A$51,0))="","",INDEX(campaigns!$BG$2:$BG$51,MATCH($C5,campaigns!$A$2:$A$51,0))),""),$A5,calendar!$A$2:$A$80)))</f>
        <v>1</v>
      </c>
      <c r="K5" s="30" t="str">
        <f aca="false">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ustomFormat="false" ht="15" hidden="false" customHeight="false" outlineLevel="0" collapsed="false">
      <c r="A6" s="11" t="n">
        <v>46401</v>
      </c>
      <c r="B6" s="38" t="n">
        <v>0.458333333333333</v>
      </c>
      <c r="C6" s="10" t="s">
        <v>472</v>
      </c>
      <c r="D6" s="10" t="s">
        <v>681</v>
      </c>
      <c r="E6" s="10" t="s">
        <v>720</v>
      </c>
      <c r="F6" s="0" t="n">
        <v>15</v>
      </c>
      <c r="G6" s="10" t="s">
        <v>829</v>
      </c>
      <c r="J6" s="30" t="n">
        <f aca="false">IF(OR($C6="",$A6=""),"",IF($A6&lt;IFERROR(IF(INDEX(campaigns!$BG$2:$BG$51,MATCH($C6,campaigns!$A$2:$A$51,0))="","",INDEX(campaigns!$BG$2:$BG$51,MATCH($C6,campaigns!$A$2:$A$51,0))),""),0,NETWORKDAYS(IFERROR(IF(INDEX(campaigns!$BG$2:$BG$51,MATCH($C6,campaigns!$A$2:$A$51,0))="","",INDEX(campaigns!$BG$2:$BG$51,MATCH($C6,campaigns!$A$2:$A$51,0))),""),$A6,calendar!$A$2:$A$80)))</f>
        <v>3</v>
      </c>
      <c r="K6" s="30" t="str">
        <f aca="false">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ustomFormat="false" ht="15" hidden="false" customHeight="false" outlineLevel="0" collapsed="false">
      <c r="A7" s="11" t="n">
        <v>46406</v>
      </c>
      <c r="B7" s="38" t="n">
        <v>0.666666666666667</v>
      </c>
      <c r="C7" s="10" t="s">
        <v>472</v>
      </c>
      <c r="D7" s="10" t="s">
        <v>681</v>
      </c>
      <c r="E7" s="10" t="s">
        <v>721</v>
      </c>
      <c r="F7" s="0" t="n">
        <v>7</v>
      </c>
      <c r="G7" s="10" t="s">
        <v>827</v>
      </c>
      <c r="H7" s="10" t="s">
        <v>832</v>
      </c>
      <c r="J7" s="30" t="n">
        <f aca="false">IF(OR($C7="",$A7=""),"",IF($A7&lt;IFERROR(IF(INDEX(campaigns!$BG$2:$BG$51,MATCH($C7,campaigns!$A$2:$A$51,0))="","",INDEX(campaigns!$BG$2:$BG$51,MATCH($C7,campaigns!$A$2:$A$51,0))),""),0,NETWORKDAYS(IFERROR(IF(INDEX(campaigns!$BG$2:$BG$51,MATCH($C7,campaigns!$A$2:$A$51,0))="","",INDEX(campaigns!$BG$2:$BG$51,MATCH($C7,campaigns!$A$2:$A$51,0))),""),$A7,calendar!$A$2:$A$80)))</f>
        <v>5</v>
      </c>
      <c r="K7" s="30" t="str">
        <f aca="false">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ustomFormat="false" ht="15" hidden="false" customHeight="false" outlineLevel="0" collapsed="false">
      <c r="A8" s="11" t="n">
        <v>46399</v>
      </c>
      <c r="B8" s="38" t="n">
        <v>0.381944444444444</v>
      </c>
      <c r="C8" s="10" t="s">
        <v>472</v>
      </c>
      <c r="D8" s="10" t="s">
        <v>683</v>
      </c>
      <c r="E8" s="10" t="s">
        <v>826</v>
      </c>
      <c r="F8" s="0" t="n">
        <v>50</v>
      </c>
      <c r="G8" s="10" t="s">
        <v>827</v>
      </c>
      <c r="H8" s="10" t="s">
        <v>833</v>
      </c>
      <c r="J8" s="30" t="n">
        <f aca="false">IF(OR($C8="",$A8=""),"",IF($A8&lt;IFERROR(IF(INDEX(campaigns!$BG$2:$BG$51,MATCH($C8,campaigns!$A$2:$A$51,0))="","",INDEX(campaigns!$BG$2:$BG$51,MATCH($C8,campaigns!$A$2:$A$51,0))),""),0,NETWORKDAYS(IFERROR(IF(INDEX(campaigns!$BG$2:$BG$51,MATCH($C8,campaigns!$A$2:$A$51,0))="","",INDEX(campaigns!$BG$2:$BG$51,MATCH($C8,campaigns!$A$2:$A$51,0))),""),$A8,calendar!$A$2:$A$80)))</f>
        <v>1</v>
      </c>
      <c r="K8" s="30" t="str">
        <f aca="false">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ustomFormat="false" ht="15" hidden="false" customHeight="false" outlineLevel="0" collapsed="false">
      <c r="A9" s="11" t="n">
        <v>46401</v>
      </c>
      <c r="B9" s="38" t="n">
        <v>0.458333333333333</v>
      </c>
      <c r="C9" s="10" t="s">
        <v>472</v>
      </c>
      <c r="D9" s="10" t="s">
        <v>683</v>
      </c>
      <c r="E9" s="10" t="s">
        <v>720</v>
      </c>
      <c r="F9" s="0" t="n">
        <v>18</v>
      </c>
      <c r="G9" s="10" t="s">
        <v>829</v>
      </c>
      <c r="J9" s="30" t="n">
        <f aca="false">IF(OR($C9="",$A9=""),"",IF($A9&lt;IFERROR(IF(INDEX(campaigns!$BG$2:$BG$51,MATCH($C9,campaigns!$A$2:$A$51,0))="","",INDEX(campaigns!$BG$2:$BG$51,MATCH($C9,campaigns!$A$2:$A$51,0))),""),0,NETWORKDAYS(IFERROR(IF(INDEX(campaigns!$BG$2:$BG$51,MATCH($C9,campaigns!$A$2:$A$51,0))="","",INDEX(campaigns!$BG$2:$BG$51,MATCH($C9,campaigns!$A$2:$A$51,0))),""),$A9,calendar!$A$2:$A$80)))</f>
        <v>3</v>
      </c>
      <c r="K9" s="30" t="str">
        <f aca="false">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ustomFormat="false" ht="15" hidden="false" customHeight="false" outlineLevel="0" collapsed="false">
      <c r="A10" s="11" t="n">
        <v>46406</v>
      </c>
      <c r="B10" s="38" t="n">
        <v>0.666666666666667</v>
      </c>
      <c r="C10" s="10" t="s">
        <v>472</v>
      </c>
      <c r="D10" s="10" t="s">
        <v>683</v>
      </c>
      <c r="E10" s="10" t="s">
        <v>721</v>
      </c>
      <c r="F10" s="0" t="n">
        <v>9</v>
      </c>
      <c r="G10" s="10" t="s">
        <v>827</v>
      </c>
      <c r="H10" s="10" t="s">
        <v>834</v>
      </c>
      <c r="J10" s="30" t="n">
        <f aca="false">IF(OR($C10="",$A10=""),"",IF($A10&lt;IFERROR(IF(INDEX(campaigns!$BG$2:$BG$51,MATCH($C10,campaigns!$A$2:$A$51,0))="","",INDEX(campaigns!$BG$2:$BG$51,MATCH($C10,campaigns!$A$2:$A$51,0))),""),0,NETWORKDAYS(IFERROR(IF(INDEX(campaigns!$BG$2:$BG$51,MATCH($C10,campaigns!$A$2:$A$51,0))="","",INDEX(campaigns!$BG$2:$BG$51,MATCH($C10,campaigns!$A$2:$A$51,0))),""),$A10,calendar!$A$2:$A$80)))</f>
        <v>5</v>
      </c>
      <c r="K10" s="30" t="str">
        <f aca="false">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ustomFormat="false" ht="15" hidden="false" customHeight="false" outlineLevel="0" collapsed="false">
      <c r="A11" s="11" t="n">
        <v>46401</v>
      </c>
      <c r="B11" s="38" t="n">
        <v>0.40625</v>
      </c>
      <c r="C11" s="10" t="s">
        <v>472</v>
      </c>
      <c r="D11" s="10" t="s">
        <v>686</v>
      </c>
      <c r="E11" s="10" t="s">
        <v>826</v>
      </c>
      <c r="F11" s="0" t="n">
        <v>50</v>
      </c>
      <c r="G11" s="10" t="s">
        <v>827</v>
      </c>
      <c r="H11" s="10" t="s">
        <v>835</v>
      </c>
      <c r="J11" s="30" t="n">
        <f aca="false">IF(OR($C11="",$A11=""),"",IF($A11&lt;IFERROR(IF(INDEX(campaigns!$BG$2:$BG$51,MATCH($C11,campaigns!$A$2:$A$51,0))="","",INDEX(campaigns!$BG$2:$BG$51,MATCH($C11,campaigns!$A$2:$A$51,0))),""),0,NETWORKDAYS(IFERROR(IF(INDEX(campaigns!$BG$2:$BG$51,MATCH($C11,campaigns!$A$2:$A$51,0))="","",INDEX(campaigns!$BG$2:$BG$51,MATCH($C11,campaigns!$A$2:$A$51,0))),""),$A11,calendar!$A$2:$A$80)))</f>
        <v>3</v>
      </c>
      <c r="K11" s="30" t="str">
        <f aca="false">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ustomFormat="false" ht="15" hidden="false" customHeight="false" outlineLevel="0" collapsed="false">
      <c r="A12" s="11" t="n">
        <v>46401</v>
      </c>
      <c r="B12" s="38" t="n">
        <v>0.458333333333333</v>
      </c>
      <c r="C12" s="10" t="s">
        <v>472</v>
      </c>
      <c r="D12" s="10" t="s">
        <v>686</v>
      </c>
      <c r="E12" s="10" t="s">
        <v>720</v>
      </c>
      <c r="F12" s="0" t="n">
        <v>41</v>
      </c>
      <c r="G12" s="10" t="s">
        <v>829</v>
      </c>
      <c r="J12" s="30" t="n">
        <f aca="false">IF(OR($C12="",$A12=""),"",IF($A12&lt;IFERROR(IF(INDEX(campaigns!$BG$2:$BG$51,MATCH($C12,campaigns!$A$2:$A$51,0))="","",INDEX(campaigns!$BG$2:$BG$51,MATCH($C12,campaigns!$A$2:$A$51,0))),""),0,NETWORKDAYS(IFERROR(IF(INDEX(campaigns!$BG$2:$BG$51,MATCH($C12,campaigns!$A$2:$A$51,0))="","",INDEX(campaigns!$BG$2:$BG$51,MATCH($C12,campaigns!$A$2:$A$51,0))),""),$A12,calendar!$A$2:$A$80)))</f>
        <v>3</v>
      </c>
      <c r="K12" s="30" t="str">
        <f aca="false">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ustomFormat="false" ht="15" hidden="false" customHeight="false" outlineLevel="0" collapsed="false">
      <c r="A13" s="11" t="n">
        <v>46406</v>
      </c>
      <c r="B13" s="38" t="n">
        <v>0.666666666666667</v>
      </c>
      <c r="C13" s="10" t="s">
        <v>472</v>
      </c>
      <c r="D13" s="10" t="s">
        <v>686</v>
      </c>
      <c r="E13" s="10" t="s">
        <v>721</v>
      </c>
      <c r="F13" s="0" t="n">
        <v>28</v>
      </c>
      <c r="G13" s="10" t="s">
        <v>827</v>
      </c>
      <c r="H13" s="10" t="s">
        <v>836</v>
      </c>
      <c r="J13" s="30" t="n">
        <f aca="false">IF(OR($C13="",$A13=""),"",IF($A13&lt;IFERROR(IF(INDEX(campaigns!$BG$2:$BG$51,MATCH($C13,campaigns!$A$2:$A$51,0))="","",INDEX(campaigns!$BG$2:$BG$51,MATCH($C13,campaigns!$A$2:$A$51,0))),""),0,NETWORKDAYS(IFERROR(IF(INDEX(campaigns!$BG$2:$BG$51,MATCH($C13,campaigns!$A$2:$A$51,0))="","",INDEX(campaigns!$BG$2:$BG$51,MATCH($C13,campaigns!$A$2:$A$51,0))),""),$A13,calendar!$A$2:$A$80)))</f>
        <v>5</v>
      </c>
      <c r="K13" s="30" t="str">
        <f aca="false">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ustomFormat="false" ht="15" hidden="false" customHeight="false" outlineLevel="0" collapsed="false">
      <c r="A14" s="11" t="n">
        <v>46399</v>
      </c>
      <c r="B14" s="38" t="n">
        <v>0.590277777777778</v>
      </c>
      <c r="C14" s="10" t="s">
        <v>472</v>
      </c>
      <c r="D14" s="10" t="s">
        <v>688</v>
      </c>
      <c r="E14" s="10" t="s">
        <v>826</v>
      </c>
      <c r="F14" s="0" t="n">
        <v>70</v>
      </c>
      <c r="G14" s="10" t="s">
        <v>827</v>
      </c>
      <c r="H14" s="10" t="s">
        <v>837</v>
      </c>
      <c r="J14" s="30" t="n">
        <f aca="false">IF(OR($C14="",$A14=""),"",IF($A14&lt;IFERROR(IF(INDEX(campaigns!$BG$2:$BG$51,MATCH($C14,campaigns!$A$2:$A$51,0))="","",INDEX(campaigns!$BG$2:$BG$51,MATCH($C14,campaigns!$A$2:$A$51,0))),""),0,NETWORKDAYS(IFERROR(IF(INDEX(campaigns!$BG$2:$BG$51,MATCH($C14,campaigns!$A$2:$A$51,0))="","",INDEX(campaigns!$BG$2:$BG$51,MATCH($C14,campaigns!$A$2:$A$51,0))),""),$A14,calendar!$A$2:$A$80)))</f>
        <v>1</v>
      </c>
      <c r="K14" s="30" t="str">
        <f aca="false">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ustomFormat="false" ht="15" hidden="false" customHeight="false" outlineLevel="0" collapsed="false">
      <c r="A15" s="11" t="n">
        <v>46401</v>
      </c>
      <c r="B15" s="38" t="n">
        <v>0.458333333333333</v>
      </c>
      <c r="C15" s="10" t="s">
        <v>472</v>
      </c>
      <c r="D15" s="10" t="s">
        <v>688</v>
      </c>
      <c r="E15" s="10" t="s">
        <v>720</v>
      </c>
      <c r="F15" s="0" t="n">
        <v>22</v>
      </c>
      <c r="G15" s="10" t="s">
        <v>829</v>
      </c>
      <c r="J15" s="30" t="n">
        <f aca="false">IF(OR($C15="",$A15=""),"",IF($A15&lt;IFERROR(IF(INDEX(campaigns!$BG$2:$BG$51,MATCH($C15,campaigns!$A$2:$A$51,0))="","",INDEX(campaigns!$BG$2:$BG$51,MATCH($C15,campaigns!$A$2:$A$51,0))),""),0,NETWORKDAYS(IFERROR(IF(INDEX(campaigns!$BG$2:$BG$51,MATCH($C15,campaigns!$A$2:$A$51,0))="","",INDEX(campaigns!$BG$2:$BG$51,MATCH($C15,campaigns!$A$2:$A$51,0))),""),$A15,calendar!$A$2:$A$80)))</f>
        <v>3</v>
      </c>
      <c r="K15" s="30" t="str">
        <f aca="false">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ustomFormat="false" ht="15" hidden="false" customHeight="false" outlineLevel="0" collapsed="false">
      <c r="A16" s="11" t="n">
        <v>46406</v>
      </c>
      <c r="B16" s="38" t="n">
        <v>0.666666666666667</v>
      </c>
      <c r="C16" s="10" t="s">
        <v>472</v>
      </c>
      <c r="D16" s="10" t="s">
        <v>688</v>
      </c>
      <c r="E16" s="10" t="s">
        <v>721</v>
      </c>
      <c r="F16" s="0" t="n">
        <v>8</v>
      </c>
      <c r="G16" s="10" t="s">
        <v>827</v>
      </c>
      <c r="H16" s="10" t="s">
        <v>838</v>
      </c>
      <c r="J16" s="30" t="n">
        <f aca="false">IF(OR($C16="",$A16=""),"",IF($A16&lt;IFERROR(IF(INDEX(campaigns!$BG$2:$BG$51,MATCH($C16,campaigns!$A$2:$A$51,0))="","",INDEX(campaigns!$BG$2:$BG$51,MATCH($C16,campaigns!$A$2:$A$51,0))),""),0,NETWORKDAYS(IFERROR(IF(INDEX(campaigns!$BG$2:$BG$51,MATCH($C16,campaigns!$A$2:$A$51,0))="","",INDEX(campaigns!$BG$2:$BG$51,MATCH($C16,campaigns!$A$2:$A$51,0))),""),$A16,calendar!$A$2:$A$80)))</f>
        <v>5</v>
      </c>
      <c r="K16" s="30" t="str">
        <f aca="false">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ustomFormat="false" ht="15" hidden="false" customHeight="false" outlineLevel="0" collapsed="false">
      <c r="A17" s="11" t="n">
        <v>46399</v>
      </c>
      <c r="B17" s="38" t="n">
        <v>0.356944444444445</v>
      </c>
      <c r="C17" s="10" t="s">
        <v>498</v>
      </c>
      <c r="D17" s="10" t="s">
        <v>678</v>
      </c>
      <c r="E17" s="10" t="s">
        <v>826</v>
      </c>
      <c r="F17" s="0" t="n">
        <v>40</v>
      </c>
      <c r="G17" s="10" t="s">
        <v>827</v>
      </c>
      <c r="H17" s="10" t="s">
        <v>839</v>
      </c>
      <c r="J17" s="30" t="n">
        <f aca="false">IF(OR($C17="",$A17=""),"",IF($A17&lt;IFERROR(IF(INDEX(campaigns!$BG$2:$BG$51,MATCH($C17,campaigns!$A$2:$A$51,0))="","",INDEX(campaigns!$BG$2:$BG$51,MATCH($C17,campaigns!$A$2:$A$51,0))),""),0,NETWORKDAYS(IFERROR(IF(INDEX(campaigns!$BG$2:$BG$51,MATCH($C17,campaigns!$A$2:$A$51,0))="","",INDEX(campaigns!$BG$2:$BG$51,MATCH($C17,campaigns!$A$2:$A$51,0))),""),$A17,calendar!$A$2:$A$80)))</f>
        <v>1</v>
      </c>
      <c r="K17" s="30" t="str">
        <f aca="false">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ustomFormat="false" ht="15" hidden="false" customHeight="false" outlineLevel="0" collapsed="false">
      <c r="A18" s="11" t="n">
        <v>46401</v>
      </c>
      <c r="B18" s="38" t="n">
        <v>0.458333333333333</v>
      </c>
      <c r="C18" s="10" t="s">
        <v>498</v>
      </c>
      <c r="D18" s="10" t="s">
        <v>678</v>
      </c>
      <c r="E18" s="10" t="s">
        <v>720</v>
      </c>
      <c r="F18" s="0" t="n">
        <v>14</v>
      </c>
      <c r="G18" s="10" t="s">
        <v>829</v>
      </c>
      <c r="J18" s="30" t="n">
        <f aca="false">IF(OR($C18="",$A18=""),"",IF($A18&lt;IFERROR(IF(INDEX(campaigns!$BG$2:$BG$51,MATCH($C18,campaigns!$A$2:$A$51,0))="","",INDEX(campaigns!$BG$2:$BG$51,MATCH($C18,campaigns!$A$2:$A$51,0))),""),0,NETWORKDAYS(IFERROR(IF(INDEX(campaigns!$BG$2:$BG$51,MATCH($C18,campaigns!$A$2:$A$51,0))="","",INDEX(campaigns!$BG$2:$BG$51,MATCH($C18,campaigns!$A$2:$A$51,0))),""),$A18,calendar!$A$2:$A$80)))</f>
        <v>3</v>
      </c>
      <c r="K18" s="30" t="str">
        <f aca="false">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ustomFormat="false" ht="15" hidden="false" customHeight="false" outlineLevel="0" collapsed="false">
      <c r="A19" s="11" t="n">
        <v>46406</v>
      </c>
      <c r="B19" s="38" t="n">
        <v>0.666666666666667</v>
      </c>
      <c r="C19" s="10" t="s">
        <v>498</v>
      </c>
      <c r="D19" s="10" t="s">
        <v>678</v>
      </c>
      <c r="E19" s="10" t="s">
        <v>721</v>
      </c>
      <c r="F19" s="0" t="n">
        <v>3</v>
      </c>
      <c r="G19" s="10" t="s">
        <v>792</v>
      </c>
      <c r="J19" s="30" t="n">
        <f aca="false">IF(OR($C19="",$A19=""),"",IF($A19&lt;IFERROR(IF(INDEX(campaigns!$BG$2:$BG$51,MATCH($C19,campaigns!$A$2:$A$51,0))="","",INDEX(campaigns!$BG$2:$BG$51,MATCH($C19,campaigns!$A$2:$A$51,0))),""),0,NETWORKDAYS(IFERROR(IF(INDEX(campaigns!$BG$2:$BG$51,MATCH($C19,campaigns!$A$2:$A$51,0))="","",INDEX(campaigns!$BG$2:$BG$51,MATCH($C19,campaigns!$A$2:$A$51,0))),""),$A19,calendar!$A$2:$A$80)))</f>
        <v>5</v>
      </c>
      <c r="K19" s="30" t="str">
        <f aca="false">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ustomFormat="false" ht="15" hidden="false" customHeight="false" outlineLevel="0" collapsed="false">
      <c r="A20" s="11" t="n">
        <v>46399</v>
      </c>
      <c r="B20" s="38" t="n">
        <v>0.486111111111111</v>
      </c>
      <c r="C20" s="10" t="s">
        <v>498</v>
      </c>
      <c r="D20" s="10" t="s">
        <v>681</v>
      </c>
      <c r="E20" s="10" t="s">
        <v>826</v>
      </c>
      <c r="F20" s="0" t="n">
        <v>40</v>
      </c>
      <c r="G20" s="10" t="s">
        <v>827</v>
      </c>
      <c r="H20" s="10" t="s">
        <v>840</v>
      </c>
      <c r="J20" s="30" t="n">
        <f aca="false">IF(OR($C20="",$A20=""),"",IF($A20&lt;IFERROR(IF(INDEX(campaigns!$BG$2:$BG$51,MATCH($C20,campaigns!$A$2:$A$51,0))="","",INDEX(campaigns!$BG$2:$BG$51,MATCH($C20,campaigns!$A$2:$A$51,0))),""),0,NETWORKDAYS(IFERROR(IF(INDEX(campaigns!$BG$2:$BG$51,MATCH($C20,campaigns!$A$2:$A$51,0))="","",INDEX(campaigns!$BG$2:$BG$51,MATCH($C20,campaigns!$A$2:$A$51,0))),""),$A20,calendar!$A$2:$A$80)))</f>
        <v>1</v>
      </c>
      <c r="K20" s="30" t="str">
        <f aca="false">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ustomFormat="false" ht="15" hidden="false" customHeight="false" outlineLevel="0" collapsed="false">
      <c r="A21" s="11" t="n">
        <v>46401</v>
      </c>
      <c r="B21" s="38" t="n">
        <v>0.458333333333333</v>
      </c>
      <c r="C21" s="10" t="s">
        <v>498</v>
      </c>
      <c r="D21" s="10" t="s">
        <v>681</v>
      </c>
      <c r="E21" s="10" t="s">
        <v>720</v>
      </c>
      <c r="F21" s="0" t="n">
        <v>16</v>
      </c>
      <c r="G21" s="10" t="s">
        <v>829</v>
      </c>
      <c r="J21" s="30" t="n">
        <f aca="false">IF(OR($C21="",$A21=""),"",IF($A21&lt;IFERROR(IF(INDEX(campaigns!$BG$2:$BG$51,MATCH($C21,campaigns!$A$2:$A$51,0))="","",INDEX(campaigns!$BG$2:$BG$51,MATCH($C21,campaigns!$A$2:$A$51,0))),""),0,NETWORKDAYS(IFERROR(IF(INDEX(campaigns!$BG$2:$BG$51,MATCH($C21,campaigns!$A$2:$A$51,0))="","",INDEX(campaigns!$BG$2:$BG$51,MATCH($C21,campaigns!$A$2:$A$51,0))),""),$A21,calendar!$A$2:$A$80)))</f>
        <v>3</v>
      </c>
      <c r="K21" s="30" t="str">
        <f aca="false">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ustomFormat="false" ht="15" hidden="false" customHeight="false" outlineLevel="0" collapsed="false">
      <c r="A22" s="11" t="n">
        <v>46406</v>
      </c>
      <c r="B22" s="38" t="n">
        <v>0.666666666666667</v>
      </c>
      <c r="C22" s="10" t="s">
        <v>498</v>
      </c>
      <c r="D22" s="10" t="s">
        <v>681</v>
      </c>
      <c r="E22" s="10" t="s">
        <v>721</v>
      </c>
      <c r="F22" s="0" t="n">
        <v>4</v>
      </c>
      <c r="G22" s="10" t="s">
        <v>792</v>
      </c>
      <c r="J22" s="30" t="n">
        <f aca="false">IF(OR($C22="",$A22=""),"",IF($A22&lt;IFERROR(IF(INDEX(campaigns!$BG$2:$BG$51,MATCH($C22,campaigns!$A$2:$A$51,0))="","",INDEX(campaigns!$BG$2:$BG$51,MATCH($C22,campaigns!$A$2:$A$51,0))),""),0,NETWORKDAYS(IFERROR(IF(INDEX(campaigns!$BG$2:$BG$51,MATCH($C22,campaigns!$A$2:$A$51,0))="","",INDEX(campaigns!$BG$2:$BG$51,MATCH($C22,campaigns!$A$2:$A$51,0))),""),$A22,calendar!$A$2:$A$80)))</f>
        <v>5</v>
      </c>
      <c r="K22" s="30" t="str">
        <f aca="false">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ustomFormat="false" ht="15" hidden="false" customHeight="false" outlineLevel="0" collapsed="false">
      <c r="A23" s="11" t="n">
        <v>46399</v>
      </c>
      <c r="B23" s="38" t="n">
        <v>0.381944444444444</v>
      </c>
      <c r="C23" s="10" t="s">
        <v>498</v>
      </c>
      <c r="D23" s="10" t="s">
        <v>683</v>
      </c>
      <c r="E23" s="10" t="s">
        <v>826</v>
      </c>
      <c r="F23" s="0" t="n">
        <v>50</v>
      </c>
      <c r="G23" s="10" t="s">
        <v>827</v>
      </c>
      <c r="H23" s="10" t="s">
        <v>841</v>
      </c>
      <c r="J23" s="30" t="n">
        <f aca="false">IF(OR($C23="",$A23=""),"",IF($A23&lt;IFERROR(IF(INDEX(campaigns!$BG$2:$BG$51,MATCH($C23,campaigns!$A$2:$A$51,0))="","",INDEX(campaigns!$BG$2:$BG$51,MATCH($C23,campaigns!$A$2:$A$51,0))),""),0,NETWORKDAYS(IFERROR(IF(INDEX(campaigns!$BG$2:$BG$51,MATCH($C23,campaigns!$A$2:$A$51,0))="","",INDEX(campaigns!$BG$2:$BG$51,MATCH($C23,campaigns!$A$2:$A$51,0))),""),$A23,calendar!$A$2:$A$80)))</f>
        <v>1</v>
      </c>
      <c r="K23" s="30" t="str">
        <f aca="false">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ustomFormat="false" ht="15" hidden="false" customHeight="false" outlineLevel="0" collapsed="false">
      <c r="A24" s="11" t="n">
        <v>46401</v>
      </c>
      <c r="B24" s="38" t="n">
        <v>0.458333333333333</v>
      </c>
      <c r="C24" s="10" t="s">
        <v>498</v>
      </c>
      <c r="D24" s="10" t="s">
        <v>683</v>
      </c>
      <c r="E24" s="10" t="s">
        <v>720</v>
      </c>
      <c r="F24" s="0" t="n">
        <v>3</v>
      </c>
      <c r="G24" s="10" t="s">
        <v>829</v>
      </c>
      <c r="J24" s="30" t="n">
        <f aca="false">IF(OR($C24="",$A24=""),"",IF($A24&lt;IFERROR(IF(INDEX(campaigns!$BG$2:$BG$51,MATCH($C24,campaigns!$A$2:$A$51,0))="","",INDEX(campaigns!$BG$2:$BG$51,MATCH($C24,campaigns!$A$2:$A$51,0))),""),0,NETWORKDAYS(IFERROR(IF(INDEX(campaigns!$BG$2:$BG$51,MATCH($C24,campaigns!$A$2:$A$51,0))="","",INDEX(campaigns!$BG$2:$BG$51,MATCH($C24,campaigns!$A$2:$A$51,0))),""),$A24,calendar!$A$2:$A$80)))</f>
        <v>3</v>
      </c>
      <c r="K24" s="30" t="str">
        <f aca="false">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ustomFormat="false" ht="15" hidden="false" customHeight="false" outlineLevel="0" collapsed="false">
      <c r="A25" s="11" t="n">
        <v>46406</v>
      </c>
      <c r="B25" s="38" t="n">
        <v>0.666666666666667</v>
      </c>
      <c r="C25" s="10" t="s">
        <v>498</v>
      </c>
      <c r="D25" s="10" t="s">
        <v>683</v>
      </c>
      <c r="E25" s="10" t="s">
        <v>721</v>
      </c>
      <c r="F25" s="0" t="n">
        <v>6</v>
      </c>
      <c r="G25" s="10" t="s">
        <v>792</v>
      </c>
      <c r="J25" s="30" t="n">
        <f aca="false">IF(OR($C25="",$A25=""),"",IF($A25&lt;IFERROR(IF(INDEX(campaigns!$BG$2:$BG$51,MATCH($C25,campaigns!$A$2:$A$51,0))="","",INDEX(campaigns!$BG$2:$BG$51,MATCH($C25,campaigns!$A$2:$A$51,0))),""),0,NETWORKDAYS(IFERROR(IF(INDEX(campaigns!$BG$2:$BG$51,MATCH($C25,campaigns!$A$2:$A$51,0))="","",INDEX(campaigns!$BG$2:$BG$51,MATCH($C25,campaigns!$A$2:$A$51,0))),""),$A25,calendar!$A$2:$A$80)))</f>
        <v>5</v>
      </c>
      <c r="K25" s="30" t="str">
        <f aca="false">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ustomFormat="false" ht="15" hidden="false" customHeight="false" outlineLevel="0" collapsed="false">
      <c r="A26" s="11" t="n">
        <v>46400</v>
      </c>
      <c r="B26" s="38" t="n">
        <v>0.378472222222222</v>
      </c>
      <c r="C26" s="10" t="s">
        <v>498</v>
      </c>
      <c r="D26" s="10" t="s">
        <v>686</v>
      </c>
      <c r="E26" s="10" t="s">
        <v>826</v>
      </c>
      <c r="F26" s="0" t="n">
        <v>50</v>
      </c>
      <c r="G26" s="10" t="s">
        <v>827</v>
      </c>
      <c r="H26" s="10" t="s">
        <v>842</v>
      </c>
      <c r="J26" s="30" t="n">
        <f aca="false">IF(OR($C26="",$A26=""),"",IF($A26&lt;IFERROR(IF(INDEX(campaigns!$BG$2:$BG$51,MATCH($C26,campaigns!$A$2:$A$51,0))="","",INDEX(campaigns!$BG$2:$BG$51,MATCH($C26,campaigns!$A$2:$A$51,0))),""),0,NETWORKDAYS(IFERROR(IF(INDEX(campaigns!$BG$2:$BG$51,MATCH($C26,campaigns!$A$2:$A$51,0))="","",INDEX(campaigns!$BG$2:$BG$51,MATCH($C26,campaigns!$A$2:$A$51,0))),""),$A26,calendar!$A$2:$A$80)))</f>
        <v>2</v>
      </c>
      <c r="K26" s="30" t="str">
        <f aca="false">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ustomFormat="false" ht="15" hidden="false" customHeight="false" outlineLevel="0" collapsed="false">
      <c r="A27" s="11" t="n">
        <v>46401</v>
      </c>
      <c r="B27" s="38" t="n">
        <v>0.458333333333333</v>
      </c>
      <c r="C27" s="10" t="s">
        <v>498</v>
      </c>
      <c r="D27" s="10" t="s">
        <v>686</v>
      </c>
      <c r="E27" s="10" t="s">
        <v>720</v>
      </c>
      <c r="F27" s="0" t="n">
        <v>28</v>
      </c>
      <c r="G27" s="10" t="s">
        <v>829</v>
      </c>
      <c r="J27" s="30" t="n">
        <f aca="false">IF(OR($C27="",$A27=""),"",IF($A27&lt;IFERROR(IF(INDEX(campaigns!$BG$2:$BG$51,MATCH($C27,campaigns!$A$2:$A$51,0))="","",INDEX(campaigns!$BG$2:$BG$51,MATCH($C27,campaigns!$A$2:$A$51,0))),""),0,NETWORKDAYS(IFERROR(IF(INDEX(campaigns!$BG$2:$BG$51,MATCH($C27,campaigns!$A$2:$A$51,0))="","",INDEX(campaigns!$BG$2:$BG$51,MATCH($C27,campaigns!$A$2:$A$51,0))),""),$A27,calendar!$A$2:$A$80)))</f>
        <v>3</v>
      </c>
      <c r="K27" s="30" t="str">
        <f aca="false">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ustomFormat="false" ht="15" hidden="false" customHeight="false" outlineLevel="0" collapsed="false">
      <c r="A28" s="11" t="n">
        <v>46406</v>
      </c>
      <c r="B28" s="38" t="n">
        <v>0.666666666666667</v>
      </c>
      <c r="C28" s="10" t="s">
        <v>498</v>
      </c>
      <c r="D28" s="10" t="s">
        <v>686</v>
      </c>
      <c r="E28" s="10" t="s">
        <v>721</v>
      </c>
      <c r="F28" s="0" t="n">
        <v>2</v>
      </c>
      <c r="G28" s="10" t="s">
        <v>792</v>
      </c>
      <c r="J28" s="30" t="n">
        <f aca="false">IF(OR($C28="",$A28=""),"",IF($A28&lt;IFERROR(IF(INDEX(campaigns!$BG$2:$BG$51,MATCH($C28,campaigns!$A$2:$A$51,0))="","",INDEX(campaigns!$BG$2:$BG$51,MATCH($C28,campaigns!$A$2:$A$51,0))),""),0,NETWORKDAYS(IFERROR(IF(INDEX(campaigns!$BG$2:$BG$51,MATCH($C28,campaigns!$A$2:$A$51,0))="","",INDEX(campaigns!$BG$2:$BG$51,MATCH($C28,campaigns!$A$2:$A$51,0))),""),$A28,calendar!$A$2:$A$80)))</f>
        <v>5</v>
      </c>
      <c r="K28" s="30" t="str">
        <f aca="false">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ustomFormat="false" ht="15" hidden="false" customHeight="false" outlineLevel="0" collapsed="false">
      <c r="A29" s="11" t="n">
        <v>46399</v>
      </c>
      <c r="B29" s="38" t="n">
        <v>0.590277777777778</v>
      </c>
      <c r="C29" s="10" t="s">
        <v>498</v>
      </c>
      <c r="D29" s="10" t="s">
        <v>688</v>
      </c>
      <c r="E29" s="10" t="s">
        <v>826</v>
      </c>
      <c r="F29" s="0" t="n">
        <v>70</v>
      </c>
      <c r="G29" s="10" t="s">
        <v>827</v>
      </c>
      <c r="H29" s="10" t="s">
        <v>843</v>
      </c>
      <c r="J29" s="30" t="n">
        <f aca="false">IF(OR($C29="",$A29=""),"",IF($A29&lt;IFERROR(IF(INDEX(campaigns!$BG$2:$BG$51,MATCH($C29,campaigns!$A$2:$A$51,0))="","",INDEX(campaigns!$BG$2:$BG$51,MATCH($C29,campaigns!$A$2:$A$51,0))),""),0,NETWORKDAYS(IFERROR(IF(INDEX(campaigns!$BG$2:$BG$51,MATCH($C29,campaigns!$A$2:$A$51,0))="","",INDEX(campaigns!$BG$2:$BG$51,MATCH($C29,campaigns!$A$2:$A$51,0))),""),$A29,calendar!$A$2:$A$80)))</f>
        <v>1</v>
      </c>
      <c r="K29" s="30" t="str">
        <f aca="false">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ustomFormat="false" ht="15" hidden="false" customHeight="false" outlineLevel="0" collapsed="false">
      <c r="A30" s="11" t="n">
        <v>46401</v>
      </c>
      <c r="B30" s="38" t="n">
        <v>0.458333333333333</v>
      </c>
      <c r="C30" s="10" t="s">
        <v>498</v>
      </c>
      <c r="D30" s="10" t="s">
        <v>688</v>
      </c>
      <c r="E30" s="10" t="s">
        <v>720</v>
      </c>
      <c r="F30" s="0" t="n">
        <v>25</v>
      </c>
      <c r="G30" s="10" t="s">
        <v>829</v>
      </c>
      <c r="J30" s="30" t="n">
        <f aca="false">IF(OR($C30="",$A30=""),"",IF($A30&lt;IFERROR(IF(INDEX(campaigns!$BG$2:$BG$51,MATCH($C30,campaigns!$A$2:$A$51,0))="","",INDEX(campaigns!$BG$2:$BG$51,MATCH($C30,campaigns!$A$2:$A$51,0))),""),0,NETWORKDAYS(IFERROR(IF(INDEX(campaigns!$BG$2:$BG$51,MATCH($C30,campaigns!$A$2:$A$51,0))="","",INDEX(campaigns!$BG$2:$BG$51,MATCH($C30,campaigns!$A$2:$A$51,0))),""),$A30,calendar!$A$2:$A$80)))</f>
        <v>3</v>
      </c>
      <c r="K30" s="30" t="str">
        <f aca="false">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ustomFormat="false" ht="15" hidden="false" customHeight="false" outlineLevel="0" collapsed="false">
      <c r="A31" s="11" t="n">
        <v>46406</v>
      </c>
      <c r="B31" s="38" t="n">
        <v>0.666666666666667</v>
      </c>
      <c r="C31" s="10" t="s">
        <v>498</v>
      </c>
      <c r="D31" s="10" t="s">
        <v>688</v>
      </c>
      <c r="E31" s="10" t="s">
        <v>721</v>
      </c>
      <c r="F31" s="0" t="n">
        <v>3</v>
      </c>
      <c r="G31" s="10" t="s">
        <v>792</v>
      </c>
      <c r="J31" s="30" t="n">
        <f aca="false">IF(OR($C31="",$A31=""),"",IF($A31&lt;IFERROR(IF(INDEX(campaigns!$BG$2:$BG$51,MATCH($C31,campaigns!$A$2:$A$51,0))="","",INDEX(campaigns!$BG$2:$BG$51,MATCH($C31,campaigns!$A$2:$A$51,0))),""),0,NETWORKDAYS(IFERROR(IF(INDEX(campaigns!$BG$2:$BG$51,MATCH($C31,campaigns!$A$2:$A$51,0))="","",INDEX(campaigns!$BG$2:$BG$51,MATCH($C31,campaigns!$A$2:$A$51,0))),""),$A31,calendar!$A$2:$A$80)))</f>
        <v>5</v>
      </c>
      <c r="K31" s="30" t="str">
        <f aca="false">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ustomFormat="false" ht="15" hidden="false" customHeight="false" outlineLevel="0" collapsed="false">
      <c r="A32" s="11" t="n">
        <v>46427</v>
      </c>
      <c r="B32" s="38" t="n">
        <v>0.541666666666667</v>
      </c>
      <c r="C32" s="10" t="s">
        <v>516</v>
      </c>
      <c r="D32" s="10" t="s">
        <v>678</v>
      </c>
      <c r="E32" s="10" t="s">
        <v>826</v>
      </c>
      <c r="F32" s="0" t="n">
        <v>37</v>
      </c>
      <c r="G32" s="10" t="s">
        <v>827</v>
      </c>
      <c r="H32" s="10" t="s">
        <v>844</v>
      </c>
      <c r="J32" s="30" t="n">
        <f aca="false">IF(OR($C32="",$A32=""),"",IF($A32&lt;IFERROR(IF(INDEX(campaigns!$BG$2:$BG$51,MATCH($C32,campaigns!$A$2:$A$51,0))="","",INDEX(campaigns!$BG$2:$BG$51,MATCH($C32,campaigns!$A$2:$A$51,0))),""),0,NETWORKDAYS(IFERROR(IF(INDEX(campaigns!$BG$2:$BG$51,MATCH($C32,campaigns!$A$2:$A$51,0))="","",INDEX(campaigns!$BG$2:$BG$51,MATCH($C32,campaigns!$A$2:$A$51,0))),""),$A32,calendar!$A$2:$A$80)))</f>
        <v>1</v>
      </c>
      <c r="K32" s="30" t="str">
        <f aca="false">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ustomFormat="false" ht="15" hidden="false" customHeight="false" outlineLevel="0" collapsed="false">
      <c r="A33" s="11" t="n">
        <v>46429</v>
      </c>
      <c r="B33" s="38" t="n">
        <v>0.458333333333333</v>
      </c>
      <c r="C33" s="10" t="s">
        <v>516</v>
      </c>
      <c r="D33" s="10" t="s">
        <v>678</v>
      </c>
      <c r="E33" s="10" t="s">
        <v>720</v>
      </c>
      <c r="F33" s="0" t="n">
        <v>13</v>
      </c>
      <c r="G33" s="10" t="s">
        <v>829</v>
      </c>
      <c r="J33" s="30" t="n">
        <f aca="false">IF(OR($C33="",$A33=""),"",IF($A33&lt;IFERROR(IF(INDEX(campaigns!$BG$2:$BG$51,MATCH($C33,campaigns!$A$2:$A$51,0))="","",INDEX(campaigns!$BG$2:$BG$51,MATCH($C33,campaigns!$A$2:$A$51,0))),""),0,NETWORKDAYS(IFERROR(IF(INDEX(campaigns!$BG$2:$BG$51,MATCH($C33,campaigns!$A$2:$A$51,0))="","",INDEX(campaigns!$BG$2:$BG$51,MATCH($C33,campaigns!$A$2:$A$51,0))),""),$A33,calendar!$A$2:$A$80)))</f>
        <v>3</v>
      </c>
      <c r="K33" s="30" t="str">
        <f aca="false">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ustomFormat="false" ht="15" hidden="false" customHeight="false" outlineLevel="0" collapsed="false">
      <c r="A34" s="11" t="n">
        <v>46434</v>
      </c>
      <c r="B34" s="38" t="n">
        <v>0.666666666666667</v>
      </c>
      <c r="C34" s="10" t="s">
        <v>516</v>
      </c>
      <c r="D34" s="10" t="s">
        <v>678</v>
      </c>
      <c r="E34" s="10" t="s">
        <v>721</v>
      </c>
      <c r="F34" s="0" t="n">
        <v>1</v>
      </c>
      <c r="G34" s="10" t="s">
        <v>827</v>
      </c>
      <c r="H34" s="10" t="s">
        <v>845</v>
      </c>
      <c r="J34" s="30" t="n">
        <f aca="false">IF(OR($C34="",$A34=""),"",IF($A34&lt;IFERROR(IF(INDEX(campaigns!$BG$2:$BG$51,MATCH($C34,campaigns!$A$2:$A$51,0))="","",INDEX(campaigns!$BG$2:$BG$51,MATCH($C34,campaigns!$A$2:$A$51,0))),""),0,NETWORKDAYS(IFERROR(IF(INDEX(campaigns!$BG$2:$BG$51,MATCH($C34,campaigns!$A$2:$A$51,0))="","",INDEX(campaigns!$BG$2:$BG$51,MATCH($C34,campaigns!$A$2:$A$51,0))),""),$A34,calendar!$A$2:$A$80)))</f>
        <v>5</v>
      </c>
      <c r="K34" s="30" t="str">
        <f aca="false">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ustomFormat="false" ht="15" hidden="false" customHeight="false" outlineLevel="0" collapsed="false">
      <c r="A35" s="11" t="n">
        <v>46427</v>
      </c>
      <c r="B35" s="38" t="n">
        <v>0.541666666666667</v>
      </c>
      <c r="C35" s="10" t="s">
        <v>516</v>
      </c>
      <c r="D35" s="10" t="s">
        <v>681</v>
      </c>
      <c r="E35" s="10" t="s">
        <v>826</v>
      </c>
      <c r="F35" s="0" t="n">
        <v>37</v>
      </c>
      <c r="G35" s="10" t="s">
        <v>827</v>
      </c>
      <c r="H35" s="10" t="s">
        <v>846</v>
      </c>
      <c r="J35" s="30" t="n">
        <f aca="false">IF(OR($C35="",$A35=""),"",IF($A35&lt;IFERROR(IF(INDEX(campaigns!$BG$2:$BG$51,MATCH($C35,campaigns!$A$2:$A$51,0))="","",INDEX(campaigns!$BG$2:$BG$51,MATCH($C35,campaigns!$A$2:$A$51,0))),""),0,NETWORKDAYS(IFERROR(IF(INDEX(campaigns!$BG$2:$BG$51,MATCH($C35,campaigns!$A$2:$A$51,0))="","",INDEX(campaigns!$BG$2:$BG$51,MATCH($C35,campaigns!$A$2:$A$51,0))),""),$A35,calendar!$A$2:$A$80)))</f>
        <v>1</v>
      </c>
      <c r="K35" s="30" t="str">
        <f aca="false">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ustomFormat="false" ht="15" hidden="false" customHeight="false" outlineLevel="0" collapsed="false">
      <c r="A36" s="11" t="n">
        <v>46429</v>
      </c>
      <c r="B36" s="38" t="n">
        <v>0.458333333333333</v>
      </c>
      <c r="C36" s="10" t="s">
        <v>516</v>
      </c>
      <c r="D36" s="10" t="s">
        <v>681</v>
      </c>
      <c r="E36" s="10" t="s">
        <v>720</v>
      </c>
      <c r="F36" s="0" t="n">
        <v>17</v>
      </c>
      <c r="G36" s="10" t="s">
        <v>829</v>
      </c>
      <c r="J36" s="30" t="n">
        <f aca="false">IF(OR($C36="",$A36=""),"",IF($A36&lt;IFERROR(IF(INDEX(campaigns!$BG$2:$BG$51,MATCH($C36,campaigns!$A$2:$A$51,0))="","",INDEX(campaigns!$BG$2:$BG$51,MATCH($C36,campaigns!$A$2:$A$51,0))),""),0,NETWORKDAYS(IFERROR(IF(INDEX(campaigns!$BG$2:$BG$51,MATCH($C36,campaigns!$A$2:$A$51,0))="","",INDEX(campaigns!$BG$2:$BG$51,MATCH($C36,campaigns!$A$2:$A$51,0))),""),$A36,calendar!$A$2:$A$80)))</f>
        <v>3</v>
      </c>
      <c r="K36" s="30" t="str">
        <f aca="false">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ustomFormat="false" ht="15" hidden="false" customHeight="false" outlineLevel="0" collapsed="false">
      <c r="A37" s="11" t="n">
        <v>46434</v>
      </c>
      <c r="B37" s="38" t="n">
        <v>0.666666666666667</v>
      </c>
      <c r="C37" s="10" t="s">
        <v>516</v>
      </c>
      <c r="D37" s="10" t="s">
        <v>681</v>
      </c>
      <c r="E37" s="10" t="s">
        <v>721</v>
      </c>
      <c r="F37" s="0" t="n">
        <v>2</v>
      </c>
      <c r="G37" s="10" t="s">
        <v>827</v>
      </c>
      <c r="H37" s="10" t="s">
        <v>847</v>
      </c>
      <c r="J37" s="30" t="n">
        <f aca="false">IF(OR($C37="",$A37=""),"",IF($A37&lt;IFERROR(IF(INDEX(campaigns!$BG$2:$BG$51,MATCH($C37,campaigns!$A$2:$A$51,0))="","",INDEX(campaigns!$BG$2:$BG$51,MATCH($C37,campaigns!$A$2:$A$51,0))),""),0,NETWORKDAYS(IFERROR(IF(INDEX(campaigns!$BG$2:$BG$51,MATCH($C37,campaigns!$A$2:$A$51,0))="","",INDEX(campaigns!$BG$2:$BG$51,MATCH($C37,campaigns!$A$2:$A$51,0))),""),$A37,calendar!$A$2:$A$80)))</f>
        <v>5</v>
      </c>
      <c r="K37" s="30" t="str">
        <f aca="false">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ustomFormat="false" ht="15" hidden="false" customHeight="false" outlineLevel="0" collapsed="false">
      <c r="A38" s="11" t="n">
        <v>46427</v>
      </c>
      <c r="B38" s="38" t="n">
        <v>0.541666666666667</v>
      </c>
      <c r="C38" s="10" t="s">
        <v>516</v>
      </c>
      <c r="D38" s="10" t="s">
        <v>683</v>
      </c>
      <c r="E38" s="10" t="s">
        <v>826</v>
      </c>
      <c r="F38" s="0" t="n">
        <v>47</v>
      </c>
      <c r="G38" s="10" t="s">
        <v>827</v>
      </c>
      <c r="H38" s="10" t="s">
        <v>848</v>
      </c>
      <c r="J38" s="30" t="n">
        <f aca="false">IF(OR($C38="",$A38=""),"",IF($A38&lt;IFERROR(IF(INDEX(campaigns!$BG$2:$BG$51,MATCH($C38,campaigns!$A$2:$A$51,0))="","",INDEX(campaigns!$BG$2:$BG$51,MATCH($C38,campaigns!$A$2:$A$51,0))),""),0,NETWORKDAYS(IFERROR(IF(INDEX(campaigns!$BG$2:$BG$51,MATCH($C38,campaigns!$A$2:$A$51,0))="","",INDEX(campaigns!$BG$2:$BG$51,MATCH($C38,campaigns!$A$2:$A$51,0))),""),$A38,calendar!$A$2:$A$80)))</f>
        <v>1</v>
      </c>
      <c r="K38" s="30" t="str">
        <f aca="false">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ustomFormat="false" ht="15" hidden="false" customHeight="false" outlineLevel="0" collapsed="false">
      <c r="A39" s="11" t="n">
        <v>46429</v>
      </c>
      <c r="B39" s="38" t="n">
        <v>0.458333333333333</v>
      </c>
      <c r="C39" s="10" t="s">
        <v>516</v>
      </c>
      <c r="D39" s="10" t="s">
        <v>683</v>
      </c>
      <c r="E39" s="10" t="s">
        <v>720</v>
      </c>
      <c r="F39" s="0" t="n">
        <v>20</v>
      </c>
      <c r="G39" s="10" t="s">
        <v>829</v>
      </c>
      <c r="J39" s="30" t="n">
        <f aca="false">IF(OR($C39="",$A39=""),"",IF($A39&lt;IFERROR(IF(INDEX(campaigns!$BG$2:$BG$51,MATCH($C39,campaigns!$A$2:$A$51,0))="","",INDEX(campaigns!$BG$2:$BG$51,MATCH($C39,campaigns!$A$2:$A$51,0))),""),0,NETWORKDAYS(IFERROR(IF(INDEX(campaigns!$BG$2:$BG$51,MATCH($C39,campaigns!$A$2:$A$51,0))="","",INDEX(campaigns!$BG$2:$BG$51,MATCH($C39,campaigns!$A$2:$A$51,0))),""),$A39,calendar!$A$2:$A$80)))</f>
        <v>3</v>
      </c>
      <c r="K39" s="30" t="str">
        <f aca="false">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ustomFormat="false" ht="15" hidden="false" customHeight="false" outlineLevel="0" collapsed="false">
      <c r="A40" s="11" t="n">
        <v>46434</v>
      </c>
      <c r="B40" s="38" t="n">
        <v>0.666666666666667</v>
      </c>
      <c r="C40" s="10" t="s">
        <v>516</v>
      </c>
      <c r="D40" s="10" t="s">
        <v>683</v>
      </c>
      <c r="E40" s="10" t="s">
        <v>721</v>
      </c>
      <c r="F40" s="0" t="n">
        <v>4</v>
      </c>
      <c r="G40" s="10" t="s">
        <v>827</v>
      </c>
      <c r="H40" s="10" t="s">
        <v>849</v>
      </c>
      <c r="J40" s="30" t="n">
        <f aca="false">IF(OR($C40="",$A40=""),"",IF($A40&lt;IFERROR(IF(INDEX(campaigns!$BG$2:$BG$51,MATCH($C40,campaigns!$A$2:$A$51,0))="","",INDEX(campaigns!$BG$2:$BG$51,MATCH($C40,campaigns!$A$2:$A$51,0))),""),0,NETWORKDAYS(IFERROR(IF(INDEX(campaigns!$BG$2:$BG$51,MATCH($C40,campaigns!$A$2:$A$51,0))="","",INDEX(campaigns!$BG$2:$BG$51,MATCH($C40,campaigns!$A$2:$A$51,0))),""),$A40,calendar!$A$2:$A$80)))</f>
        <v>5</v>
      </c>
      <c r="K40" s="30" t="str">
        <f aca="false">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ustomFormat="false" ht="15" hidden="false" customHeight="false" outlineLevel="0" collapsed="false">
      <c r="A41" s="11" t="n">
        <v>46428</v>
      </c>
      <c r="B41" s="38" t="n">
        <v>0.395833333333333</v>
      </c>
      <c r="C41" s="10" t="s">
        <v>516</v>
      </c>
      <c r="D41" s="10" t="s">
        <v>686</v>
      </c>
      <c r="E41" s="10" t="s">
        <v>826</v>
      </c>
      <c r="F41" s="0" t="n">
        <v>47</v>
      </c>
      <c r="G41" s="10" t="s">
        <v>827</v>
      </c>
      <c r="H41" s="10" t="s">
        <v>850</v>
      </c>
      <c r="J41" s="30" t="n">
        <f aca="false">IF(OR($C41="",$A41=""),"",IF($A41&lt;IFERROR(IF(INDEX(campaigns!$BG$2:$BG$51,MATCH($C41,campaigns!$A$2:$A$51,0))="","",INDEX(campaigns!$BG$2:$BG$51,MATCH($C41,campaigns!$A$2:$A$51,0))),""),0,NETWORKDAYS(IFERROR(IF(INDEX(campaigns!$BG$2:$BG$51,MATCH($C41,campaigns!$A$2:$A$51,0))="","",INDEX(campaigns!$BG$2:$BG$51,MATCH($C41,campaigns!$A$2:$A$51,0))),""),$A41,calendar!$A$2:$A$80)))</f>
        <v>2</v>
      </c>
      <c r="K41" s="30" t="str">
        <f aca="false">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ustomFormat="false" ht="15" hidden="false" customHeight="false" outlineLevel="0" collapsed="false">
      <c r="A42" s="11" t="n">
        <v>46429</v>
      </c>
      <c r="B42" s="38" t="n">
        <v>0.458333333333333</v>
      </c>
      <c r="C42" s="10" t="s">
        <v>516</v>
      </c>
      <c r="D42" s="10" t="s">
        <v>686</v>
      </c>
      <c r="E42" s="10" t="s">
        <v>720</v>
      </c>
      <c r="F42" s="0" t="n">
        <v>12</v>
      </c>
      <c r="G42" s="10" t="s">
        <v>829</v>
      </c>
      <c r="J42" s="30" t="n">
        <f aca="false">IF(OR($C42="",$A42=""),"",IF($A42&lt;IFERROR(IF(INDEX(campaigns!$BG$2:$BG$51,MATCH($C42,campaigns!$A$2:$A$51,0))="","",INDEX(campaigns!$BG$2:$BG$51,MATCH($C42,campaigns!$A$2:$A$51,0))),""),0,NETWORKDAYS(IFERROR(IF(INDEX(campaigns!$BG$2:$BG$51,MATCH($C42,campaigns!$A$2:$A$51,0))="","",INDEX(campaigns!$BG$2:$BG$51,MATCH($C42,campaigns!$A$2:$A$51,0))),""),$A42,calendar!$A$2:$A$80)))</f>
        <v>3</v>
      </c>
      <c r="K42" s="30" t="str">
        <f aca="false">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ustomFormat="false" ht="15" hidden="false" customHeight="false" outlineLevel="0" collapsed="false">
      <c r="A43" s="11" t="n">
        <v>46434</v>
      </c>
      <c r="B43" s="38" t="n">
        <v>0.666666666666667</v>
      </c>
      <c r="C43" s="10" t="s">
        <v>516</v>
      </c>
      <c r="D43" s="10" t="s">
        <v>686</v>
      </c>
      <c r="E43" s="10" t="s">
        <v>721</v>
      </c>
      <c r="F43" s="0" t="n">
        <v>3</v>
      </c>
      <c r="G43" s="10" t="s">
        <v>827</v>
      </c>
      <c r="H43" s="10" t="s">
        <v>851</v>
      </c>
      <c r="J43" s="30" t="n">
        <f aca="false">IF(OR($C43="",$A43=""),"",IF($A43&lt;IFERROR(IF(INDEX(campaigns!$BG$2:$BG$51,MATCH($C43,campaigns!$A$2:$A$51,0))="","",INDEX(campaigns!$BG$2:$BG$51,MATCH($C43,campaigns!$A$2:$A$51,0))),""),0,NETWORKDAYS(IFERROR(IF(INDEX(campaigns!$BG$2:$BG$51,MATCH($C43,campaigns!$A$2:$A$51,0))="","",INDEX(campaigns!$BG$2:$BG$51,MATCH($C43,campaigns!$A$2:$A$51,0))),""),$A43,calendar!$A$2:$A$80)))</f>
        <v>5</v>
      </c>
      <c r="K43" s="30" t="str">
        <f aca="false">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ustomFormat="false" ht="15" hidden="false" customHeight="false" outlineLevel="0" collapsed="false">
      <c r="A44" s="11" t="n">
        <v>46427</v>
      </c>
      <c r="B44" s="38" t="n">
        <v>0.541666666666667</v>
      </c>
      <c r="C44" s="10" t="s">
        <v>516</v>
      </c>
      <c r="D44" s="10" t="s">
        <v>688</v>
      </c>
      <c r="E44" s="10" t="s">
        <v>826</v>
      </c>
      <c r="F44" s="0" t="n">
        <v>67</v>
      </c>
      <c r="G44" s="10" t="s">
        <v>827</v>
      </c>
      <c r="H44" s="10" t="s">
        <v>852</v>
      </c>
      <c r="J44" s="30" t="n">
        <f aca="false">IF(OR($C44="",$A44=""),"",IF($A44&lt;IFERROR(IF(INDEX(campaigns!$BG$2:$BG$51,MATCH($C44,campaigns!$A$2:$A$51,0))="","",INDEX(campaigns!$BG$2:$BG$51,MATCH($C44,campaigns!$A$2:$A$51,0))),""),0,NETWORKDAYS(IFERROR(IF(INDEX(campaigns!$BG$2:$BG$51,MATCH($C44,campaigns!$A$2:$A$51,0))="","",INDEX(campaigns!$BG$2:$BG$51,MATCH($C44,campaigns!$A$2:$A$51,0))),""),$A44,calendar!$A$2:$A$80)))</f>
        <v>1</v>
      </c>
      <c r="K44" s="30" t="str">
        <f aca="false">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ustomFormat="false" ht="15" hidden="false" customHeight="false" outlineLevel="0" collapsed="false">
      <c r="A45" s="11" t="n">
        <v>46429</v>
      </c>
      <c r="B45" s="38" t="n">
        <v>0.458333333333333</v>
      </c>
      <c r="C45" s="10" t="s">
        <v>516</v>
      </c>
      <c r="D45" s="10" t="s">
        <v>688</v>
      </c>
      <c r="E45" s="10" t="s">
        <v>720</v>
      </c>
      <c r="F45" s="0" t="n">
        <v>17</v>
      </c>
      <c r="G45" s="10" t="s">
        <v>829</v>
      </c>
      <c r="J45" s="30" t="n">
        <f aca="false">IF(OR($C45="",$A45=""),"",IF($A45&lt;IFERROR(IF(INDEX(campaigns!$BG$2:$BG$51,MATCH($C45,campaigns!$A$2:$A$51,0))="","",INDEX(campaigns!$BG$2:$BG$51,MATCH($C45,campaigns!$A$2:$A$51,0))),""),0,NETWORKDAYS(IFERROR(IF(INDEX(campaigns!$BG$2:$BG$51,MATCH($C45,campaigns!$A$2:$A$51,0))="","",INDEX(campaigns!$BG$2:$BG$51,MATCH($C45,campaigns!$A$2:$A$51,0))),""),$A45,calendar!$A$2:$A$80)))</f>
        <v>3</v>
      </c>
      <c r="K45" s="30" t="str">
        <f aca="false">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ustomFormat="false" ht="15" hidden="false" customHeight="false" outlineLevel="0" collapsed="false">
      <c r="A46" s="11" t="n">
        <v>46434</v>
      </c>
      <c r="B46" s="38" t="n">
        <v>0.666666666666667</v>
      </c>
      <c r="C46" s="10" t="s">
        <v>516</v>
      </c>
      <c r="D46" s="10" t="s">
        <v>688</v>
      </c>
      <c r="E46" s="10" t="s">
        <v>721</v>
      </c>
      <c r="F46" s="0" t="n">
        <v>4</v>
      </c>
      <c r="G46" s="10" t="s">
        <v>827</v>
      </c>
      <c r="H46" s="10" t="s">
        <v>853</v>
      </c>
      <c r="J46" s="30" t="n">
        <f aca="false">IF(OR($C46="",$A46=""),"",IF($A46&lt;IFERROR(IF(INDEX(campaigns!$BG$2:$BG$51,MATCH($C46,campaigns!$A$2:$A$51,0))="","",INDEX(campaigns!$BG$2:$BG$51,MATCH($C46,campaigns!$A$2:$A$51,0))),""),0,NETWORKDAYS(IFERROR(IF(INDEX(campaigns!$BG$2:$BG$51,MATCH($C46,campaigns!$A$2:$A$51,0))="","",INDEX(campaigns!$BG$2:$BG$51,MATCH($C46,campaigns!$A$2:$A$51,0))),""),$A46,calendar!$A$2:$A$80)))</f>
        <v>5</v>
      </c>
      <c r="K46" s="30" t="str">
        <f aca="false">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ustomFormat="false" ht="15" hidden="false" customHeight="false" outlineLevel="0" collapsed="false">
      <c r="A47" s="11" t="n">
        <v>46427</v>
      </c>
      <c r="B47" s="38" t="n">
        <v>0.541666666666667</v>
      </c>
      <c r="C47" s="10" t="s">
        <v>516</v>
      </c>
      <c r="D47" s="10" t="s">
        <v>690</v>
      </c>
      <c r="E47" s="10" t="s">
        <v>826</v>
      </c>
      <c r="F47" s="0" t="n">
        <v>42</v>
      </c>
      <c r="G47" s="10" t="s">
        <v>827</v>
      </c>
      <c r="H47" s="10" t="s">
        <v>854</v>
      </c>
      <c r="J47" s="30" t="n">
        <f aca="false">IF(OR($C47="",$A47=""),"",IF($A47&lt;IFERROR(IF(INDEX(campaigns!$BG$2:$BG$51,MATCH($C47,campaigns!$A$2:$A$51,0))="","",INDEX(campaigns!$BG$2:$BG$51,MATCH($C47,campaigns!$A$2:$A$51,0))),""),0,NETWORKDAYS(IFERROR(IF(INDEX(campaigns!$BG$2:$BG$51,MATCH($C47,campaigns!$A$2:$A$51,0))="","",INDEX(campaigns!$BG$2:$BG$51,MATCH($C47,campaigns!$A$2:$A$51,0))),""),$A47,calendar!$A$2:$A$80)))</f>
        <v>1</v>
      </c>
      <c r="K47" s="30" t="str">
        <f aca="false">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ustomFormat="false" ht="15" hidden="false" customHeight="false" outlineLevel="0" collapsed="false">
      <c r="A48" s="11" t="n">
        <v>46429</v>
      </c>
      <c r="B48" s="38" t="n">
        <v>0.458333333333333</v>
      </c>
      <c r="C48" s="10" t="s">
        <v>516</v>
      </c>
      <c r="D48" s="10" t="s">
        <v>690</v>
      </c>
      <c r="E48" s="10" t="s">
        <v>720</v>
      </c>
      <c r="F48" s="0" t="n">
        <v>11</v>
      </c>
      <c r="G48" s="10" t="s">
        <v>829</v>
      </c>
      <c r="J48" s="30" t="n">
        <f aca="false">IF(OR($C48="",$A48=""),"",IF($A48&lt;IFERROR(IF(INDEX(campaigns!$BG$2:$BG$51,MATCH($C48,campaigns!$A$2:$A$51,0))="","",INDEX(campaigns!$BG$2:$BG$51,MATCH($C48,campaigns!$A$2:$A$51,0))),""),0,NETWORKDAYS(IFERROR(IF(INDEX(campaigns!$BG$2:$BG$51,MATCH($C48,campaigns!$A$2:$A$51,0))="","",INDEX(campaigns!$BG$2:$BG$51,MATCH($C48,campaigns!$A$2:$A$51,0))),""),$A48,calendar!$A$2:$A$80)))</f>
        <v>3</v>
      </c>
      <c r="K48" s="30" t="str">
        <f aca="false">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ustomFormat="false" ht="15" hidden="false" customHeight="false" outlineLevel="0" collapsed="false">
      <c r="A49" s="11" t="n">
        <v>46434</v>
      </c>
      <c r="B49" s="38" t="n">
        <v>0.666666666666667</v>
      </c>
      <c r="C49" s="10" t="s">
        <v>516</v>
      </c>
      <c r="D49" s="10" t="s">
        <v>690</v>
      </c>
      <c r="E49" s="10" t="s">
        <v>721</v>
      </c>
      <c r="F49" s="0" t="n">
        <v>1</v>
      </c>
      <c r="G49" s="10" t="s">
        <v>827</v>
      </c>
      <c r="H49" s="10" t="s">
        <v>855</v>
      </c>
      <c r="J49" s="30" t="n">
        <f aca="false">IF(OR($C49="",$A49=""),"",IF($A49&lt;IFERROR(IF(INDEX(campaigns!$BG$2:$BG$51,MATCH($C49,campaigns!$A$2:$A$51,0))="","",INDEX(campaigns!$BG$2:$BG$51,MATCH($C49,campaigns!$A$2:$A$51,0))),""),0,NETWORKDAYS(IFERROR(IF(INDEX(campaigns!$BG$2:$BG$51,MATCH($C49,campaigns!$A$2:$A$51,0))="","",INDEX(campaigns!$BG$2:$BG$51,MATCH($C49,campaigns!$A$2:$A$51,0))),""),$A49,calendar!$A$2:$A$80)))</f>
        <v>5</v>
      </c>
      <c r="K49" s="30" t="str">
        <f aca="false">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ustomFormat="false" ht="15" hidden="false" customHeight="false" outlineLevel="0" collapsed="false">
      <c r="A50" s="11" t="n">
        <v>46427</v>
      </c>
      <c r="B50" s="38" t="n">
        <v>0.541666666666667</v>
      </c>
      <c r="C50" s="10" t="s">
        <v>516</v>
      </c>
      <c r="D50" s="10" t="s">
        <v>692</v>
      </c>
      <c r="E50" s="10" t="s">
        <v>826</v>
      </c>
      <c r="F50" s="0" t="n">
        <v>57</v>
      </c>
      <c r="G50" s="10" t="s">
        <v>827</v>
      </c>
      <c r="H50" s="10" t="s">
        <v>856</v>
      </c>
      <c r="J50" s="30" t="n">
        <f aca="false">IF(OR($C50="",$A50=""),"",IF($A50&lt;IFERROR(IF(INDEX(campaigns!$BG$2:$BG$51,MATCH($C50,campaigns!$A$2:$A$51,0))="","",INDEX(campaigns!$BG$2:$BG$51,MATCH($C50,campaigns!$A$2:$A$51,0))),""),0,NETWORKDAYS(IFERROR(IF(INDEX(campaigns!$BG$2:$BG$51,MATCH($C50,campaigns!$A$2:$A$51,0))="","",INDEX(campaigns!$BG$2:$BG$51,MATCH($C50,campaigns!$A$2:$A$51,0))),""),$A50,calendar!$A$2:$A$80)))</f>
        <v>1</v>
      </c>
      <c r="K50" s="30" t="str">
        <f aca="false">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ustomFormat="false" ht="15" hidden="false" customHeight="false" outlineLevel="0" collapsed="false">
      <c r="A51" s="11" t="n">
        <v>46429</v>
      </c>
      <c r="B51" s="38" t="n">
        <v>0.458333333333333</v>
      </c>
      <c r="C51" s="10" t="s">
        <v>516</v>
      </c>
      <c r="D51" s="10" t="s">
        <v>692</v>
      </c>
      <c r="E51" s="10" t="s">
        <v>720</v>
      </c>
      <c r="F51" s="0" t="n">
        <v>22</v>
      </c>
      <c r="G51" s="10" t="s">
        <v>829</v>
      </c>
      <c r="J51" s="30" t="n">
        <f aca="false">IF(OR($C51="",$A51=""),"",IF($A51&lt;IFERROR(IF(INDEX(campaigns!$BG$2:$BG$51,MATCH($C51,campaigns!$A$2:$A$51,0))="","",INDEX(campaigns!$BG$2:$BG$51,MATCH($C51,campaigns!$A$2:$A$51,0))),""),0,NETWORKDAYS(IFERROR(IF(INDEX(campaigns!$BG$2:$BG$51,MATCH($C51,campaigns!$A$2:$A$51,0))="","",INDEX(campaigns!$BG$2:$BG$51,MATCH($C51,campaigns!$A$2:$A$51,0))),""),$A51,calendar!$A$2:$A$80)))</f>
        <v>3</v>
      </c>
      <c r="K51" s="30" t="str">
        <f aca="false">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ustomFormat="false" ht="15" hidden="false" customHeight="false" outlineLevel="0" collapsed="false">
      <c r="A52" s="11" t="n">
        <v>46434</v>
      </c>
      <c r="B52" s="38" t="n">
        <v>0.666666666666667</v>
      </c>
      <c r="C52" s="10" t="s">
        <v>516</v>
      </c>
      <c r="D52" s="10" t="s">
        <v>692</v>
      </c>
      <c r="E52" s="10" t="s">
        <v>721</v>
      </c>
      <c r="F52" s="0" t="n">
        <v>8</v>
      </c>
      <c r="G52" s="10" t="s">
        <v>827</v>
      </c>
      <c r="H52" s="10" t="s">
        <v>857</v>
      </c>
      <c r="J52" s="30" t="n">
        <f aca="false">IF(OR($C52="",$A52=""),"",IF($A52&lt;IFERROR(IF(INDEX(campaigns!$BG$2:$BG$51,MATCH($C52,campaigns!$A$2:$A$51,0))="","",INDEX(campaigns!$BG$2:$BG$51,MATCH($C52,campaigns!$A$2:$A$51,0))),""),0,NETWORKDAYS(IFERROR(IF(INDEX(campaigns!$BG$2:$BG$51,MATCH($C52,campaigns!$A$2:$A$51,0))="","",INDEX(campaigns!$BG$2:$BG$51,MATCH($C52,campaigns!$A$2:$A$51,0))),""),$A52,calendar!$A$2:$A$80)))</f>
        <v>5</v>
      </c>
      <c r="K52" s="30" t="str">
        <f aca="false">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ustomFormat="false" ht="15" hidden="false" customHeight="false" outlineLevel="0" collapsed="false">
      <c r="A53" s="11" t="n">
        <v>46427</v>
      </c>
      <c r="B53" s="38" t="n">
        <v>0.541666666666667</v>
      </c>
      <c r="C53" s="10" t="s">
        <v>516</v>
      </c>
      <c r="D53" s="10" t="s">
        <v>694</v>
      </c>
      <c r="E53" s="10" t="s">
        <v>826</v>
      </c>
      <c r="F53" s="0" t="n">
        <v>42</v>
      </c>
      <c r="G53" s="10" t="s">
        <v>827</v>
      </c>
      <c r="H53" s="10" t="s">
        <v>858</v>
      </c>
      <c r="J53" s="30" t="n">
        <f aca="false">IF(OR($C53="",$A53=""),"",IF($A53&lt;IFERROR(IF(INDEX(campaigns!$BG$2:$BG$51,MATCH($C53,campaigns!$A$2:$A$51,0))="","",INDEX(campaigns!$BG$2:$BG$51,MATCH($C53,campaigns!$A$2:$A$51,0))),""),0,NETWORKDAYS(IFERROR(IF(INDEX(campaigns!$BG$2:$BG$51,MATCH($C53,campaigns!$A$2:$A$51,0))="","",INDEX(campaigns!$BG$2:$BG$51,MATCH($C53,campaigns!$A$2:$A$51,0))),""),$A53,calendar!$A$2:$A$80)))</f>
        <v>1</v>
      </c>
      <c r="K53" s="30" t="str">
        <f aca="false">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ustomFormat="false" ht="15" hidden="false" customHeight="false" outlineLevel="0" collapsed="false">
      <c r="A54" s="11" t="n">
        <v>46429</v>
      </c>
      <c r="B54" s="38" t="n">
        <v>0.458333333333333</v>
      </c>
      <c r="C54" s="10" t="s">
        <v>516</v>
      </c>
      <c r="D54" s="10" t="s">
        <v>694</v>
      </c>
      <c r="E54" s="10" t="s">
        <v>720</v>
      </c>
      <c r="F54" s="0" t="n">
        <v>12</v>
      </c>
      <c r="G54" s="10" t="s">
        <v>829</v>
      </c>
      <c r="J54" s="30" t="n">
        <f aca="false">IF(OR($C54="",$A54=""),"",IF($A54&lt;IFERROR(IF(INDEX(campaigns!$BG$2:$BG$51,MATCH($C54,campaigns!$A$2:$A$51,0))="","",INDEX(campaigns!$BG$2:$BG$51,MATCH($C54,campaigns!$A$2:$A$51,0))),""),0,NETWORKDAYS(IFERROR(IF(INDEX(campaigns!$BG$2:$BG$51,MATCH($C54,campaigns!$A$2:$A$51,0))="","",INDEX(campaigns!$BG$2:$BG$51,MATCH($C54,campaigns!$A$2:$A$51,0))),""),$A54,calendar!$A$2:$A$80)))</f>
        <v>3</v>
      </c>
      <c r="K54" s="30" t="str">
        <f aca="false">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ustomFormat="false" ht="15" hidden="false" customHeight="false" outlineLevel="0" collapsed="false">
      <c r="A55" s="11" t="n">
        <v>46434</v>
      </c>
      <c r="B55" s="38" t="n">
        <v>0.666666666666667</v>
      </c>
      <c r="C55" s="10" t="s">
        <v>516</v>
      </c>
      <c r="D55" s="10" t="s">
        <v>694</v>
      </c>
      <c r="E55" s="10" t="s">
        <v>721</v>
      </c>
      <c r="F55" s="0" t="n">
        <v>2</v>
      </c>
      <c r="G55" s="10" t="s">
        <v>827</v>
      </c>
      <c r="H55" s="10" t="s">
        <v>859</v>
      </c>
      <c r="J55" s="30" t="n">
        <f aca="false">IF(OR($C55="",$A55=""),"",IF($A55&lt;IFERROR(IF(INDEX(campaigns!$BG$2:$BG$51,MATCH($C55,campaigns!$A$2:$A$51,0))="","",INDEX(campaigns!$BG$2:$BG$51,MATCH($C55,campaigns!$A$2:$A$51,0))),""),0,NETWORKDAYS(IFERROR(IF(INDEX(campaigns!$BG$2:$BG$51,MATCH($C55,campaigns!$A$2:$A$51,0))="","",INDEX(campaigns!$BG$2:$BG$51,MATCH($C55,campaigns!$A$2:$A$51,0))),""),$A55,calendar!$A$2:$A$80)))</f>
        <v>5</v>
      </c>
      <c r="K55" s="30" t="str">
        <f aca="false">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ustomFormat="false" ht="15" hidden="false" customHeight="false" outlineLevel="0" collapsed="false">
      <c r="A56" s="11" t="n">
        <v>46428</v>
      </c>
      <c r="B56" s="38" t="n">
        <v>0.381944444444444</v>
      </c>
      <c r="C56" s="10" t="s">
        <v>516</v>
      </c>
      <c r="D56" s="10" t="s">
        <v>696</v>
      </c>
      <c r="E56" s="10" t="s">
        <v>826</v>
      </c>
      <c r="F56" s="0" t="n">
        <v>72</v>
      </c>
      <c r="G56" s="10" t="s">
        <v>827</v>
      </c>
      <c r="H56" s="10" t="s">
        <v>860</v>
      </c>
      <c r="J56" s="30" t="n">
        <f aca="false">IF(OR($C56="",$A56=""),"",IF($A56&lt;IFERROR(IF(INDEX(campaigns!$BG$2:$BG$51,MATCH($C56,campaigns!$A$2:$A$51,0))="","",INDEX(campaigns!$BG$2:$BG$51,MATCH($C56,campaigns!$A$2:$A$51,0))),""),0,NETWORKDAYS(IFERROR(IF(INDEX(campaigns!$BG$2:$BG$51,MATCH($C56,campaigns!$A$2:$A$51,0))="","",INDEX(campaigns!$BG$2:$BG$51,MATCH($C56,campaigns!$A$2:$A$51,0))),""),$A56,calendar!$A$2:$A$80)))</f>
        <v>2</v>
      </c>
      <c r="K56" s="30" t="str">
        <f aca="false">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ustomFormat="false" ht="15" hidden="false" customHeight="false" outlineLevel="0" collapsed="false">
      <c r="A57" s="11" t="n">
        <v>46429</v>
      </c>
      <c r="B57" s="38" t="n">
        <v>0.458333333333333</v>
      </c>
      <c r="C57" s="10" t="s">
        <v>516</v>
      </c>
      <c r="D57" s="10" t="s">
        <v>696</v>
      </c>
      <c r="E57" s="10" t="s">
        <v>720</v>
      </c>
      <c r="F57" s="0" t="n">
        <v>33</v>
      </c>
      <c r="G57" s="10" t="s">
        <v>829</v>
      </c>
      <c r="J57" s="30" t="n">
        <f aca="false">IF(OR($C57="",$A57=""),"",IF($A57&lt;IFERROR(IF(INDEX(campaigns!$BG$2:$BG$51,MATCH($C57,campaigns!$A$2:$A$51,0))="","",INDEX(campaigns!$BG$2:$BG$51,MATCH($C57,campaigns!$A$2:$A$51,0))),""),0,NETWORKDAYS(IFERROR(IF(INDEX(campaigns!$BG$2:$BG$51,MATCH($C57,campaigns!$A$2:$A$51,0))="","",INDEX(campaigns!$BG$2:$BG$51,MATCH($C57,campaigns!$A$2:$A$51,0))),""),$A57,calendar!$A$2:$A$80)))</f>
        <v>3</v>
      </c>
      <c r="K57" s="30" t="str">
        <f aca="false">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ustomFormat="false" ht="15" hidden="false" customHeight="false" outlineLevel="0" collapsed="false">
      <c r="A58" s="11" t="n">
        <v>46434</v>
      </c>
      <c r="B58" s="38" t="n">
        <v>0.666666666666667</v>
      </c>
      <c r="C58" s="10" t="s">
        <v>516</v>
      </c>
      <c r="D58" s="10" t="s">
        <v>696</v>
      </c>
      <c r="E58" s="10" t="s">
        <v>721</v>
      </c>
      <c r="F58" s="0" t="n">
        <v>14</v>
      </c>
      <c r="G58" s="10" t="s">
        <v>827</v>
      </c>
      <c r="H58" s="10" t="s">
        <v>861</v>
      </c>
      <c r="J58" s="30" t="n">
        <f aca="false">IF(OR($C58="",$A58=""),"",IF($A58&lt;IFERROR(IF(INDEX(campaigns!$BG$2:$BG$51,MATCH($C58,campaigns!$A$2:$A$51,0))="","",INDEX(campaigns!$BG$2:$BG$51,MATCH($C58,campaigns!$A$2:$A$51,0))),""),0,NETWORKDAYS(IFERROR(IF(INDEX(campaigns!$BG$2:$BG$51,MATCH($C58,campaigns!$A$2:$A$51,0))="","",INDEX(campaigns!$BG$2:$BG$51,MATCH($C58,campaigns!$A$2:$A$51,0))),""),$A58,calendar!$A$2:$A$80)))</f>
        <v>5</v>
      </c>
      <c r="K58" s="30" t="str">
        <f aca="false">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ustomFormat="false" ht="15" hidden="false" customHeight="false" outlineLevel="0" collapsed="false">
      <c r="A59" s="11" t="n">
        <v>46427</v>
      </c>
      <c r="B59" s="38" t="n">
        <v>0.541666666666667</v>
      </c>
      <c r="C59" s="10" t="s">
        <v>516</v>
      </c>
      <c r="D59" s="10" t="s">
        <v>698</v>
      </c>
      <c r="E59" s="10" t="s">
        <v>826</v>
      </c>
      <c r="F59" s="0" t="n">
        <v>37</v>
      </c>
      <c r="G59" s="10" t="s">
        <v>827</v>
      </c>
      <c r="H59" s="10" t="s">
        <v>862</v>
      </c>
      <c r="J59" s="30" t="n">
        <f aca="false">IF(OR($C59="",$A59=""),"",IF($A59&lt;IFERROR(IF(INDEX(campaigns!$BG$2:$BG$51,MATCH($C59,campaigns!$A$2:$A$51,0))="","",INDEX(campaigns!$BG$2:$BG$51,MATCH($C59,campaigns!$A$2:$A$51,0))),""),0,NETWORKDAYS(IFERROR(IF(INDEX(campaigns!$BG$2:$BG$51,MATCH($C59,campaigns!$A$2:$A$51,0))="","",INDEX(campaigns!$BG$2:$BG$51,MATCH($C59,campaigns!$A$2:$A$51,0))),""),$A59,calendar!$A$2:$A$80)))</f>
        <v>1</v>
      </c>
      <c r="K59" s="30" t="str">
        <f aca="false">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ustomFormat="false" ht="15" hidden="false" customHeight="false" outlineLevel="0" collapsed="false">
      <c r="A60" s="11" t="n">
        <v>46429</v>
      </c>
      <c r="B60" s="38" t="n">
        <v>0.458333333333333</v>
      </c>
      <c r="C60" s="10" t="s">
        <v>516</v>
      </c>
      <c r="D60" s="10" t="s">
        <v>698</v>
      </c>
      <c r="E60" s="10" t="s">
        <v>720</v>
      </c>
      <c r="F60" s="0" t="n">
        <v>16</v>
      </c>
      <c r="G60" s="10" t="s">
        <v>829</v>
      </c>
      <c r="J60" s="30" t="n">
        <f aca="false">IF(OR($C60="",$A60=""),"",IF($A60&lt;IFERROR(IF(INDEX(campaigns!$BG$2:$BG$51,MATCH($C60,campaigns!$A$2:$A$51,0))="","",INDEX(campaigns!$BG$2:$BG$51,MATCH($C60,campaigns!$A$2:$A$51,0))),""),0,NETWORKDAYS(IFERROR(IF(INDEX(campaigns!$BG$2:$BG$51,MATCH($C60,campaigns!$A$2:$A$51,0))="","",INDEX(campaigns!$BG$2:$BG$51,MATCH($C60,campaigns!$A$2:$A$51,0))),""),$A60,calendar!$A$2:$A$80)))</f>
        <v>3</v>
      </c>
      <c r="K60" s="30" t="str">
        <f aca="false">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ustomFormat="false" ht="15" hidden="false" customHeight="false" outlineLevel="0" collapsed="false">
      <c r="A61" s="11" t="n">
        <v>46434</v>
      </c>
      <c r="B61" s="38" t="n">
        <v>0.666666666666667</v>
      </c>
      <c r="C61" s="10" t="s">
        <v>516</v>
      </c>
      <c r="D61" s="10" t="s">
        <v>698</v>
      </c>
      <c r="E61" s="10" t="s">
        <v>721</v>
      </c>
      <c r="F61" s="0" t="n">
        <v>3</v>
      </c>
      <c r="G61" s="10" t="s">
        <v>827</v>
      </c>
      <c r="H61" s="10" t="s">
        <v>863</v>
      </c>
      <c r="J61" s="30" t="n">
        <f aca="false">IF(OR($C61="",$A61=""),"",IF($A61&lt;IFERROR(IF(INDEX(campaigns!$BG$2:$BG$51,MATCH($C61,campaigns!$A$2:$A$51,0))="","",INDEX(campaigns!$BG$2:$BG$51,MATCH($C61,campaigns!$A$2:$A$51,0))),""),0,NETWORKDAYS(IFERROR(IF(INDEX(campaigns!$BG$2:$BG$51,MATCH($C61,campaigns!$A$2:$A$51,0))="","",INDEX(campaigns!$BG$2:$BG$51,MATCH($C61,campaigns!$A$2:$A$51,0))),""),$A61,calendar!$A$2:$A$80)))</f>
        <v>5</v>
      </c>
      <c r="K61" s="30" t="str">
        <f aca="false">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ustomFormat="false" ht="15" hidden="false" customHeight="false" outlineLevel="0" collapsed="false">
      <c r="A62" s="11" t="n">
        <v>46427</v>
      </c>
      <c r="B62" s="38" t="n">
        <v>0.541666666666667</v>
      </c>
      <c r="C62" s="10" t="s">
        <v>532</v>
      </c>
      <c r="D62" s="10" t="s">
        <v>678</v>
      </c>
      <c r="E62" s="10" t="s">
        <v>826</v>
      </c>
      <c r="F62" s="0" t="n">
        <v>40</v>
      </c>
      <c r="G62" s="10" t="s">
        <v>827</v>
      </c>
      <c r="H62" s="10" t="s">
        <v>864</v>
      </c>
      <c r="J62" s="30" t="n">
        <f aca="false">IF(OR($C62="",$A62=""),"",IF($A62&lt;IFERROR(IF(INDEX(campaigns!$BG$2:$BG$51,MATCH($C62,campaigns!$A$2:$A$51,0))="","",INDEX(campaigns!$BG$2:$BG$51,MATCH($C62,campaigns!$A$2:$A$51,0))),""),0,NETWORKDAYS(IFERROR(IF(INDEX(campaigns!$BG$2:$BG$51,MATCH($C62,campaigns!$A$2:$A$51,0))="","",INDEX(campaigns!$BG$2:$BG$51,MATCH($C62,campaigns!$A$2:$A$51,0))),""),$A62,calendar!$A$2:$A$80)))</f>
        <v>1</v>
      </c>
      <c r="K62" s="30" t="str">
        <f aca="false">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ustomFormat="false" ht="15" hidden="false" customHeight="false" outlineLevel="0" collapsed="false">
      <c r="A63" s="11" t="n">
        <v>46429</v>
      </c>
      <c r="B63" s="38" t="n">
        <v>0.458333333333333</v>
      </c>
      <c r="C63" s="10" t="s">
        <v>532</v>
      </c>
      <c r="D63" s="10" t="s">
        <v>678</v>
      </c>
      <c r="E63" s="10" t="s">
        <v>720</v>
      </c>
      <c r="F63" s="0" t="n">
        <v>23</v>
      </c>
      <c r="G63" s="10" t="s">
        <v>829</v>
      </c>
      <c r="J63" s="30" t="n">
        <f aca="false">IF(OR($C63="",$A63=""),"",IF($A63&lt;IFERROR(IF(INDEX(campaigns!$BG$2:$BG$51,MATCH($C63,campaigns!$A$2:$A$51,0))="","",INDEX(campaigns!$BG$2:$BG$51,MATCH($C63,campaigns!$A$2:$A$51,0))),""),0,NETWORKDAYS(IFERROR(IF(INDEX(campaigns!$BG$2:$BG$51,MATCH($C63,campaigns!$A$2:$A$51,0))="","",INDEX(campaigns!$BG$2:$BG$51,MATCH($C63,campaigns!$A$2:$A$51,0))),""),$A63,calendar!$A$2:$A$80)))</f>
        <v>3</v>
      </c>
      <c r="K63" s="30" t="str">
        <f aca="false">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ustomFormat="false" ht="15" hidden="false" customHeight="false" outlineLevel="0" collapsed="false">
      <c r="A64" s="11" t="n">
        <v>46434</v>
      </c>
      <c r="B64" s="38" t="n">
        <v>0.666666666666667</v>
      </c>
      <c r="C64" s="10" t="s">
        <v>532</v>
      </c>
      <c r="D64" s="10" t="s">
        <v>678</v>
      </c>
      <c r="E64" s="10" t="s">
        <v>721</v>
      </c>
      <c r="F64" s="0" t="n">
        <v>2</v>
      </c>
      <c r="G64" s="10" t="s">
        <v>827</v>
      </c>
      <c r="H64" s="10" t="s">
        <v>865</v>
      </c>
      <c r="J64" s="30" t="n">
        <f aca="false">IF(OR($C64="",$A64=""),"",IF($A64&lt;IFERROR(IF(INDEX(campaigns!$BG$2:$BG$51,MATCH($C64,campaigns!$A$2:$A$51,0))="","",INDEX(campaigns!$BG$2:$BG$51,MATCH($C64,campaigns!$A$2:$A$51,0))),""),0,NETWORKDAYS(IFERROR(IF(INDEX(campaigns!$BG$2:$BG$51,MATCH($C64,campaigns!$A$2:$A$51,0))="","",INDEX(campaigns!$BG$2:$BG$51,MATCH($C64,campaigns!$A$2:$A$51,0))),""),$A64,calendar!$A$2:$A$80)))</f>
        <v>5</v>
      </c>
      <c r="K64" s="30" t="str">
        <f aca="false">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ustomFormat="false" ht="15" hidden="false" customHeight="false" outlineLevel="0" collapsed="false">
      <c r="A65" s="11" t="n">
        <v>46427</v>
      </c>
      <c r="B65" s="38" t="n">
        <v>0.541666666666667</v>
      </c>
      <c r="C65" s="10" t="s">
        <v>532</v>
      </c>
      <c r="D65" s="10" t="s">
        <v>681</v>
      </c>
      <c r="E65" s="10" t="s">
        <v>826</v>
      </c>
      <c r="F65" s="0" t="n">
        <v>40</v>
      </c>
      <c r="G65" s="10" t="s">
        <v>827</v>
      </c>
      <c r="H65" s="10" t="s">
        <v>866</v>
      </c>
      <c r="J65" s="30" t="n">
        <f aca="false">IF(OR($C65="",$A65=""),"",IF($A65&lt;IFERROR(IF(INDEX(campaigns!$BG$2:$BG$51,MATCH($C65,campaigns!$A$2:$A$51,0))="","",INDEX(campaigns!$BG$2:$BG$51,MATCH($C65,campaigns!$A$2:$A$51,0))),""),0,NETWORKDAYS(IFERROR(IF(INDEX(campaigns!$BG$2:$BG$51,MATCH($C65,campaigns!$A$2:$A$51,0))="","",INDEX(campaigns!$BG$2:$BG$51,MATCH($C65,campaigns!$A$2:$A$51,0))),""),$A65,calendar!$A$2:$A$80)))</f>
        <v>1</v>
      </c>
      <c r="K65" s="30" t="str">
        <f aca="false">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ustomFormat="false" ht="15" hidden="false" customHeight="false" outlineLevel="0" collapsed="false">
      <c r="A66" s="11" t="n">
        <v>46429</v>
      </c>
      <c r="B66" s="38" t="n">
        <v>0.458333333333333</v>
      </c>
      <c r="C66" s="10" t="s">
        <v>532</v>
      </c>
      <c r="D66" s="10" t="s">
        <v>681</v>
      </c>
      <c r="E66" s="10" t="s">
        <v>720</v>
      </c>
      <c r="F66" s="0" t="n">
        <v>22</v>
      </c>
      <c r="G66" s="10" t="s">
        <v>829</v>
      </c>
      <c r="J66" s="30" t="n">
        <f aca="false">IF(OR($C66="",$A66=""),"",IF($A66&lt;IFERROR(IF(INDEX(campaigns!$BG$2:$BG$51,MATCH($C66,campaigns!$A$2:$A$51,0))="","",INDEX(campaigns!$BG$2:$BG$51,MATCH($C66,campaigns!$A$2:$A$51,0))),""),0,NETWORKDAYS(IFERROR(IF(INDEX(campaigns!$BG$2:$BG$51,MATCH($C66,campaigns!$A$2:$A$51,0))="","",INDEX(campaigns!$BG$2:$BG$51,MATCH($C66,campaigns!$A$2:$A$51,0))),""),$A66,calendar!$A$2:$A$80)))</f>
        <v>3</v>
      </c>
      <c r="K66" s="30" t="str">
        <f aca="false">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ustomFormat="false" ht="15" hidden="false" customHeight="false" outlineLevel="0" collapsed="false">
      <c r="A67" s="11" t="n">
        <v>46434</v>
      </c>
      <c r="B67" s="38" t="n">
        <v>0.666666666666667</v>
      </c>
      <c r="C67" s="10" t="s">
        <v>532</v>
      </c>
      <c r="D67" s="10" t="s">
        <v>681</v>
      </c>
      <c r="E67" s="10" t="s">
        <v>721</v>
      </c>
      <c r="F67" s="0" t="n">
        <v>4</v>
      </c>
      <c r="G67" s="10" t="s">
        <v>827</v>
      </c>
      <c r="H67" s="10" t="s">
        <v>867</v>
      </c>
      <c r="J67" s="30" t="n">
        <f aca="false">IF(OR($C67="",$A67=""),"",IF($A67&lt;IFERROR(IF(INDEX(campaigns!$BG$2:$BG$51,MATCH($C67,campaigns!$A$2:$A$51,0))="","",INDEX(campaigns!$BG$2:$BG$51,MATCH($C67,campaigns!$A$2:$A$51,0))),""),0,NETWORKDAYS(IFERROR(IF(INDEX(campaigns!$BG$2:$BG$51,MATCH($C67,campaigns!$A$2:$A$51,0))="","",INDEX(campaigns!$BG$2:$BG$51,MATCH($C67,campaigns!$A$2:$A$51,0))),""),$A67,calendar!$A$2:$A$80)))</f>
        <v>5</v>
      </c>
      <c r="K67" s="30" t="str">
        <f aca="false">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ustomFormat="false" ht="15" hidden="false" customHeight="false" outlineLevel="0" collapsed="false">
      <c r="A68" s="11" t="n">
        <v>46427</v>
      </c>
      <c r="B68" s="38" t="n">
        <v>0.541666666666667</v>
      </c>
      <c r="C68" s="10" t="s">
        <v>532</v>
      </c>
      <c r="D68" s="10" t="s">
        <v>683</v>
      </c>
      <c r="E68" s="10" t="s">
        <v>826</v>
      </c>
      <c r="F68" s="0" t="n">
        <v>50</v>
      </c>
      <c r="G68" s="10" t="s">
        <v>827</v>
      </c>
      <c r="H68" s="10" t="s">
        <v>868</v>
      </c>
      <c r="J68" s="30" t="n">
        <f aca="false">IF(OR($C68="",$A68=""),"",IF($A68&lt;IFERROR(IF(INDEX(campaigns!$BG$2:$BG$51,MATCH($C68,campaigns!$A$2:$A$51,0))="","",INDEX(campaigns!$BG$2:$BG$51,MATCH($C68,campaigns!$A$2:$A$51,0))),""),0,NETWORKDAYS(IFERROR(IF(INDEX(campaigns!$BG$2:$BG$51,MATCH($C68,campaigns!$A$2:$A$51,0))="","",INDEX(campaigns!$BG$2:$BG$51,MATCH($C68,campaigns!$A$2:$A$51,0))),""),$A68,calendar!$A$2:$A$80)))</f>
        <v>1</v>
      </c>
      <c r="K68" s="30" t="str">
        <f aca="false">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ustomFormat="false" ht="15" hidden="false" customHeight="false" outlineLevel="0" collapsed="false">
      <c r="A69" s="11" t="n">
        <v>46429</v>
      </c>
      <c r="B69" s="38" t="n">
        <v>0.458333333333333</v>
      </c>
      <c r="C69" s="10" t="s">
        <v>532</v>
      </c>
      <c r="D69" s="10" t="s">
        <v>683</v>
      </c>
      <c r="E69" s="10" t="s">
        <v>720</v>
      </c>
      <c r="F69" s="0" t="n">
        <v>15</v>
      </c>
      <c r="G69" s="10" t="s">
        <v>829</v>
      </c>
      <c r="J69" s="30" t="n">
        <f aca="false">IF(OR($C69="",$A69=""),"",IF($A69&lt;IFERROR(IF(INDEX(campaigns!$BG$2:$BG$51,MATCH($C69,campaigns!$A$2:$A$51,0))="","",INDEX(campaigns!$BG$2:$BG$51,MATCH($C69,campaigns!$A$2:$A$51,0))),""),0,NETWORKDAYS(IFERROR(IF(INDEX(campaigns!$BG$2:$BG$51,MATCH($C69,campaigns!$A$2:$A$51,0))="","",INDEX(campaigns!$BG$2:$BG$51,MATCH($C69,campaigns!$A$2:$A$51,0))),""),$A69,calendar!$A$2:$A$80)))</f>
        <v>3</v>
      </c>
      <c r="K69" s="30" t="str">
        <f aca="false">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ustomFormat="false" ht="15" hidden="false" customHeight="false" outlineLevel="0" collapsed="false">
      <c r="A70" s="11" t="n">
        <v>46434</v>
      </c>
      <c r="B70" s="38" t="n">
        <v>0.666666666666667</v>
      </c>
      <c r="C70" s="10" t="s">
        <v>532</v>
      </c>
      <c r="D70" s="10" t="s">
        <v>683</v>
      </c>
      <c r="E70" s="10" t="s">
        <v>721</v>
      </c>
      <c r="F70" s="0" t="n">
        <v>2</v>
      </c>
      <c r="G70" s="10" t="s">
        <v>827</v>
      </c>
      <c r="H70" s="10" t="s">
        <v>869</v>
      </c>
      <c r="J70" s="30" t="n">
        <f aca="false">IF(OR($C70="",$A70=""),"",IF($A70&lt;IFERROR(IF(INDEX(campaigns!$BG$2:$BG$51,MATCH($C70,campaigns!$A$2:$A$51,0))="","",INDEX(campaigns!$BG$2:$BG$51,MATCH($C70,campaigns!$A$2:$A$51,0))),""),0,NETWORKDAYS(IFERROR(IF(INDEX(campaigns!$BG$2:$BG$51,MATCH($C70,campaigns!$A$2:$A$51,0))="","",INDEX(campaigns!$BG$2:$BG$51,MATCH($C70,campaigns!$A$2:$A$51,0))),""),$A70,calendar!$A$2:$A$80)))</f>
        <v>5</v>
      </c>
      <c r="K70" s="30" t="str">
        <f aca="false">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ustomFormat="false" ht="15" hidden="false" customHeight="false" outlineLevel="0" collapsed="false">
      <c r="A71" s="11" t="n">
        <v>46428</v>
      </c>
      <c r="B71" s="38" t="n">
        <v>0.395833333333333</v>
      </c>
      <c r="C71" s="10" t="s">
        <v>532</v>
      </c>
      <c r="D71" s="10" t="s">
        <v>686</v>
      </c>
      <c r="E71" s="10" t="s">
        <v>826</v>
      </c>
      <c r="F71" s="0" t="n">
        <v>50</v>
      </c>
      <c r="G71" s="10" t="s">
        <v>827</v>
      </c>
      <c r="H71" s="10" t="s">
        <v>870</v>
      </c>
      <c r="J71" s="30" t="n">
        <f aca="false">IF(OR($C71="",$A71=""),"",IF($A71&lt;IFERROR(IF(INDEX(campaigns!$BG$2:$BG$51,MATCH($C71,campaigns!$A$2:$A$51,0))="","",INDEX(campaigns!$BG$2:$BG$51,MATCH($C71,campaigns!$A$2:$A$51,0))),""),0,NETWORKDAYS(IFERROR(IF(INDEX(campaigns!$BG$2:$BG$51,MATCH($C71,campaigns!$A$2:$A$51,0))="","",INDEX(campaigns!$BG$2:$BG$51,MATCH($C71,campaigns!$A$2:$A$51,0))),""),$A71,calendar!$A$2:$A$80)))</f>
        <v>2</v>
      </c>
      <c r="K71" s="30" t="str">
        <f aca="false">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ustomFormat="false" ht="15" hidden="false" customHeight="false" outlineLevel="0" collapsed="false">
      <c r="A72" s="11" t="n">
        <v>46429</v>
      </c>
      <c r="B72" s="38" t="n">
        <v>0.458333333333333</v>
      </c>
      <c r="C72" s="10" t="s">
        <v>532</v>
      </c>
      <c r="D72" s="10" t="s">
        <v>686</v>
      </c>
      <c r="E72" s="10" t="s">
        <v>720</v>
      </c>
      <c r="F72" s="0" t="n">
        <v>17</v>
      </c>
      <c r="G72" s="10" t="s">
        <v>829</v>
      </c>
      <c r="J72" s="30" t="n">
        <f aca="false">IF(OR($C72="",$A72=""),"",IF($A72&lt;IFERROR(IF(INDEX(campaigns!$BG$2:$BG$51,MATCH($C72,campaigns!$A$2:$A$51,0))="","",INDEX(campaigns!$BG$2:$BG$51,MATCH($C72,campaigns!$A$2:$A$51,0))),""),0,NETWORKDAYS(IFERROR(IF(INDEX(campaigns!$BG$2:$BG$51,MATCH($C72,campaigns!$A$2:$A$51,0))="","",INDEX(campaigns!$BG$2:$BG$51,MATCH($C72,campaigns!$A$2:$A$51,0))),""),$A72,calendar!$A$2:$A$80)))</f>
        <v>3</v>
      </c>
      <c r="K72" s="30" t="str">
        <f aca="false">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ustomFormat="false" ht="15" hidden="false" customHeight="false" outlineLevel="0" collapsed="false">
      <c r="A73" s="11" t="n">
        <v>46434</v>
      </c>
      <c r="B73" s="38" t="n">
        <v>0.666666666666667</v>
      </c>
      <c r="C73" s="10" t="s">
        <v>532</v>
      </c>
      <c r="D73" s="10" t="s">
        <v>686</v>
      </c>
      <c r="E73" s="10" t="s">
        <v>721</v>
      </c>
      <c r="F73" s="0" t="n">
        <v>6</v>
      </c>
      <c r="G73" s="10" t="s">
        <v>827</v>
      </c>
      <c r="H73" s="10" t="s">
        <v>871</v>
      </c>
      <c r="J73" s="30" t="n">
        <f aca="false">IF(OR($C73="",$A73=""),"",IF($A73&lt;IFERROR(IF(INDEX(campaigns!$BG$2:$BG$51,MATCH($C73,campaigns!$A$2:$A$51,0))="","",INDEX(campaigns!$BG$2:$BG$51,MATCH($C73,campaigns!$A$2:$A$51,0))),""),0,NETWORKDAYS(IFERROR(IF(INDEX(campaigns!$BG$2:$BG$51,MATCH($C73,campaigns!$A$2:$A$51,0))="","",INDEX(campaigns!$BG$2:$BG$51,MATCH($C73,campaigns!$A$2:$A$51,0))),""),$A73,calendar!$A$2:$A$80)))</f>
        <v>5</v>
      </c>
      <c r="K73" s="30" t="str">
        <f aca="false">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ustomFormat="false" ht="15" hidden="false" customHeight="false" outlineLevel="0" collapsed="false">
      <c r="A74" s="11" t="n">
        <v>46427</v>
      </c>
      <c r="B74" s="38" t="n">
        <v>0.541666666666667</v>
      </c>
      <c r="C74" s="10" t="s">
        <v>532</v>
      </c>
      <c r="D74" s="10" t="s">
        <v>688</v>
      </c>
      <c r="E74" s="10" t="s">
        <v>826</v>
      </c>
      <c r="F74" s="0" t="n">
        <v>70</v>
      </c>
      <c r="G74" s="10" t="s">
        <v>827</v>
      </c>
      <c r="H74" s="10" t="s">
        <v>872</v>
      </c>
      <c r="J74" s="30" t="n">
        <f aca="false">IF(OR($C74="",$A74=""),"",IF($A74&lt;IFERROR(IF(INDEX(campaigns!$BG$2:$BG$51,MATCH($C74,campaigns!$A$2:$A$51,0))="","",INDEX(campaigns!$BG$2:$BG$51,MATCH($C74,campaigns!$A$2:$A$51,0))),""),0,NETWORKDAYS(IFERROR(IF(INDEX(campaigns!$BG$2:$BG$51,MATCH($C74,campaigns!$A$2:$A$51,0))="","",INDEX(campaigns!$BG$2:$BG$51,MATCH($C74,campaigns!$A$2:$A$51,0))),""),$A74,calendar!$A$2:$A$80)))</f>
        <v>1</v>
      </c>
      <c r="K74" s="30" t="str">
        <f aca="false">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ustomFormat="false" ht="15" hidden="false" customHeight="false" outlineLevel="0" collapsed="false">
      <c r="A75" s="11" t="n">
        <v>46429</v>
      </c>
      <c r="B75" s="38" t="n">
        <v>0.458333333333333</v>
      </c>
      <c r="C75" s="10" t="s">
        <v>532</v>
      </c>
      <c r="D75" s="10" t="s">
        <v>688</v>
      </c>
      <c r="E75" s="10" t="s">
        <v>720</v>
      </c>
      <c r="F75" s="0" t="n">
        <v>21</v>
      </c>
      <c r="G75" s="10" t="s">
        <v>829</v>
      </c>
      <c r="J75" s="30" t="n">
        <f aca="false">IF(OR($C75="",$A75=""),"",IF($A75&lt;IFERROR(IF(INDEX(campaigns!$BG$2:$BG$51,MATCH($C75,campaigns!$A$2:$A$51,0))="","",INDEX(campaigns!$BG$2:$BG$51,MATCH($C75,campaigns!$A$2:$A$51,0))),""),0,NETWORKDAYS(IFERROR(IF(INDEX(campaigns!$BG$2:$BG$51,MATCH($C75,campaigns!$A$2:$A$51,0))="","",INDEX(campaigns!$BG$2:$BG$51,MATCH($C75,campaigns!$A$2:$A$51,0))),""),$A75,calendar!$A$2:$A$80)))</f>
        <v>3</v>
      </c>
      <c r="K75" s="30" t="str">
        <f aca="false">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ustomFormat="false" ht="15" hidden="false" customHeight="false" outlineLevel="0" collapsed="false">
      <c r="A76" s="11" t="n">
        <v>46434</v>
      </c>
      <c r="B76" s="38" t="n">
        <v>0.666666666666667</v>
      </c>
      <c r="C76" s="10" t="s">
        <v>532</v>
      </c>
      <c r="D76" s="10" t="s">
        <v>688</v>
      </c>
      <c r="E76" s="10" t="s">
        <v>721</v>
      </c>
      <c r="F76" s="0" t="n">
        <v>6</v>
      </c>
      <c r="G76" s="10" t="s">
        <v>827</v>
      </c>
      <c r="H76" s="10" t="s">
        <v>873</v>
      </c>
      <c r="J76" s="30" t="n">
        <f aca="false">IF(OR($C76="",$A76=""),"",IF($A76&lt;IFERROR(IF(INDEX(campaigns!$BG$2:$BG$51,MATCH($C76,campaigns!$A$2:$A$51,0))="","",INDEX(campaigns!$BG$2:$BG$51,MATCH($C76,campaigns!$A$2:$A$51,0))),""),0,NETWORKDAYS(IFERROR(IF(INDEX(campaigns!$BG$2:$BG$51,MATCH($C76,campaigns!$A$2:$A$51,0))="","",INDEX(campaigns!$BG$2:$BG$51,MATCH($C76,campaigns!$A$2:$A$51,0))),""),$A76,calendar!$A$2:$A$80)))</f>
        <v>5</v>
      </c>
      <c r="K76" s="30" t="str">
        <f aca="false">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ustomFormat="false" ht="15" hidden="false" customHeight="false" outlineLevel="0" collapsed="false">
      <c r="A77" s="11" t="n">
        <v>46427</v>
      </c>
      <c r="B77" s="38" t="n">
        <v>0.541666666666667</v>
      </c>
      <c r="C77" s="10" t="s">
        <v>532</v>
      </c>
      <c r="D77" s="10" t="s">
        <v>690</v>
      </c>
      <c r="E77" s="10" t="s">
        <v>826</v>
      </c>
      <c r="F77" s="0" t="n">
        <v>45</v>
      </c>
      <c r="G77" s="10" t="s">
        <v>827</v>
      </c>
      <c r="H77" s="10" t="s">
        <v>874</v>
      </c>
      <c r="J77" s="30" t="n">
        <f aca="false">IF(OR($C77="",$A77=""),"",IF($A77&lt;IFERROR(IF(INDEX(campaigns!$BG$2:$BG$51,MATCH($C77,campaigns!$A$2:$A$51,0))="","",INDEX(campaigns!$BG$2:$BG$51,MATCH($C77,campaigns!$A$2:$A$51,0))),""),0,NETWORKDAYS(IFERROR(IF(INDEX(campaigns!$BG$2:$BG$51,MATCH($C77,campaigns!$A$2:$A$51,0))="","",INDEX(campaigns!$BG$2:$BG$51,MATCH($C77,campaigns!$A$2:$A$51,0))),""),$A77,calendar!$A$2:$A$80)))</f>
        <v>1</v>
      </c>
      <c r="K77" s="30" t="str">
        <f aca="false">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ustomFormat="false" ht="15" hidden="false" customHeight="false" outlineLevel="0" collapsed="false">
      <c r="A78" s="11" t="n">
        <v>46429</v>
      </c>
      <c r="B78" s="38" t="n">
        <v>0.458333333333333</v>
      </c>
      <c r="C78" s="10" t="s">
        <v>532</v>
      </c>
      <c r="D78" s="10" t="s">
        <v>690</v>
      </c>
      <c r="E78" s="10" t="s">
        <v>720</v>
      </c>
      <c r="F78" s="0" t="n">
        <v>21</v>
      </c>
      <c r="G78" s="10" t="s">
        <v>829</v>
      </c>
      <c r="J78" s="30" t="n">
        <f aca="false">IF(OR($C78="",$A78=""),"",IF($A78&lt;IFERROR(IF(INDEX(campaigns!$BG$2:$BG$51,MATCH($C78,campaigns!$A$2:$A$51,0))="","",INDEX(campaigns!$BG$2:$BG$51,MATCH($C78,campaigns!$A$2:$A$51,0))),""),0,NETWORKDAYS(IFERROR(IF(INDEX(campaigns!$BG$2:$BG$51,MATCH($C78,campaigns!$A$2:$A$51,0))="","",INDEX(campaigns!$BG$2:$BG$51,MATCH($C78,campaigns!$A$2:$A$51,0))),""),$A78,calendar!$A$2:$A$80)))</f>
        <v>3</v>
      </c>
      <c r="K78" s="30" t="str">
        <f aca="false">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ustomFormat="false" ht="15" hidden="false" customHeight="false" outlineLevel="0" collapsed="false">
      <c r="A79" s="11" t="n">
        <v>46434</v>
      </c>
      <c r="B79" s="38" t="n">
        <v>0.666666666666667</v>
      </c>
      <c r="C79" s="10" t="s">
        <v>532</v>
      </c>
      <c r="D79" s="10" t="s">
        <v>690</v>
      </c>
      <c r="E79" s="10" t="s">
        <v>721</v>
      </c>
      <c r="F79" s="0" t="n">
        <v>4</v>
      </c>
      <c r="G79" s="10" t="s">
        <v>827</v>
      </c>
      <c r="H79" s="10" t="s">
        <v>875</v>
      </c>
      <c r="J79" s="30" t="n">
        <f aca="false">IF(OR($C79="",$A79=""),"",IF($A79&lt;IFERROR(IF(INDEX(campaigns!$BG$2:$BG$51,MATCH($C79,campaigns!$A$2:$A$51,0))="","",INDEX(campaigns!$BG$2:$BG$51,MATCH($C79,campaigns!$A$2:$A$51,0))),""),0,NETWORKDAYS(IFERROR(IF(INDEX(campaigns!$BG$2:$BG$51,MATCH($C79,campaigns!$A$2:$A$51,0))="","",INDEX(campaigns!$BG$2:$BG$51,MATCH($C79,campaigns!$A$2:$A$51,0))),""),$A79,calendar!$A$2:$A$80)))</f>
        <v>5</v>
      </c>
      <c r="K79" s="30" t="str">
        <f aca="false">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ustomFormat="false" ht="15" hidden="false" customHeight="false" outlineLevel="0" collapsed="false">
      <c r="A80" s="11" t="n">
        <v>46427</v>
      </c>
      <c r="B80" s="38" t="n">
        <v>0.541666666666667</v>
      </c>
      <c r="C80" s="10" t="s">
        <v>532</v>
      </c>
      <c r="D80" s="10" t="s">
        <v>694</v>
      </c>
      <c r="E80" s="10" t="s">
        <v>826</v>
      </c>
      <c r="F80" s="0" t="n">
        <v>45</v>
      </c>
      <c r="G80" s="10" t="s">
        <v>827</v>
      </c>
      <c r="H80" s="10" t="s">
        <v>876</v>
      </c>
      <c r="J80" s="30" t="n">
        <f aca="false">IF(OR($C80="",$A80=""),"",IF($A80&lt;IFERROR(IF(INDEX(campaigns!$BG$2:$BG$51,MATCH($C80,campaigns!$A$2:$A$51,0))="","",INDEX(campaigns!$BG$2:$BG$51,MATCH($C80,campaigns!$A$2:$A$51,0))),""),0,NETWORKDAYS(IFERROR(IF(INDEX(campaigns!$BG$2:$BG$51,MATCH($C80,campaigns!$A$2:$A$51,0))="","",INDEX(campaigns!$BG$2:$BG$51,MATCH($C80,campaigns!$A$2:$A$51,0))),""),$A80,calendar!$A$2:$A$80)))</f>
        <v>1</v>
      </c>
      <c r="K80" s="30" t="str">
        <f aca="false">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ustomFormat="false" ht="15" hidden="false" customHeight="false" outlineLevel="0" collapsed="false">
      <c r="A81" s="11" t="n">
        <v>46429</v>
      </c>
      <c r="B81" s="38" t="n">
        <v>0.458333333333333</v>
      </c>
      <c r="C81" s="10" t="s">
        <v>532</v>
      </c>
      <c r="D81" s="10" t="s">
        <v>694</v>
      </c>
      <c r="E81" s="10" t="s">
        <v>720</v>
      </c>
      <c r="F81" s="0" t="n">
        <v>19</v>
      </c>
      <c r="G81" s="10" t="s">
        <v>829</v>
      </c>
      <c r="J81" s="30" t="n">
        <f aca="false">IF(OR($C81="",$A81=""),"",IF($A81&lt;IFERROR(IF(INDEX(campaigns!$BG$2:$BG$51,MATCH($C81,campaigns!$A$2:$A$51,0))="","",INDEX(campaigns!$BG$2:$BG$51,MATCH($C81,campaigns!$A$2:$A$51,0))),""),0,NETWORKDAYS(IFERROR(IF(INDEX(campaigns!$BG$2:$BG$51,MATCH($C81,campaigns!$A$2:$A$51,0))="","",INDEX(campaigns!$BG$2:$BG$51,MATCH($C81,campaigns!$A$2:$A$51,0))),""),$A81,calendar!$A$2:$A$80)))</f>
        <v>3</v>
      </c>
      <c r="K81" s="30" t="str">
        <f aca="false">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ustomFormat="false" ht="15" hidden="false" customHeight="false" outlineLevel="0" collapsed="false">
      <c r="A82" s="11" t="n">
        <v>46434</v>
      </c>
      <c r="B82" s="38" t="n">
        <v>0.666666666666667</v>
      </c>
      <c r="C82" s="10" t="s">
        <v>532</v>
      </c>
      <c r="D82" s="10" t="s">
        <v>694</v>
      </c>
      <c r="E82" s="10" t="s">
        <v>721</v>
      </c>
      <c r="F82" s="0" t="n">
        <v>2</v>
      </c>
      <c r="G82" s="10" t="s">
        <v>827</v>
      </c>
      <c r="H82" s="10" t="s">
        <v>877</v>
      </c>
      <c r="J82" s="30" t="n">
        <f aca="false">IF(OR($C82="",$A82=""),"",IF($A82&lt;IFERROR(IF(INDEX(campaigns!$BG$2:$BG$51,MATCH($C82,campaigns!$A$2:$A$51,0))="","",INDEX(campaigns!$BG$2:$BG$51,MATCH($C82,campaigns!$A$2:$A$51,0))),""),0,NETWORKDAYS(IFERROR(IF(INDEX(campaigns!$BG$2:$BG$51,MATCH($C82,campaigns!$A$2:$A$51,0))="","",INDEX(campaigns!$BG$2:$BG$51,MATCH($C82,campaigns!$A$2:$A$51,0))),""),$A82,calendar!$A$2:$A$80)))</f>
        <v>5</v>
      </c>
      <c r="K82" s="30" t="str">
        <f aca="false">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ustomFormat="false" ht="15" hidden="false" customHeight="false" outlineLevel="0" collapsed="false">
      <c r="A83" s="11" t="n">
        <v>46428</v>
      </c>
      <c r="B83" s="38" t="n">
        <v>0.381944444444444</v>
      </c>
      <c r="C83" s="10" t="s">
        <v>532</v>
      </c>
      <c r="D83" s="10" t="s">
        <v>696</v>
      </c>
      <c r="E83" s="10" t="s">
        <v>826</v>
      </c>
      <c r="F83" s="0" t="n">
        <v>75</v>
      </c>
      <c r="G83" s="10" t="s">
        <v>827</v>
      </c>
      <c r="H83" s="10" t="s">
        <v>878</v>
      </c>
      <c r="J83" s="30" t="n">
        <f aca="false">IF(OR($C83="",$A83=""),"",IF($A83&lt;IFERROR(IF(INDEX(campaigns!$BG$2:$BG$51,MATCH($C83,campaigns!$A$2:$A$51,0))="","",INDEX(campaigns!$BG$2:$BG$51,MATCH($C83,campaigns!$A$2:$A$51,0))),""),0,NETWORKDAYS(IFERROR(IF(INDEX(campaigns!$BG$2:$BG$51,MATCH($C83,campaigns!$A$2:$A$51,0))="","",INDEX(campaigns!$BG$2:$BG$51,MATCH($C83,campaigns!$A$2:$A$51,0))),""),$A83,calendar!$A$2:$A$80)))</f>
        <v>2</v>
      </c>
      <c r="K83" s="30" t="str">
        <f aca="false">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ustomFormat="false" ht="15" hidden="false" customHeight="false" outlineLevel="0" collapsed="false">
      <c r="A84" s="11" t="n">
        <v>46429</v>
      </c>
      <c r="B84" s="38" t="n">
        <v>0.458333333333333</v>
      </c>
      <c r="C84" s="10" t="s">
        <v>532</v>
      </c>
      <c r="D84" s="10" t="s">
        <v>696</v>
      </c>
      <c r="E84" s="10" t="s">
        <v>720</v>
      </c>
      <c r="F84" s="0" t="n">
        <v>20</v>
      </c>
      <c r="G84" s="10" t="s">
        <v>829</v>
      </c>
      <c r="J84" s="30" t="n">
        <f aca="false">IF(OR($C84="",$A84=""),"",IF($A84&lt;IFERROR(IF(INDEX(campaigns!$BG$2:$BG$51,MATCH($C84,campaigns!$A$2:$A$51,0))="","",INDEX(campaigns!$BG$2:$BG$51,MATCH($C84,campaigns!$A$2:$A$51,0))),""),0,NETWORKDAYS(IFERROR(IF(INDEX(campaigns!$BG$2:$BG$51,MATCH($C84,campaigns!$A$2:$A$51,0))="","",INDEX(campaigns!$BG$2:$BG$51,MATCH($C84,campaigns!$A$2:$A$51,0))),""),$A84,calendar!$A$2:$A$80)))</f>
        <v>3</v>
      </c>
      <c r="K84" s="30" t="str">
        <f aca="false">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ustomFormat="false" ht="15" hidden="false" customHeight="false" outlineLevel="0" collapsed="false">
      <c r="A85" s="11" t="n">
        <v>46434</v>
      </c>
      <c r="B85" s="38" t="n">
        <v>0.666666666666667</v>
      </c>
      <c r="C85" s="10" t="s">
        <v>532</v>
      </c>
      <c r="D85" s="10" t="s">
        <v>696</v>
      </c>
      <c r="E85" s="10" t="s">
        <v>721</v>
      </c>
      <c r="F85" s="0" t="n">
        <v>3</v>
      </c>
      <c r="G85" s="10" t="s">
        <v>827</v>
      </c>
      <c r="H85" s="10" t="s">
        <v>879</v>
      </c>
      <c r="J85" s="30" t="n">
        <f aca="false">IF(OR($C85="",$A85=""),"",IF($A85&lt;IFERROR(IF(INDEX(campaigns!$BG$2:$BG$51,MATCH($C85,campaigns!$A$2:$A$51,0))="","",INDEX(campaigns!$BG$2:$BG$51,MATCH($C85,campaigns!$A$2:$A$51,0))),""),0,NETWORKDAYS(IFERROR(IF(INDEX(campaigns!$BG$2:$BG$51,MATCH($C85,campaigns!$A$2:$A$51,0))="","",INDEX(campaigns!$BG$2:$BG$51,MATCH($C85,campaigns!$A$2:$A$51,0))),""),$A85,calendar!$A$2:$A$80)))</f>
        <v>5</v>
      </c>
      <c r="K85" s="30" t="str">
        <f aca="false">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ustomFormat="false" ht="15" hidden="false" customHeight="false" outlineLevel="0" collapsed="false">
      <c r="A86" s="11" t="n">
        <v>46427</v>
      </c>
      <c r="B86" s="38" t="n">
        <v>0.541666666666667</v>
      </c>
      <c r="C86" s="10" t="s">
        <v>532</v>
      </c>
      <c r="D86" s="10" t="s">
        <v>698</v>
      </c>
      <c r="E86" s="10" t="s">
        <v>826</v>
      </c>
      <c r="F86" s="0" t="n">
        <v>40</v>
      </c>
      <c r="G86" s="10" t="s">
        <v>827</v>
      </c>
      <c r="H86" s="10" t="s">
        <v>880</v>
      </c>
      <c r="J86" s="30" t="n">
        <f aca="false">IF(OR($C86="",$A86=""),"",IF($A86&lt;IFERROR(IF(INDEX(campaigns!$BG$2:$BG$51,MATCH($C86,campaigns!$A$2:$A$51,0))="","",INDEX(campaigns!$BG$2:$BG$51,MATCH($C86,campaigns!$A$2:$A$51,0))),""),0,NETWORKDAYS(IFERROR(IF(INDEX(campaigns!$BG$2:$BG$51,MATCH($C86,campaigns!$A$2:$A$51,0))="","",INDEX(campaigns!$BG$2:$BG$51,MATCH($C86,campaigns!$A$2:$A$51,0))),""),$A86,calendar!$A$2:$A$80)))</f>
        <v>1</v>
      </c>
      <c r="K86" s="30" t="str">
        <f aca="false">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ustomFormat="false" ht="15" hidden="false" customHeight="false" outlineLevel="0" collapsed="false">
      <c r="A87" s="11" t="n">
        <v>46429</v>
      </c>
      <c r="B87" s="38" t="n">
        <v>0.458333333333333</v>
      </c>
      <c r="C87" s="10" t="s">
        <v>532</v>
      </c>
      <c r="D87" s="10" t="s">
        <v>698</v>
      </c>
      <c r="E87" s="10" t="s">
        <v>720</v>
      </c>
      <c r="F87" s="0" t="n">
        <v>19</v>
      </c>
      <c r="G87" s="10" t="s">
        <v>829</v>
      </c>
      <c r="J87" s="30" t="n">
        <f aca="false">IF(OR($C87="",$A87=""),"",IF($A87&lt;IFERROR(IF(INDEX(campaigns!$BG$2:$BG$51,MATCH($C87,campaigns!$A$2:$A$51,0))="","",INDEX(campaigns!$BG$2:$BG$51,MATCH($C87,campaigns!$A$2:$A$51,0))),""),0,NETWORKDAYS(IFERROR(IF(INDEX(campaigns!$BG$2:$BG$51,MATCH($C87,campaigns!$A$2:$A$51,0))="","",INDEX(campaigns!$BG$2:$BG$51,MATCH($C87,campaigns!$A$2:$A$51,0))),""),$A87,calendar!$A$2:$A$80)))</f>
        <v>3</v>
      </c>
      <c r="K87" s="30" t="str">
        <f aca="false">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ustomFormat="false" ht="15" hidden="false" customHeight="false" outlineLevel="0" collapsed="false">
      <c r="A88" s="11" t="n">
        <v>46434</v>
      </c>
      <c r="B88" s="38" t="n">
        <v>0.666666666666667</v>
      </c>
      <c r="C88" s="10" t="s">
        <v>532</v>
      </c>
      <c r="D88" s="10" t="s">
        <v>698</v>
      </c>
      <c r="E88" s="10" t="s">
        <v>721</v>
      </c>
      <c r="F88" s="0" t="n">
        <v>4</v>
      </c>
      <c r="G88" s="10" t="s">
        <v>827</v>
      </c>
      <c r="H88" s="10" t="s">
        <v>881</v>
      </c>
      <c r="J88" s="30" t="n">
        <f aca="false">IF(OR($C88="",$A88=""),"",IF($A88&lt;IFERROR(IF(INDEX(campaigns!$BG$2:$BG$51,MATCH($C88,campaigns!$A$2:$A$51,0))="","",INDEX(campaigns!$BG$2:$BG$51,MATCH($C88,campaigns!$A$2:$A$51,0))),""),0,NETWORKDAYS(IFERROR(IF(INDEX(campaigns!$BG$2:$BG$51,MATCH($C88,campaigns!$A$2:$A$51,0))="","",INDEX(campaigns!$BG$2:$BG$51,MATCH($C88,campaigns!$A$2:$A$51,0))),""),$A88,calendar!$A$2:$A$80)))</f>
        <v>5</v>
      </c>
      <c r="K88" s="30" t="str">
        <f aca="false">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ustomFormat="false" ht="15" hidden="false" customHeight="false" outlineLevel="0" collapsed="false">
      <c r="A89" s="11" t="n">
        <v>46427</v>
      </c>
      <c r="B89" s="38" t="n">
        <v>0.541666666666667</v>
      </c>
      <c r="C89" s="10" t="s">
        <v>549</v>
      </c>
      <c r="D89" s="10" t="s">
        <v>678</v>
      </c>
      <c r="E89" s="10" t="s">
        <v>826</v>
      </c>
      <c r="F89" s="0" t="n">
        <v>40</v>
      </c>
      <c r="G89" s="10" t="s">
        <v>827</v>
      </c>
      <c r="H89" s="10" t="s">
        <v>882</v>
      </c>
      <c r="J89" s="30" t="n">
        <f aca="false">IF(OR($C89="",$A89=""),"",IF($A89&lt;IFERROR(IF(INDEX(campaigns!$BG$2:$BG$51,MATCH($C89,campaigns!$A$2:$A$51,0))="","",INDEX(campaigns!$BG$2:$BG$51,MATCH($C89,campaigns!$A$2:$A$51,0))),""),0,NETWORKDAYS(IFERROR(IF(INDEX(campaigns!$BG$2:$BG$51,MATCH($C89,campaigns!$A$2:$A$51,0))="","",INDEX(campaigns!$BG$2:$BG$51,MATCH($C89,campaigns!$A$2:$A$51,0))),""),$A89,calendar!$A$2:$A$80)))</f>
        <v>1</v>
      </c>
      <c r="K89" s="30" t="str">
        <f aca="false">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ustomFormat="false" ht="15" hidden="false" customHeight="false" outlineLevel="0" collapsed="false">
      <c r="A90" s="11" t="n">
        <v>46429</v>
      </c>
      <c r="B90" s="38" t="n">
        <v>0.458333333333333</v>
      </c>
      <c r="C90" s="10" t="s">
        <v>549</v>
      </c>
      <c r="D90" s="10" t="s">
        <v>678</v>
      </c>
      <c r="E90" s="10" t="s">
        <v>720</v>
      </c>
      <c r="F90" s="0" t="n">
        <v>14</v>
      </c>
      <c r="G90" s="10" t="s">
        <v>829</v>
      </c>
      <c r="J90" s="30" t="n">
        <f aca="false">IF(OR($C90="",$A90=""),"",IF($A90&lt;IFERROR(IF(INDEX(campaigns!$BG$2:$BG$51,MATCH($C90,campaigns!$A$2:$A$51,0))="","",INDEX(campaigns!$BG$2:$BG$51,MATCH($C90,campaigns!$A$2:$A$51,0))),""),0,NETWORKDAYS(IFERROR(IF(INDEX(campaigns!$BG$2:$BG$51,MATCH($C90,campaigns!$A$2:$A$51,0))="","",INDEX(campaigns!$BG$2:$BG$51,MATCH($C90,campaigns!$A$2:$A$51,0))),""),$A90,calendar!$A$2:$A$80)))</f>
        <v>3</v>
      </c>
      <c r="K90" s="30" t="str">
        <f aca="false">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ustomFormat="false" ht="15" hidden="false" customHeight="false" outlineLevel="0" collapsed="false">
      <c r="A91" s="11" t="n">
        <v>46434</v>
      </c>
      <c r="B91" s="38" t="n">
        <v>0.666666666666667</v>
      </c>
      <c r="C91" s="10" t="s">
        <v>549</v>
      </c>
      <c r="D91" s="10" t="s">
        <v>678</v>
      </c>
      <c r="E91" s="10" t="s">
        <v>721</v>
      </c>
      <c r="F91" s="0" t="n">
        <v>4</v>
      </c>
      <c r="G91" s="10" t="s">
        <v>827</v>
      </c>
      <c r="H91" s="10" t="s">
        <v>883</v>
      </c>
      <c r="J91" s="30" t="n">
        <f aca="false">IF(OR($C91="",$A91=""),"",IF($A91&lt;IFERROR(IF(INDEX(campaigns!$BG$2:$BG$51,MATCH($C91,campaigns!$A$2:$A$51,0))="","",INDEX(campaigns!$BG$2:$BG$51,MATCH($C91,campaigns!$A$2:$A$51,0))),""),0,NETWORKDAYS(IFERROR(IF(INDEX(campaigns!$BG$2:$BG$51,MATCH($C91,campaigns!$A$2:$A$51,0))="","",INDEX(campaigns!$BG$2:$BG$51,MATCH($C91,campaigns!$A$2:$A$51,0))),""),$A91,calendar!$A$2:$A$80)))</f>
        <v>5</v>
      </c>
      <c r="K91" s="30" t="str">
        <f aca="false">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ustomFormat="false" ht="15" hidden="false" customHeight="false" outlineLevel="0" collapsed="false">
      <c r="A92" s="11" t="n">
        <v>46427</v>
      </c>
      <c r="B92" s="38" t="n">
        <v>0.541666666666667</v>
      </c>
      <c r="C92" s="10" t="s">
        <v>549</v>
      </c>
      <c r="D92" s="10" t="s">
        <v>681</v>
      </c>
      <c r="E92" s="10" t="s">
        <v>826</v>
      </c>
      <c r="F92" s="0" t="n">
        <v>40</v>
      </c>
      <c r="G92" s="10" t="s">
        <v>827</v>
      </c>
      <c r="H92" s="10" t="s">
        <v>884</v>
      </c>
      <c r="J92" s="30" t="n">
        <f aca="false">IF(OR($C92="",$A92=""),"",IF($A92&lt;IFERROR(IF(INDEX(campaigns!$BG$2:$BG$51,MATCH($C92,campaigns!$A$2:$A$51,0))="","",INDEX(campaigns!$BG$2:$BG$51,MATCH($C92,campaigns!$A$2:$A$51,0))),""),0,NETWORKDAYS(IFERROR(IF(INDEX(campaigns!$BG$2:$BG$51,MATCH($C92,campaigns!$A$2:$A$51,0))="","",INDEX(campaigns!$BG$2:$BG$51,MATCH($C92,campaigns!$A$2:$A$51,0))),""),$A92,calendar!$A$2:$A$80)))</f>
        <v>1</v>
      </c>
      <c r="K92" s="30" t="str">
        <f aca="false">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ustomFormat="false" ht="15" hidden="false" customHeight="false" outlineLevel="0" collapsed="false">
      <c r="A93" s="11" t="n">
        <v>46429</v>
      </c>
      <c r="B93" s="38" t="n">
        <v>0.458333333333333</v>
      </c>
      <c r="C93" s="10" t="s">
        <v>549</v>
      </c>
      <c r="D93" s="10" t="s">
        <v>681</v>
      </c>
      <c r="E93" s="10" t="s">
        <v>720</v>
      </c>
      <c r="F93" s="0" t="n">
        <v>16</v>
      </c>
      <c r="G93" s="10" t="s">
        <v>829</v>
      </c>
      <c r="J93" s="30" t="n">
        <f aca="false">IF(OR($C93="",$A93=""),"",IF($A93&lt;IFERROR(IF(INDEX(campaigns!$BG$2:$BG$51,MATCH($C93,campaigns!$A$2:$A$51,0))="","",INDEX(campaigns!$BG$2:$BG$51,MATCH($C93,campaigns!$A$2:$A$51,0))),""),0,NETWORKDAYS(IFERROR(IF(INDEX(campaigns!$BG$2:$BG$51,MATCH($C93,campaigns!$A$2:$A$51,0))="","",INDEX(campaigns!$BG$2:$BG$51,MATCH($C93,campaigns!$A$2:$A$51,0))),""),$A93,calendar!$A$2:$A$80)))</f>
        <v>3</v>
      </c>
      <c r="K93" s="30" t="str">
        <f aca="false">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ustomFormat="false" ht="15" hidden="false" customHeight="false" outlineLevel="0" collapsed="false">
      <c r="A94" s="11" t="n">
        <v>46434</v>
      </c>
      <c r="B94" s="38" t="n">
        <v>0.666666666666667</v>
      </c>
      <c r="C94" s="10" t="s">
        <v>549</v>
      </c>
      <c r="D94" s="10" t="s">
        <v>681</v>
      </c>
      <c r="E94" s="10" t="s">
        <v>721</v>
      </c>
      <c r="F94" s="0" t="n">
        <v>3</v>
      </c>
      <c r="G94" s="10" t="s">
        <v>827</v>
      </c>
      <c r="H94" s="10" t="s">
        <v>885</v>
      </c>
      <c r="J94" s="30" t="n">
        <f aca="false">IF(OR($C94="",$A94=""),"",IF($A94&lt;IFERROR(IF(INDEX(campaigns!$BG$2:$BG$51,MATCH($C94,campaigns!$A$2:$A$51,0))="","",INDEX(campaigns!$BG$2:$BG$51,MATCH($C94,campaigns!$A$2:$A$51,0))),""),0,NETWORKDAYS(IFERROR(IF(INDEX(campaigns!$BG$2:$BG$51,MATCH($C94,campaigns!$A$2:$A$51,0))="","",INDEX(campaigns!$BG$2:$BG$51,MATCH($C94,campaigns!$A$2:$A$51,0))),""),$A94,calendar!$A$2:$A$80)))</f>
        <v>5</v>
      </c>
      <c r="K94" s="30" t="str">
        <f aca="false">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ustomFormat="false" ht="15" hidden="false" customHeight="false" outlineLevel="0" collapsed="false">
      <c r="A95" s="11" t="n">
        <v>46427</v>
      </c>
      <c r="B95" s="38" t="n">
        <v>0.541666666666667</v>
      </c>
      <c r="C95" s="10" t="s">
        <v>549</v>
      </c>
      <c r="D95" s="10" t="s">
        <v>683</v>
      </c>
      <c r="E95" s="10" t="s">
        <v>826</v>
      </c>
      <c r="F95" s="0" t="n">
        <v>50</v>
      </c>
      <c r="G95" s="10" t="s">
        <v>827</v>
      </c>
      <c r="H95" s="10" t="s">
        <v>886</v>
      </c>
      <c r="J95" s="30" t="n">
        <f aca="false">IF(OR($C95="",$A95=""),"",IF($A95&lt;IFERROR(IF(INDEX(campaigns!$BG$2:$BG$51,MATCH($C95,campaigns!$A$2:$A$51,0))="","",INDEX(campaigns!$BG$2:$BG$51,MATCH($C95,campaigns!$A$2:$A$51,0))),""),0,NETWORKDAYS(IFERROR(IF(INDEX(campaigns!$BG$2:$BG$51,MATCH($C95,campaigns!$A$2:$A$51,0))="","",INDEX(campaigns!$BG$2:$BG$51,MATCH($C95,campaigns!$A$2:$A$51,0))),""),$A95,calendar!$A$2:$A$80)))</f>
        <v>1</v>
      </c>
      <c r="K95" s="30" t="str">
        <f aca="false">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ustomFormat="false" ht="15" hidden="false" customHeight="false" outlineLevel="0" collapsed="false">
      <c r="A96" s="11" t="n">
        <v>46429</v>
      </c>
      <c r="B96" s="38" t="n">
        <v>0.458333333333333</v>
      </c>
      <c r="C96" s="10" t="s">
        <v>549</v>
      </c>
      <c r="D96" s="10" t="s">
        <v>683</v>
      </c>
      <c r="E96" s="10" t="s">
        <v>720</v>
      </c>
      <c r="F96" s="0" t="n">
        <v>26</v>
      </c>
      <c r="G96" s="10" t="s">
        <v>829</v>
      </c>
      <c r="J96" s="30" t="n">
        <f aca="false">IF(OR($C96="",$A96=""),"",IF($A96&lt;IFERROR(IF(INDEX(campaigns!$BG$2:$BG$51,MATCH($C96,campaigns!$A$2:$A$51,0))="","",INDEX(campaigns!$BG$2:$BG$51,MATCH($C96,campaigns!$A$2:$A$51,0))),""),0,NETWORKDAYS(IFERROR(IF(INDEX(campaigns!$BG$2:$BG$51,MATCH($C96,campaigns!$A$2:$A$51,0))="","",INDEX(campaigns!$BG$2:$BG$51,MATCH($C96,campaigns!$A$2:$A$51,0))),""),$A96,calendar!$A$2:$A$80)))</f>
        <v>3</v>
      </c>
      <c r="K96" s="30" t="str">
        <f aca="false">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ustomFormat="false" ht="15" hidden="false" customHeight="false" outlineLevel="0" collapsed="false">
      <c r="A97" s="11" t="n">
        <v>46434</v>
      </c>
      <c r="B97" s="38" t="n">
        <v>0.666666666666667</v>
      </c>
      <c r="C97" s="10" t="s">
        <v>549</v>
      </c>
      <c r="D97" s="10" t="s">
        <v>683</v>
      </c>
      <c r="E97" s="10" t="s">
        <v>721</v>
      </c>
      <c r="F97" s="0" t="n">
        <v>8</v>
      </c>
      <c r="G97" s="10" t="s">
        <v>827</v>
      </c>
      <c r="H97" s="10" t="s">
        <v>887</v>
      </c>
      <c r="J97" s="30" t="n">
        <f aca="false">IF(OR($C97="",$A97=""),"",IF($A97&lt;IFERROR(IF(INDEX(campaigns!$BG$2:$BG$51,MATCH($C97,campaigns!$A$2:$A$51,0))="","",INDEX(campaigns!$BG$2:$BG$51,MATCH($C97,campaigns!$A$2:$A$51,0))),""),0,NETWORKDAYS(IFERROR(IF(INDEX(campaigns!$BG$2:$BG$51,MATCH($C97,campaigns!$A$2:$A$51,0))="","",INDEX(campaigns!$BG$2:$BG$51,MATCH($C97,campaigns!$A$2:$A$51,0))),""),$A97,calendar!$A$2:$A$80)))</f>
        <v>5</v>
      </c>
      <c r="K97" s="30" t="str">
        <f aca="false">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ustomFormat="false" ht="15" hidden="false" customHeight="false" outlineLevel="0" collapsed="false">
      <c r="A98" s="11" t="n">
        <v>46428</v>
      </c>
      <c r="B98" s="38" t="n">
        <v>0.395833333333333</v>
      </c>
      <c r="C98" s="10" t="s">
        <v>549</v>
      </c>
      <c r="D98" s="10" t="s">
        <v>686</v>
      </c>
      <c r="E98" s="10" t="s">
        <v>826</v>
      </c>
      <c r="F98" s="0" t="n">
        <v>50</v>
      </c>
      <c r="G98" s="10" t="s">
        <v>827</v>
      </c>
      <c r="H98" s="10" t="s">
        <v>888</v>
      </c>
      <c r="J98" s="30" t="n">
        <f aca="false">IF(OR($C98="",$A98=""),"",IF($A98&lt;IFERROR(IF(INDEX(campaigns!$BG$2:$BG$51,MATCH($C98,campaigns!$A$2:$A$51,0))="","",INDEX(campaigns!$BG$2:$BG$51,MATCH($C98,campaigns!$A$2:$A$51,0))),""),0,NETWORKDAYS(IFERROR(IF(INDEX(campaigns!$BG$2:$BG$51,MATCH($C98,campaigns!$A$2:$A$51,0))="","",INDEX(campaigns!$BG$2:$BG$51,MATCH($C98,campaigns!$A$2:$A$51,0))),""),$A98,calendar!$A$2:$A$80)))</f>
        <v>2</v>
      </c>
      <c r="K98" s="30" t="str">
        <f aca="false">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ustomFormat="false" ht="15" hidden="false" customHeight="false" outlineLevel="0" collapsed="false">
      <c r="A99" s="11" t="n">
        <v>46429</v>
      </c>
      <c r="B99" s="38" t="n">
        <v>0.458333333333333</v>
      </c>
      <c r="C99" s="10" t="s">
        <v>549</v>
      </c>
      <c r="D99" s="10" t="s">
        <v>686</v>
      </c>
      <c r="E99" s="10" t="s">
        <v>720</v>
      </c>
      <c r="F99" s="0" t="n">
        <v>16</v>
      </c>
      <c r="G99" s="10" t="s">
        <v>829</v>
      </c>
      <c r="J99" s="30" t="n">
        <f aca="false">IF(OR($C99="",$A99=""),"",IF($A99&lt;IFERROR(IF(INDEX(campaigns!$BG$2:$BG$51,MATCH($C99,campaigns!$A$2:$A$51,0))="","",INDEX(campaigns!$BG$2:$BG$51,MATCH($C99,campaigns!$A$2:$A$51,0))),""),0,NETWORKDAYS(IFERROR(IF(INDEX(campaigns!$BG$2:$BG$51,MATCH($C99,campaigns!$A$2:$A$51,0))="","",INDEX(campaigns!$BG$2:$BG$51,MATCH($C99,campaigns!$A$2:$A$51,0))),""),$A99,calendar!$A$2:$A$80)))</f>
        <v>3</v>
      </c>
      <c r="K99" s="30" t="str">
        <f aca="false">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ustomFormat="false" ht="15" hidden="false" customHeight="false" outlineLevel="0" collapsed="false">
      <c r="A100" s="11" t="n">
        <v>46434</v>
      </c>
      <c r="B100" s="38" t="n">
        <v>0.666666666666667</v>
      </c>
      <c r="C100" s="10" t="s">
        <v>549</v>
      </c>
      <c r="D100" s="10" t="s">
        <v>686</v>
      </c>
      <c r="E100" s="10" t="s">
        <v>721</v>
      </c>
      <c r="F100" s="0" t="n">
        <v>4</v>
      </c>
      <c r="G100" s="10" t="s">
        <v>827</v>
      </c>
      <c r="H100" s="10" t="s">
        <v>889</v>
      </c>
      <c r="J100" s="30" t="n">
        <f aca="false">IF(OR($C100="",$A100=""),"",IF($A100&lt;IFERROR(IF(INDEX(campaigns!$BG$2:$BG$51,MATCH($C100,campaigns!$A$2:$A$51,0))="","",INDEX(campaigns!$BG$2:$BG$51,MATCH($C100,campaigns!$A$2:$A$51,0))),""),0,NETWORKDAYS(IFERROR(IF(INDEX(campaigns!$BG$2:$BG$51,MATCH($C100,campaigns!$A$2:$A$51,0))="","",INDEX(campaigns!$BG$2:$BG$51,MATCH($C100,campaigns!$A$2:$A$51,0))),""),$A100,calendar!$A$2:$A$80)))</f>
        <v>5</v>
      </c>
      <c r="K100" s="30" t="str">
        <f aca="false">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ustomFormat="false" ht="15" hidden="false" customHeight="false" outlineLevel="0" collapsed="false">
      <c r="A101" s="11" t="n">
        <v>46427</v>
      </c>
      <c r="B101" s="38" t="n">
        <v>0.541666666666667</v>
      </c>
      <c r="C101" s="10" t="s">
        <v>549</v>
      </c>
      <c r="D101" s="10" t="s">
        <v>688</v>
      </c>
      <c r="E101" s="10" t="s">
        <v>826</v>
      </c>
      <c r="F101" s="0" t="n">
        <v>70</v>
      </c>
      <c r="G101" s="10" t="s">
        <v>827</v>
      </c>
      <c r="H101" s="10" t="s">
        <v>890</v>
      </c>
      <c r="J101" s="30" t="n">
        <f aca="false">IF(OR($C101="",$A101=""),"",IF($A101&lt;IFERROR(IF(INDEX(campaigns!$BG$2:$BG$51,MATCH($C101,campaigns!$A$2:$A$51,0))="","",INDEX(campaigns!$BG$2:$BG$51,MATCH($C101,campaigns!$A$2:$A$51,0))),""),0,NETWORKDAYS(IFERROR(IF(INDEX(campaigns!$BG$2:$BG$51,MATCH($C101,campaigns!$A$2:$A$51,0))="","",INDEX(campaigns!$BG$2:$BG$51,MATCH($C101,campaigns!$A$2:$A$51,0))),""),$A101,calendar!$A$2:$A$80)))</f>
        <v>1</v>
      </c>
      <c r="K101" s="30" t="str">
        <f aca="false">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ustomFormat="false" ht="15" hidden="false" customHeight="false" outlineLevel="0" collapsed="false">
      <c r="A102" s="11" t="n">
        <v>46429</v>
      </c>
      <c r="B102" s="38" t="n">
        <v>0.458333333333333</v>
      </c>
      <c r="C102" s="10" t="s">
        <v>549</v>
      </c>
      <c r="D102" s="10" t="s">
        <v>688</v>
      </c>
      <c r="E102" s="10" t="s">
        <v>720</v>
      </c>
      <c r="F102" s="0" t="n">
        <v>30</v>
      </c>
      <c r="G102" s="10" t="s">
        <v>829</v>
      </c>
      <c r="J102" s="30" t="n">
        <f aca="false">IF(OR($C102="",$A102=""),"",IF($A102&lt;IFERROR(IF(INDEX(campaigns!$BG$2:$BG$51,MATCH($C102,campaigns!$A$2:$A$51,0))="","",INDEX(campaigns!$BG$2:$BG$51,MATCH($C102,campaigns!$A$2:$A$51,0))),""),0,NETWORKDAYS(IFERROR(IF(INDEX(campaigns!$BG$2:$BG$51,MATCH($C102,campaigns!$A$2:$A$51,0))="","",INDEX(campaigns!$BG$2:$BG$51,MATCH($C102,campaigns!$A$2:$A$51,0))),""),$A102,calendar!$A$2:$A$80)))</f>
        <v>3</v>
      </c>
      <c r="K102" s="30" t="str">
        <f aca="false">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ustomFormat="false" ht="15" hidden="false" customHeight="false" outlineLevel="0" collapsed="false">
      <c r="A103" s="11" t="n">
        <v>46434</v>
      </c>
      <c r="B103" s="38" t="n">
        <v>0.666666666666667</v>
      </c>
      <c r="C103" s="10" t="s">
        <v>549</v>
      </c>
      <c r="D103" s="10" t="s">
        <v>688</v>
      </c>
      <c r="E103" s="10" t="s">
        <v>721</v>
      </c>
      <c r="F103" s="0" t="n">
        <v>12</v>
      </c>
      <c r="G103" s="10" t="s">
        <v>827</v>
      </c>
      <c r="H103" s="10" t="s">
        <v>891</v>
      </c>
      <c r="J103" s="30" t="n">
        <f aca="false">IF(OR($C103="",$A103=""),"",IF($A103&lt;IFERROR(IF(INDEX(campaigns!$BG$2:$BG$51,MATCH($C103,campaigns!$A$2:$A$51,0))="","",INDEX(campaigns!$BG$2:$BG$51,MATCH($C103,campaigns!$A$2:$A$51,0))),""),0,NETWORKDAYS(IFERROR(IF(INDEX(campaigns!$BG$2:$BG$51,MATCH($C103,campaigns!$A$2:$A$51,0))="","",INDEX(campaigns!$BG$2:$BG$51,MATCH($C103,campaigns!$A$2:$A$51,0))),""),$A103,calendar!$A$2:$A$80)))</f>
        <v>5</v>
      </c>
      <c r="K103" s="30" t="str">
        <f aca="false">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ustomFormat="false" ht="15" hidden="false" customHeight="false" outlineLevel="0" collapsed="false">
      <c r="A104" s="11" t="n">
        <v>46427</v>
      </c>
      <c r="B104" s="38" t="n">
        <v>0.541666666666667</v>
      </c>
      <c r="C104" s="10" t="s">
        <v>549</v>
      </c>
      <c r="D104" s="10" t="s">
        <v>690</v>
      </c>
      <c r="E104" s="10" t="s">
        <v>826</v>
      </c>
      <c r="F104" s="0" t="n">
        <v>45</v>
      </c>
      <c r="G104" s="10" t="s">
        <v>827</v>
      </c>
      <c r="H104" s="10" t="s">
        <v>892</v>
      </c>
      <c r="J104" s="30" t="n">
        <f aca="false">IF(OR($C104="",$A104=""),"",IF($A104&lt;IFERROR(IF(INDEX(campaigns!$BG$2:$BG$51,MATCH($C104,campaigns!$A$2:$A$51,0))="","",INDEX(campaigns!$BG$2:$BG$51,MATCH($C104,campaigns!$A$2:$A$51,0))),""),0,NETWORKDAYS(IFERROR(IF(INDEX(campaigns!$BG$2:$BG$51,MATCH($C104,campaigns!$A$2:$A$51,0))="","",INDEX(campaigns!$BG$2:$BG$51,MATCH($C104,campaigns!$A$2:$A$51,0))),""),$A104,calendar!$A$2:$A$80)))</f>
        <v>1</v>
      </c>
      <c r="K104" s="30" t="str">
        <f aca="false">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ustomFormat="false" ht="15" hidden="false" customHeight="false" outlineLevel="0" collapsed="false">
      <c r="A105" s="11" t="n">
        <v>46429</v>
      </c>
      <c r="B105" s="38" t="n">
        <v>0.458333333333333</v>
      </c>
      <c r="C105" s="10" t="s">
        <v>549</v>
      </c>
      <c r="D105" s="10" t="s">
        <v>690</v>
      </c>
      <c r="E105" s="10" t="s">
        <v>720</v>
      </c>
      <c r="F105" s="0" t="n">
        <v>22</v>
      </c>
      <c r="G105" s="10" t="s">
        <v>829</v>
      </c>
      <c r="J105" s="30" t="n">
        <f aca="false">IF(OR($C105="",$A105=""),"",IF($A105&lt;IFERROR(IF(INDEX(campaigns!$BG$2:$BG$51,MATCH($C105,campaigns!$A$2:$A$51,0))="","",INDEX(campaigns!$BG$2:$BG$51,MATCH($C105,campaigns!$A$2:$A$51,0))),""),0,NETWORKDAYS(IFERROR(IF(INDEX(campaigns!$BG$2:$BG$51,MATCH($C105,campaigns!$A$2:$A$51,0))="","",INDEX(campaigns!$BG$2:$BG$51,MATCH($C105,campaigns!$A$2:$A$51,0))),""),$A105,calendar!$A$2:$A$80)))</f>
        <v>3</v>
      </c>
      <c r="K105" s="30" t="str">
        <f aca="false">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ustomFormat="false" ht="15" hidden="false" customHeight="false" outlineLevel="0" collapsed="false">
      <c r="A106" s="11" t="n">
        <v>46434</v>
      </c>
      <c r="B106" s="38" t="n">
        <v>0.666666666666667</v>
      </c>
      <c r="C106" s="10" t="s">
        <v>549</v>
      </c>
      <c r="D106" s="10" t="s">
        <v>690</v>
      </c>
      <c r="E106" s="10" t="s">
        <v>721</v>
      </c>
      <c r="F106" s="0" t="n">
        <v>4</v>
      </c>
      <c r="G106" s="10" t="s">
        <v>827</v>
      </c>
      <c r="H106" s="10" t="s">
        <v>893</v>
      </c>
      <c r="J106" s="30" t="n">
        <f aca="false">IF(OR($C106="",$A106=""),"",IF($A106&lt;IFERROR(IF(INDEX(campaigns!$BG$2:$BG$51,MATCH($C106,campaigns!$A$2:$A$51,0))="","",INDEX(campaigns!$BG$2:$BG$51,MATCH($C106,campaigns!$A$2:$A$51,0))),""),0,NETWORKDAYS(IFERROR(IF(INDEX(campaigns!$BG$2:$BG$51,MATCH($C106,campaigns!$A$2:$A$51,0))="","",INDEX(campaigns!$BG$2:$BG$51,MATCH($C106,campaigns!$A$2:$A$51,0))),""),$A106,calendar!$A$2:$A$80)))</f>
        <v>5</v>
      </c>
      <c r="K106" s="30" t="str">
        <f aca="false">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ustomFormat="false" ht="15" hidden="false" customHeight="false" outlineLevel="0" collapsed="false">
      <c r="A107" s="11" t="n">
        <v>46427</v>
      </c>
      <c r="B107" s="38" t="n">
        <v>0.541666666666667</v>
      </c>
      <c r="C107" s="10" t="s">
        <v>549</v>
      </c>
      <c r="D107" s="10" t="s">
        <v>692</v>
      </c>
      <c r="E107" s="10" t="s">
        <v>826</v>
      </c>
      <c r="F107" s="0" t="n">
        <v>60</v>
      </c>
      <c r="G107" s="10" t="s">
        <v>827</v>
      </c>
      <c r="H107" s="10" t="s">
        <v>894</v>
      </c>
      <c r="J107" s="30" t="n">
        <f aca="false">IF(OR($C107="",$A107=""),"",IF($A107&lt;IFERROR(IF(INDEX(campaigns!$BG$2:$BG$51,MATCH($C107,campaigns!$A$2:$A$51,0))="","",INDEX(campaigns!$BG$2:$BG$51,MATCH($C107,campaigns!$A$2:$A$51,0))),""),0,NETWORKDAYS(IFERROR(IF(INDEX(campaigns!$BG$2:$BG$51,MATCH($C107,campaigns!$A$2:$A$51,0))="","",INDEX(campaigns!$BG$2:$BG$51,MATCH($C107,campaigns!$A$2:$A$51,0))),""),$A107,calendar!$A$2:$A$80)))</f>
        <v>1</v>
      </c>
      <c r="K107" s="30" t="str">
        <f aca="false">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ustomFormat="false" ht="15" hidden="false" customHeight="false" outlineLevel="0" collapsed="false">
      <c r="A108" s="11" t="n">
        <v>46429</v>
      </c>
      <c r="B108" s="38" t="n">
        <v>0.458333333333333</v>
      </c>
      <c r="C108" s="10" t="s">
        <v>549</v>
      </c>
      <c r="D108" s="10" t="s">
        <v>692</v>
      </c>
      <c r="E108" s="10" t="s">
        <v>720</v>
      </c>
      <c r="F108" s="0" t="n">
        <v>35</v>
      </c>
      <c r="G108" s="10" t="s">
        <v>829</v>
      </c>
      <c r="J108" s="30" t="n">
        <f aca="false">IF(OR($C108="",$A108=""),"",IF($A108&lt;IFERROR(IF(INDEX(campaigns!$BG$2:$BG$51,MATCH($C108,campaigns!$A$2:$A$51,0))="","",INDEX(campaigns!$BG$2:$BG$51,MATCH($C108,campaigns!$A$2:$A$51,0))),""),0,NETWORKDAYS(IFERROR(IF(INDEX(campaigns!$BG$2:$BG$51,MATCH($C108,campaigns!$A$2:$A$51,0))="","",INDEX(campaigns!$BG$2:$BG$51,MATCH($C108,campaigns!$A$2:$A$51,0))),""),$A108,calendar!$A$2:$A$80)))</f>
        <v>3</v>
      </c>
      <c r="K108" s="30" t="str">
        <f aca="false">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ustomFormat="false" ht="15" hidden="false" customHeight="false" outlineLevel="0" collapsed="false">
      <c r="A109" s="11" t="n">
        <v>46434</v>
      </c>
      <c r="B109" s="38" t="n">
        <v>0.666666666666667</v>
      </c>
      <c r="C109" s="10" t="s">
        <v>549</v>
      </c>
      <c r="D109" s="10" t="s">
        <v>692</v>
      </c>
      <c r="E109" s="10" t="s">
        <v>721</v>
      </c>
      <c r="F109" s="0" t="n">
        <v>4</v>
      </c>
      <c r="G109" s="10" t="s">
        <v>827</v>
      </c>
      <c r="H109" s="10" t="s">
        <v>895</v>
      </c>
      <c r="J109" s="30" t="n">
        <f aca="false">IF(OR($C109="",$A109=""),"",IF($A109&lt;IFERROR(IF(INDEX(campaigns!$BG$2:$BG$51,MATCH($C109,campaigns!$A$2:$A$51,0))="","",INDEX(campaigns!$BG$2:$BG$51,MATCH($C109,campaigns!$A$2:$A$51,0))),""),0,NETWORKDAYS(IFERROR(IF(INDEX(campaigns!$BG$2:$BG$51,MATCH($C109,campaigns!$A$2:$A$51,0))="","",INDEX(campaigns!$BG$2:$BG$51,MATCH($C109,campaigns!$A$2:$A$51,0))),""),$A109,calendar!$A$2:$A$80)))</f>
        <v>5</v>
      </c>
      <c r="K109" s="30" t="str">
        <f aca="false">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ustomFormat="false" ht="15" hidden="false" customHeight="false" outlineLevel="0" collapsed="false">
      <c r="A110" s="11" t="n">
        <v>46427</v>
      </c>
      <c r="B110" s="38" t="n">
        <v>0.541666666666667</v>
      </c>
      <c r="C110" s="10" t="s">
        <v>549</v>
      </c>
      <c r="D110" s="10" t="s">
        <v>694</v>
      </c>
      <c r="E110" s="10" t="s">
        <v>826</v>
      </c>
      <c r="F110" s="0" t="n">
        <v>45</v>
      </c>
      <c r="G110" s="10" t="s">
        <v>827</v>
      </c>
      <c r="H110" s="10" t="s">
        <v>896</v>
      </c>
      <c r="J110" s="30" t="n">
        <f aca="false">IF(OR($C110="",$A110=""),"",IF($A110&lt;IFERROR(IF(INDEX(campaigns!$BG$2:$BG$51,MATCH($C110,campaigns!$A$2:$A$51,0))="","",INDEX(campaigns!$BG$2:$BG$51,MATCH($C110,campaigns!$A$2:$A$51,0))),""),0,NETWORKDAYS(IFERROR(IF(INDEX(campaigns!$BG$2:$BG$51,MATCH($C110,campaigns!$A$2:$A$51,0))="","",INDEX(campaigns!$BG$2:$BG$51,MATCH($C110,campaigns!$A$2:$A$51,0))),""),$A110,calendar!$A$2:$A$80)))</f>
        <v>1</v>
      </c>
      <c r="K110" s="30" t="str">
        <f aca="false">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ustomFormat="false" ht="15" hidden="false" customHeight="false" outlineLevel="0" collapsed="false">
      <c r="A111" s="11" t="n">
        <v>46429</v>
      </c>
      <c r="B111" s="38" t="n">
        <v>0.458333333333333</v>
      </c>
      <c r="C111" s="10" t="s">
        <v>549</v>
      </c>
      <c r="D111" s="10" t="s">
        <v>694</v>
      </c>
      <c r="E111" s="10" t="s">
        <v>720</v>
      </c>
      <c r="F111" s="0" t="n">
        <v>17</v>
      </c>
      <c r="G111" s="10" t="s">
        <v>829</v>
      </c>
      <c r="J111" s="30" t="n">
        <f aca="false">IF(OR($C111="",$A111=""),"",IF($A111&lt;IFERROR(IF(INDEX(campaigns!$BG$2:$BG$51,MATCH($C111,campaigns!$A$2:$A$51,0))="","",INDEX(campaigns!$BG$2:$BG$51,MATCH($C111,campaigns!$A$2:$A$51,0))),""),0,NETWORKDAYS(IFERROR(IF(INDEX(campaigns!$BG$2:$BG$51,MATCH($C111,campaigns!$A$2:$A$51,0))="","",INDEX(campaigns!$BG$2:$BG$51,MATCH($C111,campaigns!$A$2:$A$51,0))),""),$A111,calendar!$A$2:$A$80)))</f>
        <v>3</v>
      </c>
      <c r="K111" s="30" t="str">
        <f aca="false">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ustomFormat="false" ht="15" hidden="false" customHeight="false" outlineLevel="0" collapsed="false">
      <c r="A112" s="11" t="n">
        <v>46434</v>
      </c>
      <c r="B112" s="38" t="n">
        <v>0.666666666666667</v>
      </c>
      <c r="C112" s="10" t="s">
        <v>549</v>
      </c>
      <c r="D112" s="10" t="s">
        <v>694</v>
      </c>
      <c r="E112" s="10" t="s">
        <v>721</v>
      </c>
      <c r="F112" s="0" t="n">
        <v>6</v>
      </c>
      <c r="G112" s="10" t="s">
        <v>827</v>
      </c>
      <c r="H112" s="10" t="s">
        <v>897</v>
      </c>
      <c r="J112" s="30" t="n">
        <f aca="false">IF(OR($C112="",$A112=""),"",IF($A112&lt;IFERROR(IF(INDEX(campaigns!$BG$2:$BG$51,MATCH($C112,campaigns!$A$2:$A$51,0))="","",INDEX(campaigns!$BG$2:$BG$51,MATCH($C112,campaigns!$A$2:$A$51,0))),""),0,NETWORKDAYS(IFERROR(IF(INDEX(campaigns!$BG$2:$BG$51,MATCH($C112,campaigns!$A$2:$A$51,0))="","",INDEX(campaigns!$BG$2:$BG$51,MATCH($C112,campaigns!$A$2:$A$51,0))),""),$A112,calendar!$A$2:$A$80)))</f>
        <v>5</v>
      </c>
      <c r="K112" s="30" t="str">
        <f aca="false">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ustomFormat="false" ht="15" hidden="false" customHeight="false" outlineLevel="0" collapsed="false">
      <c r="A113" s="11" t="n">
        <v>46428</v>
      </c>
      <c r="B113" s="38" t="n">
        <v>0.381944444444444</v>
      </c>
      <c r="C113" s="10" t="s">
        <v>549</v>
      </c>
      <c r="D113" s="10" t="s">
        <v>696</v>
      </c>
      <c r="E113" s="10" t="s">
        <v>826</v>
      </c>
      <c r="F113" s="0" t="n">
        <v>75</v>
      </c>
      <c r="G113" s="10" t="s">
        <v>827</v>
      </c>
      <c r="H113" s="10" t="s">
        <v>898</v>
      </c>
      <c r="J113" s="30" t="n">
        <f aca="false">IF(OR($C113="",$A113=""),"",IF($A113&lt;IFERROR(IF(INDEX(campaigns!$BG$2:$BG$51,MATCH($C113,campaigns!$A$2:$A$51,0))="","",INDEX(campaigns!$BG$2:$BG$51,MATCH($C113,campaigns!$A$2:$A$51,0))),""),0,NETWORKDAYS(IFERROR(IF(INDEX(campaigns!$BG$2:$BG$51,MATCH($C113,campaigns!$A$2:$A$51,0))="","",INDEX(campaigns!$BG$2:$BG$51,MATCH($C113,campaigns!$A$2:$A$51,0))),""),$A113,calendar!$A$2:$A$80)))</f>
        <v>2</v>
      </c>
      <c r="K113" s="30" t="str">
        <f aca="false">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ustomFormat="false" ht="15" hidden="false" customHeight="false" outlineLevel="0" collapsed="false">
      <c r="A114" s="11" t="n">
        <v>46429</v>
      </c>
      <c r="B114" s="38" t="n">
        <v>0.458333333333333</v>
      </c>
      <c r="C114" s="10" t="s">
        <v>549</v>
      </c>
      <c r="D114" s="10" t="s">
        <v>696</v>
      </c>
      <c r="E114" s="10" t="s">
        <v>720</v>
      </c>
      <c r="F114" s="0" t="n">
        <v>22</v>
      </c>
      <c r="G114" s="10" t="s">
        <v>829</v>
      </c>
      <c r="J114" s="30" t="n">
        <f aca="false">IF(OR($C114="",$A114=""),"",IF($A114&lt;IFERROR(IF(INDEX(campaigns!$BG$2:$BG$51,MATCH($C114,campaigns!$A$2:$A$51,0))="","",INDEX(campaigns!$BG$2:$BG$51,MATCH($C114,campaigns!$A$2:$A$51,0))),""),0,NETWORKDAYS(IFERROR(IF(INDEX(campaigns!$BG$2:$BG$51,MATCH($C114,campaigns!$A$2:$A$51,0))="","",INDEX(campaigns!$BG$2:$BG$51,MATCH($C114,campaigns!$A$2:$A$51,0))),""),$A114,calendar!$A$2:$A$80)))</f>
        <v>3</v>
      </c>
      <c r="K114" s="30" t="str">
        <f aca="false">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ustomFormat="false" ht="15" hidden="false" customHeight="false" outlineLevel="0" collapsed="false">
      <c r="A115" s="11" t="n">
        <v>46434</v>
      </c>
      <c r="B115" s="38" t="n">
        <v>0.666666666666667</v>
      </c>
      <c r="C115" s="10" t="s">
        <v>549</v>
      </c>
      <c r="D115" s="10" t="s">
        <v>696</v>
      </c>
      <c r="E115" s="10" t="s">
        <v>721</v>
      </c>
      <c r="F115" s="0" t="n">
        <v>5</v>
      </c>
      <c r="G115" s="10" t="s">
        <v>827</v>
      </c>
      <c r="H115" s="10" t="s">
        <v>899</v>
      </c>
      <c r="J115" s="30" t="n">
        <f aca="false">IF(OR($C115="",$A115=""),"",IF($A115&lt;IFERROR(IF(INDEX(campaigns!$BG$2:$BG$51,MATCH($C115,campaigns!$A$2:$A$51,0))="","",INDEX(campaigns!$BG$2:$BG$51,MATCH($C115,campaigns!$A$2:$A$51,0))),""),0,NETWORKDAYS(IFERROR(IF(INDEX(campaigns!$BG$2:$BG$51,MATCH($C115,campaigns!$A$2:$A$51,0))="","",INDEX(campaigns!$BG$2:$BG$51,MATCH($C115,campaigns!$A$2:$A$51,0))),""),$A115,calendar!$A$2:$A$80)))</f>
        <v>5</v>
      </c>
      <c r="K115" s="30" t="str">
        <f aca="false">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ustomFormat="false" ht="15" hidden="false" customHeight="false" outlineLevel="0" collapsed="false">
      <c r="A116" s="11" t="n">
        <v>46427</v>
      </c>
      <c r="B116" s="38" t="n">
        <v>0.541666666666667</v>
      </c>
      <c r="C116" s="10" t="s">
        <v>549</v>
      </c>
      <c r="D116" s="10" t="s">
        <v>698</v>
      </c>
      <c r="E116" s="10" t="s">
        <v>826</v>
      </c>
      <c r="F116" s="0" t="n">
        <v>40</v>
      </c>
      <c r="G116" s="10" t="s">
        <v>827</v>
      </c>
      <c r="H116" s="10" t="s">
        <v>900</v>
      </c>
      <c r="J116" s="30" t="n">
        <f aca="false">IF(OR($C116="",$A116=""),"",IF($A116&lt;IFERROR(IF(INDEX(campaigns!$BG$2:$BG$51,MATCH($C116,campaigns!$A$2:$A$51,0))="","",INDEX(campaigns!$BG$2:$BG$51,MATCH($C116,campaigns!$A$2:$A$51,0))),""),0,NETWORKDAYS(IFERROR(IF(INDEX(campaigns!$BG$2:$BG$51,MATCH($C116,campaigns!$A$2:$A$51,0))="","",INDEX(campaigns!$BG$2:$BG$51,MATCH($C116,campaigns!$A$2:$A$51,0))),""),$A116,calendar!$A$2:$A$80)))</f>
        <v>1</v>
      </c>
      <c r="K116" s="30" t="str">
        <f aca="false">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ustomFormat="false" ht="15" hidden="false" customHeight="false" outlineLevel="0" collapsed="false">
      <c r="A117" s="11" t="n">
        <v>46429</v>
      </c>
      <c r="B117" s="38" t="n">
        <v>0.458333333333333</v>
      </c>
      <c r="C117" s="10" t="s">
        <v>549</v>
      </c>
      <c r="D117" s="10" t="s">
        <v>698</v>
      </c>
      <c r="E117" s="10" t="s">
        <v>720</v>
      </c>
      <c r="F117" s="0" t="n">
        <v>10</v>
      </c>
      <c r="G117" s="10" t="s">
        <v>829</v>
      </c>
      <c r="J117" s="30" t="n">
        <f aca="false">IF(OR($C117="",$A117=""),"",IF($A117&lt;IFERROR(IF(INDEX(campaigns!$BG$2:$BG$51,MATCH($C117,campaigns!$A$2:$A$51,0))="","",INDEX(campaigns!$BG$2:$BG$51,MATCH($C117,campaigns!$A$2:$A$51,0))),""),0,NETWORKDAYS(IFERROR(IF(INDEX(campaigns!$BG$2:$BG$51,MATCH($C117,campaigns!$A$2:$A$51,0))="","",INDEX(campaigns!$BG$2:$BG$51,MATCH($C117,campaigns!$A$2:$A$51,0))),""),$A117,calendar!$A$2:$A$80)))</f>
        <v>3</v>
      </c>
      <c r="K117" s="30" t="str">
        <f aca="false">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ustomFormat="false" ht="15" hidden="false" customHeight="false" outlineLevel="0" collapsed="false">
      <c r="A118" s="11" t="n">
        <v>46434</v>
      </c>
      <c r="B118" s="38" t="n">
        <v>0.666666666666667</v>
      </c>
      <c r="C118" s="10" t="s">
        <v>549</v>
      </c>
      <c r="D118" s="10" t="s">
        <v>698</v>
      </c>
      <c r="E118" s="10" t="s">
        <v>721</v>
      </c>
      <c r="F118" s="0" t="n">
        <v>3</v>
      </c>
      <c r="G118" s="10" t="s">
        <v>827</v>
      </c>
      <c r="H118" s="10" t="s">
        <v>901</v>
      </c>
      <c r="J118" s="30" t="n">
        <f aca="false">IF(OR($C118="",$A118=""),"",IF($A118&lt;IFERROR(IF(INDEX(campaigns!$BG$2:$BG$51,MATCH($C118,campaigns!$A$2:$A$51,0))="","",INDEX(campaigns!$BG$2:$BG$51,MATCH($C118,campaigns!$A$2:$A$51,0))),""),0,NETWORKDAYS(IFERROR(IF(INDEX(campaigns!$BG$2:$BG$51,MATCH($C118,campaigns!$A$2:$A$51,0))="","",INDEX(campaigns!$BG$2:$BG$51,MATCH($C118,campaigns!$A$2:$A$51,0))),""),$A118,calendar!$A$2:$A$80)))</f>
        <v>5</v>
      </c>
      <c r="K118" s="30" t="str">
        <f aca="false">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ustomFormat="false" ht="15" hidden="false" customHeight="false" outlineLevel="0" collapsed="false">
      <c r="A119" s="11" t="n">
        <v>46441</v>
      </c>
      <c r="B119" s="38" t="n">
        <v>0.541666666666667</v>
      </c>
      <c r="C119" s="10" t="s">
        <v>563</v>
      </c>
      <c r="D119" s="10" t="s">
        <v>678</v>
      </c>
      <c r="E119" s="10" t="s">
        <v>826</v>
      </c>
      <c r="F119" s="0" t="n">
        <v>35</v>
      </c>
      <c r="G119" s="10" t="s">
        <v>827</v>
      </c>
      <c r="H119" s="10" t="s">
        <v>902</v>
      </c>
      <c r="J119" s="30" t="n">
        <f aca="false">IF(OR($C119="",$A119=""),"",IF($A119&lt;IFERROR(IF(INDEX(campaigns!$BG$2:$BG$51,MATCH($C119,campaigns!$A$2:$A$51,0))="","",INDEX(campaigns!$BG$2:$BG$51,MATCH($C119,campaigns!$A$2:$A$51,0))),""),0,NETWORKDAYS(IFERROR(IF(INDEX(campaigns!$BG$2:$BG$51,MATCH($C119,campaigns!$A$2:$A$51,0))="","",INDEX(campaigns!$BG$2:$BG$51,MATCH($C119,campaigns!$A$2:$A$51,0))),""),$A119,calendar!$A$2:$A$80)))</f>
        <v>1</v>
      </c>
      <c r="K119" s="30" t="str">
        <f aca="false">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ustomFormat="false" ht="15" hidden="false" customHeight="false" outlineLevel="0" collapsed="false">
      <c r="A120" s="11" t="n">
        <v>46443</v>
      </c>
      <c r="B120" s="38" t="n">
        <v>0.458333333333333</v>
      </c>
      <c r="C120" s="10" t="s">
        <v>563</v>
      </c>
      <c r="D120" s="10" t="s">
        <v>678</v>
      </c>
      <c r="E120" s="10" t="s">
        <v>720</v>
      </c>
      <c r="F120" s="0" t="n">
        <v>7</v>
      </c>
      <c r="G120" s="10" t="s">
        <v>829</v>
      </c>
      <c r="J120" s="30" t="n">
        <f aca="false">IF(OR($C120="",$A120=""),"",IF($A120&lt;IFERROR(IF(INDEX(campaigns!$BG$2:$BG$51,MATCH($C120,campaigns!$A$2:$A$51,0))="","",INDEX(campaigns!$BG$2:$BG$51,MATCH($C120,campaigns!$A$2:$A$51,0))),""),0,NETWORKDAYS(IFERROR(IF(INDEX(campaigns!$BG$2:$BG$51,MATCH($C120,campaigns!$A$2:$A$51,0))="","",INDEX(campaigns!$BG$2:$BG$51,MATCH($C120,campaigns!$A$2:$A$51,0))),""),$A120,calendar!$A$2:$A$80)))</f>
        <v>3</v>
      </c>
      <c r="K120" s="30" t="str">
        <f aca="false">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ustomFormat="false" ht="15" hidden="false" customHeight="false" outlineLevel="0" collapsed="false">
      <c r="A121" s="11" t="n">
        <v>46447</v>
      </c>
      <c r="B121" s="38" t="n">
        <v>0.666666666666667</v>
      </c>
      <c r="C121" s="10" t="s">
        <v>563</v>
      </c>
      <c r="D121" s="10" t="s">
        <v>678</v>
      </c>
      <c r="E121" s="10" t="s">
        <v>721</v>
      </c>
      <c r="F121" s="0" t="n">
        <v>1</v>
      </c>
      <c r="G121" s="10" t="s">
        <v>827</v>
      </c>
      <c r="H121" s="10" t="s">
        <v>903</v>
      </c>
      <c r="J121" s="30" t="n">
        <f aca="false">IF(OR($C121="",$A121=""),"",IF($A121&lt;IFERROR(IF(INDEX(campaigns!$BG$2:$BG$51,MATCH($C121,campaigns!$A$2:$A$51,0))="","",INDEX(campaigns!$BG$2:$BG$51,MATCH($C121,campaigns!$A$2:$A$51,0))),""),0,NETWORKDAYS(IFERROR(IF(INDEX(campaigns!$BG$2:$BG$51,MATCH($C121,campaigns!$A$2:$A$51,0))="","",INDEX(campaigns!$BG$2:$BG$51,MATCH($C121,campaigns!$A$2:$A$51,0))),""),$A121,calendar!$A$2:$A$80)))</f>
        <v>5</v>
      </c>
      <c r="K121" s="30" t="str">
        <f aca="false">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ustomFormat="false" ht="15" hidden="false" customHeight="false" outlineLevel="0" collapsed="false">
      <c r="A122" s="11" t="n">
        <v>46441</v>
      </c>
      <c r="B122" s="38" t="n">
        <v>0.541666666666667</v>
      </c>
      <c r="C122" s="10" t="s">
        <v>563</v>
      </c>
      <c r="D122" s="10" t="s">
        <v>681</v>
      </c>
      <c r="E122" s="10" t="s">
        <v>826</v>
      </c>
      <c r="F122" s="0" t="n">
        <v>35</v>
      </c>
      <c r="G122" s="10" t="s">
        <v>827</v>
      </c>
      <c r="H122" s="10" t="s">
        <v>904</v>
      </c>
      <c r="J122" s="30" t="n">
        <f aca="false">IF(OR($C122="",$A122=""),"",IF($A122&lt;IFERROR(IF(INDEX(campaigns!$BG$2:$BG$51,MATCH($C122,campaigns!$A$2:$A$51,0))="","",INDEX(campaigns!$BG$2:$BG$51,MATCH($C122,campaigns!$A$2:$A$51,0))),""),0,NETWORKDAYS(IFERROR(IF(INDEX(campaigns!$BG$2:$BG$51,MATCH($C122,campaigns!$A$2:$A$51,0))="","",INDEX(campaigns!$BG$2:$BG$51,MATCH($C122,campaigns!$A$2:$A$51,0))),""),$A122,calendar!$A$2:$A$80)))</f>
        <v>1</v>
      </c>
      <c r="K122" s="30" t="str">
        <f aca="false">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ustomFormat="false" ht="15" hidden="false" customHeight="false" outlineLevel="0" collapsed="false">
      <c r="A123" s="11" t="n">
        <v>46443</v>
      </c>
      <c r="B123" s="38" t="n">
        <v>0.458333333333333</v>
      </c>
      <c r="C123" s="10" t="s">
        <v>563</v>
      </c>
      <c r="D123" s="10" t="s">
        <v>681</v>
      </c>
      <c r="E123" s="10" t="s">
        <v>720</v>
      </c>
      <c r="F123" s="0" t="n">
        <v>9</v>
      </c>
      <c r="G123" s="10" t="s">
        <v>829</v>
      </c>
      <c r="J123" s="30" t="n">
        <f aca="false">IF(OR($C123="",$A123=""),"",IF($A123&lt;IFERROR(IF(INDEX(campaigns!$BG$2:$BG$51,MATCH($C123,campaigns!$A$2:$A$51,0))="","",INDEX(campaigns!$BG$2:$BG$51,MATCH($C123,campaigns!$A$2:$A$51,0))),""),0,NETWORKDAYS(IFERROR(IF(INDEX(campaigns!$BG$2:$BG$51,MATCH($C123,campaigns!$A$2:$A$51,0))="","",INDEX(campaigns!$BG$2:$BG$51,MATCH($C123,campaigns!$A$2:$A$51,0))),""),$A123,calendar!$A$2:$A$80)))</f>
        <v>3</v>
      </c>
      <c r="K123" s="30" t="str">
        <f aca="false">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ustomFormat="false" ht="15" hidden="false" customHeight="false" outlineLevel="0" collapsed="false">
      <c r="A124" s="11" t="n">
        <v>46447</v>
      </c>
      <c r="B124" s="38" t="n">
        <v>0.666666666666667</v>
      </c>
      <c r="C124" s="10" t="s">
        <v>563</v>
      </c>
      <c r="D124" s="10" t="s">
        <v>681</v>
      </c>
      <c r="E124" s="10" t="s">
        <v>721</v>
      </c>
      <c r="F124" s="0" t="n">
        <v>2</v>
      </c>
      <c r="G124" s="10" t="s">
        <v>827</v>
      </c>
      <c r="H124" s="10" t="s">
        <v>905</v>
      </c>
      <c r="J124" s="30" t="n">
        <f aca="false">IF(OR($C124="",$A124=""),"",IF($A124&lt;IFERROR(IF(INDEX(campaigns!$BG$2:$BG$51,MATCH($C124,campaigns!$A$2:$A$51,0))="","",INDEX(campaigns!$BG$2:$BG$51,MATCH($C124,campaigns!$A$2:$A$51,0))),""),0,NETWORKDAYS(IFERROR(IF(INDEX(campaigns!$BG$2:$BG$51,MATCH($C124,campaigns!$A$2:$A$51,0))="","",INDEX(campaigns!$BG$2:$BG$51,MATCH($C124,campaigns!$A$2:$A$51,0))),""),$A124,calendar!$A$2:$A$80)))</f>
        <v>5</v>
      </c>
      <c r="K124" s="30" t="str">
        <f aca="false">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ustomFormat="false" ht="15" hidden="false" customHeight="false" outlineLevel="0" collapsed="false">
      <c r="A125" s="11" t="n">
        <v>46441</v>
      </c>
      <c r="B125" s="38" t="n">
        <v>0.541666666666667</v>
      </c>
      <c r="C125" s="10" t="s">
        <v>563</v>
      </c>
      <c r="D125" s="10" t="s">
        <v>683</v>
      </c>
      <c r="E125" s="10" t="s">
        <v>826</v>
      </c>
      <c r="F125" s="0" t="n">
        <v>45</v>
      </c>
      <c r="G125" s="10" t="s">
        <v>827</v>
      </c>
      <c r="H125" s="10" t="s">
        <v>906</v>
      </c>
      <c r="J125" s="30" t="n">
        <f aca="false">IF(OR($C125="",$A125=""),"",IF($A125&lt;IFERROR(IF(INDEX(campaigns!$BG$2:$BG$51,MATCH($C125,campaigns!$A$2:$A$51,0))="","",INDEX(campaigns!$BG$2:$BG$51,MATCH($C125,campaigns!$A$2:$A$51,0))),""),0,NETWORKDAYS(IFERROR(IF(INDEX(campaigns!$BG$2:$BG$51,MATCH($C125,campaigns!$A$2:$A$51,0))="","",INDEX(campaigns!$BG$2:$BG$51,MATCH($C125,campaigns!$A$2:$A$51,0))),""),$A125,calendar!$A$2:$A$80)))</f>
        <v>1</v>
      </c>
      <c r="K125" s="30" t="str">
        <f aca="false">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ustomFormat="false" ht="15" hidden="false" customHeight="false" outlineLevel="0" collapsed="false">
      <c r="A126" s="11" t="n">
        <v>46443</v>
      </c>
      <c r="B126" s="38" t="n">
        <v>0.458333333333333</v>
      </c>
      <c r="C126" s="10" t="s">
        <v>563</v>
      </c>
      <c r="D126" s="10" t="s">
        <v>683</v>
      </c>
      <c r="E126" s="10" t="s">
        <v>720</v>
      </c>
      <c r="F126" s="0" t="n">
        <v>12</v>
      </c>
      <c r="G126" s="10" t="s">
        <v>829</v>
      </c>
      <c r="J126" s="30" t="n">
        <f aca="false">IF(OR($C126="",$A126=""),"",IF($A126&lt;IFERROR(IF(INDEX(campaigns!$BG$2:$BG$51,MATCH($C126,campaigns!$A$2:$A$51,0))="","",INDEX(campaigns!$BG$2:$BG$51,MATCH($C126,campaigns!$A$2:$A$51,0))),""),0,NETWORKDAYS(IFERROR(IF(INDEX(campaigns!$BG$2:$BG$51,MATCH($C126,campaigns!$A$2:$A$51,0))="","",INDEX(campaigns!$BG$2:$BG$51,MATCH($C126,campaigns!$A$2:$A$51,0))),""),$A126,calendar!$A$2:$A$80)))</f>
        <v>3</v>
      </c>
      <c r="K126" s="30" t="str">
        <f aca="false">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ustomFormat="false" ht="15" hidden="false" customHeight="false" outlineLevel="0" collapsed="false">
      <c r="A127" s="11" t="n">
        <v>46447</v>
      </c>
      <c r="B127" s="38" t="n">
        <v>0.666666666666667</v>
      </c>
      <c r="C127" s="10" t="s">
        <v>563</v>
      </c>
      <c r="D127" s="10" t="s">
        <v>683</v>
      </c>
      <c r="E127" s="10" t="s">
        <v>721</v>
      </c>
      <c r="F127" s="0" t="n">
        <v>4</v>
      </c>
      <c r="G127" s="10" t="s">
        <v>827</v>
      </c>
      <c r="H127" s="10" t="s">
        <v>907</v>
      </c>
      <c r="J127" s="30" t="n">
        <f aca="false">IF(OR($C127="",$A127=""),"",IF($A127&lt;IFERROR(IF(INDEX(campaigns!$BG$2:$BG$51,MATCH($C127,campaigns!$A$2:$A$51,0))="","",INDEX(campaigns!$BG$2:$BG$51,MATCH($C127,campaigns!$A$2:$A$51,0))),""),0,NETWORKDAYS(IFERROR(IF(INDEX(campaigns!$BG$2:$BG$51,MATCH($C127,campaigns!$A$2:$A$51,0))="","",INDEX(campaigns!$BG$2:$BG$51,MATCH($C127,campaigns!$A$2:$A$51,0))),""),$A127,calendar!$A$2:$A$80)))</f>
        <v>5</v>
      </c>
      <c r="K127" s="30" t="str">
        <f aca="false">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ustomFormat="false" ht="15" hidden="false" customHeight="false" outlineLevel="0" collapsed="false">
      <c r="A128" s="11" t="n">
        <v>46441</v>
      </c>
      <c r="B128" s="38" t="n">
        <v>0.541666666666667</v>
      </c>
      <c r="C128" s="10" t="s">
        <v>563</v>
      </c>
      <c r="D128" s="10" t="s">
        <v>686</v>
      </c>
      <c r="E128" s="10" t="s">
        <v>826</v>
      </c>
      <c r="F128" s="0" t="n">
        <v>45</v>
      </c>
      <c r="G128" s="10" t="s">
        <v>827</v>
      </c>
      <c r="H128" s="10" t="s">
        <v>908</v>
      </c>
      <c r="J128" s="30" t="n">
        <f aca="false">IF(OR($C128="",$A128=""),"",IF($A128&lt;IFERROR(IF(INDEX(campaigns!$BG$2:$BG$51,MATCH($C128,campaigns!$A$2:$A$51,0))="","",INDEX(campaigns!$BG$2:$BG$51,MATCH($C128,campaigns!$A$2:$A$51,0))),""),0,NETWORKDAYS(IFERROR(IF(INDEX(campaigns!$BG$2:$BG$51,MATCH($C128,campaigns!$A$2:$A$51,0))="","",INDEX(campaigns!$BG$2:$BG$51,MATCH($C128,campaigns!$A$2:$A$51,0))),""),$A128,calendar!$A$2:$A$80)))</f>
        <v>1</v>
      </c>
      <c r="K128" s="30" t="str">
        <f aca="false">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ustomFormat="false" ht="15" hidden="false" customHeight="false" outlineLevel="0" collapsed="false">
      <c r="A129" s="11" t="n">
        <v>46443</v>
      </c>
      <c r="B129" s="38" t="n">
        <v>0.458333333333333</v>
      </c>
      <c r="C129" s="10" t="s">
        <v>563</v>
      </c>
      <c r="D129" s="10" t="s">
        <v>686</v>
      </c>
      <c r="E129" s="10" t="s">
        <v>720</v>
      </c>
      <c r="F129" s="0" t="n">
        <v>16</v>
      </c>
      <c r="G129" s="10" t="s">
        <v>829</v>
      </c>
      <c r="J129" s="30" t="n">
        <f aca="false">IF(OR($C129="",$A129=""),"",IF($A129&lt;IFERROR(IF(INDEX(campaigns!$BG$2:$BG$51,MATCH($C129,campaigns!$A$2:$A$51,0))="","",INDEX(campaigns!$BG$2:$BG$51,MATCH($C129,campaigns!$A$2:$A$51,0))),""),0,NETWORKDAYS(IFERROR(IF(INDEX(campaigns!$BG$2:$BG$51,MATCH($C129,campaigns!$A$2:$A$51,0))="","",INDEX(campaigns!$BG$2:$BG$51,MATCH($C129,campaigns!$A$2:$A$51,0))),""),$A129,calendar!$A$2:$A$80)))</f>
        <v>3</v>
      </c>
      <c r="K129" s="30" t="str">
        <f aca="false">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ustomFormat="false" ht="15" hidden="false" customHeight="false" outlineLevel="0" collapsed="false">
      <c r="A130" s="11" t="n">
        <v>46447</v>
      </c>
      <c r="B130" s="38" t="n">
        <v>0.666666666666667</v>
      </c>
      <c r="C130" s="10" t="s">
        <v>563</v>
      </c>
      <c r="D130" s="10" t="s">
        <v>686</v>
      </c>
      <c r="E130" s="10" t="s">
        <v>721</v>
      </c>
      <c r="F130" s="0" t="n">
        <v>5</v>
      </c>
      <c r="G130" s="10" t="s">
        <v>827</v>
      </c>
      <c r="H130" s="10" t="s">
        <v>909</v>
      </c>
      <c r="J130" s="30" t="n">
        <f aca="false">IF(OR($C130="",$A130=""),"",IF($A130&lt;IFERROR(IF(INDEX(campaigns!$BG$2:$BG$51,MATCH($C130,campaigns!$A$2:$A$51,0))="","",INDEX(campaigns!$BG$2:$BG$51,MATCH($C130,campaigns!$A$2:$A$51,0))),""),0,NETWORKDAYS(IFERROR(IF(INDEX(campaigns!$BG$2:$BG$51,MATCH($C130,campaigns!$A$2:$A$51,0))="","",INDEX(campaigns!$BG$2:$BG$51,MATCH($C130,campaigns!$A$2:$A$51,0))),""),$A130,calendar!$A$2:$A$80)))</f>
        <v>5</v>
      </c>
      <c r="K130" s="30" t="str">
        <f aca="false">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ustomFormat="false" ht="15" hidden="false" customHeight="false" outlineLevel="0" collapsed="false">
      <c r="A131" s="11" t="n">
        <v>46441</v>
      </c>
      <c r="B131" s="38" t="n">
        <v>0.541666666666667</v>
      </c>
      <c r="C131" s="10" t="s">
        <v>563</v>
      </c>
      <c r="D131" s="10" t="s">
        <v>688</v>
      </c>
      <c r="E131" s="10" t="s">
        <v>826</v>
      </c>
      <c r="F131" s="0" t="n">
        <v>65</v>
      </c>
      <c r="G131" s="10" t="s">
        <v>827</v>
      </c>
      <c r="H131" s="10" t="s">
        <v>910</v>
      </c>
      <c r="J131" s="30" t="n">
        <f aca="false">IF(OR($C131="",$A131=""),"",IF($A131&lt;IFERROR(IF(INDEX(campaigns!$BG$2:$BG$51,MATCH($C131,campaigns!$A$2:$A$51,0))="","",INDEX(campaigns!$BG$2:$BG$51,MATCH($C131,campaigns!$A$2:$A$51,0))),""),0,NETWORKDAYS(IFERROR(IF(INDEX(campaigns!$BG$2:$BG$51,MATCH($C131,campaigns!$A$2:$A$51,0))="","",INDEX(campaigns!$BG$2:$BG$51,MATCH($C131,campaigns!$A$2:$A$51,0))),""),$A131,calendar!$A$2:$A$80)))</f>
        <v>1</v>
      </c>
      <c r="K131" s="30" t="str">
        <f aca="false">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ustomFormat="false" ht="15" hidden="false" customHeight="false" outlineLevel="0" collapsed="false">
      <c r="A132" s="11" t="n">
        <v>46443</v>
      </c>
      <c r="B132" s="38" t="n">
        <v>0.458333333333333</v>
      </c>
      <c r="C132" s="10" t="s">
        <v>563</v>
      </c>
      <c r="D132" s="10" t="s">
        <v>688</v>
      </c>
      <c r="E132" s="10" t="s">
        <v>720</v>
      </c>
      <c r="F132" s="0" t="n">
        <v>31</v>
      </c>
      <c r="G132" s="10" t="s">
        <v>829</v>
      </c>
      <c r="J132" s="30" t="n">
        <f aca="false">IF(OR($C132="",$A132=""),"",IF($A132&lt;IFERROR(IF(INDEX(campaigns!$BG$2:$BG$51,MATCH($C132,campaigns!$A$2:$A$51,0))="","",INDEX(campaigns!$BG$2:$BG$51,MATCH($C132,campaigns!$A$2:$A$51,0))),""),0,NETWORKDAYS(IFERROR(IF(INDEX(campaigns!$BG$2:$BG$51,MATCH($C132,campaigns!$A$2:$A$51,0))="","",INDEX(campaigns!$BG$2:$BG$51,MATCH($C132,campaigns!$A$2:$A$51,0))),""),$A132,calendar!$A$2:$A$80)))</f>
        <v>3</v>
      </c>
      <c r="K132" s="30" t="str">
        <f aca="false">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ustomFormat="false" ht="15" hidden="false" customHeight="false" outlineLevel="0" collapsed="false">
      <c r="A133" s="11" t="n">
        <v>46447</v>
      </c>
      <c r="B133" s="38" t="n">
        <v>0.666666666666667</v>
      </c>
      <c r="C133" s="10" t="s">
        <v>563</v>
      </c>
      <c r="D133" s="10" t="s">
        <v>688</v>
      </c>
      <c r="E133" s="10" t="s">
        <v>721</v>
      </c>
      <c r="F133" s="0" t="n">
        <v>7</v>
      </c>
      <c r="G133" s="10" t="s">
        <v>827</v>
      </c>
      <c r="H133" s="10" t="s">
        <v>911</v>
      </c>
      <c r="J133" s="30" t="n">
        <f aca="false">IF(OR($C133="",$A133=""),"",IF($A133&lt;IFERROR(IF(INDEX(campaigns!$BG$2:$BG$51,MATCH($C133,campaigns!$A$2:$A$51,0))="","",INDEX(campaigns!$BG$2:$BG$51,MATCH($C133,campaigns!$A$2:$A$51,0))),""),0,NETWORKDAYS(IFERROR(IF(INDEX(campaigns!$BG$2:$BG$51,MATCH($C133,campaigns!$A$2:$A$51,0))="","",INDEX(campaigns!$BG$2:$BG$51,MATCH($C133,campaigns!$A$2:$A$51,0))),""),$A133,calendar!$A$2:$A$80)))</f>
        <v>5</v>
      </c>
      <c r="K133" s="30" t="str">
        <f aca="false">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ustomFormat="false" ht="15" hidden="false" customHeight="false" outlineLevel="0" collapsed="false">
      <c r="A134" s="11" t="n">
        <v>46441</v>
      </c>
      <c r="B134" s="38" t="n">
        <v>0.541666666666667</v>
      </c>
      <c r="C134" s="10" t="s">
        <v>563</v>
      </c>
      <c r="D134" s="10" t="s">
        <v>692</v>
      </c>
      <c r="E134" s="10" t="s">
        <v>826</v>
      </c>
      <c r="F134" s="0" t="n">
        <v>55</v>
      </c>
      <c r="G134" s="10" t="s">
        <v>827</v>
      </c>
      <c r="H134" s="10" t="s">
        <v>912</v>
      </c>
      <c r="J134" s="30" t="n">
        <f aca="false">IF(OR($C134="",$A134=""),"",IF($A134&lt;IFERROR(IF(INDEX(campaigns!$BG$2:$BG$51,MATCH($C134,campaigns!$A$2:$A$51,0))="","",INDEX(campaigns!$BG$2:$BG$51,MATCH($C134,campaigns!$A$2:$A$51,0))),""),0,NETWORKDAYS(IFERROR(IF(INDEX(campaigns!$BG$2:$BG$51,MATCH($C134,campaigns!$A$2:$A$51,0))="","",INDEX(campaigns!$BG$2:$BG$51,MATCH($C134,campaigns!$A$2:$A$51,0))),""),$A134,calendar!$A$2:$A$80)))</f>
        <v>1</v>
      </c>
      <c r="K134" s="30" t="str">
        <f aca="false">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ustomFormat="false" ht="15" hidden="false" customHeight="false" outlineLevel="0" collapsed="false">
      <c r="A135" s="11" t="n">
        <v>46443</v>
      </c>
      <c r="B135" s="38" t="n">
        <v>0.458333333333333</v>
      </c>
      <c r="C135" s="10" t="s">
        <v>563</v>
      </c>
      <c r="D135" s="10" t="s">
        <v>692</v>
      </c>
      <c r="E135" s="10" t="s">
        <v>720</v>
      </c>
      <c r="F135" s="0" t="n">
        <v>18</v>
      </c>
      <c r="G135" s="10" t="s">
        <v>829</v>
      </c>
      <c r="J135" s="30" t="n">
        <f aca="false">IF(OR($C135="",$A135=""),"",IF($A135&lt;IFERROR(IF(INDEX(campaigns!$BG$2:$BG$51,MATCH($C135,campaigns!$A$2:$A$51,0))="","",INDEX(campaigns!$BG$2:$BG$51,MATCH($C135,campaigns!$A$2:$A$51,0))),""),0,NETWORKDAYS(IFERROR(IF(INDEX(campaigns!$BG$2:$BG$51,MATCH($C135,campaigns!$A$2:$A$51,0))="","",INDEX(campaigns!$BG$2:$BG$51,MATCH($C135,campaigns!$A$2:$A$51,0))),""),$A135,calendar!$A$2:$A$80)))</f>
        <v>3</v>
      </c>
      <c r="K135" s="30" t="str">
        <f aca="false">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ustomFormat="false" ht="15" hidden="false" customHeight="false" outlineLevel="0" collapsed="false">
      <c r="A136" s="11" t="n">
        <v>46447</v>
      </c>
      <c r="B136" s="38" t="n">
        <v>0.666666666666667</v>
      </c>
      <c r="C136" s="10" t="s">
        <v>563</v>
      </c>
      <c r="D136" s="10" t="s">
        <v>692</v>
      </c>
      <c r="E136" s="10" t="s">
        <v>721</v>
      </c>
      <c r="F136" s="0" t="n">
        <v>2</v>
      </c>
      <c r="G136" s="10" t="s">
        <v>827</v>
      </c>
      <c r="H136" s="10" t="s">
        <v>913</v>
      </c>
      <c r="J136" s="30" t="n">
        <f aca="false">IF(OR($C136="",$A136=""),"",IF($A136&lt;IFERROR(IF(INDEX(campaigns!$BG$2:$BG$51,MATCH($C136,campaigns!$A$2:$A$51,0))="","",INDEX(campaigns!$BG$2:$BG$51,MATCH($C136,campaigns!$A$2:$A$51,0))),""),0,NETWORKDAYS(IFERROR(IF(INDEX(campaigns!$BG$2:$BG$51,MATCH($C136,campaigns!$A$2:$A$51,0))="","",INDEX(campaigns!$BG$2:$BG$51,MATCH($C136,campaigns!$A$2:$A$51,0))),""),$A136,calendar!$A$2:$A$80)))</f>
        <v>5</v>
      </c>
      <c r="K136" s="30" t="str">
        <f aca="false">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ustomFormat="false" ht="15" hidden="false" customHeight="false" outlineLevel="0" collapsed="false">
      <c r="A137" s="11" t="n">
        <v>46441</v>
      </c>
      <c r="B137" s="38" t="n">
        <v>0.541666666666667</v>
      </c>
      <c r="C137" s="10" t="s">
        <v>563</v>
      </c>
      <c r="D137" s="10" t="s">
        <v>694</v>
      </c>
      <c r="E137" s="10" t="s">
        <v>826</v>
      </c>
      <c r="F137" s="0" t="n">
        <v>40</v>
      </c>
      <c r="G137" s="10" t="s">
        <v>827</v>
      </c>
      <c r="H137" s="10" t="s">
        <v>914</v>
      </c>
      <c r="J137" s="30" t="n">
        <f aca="false">IF(OR($C137="",$A137=""),"",IF($A137&lt;IFERROR(IF(INDEX(campaigns!$BG$2:$BG$51,MATCH($C137,campaigns!$A$2:$A$51,0))="","",INDEX(campaigns!$BG$2:$BG$51,MATCH($C137,campaigns!$A$2:$A$51,0))),""),0,NETWORKDAYS(IFERROR(IF(INDEX(campaigns!$BG$2:$BG$51,MATCH($C137,campaigns!$A$2:$A$51,0))="","",INDEX(campaigns!$BG$2:$BG$51,MATCH($C137,campaigns!$A$2:$A$51,0))),""),$A137,calendar!$A$2:$A$80)))</f>
        <v>1</v>
      </c>
      <c r="K137" s="30" t="str">
        <f aca="false">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ustomFormat="false" ht="15" hidden="false" customHeight="false" outlineLevel="0" collapsed="false">
      <c r="A138" s="11" t="n">
        <v>46443</v>
      </c>
      <c r="B138" s="38" t="n">
        <v>0.458333333333333</v>
      </c>
      <c r="C138" s="10" t="s">
        <v>563</v>
      </c>
      <c r="D138" s="10" t="s">
        <v>694</v>
      </c>
      <c r="E138" s="10" t="s">
        <v>720</v>
      </c>
      <c r="F138" s="0" t="n">
        <v>17</v>
      </c>
      <c r="G138" s="10" t="s">
        <v>829</v>
      </c>
      <c r="J138" s="30" t="n">
        <f aca="false">IF(OR($C138="",$A138=""),"",IF($A138&lt;IFERROR(IF(INDEX(campaigns!$BG$2:$BG$51,MATCH($C138,campaigns!$A$2:$A$51,0))="","",INDEX(campaigns!$BG$2:$BG$51,MATCH($C138,campaigns!$A$2:$A$51,0))),""),0,NETWORKDAYS(IFERROR(IF(INDEX(campaigns!$BG$2:$BG$51,MATCH($C138,campaigns!$A$2:$A$51,0))="","",INDEX(campaigns!$BG$2:$BG$51,MATCH($C138,campaigns!$A$2:$A$51,0))),""),$A138,calendar!$A$2:$A$80)))</f>
        <v>3</v>
      </c>
      <c r="K138" s="30" t="str">
        <f aca="false">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ustomFormat="false" ht="15" hidden="false" customHeight="false" outlineLevel="0" collapsed="false">
      <c r="A139" s="11" t="n">
        <v>46447</v>
      </c>
      <c r="B139" s="38" t="n">
        <v>0.666666666666667</v>
      </c>
      <c r="C139" s="10" t="s">
        <v>563</v>
      </c>
      <c r="D139" s="10" t="s">
        <v>694</v>
      </c>
      <c r="E139" s="10" t="s">
        <v>721</v>
      </c>
      <c r="F139" s="0" t="n">
        <v>2</v>
      </c>
      <c r="G139" s="10" t="s">
        <v>827</v>
      </c>
      <c r="H139" s="10" t="s">
        <v>915</v>
      </c>
      <c r="J139" s="30" t="n">
        <f aca="false">IF(OR($C139="",$A139=""),"",IF($A139&lt;IFERROR(IF(INDEX(campaigns!$BG$2:$BG$51,MATCH($C139,campaigns!$A$2:$A$51,0))="","",INDEX(campaigns!$BG$2:$BG$51,MATCH($C139,campaigns!$A$2:$A$51,0))),""),0,NETWORKDAYS(IFERROR(IF(INDEX(campaigns!$BG$2:$BG$51,MATCH($C139,campaigns!$A$2:$A$51,0))="","",INDEX(campaigns!$BG$2:$BG$51,MATCH($C139,campaigns!$A$2:$A$51,0))),""),$A139,calendar!$A$2:$A$80)))</f>
        <v>5</v>
      </c>
      <c r="K139" s="30" t="str">
        <f aca="false">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ustomFormat="false" ht="15" hidden="false" customHeight="false" outlineLevel="0" collapsed="false">
      <c r="A140" s="11" t="n">
        <v>46441</v>
      </c>
      <c r="B140" s="38" t="n">
        <v>0.541666666666667</v>
      </c>
      <c r="C140" s="10" t="s">
        <v>563</v>
      </c>
      <c r="D140" s="10" t="s">
        <v>696</v>
      </c>
      <c r="E140" s="10" t="s">
        <v>826</v>
      </c>
      <c r="F140" s="0" t="n">
        <v>70</v>
      </c>
      <c r="G140" s="10" t="s">
        <v>827</v>
      </c>
      <c r="H140" s="10" t="s">
        <v>916</v>
      </c>
      <c r="J140" s="30" t="n">
        <f aca="false">IF(OR($C140="",$A140=""),"",IF($A140&lt;IFERROR(IF(INDEX(campaigns!$BG$2:$BG$51,MATCH($C140,campaigns!$A$2:$A$51,0))="","",INDEX(campaigns!$BG$2:$BG$51,MATCH($C140,campaigns!$A$2:$A$51,0))),""),0,NETWORKDAYS(IFERROR(IF(INDEX(campaigns!$BG$2:$BG$51,MATCH($C140,campaigns!$A$2:$A$51,0))="","",INDEX(campaigns!$BG$2:$BG$51,MATCH($C140,campaigns!$A$2:$A$51,0))),""),$A140,calendar!$A$2:$A$80)))</f>
        <v>1</v>
      </c>
      <c r="K140" s="30" t="str">
        <f aca="false">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ustomFormat="false" ht="15" hidden="false" customHeight="false" outlineLevel="0" collapsed="false">
      <c r="A141" s="11" t="n">
        <v>46443</v>
      </c>
      <c r="B141" s="38" t="n">
        <v>0.458333333333333</v>
      </c>
      <c r="C141" s="10" t="s">
        <v>563</v>
      </c>
      <c r="D141" s="10" t="s">
        <v>696</v>
      </c>
      <c r="E141" s="10" t="s">
        <v>720</v>
      </c>
      <c r="F141" s="0" t="n">
        <v>21</v>
      </c>
      <c r="G141" s="10" t="s">
        <v>829</v>
      </c>
      <c r="J141" s="30" t="n">
        <f aca="false">IF(OR($C141="",$A141=""),"",IF($A141&lt;IFERROR(IF(INDEX(campaigns!$BG$2:$BG$51,MATCH($C141,campaigns!$A$2:$A$51,0))="","",INDEX(campaigns!$BG$2:$BG$51,MATCH($C141,campaigns!$A$2:$A$51,0))),""),0,NETWORKDAYS(IFERROR(IF(INDEX(campaigns!$BG$2:$BG$51,MATCH($C141,campaigns!$A$2:$A$51,0))="","",INDEX(campaigns!$BG$2:$BG$51,MATCH($C141,campaigns!$A$2:$A$51,0))),""),$A141,calendar!$A$2:$A$80)))</f>
        <v>3</v>
      </c>
      <c r="K141" s="30" t="str">
        <f aca="false">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ustomFormat="false" ht="15" hidden="false" customHeight="false" outlineLevel="0" collapsed="false">
      <c r="A142" s="11" t="n">
        <v>46447</v>
      </c>
      <c r="B142" s="38" t="n">
        <v>0.666666666666667</v>
      </c>
      <c r="C142" s="10" t="s">
        <v>563</v>
      </c>
      <c r="D142" s="10" t="s">
        <v>696</v>
      </c>
      <c r="E142" s="10" t="s">
        <v>721</v>
      </c>
      <c r="F142" s="0" t="n">
        <v>3</v>
      </c>
      <c r="G142" s="10" t="s">
        <v>827</v>
      </c>
      <c r="H142" s="10" t="s">
        <v>917</v>
      </c>
      <c r="J142" s="30" t="n">
        <f aca="false">IF(OR($C142="",$A142=""),"",IF($A142&lt;IFERROR(IF(INDEX(campaigns!$BG$2:$BG$51,MATCH($C142,campaigns!$A$2:$A$51,0))="","",INDEX(campaigns!$BG$2:$BG$51,MATCH($C142,campaigns!$A$2:$A$51,0))),""),0,NETWORKDAYS(IFERROR(IF(INDEX(campaigns!$BG$2:$BG$51,MATCH($C142,campaigns!$A$2:$A$51,0))="","",INDEX(campaigns!$BG$2:$BG$51,MATCH($C142,campaigns!$A$2:$A$51,0))),""),$A142,calendar!$A$2:$A$80)))</f>
        <v>5</v>
      </c>
      <c r="K142" s="30" t="str">
        <f aca="false">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ustomFormat="false" ht="15" hidden="false" customHeight="false" outlineLevel="0" collapsed="false">
      <c r="A143" s="11" t="n">
        <v>46441</v>
      </c>
      <c r="B143" s="38" t="n">
        <v>0.541666666666667</v>
      </c>
      <c r="C143" s="10" t="s">
        <v>563</v>
      </c>
      <c r="D143" s="10" t="s">
        <v>698</v>
      </c>
      <c r="E143" s="10" t="s">
        <v>826</v>
      </c>
      <c r="F143" s="0" t="n">
        <v>35</v>
      </c>
      <c r="G143" s="10" t="s">
        <v>827</v>
      </c>
      <c r="H143" s="10" t="s">
        <v>918</v>
      </c>
      <c r="J143" s="30" t="n">
        <f aca="false">IF(OR($C143="",$A143=""),"",IF($A143&lt;IFERROR(IF(INDEX(campaigns!$BG$2:$BG$51,MATCH($C143,campaigns!$A$2:$A$51,0))="","",INDEX(campaigns!$BG$2:$BG$51,MATCH($C143,campaigns!$A$2:$A$51,0))),""),0,NETWORKDAYS(IFERROR(IF(INDEX(campaigns!$BG$2:$BG$51,MATCH($C143,campaigns!$A$2:$A$51,0))="","",INDEX(campaigns!$BG$2:$BG$51,MATCH($C143,campaigns!$A$2:$A$51,0))),""),$A143,calendar!$A$2:$A$80)))</f>
        <v>1</v>
      </c>
      <c r="K143" s="30" t="str">
        <f aca="false">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ustomFormat="false" ht="15" hidden="false" customHeight="false" outlineLevel="0" collapsed="false">
      <c r="A144" s="11" t="n">
        <v>46443</v>
      </c>
      <c r="B144" s="38" t="n">
        <v>0.458333333333333</v>
      </c>
      <c r="C144" s="10" t="s">
        <v>563</v>
      </c>
      <c r="D144" s="10" t="s">
        <v>698</v>
      </c>
      <c r="E144" s="10" t="s">
        <v>720</v>
      </c>
      <c r="F144" s="0" t="n">
        <v>14</v>
      </c>
      <c r="G144" s="10" t="s">
        <v>829</v>
      </c>
      <c r="J144" s="30" t="n">
        <f aca="false">IF(OR($C144="",$A144=""),"",IF($A144&lt;IFERROR(IF(INDEX(campaigns!$BG$2:$BG$51,MATCH($C144,campaigns!$A$2:$A$51,0))="","",INDEX(campaigns!$BG$2:$BG$51,MATCH($C144,campaigns!$A$2:$A$51,0))),""),0,NETWORKDAYS(IFERROR(IF(INDEX(campaigns!$BG$2:$BG$51,MATCH($C144,campaigns!$A$2:$A$51,0))="","",INDEX(campaigns!$BG$2:$BG$51,MATCH($C144,campaigns!$A$2:$A$51,0))),""),$A144,calendar!$A$2:$A$80)))</f>
        <v>3</v>
      </c>
      <c r="K144" s="30" t="str">
        <f aca="false">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ustomFormat="false" ht="15" hidden="false" customHeight="false" outlineLevel="0" collapsed="false">
      <c r="A145" s="11" t="n">
        <v>46447</v>
      </c>
      <c r="B145" s="38" t="n">
        <v>0.666666666666667</v>
      </c>
      <c r="C145" s="10" t="s">
        <v>563</v>
      </c>
      <c r="D145" s="10" t="s">
        <v>698</v>
      </c>
      <c r="E145" s="10" t="s">
        <v>721</v>
      </c>
      <c r="F145" s="0" t="n">
        <v>3</v>
      </c>
      <c r="G145" s="10" t="s">
        <v>827</v>
      </c>
      <c r="H145" s="10" t="s">
        <v>919</v>
      </c>
      <c r="J145" s="30" t="n">
        <f aca="false">IF(OR($C145="",$A145=""),"",IF($A145&lt;IFERROR(IF(INDEX(campaigns!$BG$2:$BG$51,MATCH($C145,campaigns!$A$2:$A$51,0))="","",INDEX(campaigns!$BG$2:$BG$51,MATCH($C145,campaigns!$A$2:$A$51,0))),""),0,NETWORKDAYS(IFERROR(IF(INDEX(campaigns!$BG$2:$BG$51,MATCH($C145,campaigns!$A$2:$A$51,0))="","",INDEX(campaigns!$BG$2:$BG$51,MATCH($C145,campaigns!$A$2:$A$51,0))),""),$A145,calendar!$A$2:$A$80)))</f>
        <v>5</v>
      </c>
      <c r="K145" s="30" t="str">
        <f aca="false">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ustomFormat="false" ht="15" hidden="false" customHeight="false" outlineLevel="0" collapsed="false">
      <c r="A146" s="11" t="n">
        <v>46469</v>
      </c>
      <c r="B146" s="38" t="n">
        <v>0.541666666666667</v>
      </c>
      <c r="C146" s="10" t="s">
        <v>576</v>
      </c>
      <c r="D146" s="10" t="s">
        <v>678</v>
      </c>
      <c r="E146" s="10" t="s">
        <v>826</v>
      </c>
      <c r="F146" s="0" t="n">
        <v>40</v>
      </c>
      <c r="G146" s="10" t="s">
        <v>827</v>
      </c>
      <c r="H146" s="10" t="s">
        <v>920</v>
      </c>
      <c r="J146" s="30" t="n">
        <f aca="false">IF(OR($C146="",$A146=""),"",IF($A146&lt;IFERROR(IF(INDEX(campaigns!$BG$2:$BG$51,MATCH($C146,campaigns!$A$2:$A$51,0))="","",INDEX(campaigns!$BG$2:$BG$51,MATCH($C146,campaigns!$A$2:$A$51,0))),""),0,NETWORKDAYS(IFERROR(IF(INDEX(campaigns!$BG$2:$BG$51,MATCH($C146,campaigns!$A$2:$A$51,0))="","",INDEX(campaigns!$BG$2:$BG$51,MATCH($C146,campaigns!$A$2:$A$51,0))),""),$A146,calendar!$A$2:$A$80)))</f>
        <v>1</v>
      </c>
      <c r="K146" s="30" t="str">
        <f aca="false">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ustomFormat="false" ht="15" hidden="false" customHeight="false" outlineLevel="0" collapsed="false">
      <c r="A147" s="11" t="n">
        <v>46471</v>
      </c>
      <c r="B147" s="38" t="n">
        <v>0.458333333333333</v>
      </c>
      <c r="C147" s="10" t="s">
        <v>576</v>
      </c>
      <c r="D147" s="10" t="s">
        <v>678</v>
      </c>
      <c r="E147" s="10" t="s">
        <v>720</v>
      </c>
      <c r="F147" s="0" t="n">
        <v>13</v>
      </c>
      <c r="G147" s="10" t="s">
        <v>829</v>
      </c>
      <c r="J147" s="30" t="n">
        <f aca="false">IF(OR($C147="",$A147=""),"",IF($A147&lt;IFERROR(IF(INDEX(campaigns!$BG$2:$BG$51,MATCH($C147,campaigns!$A$2:$A$51,0))="","",INDEX(campaigns!$BG$2:$BG$51,MATCH($C147,campaigns!$A$2:$A$51,0))),""),0,NETWORKDAYS(IFERROR(IF(INDEX(campaigns!$BG$2:$BG$51,MATCH($C147,campaigns!$A$2:$A$51,0))="","",INDEX(campaigns!$BG$2:$BG$51,MATCH($C147,campaigns!$A$2:$A$51,0))),""),$A147,calendar!$A$2:$A$80)))</f>
        <v>3</v>
      </c>
      <c r="K147" s="30" t="str">
        <f aca="false">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ustomFormat="false" ht="15" hidden="false" customHeight="false" outlineLevel="0" collapsed="false">
      <c r="A148" s="11" t="n">
        <v>46475</v>
      </c>
      <c r="B148" s="38" t="n">
        <v>0.666666666666667</v>
      </c>
      <c r="C148" s="10" t="s">
        <v>576</v>
      </c>
      <c r="D148" s="10" t="s">
        <v>678</v>
      </c>
      <c r="E148" s="10" t="s">
        <v>721</v>
      </c>
      <c r="F148" s="0" t="n">
        <v>3</v>
      </c>
      <c r="G148" s="10" t="s">
        <v>827</v>
      </c>
      <c r="H148" s="10" t="s">
        <v>921</v>
      </c>
      <c r="J148" s="30" t="n">
        <f aca="false">IF(OR($C148="",$A148=""),"",IF($A148&lt;IFERROR(IF(INDEX(campaigns!$BG$2:$BG$51,MATCH($C148,campaigns!$A$2:$A$51,0))="","",INDEX(campaigns!$BG$2:$BG$51,MATCH($C148,campaigns!$A$2:$A$51,0))),""),0,NETWORKDAYS(IFERROR(IF(INDEX(campaigns!$BG$2:$BG$51,MATCH($C148,campaigns!$A$2:$A$51,0))="","",INDEX(campaigns!$BG$2:$BG$51,MATCH($C148,campaigns!$A$2:$A$51,0))),""),$A148,calendar!$A$2:$A$80)))</f>
        <v>5</v>
      </c>
      <c r="K148" s="30" t="str">
        <f aca="false">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ustomFormat="false" ht="15" hidden="false" customHeight="false" outlineLevel="0" collapsed="false">
      <c r="A149" s="11" t="n">
        <v>46469</v>
      </c>
      <c r="B149" s="38" t="n">
        <v>0.541666666666667</v>
      </c>
      <c r="C149" s="10" t="s">
        <v>576</v>
      </c>
      <c r="D149" s="10" t="s">
        <v>681</v>
      </c>
      <c r="E149" s="10" t="s">
        <v>826</v>
      </c>
      <c r="F149" s="0" t="n">
        <v>40</v>
      </c>
      <c r="G149" s="10" t="s">
        <v>827</v>
      </c>
      <c r="H149" s="10" t="s">
        <v>922</v>
      </c>
      <c r="J149" s="30" t="n">
        <f aca="false">IF(OR($C149="",$A149=""),"",IF($A149&lt;IFERROR(IF(INDEX(campaigns!$BG$2:$BG$51,MATCH($C149,campaigns!$A$2:$A$51,0))="","",INDEX(campaigns!$BG$2:$BG$51,MATCH($C149,campaigns!$A$2:$A$51,0))),""),0,NETWORKDAYS(IFERROR(IF(INDEX(campaigns!$BG$2:$BG$51,MATCH($C149,campaigns!$A$2:$A$51,0))="","",INDEX(campaigns!$BG$2:$BG$51,MATCH($C149,campaigns!$A$2:$A$51,0))),""),$A149,calendar!$A$2:$A$80)))</f>
        <v>1</v>
      </c>
      <c r="K149" s="30" t="str">
        <f aca="false">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ustomFormat="false" ht="15" hidden="false" customHeight="false" outlineLevel="0" collapsed="false">
      <c r="A150" s="11" t="n">
        <v>46471</v>
      </c>
      <c r="B150" s="38" t="n">
        <v>0.458333333333333</v>
      </c>
      <c r="C150" s="10" t="s">
        <v>576</v>
      </c>
      <c r="D150" s="10" t="s">
        <v>681</v>
      </c>
      <c r="E150" s="10" t="s">
        <v>720</v>
      </c>
      <c r="F150" s="0" t="n">
        <v>11</v>
      </c>
      <c r="G150" s="10" t="s">
        <v>829</v>
      </c>
      <c r="J150" s="30" t="n">
        <f aca="false">IF(OR($C150="",$A150=""),"",IF($A150&lt;IFERROR(IF(INDEX(campaigns!$BG$2:$BG$51,MATCH($C150,campaigns!$A$2:$A$51,0))="","",INDEX(campaigns!$BG$2:$BG$51,MATCH($C150,campaigns!$A$2:$A$51,0))),""),0,NETWORKDAYS(IFERROR(IF(INDEX(campaigns!$BG$2:$BG$51,MATCH($C150,campaigns!$A$2:$A$51,0))="","",INDEX(campaigns!$BG$2:$BG$51,MATCH($C150,campaigns!$A$2:$A$51,0))),""),$A150,calendar!$A$2:$A$80)))</f>
        <v>3</v>
      </c>
      <c r="K150" s="30" t="str">
        <f aca="false">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ustomFormat="false" ht="15" hidden="false" customHeight="false" outlineLevel="0" collapsed="false">
      <c r="A151" s="11" t="n">
        <v>46475</v>
      </c>
      <c r="B151" s="38" t="n">
        <v>0.666666666666667</v>
      </c>
      <c r="C151" s="10" t="s">
        <v>576</v>
      </c>
      <c r="D151" s="10" t="s">
        <v>681</v>
      </c>
      <c r="E151" s="10" t="s">
        <v>721</v>
      </c>
      <c r="F151" s="0" t="n">
        <v>2</v>
      </c>
      <c r="G151" s="10" t="s">
        <v>827</v>
      </c>
      <c r="H151" s="10" t="s">
        <v>923</v>
      </c>
      <c r="J151" s="30" t="n">
        <f aca="false">IF(OR($C151="",$A151=""),"",IF($A151&lt;IFERROR(IF(INDEX(campaigns!$BG$2:$BG$51,MATCH($C151,campaigns!$A$2:$A$51,0))="","",INDEX(campaigns!$BG$2:$BG$51,MATCH($C151,campaigns!$A$2:$A$51,0))),""),0,NETWORKDAYS(IFERROR(IF(INDEX(campaigns!$BG$2:$BG$51,MATCH($C151,campaigns!$A$2:$A$51,0))="","",INDEX(campaigns!$BG$2:$BG$51,MATCH($C151,campaigns!$A$2:$A$51,0))),""),$A151,calendar!$A$2:$A$80)))</f>
        <v>5</v>
      </c>
      <c r="K151" s="30" t="str">
        <f aca="false">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ustomFormat="false" ht="15" hidden="false" customHeight="false" outlineLevel="0" collapsed="false">
      <c r="A152" s="11" t="n">
        <v>46469</v>
      </c>
      <c r="B152" s="38" t="n">
        <v>0.541666666666667</v>
      </c>
      <c r="C152" s="10" t="s">
        <v>576</v>
      </c>
      <c r="D152" s="10" t="s">
        <v>683</v>
      </c>
      <c r="E152" s="10" t="s">
        <v>826</v>
      </c>
      <c r="F152" s="0" t="n">
        <v>26</v>
      </c>
      <c r="G152" s="10" t="s">
        <v>827</v>
      </c>
      <c r="H152" s="10" t="s">
        <v>924</v>
      </c>
      <c r="J152" s="30" t="n">
        <f aca="false">IF(OR($C152="",$A152=""),"",IF($A152&lt;IFERROR(IF(INDEX(campaigns!$BG$2:$BG$51,MATCH($C152,campaigns!$A$2:$A$51,0))="","",INDEX(campaigns!$BG$2:$BG$51,MATCH($C152,campaigns!$A$2:$A$51,0))),""),0,NETWORKDAYS(IFERROR(IF(INDEX(campaigns!$BG$2:$BG$51,MATCH($C152,campaigns!$A$2:$A$51,0))="","",INDEX(campaigns!$BG$2:$BG$51,MATCH($C152,campaigns!$A$2:$A$51,0))),""),$A152,calendar!$A$2:$A$80)))</f>
        <v>1</v>
      </c>
      <c r="K152" s="30" t="str">
        <f aca="false">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ustomFormat="false" ht="15" hidden="false" customHeight="false" outlineLevel="0" collapsed="false">
      <c r="A153" s="11" t="n">
        <v>46471</v>
      </c>
      <c r="B153" s="38" t="n">
        <v>0.458333333333333</v>
      </c>
      <c r="C153" s="10" t="s">
        <v>576</v>
      </c>
      <c r="D153" s="10" t="s">
        <v>683</v>
      </c>
      <c r="E153" s="10" t="s">
        <v>720</v>
      </c>
      <c r="F153" s="0" t="n">
        <v>8</v>
      </c>
      <c r="G153" s="10" t="s">
        <v>829</v>
      </c>
      <c r="J153" s="30" t="n">
        <f aca="false">IF(OR($C153="",$A153=""),"",IF($A153&lt;IFERROR(IF(INDEX(campaigns!$BG$2:$BG$51,MATCH($C153,campaigns!$A$2:$A$51,0))="","",INDEX(campaigns!$BG$2:$BG$51,MATCH($C153,campaigns!$A$2:$A$51,0))),""),0,NETWORKDAYS(IFERROR(IF(INDEX(campaigns!$BG$2:$BG$51,MATCH($C153,campaigns!$A$2:$A$51,0))="","",INDEX(campaigns!$BG$2:$BG$51,MATCH($C153,campaigns!$A$2:$A$51,0))),""),$A153,calendar!$A$2:$A$80)))</f>
        <v>3</v>
      </c>
      <c r="K153" s="30" t="str">
        <f aca="false">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ustomFormat="false" ht="15" hidden="false" customHeight="false" outlineLevel="0" collapsed="false">
      <c r="A154" s="11" t="n">
        <v>46475</v>
      </c>
      <c r="B154" s="38" t="n">
        <v>0.666666666666667</v>
      </c>
      <c r="C154" s="10" t="s">
        <v>576</v>
      </c>
      <c r="D154" s="10" t="s">
        <v>683</v>
      </c>
      <c r="E154" s="10" t="s">
        <v>721</v>
      </c>
      <c r="F154" s="0" t="n">
        <v>6</v>
      </c>
      <c r="G154" s="10" t="s">
        <v>827</v>
      </c>
      <c r="H154" s="10" t="s">
        <v>925</v>
      </c>
      <c r="J154" s="30" t="n">
        <f aca="false">IF(OR($C154="",$A154=""),"",IF($A154&lt;IFERROR(IF(INDEX(campaigns!$BG$2:$BG$51,MATCH($C154,campaigns!$A$2:$A$51,0))="","",INDEX(campaigns!$BG$2:$BG$51,MATCH($C154,campaigns!$A$2:$A$51,0))),""),0,NETWORKDAYS(IFERROR(IF(INDEX(campaigns!$BG$2:$BG$51,MATCH($C154,campaigns!$A$2:$A$51,0))="","",INDEX(campaigns!$BG$2:$BG$51,MATCH($C154,campaigns!$A$2:$A$51,0))),""),$A154,calendar!$A$2:$A$80)))</f>
        <v>5</v>
      </c>
      <c r="K154" s="30" t="str">
        <f aca="false">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ustomFormat="false" ht="15" hidden="false" customHeight="false" outlineLevel="0" collapsed="false">
      <c r="A155" s="11" t="n">
        <v>46469</v>
      </c>
      <c r="B155" s="38" t="n">
        <v>0.541666666666667</v>
      </c>
      <c r="C155" s="10" t="s">
        <v>576</v>
      </c>
      <c r="D155" s="10" t="s">
        <v>686</v>
      </c>
      <c r="E155" s="10" t="s">
        <v>826</v>
      </c>
      <c r="F155" s="0" t="n">
        <v>50</v>
      </c>
      <c r="G155" s="10" t="s">
        <v>827</v>
      </c>
      <c r="H155" s="10" t="s">
        <v>926</v>
      </c>
      <c r="J155" s="30" t="n">
        <f aca="false">IF(OR($C155="",$A155=""),"",IF($A155&lt;IFERROR(IF(INDEX(campaigns!$BG$2:$BG$51,MATCH($C155,campaigns!$A$2:$A$51,0))="","",INDEX(campaigns!$BG$2:$BG$51,MATCH($C155,campaigns!$A$2:$A$51,0))),""),0,NETWORKDAYS(IFERROR(IF(INDEX(campaigns!$BG$2:$BG$51,MATCH($C155,campaigns!$A$2:$A$51,0))="","",INDEX(campaigns!$BG$2:$BG$51,MATCH($C155,campaigns!$A$2:$A$51,0))),""),$A155,calendar!$A$2:$A$80)))</f>
        <v>1</v>
      </c>
      <c r="K155" s="30" t="str">
        <f aca="false">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ustomFormat="false" ht="15" hidden="false" customHeight="false" outlineLevel="0" collapsed="false">
      <c r="A156" s="11" t="n">
        <v>46471</v>
      </c>
      <c r="B156" s="38" t="n">
        <v>0.458333333333333</v>
      </c>
      <c r="C156" s="10" t="s">
        <v>576</v>
      </c>
      <c r="D156" s="10" t="s">
        <v>686</v>
      </c>
      <c r="E156" s="10" t="s">
        <v>720</v>
      </c>
      <c r="F156" s="0" t="n">
        <v>13</v>
      </c>
      <c r="G156" s="10" t="s">
        <v>829</v>
      </c>
      <c r="J156" s="30" t="n">
        <f aca="false">IF(OR($C156="",$A156=""),"",IF($A156&lt;IFERROR(IF(INDEX(campaigns!$BG$2:$BG$51,MATCH($C156,campaigns!$A$2:$A$51,0))="","",INDEX(campaigns!$BG$2:$BG$51,MATCH($C156,campaigns!$A$2:$A$51,0))),""),0,NETWORKDAYS(IFERROR(IF(INDEX(campaigns!$BG$2:$BG$51,MATCH($C156,campaigns!$A$2:$A$51,0))="","",INDEX(campaigns!$BG$2:$BG$51,MATCH($C156,campaigns!$A$2:$A$51,0))),""),$A156,calendar!$A$2:$A$80)))</f>
        <v>3</v>
      </c>
      <c r="K156" s="30" t="str">
        <f aca="false">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ustomFormat="false" ht="15" hidden="false" customHeight="false" outlineLevel="0" collapsed="false">
      <c r="A157" s="11" t="n">
        <v>46475</v>
      </c>
      <c r="B157" s="38" t="n">
        <v>0.666666666666667</v>
      </c>
      <c r="C157" s="10" t="s">
        <v>576</v>
      </c>
      <c r="D157" s="10" t="s">
        <v>686</v>
      </c>
      <c r="E157" s="10" t="s">
        <v>721</v>
      </c>
      <c r="F157" s="0" t="n">
        <v>1</v>
      </c>
      <c r="G157" s="10" t="s">
        <v>827</v>
      </c>
      <c r="H157" s="10" t="s">
        <v>927</v>
      </c>
      <c r="J157" s="30" t="n">
        <f aca="false">IF(OR($C157="",$A157=""),"",IF($A157&lt;IFERROR(IF(INDEX(campaigns!$BG$2:$BG$51,MATCH($C157,campaigns!$A$2:$A$51,0))="","",INDEX(campaigns!$BG$2:$BG$51,MATCH($C157,campaigns!$A$2:$A$51,0))),""),0,NETWORKDAYS(IFERROR(IF(INDEX(campaigns!$BG$2:$BG$51,MATCH($C157,campaigns!$A$2:$A$51,0))="","",INDEX(campaigns!$BG$2:$BG$51,MATCH($C157,campaigns!$A$2:$A$51,0))),""),$A157,calendar!$A$2:$A$80)))</f>
        <v>5</v>
      </c>
      <c r="K157" s="30" t="str">
        <f aca="false">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ustomFormat="false" ht="15" hidden="false" customHeight="false" outlineLevel="0" collapsed="false">
      <c r="A158" s="11" t="n">
        <v>46469</v>
      </c>
      <c r="B158" s="38" t="n">
        <v>0.541666666666667</v>
      </c>
      <c r="C158" s="10" t="s">
        <v>576</v>
      </c>
      <c r="D158" s="10" t="s">
        <v>688</v>
      </c>
      <c r="E158" s="10" t="s">
        <v>826</v>
      </c>
      <c r="F158" s="0" t="n">
        <v>70</v>
      </c>
      <c r="G158" s="10" t="s">
        <v>827</v>
      </c>
      <c r="H158" s="10" t="s">
        <v>928</v>
      </c>
      <c r="J158" s="30" t="n">
        <f aca="false">IF(OR($C158="",$A158=""),"",IF($A158&lt;IFERROR(IF(INDEX(campaigns!$BG$2:$BG$51,MATCH($C158,campaigns!$A$2:$A$51,0))="","",INDEX(campaigns!$BG$2:$BG$51,MATCH($C158,campaigns!$A$2:$A$51,0))),""),0,NETWORKDAYS(IFERROR(IF(INDEX(campaigns!$BG$2:$BG$51,MATCH($C158,campaigns!$A$2:$A$51,0))="","",INDEX(campaigns!$BG$2:$BG$51,MATCH($C158,campaigns!$A$2:$A$51,0))),""),$A158,calendar!$A$2:$A$80)))</f>
        <v>1</v>
      </c>
      <c r="K158" s="30" t="str">
        <f aca="false">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ustomFormat="false" ht="15" hidden="false" customHeight="false" outlineLevel="0" collapsed="false">
      <c r="A159" s="11" t="n">
        <v>46471</v>
      </c>
      <c r="B159" s="38" t="n">
        <v>0.458333333333333</v>
      </c>
      <c r="C159" s="10" t="s">
        <v>576</v>
      </c>
      <c r="D159" s="10" t="s">
        <v>688</v>
      </c>
      <c r="E159" s="10" t="s">
        <v>720</v>
      </c>
      <c r="F159" s="0" t="n">
        <v>31</v>
      </c>
      <c r="G159" s="10" t="s">
        <v>829</v>
      </c>
      <c r="J159" s="30" t="n">
        <f aca="false">IF(OR($C159="",$A159=""),"",IF($A159&lt;IFERROR(IF(INDEX(campaigns!$BG$2:$BG$51,MATCH($C159,campaigns!$A$2:$A$51,0))="","",INDEX(campaigns!$BG$2:$BG$51,MATCH($C159,campaigns!$A$2:$A$51,0))),""),0,NETWORKDAYS(IFERROR(IF(INDEX(campaigns!$BG$2:$BG$51,MATCH($C159,campaigns!$A$2:$A$51,0))="","",INDEX(campaigns!$BG$2:$BG$51,MATCH($C159,campaigns!$A$2:$A$51,0))),""),$A159,calendar!$A$2:$A$80)))</f>
        <v>3</v>
      </c>
      <c r="K159" s="30" t="str">
        <f aca="false">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ustomFormat="false" ht="15" hidden="false" customHeight="false" outlineLevel="0" collapsed="false">
      <c r="A160" s="11" t="n">
        <v>46475</v>
      </c>
      <c r="B160" s="38" t="n">
        <v>0.666666666666667</v>
      </c>
      <c r="C160" s="10" t="s">
        <v>576</v>
      </c>
      <c r="D160" s="10" t="s">
        <v>688</v>
      </c>
      <c r="E160" s="10" t="s">
        <v>721</v>
      </c>
      <c r="F160" s="0" t="n">
        <v>5</v>
      </c>
      <c r="G160" s="10" t="s">
        <v>827</v>
      </c>
      <c r="H160" s="10" t="s">
        <v>929</v>
      </c>
      <c r="J160" s="30" t="n">
        <f aca="false">IF(OR($C160="",$A160=""),"",IF($A160&lt;IFERROR(IF(INDEX(campaigns!$BG$2:$BG$51,MATCH($C160,campaigns!$A$2:$A$51,0))="","",INDEX(campaigns!$BG$2:$BG$51,MATCH($C160,campaigns!$A$2:$A$51,0))),""),0,NETWORKDAYS(IFERROR(IF(INDEX(campaigns!$BG$2:$BG$51,MATCH($C160,campaigns!$A$2:$A$51,0))="","",INDEX(campaigns!$BG$2:$BG$51,MATCH($C160,campaigns!$A$2:$A$51,0))),""),$A160,calendar!$A$2:$A$80)))</f>
        <v>5</v>
      </c>
      <c r="K160" s="30" t="str">
        <f aca="false">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ustomFormat="false" ht="15" hidden="false" customHeight="false" outlineLevel="0" collapsed="false">
      <c r="A161" s="11" t="n">
        <v>46469</v>
      </c>
      <c r="B161" s="38" t="n">
        <v>0.541666666666667</v>
      </c>
      <c r="C161" s="10" t="s">
        <v>576</v>
      </c>
      <c r="D161" s="10" t="s">
        <v>690</v>
      </c>
      <c r="E161" s="10" t="s">
        <v>826</v>
      </c>
      <c r="F161" s="0" t="n">
        <v>45</v>
      </c>
      <c r="G161" s="10" t="s">
        <v>827</v>
      </c>
      <c r="H161" s="10" t="s">
        <v>930</v>
      </c>
      <c r="J161" s="30" t="n">
        <f aca="false">IF(OR($C161="",$A161=""),"",IF($A161&lt;IFERROR(IF(INDEX(campaigns!$BG$2:$BG$51,MATCH($C161,campaigns!$A$2:$A$51,0))="","",INDEX(campaigns!$BG$2:$BG$51,MATCH($C161,campaigns!$A$2:$A$51,0))),""),0,NETWORKDAYS(IFERROR(IF(INDEX(campaigns!$BG$2:$BG$51,MATCH($C161,campaigns!$A$2:$A$51,0))="","",INDEX(campaigns!$BG$2:$BG$51,MATCH($C161,campaigns!$A$2:$A$51,0))),""),$A161,calendar!$A$2:$A$80)))</f>
        <v>1</v>
      </c>
      <c r="K161" s="30" t="str">
        <f aca="false">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ustomFormat="false" ht="15" hidden="false" customHeight="false" outlineLevel="0" collapsed="false">
      <c r="A162" s="11" t="n">
        <v>46471</v>
      </c>
      <c r="B162" s="38" t="n">
        <v>0.458333333333333</v>
      </c>
      <c r="C162" s="10" t="s">
        <v>576</v>
      </c>
      <c r="D162" s="10" t="s">
        <v>690</v>
      </c>
      <c r="E162" s="10" t="s">
        <v>720</v>
      </c>
      <c r="F162" s="0" t="n">
        <v>14</v>
      </c>
      <c r="G162" s="10" t="s">
        <v>829</v>
      </c>
      <c r="J162" s="30" t="n">
        <f aca="false">IF(OR($C162="",$A162=""),"",IF($A162&lt;IFERROR(IF(INDEX(campaigns!$BG$2:$BG$51,MATCH($C162,campaigns!$A$2:$A$51,0))="","",INDEX(campaigns!$BG$2:$BG$51,MATCH($C162,campaigns!$A$2:$A$51,0))),""),0,NETWORKDAYS(IFERROR(IF(INDEX(campaigns!$BG$2:$BG$51,MATCH($C162,campaigns!$A$2:$A$51,0))="","",INDEX(campaigns!$BG$2:$BG$51,MATCH($C162,campaigns!$A$2:$A$51,0))),""),$A162,calendar!$A$2:$A$80)))</f>
        <v>3</v>
      </c>
      <c r="K162" s="30" t="str">
        <f aca="false">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ustomFormat="false" ht="15" hidden="false" customHeight="false" outlineLevel="0" collapsed="false">
      <c r="A163" s="11" t="n">
        <v>46475</v>
      </c>
      <c r="B163" s="38" t="n">
        <v>0.666666666666667</v>
      </c>
      <c r="C163" s="10" t="s">
        <v>576</v>
      </c>
      <c r="D163" s="10" t="s">
        <v>690</v>
      </c>
      <c r="E163" s="10" t="s">
        <v>721</v>
      </c>
      <c r="F163" s="0" t="n">
        <v>3</v>
      </c>
      <c r="G163" s="10" t="s">
        <v>827</v>
      </c>
      <c r="H163" s="10" t="s">
        <v>931</v>
      </c>
      <c r="J163" s="30" t="n">
        <f aca="false">IF(OR($C163="",$A163=""),"",IF($A163&lt;IFERROR(IF(INDEX(campaigns!$BG$2:$BG$51,MATCH($C163,campaigns!$A$2:$A$51,0))="","",INDEX(campaigns!$BG$2:$BG$51,MATCH($C163,campaigns!$A$2:$A$51,0))),""),0,NETWORKDAYS(IFERROR(IF(INDEX(campaigns!$BG$2:$BG$51,MATCH($C163,campaigns!$A$2:$A$51,0))="","",INDEX(campaigns!$BG$2:$BG$51,MATCH($C163,campaigns!$A$2:$A$51,0))),""),$A163,calendar!$A$2:$A$80)))</f>
        <v>5</v>
      </c>
      <c r="K163" s="30" t="str">
        <f aca="false">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ustomFormat="false" ht="15" hidden="false" customHeight="false" outlineLevel="0" collapsed="false">
      <c r="A164" s="11" t="n">
        <v>46469</v>
      </c>
      <c r="B164" s="38" t="n">
        <v>0.541666666666667</v>
      </c>
      <c r="C164" s="10" t="s">
        <v>576</v>
      </c>
      <c r="D164" s="10" t="s">
        <v>692</v>
      </c>
      <c r="E164" s="10" t="s">
        <v>826</v>
      </c>
      <c r="F164" s="0" t="n">
        <v>60</v>
      </c>
      <c r="G164" s="10" t="s">
        <v>827</v>
      </c>
      <c r="H164" s="10" t="s">
        <v>932</v>
      </c>
      <c r="J164" s="30" t="n">
        <f aca="false">IF(OR($C164="",$A164=""),"",IF($A164&lt;IFERROR(IF(INDEX(campaigns!$BG$2:$BG$51,MATCH($C164,campaigns!$A$2:$A$51,0))="","",INDEX(campaigns!$BG$2:$BG$51,MATCH($C164,campaigns!$A$2:$A$51,0))),""),0,NETWORKDAYS(IFERROR(IF(INDEX(campaigns!$BG$2:$BG$51,MATCH($C164,campaigns!$A$2:$A$51,0))="","",INDEX(campaigns!$BG$2:$BG$51,MATCH($C164,campaigns!$A$2:$A$51,0))),""),$A164,calendar!$A$2:$A$80)))</f>
        <v>1</v>
      </c>
      <c r="K164" s="30" t="str">
        <f aca="false">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ustomFormat="false" ht="15" hidden="false" customHeight="false" outlineLevel="0" collapsed="false">
      <c r="A165" s="11" t="n">
        <v>46471</v>
      </c>
      <c r="B165" s="38" t="n">
        <v>0.458333333333333</v>
      </c>
      <c r="C165" s="10" t="s">
        <v>576</v>
      </c>
      <c r="D165" s="10" t="s">
        <v>692</v>
      </c>
      <c r="E165" s="10" t="s">
        <v>720</v>
      </c>
      <c r="F165" s="0" t="n">
        <v>29</v>
      </c>
      <c r="G165" s="10" t="s">
        <v>829</v>
      </c>
      <c r="J165" s="30" t="n">
        <f aca="false">IF(OR($C165="",$A165=""),"",IF($A165&lt;IFERROR(IF(INDEX(campaigns!$BG$2:$BG$51,MATCH($C165,campaigns!$A$2:$A$51,0))="","",INDEX(campaigns!$BG$2:$BG$51,MATCH($C165,campaigns!$A$2:$A$51,0))),""),0,NETWORKDAYS(IFERROR(IF(INDEX(campaigns!$BG$2:$BG$51,MATCH($C165,campaigns!$A$2:$A$51,0))="","",INDEX(campaigns!$BG$2:$BG$51,MATCH($C165,campaigns!$A$2:$A$51,0))),""),$A165,calendar!$A$2:$A$80)))</f>
        <v>3</v>
      </c>
      <c r="K165" s="30" t="str">
        <f aca="false">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ustomFormat="false" ht="15" hidden="false" customHeight="false" outlineLevel="0" collapsed="false">
      <c r="A166" s="11" t="n">
        <v>46475</v>
      </c>
      <c r="B166" s="38" t="n">
        <v>0.666666666666667</v>
      </c>
      <c r="C166" s="10" t="s">
        <v>576</v>
      </c>
      <c r="D166" s="10" t="s">
        <v>692</v>
      </c>
      <c r="E166" s="10" t="s">
        <v>721</v>
      </c>
      <c r="F166" s="0" t="n">
        <v>3</v>
      </c>
      <c r="G166" s="10" t="s">
        <v>827</v>
      </c>
      <c r="H166" s="10" t="s">
        <v>933</v>
      </c>
      <c r="J166" s="30" t="n">
        <f aca="false">IF(OR($C166="",$A166=""),"",IF($A166&lt;IFERROR(IF(INDEX(campaigns!$BG$2:$BG$51,MATCH($C166,campaigns!$A$2:$A$51,0))="","",INDEX(campaigns!$BG$2:$BG$51,MATCH($C166,campaigns!$A$2:$A$51,0))),""),0,NETWORKDAYS(IFERROR(IF(INDEX(campaigns!$BG$2:$BG$51,MATCH($C166,campaigns!$A$2:$A$51,0))="","",INDEX(campaigns!$BG$2:$BG$51,MATCH($C166,campaigns!$A$2:$A$51,0))),""),$A166,calendar!$A$2:$A$80)))</f>
        <v>5</v>
      </c>
      <c r="K166" s="30" t="str">
        <f aca="false">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ustomFormat="false" ht="15" hidden="false" customHeight="false" outlineLevel="0" collapsed="false">
      <c r="A167" s="11" t="n">
        <v>46469</v>
      </c>
      <c r="B167" s="38" t="n">
        <v>0.541666666666667</v>
      </c>
      <c r="C167" s="10" t="s">
        <v>576</v>
      </c>
      <c r="D167" s="10" t="s">
        <v>694</v>
      </c>
      <c r="E167" s="10" t="s">
        <v>826</v>
      </c>
      <c r="F167" s="0" t="n">
        <v>45</v>
      </c>
      <c r="G167" s="10" t="s">
        <v>827</v>
      </c>
      <c r="H167" s="10" t="s">
        <v>934</v>
      </c>
      <c r="J167" s="30" t="n">
        <f aca="false">IF(OR($C167="",$A167=""),"",IF($A167&lt;IFERROR(IF(INDEX(campaigns!$BG$2:$BG$51,MATCH($C167,campaigns!$A$2:$A$51,0))="","",INDEX(campaigns!$BG$2:$BG$51,MATCH($C167,campaigns!$A$2:$A$51,0))),""),0,NETWORKDAYS(IFERROR(IF(INDEX(campaigns!$BG$2:$BG$51,MATCH($C167,campaigns!$A$2:$A$51,0))="","",INDEX(campaigns!$BG$2:$BG$51,MATCH($C167,campaigns!$A$2:$A$51,0))),""),$A167,calendar!$A$2:$A$80)))</f>
        <v>1</v>
      </c>
      <c r="K167" s="30" t="str">
        <f aca="false">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ustomFormat="false" ht="15" hidden="false" customHeight="false" outlineLevel="0" collapsed="false">
      <c r="A168" s="11" t="n">
        <v>46471</v>
      </c>
      <c r="B168" s="38" t="n">
        <v>0.458333333333333</v>
      </c>
      <c r="C168" s="10" t="s">
        <v>576</v>
      </c>
      <c r="D168" s="10" t="s">
        <v>694</v>
      </c>
      <c r="E168" s="10" t="s">
        <v>720</v>
      </c>
      <c r="F168" s="0" t="n">
        <v>18</v>
      </c>
      <c r="G168" s="10" t="s">
        <v>829</v>
      </c>
      <c r="J168" s="30" t="n">
        <f aca="false">IF(OR($C168="",$A168=""),"",IF($A168&lt;IFERROR(IF(INDEX(campaigns!$BG$2:$BG$51,MATCH($C168,campaigns!$A$2:$A$51,0))="","",INDEX(campaigns!$BG$2:$BG$51,MATCH($C168,campaigns!$A$2:$A$51,0))),""),0,NETWORKDAYS(IFERROR(IF(INDEX(campaigns!$BG$2:$BG$51,MATCH($C168,campaigns!$A$2:$A$51,0))="","",INDEX(campaigns!$BG$2:$BG$51,MATCH($C168,campaigns!$A$2:$A$51,0))),""),$A168,calendar!$A$2:$A$80)))</f>
        <v>3</v>
      </c>
      <c r="K168" s="30" t="str">
        <f aca="false">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ustomFormat="false" ht="15" hidden="false" customHeight="false" outlineLevel="0" collapsed="false">
      <c r="A169" s="11" t="n">
        <v>46475</v>
      </c>
      <c r="B169" s="38" t="n">
        <v>0.666666666666667</v>
      </c>
      <c r="C169" s="10" t="s">
        <v>576</v>
      </c>
      <c r="D169" s="10" t="s">
        <v>694</v>
      </c>
      <c r="E169" s="10" t="s">
        <v>721</v>
      </c>
      <c r="F169" s="0" t="n">
        <v>3</v>
      </c>
      <c r="G169" s="10" t="s">
        <v>827</v>
      </c>
      <c r="H169" s="10" t="s">
        <v>935</v>
      </c>
      <c r="J169" s="30" t="n">
        <f aca="false">IF(OR($C169="",$A169=""),"",IF($A169&lt;IFERROR(IF(INDEX(campaigns!$BG$2:$BG$51,MATCH($C169,campaigns!$A$2:$A$51,0))="","",INDEX(campaigns!$BG$2:$BG$51,MATCH($C169,campaigns!$A$2:$A$51,0))),""),0,NETWORKDAYS(IFERROR(IF(INDEX(campaigns!$BG$2:$BG$51,MATCH($C169,campaigns!$A$2:$A$51,0))="","",INDEX(campaigns!$BG$2:$BG$51,MATCH($C169,campaigns!$A$2:$A$51,0))),""),$A169,calendar!$A$2:$A$80)))</f>
        <v>5</v>
      </c>
      <c r="K169" s="30" t="str">
        <f aca="false">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ustomFormat="false" ht="15" hidden="false" customHeight="false" outlineLevel="0" collapsed="false">
      <c r="A170" s="11" t="n">
        <v>46469</v>
      </c>
      <c r="B170" s="38" t="n">
        <v>0.541666666666667</v>
      </c>
      <c r="C170" s="10" t="s">
        <v>576</v>
      </c>
      <c r="D170" s="10" t="s">
        <v>696</v>
      </c>
      <c r="E170" s="10" t="s">
        <v>826</v>
      </c>
      <c r="F170" s="0" t="n">
        <v>75</v>
      </c>
      <c r="G170" s="10" t="s">
        <v>827</v>
      </c>
      <c r="H170" s="10" t="s">
        <v>936</v>
      </c>
      <c r="J170" s="30" t="n">
        <f aca="false">IF(OR($C170="",$A170=""),"",IF($A170&lt;IFERROR(IF(INDEX(campaigns!$BG$2:$BG$51,MATCH($C170,campaigns!$A$2:$A$51,0))="","",INDEX(campaigns!$BG$2:$BG$51,MATCH($C170,campaigns!$A$2:$A$51,0))),""),0,NETWORKDAYS(IFERROR(IF(INDEX(campaigns!$BG$2:$BG$51,MATCH($C170,campaigns!$A$2:$A$51,0))="","",INDEX(campaigns!$BG$2:$BG$51,MATCH($C170,campaigns!$A$2:$A$51,0))),""),$A170,calendar!$A$2:$A$80)))</f>
        <v>1</v>
      </c>
      <c r="K170" s="30" t="str">
        <f aca="false">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ustomFormat="false" ht="15" hidden="false" customHeight="false" outlineLevel="0" collapsed="false">
      <c r="A171" s="11" t="n">
        <v>46471</v>
      </c>
      <c r="B171" s="38" t="n">
        <v>0.458333333333333</v>
      </c>
      <c r="C171" s="10" t="s">
        <v>576</v>
      </c>
      <c r="D171" s="10" t="s">
        <v>696</v>
      </c>
      <c r="E171" s="10" t="s">
        <v>720</v>
      </c>
      <c r="F171" s="0" t="n">
        <v>31</v>
      </c>
      <c r="G171" s="10" t="s">
        <v>829</v>
      </c>
      <c r="J171" s="30" t="n">
        <f aca="false">IF(OR($C171="",$A171=""),"",IF($A171&lt;IFERROR(IF(INDEX(campaigns!$BG$2:$BG$51,MATCH($C171,campaigns!$A$2:$A$51,0))="","",INDEX(campaigns!$BG$2:$BG$51,MATCH($C171,campaigns!$A$2:$A$51,0))),""),0,NETWORKDAYS(IFERROR(IF(INDEX(campaigns!$BG$2:$BG$51,MATCH($C171,campaigns!$A$2:$A$51,0))="","",INDEX(campaigns!$BG$2:$BG$51,MATCH($C171,campaigns!$A$2:$A$51,0))),""),$A171,calendar!$A$2:$A$80)))</f>
        <v>3</v>
      </c>
      <c r="K171" s="30" t="str">
        <f aca="false">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ustomFormat="false" ht="15" hidden="false" customHeight="false" outlineLevel="0" collapsed="false">
      <c r="A172" s="11" t="n">
        <v>46475</v>
      </c>
      <c r="B172" s="38" t="n">
        <v>0.666666666666667</v>
      </c>
      <c r="C172" s="10" t="s">
        <v>576</v>
      </c>
      <c r="D172" s="10" t="s">
        <v>696</v>
      </c>
      <c r="E172" s="10" t="s">
        <v>721</v>
      </c>
      <c r="F172" s="0" t="n">
        <v>9</v>
      </c>
      <c r="G172" s="10" t="s">
        <v>827</v>
      </c>
      <c r="H172" s="10" t="s">
        <v>937</v>
      </c>
      <c r="J172" s="30" t="n">
        <f aca="false">IF(OR($C172="",$A172=""),"",IF($A172&lt;IFERROR(IF(INDEX(campaigns!$BG$2:$BG$51,MATCH($C172,campaigns!$A$2:$A$51,0))="","",INDEX(campaigns!$BG$2:$BG$51,MATCH($C172,campaigns!$A$2:$A$51,0))),""),0,NETWORKDAYS(IFERROR(IF(INDEX(campaigns!$BG$2:$BG$51,MATCH($C172,campaigns!$A$2:$A$51,0))="","",INDEX(campaigns!$BG$2:$BG$51,MATCH($C172,campaigns!$A$2:$A$51,0))),""),$A172,calendar!$A$2:$A$80)))</f>
        <v>5</v>
      </c>
      <c r="K172" s="30" t="str">
        <f aca="false">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ustomFormat="false" ht="15" hidden="false" customHeight="false" outlineLevel="0" collapsed="false">
      <c r="A173" s="11" t="n">
        <v>46469</v>
      </c>
      <c r="B173" s="38" t="n">
        <v>0.541666666666667</v>
      </c>
      <c r="C173" s="10" t="s">
        <v>576</v>
      </c>
      <c r="D173" s="10" t="s">
        <v>698</v>
      </c>
      <c r="E173" s="10" t="s">
        <v>826</v>
      </c>
      <c r="F173" s="0" t="n">
        <v>40</v>
      </c>
      <c r="G173" s="10" t="s">
        <v>827</v>
      </c>
      <c r="H173" s="10" t="s">
        <v>938</v>
      </c>
      <c r="J173" s="30" t="n">
        <f aca="false">IF(OR($C173="",$A173=""),"",IF($A173&lt;IFERROR(IF(INDEX(campaigns!$BG$2:$BG$51,MATCH($C173,campaigns!$A$2:$A$51,0))="","",INDEX(campaigns!$BG$2:$BG$51,MATCH($C173,campaigns!$A$2:$A$51,0))),""),0,NETWORKDAYS(IFERROR(IF(INDEX(campaigns!$BG$2:$BG$51,MATCH($C173,campaigns!$A$2:$A$51,0))="","",INDEX(campaigns!$BG$2:$BG$51,MATCH($C173,campaigns!$A$2:$A$51,0))),""),$A173,calendar!$A$2:$A$80)))</f>
        <v>1</v>
      </c>
      <c r="K173" s="30" t="str">
        <f aca="false">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ustomFormat="false" ht="15" hidden="false" customHeight="false" outlineLevel="0" collapsed="false">
      <c r="A174" s="11" t="n">
        <v>46471</v>
      </c>
      <c r="B174" s="38" t="n">
        <v>0.458333333333333</v>
      </c>
      <c r="C174" s="10" t="s">
        <v>576</v>
      </c>
      <c r="D174" s="10" t="s">
        <v>698</v>
      </c>
      <c r="E174" s="10" t="s">
        <v>720</v>
      </c>
      <c r="F174" s="0" t="n">
        <v>10</v>
      </c>
      <c r="G174" s="10" t="s">
        <v>829</v>
      </c>
      <c r="J174" s="30" t="n">
        <f aca="false">IF(OR($C174="",$A174=""),"",IF($A174&lt;IFERROR(IF(INDEX(campaigns!$BG$2:$BG$51,MATCH($C174,campaigns!$A$2:$A$51,0))="","",INDEX(campaigns!$BG$2:$BG$51,MATCH($C174,campaigns!$A$2:$A$51,0))),""),0,NETWORKDAYS(IFERROR(IF(INDEX(campaigns!$BG$2:$BG$51,MATCH($C174,campaigns!$A$2:$A$51,0))="","",INDEX(campaigns!$BG$2:$BG$51,MATCH($C174,campaigns!$A$2:$A$51,0))),""),$A174,calendar!$A$2:$A$80)))</f>
        <v>3</v>
      </c>
      <c r="K174" s="30" t="str">
        <f aca="false">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ustomFormat="false" ht="15" hidden="false" customHeight="false" outlineLevel="0" collapsed="false">
      <c r="A175" s="11" t="n">
        <v>46475</v>
      </c>
      <c r="B175" s="38" t="n">
        <v>0.666666666666667</v>
      </c>
      <c r="C175" s="10" t="s">
        <v>576</v>
      </c>
      <c r="D175" s="10" t="s">
        <v>698</v>
      </c>
      <c r="E175" s="10" t="s">
        <v>721</v>
      </c>
      <c r="F175" s="0" t="n">
        <v>2</v>
      </c>
      <c r="G175" s="10" t="s">
        <v>827</v>
      </c>
      <c r="H175" s="10" t="s">
        <v>939</v>
      </c>
      <c r="J175" s="30" t="n">
        <f aca="false">IF(OR($C175="",$A175=""),"",IF($A175&lt;IFERROR(IF(INDEX(campaigns!$BG$2:$BG$51,MATCH($C175,campaigns!$A$2:$A$51,0))="","",INDEX(campaigns!$BG$2:$BG$51,MATCH($C175,campaigns!$A$2:$A$51,0))),""),0,NETWORKDAYS(IFERROR(IF(INDEX(campaigns!$BG$2:$BG$51,MATCH($C175,campaigns!$A$2:$A$51,0))="","",INDEX(campaigns!$BG$2:$BG$51,MATCH($C175,campaigns!$A$2:$A$51,0))),""),$A175,calendar!$A$2:$A$80)))</f>
        <v>5</v>
      </c>
      <c r="K175" s="30" t="str">
        <f aca="false">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ustomFormat="false" ht="15" hidden="false" customHeight="false" outlineLevel="0" collapsed="false">
      <c r="A176" s="11" t="n">
        <v>46469</v>
      </c>
      <c r="B176" s="38" t="n">
        <v>0.541666666666667</v>
      </c>
      <c r="C176" s="10" t="s">
        <v>584</v>
      </c>
      <c r="D176" s="10" t="s">
        <v>678</v>
      </c>
      <c r="E176" s="10" t="s">
        <v>826</v>
      </c>
      <c r="F176" s="0" t="n">
        <v>40</v>
      </c>
      <c r="G176" s="10" t="s">
        <v>827</v>
      </c>
      <c r="H176" s="10" t="s">
        <v>940</v>
      </c>
      <c r="J176" s="30" t="n">
        <f aca="false">IF(OR($C176="",$A176=""),"",IF($A176&lt;IFERROR(IF(INDEX(campaigns!$BG$2:$BG$51,MATCH($C176,campaigns!$A$2:$A$51,0))="","",INDEX(campaigns!$BG$2:$BG$51,MATCH($C176,campaigns!$A$2:$A$51,0))),""),0,NETWORKDAYS(IFERROR(IF(INDEX(campaigns!$BG$2:$BG$51,MATCH($C176,campaigns!$A$2:$A$51,0))="","",INDEX(campaigns!$BG$2:$BG$51,MATCH($C176,campaigns!$A$2:$A$51,0))),""),$A176,calendar!$A$2:$A$80)))</f>
        <v>1</v>
      </c>
      <c r="K176" s="30" t="str">
        <f aca="false">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ustomFormat="false" ht="15" hidden="false" customHeight="false" outlineLevel="0" collapsed="false">
      <c r="A177" s="11" t="n">
        <v>46471</v>
      </c>
      <c r="B177" s="38" t="n">
        <v>0.458333333333333</v>
      </c>
      <c r="C177" s="10" t="s">
        <v>584</v>
      </c>
      <c r="D177" s="10" t="s">
        <v>678</v>
      </c>
      <c r="E177" s="10" t="s">
        <v>720</v>
      </c>
      <c r="F177" s="0" t="n">
        <v>13</v>
      </c>
      <c r="G177" s="10" t="s">
        <v>829</v>
      </c>
      <c r="J177" s="30" t="n">
        <f aca="false">IF(OR($C177="",$A177=""),"",IF($A177&lt;IFERROR(IF(INDEX(campaigns!$BG$2:$BG$51,MATCH($C177,campaigns!$A$2:$A$51,0))="","",INDEX(campaigns!$BG$2:$BG$51,MATCH($C177,campaigns!$A$2:$A$51,0))),""),0,NETWORKDAYS(IFERROR(IF(INDEX(campaigns!$BG$2:$BG$51,MATCH($C177,campaigns!$A$2:$A$51,0))="","",INDEX(campaigns!$BG$2:$BG$51,MATCH($C177,campaigns!$A$2:$A$51,0))),""),$A177,calendar!$A$2:$A$80)))</f>
        <v>3</v>
      </c>
      <c r="K177" s="30" t="str">
        <f aca="false">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ustomFormat="false" ht="15" hidden="false" customHeight="false" outlineLevel="0" collapsed="false">
      <c r="A178" s="11" t="n">
        <v>46475</v>
      </c>
      <c r="B178" s="38" t="n">
        <v>0.666666666666667</v>
      </c>
      <c r="C178" s="10" t="s">
        <v>584</v>
      </c>
      <c r="D178" s="10" t="s">
        <v>678</v>
      </c>
      <c r="E178" s="10" t="s">
        <v>721</v>
      </c>
      <c r="F178" s="0" t="n">
        <v>2</v>
      </c>
      <c r="G178" s="10" t="s">
        <v>827</v>
      </c>
      <c r="H178" s="10" t="s">
        <v>941</v>
      </c>
      <c r="J178" s="30" t="n">
        <f aca="false">IF(OR($C178="",$A178=""),"",IF($A178&lt;IFERROR(IF(INDEX(campaigns!$BG$2:$BG$51,MATCH($C178,campaigns!$A$2:$A$51,0))="","",INDEX(campaigns!$BG$2:$BG$51,MATCH($C178,campaigns!$A$2:$A$51,0))),""),0,NETWORKDAYS(IFERROR(IF(INDEX(campaigns!$BG$2:$BG$51,MATCH($C178,campaigns!$A$2:$A$51,0))="","",INDEX(campaigns!$BG$2:$BG$51,MATCH($C178,campaigns!$A$2:$A$51,0))),""),$A178,calendar!$A$2:$A$80)))</f>
        <v>5</v>
      </c>
      <c r="K178" s="30" t="str">
        <f aca="false">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ustomFormat="false" ht="15" hidden="false" customHeight="false" outlineLevel="0" collapsed="false">
      <c r="A179" s="11" t="n">
        <v>46469</v>
      </c>
      <c r="B179" s="38" t="n">
        <v>0.541666666666667</v>
      </c>
      <c r="C179" s="10" t="s">
        <v>584</v>
      </c>
      <c r="D179" s="10" t="s">
        <v>681</v>
      </c>
      <c r="E179" s="10" t="s">
        <v>826</v>
      </c>
      <c r="F179" s="0" t="n">
        <v>40</v>
      </c>
      <c r="G179" s="10" t="s">
        <v>827</v>
      </c>
      <c r="H179" s="10" t="s">
        <v>942</v>
      </c>
      <c r="J179" s="30" t="n">
        <f aca="false">IF(OR($C179="",$A179=""),"",IF($A179&lt;IFERROR(IF(INDEX(campaigns!$BG$2:$BG$51,MATCH($C179,campaigns!$A$2:$A$51,0))="","",INDEX(campaigns!$BG$2:$BG$51,MATCH($C179,campaigns!$A$2:$A$51,0))),""),0,NETWORKDAYS(IFERROR(IF(INDEX(campaigns!$BG$2:$BG$51,MATCH($C179,campaigns!$A$2:$A$51,0))="","",INDEX(campaigns!$BG$2:$BG$51,MATCH($C179,campaigns!$A$2:$A$51,0))),""),$A179,calendar!$A$2:$A$80)))</f>
        <v>1</v>
      </c>
      <c r="K179" s="30" t="str">
        <f aca="false">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ustomFormat="false" ht="15" hidden="false" customHeight="false" outlineLevel="0" collapsed="false">
      <c r="A180" s="11" t="n">
        <v>46471</v>
      </c>
      <c r="B180" s="38" t="n">
        <v>0.458333333333333</v>
      </c>
      <c r="C180" s="10" t="s">
        <v>584</v>
      </c>
      <c r="D180" s="10" t="s">
        <v>681</v>
      </c>
      <c r="E180" s="10" t="s">
        <v>720</v>
      </c>
      <c r="F180" s="0" t="n">
        <v>18</v>
      </c>
      <c r="G180" s="10" t="s">
        <v>829</v>
      </c>
      <c r="J180" s="30" t="n">
        <f aca="false">IF(OR($C180="",$A180=""),"",IF($A180&lt;IFERROR(IF(INDEX(campaigns!$BG$2:$BG$51,MATCH($C180,campaigns!$A$2:$A$51,0))="","",INDEX(campaigns!$BG$2:$BG$51,MATCH($C180,campaigns!$A$2:$A$51,0))),""),0,NETWORKDAYS(IFERROR(IF(INDEX(campaigns!$BG$2:$BG$51,MATCH($C180,campaigns!$A$2:$A$51,0))="","",INDEX(campaigns!$BG$2:$BG$51,MATCH($C180,campaigns!$A$2:$A$51,0))),""),$A180,calendar!$A$2:$A$80)))</f>
        <v>3</v>
      </c>
      <c r="K180" s="30" t="str">
        <f aca="false">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ustomFormat="false" ht="15" hidden="false" customHeight="false" outlineLevel="0" collapsed="false">
      <c r="A181" s="11" t="n">
        <v>46475</v>
      </c>
      <c r="B181" s="38" t="n">
        <v>0.666666666666667</v>
      </c>
      <c r="C181" s="10" t="s">
        <v>584</v>
      </c>
      <c r="D181" s="10" t="s">
        <v>681</v>
      </c>
      <c r="E181" s="10" t="s">
        <v>721</v>
      </c>
      <c r="F181" s="0" t="n">
        <v>1</v>
      </c>
      <c r="G181" s="10" t="s">
        <v>827</v>
      </c>
      <c r="H181" s="10" t="s">
        <v>943</v>
      </c>
      <c r="J181" s="30" t="n">
        <f aca="false">IF(OR($C181="",$A181=""),"",IF($A181&lt;IFERROR(IF(INDEX(campaigns!$BG$2:$BG$51,MATCH($C181,campaigns!$A$2:$A$51,0))="","",INDEX(campaigns!$BG$2:$BG$51,MATCH($C181,campaigns!$A$2:$A$51,0))),""),0,NETWORKDAYS(IFERROR(IF(INDEX(campaigns!$BG$2:$BG$51,MATCH($C181,campaigns!$A$2:$A$51,0))="","",INDEX(campaigns!$BG$2:$BG$51,MATCH($C181,campaigns!$A$2:$A$51,0))),""),$A181,calendar!$A$2:$A$80)))</f>
        <v>5</v>
      </c>
      <c r="K181" s="30" t="str">
        <f aca="false">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ustomFormat="false" ht="15" hidden="false" customHeight="false" outlineLevel="0" collapsed="false">
      <c r="A182" s="11" t="n">
        <v>46469</v>
      </c>
      <c r="B182" s="38" t="n">
        <v>0.541666666666667</v>
      </c>
      <c r="C182" s="10" t="s">
        <v>584</v>
      </c>
      <c r="D182" s="10" t="s">
        <v>683</v>
      </c>
      <c r="E182" s="10" t="s">
        <v>826</v>
      </c>
      <c r="F182" s="0" t="n">
        <v>50</v>
      </c>
      <c r="G182" s="10" t="s">
        <v>827</v>
      </c>
      <c r="H182" s="10" t="s">
        <v>944</v>
      </c>
      <c r="J182" s="30" t="n">
        <f aca="false">IF(OR($C182="",$A182=""),"",IF($A182&lt;IFERROR(IF(INDEX(campaigns!$BG$2:$BG$51,MATCH($C182,campaigns!$A$2:$A$51,0))="","",INDEX(campaigns!$BG$2:$BG$51,MATCH($C182,campaigns!$A$2:$A$51,0))),""),0,NETWORKDAYS(IFERROR(IF(INDEX(campaigns!$BG$2:$BG$51,MATCH($C182,campaigns!$A$2:$A$51,0))="","",INDEX(campaigns!$BG$2:$BG$51,MATCH($C182,campaigns!$A$2:$A$51,0))),""),$A182,calendar!$A$2:$A$80)))</f>
        <v>1</v>
      </c>
      <c r="K182" s="30" t="str">
        <f aca="false">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ustomFormat="false" ht="15" hidden="false" customHeight="false" outlineLevel="0" collapsed="false">
      <c r="A183" s="11" t="n">
        <v>46471</v>
      </c>
      <c r="B183" s="38" t="n">
        <v>0.458333333333333</v>
      </c>
      <c r="C183" s="10" t="s">
        <v>584</v>
      </c>
      <c r="D183" s="10" t="s">
        <v>683</v>
      </c>
      <c r="E183" s="10" t="s">
        <v>720</v>
      </c>
      <c r="F183" s="0" t="n">
        <v>13</v>
      </c>
      <c r="G183" s="10" t="s">
        <v>829</v>
      </c>
      <c r="J183" s="30" t="n">
        <f aca="false">IF(OR($C183="",$A183=""),"",IF($A183&lt;IFERROR(IF(INDEX(campaigns!$BG$2:$BG$51,MATCH($C183,campaigns!$A$2:$A$51,0))="","",INDEX(campaigns!$BG$2:$BG$51,MATCH($C183,campaigns!$A$2:$A$51,0))),""),0,NETWORKDAYS(IFERROR(IF(INDEX(campaigns!$BG$2:$BG$51,MATCH($C183,campaigns!$A$2:$A$51,0))="","",INDEX(campaigns!$BG$2:$BG$51,MATCH($C183,campaigns!$A$2:$A$51,0))),""),$A183,calendar!$A$2:$A$80)))</f>
        <v>3</v>
      </c>
      <c r="K183" s="30" t="str">
        <f aca="false">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ustomFormat="false" ht="15" hidden="false" customHeight="false" outlineLevel="0" collapsed="false">
      <c r="A184" s="11" t="n">
        <v>46475</v>
      </c>
      <c r="B184" s="38" t="n">
        <v>0.666666666666667</v>
      </c>
      <c r="C184" s="10" t="s">
        <v>584</v>
      </c>
      <c r="D184" s="10" t="s">
        <v>683</v>
      </c>
      <c r="E184" s="10" t="s">
        <v>721</v>
      </c>
      <c r="F184" s="0" t="n">
        <v>1</v>
      </c>
      <c r="G184" s="10" t="s">
        <v>827</v>
      </c>
      <c r="H184" s="10" t="s">
        <v>945</v>
      </c>
      <c r="J184" s="30" t="n">
        <f aca="false">IF(OR($C184="",$A184=""),"",IF($A184&lt;IFERROR(IF(INDEX(campaigns!$BG$2:$BG$51,MATCH($C184,campaigns!$A$2:$A$51,0))="","",INDEX(campaigns!$BG$2:$BG$51,MATCH($C184,campaigns!$A$2:$A$51,0))),""),0,NETWORKDAYS(IFERROR(IF(INDEX(campaigns!$BG$2:$BG$51,MATCH($C184,campaigns!$A$2:$A$51,0))="","",INDEX(campaigns!$BG$2:$BG$51,MATCH($C184,campaigns!$A$2:$A$51,0))),""),$A184,calendar!$A$2:$A$80)))</f>
        <v>5</v>
      </c>
      <c r="K184" s="30" t="str">
        <f aca="false">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ustomFormat="false" ht="15" hidden="false" customHeight="false" outlineLevel="0" collapsed="false">
      <c r="A185" s="11" t="n">
        <v>46469</v>
      </c>
      <c r="B185" s="38" t="n">
        <v>0.541666666666667</v>
      </c>
      <c r="C185" s="10" t="s">
        <v>584</v>
      </c>
      <c r="D185" s="10" t="s">
        <v>686</v>
      </c>
      <c r="E185" s="10" t="s">
        <v>826</v>
      </c>
      <c r="F185" s="0" t="n">
        <v>50</v>
      </c>
      <c r="G185" s="10" t="s">
        <v>827</v>
      </c>
      <c r="H185" s="10" t="s">
        <v>946</v>
      </c>
      <c r="J185" s="30" t="n">
        <f aca="false">IF(OR($C185="",$A185=""),"",IF($A185&lt;IFERROR(IF(INDEX(campaigns!$BG$2:$BG$51,MATCH($C185,campaigns!$A$2:$A$51,0))="","",INDEX(campaigns!$BG$2:$BG$51,MATCH($C185,campaigns!$A$2:$A$51,0))),""),0,NETWORKDAYS(IFERROR(IF(INDEX(campaigns!$BG$2:$BG$51,MATCH($C185,campaigns!$A$2:$A$51,0))="","",INDEX(campaigns!$BG$2:$BG$51,MATCH($C185,campaigns!$A$2:$A$51,0))),""),$A185,calendar!$A$2:$A$80)))</f>
        <v>1</v>
      </c>
      <c r="K185" s="30" t="str">
        <f aca="false">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ustomFormat="false" ht="15" hidden="false" customHeight="false" outlineLevel="0" collapsed="false">
      <c r="A186" s="11" t="n">
        <v>46471</v>
      </c>
      <c r="B186" s="38" t="n">
        <v>0.458333333333333</v>
      </c>
      <c r="C186" s="10" t="s">
        <v>584</v>
      </c>
      <c r="D186" s="10" t="s">
        <v>686</v>
      </c>
      <c r="E186" s="10" t="s">
        <v>720</v>
      </c>
      <c r="F186" s="0" t="n">
        <v>10</v>
      </c>
      <c r="G186" s="10" t="s">
        <v>829</v>
      </c>
      <c r="J186" s="30" t="n">
        <f aca="false">IF(OR($C186="",$A186=""),"",IF($A186&lt;IFERROR(IF(INDEX(campaigns!$BG$2:$BG$51,MATCH($C186,campaigns!$A$2:$A$51,0))="","",INDEX(campaigns!$BG$2:$BG$51,MATCH($C186,campaigns!$A$2:$A$51,0))),""),0,NETWORKDAYS(IFERROR(IF(INDEX(campaigns!$BG$2:$BG$51,MATCH($C186,campaigns!$A$2:$A$51,0))="","",INDEX(campaigns!$BG$2:$BG$51,MATCH($C186,campaigns!$A$2:$A$51,0))),""),$A186,calendar!$A$2:$A$80)))</f>
        <v>3</v>
      </c>
      <c r="K186" s="30" t="str">
        <f aca="false">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ustomFormat="false" ht="15" hidden="false" customHeight="false" outlineLevel="0" collapsed="false">
      <c r="A187" s="11" t="n">
        <v>46475</v>
      </c>
      <c r="B187" s="38" t="n">
        <v>0.666666666666667</v>
      </c>
      <c r="C187" s="10" t="s">
        <v>584</v>
      </c>
      <c r="D187" s="10" t="s">
        <v>686</v>
      </c>
      <c r="E187" s="10" t="s">
        <v>721</v>
      </c>
      <c r="F187" s="0" t="n">
        <v>1</v>
      </c>
      <c r="G187" s="10" t="s">
        <v>827</v>
      </c>
      <c r="H187" s="10" t="s">
        <v>947</v>
      </c>
      <c r="J187" s="30" t="n">
        <f aca="false">IF(OR($C187="",$A187=""),"",IF($A187&lt;IFERROR(IF(INDEX(campaigns!$BG$2:$BG$51,MATCH($C187,campaigns!$A$2:$A$51,0))="","",INDEX(campaigns!$BG$2:$BG$51,MATCH($C187,campaigns!$A$2:$A$51,0))),""),0,NETWORKDAYS(IFERROR(IF(INDEX(campaigns!$BG$2:$BG$51,MATCH($C187,campaigns!$A$2:$A$51,0))="","",INDEX(campaigns!$BG$2:$BG$51,MATCH($C187,campaigns!$A$2:$A$51,0))),""),$A187,calendar!$A$2:$A$80)))</f>
        <v>5</v>
      </c>
      <c r="K187" s="30" t="str">
        <f aca="false">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ustomFormat="false" ht="15" hidden="false" customHeight="false" outlineLevel="0" collapsed="false">
      <c r="A188" s="11" t="n">
        <v>46469</v>
      </c>
      <c r="B188" s="38" t="n">
        <v>0.541666666666667</v>
      </c>
      <c r="C188" s="10" t="s">
        <v>584</v>
      </c>
      <c r="D188" s="10" t="s">
        <v>688</v>
      </c>
      <c r="E188" s="10" t="s">
        <v>826</v>
      </c>
      <c r="F188" s="0" t="n">
        <v>70</v>
      </c>
      <c r="G188" s="10" t="s">
        <v>827</v>
      </c>
      <c r="H188" s="10" t="s">
        <v>948</v>
      </c>
      <c r="J188" s="30" t="n">
        <f aca="false">IF(OR($C188="",$A188=""),"",IF($A188&lt;IFERROR(IF(INDEX(campaigns!$BG$2:$BG$51,MATCH($C188,campaigns!$A$2:$A$51,0))="","",INDEX(campaigns!$BG$2:$BG$51,MATCH($C188,campaigns!$A$2:$A$51,0))),""),0,NETWORKDAYS(IFERROR(IF(INDEX(campaigns!$BG$2:$BG$51,MATCH($C188,campaigns!$A$2:$A$51,0))="","",INDEX(campaigns!$BG$2:$BG$51,MATCH($C188,campaigns!$A$2:$A$51,0))),""),$A188,calendar!$A$2:$A$80)))</f>
        <v>1</v>
      </c>
      <c r="K188" s="30" t="str">
        <f aca="false">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ustomFormat="false" ht="15" hidden="false" customHeight="false" outlineLevel="0" collapsed="false">
      <c r="A189" s="11" t="n">
        <v>46471</v>
      </c>
      <c r="B189" s="38" t="n">
        <v>0.458333333333333</v>
      </c>
      <c r="C189" s="10" t="s">
        <v>584</v>
      </c>
      <c r="D189" s="10" t="s">
        <v>688</v>
      </c>
      <c r="E189" s="10" t="s">
        <v>720</v>
      </c>
      <c r="F189" s="0" t="n">
        <v>22</v>
      </c>
      <c r="G189" s="10" t="s">
        <v>829</v>
      </c>
      <c r="J189" s="30" t="n">
        <f aca="false">IF(OR($C189="",$A189=""),"",IF($A189&lt;IFERROR(IF(INDEX(campaigns!$BG$2:$BG$51,MATCH($C189,campaigns!$A$2:$A$51,0))="","",INDEX(campaigns!$BG$2:$BG$51,MATCH($C189,campaigns!$A$2:$A$51,0))),""),0,NETWORKDAYS(IFERROR(IF(INDEX(campaigns!$BG$2:$BG$51,MATCH($C189,campaigns!$A$2:$A$51,0))="","",INDEX(campaigns!$BG$2:$BG$51,MATCH($C189,campaigns!$A$2:$A$51,0))),""),$A189,calendar!$A$2:$A$80)))</f>
        <v>3</v>
      </c>
      <c r="K189" s="30" t="str">
        <f aca="false">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ustomFormat="false" ht="15" hidden="false" customHeight="false" outlineLevel="0" collapsed="false">
      <c r="A190" s="11" t="n">
        <v>46475</v>
      </c>
      <c r="B190" s="38" t="n">
        <v>0.666666666666667</v>
      </c>
      <c r="C190" s="10" t="s">
        <v>584</v>
      </c>
      <c r="D190" s="10" t="s">
        <v>688</v>
      </c>
      <c r="E190" s="10" t="s">
        <v>721</v>
      </c>
      <c r="F190" s="0" t="n">
        <v>1</v>
      </c>
      <c r="G190" s="10" t="s">
        <v>827</v>
      </c>
      <c r="H190" s="10" t="s">
        <v>949</v>
      </c>
      <c r="J190" s="30" t="n">
        <f aca="false">IF(OR($C190="",$A190=""),"",IF($A190&lt;IFERROR(IF(INDEX(campaigns!$BG$2:$BG$51,MATCH($C190,campaigns!$A$2:$A$51,0))="","",INDEX(campaigns!$BG$2:$BG$51,MATCH($C190,campaigns!$A$2:$A$51,0))),""),0,NETWORKDAYS(IFERROR(IF(INDEX(campaigns!$BG$2:$BG$51,MATCH($C190,campaigns!$A$2:$A$51,0))="","",INDEX(campaigns!$BG$2:$BG$51,MATCH($C190,campaigns!$A$2:$A$51,0))),""),$A190,calendar!$A$2:$A$80)))</f>
        <v>5</v>
      </c>
      <c r="K190" s="30" t="str">
        <f aca="false">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ustomFormat="false" ht="15" hidden="false" customHeight="false" outlineLevel="0" collapsed="false">
      <c r="A191" s="11" t="n">
        <v>46469</v>
      </c>
      <c r="B191" s="38" t="n">
        <v>0.541666666666667</v>
      </c>
      <c r="C191" s="10" t="s">
        <v>584</v>
      </c>
      <c r="D191" s="10" t="s">
        <v>690</v>
      </c>
      <c r="E191" s="10" t="s">
        <v>826</v>
      </c>
      <c r="F191" s="0" t="n">
        <v>45</v>
      </c>
      <c r="G191" s="10" t="s">
        <v>827</v>
      </c>
      <c r="H191" s="10" t="s">
        <v>950</v>
      </c>
      <c r="J191" s="30" t="n">
        <f aca="false">IF(OR($C191="",$A191=""),"",IF($A191&lt;IFERROR(IF(INDEX(campaigns!$BG$2:$BG$51,MATCH($C191,campaigns!$A$2:$A$51,0))="","",INDEX(campaigns!$BG$2:$BG$51,MATCH($C191,campaigns!$A$2:$A$51,0))),""),0,NETWORKDAYS(IFERROR(IF(INDEX(campaigns!$BG$2:$BG$51,MATCH($C191,campaigns!$A$2:$A$51,0))="","",INDEX(campaigns!$BG$2:$BG$51,MATCH($C191,campaigns!$A$2:$A$51,0))),""),$A191,calendar!$A$2:$A$80)))</f>
        <v>1</v>
      </c>
      <c r="K191" s="30" t="str">
        <f aca="false">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ustomFormat="false" ht="15" hidden="false" customHeight="false" outlineLevel="0" collapsed="false">
      <c r="A192" s="11" t="n">
        <v>46471</v>
      </c>
      <c r="B192" s="38" t="n">
        <v>0.458333333333333</v>
      </c>
      <c r="C192" s="10" t="s">
        <v>584</v>
      </c>
      <c r="D192" s="10" t="s">
        <v>690</v>
      </c>
      <c r="E192" s="10" t="s">
        <v>720</v>
      </c>
      <c r="F192" s="0" t="n">
        <v>19</v>
      </c>
      <c r="G192" s="10" t="s">
        <v>829</v>
      </c>
      <c r="J192" s="30" t="n">
        <f aca="false">IF(OR($C192="",$A192=""),"",IF($A192&lt;IFERROR(IF(INDEX(campaigns!$BG$2:$BG$51,MATCH($C192,campaigns!$A$2:$A$51,0))="","",INDEX(campaigns!$BG$2:$BG$51,MATCH($C192,campaigns!$A$2:$A$51,0))),""),0,NETWORKDAYS(IFERROR(IF(INDEX(campaigns!$BG$2:$BG$51,MATCH($C192,campaigns!$A$2:$A$51,0))="","",INDEX(campaigns!$BG$2:$BG$51,MATCH($C192,campaigns!$A$2:$A$51,0))),""),$A192,calendar!$A$2:$A$80)))</f>
        <v>3</v>
      </c>
      <c r="K192" s="30" t="str">
        <f aca="false">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ustomFormat="false" ht="15" hidden="false" customHeight="false" outlineLevel="0" collapsed="false">
      <c r="A193" s="11" t="n">
        <v>46475</v>
      </c>
      <c r="B193" s="38" t="n">
        <v>0.666666666666667</v>
      </c>
      <c r="C193" s="10" t="s">
        <v>584</v>
      </c>
      <c r="D193" s="10" t="s">
        <v>690</v>
      </c>
      <c r="E193" s="10" t="s">
        <v>721</v>
      </c>
      <c r="F193" s="0" t="n">
        <v>4</v>
      </c>
      <c r="G193" s="10" t="s">
        <v>827</v>
      </c>
      <c r="H193" s="10" t="s">
        <v>951</v>
      </c>
      <c r="J193" s="30" t="n">
        <f aca="false">IF(OR($C193="",$A193=""),"",IF($A193&lt;IFERROR(IF(INDEX(campaigns!$BG$2:$BG$51,MATCH($C193,campaigns!$A$2:$A$51,0))="","",INDEX(campaigns!$BG$2:$BG$51,MATCH($C193,campaigns!$A$2:$A$51,0))),""),0,NETWORKDAYS(IFERROR(IF(INDEX(campaigns!$BG$2:$BG$51,MATCH($C193,campaigns!$A$2:$A$51,0))="","",INDEX(campaigns!$BG$2:$BG$51,MATCH($C193,campaigns!$A$2:$A$51,0))),""),$A193,calendar!$A$2:$A$80)))</f>
        <v>5</v>
      </c>
      <c r="K193" s="30" t="str">
        <f aca="false">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ustomFormat="false" ht="15" hidden="false" customHeight="false" outlineLevel="0" collapsed="false">
      <c r="A194" s="11" t="n">
        <v>46469</v>
      </c>
      <c r="B194" s="38" t="n">
        <v>0.541666666666667</v>
      </c>
      <c r="C194" s="10" t="s">
        <v>584</v>
      </c>
      <c r="D194" s="10" t="s">
        <v>692</v>
      </c>
      <c r="E194" s="10" t="s">
        <v>826</v>
      </c>
      <c r="F194" s="0" t="n">
        <v>60</v>
      </c>
      <c r="G194" s="10" t="s">
        <v>827</v>
      </c>
      <c r="H194" s="10" t="s">
        <v>952</v>
      </c>
      <c r="J194" s="30" t="n">
        <f aca="false">IF(OR($C194="",$A194=""),"",IF($A194&lt;IFERROR(IF(INDEX(campaigns!$BG$2:$BG$51,MATCH($C194,campaigns!$A$2:$A$51,0))="","",INDEX(campaigns!$BG$2:$BG$51,MATCH($C194,campaigns!$A$2:$A$51,0))),""),0,NETWORKDAYS(IFERROR(IF(INDEX(campaigns!$BG$2:$BG$51,MATCH($C194,campaigns!$A$2:$A$51,0))="","",INDEX(campaigns!$BG$2:$BG$51,MATCH($C194,campaigns!$A$2:$A$51,0))),""),$A194,calendar!$A$2:$A$80)))</f>
        <v>1</v>
      </c>
      <c r="K194" s="30" t="str">
        <f aca="false">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ustomFormat="false" ht="15" hidden="false" customHeight="false" outlineLevel="0" collapsed="false">
      <c r="A195" s="11" t="n">
        <v>46471</v>
      </c>
      <c r="B195" s="38" t="n">
        <v>0.458333333333333</v>
      </c>
      <c r="C195" s="10" t="s">
        <v>584</v>
      </c>
      <c r="D195" s="10" t="s">
        <v>692</v>
      </c>
      <c r="E195" s="10" t="s">
        <v>720</v>
      </c>
      <c r="F195" s="0" t="n">
        <v>19</v>
      </c>
      <c r="G195" s="10" t="s">
        <v>829</v>
      </c>
      <c r="J195" s="30" t="n">
        <f aca="false">IF(OR($C195="",$A195=""),"",IF($A195&lt;IFERROR(IF(INDEX(campaigns!$BG$2:$BG$51,MATCH($C195,campaigns!$A$2:$A$51,0))="","",INDEX(campaigns!$BG$2:$BG$51,MATCH($C195,campaigns!$A$2:$A$51,0))),""),0,NETWORKDAYS(IFERROR(IF(INDEX(campaigns!$BG$2:$BG$51,MATCH($C195,campaigns!$A$2:$A$51,0))="","",INDEX(campaigns!$BG$2:$BG$51,MATCH($C195,campaigns!$A$2:$A$51,0))),""),$A195,calendar!$A$2:$A$80)))</f>
        <v>3</v>
      </c>
      <c r="K195" s="30" t="str">
        <f aca="false">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ustomFormat="false" ht="15" hidden="false" customHeight="false" outlineLevel="0" collapsed="false">
      <c r="A196" s="11" t="n">
        <v>46475</v>
      </c>
      <c r="B196" s="38" t="n">
        <v>0.666666666666667</v>
      </c>
      <c r="C196" s="10" t="s">
        <v>584</v>
      </c>
      <c r="D196" s="10" t="s">
        <v>692</v>
      </c>
      <c r="E196" s="10" t="s">
        <v>721</v>
      </c>
      <c r="F196" s="0" t="n">
        <v>2</v>
      </c>
      <c r="G196" s="10" t="s">
        <v>827</v>
      </c>
      <c r="H196" s="10" t="s">
        <v>953</v>
      </c>
      <c r="J196" s="30" t="n">
        <f aca="false">IF(OR($C196="",$A196=""),"",IF($A196&lt;IFERROR(IF(INDEX(campaigns!$BG$2:$BG$51,MATCH($C196,campaigns!$A$2:$A$51,0))="","",INDEX(campaigns!$BG$2:$BG$51,MATCH($C196,campaigns!$A$2:$A$51,0))),""),0,NETWORKDAYS(IFERROR(IF(INDEX(campaigns!$BG$2:$BG$51,MATCH($C196,campaigns!$A$2:$A$51,0))="","",INDEX(campaigns!$BG$2:$BG$51,MATCH($C196,campaigns!$A$2:$A$51,0))),""),$A196,calendar!$A$2:$A$80)))</f>
        <v>5</v>
      </c>
      <c r="K196" s="30" t="str">
        <f aca="false">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ustomFormat="false" ht="15" hidden="false" customHeight="false" outlineLevel="0" collapsed="false">
      <c r="A197" s="11" t="n">
        <v>46469</v>
      </c>
      <c r="B197" s="38" t="n">
        <v>0.541666666666667</v>
      </c>
      <c r="C197" s="10" t="s">
        <v>584</v>
      </c>
      <c r="D197" s="10" t="s">
        <v>696</v>
      </c>
      <c r="E197" s="10" t="s">
        <v>826</v>
      </c>
      <c r="F197" s="0" t="n">
        <v>75</v>
      </c>
      <c r="G197" s="10" t="s">
        <v>827</v>
      </c>
      <c r="H197" s="10" t="s">
        <v>954</v>
      </c>
      <c r="J197" s="30" t="n">
        <f aca="false">IF(OR($C197="",$A197=""),"",IF($A197&lt;IFERROR(IF(INDEX(campaigns!$BG$2:$BG$51,MATCH($C197,campaigns!$A$2:$A$51,0))="","",INDEX(campaigns!$BG$2:$BG$51,MATCH($C197,campaigns!$A$2:$A$51,0))),""),0,NETWORKDAYS(IFERROR(IF(INDEX(campaigns!$BG$2:$BG$51,MATCH($C197,campaigns!$A$2:$A$51,0))="","",INDEX(campaigns!$BG$2:$BG$51,MATCH($C197,campaigns!$A$2:$A$51,0))),""),$A197,calendar!$A$2:$A$80)))</f>
        <v>1</v>
      </c>
      <c r="K197" s="30" t="str">
        <f aca="false">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ustomFormat="false" ht="15" hidden="false" customHeight="false" outlineLevel="0" collapsed="false">
      <c r="A198" s="11" t="n">
        <v>46471</v>
      </c>
      <c r="B198" s="38" t="n">
        <v>0.458333333333333</v>
      </c>
      <c r="C198" s="10" t="s">
        <v>584</v>
      </c>
      <c r="D198" s="10" t="s">
        <v>696</v>
      </c>
      <c r="E198" s="10" t="s">
        <v>720</v>
      </c>
      <c r="F198" s="0" t="n">
        <v>19</v>
      </c>
      <c r="G198" s="10" t="s">
        <v>829</v>
      </c>
      <c r="J198" s="30" t="n">
        <f aca="false">IF(OR($C198="",$A198=""),"",IF($A198&lt;IFERROR(IF(INDEX(campaigns!$BG$2:$BG$51,MATCH($C198,campaigns!$A$2:$A$51,0))="","",INDEX(campaigns!$BG$2:$BG$51,MATCH($C198,campaigns!$A$2:$A$51,0))),""),0,NETWORKDAYS(IFERROR(IF(INDEX(campaigns!$BG$2:$BG$51,MATCH($C198,campaigns!$A$2:$A$51,0))="","",INDEX(campaigns!$BG$2:$BG$51,MATCH($C198,campaigns!$A$2:$A$51,0))),""),$A198,calendar!$A$2:$A$80)))</f>
        <v>3</v>
      </c>
      <c r="K198" s="30" t="str">
        <f aca="false">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ustomFormat="false" ht="15" hidden="false" customHeight="false" outlineLevel="0" collapsed="false">
      <c r="A199" s="11" t="n">
        <v>46475</v>
      </c>
      <c r="B199" s="38" t="n">
        <v>0.666666666666667</v>
      </c>
      <c r="C199" s="10" t="s">
        <v>584</v>
      </c>
      <c r="D199" s="10" t="s">
        <v>696</v>
      </c>
      <c r="E199" s="10" t="s">
        <v>721</v>
      </c>
      <c r="F199" s="0" t="n">
        <v>3</v>
      </c>
      <c r="G199" s="10" t="s">
        <v>827</v>
      </c>
      <c r="H199" s="10" t="s">
        <v>955</v>
      </c>
      <c r="J199" s="30" t="n">
        <f aca="false">IF(OR($C199="",$A199=""),"",IF($A199&lt;IFERROR(IF(INDEX(campaigns!$BG$2:$BG$51,MATCH($C199,campaigns!$A$2:$A$51,0))="","",INDEX(campaigns!$BG$2:$BG$51,MATCH($C199,campaigns!$A$2:$A$51,0))),""),0,NETWORKDAYS(IFERROR(IF(INDEX(campaigns!$BG$2:$BG$51,MATCH($C199,campaigns!$A$2:$A$51,0))="","",INDEX(campaigns!$BG$2:$BG$51,MATCH($C199,campaigns!$A$2:$A$51,0))),""),$A199,calendar!$A$2:$A$80)))</f>
        <v>5</v>
      </c>
      <c r="K199" s="30" t="str">
        <f aca="false">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ustomFormat="false" ht="15" hidden="false" customHeight="false" outlineLevel="0" collapsed="false">
      <c r="A200" s="11" t="n">
        <v>46469</v>
      </c>
      <c r="B200" s="38" t="n">
        <v>0.541666666666667</v>
      </c>
      <c r="C200" s="10" t="s">
        <v>584</v>
      </c>
      <c r="D200" s="10" t="s">
        <v>698</v>
      </c>
      <c r="E200" s="10" t="s">
        <v>826</v>
      </c>
      <c r="F200" s="0" t="n">
        <v>40</v>
      </c>
      <c r="G200" s="10" t="s">
        <v>827</v>
      </c>
      <c r="H200" s="10" t="s">
        <v>956</v>
      </c>
      <c r="J200" s="30" t="n">
        <f aca="false">IF(OR($C200="",$A200=""),"",IF($A200&lt;IFERROR(IF(INDEX(campaigns!$BG$2:$BG$51,MATCH($C200,campaigns!$A$2:$A$51,0))="","",INDEX(campaigns!$BG$2:$BG$51,MATCH($C200,campaigns!$A$2:$A$51,0))),""),0,NETWORKDAYS(IFERROR(IF(INDEX(campaigns!$BG$2:$BG$51,MATCH($C200,campaigns!$A$2:$A$51,0))="","",INDEX(campaigns!$BG$2:$BG$51,MATCH($C200,campaigns!$A$2:$A$51,0))),""),$A200,calendar!$A$2:$A$80)))</f>
        <v>1</v>
      </c>
      <c r="K200" s="30" t="str">
        <f aca="false">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ustomFormat="false" ht="15" hidden="false" customHeight="false" outlineLevel="0" collapsed="false">
      <c r="A201" s="11" t="n">
        <v>46471</v>
      </c>
      <c r="B201" s="38" t="n">
        <v>0.458333333333333</v>
      </c>
      <c r="C201" s="10" t="s">
        <v>584</v>
      </c>
      <c r="D201" s="10" t="s">
        <v>698</v>
      </c>
      <c r="E201" s="10" t="s">
        <v>720</v>
      </c>
      <c r="F201" s="0" t="n">
        <v>11</v>
      </c>
      <c r="G201" s="10" t="s">
        <v>829</v>
      </c>
      <c r="J201" s="30" t="n">
        <f aca="false">IF(OR($C201="",$A201=""),"",IF($A201&lt;IFERROR(IF(INDEX(campaigns!$BG$2:$BG$51,MATCH($C201,campaigns!$A$2:$A$51,0))="","",INDEX(campaigns!$BG$2:$BG$51,MATCH($C201,campaigns!$A$2:$A$51,0))),""),0,NETWORKDAYS(IFERROR(IF(INDEX(campaigns!$BG$2:$BG$51,MATCH($C201,campaigns!$A$2:$A$51,0))="","",INDEX(campaigns!$BG$2:$BG$51,MATCH($C201,campaigns!$A$2:$A$51,0))),""),$A201,calendar!$A$2:$A$80)))</f>
        <v>3</v>
      </c>
      <c r="K201" s="30" t="str">
        <f aca="false">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ustomFormat="false" ht="15" hidden="false" customHeight="false" outlineLevel="0" collapsed="false">
      <c r="A202" s="11" t="n">
        <v>46475</v>
      </c>
      <c r="B202" s="38" t="n">
        <v>0.666666666666667</v>
      </c>
      <c r="C202" s="10" t="s">
        <v>584</v>
      </c>
      <c r="D202" s="10" t="s">
        <v>698</v>
      </c>
      <c r="E202" s="10" t="s">
        <v>721</v>
      </c>
      <c r="F202" s="0" t="n">
        <v>1</v>
      </c>
      <c r="G202" s="10" t="s">
        <v>827</v>
      </c>
      <c r="H202" s="10" t="s">
        <v>957</v>
      </c>
      <c r="J202" s="30" t="n">
        <f aca="false">IF(OR($C202="",$A202=""),"",IF($A202&lt;IFERROR(IF(INDEX(campaigns!$BG$2:$BG$51,MATCH($C202,campaigns!$A$2:$A$51,0))="","",INDEX(campaigns!$BG$2:$BG$51,MATCH($C202,campaigns!$A$2:$A$51,0))),""),0,NETWORKDAYS(IFERROR(IF(INDEX(campaigns!$BG$2:$BG$51,MATCH($C202,campaigns!$A$2:$A$51,0))="","",INDEX(campaigns!$BG$2:$BG$51,MATCH($C202,campaigns!$A$2:$A$51,0))),""),$A202,calendar!$A$2:$A$80)))</f>
        <v>5</v>
      </c>
      <c r="K202" s="30" t="str">
        <f aca="false">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ustomFormat="false" ht="15" hidden="false" customHeight="false" outlineLevel="0" collapsed="false">
      <c r="A203" s="11"/>
      <c r="B203" s="38"/>
      <c r="E203" s="10"/>
      <c r="G203" s="10"/>
      <c r="J203" s="30" t="str">
        <f aca="false">IF(OR($C203="",$A203=""),"",IF($A203&lt;IFERROR(IF(INDEX(campaigns!$BG$2:$BG$51,MATCH($C203,campaigns!$A$2:$A$51,0))="","",INDEX(campaigns!$BG$2:$BG$51,MATCH($C203,campaigns!$A$2:$A$51,0))),""),0,NETWORKDAYS(IFERROR(IF(INDEX(campaigns!$BG$2:$BG$51,MATCH($C203,campaigns!$A$2:$A$51,0))="","",INDEX(campaigns!$BG$2:$BG$51,MATCH($C203,campaigns!$A$2:$A$51,0))),""),$A203,calendar!$A$2:$A$80)))</f>
        <v/>
      </c>
      <c r="K203" s="30" t="str">
        <f aca="false">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ustomFormat="false" ht="15" hidden="false" customHeight="false" outlineLevel="0" collapsed="false">
      <c r="A204" s="11"/>
      <c r="B204" s="38"/>
      <c r="E204" s="10"/>
      <c r="G204" s="10"/>
      <c r="J204" s="30" t="str">
        <f aca="false">IF(OR($C204="",$A204=""),"",IF($A204&lt;IFERROR(IF(INDEX(campaigns!$BG$2:$BG$51,MATCH($C204,campaigns!$A$2:$A$51,0))="","",INDEX(campaigns!$BG$2:$BG$51,MATCH($C204,campaigns!$A$2:$A$51,0))),""),0,NETWORKDAYS(IFERROR(IF(INDEX(campaigns!$BG$2:$BG$51,MATCH($C204,campaigns!$A$2:$A$51,0))="","",INDEX(campaigns!$BG$2:$BG$51,MATCH($C204,campaigns!$A$2:$A$51,0))),""),$A204,calendar!$A$2:$A$80)))</f>
        <v/>
      </c>
      <c r="K204" s="30" t="str">
        <f aca="false">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ustomFormat="false" ht="15" hidden="false" customHeight="false" outlineLevel="0" collapsed="false">
      <c r="A205" s="11"/>
      <c r="B205" s="38"/>
      <c r="E205" s="10"/>
      <c r="G205" s="10"/>
      <c r="J205" s="30" t="str">
        <f aca="false">IF(OR($C205="",$A205=""),"",IF($A205&lt;IFERROR(IF(INDEX(campaigns!$BG$2:$BG$51,MATCH($C205,campaigns!$A$2:$A$51,0))="","",INDEX(campaigns!$BG$2:$BG$51,MATCH($C205,campaigns!$A$2:$A$51,0))),""),0,NETWORKDAYS(IFERROR(IF(INDEX(campaigns!$BG$2:$BG$51,MATCH($C205,campaigns!$A$2:$A$51,0))="","",INDEX(campaigns!$BG$2:$BG$51,MATCH($C205,campaigns!$A$2:$A$51,0))),""),$A205,calendar!$A$2:$A$80)))</f>
        <v/>
      </c>
      <c r="K205" s="30" t="str">
        <f aca="false">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ustomFormat="false" ht="15" hidden="false" customHeight="false" outlineLevel="0" collapsed="false">
      <c r="A206" s="11"/>
      <c r="B206" s="38"/>
      <c r="E206" s="10"/>
      <c r="G206" s="10"/>
      <c r="J206" s="30" t="str">
        <f aca="false">IF(OR($C206="",$A206=""),"",IF($A206&lt;IFERROR(IF(INDEX(campaigns!$BG$2:$BG$51,MATCH($C206,campaigns!$A$2:$A$51,0))="","",INDEX(campaigns!$BG$2:$BG$51,MATCH($C206,campaigns!$A$2:$A$51,0))),""),0,NETWORKDAYS(IFERROR(IF(INDEX(campaigns!$BG$2:$BG$51,MATCH($C206,campaigns!$A$2:$A$51,0))="","",INDEX(campaigns!$BG$2:$BG$51,MATCH($C206,campaigns!$A$2:$A$51,0))),""),$A206,calendar!$A$2:$A$80)))</f>
        <v/>
      </c>
      <c r="K206" s="30" t="str">
        <f aca="false">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ustomFormat="false" ht="15" hidden="false" customHeight="false" outlineLevel="0" collapsed="false">
      <c r="A207" s="11"/>
      <c r="B207" s="38"/>
      <c r="E207" s="10"/>
      <c r="G207" s="10"/>
      <c r="J207" s="30" t="str">
        <f aca="false">IF(OR($C207="",$A207=""),"",IF($A207&lt;IFERROR(IF(INDEX(campaigns!$BG$2:$BG$51,MATCH($C207,campaigns!$A$2:$A$51,0))="","",INDEX(campaigns!$BG$2:$BG$51,MATCH($C207,campaigns!$A$2:$A$51,0))),""),0,NETWORKDAYS(IFERROR(IF(INDEX(campaigns!$BG$2:$BG$51,MATCH($C207,campaigns!$A$2:$A$51,0))="","",INDEX(campaigns!$BG$2:$BG$51,MATCH($C207,campaigns!$A$2:$A$51,0))),""),$A207,calendar!$A$2:$A$80)))</f>
        <v/>
      </c>
      <c r="K207" s="30" t="str">
        <f aca="false">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ustomFormat="false" ht="15" hidden="false" customHeight="false" outlineLevel="0" collapsed="false">
      <c r="A208" s="11"/>
      <c r="B208" s="38"/>
      <c r="E208" s="10"/>
      <c r="G208" s="10"/>
      <c r="J208" s="30" t="str">
        <f aca="false">IF(OR($C208="",$A208=""),"",IF($A208&lt;IFERROR(IF(INDEX(campaigns!$BG$2:$BG$51,MATCH($C208,campaigns!$A$2:$A$51,0))="","",INDEX(campaigns!$BG$2:$BG$51,MATCH($C208,campaigns!$A$2:$A$51,0))),""),0,NETWORKDAYS(IFERROR(IF(INDEX(campaigns!$BG$2:$BG$51,MATCH($C208,campaigns!$A$2:$A$51,0))="","",INDEX(campaigns!$BG$2:$BG$51,MATCH($C208,campaigns!$A$2:$A$51,0))),""),$A208,calendar!$A$2:$A$80)))</f>
        <v/>
      </c>
      <c r="K208" s="30" t="str">
        <f aca="false">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ustomFormat="false" ht="15" hidden="false" customHeight="false" outlineLevel="0" collapsed="false">
      <c r="A209" s="11"/>
      <c r="B209" s="38"/>
      <c r="E209" s="10"/>
      <c r="G209" s="10"/>
      <c r="J209" s="30" t="str">
        <f aca="false">IF(OR($C209="",$A209=""),"",IF($A209&lt;IFERROR(IF(INDEX(campaigns!$BG$2:$BG$51,MATCH($C209,campaigns!$A$2:$A$51,0))="","",INDEX(campaigns!$BG$2:$BG$51,MATCH($C209,campaigns!$A$2:$A$51,0))),""),0,NETWORKDAYS(IFERROR(IF(INDEX(campaigns!$BG$2:$BG$51,MATCH($C209,campaigns!$A$2:$A$51,0))="","",INDEX(campaigns!$BG$2:$BG$51,MATCH($C209,campaigns!$A$2:$A$51,0))),""),$A209,calendar!$A$2:$A$80)))</f>
        <v/>
      </c>
      <c r="K209" s="30" t="str">
        <f aca="false">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ustomFormat="false" ht="15" hidden="false" customHeight="false" outlineLevel="0" collapsed="false">
      <c r="A210" s="11"/>
      <c r="B210" s="38"/>
      <c r="E210" s="10"/>
      <c r="G210" s="10"/>
      <c r="J210" s="30" t="str">
        <f aca="false">IF(OR($C210="",$A210=""),"",IF($A210&lt;IFERROR(IF(INDEX(campaigns!$BG$2:$BG$51,MATCH($C210,campaigns!$A$2:$A$51,0))="","",INDEX(campaigns!$BG$2:$BG$51,MATCH($C210,campaigns!$A$2:$A$51,0))),""),0,NETWORKDAYS(IFERROR(IF(INDEX(campaigns!$BG$2:$BG$51,MATCH($C210,campaigns!$A$2:$A$51,0))="","",INDEX(campaigns!$BG$2:$BG$51,MATCH($C210,campaigns!$A$2:$A$51,0))),""),$A210,calendar!$A$2:$A$80)))</f>
        <v/>
      </c>
      <c r="K210" s="30" t="str">
        <f aca="false">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ustomFormat="false" ht="15" hidden="false" customHeight="false" outlineLevel="0" collapsed="false">
      <c r="A211" s="11"/>
      <c r="B211" s="38"/>
      <c r="E211" s="10"/>
      <c r="G211" s="10"/>
      <c r="J211" s="30" t="str">
        <f aca="false">IF(OR($C211="",$A211=""),"",IF($A211&lt;IFERROR(IF(INDEX(campaigns!$BG$2:$BG$51,MATCH($C211,campaigns!$A$2:$A$51,0))="","",INDEX(campaigns!$BG$2:$BG$51,MATCH($C211,campaigns!$A$2:$A$51,0))),""),0,NETWORKDAYS(IFERROR(IF(INDEX(campaigns!$BG$2:$BG$51,MATCH($C211,campaigns!$A$2:$A$51,0))="","",INDEX(campaigns!$BG$2:$BG$51,MATCH($C211,campaigns!$A$2:$A$51,0))),""),$A211,calendar!$A$2:$A$80)))</f>
        <v/>
      </c>
      <c r="K211" s="30" t="str">
        <f aca="false">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ustomFormat="false" ht="15" hidden="false" customHeight="false" outlineLevel="0" collapsed="false">
      <c r="A212" s="11"/>
      <c r="B212" s="38"/>
      <c r="E212" s="10"/>
      <c r="G212" s="10"/>
      <c r="J212" s="30" t="str">
        <f aca="false">IF(OR($C212="",$A212=""),"",IF($A212&lt;IFERROR(IF(INDEX(campaigns!$BG$2:$BG$51,MATCH($C212,campaigns!$A$2:$A$51,0))="","",INDEX(campaigns!$BG$2:$BG$51,MATCH($C212,campaigns!$A$2:$A$51,0))),""),0,NETWORKDAYS(IFERROR(IF(INDEX(campaigns!$BG$2:$BG$51,MATCH($C212,campaigns!$A$2:$A$51,0))="","",INDEX(campaigns!$BG$2:$BG$51,MATCH($C212,campaigns!$A$2:$A$51,0))),""),$A212,calendar!$A$2:$A$80)))</f>
        <v/>
      </c>
      <c r="K212" s="30" t="str">
        <f aca="false">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ustomFormat="false" ht="15" hidden="false" customHeight="false" outlineLevel="0" collapsed="false">
      <c r="A213" s="11"/>
      <c r="B213" s="38"/>
      <c r="E213" s="10"/>
      <c r="G213" s="10"/>
      <c r="J213" s="30" t="str">
        <f aca="false">IF(OR($C213="",$A213=""),"",IF($A213&lt;IFERROR(IF(INDEX(campaigns!$BG$2:$BG$51,MATCH($C213,campaigns!$A$2:$A$51,0))="","",INDEX(campaigns!$BG$2:$BG$51,MATCH($C213,campaigns!$A$2:$A$51,0))),""),0,NETWORKDAYS(IFERROR(IF(INDEX(campaigns!$BG$2:$BG$51,MATCH($C213,campaigns!$A$2:$A$51,0))="","",INDEX(campaigns!$BG$2:$BG$51,MATCH($C213,campaigns!$A$2:$A$51,0))),""),$A213,calendar!$A$2:$A$80)))</f>
        <v/>
      </c>
      <c r="K213" s="30" t="str">
        <f aca="false">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ustomFormat="false" ht="15" hidden="false" customHeight="false" outlineLevel="0" collapsed="false">
      <c r="A214" s="11"/>
      <c r="B214" s="38"/>
      <c r="E214" s="10"/>
      <c r="G214" s="10"/>
      <c r="J214" s="30" t="str">
        <f aca="false">IF(OR($C214="",$A214=""),"",IF($A214&lt;IFERROR(IF(INDEX(campaigns!$BG$2:$BG$51,MATCH($C214,campaigns!$A$2:$A$51,0))="","",INDEX(campaigns!$BG$2:$BG$51,MATCH($C214,campaigns!$A$2:$A$51,0))),""),0,NETWORKDAYS(IFERROR(IF(INDEX(campaigns!$BG$2:$BG$51,MATCH($C214,campaigns!$A$2:$A$51,0))="","",INDEX(campaigns!$BG$2:$BG$51,MATCH($C214,campaigns!$A$2:$A$51,0))),""),$A214,calendar!$A$2:$A$80)))</f>
        <v/>
      </c>
      <c r="K214" s="30" t="str">
        <f aca="false">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ustomFormat="false" ht="15" hidden="false" customHeight="false" outlineLevel="0" collapsed="false">
      <c r="A215" s="11"/>
      <c r="B215" s="38"/>
      <c r="E215" s="10"/>
      <c r="G215" s="10"/>
      <c r="J215" s="30" t="str">
        <f aca="false">IF(OR($C215="",$A215=""),"",IF($A215&lt;IFERROR(IF(INDEX(campaigns!$BG$2:$BG$51,MATCH($C215,campaigns!$A$2:$A$51,0))="","",INDEX(campaigns!$BG$2:$BG$51,MATCH($C215,campaigns!$A$2:$A$51,0))),""),0,NETWORKDAYS(IFERROR(IF(INDEX(campaigns!$BG$2:$BG$51,MATCH($C215,campaigns!$A$2:$A$51,0))="","",INDEX(campaigns!$BG$2:$BG$51,MATCH($C215,campaigns!$A$2:$A$51,0))),""),$A215,calendar!$A$2:$A$80)))</f>
        <v/>
      </c>
      <c r="K215" s="30" t="str">
        <f aca="false">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ustomFormat="false" ht="15" hidden="false" customHeight="false" outlineLevel="0" collapsed="false">
      <c r="A216" s="11"/>
      <c r="B216" s="38"/>
      <c r="E216" s="10"/>
      <c r="G216" s="10"/>
      <c r="J216" s="30" t="str">
        <f aca="false">IF(OR($C216="",$A216=""),"",IF($A216&lt;IFERROR(IF(INDEX(campaigns!$BG$2:$BG$51,MATCH($C216,campaigns!$A$2:$A$51,0))="","",INDEX(campaigns!$BG$2:$BG$51,MATCH($C216,campaigns!$A$2:$A$51,0))),""),0,NETWORKDAYS(IFERROR(IF(INDEX(campaigns!$BG$2:$BG$51,MATCH($C216,campaigns!$A$2:$A$51,0))="","",INDEX(campaigns!$BG$2:$BG$51,MATCH($C216,campaigns!$A$2:$A$51,0))),""),$A216,calendar!$A$2:$A$80)))</f>
        <v/>
      </c>
      <c r="K216" s="30" t="str">
        <f aca="false">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ustomFormat="false" ht="15" hidden="false" customHeight="false" outlineLevel="0" collapsed="false">
      <c r="A217" s="11"/>
      <c r="B217" s="38"/>
      <c r="E217" s="10"/>
      <c r="G217" s="10"/>
      <c r="J217" s="30" t="str">
        <f aca="false">IF(OR($C217="",$A217=""),"",IF($A217&lt;IFERROR(IF(INDEX(campaigns!$BG$2:$BG$51,MATCH($C217,campaigns!$A$2:$A$51,0))="","",INDEX(campaigns!$BG$2:$BG$51,MATCH($C217,campaigns!$A$2:$A$51,0))),""),0,NETWORKDAYS(IFERROR(IF(INDEX(campaigns!$BG$2:$BG$51,MATCH($C217,campaigns!$A$2:$A$51,0))="","",INDEX(campaigns!$BG$2:$BG$51,MATCH($C217,campaigns!$A$2:$A$51,0))),""),$A217,calendar!$A$2:$A$80)))</f>
        <v/>
      </c>
      <c r="K217" s="30" t="str">
        <f aca="false">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ustomFormat="false" ht="15" hidden="false" customHeight="false" outlineLevel="0" collapsed="false">
      <c r="A218" s="11"/>
      <c r="B218" s="38"/>
      <c r="E218" s="10"/>
      <c r="G218" s="10"/>
      <c r="J218" s="30" t="str">
        <f aca="false">IF(OR($C218="",$A218=""),"",IF($A218&lt;IFERROR(IF(INDEX(campaigns!$BG$2:$BG$51,MATCH($C218,campaigns!$A$2:$A$51,0))="","",INDEX(campaigns!$BG$2:$BG$51,MATCH($C218,campaigns!$A$2:$A$51,0))),""),0,NETWORKDAYS(IFERROR(IF(INDEX(campaigns!$BG$2:$BG$51,MATCH($C218,campaigns!$A$2:$A$51,0))="","",INDEX(campaigns!$BG$2:$BG$51,MATCH($C218,campaigns!$A$2:$A$51,0))),""),$A218,calendar!$A$2:$A$80)))</f>
        <v/>
      </c>
      <c r="K218" s="30" t="str">
        <f aca="false">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ustomFormat="false" ht="15" hidden="false" customHeight="false" outlineLevel="0" collapsed="false">
      <c r="A219" s="11"/>
      <c r="B219" s="38"/>
      <c r="E219" s="10"/>
      <c r="G219" s="10"/>
      <c r="J219" s="30" t="str">
        <f aca="false">IF(OR($C219="",$A219=""),"",IF($A219&lt;IFERROR(IF(INDEX(campaigns!$BG$2:$BG$51,MATCH($C219,campaigns!$A$2:$A$51,0))="","",INDEX(campaigns!$BG$2:$BG$51,MATCH($C219,campaigns!$A$2:$A$51,0))),""),0,NETWORKDAYS(IFERROR(IF(INDEX(campaigns!$BG$2:$BG$51,MATCH($C219,campaigns!$A$2:$A$51,0))="","",INDEX(campaigns!$BG$2:$BG$51,MATCH($C219,campaigns!$A$2:$A$51,0))),""),$A219,calendar!$A$2:$A$80)))</f>
        <v/>
      </c>
      <c r="K219" s="30" t="str">
        <f aca="false">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ustomFormat="false" ht="15" hidden="false" customHeight="false" outlineLevel="0" collapsed="false">
      <c r="A220" s="11"/>
      <c r="B220" s="38"/>
      <c r="E220" s="10"/>
      <c r="G220" s="10"/>
      <c r="J220" s="30" t="str">
        <f aca="false">IF(OR($C220="",$A220=""),"",IF($A220&lt;IFERROR(IF(INDEX(campaigns!$BG$2:$BG$51,MATCH($C220,campaigns!$A$2:$A$51,0))="","",INDEX(campaigns!$BG$2:$BG$51,MATCH($C220,campaigns!$A$2:$A$51,0))),""),0,NETWORKDAYS(IFERROR(IF(INDEX(campaigns!$BG$2:$BG$51,MATCH($C220,campaigns!$A$2:$A$51,0))="","",INDEX(campaigns!$BG$2:$BG$51,MATCH($C220,campaigns!$A$2:$A$51,0))),""),$A220,calendar!$A$2:$A$80)))</f>
        <v/>
      </c>
      <c r="K220" s="30" t="str">
        <f aca="false">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ustomFormat="false" ht="15" hidden="false" customHeight="false" outlineLevel="0" collapsed="false">
      <c r="A221" s="11"/>
      <c r="B221" s="38"/>
      <c r="E221" s="10"/>
      <c r="G221" s="10"/>
      <c r="J221" s="30" t="str">
        <f aca="false">IF(OR($C221="",$A221=""),"",IF($A221&lt;IFERROR(IF(INDEX(campaigns!$BG$2:$BG$51,MATCH($C221,campaigns!$A$2:$A$51,0))="","",INDEX(campaigns!$BG$2:$BG$51,MATCH($C221,campaigns!$A$2:$A$51,0))),""),0,NETWORKDAYS(IFERROR(IF(INDEX(campaigns!$BG$2:$BG$51,MATCH($C221,campaigns!$A$2:$A$51,0))="","",INDEX(campaigns!$BG$2:$BG$51,MATCH($C221,campaigns!$A$2:$A$51,0))),""),$A221,calendar!$A$2:$A$80)))</f>
        <v/>
      </c>
      <c r="K221" s="30" t="str">
        <f aca="false">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ustomFormat="false" ht="15" hidden="false" customHeight="false" outlineLevel="0" collapsed="false">
      <c r="A222" s="11"/>
      <c r="B222" s="38"/>
      <c r="E222" s="10"/>
      <c r="G222" s="10"/>
      <c r="J222" s="30" t="str">
        <f aca="false">IF(OR($C222="",$A222=""),"",IF($A222&lt;IFERROR(IF(INDEX(campaigns!$BG$2:$BG$51,MATCH($C222,campaigns!$A$2:$A$51,0))="","",INDEX(campaigns!$BG$2:$BG$51,MATCH($C222,campaigns!$A$2:$A$51,0))),""),0,NETWORKDAYS(IFERROR(IF(INDEX(campaigns!$BG$2:$BG$51,MATCH($C222,campaigns!$A$2:$A$51,0))="","",INDEX(campaigns!$BG$2:$BG$51,MATCH($C222,campaigns!$A$2:$A$51,0))),""),$A222,calendar!$A$2:$A$80)))</f>
        <v/>
      </c>
      <c r="K222" s="30" t="str">
        <f aca="false">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ustomFormat="false" ht="15" hidden="false" customHeight="false" outlineLevel="0" collapsed="false">
      <c r="A223" s="11"/>
      <c r="B223" s="38"/>
      <c r="E223" s="10"/>
      <c r="G223" s="10"/>
      <c r="J223" s="30" t="str">
        <f aca="false">IF(OR($C223="",$A223=""),"",IF($A223&lt;IFERROR(IF(INDEX(campaigns!$BG$2:$BG$51,MATCH($C223,campaigns!$A$2:$A$51,0))="","",INDEX(campaigns!$BG$2:$BG$51,MATCH($C223,campaigns!$A$2:$A$51,0))),""),0,NETWORKDAYS(IFERROR(IF(INDEX(campaigns!$BG$2:$BG$51,MATCH($C223,campaigns!$A$2:$A$51,0))="","",INDEX(campaigns!$BG$2:$BG$51,MATCH($C223,campaigns!$A$2:$A$51,0))),""),$A223,calendar!$A$2:$A$80)))</f>
        <v/>
      </c>
      <c r="K223" s="30" t="str">
        <f aca="false">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ustomFormat="false" ht="15" hidden="false" customHeight="false" outlineLevel="0" collapsed="false">
      <c r="A224" s="11"/>
      <c r="B224" s="38"/>
      <c r="E224" s="10"/>
      <c r="G224" s="10"/>
      <c r="J224" s="30" t="str">
        <f aca="false">IF(OR($C224="",$A224=""),"",IF($A224&lt;IFERROR(IF(INDEX(campaigns!$BG$2:$BG$51,MATCH($C224,campaigns!$A$2:$A$51,0))="","",INDEX(campaigns!$BG$2:$BG$51,MATCH($C224,campaigns!$A$2:$A$51,0))),""),0,NETWORKDAYS(IFERROR(IF(INDEX(campaigns!$BG$2:$BG$51,MATCH($C224,campaigns!$A$2:$A$51,0))="","",INDEX(campaigns!$BG$2:$BG$51,MATCH($C224,campaigns!$A$2:$A$51,0))),""),$A224,calendar!$A$2:$A$80)))</f>
        <v/>
      </c>
      <c r="K224" s="30" t="str">
        <f aca="false">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ustomFormat="false" ht="15" hidden="false" customHeight="false" outlineLevel="0" collapsed="false">
      <c r="A225" s="11"/>
      <c r="B225" s="38"/>
      <c r="E225" s="10"/>
      <c r="G225" s="10"/>
      <c r="J225" s="30" t="str">
        <f aca="false">IF(OR($C225="",$A225=""),"",IF($A225&lt;IFERROR(IF(INDEX(campaigns!$BG$2:$BG$51,MATCH($C225,campaigns!$A$2:$A$51,0))="","",INDEX(campaigns!$BG$2:$BG$51,MATCH($C225,campaigns!$A$2:$A$51,0))),""),0,NETWORKDAYS(IFERROR(IF(INDEX(campaigns!$BG$2:$BG$51,MATCH($C225,campaigns!$A$2:$A$51,0))="","",INDEX(campaigns!$BG$2:$BG$51,MATCH($C225,campaigns!$A$2:$A$51,0))),""),$A225,calendar!$A$2:$A$80)))</f>
        <v/>
      </c>
      <c r="K225" s="30" t="str">
        <f aca="false">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ustomFormat="false" ht="15" hidden="false" customHeight="false" outlineLevel="0" collapsed="false">
      <c r="A226" s="11"/>
      <c r="B226" s="38"/>
      <c r="E226" s="10"/>
      <c r="G226" s="10"/>
      <c r="J226" s="30" t="str">
        <f aca="false">IF(OR($C226="",$A226=""),"",IF($A226&lt;IFERROR(IF(INDEX(campaigns!$BG$2:$BG$51,MATCH($C226,campaigns!$A$2:$A$51,0))="","",INDEX(campaigns!$BG$2:$BG$51,MATCH($C226,campaigns!$A$2:$A$51,0))),""),0,NETWORKDAYS(IFERROR(IF(INDEX(campaigns!$BG$2:$BG$51,MATCH($C226,campaigns!$A$2:$A$51,0))="","",INDEX(campaigns!$BG$2:$BG$51,MATCH($C226,campaigns!$A$2:$A$51,0))),""),$A226,calendar!$A$2:$A$80)))</f>
        <v/>
      </c>
      <c r="K226" s="30" t="str">
        <f aca="false">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ustomFormat="false" ht="15" hidden="false" customHeight="false" outlineLevel="0" collapsed="false">
      <c r="A227" s="11"/>
      <c r="B227" s="38"/>
      <c r="E227" s="10"/>
      <c r="G227" s="10"/>
      <c r="J227" s="30" t="str">
        <f aca="false">IF(OR($C227="",$A227=""),"",IF($A227&lt;IFERROR(IF(INDEX(campaigns!$BG$2:$BG$51,MATCH($C227,campaigns!$A$2:$A$51,0))="","",INDEX(campaigns!$BG$2:$BG$51,MATCH($C227,campaigns!$A$2:$A$51,0))),""),0,NETWORKDAYS(IFERROR(IF(INDEX(campaigns!$BG$2:$BG$51,MATCH($C227,campaigns!$A$2:$A$51,0))="","",INDEX(campaigns!$BG$2:$BG$51,MATCH($C227,campaigns!$A$2:$A$51,0))),""),$A227,calendar!$A$2:$A$80)))</f>
        <v/>
      </c>
      <c r="K227" s="30" t="str">
        <f aca="false">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ustomFormat="false" ht="15" hidden="false" customHeight="false" outlineLevel="0" collapsed="false">
      <c r="A228" s="11"/>
      <c r="B228" s="38"/>
      <c r="E228" s="10"/>
      <c r="G228" s="10"/>
      <c r="J228" s="30" t="str">
        <f aca="false">IF(OR($C228="",$A228=""),"",IF($A228&lt;IFERROR(IF(INDEX(campaigns!$BG$2:$BG$51,MATCH($C228,campaigns!$A$2:$A$51,0))="","",INDEX(campaigns!$BG$2:$BG$51,MATCH($C228,campaigns!$A$2:$A$51,0))),""),0,NETWORKDAYS(IFERROR(IF(INDEX(campaigns!$BG$2:$BG$51,MATCH($C228,campaigns!$A$2:$A$51,0))="","",INDEX(campaigns!$BG$2:$BG$51,MATCH($C228,campaigns!$A$2:$A$51,0))),""),$A228,calendar!$A$2:$A$80)))</f>
        <v/>
      </c>
      <c r="K228" s="30" t="str">
        <f aca="false">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ustomFormat="false" ht="15" hidden="false" customHeight="false" outlineLevel="0" collapsed="false">
      <c r="A229" s="11"/>
      <c r="B229" s="38"/>
      <c r="E229" s="10"/>
      <c r="G229" s="10"/>
      <c r="J229" s="30" t="str">
        <f aca="false">IF(OR($C229="",$A229=""),"",IF($A229&lt;IFERROR(IF(INDEX(campaigns!$BG$2:$BG$51,MATCH($C229,campaigns!$A$2:$A$51,0))="","",INDEX(campaigns!$BG$2:$BG$51,MATCH($C229,campaigns!$A$2:$A$51,0))),""),0,NETWORKDAYS(IFERROR(IF(INDEX(campaigns!$BG$2:$BG$51,MATCH($C229,campaigns!$A$2:$A$51,0))="","",INDEX(campaigns!$BG$2:$BG$51,MATCH($C229,campaigns!$A$2:$A$51,0))),""),$A229,calendar!$A$2:$A$80)))</f>
        <v/>
      </c>
      <c r="K229" s="30" t="str">
        <f aca="false">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ustomFormat="false" ht="15" hidden="false" customHeight="false" outlineLevel="0" collapsed="false">
      <c r="A230" s="11"/>
      <c r="B230" s="38"/>
      <c r="E230" s="10"/>
      <c r="G230" s="10"/>
      <c r="J230" s="30" t="str">
        <f aca="false">IF(OR($C230="",$A230=""),"",IF($A230&lt;IFERROR(IF(INDEX(campaigns!$BG$2:$BG$51,MATCH($C230,campaigns!$A$2:$A$51,0))="","",INDEX(campaigns!$BG$2:$BG$51,MATCH($C230,campaigns!$A$2:$A$51,0))),""),0,NETWORKDAYS(IFERROR(IF(INDEX(campaigns!$BG$2:$BG$51,MATCH($C230,campaigns!$A$2:$A$51,0))="","",INDEX(campaigns!$BG$2:$BG$51,MATCH($C230,campaigns!$A$2:$A$51,0))),""),$A230,calendar!$A$2:$A$80)))</f>
        <v/>
      </c>
      <c r="K230" s="30" t="str">
        <f aca="false">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ustomFormat="false" ht="15" hidden="false" customHeight="false" outlineLevel="0" collapsed="false">
      <c r="A231" s="11"/>
      <c r="B231" s="38"/>
      <c r="E231" s="10"/>
      <c r="G231" s="10"/>
      <c r="J231" s="30" t="str">
        <f aca="false">IF(OR($C231="",$A231=""),"",IF($A231&lt;IFERROR(IF(INDEX(campaigns!$BG$2:$BG$51,MATCH($C231,campaigns!$A$2:$A$51,0))="","",INDEX(campaigns!$BG$2:$BG$51,MATCH($C231,campaigns!$A$2:$A$51,0))),""),0,NETWORKDAYS(IFERROR(IF(INDEX(campaigns!$BG$2:$BG$51,MATCH($C231,campaigns!$A$2:$A$51,0))="","",INDEX(campaigns!$BG$2:$BG$51,MATCH($C231,campaigns!$A$2:$A$51,0))),""),$A231,calendar!$A$2:$A$80)))</f>
        <v/>
      </c>
      <c r="K231" s="30" t="str">
        <f aca="false">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ustomFormat="false" ht="15" hidden="false" customHeight="false" outlineLevel="0" collapsed="false">
      <c r="A232" s="11"/>
      <c r="B232" s="38"/>
      <c r="E232" s="10"/>
      <c r="G232" s="10"/>
      <c r="J232" s="30" t="str">
        <f aca="false">IF(OR($C232="",$A232=""),"",IF($A232&lt;IFERROR(IF(INDEX(campaigns!$BG$2:$BG$51,MATCH($C232,campaigns!$A$2:$A$51,0))="","",INDEX(campaigns!$BG$2:$BG$51,MATCH($C232,campaigns!$A$2:$A$51,0))),""),0,NETWORKDAYS(IFERROR(IF(INDEX(campaigns!$BG$2:$BG$51,MATCH($C232,campaigns!$A$2:$A$51,0))="","",INDEX(campaigns!$BG$2:$BG$51,MATCH($C232,campaigns!$A$2:$A$51,0))),""),$A232,calendar!$A$2:$A$80)))</f>
        <v/>
      </c>
      <c r="K232" s="30" t="str">
        <f aca="false">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ustomFormat="false" ht="15" hidden="false" customHeight="false" outlineLevel="0" collapsed="false">
      <c r="A233" s="11"/>
      <c r="B233" s="38"/>
      <c r="E233" s="10"/>
      <c r="G233" s="10"/>
      <c r="J233" s="30" t="str">
        <f aca="false">IF(OR($C233="",$A233=""),"",IF($A233&lt;IFERROR(IF(INDEX(campaigns!$BG$2:$BG$51,MATCH($C233,campaigns!$A$2:$A$51,0))="","",INDEX(campaigns!$BG$2:$BG$51,MATCH($C233,campaigns!$A$2:$A$51,0))),""),0,NETWORKDAYS(IFERROR(IF(INDEX(campaigns!$BG$2:$BG$51,MATCH($C233,campaigns!$A$2:$A$51,0))="","",INDEX(campaigns!$BG$2:$BG$51,MATCH($C233,campaigns!$A$2:$A$51,0))),""),$A233,calendar!$A$2:$A$80)))</f>
        <v/>
      </c>
      <c r="K233" s="30" t="str">
        <f aca="false">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ustomFormat="false" ht="15" hidden="false" customHeight="false" outlineLevel="0" collapsed="false">
      <c r="A234" s="11"/>
      <c r="B234" s="38"/>
      <c r="E234" s="10"/>
      <c r="G234" s="10"/>
      <c r="J234" s="30" t="str">
        <f aca="false">IF(OR($C234="",$A234=""),"",IF($A234&lt;IFERROR(IF(INDEX(campaigns!$BG$2:$BG$51,MATCH($C234,campaigns!$A$2:$A$51,0))="","",INDEX(campaigns!$BG$2:$BG$51,MATCH($C234,campaigns!$A$2:$A$51,0))),""),0,NETWORKDAYS(IFERROR(IF(INDEX(campaigns!$BG$2:$BG$51,MATCH($C234,campaigns!$A$2:$A$51,0))="","",INDEX(campaigns!$BG$2:$BG$51,MATCH($C234,campaigns!$A$2:$A$51,0))),""),$A234,calendar!$A$2:$A$80)))</f>
        <v/>
      </c>
      <c r="K234" s="30" t="str">
        <f aca="false">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ustomFormat="false" ht="15" hidden="false" customHeight="false" outlineLevel="0" collapsed="false">
      <c r="A235" s="11"/>
      <c r="B235" s="38"/>
      <c r="E235" s="10"/>
      <c r="G235" s="10"/>
      <c r="J235" s="30" t="str">
        <f aca="false">IF(OR($C235="",$A235=""),"",IF($A235&lt;IFERROR(IF(INDEX(campaigns!$BG$2:$BG$51,MATCH($C235,campaigns!$A$2:$A$51,0))="","",INDEX(campaigns!$BG$2:$BG$51,MATCH($C235,campaigns!$A$2:$A$51,0))),""),0,NETWORKDAYS(IFERROR(IF(INDEX(campaigns!$BG$2:$BG$51,MATCH($C235,campaigns!$A$2:$A$51,0))="","",INDEX(campaigns!$BG$2:$BG$51,MATCH($C235,campaigns!$A$2:$A$51,0))),""),$A235,calendar!$A$2:$A$80)))</f>
        <v/>
      </c>
      <c r="K235" s="30" t="str">
        <f aca="false">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ustomFormat="false" ht="15" hidden="false" customHeight="false" outlineLevel="0" collapsed="false">
      <c r="A236" s="11"/>
      <c r="B236" s="38"/>
      <c r="E236" s="10"/>
      <c r="G236" s="10"/>
      <c r="J236" s="30" t="str">
        <f aca="false">IF(OR($C236="",$A236=""),"",IF($A236&lt;IFERROR(IF(INDEX(campaigns!$BG$2:$BG$51,MATCH($C236,campaigns!$A$2:$A$51,0))="","",INDEX(campaigns!$BG$2:$BG$51,MATCH($C236,campaigns!$A$2:$A$51,0))),""),0,NETWORKDAYS(IFERROR(IF(INDEX(campaigns!$BG$2:$BG$51,MATCH($C236,campaigns!$A$2:$A$51,0))="","",INDEX(campaigns!$BG$2:$BG$51,MATCH($C236,campaigns!$A$2:$A$51,0))),""),$A236,calendar!$A$2:$A$80)))</f>
        <v/>
      </c>
      <c r="K236" s="30" t="str">
        <f aca="false">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ustomFormat="false" ht="15" hidden="false" customHeight="false" outlineLevel="0" collapsed="false">
      <c r="A237" s="11"/>
      <c r="B237" s="38"/>
      <c r="E237" s="10"/>
      <c r="G237" s="10"/>
      <c r="J237" s="30" t="str">
        <f aca="false">IF(OR($C237="",$A237=""),"",IF($A237&lt;IFERROR(IF(INDEX(campaigns!$BG$2:$BG$51,MATCH($C237,campaigns!$A$2:$A$51,0))="","",INDEX(campaigns!$BG$2:$BG$51,MATCH($C237,campaigns!$A$2:$A$51,0))),""),0,NETWORKDAYS(IFERROR(IF(INDEX(campaigns!$BG$2:$BG$51,MATCH($C237,campaigns!$A$2:$A$51,0))="","",INDEX(campaigns!$BG$2:$BG$51,MATCH($C237,campaigns!$A$2:$A$51,0))),""),$A237,calendar!$A$2:$A$80)))</f>
        <v/>
      </c>
      <c r="K237" s="30" t="str">
        <f aca="false">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ustomFormat="false" ht="15" hidden="false" customHeight="false" outlineLevel="0" collapsed="false">
      <c r="A238" s="11"/>
      <c r="B238" s="38"/>
      <c r="E238" s="10"/>
      <c r="G238" s="10"/>
      <c r="J238" s="30" t="str">
        <f aca="false">IF(OR($C238="",$A238=""),"",IF($A238&lt;IFERROR(IF(INDEX(campaigns!$BG$2:$BG$51,MATCH($C238,campaigns!$A$2:$A$51,0))="","",INDEX(campaigns!$BG$2:$BG$51,MATCH($C238,campaigns!$A$2:$A$51,0))),""),0,NETWORKDAYS(IFERROR(IF(INDEX(campaigns!$BG$2:$BG$51,MATCH($C238,campaigns!$A$2:$A$51,0))="","",INDEX(campaigns!$BG$2:$BG$51,MATCH($C238,campaigns!$A$2:$A$51,0))),""),$A238,calendar!$A$2:$A$80)))</f>
        <v/>
      </c>
      <c r="K238" s="30" t="str">
        <f aca="false">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ustomFormat="false" ht="15" hidden="false" customHeight="false" outlineLevel="0" collapsed="false">
      <c r="A239" s="11"/>
      <c r="B239" s="38"/>
      <c r="E239" s="10"/>
      <c r="G239" s="10"/>
      <c r="J239" s="30" t="str">
        <f aca="false">IF(OR($C239="",$A239=""),"",IF($A239&lt;IFERROR(IF(INDEX(campaigns!$BG$2:$BG$51,MATCH($C239,campaigns!$A$2:$A$51,0))="","",INDEX(campaigns!$BG$2:$BG$51,MATCH($C239,campaigns!$A$2:$A$51,0))),""),0,NETWORKDAYS(IFERROR(IF(INDEX(campaigns!$BG$2:$BG$51,MATCH($C239,campaigns!$A$2:$A$51,0))="","",INDEX(campaigns!$BG$2:$BG$51,MATCH($C239,campaigns!$A$2:$A$51,0))),""),$A239,calendar!$A$2:$A$80)))</f>
        <v/>
      </c>
      <c r="K239" s="30" t="str">
        <f aca="false">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ustomFormat="false" ht="15" hidden="false" customHeight="false" outlineLevel="0" collapsed="false">
      <c r="A240" s="11"/>
      <c r="B240" s="38"/>
      <c r="E240" s="10"/>
      <c r="G240" s="10"/>
      <c r="J240" s="30" t="str">
        <f aca="false">IF(OR($C240="",$A240=""),"",IF($A240&lt;IFERROR(IF(INDEX(campaigns!$BG$2:$BG$51,MATCH($C240,campaigns!$A$2:$A$51,0))="","",INDEX(campaigns!$BG$2:$BG$51,MATCH($C240,campaigns!$A$2:$A$51,0))),""),0,NETWORKDAYS(IFERROR(IF(INDEX(campaigns!$BG$2:$BG$51,MATCH($C240,campaigns!$A$2:$A$51,0))="","",INDEX(campaigns!$BG$2:$BG$51,MATCH($C240,campaigns!$A$2:$A$51,0))),""),$A240,calendar!$A$2:$A$80)))</f>
        <v/>
      </c>
      <c r="K240" s="30" t="str">
        <f aca="false">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ustomFormat="false" ht="15" hidden="false" customHeight="false" outlineLevel="0" collapsed="false">
      <c r="A241" s="11"/>
      <c r="B241" s="38"/>
      <c r="E241" s="10"/>
      <c r="G241" s="10"/>
      <c r="J241" s="30" t="str">
        <f aca="false">IF(OR($C241="",$A241=""),"",IF($A241&lt;IFERROR(IF(INDEX(campaigns!$BG$2:$BG$51,MATCH($C241,campaigns!$A$2:$A$51,0))="","",INDEX(campaigns!$BG$2:$BG$51,MATCH($C241,campaigns!$A$2:$A$51,0))),""),0,NETWORKDAYS(IFERROR(IF(INDEX(campaigns!$BG$2:$BG$51,MATCH($C241,campaigns!$A$2:$A$51,0))="","",INDEX(campaigns!$BG$2:$BG$51,MATCH($C241,campaigns!$A$2:$A$51,0))),""),$A241,calendar!$A$2:$A$80)))</f>
        <v/>
      </c>
      <c r="K241" s="30" t="str">
        <f aca="false">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ustomFormat="false" ht="15" hidden="false" customHeight="false" outlineLevel="0" collapsed="false">
      <c r="A242" s="11"/>
      <c r="B242" s="38"/>
      <c r="E242" s="10"/>
      <c r="G242" s="10"/>
      <c r="J242" s="30" t="str">
        <f aca="false">IF(OR($C242="",$A242=""),"",IF($A242&lt;IFERROR(IF(INDEX(campaigns!$BG$2:$BG$51,MATCH($C242,campaigns!$A$2:$A$51,0))="","",INDEX(campaigns!$BG$2:$BG$51,MATCH($C242,campaigns!$A$2:$A$51,0))),""),0,NETWORKDAYS(IFERROR(IF(INDEX(campaigns!$BG$2:$BG$51,MATCH($C242,campaigns!$A$2:$A$51,0))="","",INDEX(campaigns!$BG$2:$BG$51,MATCH($C242,campaigns!$A$2:$A$51,0))),""),$A242,calendar!$A$2:$A$80)))</f>
        <v/>
      </c>
      <c r="K242" s="30" t="str">
        <f aca="false">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ustomFormat="false" ht="15" hidden="false" customHeight="false" outlineLevel="0" collapsed="false">
      <c r="A243" s="11"/>
      <c r="B243" s="38"/>
      <c r="E243" s="10"/>
      <c r="G243" s="10"/>
      <c r="J243" s="30" t="str">
        <f aca="false">IF(OR($C243="",$A243=""),"",IF($A243&lt;IFERROR(IF(INDEX(campaigns!$BG$2:$BG$51,MATCH($C243,campaigns!$A$2:$A$51,0))="","",INDEX(campaigns!$BG$2:$BG$51,MATCH($C243,campaigns!$A$2:$A$51,0))),""),0,NETWORKDAYS(IFERROR(IF(INDEX(campaigns!$BG$2:$BG$51,MATCH($C243,campaigns!$A$2:$A$51,0))="","",INDEX(campaigns!$BG$2:$BG$51,MATCH($C243,campaigns!$A$2:$A$51,0))),""),$A243,calendar!$A$2:$A$80)))</f>
        <v/>
      </c>
      <c r="K243" s="30" t="str">
        <f aca="false">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ustomFormat="false" ht="15" hidden="false" customHeight="false" outlineLevel="0" collapsed="false">
      <c r="A244" s="11"/>
      <c r="B244" s="38"/>
      <c r="E244" s="10"/>
      <c r="G244" s="10"/>
      <c r="J244" s="30" t="str">
        <f aca="false">IF(OR($C244="",$A244=""),"",IF($A244&lt;IFERROR(IF(INDEX(campaigns!$BG$2:$BG$51,MATCH($C244,campaigns!$A$2:$A$51,0))="","",INDEX(campaigns!$BG$2:$BG$51,MATCH($C244,campaigns!$A$2:$A$51,0))),""),0,NETWORKDAYS(IFERROR(IF(INDEX(campaigns!$BG$2:$BG$51,MATCH($C244,campaigns!$A$2:$A$51,0))="","",INDEX(campaigns!$BG$2:$BG$51,MATCH($C244,campaigns!$A$2:$A$51,0))),""),$A244,calendar!$A$2:$A$80)))</f>
        <v/>
      </c>
      <c r="K244" s="30" t="str">
        <f aca="false">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ustomFormat="false" ht="15" hidden="false" customHeight="false" outlineLevel="0" collapsed="false">
      <c r="A245" s="11"/>
      <c r="B245" s="38"/>
      <c r="E245" s="10"/>
      <c r="G245" s="10"/>
      <c r="J245" s="30" t="str">
        <f aca="false">IF(OR($C245="",$A245=""),"",IF($A245&lt;IFERROR(IF(INDEX(campaigns!$BG$2:$BG$51,MATCH($C245,campaigns!$A$2:$A$51,0))="","",INDEX(campaigns!$BG$2:$BG$51,MATCH($C245,campaigns!$A$2:$A$51,0))),""),0,NETWORKDAYS(IFERROR(IF(INDEX(campaigns!$BG$2:$BG$51,MATCH($C245,campaigns!$A$2:$A$51,0))="","",INDEX(campaigns!$BG$2:$BG$51,MATCH($C245,campaigns!$A$2:$A$51,0))),""),$A245,calendar!$A$2:$A$80)))</f>
        <v/>
      </c>
      <c r="K245" s="30" t="str">
        <f aca="false">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ustomFormat="false" ht="15" hidden="false" customHeight="false" outlineLevel="0" collapsed="false">
      <c r="A246" s="11"/>
      <c r="B246" s="38"/>
      <c r="E246" s="10"/>
      <c r="G246" s="10"/>
      <c r="J246" s="30" t="str">
        <f aca="false">IF(OR($C246="",$A246=""),"",IF($A246&lt;IFERROR(IF(INDEX(campaigns!$BG$2:$BG$51,MATCH($C246,campaigns!$A$2:$A$51,0))="","",INDEX(campaigns!$BG$2:$BG$51,MATCH($C246,campaigns!$A$2:$A$51,0))),""),0,NETWORKDAYS(IFERROR(IF(INDEX(campaigns!$BG$2:$BG$51,MATCH($C246,campaigns!$A$2:$A$51,0))="","",INDEX(campaigns!$BG$2:$BG$51,MATCH($C246,campaigns!$A$2:$A$51,0))),""),$A246,calendar!$A$2:$A$80)))</f>
        <v/>
      </c>
      <c r="K246" s="30" t="str">
        <f aca="false">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ustomFormat="false" ht="15" hidden="false" customHeight="false" outlineLevel="0" collapsed="false">
      <c r="A247" s="11"/>
      <c r="B247" s="38"/>
      <c r="E247" s="10"/>
      <c r="G247" s="10"/>
      <c r="J247" s="30" t="str">
        <f aca="false">IF(OR($C247="",$A247=""),"",IF($A247&lt;IFERROR(IF(INDEX(campaigns!$BG$2:$BG$51,MATCH($C247,campaigns!$A$2:$A$51,0))="","",INDEX(campaigns!$BG$2:$BG$51,MATCH($C247,campaigns!$A$2:$A$51,0))),""),0,NETWORKDAYS(IFERROR(IF(INDEX(campaigns!$BG$2:$BG$51,MATCH($C247,campaigns!$A$2:$A$51,0))="","",INDEX(campaigns!$BG$2:$BG$51,MATCH($C247,campaigns!$A$2:$A$51,0))),""),$A247,calendar!$A$2:$A$80)))</f>
        <v/>
      </c>
      <c r="K247" s="30" t="str">
        <f aca="false">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ustomFormat="false" ht="15" hidden="false" customHeight="false" outlineLevel="0" collapsed="false">
      <c r="A248" s="11"/>
      <c r="B248" s="38"/>
      <c r="E248" s="10"/>
      <c r="G248" s="10"/>
      <c r="J248" s="30" t="str">
        <f aca="false">IF(OR($C248="",$A248=""),"",IF($A248&lt;IFERROR(IF(INDEX(campaigns!$BG$2:$BG$51,MATCH($C248,campaigns!$A$2:$A$51,0))="","",INDEX(campaigns!$BG$2:$BG$51,MATCH($C248,campaigns!$A$2:$A$51,0))),""),0,NETWORKDAYS(IFERROR(IF(INDEX(campaigns!$BG$2:$BG$51,MATCH($C248,campaigns!$A$2:$A$51,0))="","",INDEX(campaigns!$BG$2:$BG$51,MATCH($C248,campaigns!$A$2:$A$51,0))),""),$A248,calendar!$A$2:$A$80)))</f>
        <v/>
      </c>
      <c r="K248" s="30" t="str">
        <f aca="false">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ustomFormat="false" ht="15" hidden="false" customHeight="false" outlineLevel="0" collapsed="false">
      <c r="A249" s="11"/>
      <c r="B249" s="38"/>
      <c r="E249" s="10"/>
      <c r="G249" s="10"/>
      <c r="J249" s="30" t="str">
        <f aca="false">IF(OR($C249="",$A249=""),"",IF($A249&lt;IFERROR(IF(INDEX(campaigns!$BG$2:$BG$51,MATCH($C249,campaigns!$A$2:$A$51,0))="","",INDEX(campaigns!$BG$2:$BG$51,MATCH($C249,campaigns!$A$2:$A$51,0))),""),0,NETWORKDAYS(IFERROR(IF(INDEX(campaigns!$BG$2:$BG$51,MATCH($C249,campaigns!$A$2:$A$51,0))="","",INDEX(campaigns!$BG$2:$BG$51,MATCH($C249,campaigns!$A$2:$A$51,0))),""),$A249,calendar!$A$2:$A$80)))</f>
        <v/>
      </c>
      <c r="K249" s="30" t="str">
        <f aca="false">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ustomFormat="false" ht="15" hidden="false" customHeight="false" outlineLevel="0" collapsed="false">
      <c r="A250" s="11"/>
      <c r="B250" s="38"/>
      <c r="E250" s="10"/>
      <c r="G250" s="10"/>
      <c r="J250" s="30" t="str">
        <f aca="false">IF(OR($C250="",$A250=""),"",IF($A250&lt;IFERROR(IF(INDEX(campaigns!$BG$2:$BG$51,MATCH($C250,campaigns!$A$2:$A$51,0))="","",INDEX(campaigns!$BG$2:$BG$51,MATCH($C250,campaigns!$A$2:$A$51,0))),""),0,NETWORKDAYS(IFERROR(IF(INDEX(campaigns!$BG$2:$BG$51,MATCH($C250,campaigns!$A$2:$A$51,0))="","",INDEX(campaigns!$BG$2:$BG$51,MATCH($C250,campaigns!$A$2:$A$51,0))),""),$A250,calendar!$A$2:$A$80)))</f>
        <v/>
      </c>
      <c r="K250" s="30" t="str">
        <f aca="false">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ustomFormat="false" ht="15" hidden="false" customHeight="false" outlineLevel="0" collapsed="false">
      <c r="A251" s="11"/>
      <c r="B251" s="38"/>
      <c r="E251" s="10"/>
      <c r="G251" s="10"/>
      <c r="J251" s="30" t="str">
        <f aca="false">IF(OR($C251="",$A251=""),"",IF($A251&lt;IFERROR(IF(INDEX(campaigns!$BG$2:$BG$51,MATCH($C251,campaigns!$A$2:$A$51,0))="","",INDEX(campaigns!$BG$2:$BG$51,MATCH($C251,campaigns!$A$2:$A$51,0))),""),0,NETWORKDAYS(IFERROR(IF(INDEX(campaigns!$BG$2:$BG$51,MATCH($C251,campaigns!$A$2:$A$51,0))="","",INDEX(campaigns!$BG$2:$BG$51,MATCH($C251,campaigns!$A$2:$A$51,0))),""),$A251,calendar!$A$2:$A$80)))</f>
        <v/>
      </c>
      <c r="K251" s="30" t="str">
        <f aca="false">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ustomFormat="false" ht="15" hidden="false" customHeight="false" outlineLevel="0" collapsed="false">
      <c r="A252" s="11"/>
      <c r="B252" s="38"/>
      <c r="E252" s="10"/>
      <c r="G252" s="10"/>
      <c r="J252" s="30" t="str">
        <f aca="false">IF(OR($C252="",$A252=""),"",IF($A252&lt;IFERROR(IF(INDEX(campaigns!$BG$2:$BG$51,MATCH($C252,campaigns!$A$2:$A$51,0))="","",INDEX(campaigns!$BG$2:$BG$51,MATCH($C252,campaigns!$A$2:$A$51,0))),""),0,NETWORKDAYS(IFERROR(IF(INDEX(campaigns!$BG$2:$BG$51,MATCH($C252,campaigns!$A$2:$A$51,0))="","",INDEX(campaigns!$BG$2:$BG$51,MATCH($C252,campaigns!$A$2:$A$51,0))),""),$A252,calendar!$A$2:$A$80)))</f>
        <v/>
      </c>
      <c r="K252" s="30" t="str">
        <f aca="false">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ustomFormat="false" ht="15" hidden="false" customHeight="false" outlineLevel="0" collapsed="false">
      <c r="A253" s="11"/>
      <c r="B253" s="38"/>
      <c r="E253" s="10"/>
      <c r="G253" s="10"/>
      <c r="J253" s="30" t="str">
        <f aca="false">IF(OR($C253="",$A253=""),"",IF($A253&lt;IFERROR(IF(INDEX(campaigns!$BG$2:$BG$51,MATCH($C253,campaigns!$A$2:$A$51,0))="","",INDEX(campaigns!$BG$2:$BG$51,MATCH($C253,campaigns!$A$2:$A$51,0))),""),0,NETWORKDAYS(IFERROR(IF(INDEX(campaigns!$BG$2:$BG$51,MATCH($C253,campaigns!$A$2:$A$51,0))="","",INDEX(campaigns!$BG$2:$BG$51,MATCH($C253,campaigns!$A$2:$A$51,0))),""),$A253,calendar!$A$2:$A$80)))</f>
        <v/>
      </c>
      <c r="K253" s="30" t="str">
        <f aca="false">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ustomFormat="false" ht="15" hidden="false" customHeight="false" outlineLevel="0" collapsed="false">
      <c r="A254" s="11"/>
      <c r="B254" s="38"/>
      <c r="E254" s="10"/>
      <c r="G254" s="10"/>
      <c r="J254" s="30" t="str">
        <f aca="false">IF(OR($C254="",$A254=""),"",IF($A254&lt;IFERROR(IF(INDEX(campaigns!$BG$2:$BG$51,MATCH($C254,campaigns!$A$2:$A$51,0))="","",INDEX(campaigns!$BG$2:$BG$51,MATCH($C254,campaigns!$A$2:$A$51,0))),""),0,NETWORKDAYS(IFERROR(IF(INDEX(campaigns!$BG$2:$BG$51,MATCH($C254,campaigns!$A$2:$A$51,0))="","",INDEX(campaigns!$BG$2:$BG$51,MATCH($C254,campaigns!$A$2:$A$51,0))),""),$A254,calendar!$A$2:$A$80)))</f>
        <v/>
      </c>
      <c r="K254" s="30" t="str">
        <f aca="false">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ustomFormat="false" ht="15" hidden="false" customHeight="false" outlineLevel="0" collapsed="false">
      <c r="A255" s="11"/>
      <c r="B255" s="38"/>
      <c r="E255" s="10"/>
      <c r="G255" s="10"/>
      <c r="J255" s="30" t="str">
        <f aca="false">IF(OR($C255="",$A255=""),"",IF($A255&lt;IFERROR(IF(INDEX(campaigns!$BG$2:$BG$51,MATCH($C255,campaigns!$A$2:$A$51,0))="","",INDEX(campaigns!$BG$2:$BG$51,MATCH($C255,campaigns!$A$2:$A$51,0))),""),0,NETWORKDAYS(IFERROR(IF(INDEX(campaigns!$BG$2:$BG$51,MATCH($C255,campaigns!$A$2:$A$51,0))="","",INDEX(campaigns!$BG$2:$BG$51,MATCH($C255,campaigns!$A$2:$A$51,0))),""),$A255,calendar!$A$2:$A$80)))</f>
        <v/>
      </c>
      <c r="K255" s="30" t="str">
        <f aca="false">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ustomFormat="false" ht="15" hidden="false" customHeight="false" outlineLevel="0" collapsed="false">
      <c r="A256" s="11"/>
      <c r="B256" s="38"/>
      <c r="E256" s="10"/>
      <c r="G256" s="10"/>
      <c r="J256" s="30" t="str">
        <f aca="false">IF(OR($C256="",$A256=""),"",IF($A256&lt;IFERROR(IF(INDEX(campaigns!$BG$2:$BG$51,MATCH($C256,campaigns!$A$2:$A$51,0))="","",INDEX(campaigns!$BG$2:$BG$51,MATCH($C256,campaigns!$A$2:$A$51,0))),""),0,NETWORKDAYS(IFERROR(IF(INDEX(campaigns!$BG$2:$BG$51,MATCH($C256,campaigns!$A$2:$A$51,0))="","",INDEX(campaigns!$BG$2:$BG$51,MATCH($C256,campaigns!$A$2:$A$51,0))),""),$A256,calendar!$A$2:$A$80)))</f>
        <v/>
      </c>
      <c r="K256" s="30" t="str">
        <f aca="false">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ustomFormat="false" ht="15" hidden="false" customHeight="false" outlineLevel="0" collapsed="false">
      <c r="A257" s="11"/>
      <c r="B257" s="38"/>
      <c r="E257" s="10"/>
      <c r="G257" s="10"/>
      <c r="J257" s="30" t="str">
        <f aca="false">IF(OR($C257="",$A257=""),"",IF($A257&lt;IFERROR(IF(INDEX(campaigns!$BG$2:$BG$51,MATCH($C257,campaigns!$A$2:$A$51,0))="","",INDEX(campaigns!$BG$2:$BG$51,MATCH($C257,campaigns!$A$2:$A$51,0))),""),0,NETWORKDAYS(IFERROR(IF(INDEX(campaigns!$BG$2:$BG$51,MATCH($C257,campaigns!$A$2:$A$51,0))="","",INDEX(campaigns!$BG$2:$BG$51,MATCH($C257,campaigns!$A$2:$A$51,0))),""),$A257,calendar!$A$2:$A$80)))</f>
        <v/>
      </c>
      <c r="K257" s="30" t="str">
        <f aca="false">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ustomFormat="false" ht="15" hidden="false" customHeight="false" outlineLevel="0" collapsed="false">
      <c r="A258" s="11"/>
      <c r="B258" s="38"/>
      <c r="E258" s="10"/>
      <c r="G258" s="10"/>
      <c r="J258" s="30" t="str">
        <f aca="false">IF(OR($C258="",$A258=""),"",IF($A258&lt;IFERROR(IF(INDEX(campaigns!$BG$2:$BG$51,MATCH($C258,campaigns!$A$2:$A$51,0))="","",INDEX(campaigns!$BG$2:$BG$51,MATCH($C258,campaigns!$A$2:$A$51,0))),""),0,NETWORKDAYS(IFERROR(IF(INDEX(campaigns!$BG$2:$BG$51,MATCH($C258,campaigns!$A$2:$A$51,0))="","",INDEX(campaigns!$BG$2:$BG$51,MATCH($C258,campaigns!$A$2:$A$51,0))),""),$A258,calendar!$A$2:$A$80)))</f>
        <v/>
      </c>
      <c r="K258" s="30" t="str">
        <f aca="false">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ustomFormat="false" ht="15" hidden="false" customHeight="false" outlineLevel="0" collapsed="false">
      <c r="A259" s="11"/>
      <c r="B259" s="38"/>
      <c r="E259" s="10"/>
      <c r="G259" s="10"/>
      <c r="J259" s="30" t="str">
        <f aca="false">IF(OR($C259="",$A259=""),"",IF($A259&lt;IFERROR(IF(INDEX(campaigns!$BG$2:$BG$51,MATCH($C259,campaigns!$A$2:$A$51,0))="","",INDEX(campaigns!$BG$2:$BG$51,MATCH($C259,campaigns!$A$2:$A$51,0))),""),0,NETWORKDAYS(IFERROR(IF(INDEX(campaigns!$BG$2:$BG$51,MATCH($C259,campaigns!$A$2:$A$51,0))="","",INDEX(campaigns!$BG$2:$BG$51,MATCH($C259,campaigns!$A$2:$A$51,0))),""),$A259,calendar!$A$2:$A$80)))</f>
        <v/>
      </c>
      <c r="K259" s="30" t="str">
        <f aca="false">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ustomFormat="false" ht="15" hidden="false" customHeight="false" outlineLevel="0" collapsed="false">
      <c r="A260" s="11"/>
      <c r="B260" s="38"/>
      <c r="E260" s="10"/>
      <c r="G260" s="10"/>
      <c r="J260" s="30" t="str">
        <f aca="false">IF(OR($C260="",$A260=""),"",IF($A260&lt;IFERROR(IF(INDEX(campaigns!$BG$2:$BG$51,MATCH($C260,campaigns!$A$2:$A$51,0))="","",INDEX(campaigns!$BG$2:$BG$51,MATCH($C260,campaigns!$A$2:$A$51,0))),""),0,NETWORKDAYS(IFERROR(IF(INDEX(campaigns!$BG$2:$BG$51,MATCH($C260,campaigns!$A$2:$A$51,0))="","",INDEX(campaigns!$BG$2:$BG$51,MATCH($C260,campaigns!$A$2:$A$51,0))),""),$A260,calendar!$A$2:$A$80)))</f>
        <v/>
      </c>
      <c r="K260" s="30" t="str">
        <f aca="false">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ustomFormat="false" ht="15" hidden="false" customHeight="false" outlineLevel="0" collapsed="false">
      <c r="A261" s="11"/>
      <c r="B261" s="38"/>
      <c r="E261" s="10"/>
      <c r="G261" s="10"/>
      <c r="J261" s="30" t="str">
        <f aca="false">IF(OR($C261="",$A261=""),"",IF($A261&lt;IFERROR(IF(INDEX(campaigns!$BG$2:$BG$51,MATCH($C261,campaigns!$A$2:$A$51,0))="","",INDEX(campaigns!$BG$2:$BG$51,MATCH($C261,campaigns!$A$2:$A$51,0))),""),0,NETWORKDAYS(IFERROR(IF(INDEX(campaigns!$BG$2:$BG$51,MATCH($C261,campaigns!$A$2:$A$51,0))="","",INDEX(campaigns!$BG$2:$BG$51,MATCH($C261,campaigns!$A$2:$A$51,0))),""),$A261,calendar!$A$2:$A$80)))</f>
        <v/>
      </c>
      <c r="K261" s="30" t="str">
        <f aca="false">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ustomFormat="false" ht="15" hidden="false" customHeight="false" outlineLevel="0" collapsed="false">
      <c r="A262" s="11"/>
      <c r="B262" s="38"/>
      <c r="E262" s="10"/>
      <c r="G262" s="10"/>
      <c r="J262" s="30" t="str">
        <f aca="false">IF(OR($C262="",$A262=""),"",IF($A262&lt;IFERROR(IF(INDEX(campaigns!$BG$2:$BG$51,MATCH($C262,campaigns!$A$2:$A$51,0))="","",INDEX(campaigns!$BG$2:$BG$51,MATCH($C262,campaigns!$A$2:$A$51,0))),""),0,NETWORKDAYS(IFERROR(IF(INDEX(campaigns!$BG$2:$BG$51,MATCH($C262,campaigns!$A$2:$A$51,0))="","",INDEX(campaigns!$BG$2:$BG$51,MATCH($C262,campaigns!$A$2:$A$51,0))),""),$A262,calendar!$A$2:$A$80)))</f>
        <v/>
      </c>
      <c r="K262" s="30" t="str">
        <f aca="false">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ustomFormat="false" ht="15" hidden="false" customHeight="false" outlineLevel="0" collapsed="false">
      <c r="A263" s="11"/>
      <c r="B263" s="38"/>
      <c r="E263" s="10"/>
      <c r="G263" s="10"/>
      <c r="J263" s="30" t="str">
        <f aca="false">IF(OR($C263="",$A263=""),"",IF($A263&lt;IFERROR(IF(INDEX(campaigns!$BG$2:$BG$51,MATCH($C263,campaigns!$A$2:$A$51,0))="","",INDEX(campaigns!$BG$2:$BG$51,MATCH($C263,campaigns!$A$2:$A$51,0))),""),0,NETWORKDAYS(IFERROR(IF(INDEX(campaigns!$BG$2:$BG$51,MATCH($C263,campaigns!$A$2:$A$51,0))="","",INDEX(campaigns!$BG$2:$BG$51,MATCH($C263,campaigns!$A$2:$A$51,0))),""),$A263,calendar!$A$2:$A$80)))</f>
        <v/>
      </c>
      <c r="K263" s="30" t="str">
        <f aca="false">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ustomFormat="false" ht="15" hidden="false" customHeight="false" outlineLevel="0" collapsed="false">
      <c r="A264" s="11"/>
      <c r="B264" s="38"/>
      <c r="E264" s="10"/>
      <c r="G264" s="10"/>
      <c r="J264" s="30" t="str">
        <f aca="false">IF(OR($C264="",$A264=""),"",IF($A264&lt;IFERROR(IF(INDEX(campaigns!$BG$2:$BG$51,MATCH($C264,campaigns!$A$2:$A$51,0))="","",INDEX(campaigns!$BG$2:$BG$51,MATCH($C264,campaigns!$A$2:$A$51,0))),""),0,NETWORKDAYS(IFERROR(IF(INDEX(campaigns!$BG$2:$BG$51,MATCH($C264,campaigns!$A$2:$A$51,0))="","",INDEX(campaigns!$BG$2:$BG$51,MATCH($C264,campaigns!$A$2:$A$51,0))),""),$A264,calendar!$A$2:$A$80)))</f>
        <v/>
      </c>
      <c r="K264" s="30" t="str">
        <f aca="false">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ustomFormat="false" ht="15" hidden="false" customHeight="false" outlineLevel="0" collapsed="false">
      <c r="A265" s="11"/>
      <c r="B265" s="38"/>
      <c r="E265" s="10"/>
      <c r="G265" s="10"/>
      <c r="J265" s="30" t="str">
        <f aca="false">IF(OR($C265="",$A265=""),"",IF($A265&lt;IFERROR(IF(INDEX(campaigns!$BG$2:$BG$51,MATCH($C265,campaigns!$A$2:$A$51,0))="","",INDEX(campaigns!$BG$2:$BG$51,MATCH($C265,campaigns!$A$2:$A$51,0))),""),0,NETWORKDAYS(IFERROR(IF(INDEX(campaigns!$BG$2:$BG$51,MATCH($C265,campaigns!$A$2:$A$51,0))="","",INDEX(campaigns!$BG$2:$BG$51,MATCH($C265,campaigns!$A$2:$A$51,0))),""),$A265,calendar!$A$2:$A$80)))</f>
        <v/>
      </c>
      <c r="K265" s="30" t="str">
        <f aca="false">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ustomFormat="false" ht="15" hidden="false" customHeight="false" outlineLevel="0" collapsed="false">
      <c r="A266" s="11"/>
      <c r="B266" s="38"/>
      <c r="E266" s="10"/>
      <c r="G266" s="10"/>
      <c r="J266" s="30" t="str">
        <f aca="false">IF(OR($C266="",$A266=""),"",IF($A266&lt;IFERROR(IF(INDEX(campaigns!$BG$2:$BG$51,MATCH($C266,campaigns!$A$2:$A$51,0))="","",INDEX(campaigns!$BG$2:$BG$51,MATCH($C266,campaigns!$A$2:$A$51,0))),""),0,NETWORKDAYS(IFERROR(IF(INDEX(campaigns!$BG$2:$BG$51,MATCH($C266,campaigns!$A$2:$A$51,0))="","",INDEX(campaigns!$BG$2:$BG$51,MATCH($C266,campaigns!$A$2:$A$51,0))),""),$A266,calendar!$A$2:$A$80)))</f>
        <v/>
      </c>
      <c r="K266" s="30" t="str">
        <f aca="false">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ustomFormat="false" ht="15" hidden="false" customHeight="false" outlineLevel="0" collapsed="false">
      <c r="A267" s="11"/>
      <c r="B267" s="38"/>
      <c r="E267" s="10"/>
      <c r="G267" s="10"/>
      <c r="J267" s="30" t="str">
        <f aca="false">IF(OR($C267="",$A267=""),"",IF($A267&lt;IFERROR(IF(INDEX(campaigns!$BG$2:$BG$51,MATCH($C267,campaigns!$A$2:$A$51,0))="","",INDEX(campaigns!$BG$2:$BG$51,MATCH($C267,campaigns!$A$2:$A$51,0))),""),0,NETWORKDAYS(IFERROR(IF(INDEX(campaigns!$BG$2:$BG$51,MATCH($C267,campaigns!$A$2:$A$51,0))="","",INDEX(campaigns!$BG$2:$BG$51,MATCH($C267,campaigns!$A$2:$A$51,0))),""),$A267,calendar!$A$2:$A$80)))</f>
        <v/>
      </c>
      <c r="K267" s="30" t="str">
        <f aca="false">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ustomFormat="false" ht="15" hidden="false" customHeight="false" outlineLevel="0" collapsed="false">
      <c r="A268" s="11"/>
      <c r="B268" s="38"/>
      <c r="E268" s="10"/>
      <c r="G268" s="10"/>
      <c r="J268" s="30" t="str">
        <f aca="false">IF(OR($C268="",$A268=""),"",IF($A268&lt;IFERROR(IF(INDEX(campaigns!$BG$2:$BG$51,MATCH($C268,campaigns!$A$2:$A$51,0))="","",INDEX(campaigns!$BG$2:$BG$51,MATCH($C268,campaigns!$A$2:$A$51,0))),""),0,NETWORKDAYS(IFERROR(IF(INDEX(campaigns!$BG$2:$BG$51,MATCH($C268,campaigns!$A$2:$A$51,0))="","",INDEX(campaigns!$BG$2:$BG$51,MATCH($C268,campaigns!$A$2:$A$51,0))),""),$A268,calendar!$A$2:$A$80)))</f>
        <v/>
      </c>
      <c r="K268" s="30" t="str">
        <f aca="false">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ustomFormat="false" ht="15" hidden="false" customHeight="false" outlineLevel="0" collapsed="false">
      <c r="A269" s="11"/>
      <c r="B269" s="38"/>
      <c r="E269" s="10"/>
      <c r="G269" s="10"/>
      <c r="J269" s="30" t="str">
        <f aca="false">IF(OR($C269="",$A269=""),"",IF($A269&lt;IFERROR(IF(INDEX(campaigns!$BG$2:$BG$51,MATCH($C269,campaigns!$A$2:$A$51,0))="","",INDEX(campaigns!$BG$2:$BG$51,MATCH($C269,campaigns!$A$2:$A$51,0))),""),0,NETWORKDAYS(IFERROR(IF(INDEX(campaigns!$BG$2:$BG$51,MATCH($C269,campaigns!$A$2:$A$51,0))="","",INDEX(campaigns!$BG$2:$BG$51,MATCH($C269,campaigns!$A$2:$A$51,0))),""),$A269,calendar!$A$2:$A$80)))</f>
        <v/>
      </c>
      <c r="K269" s="30" t="str">
        <f aca="false">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ustomFormat="false" ht="15" hidden="false" customHeight="false" outlineLevel="0" collapsed="false">
      <c r="A270" s="11"/>
      <c r="B270" s="38"/>
      <c r="E270" s="10"/>
      <c r="G270" s="10"/>
      <c r="J270" s="30" t="str">
        <f aca="false">IF(OR($C270="",$A270=""),"",IF($A270&lt;IFERROR(IF(INDEX(campaigns!$BG$2:$BG$51,MATCH($C270,campaigns!$A$2:$A$51,0))="","",INDEX(campaigns!$BG$2:$BG$51,MATCH($C270,campaigns!$A$2:$A$51,0))),""),0,NETWORKDAYS(IFERROR(IF(INDEX(campaigns!$BG$2:$BG$51,MATCH($C270,campaigns!$A$2:$A$51,0))="","",INDEX(campaigns!$BG$2:$BG$51,MATCH($C270,campaigns!$A$2:$A$51,0))),""),$A270,calendar!$A$2:$A$80)))</f>
        <v/>
      </c>
      <c r="K270" s="30" t="str">
        <f aca="false">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ustomFormat="false" ht="15" hidden="false" customHeight="false" outlineLevel="0" collapsed="false">
      <c r="A271" s="11"/>
      <c r="B271" s="38"/>
      <c r="E271" s="10"/>
      <c r="G271" s="10"/>
      <c r="J271" s="30" t="str">
        <f aca="false">IF(OR($C271="",$A271=""),"",IF($A271&lt;IFERROR(IF(INDEX(campaigns!$BG$2:$BG$51,MATCH($C271,campaigns!$A$2:$A$51,0))="","",INDEX(campaigns!$BG$2:$BG$51,MATCH($C271,campaigns!$A$2:$A$51,0))),""),0,NETWORKDAYS(IFERROR(IF(INDEX(campaigns!$BG$2:$BG$51,MATCH($C271,campaigns!$A$2:$A$51,0))="","",INDEX(campaigns!$BG$2:$BG$51,MATCH($C271,campaigns!$A$2:$A$51,0))),""),$A271,calendar!$A$2:$A$80)))</f>
        <v/>
      </c>
      <c r="K271" s="30" t="str">
        <f aca="false">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ustomFormat="false" ht="15" hidden="false" customHeight="false" outlineLevel="0" collapsed="false">
      <c r="A272" s="11"/>
      <c r="B272" s="38"/>
      <c r="E272" s="10"/>
      <c r="G272" s="10"/>
      <c r="J272" s="30" t="str">
        <f aca="false">IF(OR($C272="",$A272=""),"",IF($A272&lt;IFERROR(IF(INDEX(campaigns!$BG$2:$BG$51,MATCH($C272,campaigns!$A$2:$A$51,0))="","",INDEX(campaigns!$BG$2:$BG$51,MATCH($C272,campaigns!$A$2:$A$51,0))),""),0,NETWORKDAYS(IFERROR(IF(INDEX(campaigns!$BG$2:$BG$51,MATCH($C272,campaigns!$A$2:$A$51,0))="","",INDEX(campaigns!$BG$2:$BG$51,MATCH($C272,campaigns!$A$2:$A$51,0))),""),$A272,calendar!$A$2:$A$80)))</f>
        <v/>
      </c>
      <c r="K272" s="30" t="str">
        <f aca="false">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ustomFormat="false" ht="15" hidden="false" customHeight="false" outlineLevel="0" collapsed="false">
      <c r="A273" s="11"/>
      <c r="B273" s="38"/>
      <c r="E273" s="10"/>
      <c r="G273" s="10"/>
      <c r="J273" s="30" t="str">
        <f aca="false">IF(OR($C273="",$A273=""),"",IF($A273&lt;IFERROR(IF(INDEX(campaigns!$BG$2:$BG$51,MATCH($C273,campaigns!$A$2:$A$51,0))="","",INDEX(campaigns!$BG$2:$BG$51,MATCH($C273,campaigns!$A$2:$A$51,0))),""),0,NETWORKDAYS(IFERROR(IF(INDEX(campaigns!$BG$2:$BG$51,MATCH($C273,campaigns!$A$2:$A$51,0))="","",INDEX(campaigns!$BG$2:$BG$51,MATCH($C273,campaigns!$A$2:$A$51,0))),""),$A273,calendar!$A$2:$A$80)))</f>
        <v/>
      </c>
      <c r="K273" s="30" t="str">
        <f aca="false">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ustomFormat="false" ht="15" hidden="false" customHeight="false" outlineLevel="0" collapsed="false">
      <c r="A274" s="11"/>
      <c r="B274" s="38"/>
      <c r="E274" s="10"/>
      <c r="G274" s="10"/>
      <c r="J274" s="30" t="str">
        <f aca="false">IF(OR($C274="",$A274=""),"",IF($A274&lt;IFERROR(IF(INDEX(campaigns!$BG$2:$BG$51,MATCH($C274,campaigns!$A$2:$A$51,0))="","",INDEX(campaigns!$BG$2:$BG$51,MATCH($C274,campaigns!$A$2:$A$51,0))),""),0,NETWORKDAYS(IFERROR(IF(INDEX(campaigns!$BG$2:$BG$51,MATCH($C274,campaigns!$A$2:$A$51,0))="","",INDEX(campaigns!$BG$2:$BG$51,MATCH($C274,campaigns!$A$2:$A$51,0))),""),$A274,calendar!$A$2:$A$80)))</f>
        <v/>
      </c>
      <c r="K274" s="30" t="str">
        <f aca="false">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ustomFormat="false" ht="15" hidden="false" customHeight="false" outlineLevel="0" collapsed="false">
      <c r="A275" s="11"/>
      <c r="B275" s="38"/>
      <c r="E275" s="10"/>
      <c r="G275" s="10"/>
      <c r="J275" s="30" t="str">
        <f aca="false">IF(OR($C275="",$A275=""),"",IF($A275&lt;IFERROR(IF(INDEX(campaigns!$BG$2:$BG$51,MATCH($C275,campaigns!$A$2:$A$51,0))="","",INDEX(campaigns!$BG$2:$BG$51,MATCH($C275,campaigns!$A$2:$A$51,0))),""),0,NETWORKDAYS(IFERROR(IF(INDEX(campaigns!$BG$2:$BG$51,MATCH($C275,campaigns!$A$2:$A$51,0))="","",INDEX(campaigns!$BG$2:$BG$51,MATCH($C275,campaigns!$A$2:$A$51,0))),""),$A275,calendar!$A$2:$A$80)))</f>
        <v/>
      </c>
      <c r="K275" s="30" t="str">
        <f aca="false">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ustomFormat="false" ht="15" hidden="false" customHeight="false" outlineLevel="0" collapsed="false">
      <c r="A276" s="11"/>
      <c r="B276" s="38"/>
      <c r="E276" s="10"/>
      <c r="G276" s="10"/>
      <c r="J276" s="30" t="str">
        <f aca="false">IF(OR($C276="",$A276=""),"",IF($A276&lt;IFERROR(IF(INDEX(campaigns!$BG$2:$BG$51,MATCH($C276,campaigns!$A$2:$A$51,0))="","",INDEX(campaigns!$BG$2:$BG$51,MATCH($C276,campaigns!$A$2:$A$51,0))),""),0,NETWORKDAYS(IFERROR(IF(INDEX(campaigns!$BG$2:$BG$51,MATCH($C276,campaigns!$A$2:$A$51,0))="","",INDEX(campaigns!$BG$2:$BG$51,MATCH($C276,campaigns!$A$2:$A$51,0))),""),$A276,calendar!$A$2:$A$80)))</f>
        <v/>
      </c>
      <c r="K276" s="30" t="str">
        <f aca="false">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ustomFormat="false" ht="15" hidden="false" customHeight="false" outlineLevel="0" collapsed="false">
      <c r="A277" s="11"/>
      <c r="B277" s="38"/>
      <c r="E277" s="10"/>
      <c r="G277" s="10"/>
      <c r="J277" s="30" t="str">
        <f aca="false">IF(OR($C277="",$A277=""),"",IF($A277&lt;IFERROR(IF(INDEX(campaigns!$BG$2:$BG$51,MATCH($C277,campaigns!$A$2:$A$51,0))="","",INDEX(campaigns!$BG$2:$BG$51,MATCH($C277,campaigns!$A$2:$A$51,0))),""),0,NETWORKDAYS(IFERROR(IF(INDEX(campaigns!$BG$2:$BG$51,MATCH($C277,campaigns!$A$2:$A$51,0))="","",INDEX(campaigns!$BG$2:$BG$51,MATCH($C277,campaigns!$A$2:$A$51,0))),""),$A277,calendar!$A$2:$A$80)))</f>
        <v/>
      </c>
      <c r="K277" s="30" t="str">
        <f aca="false">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ustomFormat="false" ht="15" hidden="false" customHeight="false" outlineLevel="0" collapsed="false">
      <c r="A278" s="11"/>
      <c r="B278" s="38"/>
      <c r="E278" s="10"/>
      <c r="G278" s="10"/>
      <c r="J278" s="30" t="str">
        <f aca="false">IF(OR($C278="",$A278=""),"",IF($A278&lt;IFERROR(IF(INDEX(campaigns!$BG$2:$BG$51,MATCH($C278,campaigns!$A$2:$A$51,0))="","",INDEX(campaigns!$BG$2:$BG$51,MATCH($C278,campaigns!$A$2:$A$51,0))),""),0,NETWORKDAYS(IFERROR(IF(INDEX(campaigns!$BG$2:$BG$51,MATCH($C278,campaigns!$A$2:$A$51,0))="","",INDEX(campaigns!$BG$2:$BG$51,MATCH($C278,campaigns!$A$2:$A$51,0))),""),$A278,calendar!$A$2:$A$80)))</f>
        <v/>
      </c>
      <c r="K278" s="30" t="str">
        <f aca="false">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ustomFormat="false" ht="15" hidden="false" customHeight="false" outlineLevel="0" collapsed="false">
      <c r="A279" s="11"/>
      <c r="B279" s="38"/>
      <c r="E279" s="10"/>
      <c r="G279" s="10"/>
      <c r="J279" s="30" t="str">
        <f aca="false">IF(OR($C279="",$A279=""),"",IF($A279&lt;IFERROR(IF(INDEX(campaigns!$BG$2:$BG$51,MATCH($C279,campaigns!$A$2:$A$51,0))="","",INDEX(campaigns!$BG$2:$BG$51,MATCH($C279,campaigns!$A$2:$A$51,0))),""),0,NETWORKDAYS(IFERROR(IF(INDEX(campaigns!$BG$2:$BG$51,MATCH($C279,campaigns!$A$2:$A$51,0))="","",INDEX(campaigns!$BG$2:$BG$51,MATCH($C279,campaigns!$A$2:$A$51,0))),""),$A279,calendar!$A$2:$A$80)))</f>
        <v/>
      </c>
      <c r="K279" s="30" t="str">
        <f aca="false">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ustomFormat="false" ht="15" hidden="false" customHeight="false" outlineLevel="0" collapsed="false">
      <c r="A280" s="11"/>
      <c r="B280" s="38"/>
      <c r="E280" s="10"/>
      <c r="G280" s="10"/>
      <c r="J280" s="30" t="str">
        <f aca="false">IF(OR($C280="",$A280=""),"",IF($A280&lt;IFERROR(IF(INDEX(campaigns!$BG$2:$BG$51,MATCH($C280,campaigns!$A$2:$A$51,0))="","",INDEX(campaigns!$BG$2:$BG$51,MATCH($C280,campaigns!$A$2:$A$51,0))),""),0,NETWORKDAYS(IFERROR(IF(INDEX(campaigns!$BG$2:$BG$51,MATCH($C280,campaigns!$A$2:$A$51,0))="","",INDEX(campaigns!$BG$2:$BG$51,MATCH($C280,campaigns!$A$2:$A$51,0))),""),$A280,calendar!$A$2:$A$80)))</f>
        <v/>
      </c>
      <c r="K280" s="30" t="str">
        <f aca="false">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ustomFormat="false" ht="15" hidden="false" customHeight="false" outlineLevel="0" collapsed="false">
      <c r="A281" s="11"/>
      <c r="B281" s="38"/>
      <c r="E281" s="10"/>
      <c r="G281" s="10"/>
      <c r="J281" s="30" t="str">
        <f aca="false">IF(OR($C281="",$A281=""),"",IF($A281&lt;IFERROR(IF(INDEX(campaigns!$BG$2:$BG$51,MATCH($C281,campaigns!$A$2:$A$51,0))="","",INDEX(campaigns!$BG$2:$BG$51,MATCH($C281,campaigns!$A$2:$A$51,0))),""),0,NETWORKDAYS(IFERROR(IF(INDEX(campaigns!$BG$2:$BG$51,MATCH($C281,campaigns!$A$2:$A$51,0))="","",INDEX(campaigns!$BG$2:$BG$51,MATCH($C281,campaigns!$A$2:$A$51,0))),""),$A281,calendar!$A$2:$A$80)))</f>
        <v/>
      </c>
      <c r="K281" s="30" t="str">
        <f aca="false">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ustomFormat="false" ht="15" hidden="false" customHeight="false" outlineLevel="0" collapsed="false">
      <c r="A282" s="11"/>
      <c r="B282" s="38"/>
      <c r="E282" s="10"/>
      <c r="G282" s="10"/>
      <c r="J282" s="30" t="str">
        <f aca="false">IF(OR($C282="",$A282=""),"",IF($A282&lt;IFERROR(IF(INDEX(campaigns!$BG$2:$BG$51,MATCH($C282,campaigns!$A$2:$A$51,0))="","",INDEX(campaigns!$BG$2:$BG$51,MATCH($C282,campaigns!$A$2:$A$51,0))),""),0,NETWORKDAYS(IFERROR(IF(INDEX(campaigns!$BG$2:$BG$51,MATCH($C282,campaigns!$A$2:$A$51,0))="","",INDEX(campaigns!$BG$2:$BG$51,MATCH($C282,campaigns!$A$2:$A$51,0))),""),$A282,calendar!$A$2:$A$80)))</f>
        <v/>
      </c>
      <c r="K282" s="30" t="str">
        <f aca="false">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ustomFormat="false" ht="15" hidden="false" customHeight="false" outlineLevel="0" collapsed="false">
      <c r="A283" s="11"/>
      <c r="B283" s="38"/>
      <c r="E283" s="10"/>
      <c r="G283" s="10"/>
      <c r="J283" s="30" t="str">
        <f aca="false">IF(OR($C283="",$A283=""),"",IF($A283&lt;IFERROR(IF(INDEX(campaigns!$BG$2:$BG$51,MATCH($C283,campaigns!$A$2:$A$51,0))="","",INDEX(campaigns!$BG$2:$BG$51,MATCH($C283,campaigns!$A$2:$A$51,0))),""),0,NETWORKDAYS(IFERROR(IF(INDEX(campaigns!$BG$2:$BG$51,MATCH($C283,campaigns!$A$2:$A$51,0))="","",INDEX(campaigns!$BG$2:$BG$51,MATCH($C283,campaigns!$A$2:$A$51,0))),""),$A283,calendar!$A$2:$A$80)))</f>
        <v/>
      </c>
      <c r="K283" s="30" t="str">
        <f aca="false">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ustomFormat="false" ht="15" hidden="false" customHeight="false" outlineLevel="0" collapsed="false">
      <c r="A284" s="11"/>
      <c r="B284" s="38"/>
      <c r="E284" s="10"/>
      <c r="G284" s="10"/>
      <c r="J284" s="30" t="str">
        <f aca="false">IF(OR($C284="",$A284=""),"",IF($A284&lt;IFERROR(IF(INDEX(campaigns!$BG$2:$BG$51,MATCH($C284,campaigns!$A$2:$A$51,0))="","",INDEX(campaigns!$BG$2:$BG$51,MATCH($C284,campaigns!$A$2:$A$51,0))),""),0,NETWORKDAYS(IFERROR(IF(INDEX(campaigns!$BG$2:$BG$51,MATCH($C284,campaigns!$A$2:$A$51,0))="","",INDEX(campaigns!$BG$2:$BG$51,MATCH($C284,campaigns!$A$2:$A$51,0))),""),$A284,calendar!$A$2:$A$80)))</f>
        <v/>
      </c>
      <c r="K284" s="30" t="str">
        <f aca="false">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ustomFormat="false" ht="15" hidden="false" customHeight="false" outlineLevel="0" collapsed="false">
      <c r="A285" s="11"/>
      <c r="B285" s="38"/>
      <c r="E285" s="10"/>
      <c r="G285" s="10"/>
      <c r="J285" s="30" t="str">
        <f aca="false">IF(OR($C285="",$A285=""),"",IF($A285&lt;IFERROR(IF(INDEX(campaigns!$BG$2:$BG$51,MATCH($C285,campaigns!$A$2:$A$51,0))="","",INDEX(campaigns!$BG$2:$BG$51,MATCH($C285,campaigns!$A$2:$A$51,0))),""),0,NETWORKDAYS(IFERROR(IF(INDEX(campaigns!$BG$2:$BG$51,MATCH($C285,campaigns!$A$2:$A$51,0))="","",INDEX(campaigns!$BG$2:$BG$51,MATCH($C285,campaigns!$A$2:$A$51,0))),""),$A285,calendar!$A$2:$A$80)))</f>
        <v/>
      </c>
      <c r="K285" s="30" t="str">
        <f aca="false">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ustomFormat="false" ht="15" hidden="false" customHeight="false" outlineLevel="0" collapsed="false">
      <c r="A286" s="11"/>
      <c r="B286" s="38"/>
      <c r="E286" s="10"/>
      <c r="G286" s="10"/>
      <c r="J286" s="30" t="str">
        <f aca="false">IF(OR($C286="",$A286=""),"",IF($A286&lt;IFERROR(IF(INDEX(campaigns!$BG$2:$BG$51,MATCH($C286,campaigns!$A$2:$A$51,0))="","",INDEX(campaigns!$BG$2:$BG$51,MATCH($C286,campaigns!$A$2:$A$51,0))),""),0,NETWORKDAYS(IFERROR(IF(INDEX(campaigns!$BG$2:$BG$51,MATCH($C286,campaigns!$A$2:$A$51,0))="","",INDEX(campaigns!$BG$2:$BG$51,MATCH($C286,campaigns!$A$2:$A$51,0))),""),$A286,calendar!$A$2:$A$80)))</f>
        <v/>
      </c>
      <c r="K286" s="30" t="str">
        <f aca="false">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ustomFormat="false" ht="15" hidden="false" customHeight="false" outlineLevel="0" collapsed="false">
      <c r="A287" s="11"/>
      <c r="B287" s="38"/>
      <c r="E287" s="10"/>
      <c r="G287" s="10"/>
      <c r="J287" s="30" t="str">
        <f aca="false">IF(OR($C287="",$A287=""),"",IF($A287&lt;IFERROR(IF(INDEX(campaigns!$BG$2:$BG$51,MATCH($C287,campaigns!$A$2:$A$51,0))="","",INDEX(campaigns!$BG$2:$BG$51,MATCH($C287,campaigns!$A$2:$A$51,0))),""),0,NETWORKDAYS(IFERROR(IF(INDEX(campaigns!$BG$2:$BG$51,MATCH($C287,campaigns!$A$2:$A$51,0))="","",INDEX(campaigns!$BG$2:$BG$51,MATCH($C287,campaigns!$A$2:$A$51,0))),""),$A287,calendar!$A$2:$A$80)))</f>
        <v/>
      </c>
      <c r="K287" s="30" t="str">
        <f aca="false">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ustomFormat="false" ht="15" hidden="false" customHeight="false" outlineLevel="0" collapsed="false">
      <c r="A288" s="11"/>
      <c r="B288" s="38"/>
      <c r="E288" s="10"/>
      <c r="G288" s="10"/>
      <c r="J288" s="30" t="str">
        <f aca="false">IF(OR($C288="",$A288=""),"",IF($A288&lt;IFERROR(IF(INDEX(campaigns!$BG$2:$BG$51,MATCH($C288,campaigns!$A$2:$A$51,0))="","",INDEX(campaigns!$BG$2:$BG$51,MATCH($C288,campaigns!$A$2:$A$51,0))),""),0,NETWORKDAYS(IFERROR(IF(INDEX(campaigns!$BG$2:$BG$51,MATCH($C288,campaigns!$A$2:$A$51,0))="","",INDEX(campaigns!$BG$2:$BG$51,MATCH($C288,campaigns!$A$2:$A$51,0))),""),$A288,calendar!$A$2:$A$80)))</f>
        <v/>
      </c>
      <c r="K288" s="30" t="str">
        <f aca="false">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ustomFormat="false" ht="15" hidden="false" customHeight="false" outlineLevel="0" collapsed="false">
      <c r="A289" s="11"/>
      <c r="B289" s="38"/>
      <c r="E289" s="10"/>
      <c r="G289" s="10"/>
      <c r="J289" s="30" t="str">
        <f aca="false">IF(OR($C289="",$A289=""),"",IF($A289&lt;IFERROR(IF(INDEX(campaigns!$BG$2:$BG$51,MATCH($C289,campaigns!$A$2:$A$51,0))="","",INDEX(campaigns!$BG$2:$BG$51,MATCH($C289,campaigns!$A$2:$A$51,0))),""),0,NETWORKDAYS(IFERROR(IF(INDEX(campaigns!$BG$2:$BG$51,MATCH($C289,campaigns!$A$2:$A$51,0))="","",INDEX(campaigns!$BG$2:$BG$51,MATCH($C289,campaigns!$A$2:$A$51,0))),""),$A289,calendar!$A$2:$A$80)))</f>
        <v/>
      </c>
      <c r="K289" s="30" t="str">
        <f aca="false">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ustomFormat="false" ht="15" hidden="false" customHeight="false" outlineLevel="0" collapsed="false">
      <c r="A290" s="11"/>
      <c r="B290" s="38"/>
      <c r="E290" s="10"/>
      <c r="G290" s="10"/>
      <c r="J290" s="30" t="str">
        <f aca="false">IF(OR($C290="",$A290=""),"",IF($A290&lt;IFERROR(IF(INDEX(campaigns!$BG$2:$BG$51,MATCH($C290,campaigns!$A$2:$A$51,0))="","",INDEX(campaigns!$BG$2:$BG$51,MATCH($C290,campaigns!$A$2:$A$51,0))),""),0,NETWORKDAYS(IFERROR(IF(INDEX(campaigns!$BG$2:$BG$51,MATCH($C290,campaigns!$A$2:$A$51,0))="","",INDEX(campaigns!$BG$2:$BG$51,MATCH($C290,campaigns!$A$2:$A$51,0))),""),$A290,calendar!$A$2:$A$80)))</f>
        <v/>
      </c>
      <c r="K290" s="30" t="str">
        <f aca="false">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ustomFormat="false" ht="15" hidden="false" customHeight="false" outlineLevel="0" collapsed="false">
      <c r="A291" s="11"/>
      <c r="B291" s="38"/>
      <c r="E291" s="10"/>
      <c r="G291" s="10"/>
      <c r="J291" s="30" t="str">
        <f aca="false">IF(OR($C291="",$A291=""),"",IF($A291&lt;IFERROR(IF(INDEX(campaigns!$BG$2:$BG$51,MATCH($C291,campaigns!$A$2:$A$51,0))="","",INDEX(campaigns!$BG$2:$BG$51,MATCH($C291,campaigns!$A$2:$A$51,0))),""),0,NETWORKDAYS(IFERROR(IF(INDEX(campaigns!$BG$2:$BG$51,MATCH($C291,campaigns!$A$2:$A$51,0))="","",INDEX(campaigns!$BG$2:$BG$51,MATCH($C291,campaigns!$A$2:$A$51,0))),""),$A291,calendar!$A$2:$A$80)))</f>
        <v/>
      </c>
      <c r="K291" s="30" t="str">
        <f aca="false">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ustomFormat="false" ht="15" hidden="false" customHeight="false" outlineLevel="0" collapsed="false">
      <c r="A292" s="11"/>
      <c r="B292" s="38"/>
      <c r="E292" s="10"/>
      <c r="G292" s="10"/>
      <c r="J292" s="30" t="str">
        <f aca="false">IF(OR($C292="",$A292=""),"",IF($A292&lt;IFERROR(IF(INDEX(campaigns!$BG$2:$BG$51,MATCH($C292,campaigns!$A$2:$A$51,0))="","",INDEX(campaigns!$BG$2:$BG$51,MATCH($C292,campaigns!$A$2:$A$51,0))),""),0,NETWORKDAYS(IFERROR(IF(INDEX(campaigns!$BG$2:$BG$51,MATCH($C292,campaigns!$A$2:$A$51,0))="","",INDEX(campaigns!$BG$2:$BG$51,MATCH($C292,campaigns!$A$2:$A$51,0))),""),$A292,calendar!$A$2:$A$80)))</f>
        <v/>
      </c>
      <c r="K292" s="30" t="str">
        <f aca="false">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ustomFormat="false" ht="15" hidden="false" customHeight="false" outlineLevel="0" collapsed="false">
      <c r="A293" s="11"/>
      <c r="B293" s="38"/>
      <c r="E293" s="10"/>
      <c r="G293" s="10"/>
      <c r="J293" s="30" t="str">
        <f aca="false">IF(OR($C293="",$A293=""),"",IF($A293&lt;IFERROR(IF(INDEX(campaigns!$BG$2:$BG$51,MATCH($C293,campaigns!$A$2:$A$51,0))="","",INDEX(campaigns!$BG$2:$BG$51,MATCH($C293,campaigns!$A$2:$A$51,0))),""),0,NETWORKDAYS(IFERROR(IF(INDEX(campaigns!$BG$2:$BG$51,MATCH($C293,campaigns!$A$2:$A$51,0))="","",INDEX(campaigns!$BG$2:$BG$51,MATCH($C293,campaigns!$A$2:$A$51,0))),""),$A293,calendar!$A$2:$A$80)))</f>
        <v/>
      </c>
      <c r="K293" s="30" t="str">
        <f aca="false">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ustomFormat="false" ht="15" hidden="false" customHeight="false" outlineLevel="0" collapsed="false">
      <c r="A294" s="11"/>
      <c r="B294" s="38"/>
      <c r="E294" s="10"/>
      <c r="G294" s="10"/>
      <c r="J294" s="30" t="str">
        <f aca="false">IF(OR($C294="",$A294=""),"",IF($A294&lt;IFERROR(IF(INDEX(campaigns!$BG$2:$BG$51,MATCH($C294,campaigns!$A$2:$A$51,0))="","",INDEX(campaigns!$BG$2:$BG$51,MATCH($C294,campaigns!$A$2:$A$51,0))),""),0,NETWORKDAYS(IFERROR(IF(INDEX(campaigns!$BG$2:$BG$51,MATCH($C294,campaigns!$A$2:$A$51,0))="","",INDEX(campaigns!$BG$2:$BG$51,MATCH($C294,campaigns!$A$2:$A$51,0))),""),$A294,calendar!$A$2:$A$80)))</f>
        <v/>
      </c>
      <c r="K294" s="30" t="str">
        <f aca="false">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ustomFormat="false" ht="15" hidden="false" customHeight="false" outlineLevel="0" collapsed="false">
      <c r="A295" s="11"/>
      <c r="B295" s="38"/>
      <c r="E295" s="10"/>
      <c r="G295" s="10"/>
      <c r="J295" s="30" t="str">
        <f aca="false">IF(OR($C295="",$A295=""),"",IF($A295&lt;IFERROR(IF(INDEX(campaigns!$BG$2:$BG$51,MATCH($C295,campaigns!$A$2:$A$51,0))="","",INDEX(campaigns!$BG$2:$BG$51,MATCH($C295,campaigns!$A$2:$A$51,0))),""),0,NETWORKDAYS(IFERROR(IF(INDEX(campaigns!$BG$2:$BG$51,MATCH($C295,campaigns!$A$2:$A$51,0))="","",INDEX(campaigns!$BG$2:$BG$51,MATCH($C295,campaigns!$A$2:$A$51,0))),""),$A295,calendar!$A$2:$A$80)))</f>
        <v/>
      </c>
      <c r="K295" s="30" t="str">
        <f aca="false">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ustomFormat="false" ht="15" hidden="false" customHeight="false" outlineLevel="0" collapsed="false">
      <c r="A296" s="11"/>
      <c r="B296" s="38"/>
      <c r="E296" s="10"/>
      <c r="G296" s="10"/>
      <c r="J296" s="30" t="str">
        <f aca="false">IF(OR($C296="",$A296=""),"",IF($A296&lt;IFERROR(IF(INDEX(campaigns!$BG$2:$BG$51,MATCH($C296,campaigns!$A$2:$A$51,0))="","",INDEX(campaigns!$BG$2:$BG$51,MATCH($C296,campaigns!$A$2:$A$51,0))),""),0,NETWORKDAYS(IFERROR(IF(INDEX(campaigns!$BG$2:$BG$51,MATCH($C296,campaigns!$A$2:$A$51,0))="","",INDEX(campaigns!$BG$2:$BG$51,MATCH($C296,campaigns!$A$2:$A$51,0))),""),$A296,calendar!$A$2:$A$80)))</f>
        <v/>
      </c>
      <c r="K296" s="30" t="str">
        <f aca="false">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ustomFormat="false" ht="15" hidden="false" customHeight="false" outlineLevel="0" collapsed="false">
      <c r="A297" s="11"/>
      <c r="B297" s="38"/>
      <c r="E297" s="10"/>
      <c r="G297" s="10"/>
      <c r="J297" s="30" t="str">
        <f aca="false">IF(OR($C297="",$A297=""),"",IF($A297&lt;IFERROR(IF(INDEX(campaigns!$BG$2:$BG$51,MATCH($C297,campaigns!$A$2:$A$51,0))="","",INDEX(campaigns!$BG$2:$BG$51,MATCH($C297,campaigns!$A$2:$A$51,0))),""),0,NETWORKDAYS(IFERROR(IF(INDEX(campaigns!$BG$2:$BG$51,MATCH($C297,campaigns!$A$2:$A$51,0))="","",INDEX(campaigns!$BG$2:$BG$51,MATCH($C297,campaigns!$A$2:$A$51,0))),""),$A297,calendar!$A$2:$A$80)))</f>
        <v/>
      </c>
      <c r="K297" s="30" t="str">
        <f aca="false">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ustomFormat="false" ht="15" hidden="false" customHeight="false" outlineLevel="0" collapsed="false">
      <c r="A298" s="11"/>
      <c r="B298" s="38"/>
      <c r="E298" s="10"/>
      <c r="G298" s="10"/>
      <c r="J298" s="30" t="str">
        <f aca="false">IF(OR($C298="",$A298=""),"",IF($A298&lt;IFERROR(IF(INDEX(campaigns!$BG$2:$BG$51,MATCH($C298,campaigns!$A$2:$A$51,0))="","",INDEX(campaigns!$BG$2:$BG$51,MATCH($C298,campaigns!$A$2:$A$51,0))),""),0,NETWORKDAYS(IFERROR(IF(INDEX(campaigns!$BG$2:$BG$51,MATCH($C298,campaigns!$A$2:$A$51,0))="","",INDEX(campaigns!$BG$2:$BG$51,MATCH($C298,campaigns!$A$2:$A$51,0))),""),$A298,calendar!$A$2:$A$80)))</f>
        <v/>
      </c>
      <c r="K298" s="30" t="str">
        <f aca="false">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ustomFormat="false" ht="15" hidden="false" customHeight="false" outlineLevel="0" collapsed="false">
      <c r="A299" s="11"/>
      <c r="B299" s="38"/>
      <c r="E299" s="10"/>
      <c r="G299" s="10"/>
      <c r="J299" s="30" t="str">
        <f aca="false">IF(OR($C299="",$A299=""),"",IF($A299&lt;IFERROR(IF(INDEX(campaigns!$BG$2:$BG$51,MATCH($C299,campaigns!$A$2:$A$51,0))="","",INDEX(campaigns!$BG$2:$BG$51,MATCH($C299,campaigns!$A$2:$A$51,0))),""),0,NETWORKDAYS(IFERROR(IF(INDEX(campaigns!$BG$2:$BG$51,MATCH($C299,campaigns!$A$2:$A$51,0))="","",INDEX(campaigns!$BG$2:$BG$51,MATCH($C299,campaigns!$A$2:$A$51,0))),""),$A299,calendar!$A$2:$A$80)))</f>
        <v/>
      </c>
      <c r="K299" s="30" t="str">
        <f aca="false">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ustomFormat="false" ht="15" hidden="false" customHeight="false" outlineLevel="0" collapsed="false">
      <c r="A300" s="11"/>
      <c r="B300" s="38"/>
      <c r="E300" s="10"/>
      <c r="G300" s="10"/>
      <c r="J300" s="30" t="str">
        <f aca="false">IF(OR($C300="",$A300=""),"",IF($A300&lt;IFERROR(IF(INDEX(campaigns!$BG$2:$BG$51,MATCH($C300,campaigns!$A$2:$A$51,0))="","",INDEX(campaigns!$BG$2:$BG$51,MATCH($C300,campaigns!$A$2:$A$51,0))),""),0,NETWORKDAYS(IFERROR(IF(INDEX(campaigns!$BG$2:$BG$51,MATCH($C300,campaigns!$A$2:$A$51,0))="","",INDEX(campaigns!$BG$2:$BG$51,MATCH($C300,campaigns!$A$2:$A$51,0))),""),$A300,calendar!$A$2:$A$80)))</f>
        <v/>
      </c>
      <c r="K300" s="30" t="str">
        <f aca="false">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ustomFormat="false" ht="15" hidden="false" customHeight="false" outlineLevel="0" collapsed="false">
      <c r="A301" s="11"/>
      <c r="B301" s="38"/>
      <c r="E301" s="10"/>
      <c r="G301" s="10"/>
      <c r="J301" s="30" t="str">
        <f aca="false">IF(OR($C301="",$A301=""),"",IF($A301&lt;IFERROR(IF(INDEX(campaigns!$BG$2:$BG$51,MATCH($C301,campaigns!$A$2:$A$51,0))="","",INDEX(campaigns!$BG$2:$BG$51,MATCH($C301,campaigns!$A$2:$A$51,0))),""),0,NETWORKDAYS(IFERROR(IF(INDEX(campaigns!$BG$2:$BG$51,MATCH($C301,campaigns!$A$2:$A$51,0))="","",INDEX(campaigns!$BG$2:$BG$51,MATCH($C301,campaigns!$A$2:$A$51,0))),""),$A301,calendar!$A$2:$A$80)))</f>
        <v/>
      </c>
      <c r="K301" s="30" t="str">
        <f aca="false">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ustomFormat="false" ht="15" hidden="false" customHeight="false" outlineLevel="0" collapsed="false">
      <c r="A302" s="11"/>
      <c r="B302" s="38"/>
      <c r="E302" s="10"/>
      <c r="G302" s="10"/>
      <c r="J302" s="30" t="str">
        <f aca="false">IF(OR($C302="",$A302=""),"",IF($A302&lt;IFERROR(IF(INDEX(campaigns!$BG$2:$BG$51,MATCH($C302,campaigns!$A$2:$A$51,0))="","",INDEX(campaigns!$BG$2:$BG$51,MATCH($C302,campaigns!$A$2:$A$51,0))),""),0,NETWORKDAYS(IFERROR(IF(INDEX(campaigns!$BG$2:$BG$51,MATCH($C302,campaigns!$A$2:$A$51,0))="","",INDEX(campaigns!$BG$2:$BG$51,MATCH($C302,campaigns!$A$2:$A$51,0))),""),$A302,calendar!$A$2:$A$80)))</f>
        <v/>
      </c>
      <c r="K302" s="30" t="str">
        <f aca="false">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ustomFormat="false" ht="15" hidden="false" customHeight="false" outlineLevel="0" collapsed="false">
      <c r="A303" s="11"/>
      <c r="B303" s="38"/>
      <c r="E303" s="10"/>
      <c r="G303" s="10"/>
      <c r="J303" s="30" t="str">
        <f aca="false">IF(OR($C303="",$A303=""),"",IF($A303&lt;IFERROR(IF(INDEX(campaigns!$BG$2:$BG$51,MATCH($C303,campaigns!$A$2:$A$51,0))="","",INDEX(campaigns!$BG$2:$BG$51,MATCH($C303,campaigns!$A$2:$A$51,0))),""),0,NETWORKDAYS(IFERROR(IF(INDEX(campaigns!$BG$2:$BG$51,MATCH($C303,campaigns!$A$2:$A$51,0))="","",INDEX(campaigns!$BG$2:$BG$51,MATCH($C303,campaigns!$A$2:$A$51,0))),""),$A303,calendar!$A$2:$A$80)))</f>
        <v/>
      </c>
      <c r="K303" s="30" t="str">
        <f aca="false">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ustomFormat="false" ht="15" hidden="false" customHeight="false" outlineLevel="0" collapsed="false">
      <c r="A304" s="11"/>
      <c r="B304" s="38"/>
      <c r="E304" s="10"/>
      <c r="G304" s="10"/>
      <c r="J304" s="30" t="str">
        <f aca="false">IF(OR($C304="",$A304=""),"",IF($A304&lt;IFERROR(IF(INDEX(campaigns!$BG$2:$BG$51,MATCH($C304,campaigns!$A$2:$A$51,0))="","",INDEX(campaigns!$BG$2:$BG$51,MATCH($C304,campaigns!$A$2:$A$51,0))),""),0,NETWORKDAYS(IFERROR(IF(INDEX(campaigns!$BG$2:$BG$51,MATCH($C304,campaigns!$A$2:$A$51,0))="","",INDEX(campaigns!$BG$2:$BG$51,MATCH($C304,campaigns!$A$2:$A$51,0))),""),$A304,calendar!$A$2:$A$80)))</f>
        <v/>
      </c>
      <c r="K304" s="30" t="str">
        <f aca="false">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ustomFormat="false" ht="15" hidden="false" customHeight="false" outlineLevel="0" collapsed="false">
      <c r="A305" s="11"/>
      <c r="B305" s="38"/>
      <c r="E305" s="10"/>
      <c r="G305" s="10"/>
      <c r="J305" s="30" t="str">
        <f aca="false">IF(OR($C305="",$A305=""),"",IF($A305&lt;IFERROR(IF(INDEX(campaigns!$BG$2:$BG$51,MATCH($C305,campaigns!$A$2:$A$51,0))="","",INDEX(campaigns!$BG$2:$BG$51,MATCH($C305,campaigns!$A$2:$A$51,0))),""),0,NETWORKDAYS(IFERROR(IF(INDEX(campaigns!$BG$2:$BG$51,MATCH($C305,campaigns!$A$2:$A$51,0))="","",INDEX(campaigns!$BG$2:$BG$51,MATCH($C305,campaigns!$A$2:$A$51,0))),""),$A305,calendar!$A$2:$A$80)))</f>
        <v/>
      </c>
      <c r="K305" s="30" t="str">
        <f aca="false">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ustomFormat="false" ht="15" hidden="false" customHeight="false" outlineLevel="0" collapsed="false">
      <c r="A306" s="11"/>
      <c r="B306" s="38"/>
      <c r="E306" s="10"/>
      <c r="G306" s="10"/>
      <c r="J306" s="30" t="str">
        <f aca="false">IF(OR($C306="",$A306=""),"",IF($A306&lt;IFERROR(IF(INDEX(campaigns!$BG$2:$BG$51,MATCH($C306,campaigns!$A$2:$A$51,0))="","",INDEX(campaigns!$BG$2:$BG$51,MATCH($C306,campaigns!$A$2:$A$51,0))),""),0,NETWORKDAYS(IFERROR(IF(INDEX(campaigns!$BG$2:$BG$51,MATCH($C306,campaigns!$A$2:$A$51,0))="","",INDEX(campaigns!$BG$2:$BG$51,MATCH($C306,campaigns!$A$2:$A$51,0))),""),$A306,calendar!$A$2:$A$80)))</f>
        <v/>
      </c>
      <c r="K306" s="30" t="str">
        <f aca="false">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ustomFormat="false" ht="15" hidden="false" customHeight="false" outlineLevel="0" collapsed="false">
      <c r="A307" s="11"/>
      <c r="B307" s="38"/>
      <c r="E307" s="10"/>
      <c r="G307" s="10"/>
      <c r="J307" s="30" t="str">
        <f aca="false">IF(OR($C307="",$A307=""),"",IF($A307&lt;IFERROR(IF(INDEX(campaigns!$BG$2:$BG$51,MATCH($C307,campaigns!$A$2:$A$51,0))="","",INDEX(campaigns!$BG$2:$BG$51,MATCH($C307,campaigns!$A$2:$A$51,0))),""),0,NETWORKDAYS(IFERROR(IF(INDEX(campaigns!$BG$2:$BG$51,MATCH($C307,campaigns!$A$2:$A$51,0))="","",INDEX(campaigns!$BG$2:$BG$51,MATCH($C307,campaigns!$A$2:$A$51,0))),""),$A307,calendar!$A$2:$A$80)))</f>
        <v/>
      </c>
      <c r="K307" s="30" t="str">
        <f aca="false">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ustomFormat="false" ht="15" hidden="false" customHeight="false" outlineLevel="0" collapsed="false">
      <c r="A308" s="11"/>
      <c r="B308" s="38"/>
      <c r="E308" s="10"/>
      <c r="G308" s="10"/>
      <c r="J308" s="30" t="str">
        <f aca="false">IF(OR($C308="",$A308=""),"",IF($A308&lt;IFERROR(IF(INDEX(campaigns!$BG$2:$BG$51,MATCH($C308,campaigns!$A$2:$A$51,0))="","",INDEX(campaigns!$BG$2:$BG$51,MATCH($C308,campaigns!$A$2:$A$51,0))),""),0,NETWORKDAYS(IFERROR(IF(INDEX(campaigns!$BG$2:$BG$51,MATCH($C308,campaigns!$A$2:$A$51,0))="","",INDEX(campaigns!$BG$2:$BG$51,MATCH($C308,campaigns!$A$2:$A$51,0))),""),$A308,calendar!$A$2:$A$80)))</f>
        <v/>
      </c>
      <c r="K308" s="30" t="str">
        <f aca="false">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ustomFormat="false" ht="15" hidden="false" customHeight="false" outlineLevel="0" collapsed="false">
      <c r="A309" s="11"/>
      <c r="B309" s="38"/>
      <c r="E309" s="10"/>
      <c r="G309" s="10"/>
      <c r="J309" s="30" t="str">
        <f aca="false">IF(OR($C309="",$A309=""),"",IF($A309&lt;IFERROR(IF(INDEX(campaigns!$BG$2:$BG$51,MATCH($C309,campaigns!$A$2:$A$51,0))="","",INDEX(campaigns!$BG$2:$BG$51,MATCH($C309,campaigns!$A$2:$A$51,0))),""),0,NETWORKDAYS(IFERROR(IF(INDEX(campaigns!$BG$2:$BG$51,MATCH($C309,campaigns!$A$2:$A$51,0))="","",INDEX(campaigns!$BG$2:$BG$51,MATCH($C309,campaigns!$A$2:$A$51,0))),""),$A309,calendar!$A$2:$A$80)))</f>
        <v/>
      </c>
      <c r="K309" s="30" t="str">
        <f aca="false">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ustomFormat="false" ht="15" hidden="false" customHeight="false" outlineLevel="0" collapsed="false">
      <c r="A310" s="11"/>
      <c r="B310" s="38"/>
      <c r="E310" s="10"/>
      <c r="G310" s="10"/>
      <c r="J310" s="30" t="str">
        <f aca="false">IF(OR($C310="",$A310=""),"",IF($A310&lt;IFERROR(IF(INDEX(campaigns!$BG$2:$BG$51,MATCH($C310,campaigns!$A$2:$A$51,0))="","",INDEX(campaigns!$BG$2:$BG$51,MATCH($C310,campaigns!$A$2:$A$51,0))),""),0,NETWORKDAYS(IFERROR(IF(INDEX(campaigns!$BG$2:$BG$51,MATCH($C310,campaigns!$A$2:$A$51,0))="","",INDEX(campaigns!$BG$2:$BG$51,MATCH($C310,campaigns!$A$2:$A$51,0))),""),$A310,calendar!$A$2:$A$80)))</f>
        <v/>
      </c>
      <c r="K310" s="30" t="str">
        <f aca="false">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ustomFormat="false" ht="15" hidden="false" customHeight="false" outlineLevel="0" collapsed="false">
      <c r="A311" s="11"/>
      <c r="B311" s="38"/>
      <c r="E311" s="10"/>
      <c r="G311" s="10"/>
      <c r="J311" s="30" t="str">
        <f aca="false">IF(OR($C311="",$A311=""),"",IF($A311&lt;IFERROR(IF(INDEX(campaigns!$BG$2:$BG$51,MATCH($C311,campaigns!$A$2:$A$51,0))="","",INDEX(campaigns!$BG$2:$BG$51,MATCH($C311,campaigns!$A$2:$A$51,0))),""),0,NETWORKDAYS(IFERROR(IF(INDEX(campaigns!$BG$2:$BG$51,MATCH($C311,campaigns!$A$2:$A$51,0))="","",INDEX(campaigns!$BG$2:$BG$51,MATCH($C311,campaigns!$A$2:$A$51,0))),""),$A311,calendar!$A$2:$A$80)))</f>
        <v/>
      </c>
      <c r="K311" s="30" t="str">
        <f aca="false">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ustomFormat="false" ht="15" hidden="false" customHeight="false" outlineLevel="0" collapsed="false">
      <c r="A312" s="11"/>
      <c r="B312" s="38"/>
      <c r="E312" s="10"/>
      <c r="G312" s="10"/>
      <c r="J312" s="30" t="str">
        <f aca="false">IF(OR($C312="",$A312=""),"",IF($A312&lt;IFERROR(IF(INDEX(campaigns!$BG$2:$BG$51,MATCH($C312,campaigns!$A$2:$A$51,0))="","",INDEX(campaigns!$BG$2:$BG$51,MATCH($C312,campaigns!$A$2:$A$51,0))),""),0,NETWORKDAYS(IFERROR(IF(INDEX(campaigns!$BG$2:$BG$51,MATCH($C312,campaigns!$A$2:$A$51,0))="","",INDEX(campaigns!$BG$2:$BG$51,MATCH($C312,campaigns!$A$2:$A$51,0))),""),$A312,calendar!$A$2:$A$80)))</f>
        <v/>
      </c>
      <c r="K312" s="30" t="str">
        <f aca="false">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ustomFormat="false" ht="15" hidden="false" customHeight="false" outlineLevel="0" collapsed="false">
      <c r="A313" s="11"/>
      <c r="B313" s="38"/>
      <c r="E313" s="10"/>
      <c r="G313" s="10"/>
      <c r="J313" s="30" t="str">
        <f aca="false">IF(OR($C313="",$A313=""),"",IF($A313&lt;IFERROR(IF(INDEX(campaigns!$BG$2:$BG$51,MATCH($C313,campaigns!$A$2:$A$51,0))="","",INDEX(campaigns!$BG$2:$BG$51,MATCH($C313,campaigns!$A$2:$A$51,0))),""),0,NETWORKDAYS(IFERROR(IF(INDEX(campaigns!$BG$2:$BG$51,MATCH($C313,campaigns!$A$2:$A$51,0))="","",INDEX(campaigns!$BG$2:$BG$51,MATCH($C313,campaigns!$A$2:$A$51,0))),""),$A313,calendar!$A$2:$A$80)))</f>
        <v/>
      </c>
      <c r="K313" s="30" t="str">
        <f aca="false">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ustomFormat="false" ht="15" hidden="false" customHeight="false" outlineLevel="0" collapsed="false">
      <c r="A314" s="11"/>
      <c r="B314" s="38"/>
      <c r="E314" s="10"/>
      <c r="G314" s="10"/>
      <c r="J314" s="30" t="str">
        <f aca="false">IF(OR($C314="",$A314=""),"",IF($A314&lt;IFERROR(IF(INDEX(campaigns!$BG$2:$BG$51,MATCH($C314,campaigns!$A$2:$A$51,0))="","",INDEX(campaigns!$BG$2:$BG$51,MATCH($C314,campaigns!$A$2:$A$51,0))),""),0,NETWORKDAYS(IFERROR(IF(INDEX(campaigns!$BG$2:$BG$51,MATCH($C314,campaigns!$A$2:$A$51,0))="","",INDEX(campaigns!$BG$2:$BG$51,MATCH($C314,campaigns!$A$2:$A$51,0))),""),$A314,calendar!$A$2:$A$80)))</f>
        <v/>
      </c>
      <c r="K314" s="30" t="str">
        <f aca="false">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ustomFormat="false" ht="15" hidden="false" customHeight="false" outlineLevel="0" collapsed="false">
      <c r="A315" s="11"/>
      <c r="B315" s="38"/>
      <c r="E315" s="10"/>
      <c r="G315" s="10"/>
      <c r="J315" s="30" t="str">
        <f aca="false">IF(OR($C315="",$A315=""),"",IF($A315&lt;IFERROR(IF(INDEX(campaigns!$BG$2:$BG$51,MATCH($C315,campaigns!$A$2:$A$51,0))="","",INDEX(campaigns!$BG$2:$BG$51,MATCH($C315,campaigns!$A$2:$A$51,0))),""),0,NETWORKDAYS(IFERROR(IF(INDEX(campaigns!$BG$2:$BG$51,MATCH($C315,campaigns!$A$2:$A$51,0))="","",INDEX(campaigns!$BG$2:$BG$51,MATCH($C315,campaigns!$A$2:$A$51,0))),""),$A315,calendar!$A$2:$A$80)))</f>
        <v/>
      </c>
      <c r="K315" s="30" t="str">
        <f aca="false">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ustomFormat="false" ht="15" hidden="false" customHeight="false" outlineLevel="0" collapsed="false">
      <c r="A316" s="11"/>
      <c r="B316" s="38"/>
      <c r="E316" s="10"/>
      <c r="G316" s="10"/>
      <c r="J316" s="30" t="str">
        <f aca="false">IF(OR($C316="",$A316=""),"",IF($A316&lt;IFERROR(IF(INDEX(campaigns!$BG$2:$BG$51,MATCH($C316,campaigns!$A$2:$A$51,0))="","",INDEX(campaigns!$BG$2:$BG$51,MATCH($C316,campaigns!$A$2:$A$51,0))),""),0,NETWORKDAYS(IFERROR(IF(INDEX(campaigns!$BG$2:$BG$51,MATCH($C316,campaigns!$A$2:$A$51,0))="","",INDEX(campaigns!$BG$2:$BG$51,MATCH($C316,campaigns!$A$2:$A$51,0))),""),$A316,calendar!$A$2:$A$80)))</f>
        <v/>
      </c>
      <c r="K316" s="30" t="str">
        <f aca="false">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ustomFormat="false" ht="15" hidden="false" customHeight="false" outlineLevel="0" collapsed="false">
      <c r="A317" s="11"/>
      <c r="B317" s="38"/>
      <c r="E317" s="10"/>
      <c r="G317" s="10"/>
      <c r="J317" s="30" t="str">
        <f aca="false">IF(OR($C317="",$A317=""),"",IF($A317&lt;IFERROR(IF(INDEX(campaigns!$BG$2:$BG$51,MATCH($C317,campaigns!$A$2:$A$51,0))="","",INDEX(campaigns!$BG$2:$BG$51,MATCH($C317,campaigns!$A$2:$A$51,0))),""),0,NETWORKDAYS(IFERROR(IF(INDEX(campaigns!$BG$2:$BG$51,MATCH($C317,campaigns!$A$2:$A$51,0))="","",INDEX(campaigns!$BG$2:$BG$51,MATCH($C317,campaigns!$A$2:$A$51,0))),""),$A317,calendar!$A$2:$A$80)))</f>
        <v/>
      </c>
      <c r="K317" s="30" t="str">
        <f aca="false">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ustomFormat="false" ht="15" hidden="false" customHeight="false" outlineLevel="0" collapsed="false">
      <c r="A318" s="11"/>
      <c r="B318" s="38"/>
      <c r="E318" s="10"/>
      <c r="G318" s="10"/>
      <c r="J318" s="30" t="str">
        <f aca="false">IF(OR($C318="",$A318=""),"",IF($A318&lt;IFERROR(IF(INDEX(campaigns!$BG$2:$BG$51,MATCH($C318,campaigns!$A$2:$A$51,0))="","",INDEX(campaigns!$BG$2:$BG$51,MATCH($C318,campaigns!$A$2:$A$51,0))),""),0,NETWORKDAYS(IFERROR(IF(INDEX(campaigns!$BG$2:$BG$51,MATCH($C318,campaigns!$A$2:$A$51,0))="","",INDEX(campaigns!$BG$2:$BG$51,MATCH($C318,campaigns!$A$2:$A$51,0))),""),$A318,calendar!$A$2:$A$80)))</f>
        <v/>
      </c>
      <c r="K318" s="30" t="str">
        <f aca="false">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ustomFormat="false" ht="15" hidden="false" customHeight="false" outlineLevel="0" collapsed="false">
      <c r="A319" s="11"/>
      <c r="B319" s="38"/>
      <c r="E319" s="10"/>
      <c r="G319" s="10"/>
      <c r="J319" s="30" t="str">
        <f aca="false">IF(OR($C319="",$A319=""),"",IF($A319&lt;IFERROR(IF(INDEX(campaigns!$BG$2:$BG$51,MATCH($C319,campaigns!$A$2:$A$51,0))="","",INDEX(campaigns!$BG$2:$BG$51,MATCH($C319,campaigns!$A$2:$A$51,0))),""),0,NETWORKDAYS(IFERROR(IF(INDEX(campaigns!$BG$2:$BG$51,MATCH($C319,campaigns!$A$2:$A$51,0))="","",INDEX(campaigns!$BG$2:$BG$51,MATCH($C319,campaigns!$A$2:$A$51,0))),""),$A319,calendar!$A$2:$A$80)))</f>
        <v/>
      </c>
      <c r="K319" s="30" t="str">
        <f aca="false">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ustomFormat="false" ht="15" hidden="false" customHeight="false" outlineLevel="0" collapsed="false">
      <c r="A320" s="11"/>
      <c r="B320" s="38"/>
      <c r="E320" s="10"/>
      <c r="G320" s="10"/>
      <c r="J320" s="30" t="str">
        <f aca="false">IF(OR($C320="",$A320=""),"",IF($A320&lt;IFERROR(IF(INDEX(campaigns!$BG$2:$BG$51,MATCH($C320,campaigns!$A$2:$A$51,0))="","",INDEX(campaigns!$BG$2:$BG$51,MATCH($C320,campaigns!$A$2:$A$51,0))),""),0,NETWORKDAYS(IFERROR(IF(INDEX(campaigns!$BG$2:$BG$51,MATCH($C320,campaigns!$A$2:$A$51,0))="","",INDEX(campaigns!$BG$2:$BG$51,MATCH($C320,campaigns!$A$2:$A$51,0))),""),$A320,calendar!$A$2:$A$80)))</f>
        <v/>
      </c>
      <c r="K320" s="30" t="str">
        <f aca="false">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ustomFormat="false" ht="15" hidden="false" customHeight="false" outlineLevel="0" collapsed="false">
      <c r="A321" s="11"/>
      <c r="B321" s="38"/>
      <c r="E321" s="10"/>
      <c r="G321" s="10"/>
      <c r="J321" s="30" t="str">
        <f aca="false">IF(OR($C321="",$A321=""),"",IF($A321&lt;IFERROR(IF(INDEX(campaigns!$BG$2:$BG$51,MATCH($C321,campaigns!$A$2:$A$51,0))="","",INDEX(campaigns!$BG$2:$BG$51,MATCH($C321,campaigns!$A$2:$A$51,0))),""),0,NETWORKDAYS(IFERROR(IF(INDEX(campaigns!$BG$2:$BG$51,MATCH($C321,campaigns!$A$2:$A$51,0))="","",INDEX(campaigns!$BG$2:$BG$51,MATCH($C321,campaigns!$A$2:$A$51,0))),""),$A321,calendar!$A$2:$A$80)))</f>
        <v/>
      </c>
      <c r="K321" s="30" t="str">
        <f aca="false">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ustomFormat="false" ht="15" hidden="false" customHeight="false" outlineLevel="0" collapsed="false">
      <c r="A322" s="11"/>
      <c r="B322" s="38"/>
      <c r="E322" s="10"/>
      <c r="G322" s="10"/>
      <c r="J322" s="30" t="str">
        <f aca="false">IF(OR($C322="",$A322=""),"",IF($A322&lt;IFERROR(IF(INDEX(campaigns!$BG$2:$BG$51,MATCH($C322,campaigns!$A$2:$A$51,0))="","",INDEX(campaigns!$BG$2:$BG$51,MATCH($C322,campaigns!$A$2:$A$51,0))),""),0,NETWORKDAYS(IFERROR(IF(INDEX(campaigns!$BG$2:$BG$51,MATCH($C322,campaigns!$A$2:$A$51,0))="","",INDEX(campaigns!$BG$2:$BG$51,MATCH($C322,campaigns!$A$2:$A$51,0))),""),$A322,calendar!$A$2:$A$80)))</f>
        <v/>
      </c>
      <c r="K322" s="30" t="str">
        <f aca="false">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ustomFormat="false" ht="15" hidden="false" customHeight="false" outlineLevel="0" collapsed="false">
      <c r="A323" s="11"/>
      <c r="B323" s="38"/>
      <c r="E323" s="10"/>
      <c r="G323" s="10"/>
      <c r="J323" s="30" t="str">
        <f aca="false">IF(OR($C323="",$A323=""),"",IF($A323&lt;IFERROR(IF(INDEX(campaigns!$BG$2:$BG$51,MATCH($C323,campaigns!$A$2:$A$51,0))="","",INDEX(campaigns!$BG$2:$BG$51,MATCH($C323,campaigns!$A$2:$A$51,0))),""),0,NETWORKDAYS(IFERROR(IF(INDEX(campaigns!$BG$2:$BG$51,MATCH($C323,campaigns!$A$2:$A$51,0))="","",INDEX(campaigns!$BG$2:$BG$51,MATCH($C323,campaigns!$A$2:$A$51,0))),""),$A323,calendar!$A$2:$A$80)))</f>
        <v/>
      </c>
      <c r="K323" s="30" t="str">
        <f aca="false">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ustomFormat="false" ht="15" hidden="false" customHeight="false" outlineLevel="0" collapsed="false">
      <c r="A324" s="11"/>
      <c r="B324" s="38"/>
      <c r="E324" s="10"/>
      <c r="G324" s="10"/>
      <c r="J324" s="30" t="str">
        <f aca="false">IF(OR($C324="",$A324=""),"",IF($A324&lt;IFERROR(IF(INDEX(campaigns!$BG$2:$BG$51,MATCH($C324,campaigns!$A$2:$A$51,0))="","",INDEX(campaigns!$BG$2:$BG$51,MATCH($C324,campaigns!$A$2:$A$51,0))),""),0,NETWORKDAYS(IFERROR(IF(INDEX(campaigns!$BG$2:$BG$51,MATCH($C324,campaigns!$A$2:$A$51,0))="","",INDEX(campaigns!$BG$2:$BG$51,MATCH($C324,campaigns!$A$2:$A$51,0))),""),$A324,calendar!$A$2:$A$80)))</f>
        <v/>
      </c>
      <c r="K324" s="30" t="str">
        <f aca="false">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ustomFormat="false" ht="15" hidden="false" customHeight="false" outlineLevel="0" collapsed="false">
      <c r="A325" s="11"/>
      <c r="B325" s="38"/>
      <c r="E325" s="10"/>
      <c r="G325" s="10"/>
      <c r="J325" s="30" t="str">
        <f aca="false">IF(OR($C325="",$A325=""),"",IF($A325&lt;IFERROR(IF(INDEX(campaigns!$BG$2:$BG$51,MATCH($C325,campaigns!$A$2:$A$51,0))="","",INDEX(campaigns!$BG$2:$BG$51,MATCH($C325,campaigns!$A$2:$A$51,0))),""),0,NETWORKDAYS(IFERROR(IF(INDEX(campaigns!$BG$2:$BG$51,MATCH($C325,campaigns!$A$2:$A$51,0))="","",INDEX(campaigns!$BG$2:$BG$51,MATCH($C325,campaigns!$A$2:$A$51,0))),""),$A325,calendar!$A$2:$A$80)))</f>
        <v/>
      </c>
      <c r="K325" s="30" t="str">
        <f aca="false">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ustomFormat="false" ht="15" hidden="false" customHeight="false" outlineLevel="0" collapsed="false">
      <c r="A326" s="11"/>
      <c r="B326" s="38"/>
      <c r="E326" s="10"/>
      <c r="G326" s="10"/>
      <c r="J326" s="30" t="str">
        <f aca="false">IF(OR($C326="",$A326=""),"",IF($A326&lt;IFERROR(IF(INDEX(campaigns!$BG$2:$BG$51,MATCH($C326,campaigns!$A$2:$A$51,0))="","",INDEX(campaigns!$BG$2:$BG$51,MATCH($C326,campaigns!$A$2:$A$51,0))),""),0,NETWORKDAYS(IFERROR(IF(INDEX(campaigns!$BG$2:$BG$51,MATCH($C326,campaigns!$A$2:$A$51,0))="","",INDEX(campaigns!$BG$2:$BG$51,MATCH($C326,campaigns!$A$2:$A$51,0))),""),$A326,calendar!$A$2:$A$80)))</f>
        <v/>
      </c>
      <c r="K326" s="30" t="str">
        <f aca="false">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ustomFormat="false" ht="15" hidden="false" customHeight="false" outlineLevel="0" collapsed="false">
      <c r="A327" s="11"/>
      <c r="B327" s="38"/>
      <c r="E327" s="10"/>
      <c r="G327" s="10"/>
      <c r="J327" s="30" t="str">
        <f aca="false">IF(OR($C327="",$A327=""),"",IF($A327&lt;IFERROR(IF(INDEX(campaigns!$BG$2:$BG$51,MATCH($C327,campaigns!$A$2:$A$51,0))="","",INDEX(campaigns!$BG$2:$BG$51,MATCH($C327,campaigns!$A$2:$A$51,0))),""),0,NETWORKDAYS(IFERROR(IF(INDEX(campaigns!$BG$2:$BG$51,MATCH($C327,campaigns!$A$2:$A$51,0))="","",INDEX(campaigns!$BG$2:$BG$51,MATCH($C327,campaigns!$A$2:$A$51,0))),""),$A327,calendar!$A$2:$A$80)))</f>
        <v/>
      </c>
      <c r="K327" s="30" t="str">
        <f aca="false">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ustomFormat="false" ht="15" hidden="false" customHeight="false" outlineLevel="0" collapsed="false">
      <c r="A328" s="11"/>
      <c r="B328" s="38"/>
      <c r="E328" s="10"/>
      <c r="G328" s="10"/>
      <c r="J328" s="30" t="str">
        <f aca="false">IF(OR($C328="",$A328=""),"",IF($A328&lt;IFERROR(IF(INDEX(campaigns!$BG$2:$BG$51,MATCH($C328,campaigns!$A$2:$A$51,0))="","",INDEX(campaigns!$BG$2:$BG$51,MATCH($C328,campaigns!$A$2:$A$51,0))),""),0,NETWORKDAYS(IFERROR(IF(INDEX(campaigns!$BG$2:$BG$51,MATCH($C328,campaigns!$A$2:$A$51,0))="","",INDEX(campaigns!$BG$2:$BG$51,MATCH($C328,campaigns!$A$2:$A$51,0))),""),$A328,calendar!$A$2:$A$80)))</f>
        <v/>
      </c>
      <c r="K328" s="30" t="str">
        <f aca="false">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ustomFormat="false" ht="15" hidden="false" customHeight="false" outlineLevel="0" collapsed="false">
      <c r="A329" s="11"/>
      <c r="B329" s="38"/>
      <c r="E329" s="10"/>
      <c r="G329" s="10"/>
      <c r="J329" s="30" t="str">
        <f aca="false">IF(OR($C329="",$A329=""),"",IF($A329&lt;IFERROR(IF(INDEX(campaigns!$BG$2:$BG$51,MATCH($C329,campaigns!$A$2:$A$51,0))="","",INDEX(campaigns!$BG$2:$BG$51,MATCH($C329,campaigns!$A$2:$A$51,0))),""),0,NETWORKDAYS(IFERROR(IF(INDEX(campaigns!$BG$2:$BG$51,MATCH($C329,campaigns!$A$2:$A$51,0))="","",INDEX(campaigns!$BG$2:$BG$51,MATCH($C329,campaigns!$A$2:$A$51,0))),""),$A329,calendar!$A$2:$A$80)))</f>
        <v/>
      </c>
      <c r="K329" s="30" t="str">
        <f aca="false">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ustomFormat="false" ht="15" hidden="false" customHeight="false" outlineLevel="0" collapsed="false">
      <c r="A330" s="11"/>
      <c r="B330" s="38"/>
      <c r="E330" s="10"/>
      <c r="G330" s="10"/>
      <c r="J330" s="30" t="str">
        <f aca="false">IF(OR($C330="",$A330=""),"",IF($A330&lt;IFERROR(IF(INDEX(campaigns!$BG$2:$BG$51,MATCH($C330,campaigns!$A$2:$A$51,0))="","",INDEX(campaigns!$BG$2:$BG$51,MATCH($C330,campaigns!$A$2:$A$51,0))),""),0,NETWORKDAYS(IFERROR(IF(INDEX(campaigns!$BG$2:$BG$51,MATCH($C330,campaigns!$A$2:$A$51,0))="","",INDEX(campaigns!$BG$2:$BG$51,MATCH($C330,campaigns!$A$2:$A$51,0))),""),$A330,calendar!$A$2:$A$80)))</f>
        <v/>
      </c>
      <c r="K330" s="30" t="str">
        <f aca="false">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ustomFormat="false" ht="15" hidden="false" customHeight="false" outlineLevel="0" collapsed="false">
      <c r="A331" s="11"/>
      <c r="B331" s="38"/>
      <c r="E331" s="10"/>
      <c r="G331" s="10"/>
      <c r="J331" s="30" t="str">
        <f aca="false">IF(OR($C331="",$A331=""),"",IF($A331&lt;IFERROR(IF(INDEX(campaigns!$BG$2:$BG$51,MATCH($C331,campaigns!$A$2:$A$51,0))="","",INDEX(campaigns!$BG$2:$BG$51,MATCH($C331,campaigns!$A$2:$A$51,0))),""),0,NETWORKDAYS(IFERROR(IF(INDEX(campaigns!$BG$2:$BG$51,MATCH($C331,campaigns!$A$2:$A$51,0))="","",INDEX(campaigns!$BG$2:$BG$51,MATCH($C331,campaigns!$A$2:$A$51,0))),""),$A331,calendar!$A$2:$A$80)))</f>
        <v/>
      </c>
      <c r="K331" s="30" t="str">
        <f aca="false">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ustomFormat="false" ht="15" hidden="false" customHeight="false" outlineLevel="0" collapsed="false">
      <c r="A332" s="11"/>
      <c r="B332" s="38"/>
      <c r="E332" s="10"/>
      <c r="G332" s="10"/>
      <c r="J332" s="30" t="str">
        <f aca="false">IF(OR($C332="",$A332=""),"",IF($A332&lt;IFERROR(IF(INDEX(campaigns!$BG$2:$BG$51,MATCH($C332,campaigns!$A$2:$A$51,0))="","",INDEX(campaigns!$BG$2:$BG$51,MATCH($C332,campaigns!$A$2:$A$51,0))),""),0,NETWORKDAYS(IFERROR(IF(INDEX(campaigns!$BG$2:$BG$51,MATCH($C332,campaigns!$A$2:$A$51,0))="","",INDEX(campaigns!$BG$2:$BG$51,MATCH($C332,campaigns!$A$2:$A$51,0))),""),$A332,calendar!$A$2:$A$80)))</f>
        <v/>
      </c>
      <c r="K332" s="30" t="str">
        <f aca="false">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ustomFormat="false" ht="15" hidden="false" customHeight="false" outlineLevel="0" collapsed="false">
      <c r="A333" s="11"/>
      <c r="B333" s="38"/>
      <c r="E333" s="10"/>
      <c r="G333" s="10"/>
      <c r="J333" s="30" t="str">
        <f aca="false">IF(OR($C333="",$A333=""),"",IF($A333&lt;IFERROR(IF(INDEX(campaigns!$BG$2:$BG$51,MATCH($C333,campaigns!$A$2:$A$51,0))="","",INDEX(campaigns!$BG$2:$BG$51,MATCH($C333,campaigns!$A$2:$A$51,0))),""),0,NETWORKDAYS(IFERROR(IF(INDEX(campaigns!$BG$2:$BG$51,MATCH($C333,campaigns!$A$2:$A$51,0))="","",INDEX(campaigns!$BG$2:$BG$51,MATCH($C333,campaigns!$A$2:$A$51,0))),""),$A333,calendar!$A$2:$A$80)))</f>
        <v/>
      </c>
      <c r="K333" s="30" t="str">
        <f aca="false">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ustomFormat="false" ht="15" hidden="false" customHeight="false" outlineLevel="0" collapsed="false">
      <c r="A334" s="11"/>
      <c r="B334" s="38"/>
      <c r="E334" s="10"/>
      <c r="G334" s="10"/>
      <c r="J334" s="30" t="str">
        <f aca="false">IF(OR($C334="",$A334=""),"",IF($A334&lt;IFERROR(IF(INDEX(campaigns!$BG$2:$BG$51,MATCH($C334,campaigns!$A$2:$A$51,0))="","",INDEX(campaigns!$BG$2:$BG$51,MATCH($C334,campaigns!$A$2:$A$51,0))),""),0,NETWORKDAYS(IFERROR(IF(INDEX(campaigns!$BG$2:$BG$51,MATCH($C334,campaigns!$A$2:$A$51,0))="","",INDEX(campaigns!$BG$2:$BG$51,MATCH($C334,campaigns!$A$2:$A$51,0))),""),$A334,calendar!$A$2:$A$80)))</f>
        <v/>
      </c>
      <c r="K334" s="30" t="str">
        <f aca="false">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ustomFormat="false" ht="15" hidden="false" customHeight="false" outlineLevel="0" collapsed="false">
      <c r="A335" s="11"/>
      <c r="B335" s="38"/>
      <c r="E335" s="10"/>
      <c r="G335" s="10"/>
      <c r="J335" s="30" t="str">
        <f aca="false">IF(OR($C335="",$A335=""),"",IF($A335&lt;IFERROR(IF(INDEX(campaigns!$BG$2:$BG$51,MATCH($C335,campaigns!$A$2:$A$51,0))="","",INDEX(campaigns!$BG$2:$BG$51,MATCH($C335,campaigns!$A$2:$A$51,0))),""),0,NETWORKDAYS(IFERROR(IF(INDEX(campaigns!$BG$2:$BG$51,MATCH($C335,campaigns!$A$2:$A$51,0))="","",INDEX(campaigns!$BG$2:$BG$51,MATCH($C335,campaigns!$A$2:$A$51,0))),""),$A335,calendar!$A$2:$A$80)))</f>
        <v/>
      </c>
      <c r="K335" s="30" t="str">
        <f aca="false">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ustomFormat="false" ht="15" hidden="false" customHeight="false" outlineLevel="0" collapsed="false">
      <c r="A336" s="11"/>
      <c r="B336" s="38"/>
      <c r="E336" s="10"/>
      <c r="G336" s="10"/>
      <c r="J336" s="30" t="str">
        <f aca="false">IF(OR($C336="",$A336=""),"",IF($A336&lt;IFERROR(IF(INDEX(campaigns!$BG$2:$BG$51,MATCH($C336,campaigns!$A$2:$A$51,0))="","",INDEX(campaigns!$BG$2:$BG$51,MATCH($C336,campaigns!$A$2:$A$51,0))),""),0,NETWORKDAYS(IFERROR(IF(INDEX(campaigns!$BG$2:$BG$51,MATCH($C336,campaigns!$A$2:$A$51,0))="","",INDEX(campaigns!$BG$2:$BG$51,MATCH($C336,campaigns!$A$2:$A$51,0))),""),$A336,calendar!$A$2:$A$80)))</f>
        <v/>
      </c>
      <c r="K336" s="30" t="str">
        <f aca="false">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ustomFormat="false" ht="15" hidden="false" customHeight="false" outlineLevel="0" collapsed="false">
      <c r="A337" s="11"/>
      <c r="B337" s="38"/>
      <c r="E337" s="10"/>
      <c r="G337" s="10"/>
      <c r="J337" s="30" t="str">
        <f aca="false">IF(OR($C337="",$A337=""),"",IF($A337&lt;IFERROR(IF(INDEX(campaigns!$BG$2:$BG$51,MATCH($C337,campaigns!$A$2:$A$51,0))="","",INDEX(campaigns!$BG$2:$BG$51,MATCH($C337,campaigns!$A$2:$A$51,0))),""),0,NETWORKDAYS(IFERROR(IF(INDEX(campaigns!$BG$2:$BG$51,MATCH($C337,campaigns!$A$2:$A$51,0))="","",INDEX(campaigns!$BG$2:$BG$51,MATCH($C337,campaigns!$A$2:$A$51,0))),""),$A337,calendar!$A$2:$A$80)))</f>
        <v/>
      </c>
      <c r="K337" s="30" t="str">
        <f aca="false">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ustomFormat="false" ht="15" hidden="false" customHeight="false" outlineLevel="0" collapsed="false">
      <c r="A338" s="11"/>
      <c r="B338" s="38"/>
      <c r="E338" s="10"/>
      <c r="G338" s="10"/>
      <c r="J338" s="30" t="str">
        <f aca="false">IF(OR($C338="",$A338=""),"",IF($A338&lt;IFERROR(IF(INDEX(campaigns!$BG$2:$BG$51,MATCH($C338,campaigns!$A$2:$A$51,0))="","",INDEX(campaigns!$BG$2:$BG$51,MATCH($C338,campaigns!$A$2:$A$51,0))),""),0,NETWORKDAYS(IFERROR(IF(INDEX(campaigns!$BG$2:$BG$51,MATCH($C338,campaigns!$A$2:$A$51,0))="","",INDEX(campaigns!$BG$2:$BG$51,MATCH($C338,campaigns!$A$2:$A$51,0))),""),$A338,calendar!$A$2:$A$80)))</f>
        <v/>
      </c>
      <c r="K338" s="30" t="str">
        <f aca="false">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ustomFormat="false" ht="15" hidden="false" customHeight="false" outlineLevel="0" collapsed="false">
      <c r="A339" s="11"/>
      <c r="B339" s="38"/>
      <c r="E339" s="10"/>
      <c r="G339" s="10"/>
      <c r="J339" s="30" t="str">
        <f aca="false">IF(OR($C339="",$A339=""),"",IF($A339&lt;IFERROR(IF(INDEX(campaigns!$BG$2:$BG$51,MATCH($C339,campaigns!$A$2:$A$51,0))="","",INDEX(campaigns!$BG$2:$BG$51,MATCH($C339,campaigns!$A$2:$A$51,0))),""),0,NETWORKDAYS(IFERROR(IF(INDEX(campaigns!$BG$2:$BG$51,MATCH($C339,campaigns!$A$2:$A$51,0))="","",INDEX(campaigns!$BG$2:$BG$51,MATCH($C339,campaigns!$A$2:$A$51,0))),""),$A339,calendar!$A$2:$A$80)))</f>
        <v/>
      </c>
      <c r="K339" s="30" t="str">
        <f aca="false">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ustomFormat="false" ht="15" hidden="false" customHeight="false" outlineLevel="0" collapsed="false">
      <c r="A340" s="11"/>
      <c r="B340" s="38"/>
      <c r="E340" s="10"/>
      <c r="G340" s="10"/>
      <c r="J340" s="30" t="str">
        <f aca="false">IF(OR($C340="",$A340=""),"",IF($A340&lt;IFERROR(IF(INDEX(campaigns!$BG$2:$BG$51,MATCH($C340,campaigns!$A$2:$A$51,0))="","",INDEX(campaigns!$BG$2:$BG$51,MATCH($C340,campaigns!$A$2:$A$51,0))),""),0,NETWORKDAYS(IFERROR(IF(INDEX(campaigns!$BG$2:$BG$51,MATCH($C340,campaigns!$A$2:$A$51,0))="","",INDEX(campaigns!$BG$2:$BG$51,MATCH($C340,campaigns!$A$2:$A$51,0))),""),$A340,calendar!$A$2:$A$80)))</f>
        <v/>
      </c>
      <c r="K340" s="30" t="str">
        <f aca="false">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ustomFormat="false" ht="15" hidden="false" customHeight="false" outlineLevel="0" collapsed="false">
      <c r="A341" s="11"/>
      <c r="B341" s="38"/>
      <c r="E341" s="10"/>
      <c r="G341" s="10"/>
      <c r="J341" s="30" t="str">
        <f aca="false">IF(OR($C341="",$A341=""),"",IF($A341&lt;IFERROR(IF(INDEX(campaigns!$BG$2:$BG$51,MATCH($C341,campaigns!$A$2:$A$51,0))="","",INDEX(campaigns!$BG$2:$BG$51,MATCH($C341,campaigns!$A$2:$A$51,0))),""),0,NETWORKDAYS(IFERROR(IF(INDEX(campaigns!$BG$2:$BG$51,MATCH($C341,campaigns!$A$2:$A$51,0))="","",INDEX(campaigns!$BG$2:$BG$51,MATCH($C341,campaigns!$A$2:$A$51,0))),""),$A341,calendar!$A$2:$A$80)))</f>
        <v/>
      </c>
      <c r="K341" s="30" t="str">
        <f aca="false">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ustomFormat="false" ht="15" hidden="false" customHeight="false" outlineLevel="0" collapsed="false">
      <c r="A342" s="11"/>
      <c r="B342" s="38"/>
      <c r="E342" s="10"/>
      <c r="G342" s="10"/>
      <c r="J342" s="30" t="str">
        <f aca="false">IF(OR($C342="",$A342=""),"",IF($A342&lt;IFERROR(IF(INDEX(campaigns!$BG$2:$BG$51,MATCH($C342,campaigns!$A$2:$A$51,0))="","",INDEX(campaigns!$BG$2:$BG$51,MATCH($C342,campaigns!$A$2:$A$51,0))),""),0,NETWORKDAYS(IFERROR(IF(INDEX(campaigns!$BG$2:$BG$51,MATCH($C342,campaigns!$A$2:$A$51,0))="","",INDEX(campaigns!$BG$2:$BG$51,MATCH($C342,campaigns!$A$2:$A$51,0))),""),$A342,calendar!$A$2:$A$80)))</f>
        <v/>
      </c>
      <c r="K342" s="30" t="str">
        <f aca="false">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ustomFormat="false" ht="15" hidden="false" customHeight="false" outlineLevel="0" collapsed="false">
      <c r="A343" s="11"/>
      <c r="B343" s="38"/>
      <c r="E343" s="10"/>
      <c r="G343" s="10"/>
      <c r="J343" s="30" t="str">
        <f aca="false">IF(OR($C343="",$A343=""),"",IF($A343&lt;IFERROR(IF(INDEX(campaigns!$BG$2:$BG$51,MATCH($C343,campaigns!$A$2:$A$51,0))="","",INDEX(campaigns!$BG$2:$BG$51,MATCH($C343,campaigns!$A$2:$A$51,0))),""),0,NETWORKDAYS(IFERROR(IF(INDEX(campaigns!$BG$2:$BG$51,MATCH($C343,campaigns!$A$2:$A$51,0))="","",INDEX(campaigns!$BG$2:$BG$51,MATCH($C343,campaigns!$A$2:$A$51,0))),""),$A343,calendar!$A$2:$A$80)))</f>
        <v/>
      </c>
      <c r="K343" s="30" t="str">
        <f aca="false">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ustomFormat="false" ht="15" hidden="false" customHeight="false" outlineLevel="0" collapsed="false">
      <c r="A344" s="11"/>
      <c r="B344" s="38"/>
      <c r="E344" s="10"/>
      <c r="G344" s="10"/>
      <c r="J344" s="30" t="str">
        <f aca="false">IF(OR($C344="",$A344=""),"",IF($A344&lt;IFERROR(IF(INDEX(campaigns!$BG$2:$BG$51,MATCH($C344,campaigns!$A$2:$A$51,0))="","",INDEX(campaigns!$BG$2:$BG$51,MATCH($C344,campaigns!$A$2:$A$51,0))),""),0,NETWORKDAYS(IFERROR(IF(INDEX(campaigns!$BG$2:$BG$51,MATCH($C344,campaigns!$A$2:$A$51,0))="","",INDEX(campaigns!$BG$2:$BG$51,MATCH($C344,campaigns!$A$2:$A$51,0))),""),$A344,calendar!$A$2:$A$80)))</f>
        <v/>
      </c>
      <c r="K344" s="30" t="str">
        <f aca="false">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ustomFormat="false" ht="15" hidden="false" customHeight="false" outlineLevel="0" collapsed="false">
      <c r="A345" s="11"/>
      <c r="B345" s="38"/>
      <c r="E345" s="10"/>
      <c r="G345" s="10"/>
      <c r="J345" s="30" t="str">
        <f aca="false">IF(OR($C345="",$A345=""),"",IF($A345&lt;IFERROR(IF(INDEX(campaigns!$BG$2:$BG$51,MATCH($C345,campaigns!$A$2:$A$51,0))="","",INDEX(campaigns!$BG$2:$BG$51,MATCH($C345,campaigns!$A$2:$A$51,0))),""),0,NETWORKDAYS(IFERROR(IF(INDEX(campaigns!$BG$2:$BG$51,MATCH($C345,campaigns!$A$2:$A$51,0))="","",INDEX(campaigns!$BG$2:$BG$51,MATCH($C345,campaigns!$A$2:$A$51,0))),""),$A345,calendar!$A$2:$A$80)))</f>
        <v/>
      </c>
      <c r="K345" s="30" t="str">
        <f aca="false">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ustomFormat="false" ht="15" hidden="false" customHeight="false" outlineLevel="0" collapsed="false">
      <c r="A346" s="11"/>
      <c r="B346" s="38"/>
      <c r="E346" s="10"/>
      <c r="G346" s="10"/>
      <c r="J346" s="30" t="str">
        <f aca="false">IF(OR($C346="",$A346=""),"",IF($A346&lt;IFERROR(IF(INDEX(campaigns!$BG$2:$BG$51,MATCH($C346,campaigns!$A$2:$A$51,0))="","",INDEX(campaigns!$BG$2:$BG$51,MATCH($C346,campaigns!$A$2:$A$51,0))),""),0,NETWORKDAYS(IFERROR(IF(INDEX(campaigns!$BG$2:$BG$51,MATCH($C346,campaigns!$A$2:$A$51,0))="","",INDEX(campaigns!$BG$2:$BG$51,MATCH($C346,campaigns!$A$2:$A$51,0))),""),$A346,calendar!$A$2:$A$80)))</f>
        <v/>
      </c>
      <c r="K346" s="30" t="str">
        <f aca="false">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ustomFormat="false" ht="15" hidden="false" customHeight="false" outlineLevel="0" collapsed="false">
      <c r="A347" s="11"/>
      <c r="B347" s="38"/>
      <c r="E347" s="10"/>
      <c r="G347" s="10"/>
      <c r="J347" s="30" t="str">
        <f aca="false">IF(OR($C347="",$A347=""),"",IF($A347&lt;IFERROR(IF(INDEX(campaigns!$BG$2:$BG$51,MATCH($C347,campaigns!$A$2:$A$51,0))="","",INDEX(campaigns!$BG$2:$BG$51,MATCH($C347,campaigns!$A$2:$A$51,0))),""),0,NETWORKDAYS(IFERROR(IF(INDEX(campaigns!$BG$2:$BG$51,MATCH($C347,campaigns!$A$2:$A$51,0))="","",INDEX(campaigns!$BG$2:$BG$51,MATCH($C347,campaigns!$A$2:$A$51,0))),""),$A347,calendar!$A$2:$A$80)))</f>
        <v/>
      </c>
      <c r="K347" s="30" t="str">
        <f aca="false">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ustomFormat="false" ht="15" hidden="false" customHeight="false" outlineLevel="0" collapsed="false">
      <c r="A348" s="11"/>
      <c r="B348" s="38"/>
      <c r="E348" s="10"/>
      <c r="G348" s="10"/>
      <c r="J348" s="30" t="str">
        <f aca="false">IF(OR($C348="",$A348=""),"",IF($A348&lt;IFERROR(IF(INDEX(campaigns!$BG$2:$BG$51,MATCH($C348,campaigns!$A$2:$A$51,0))="","",INDEX(campaigns!$BG$2:$BG$51,MATCH($C348,campaigns!$A$2:$A$51,0))),""),0,NETWORKDAYS(IFERROR(IF(INDEX(campaigns!$BG$2:$BG$51,MATCH($C348,campaigns!$A$2:$A$51,0))="","",INDEX(campaigns!$BG$2:$BG$51,MATCH($C348,campaigns!$A$2:$A$51,0))),""),$A348,calendar!$A$2:$A$80)))</f>
        <v/>
      </c>
      <c r="K348" s="30" t="str">
        <f aca="false">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ustomFormat="false" ht="15" hidden="false" customHeight="false" outlineLevel="0" collapsed="false">
      <c r="A349" s="11"/>
      <c r="B349" s="38"/>
      <c r="E349" s="10"/>
      <c r="G349" s="10"/>
      <c r="J349" s="30" t="str">
        <f aca="false">IF(OR($C349="",$A349=""),"",IF($A349&lt;IFERROR(IF(INDEX(campaigns!$BG$2:$BG$51,MATCH($C349,campaigns!$A$2:$A$51,0))="","",INDEX(campaigns!$BG$2:$BG$51,MATCH($C349,campaigns!$A$2:$A$51,0))),""),0,NETWORKDAYS(IFERROR(IF(INDEX(campaigns!$BG$2:$BG$51,MATCH($C349,campaigns!$A$2:$A$51,0))="","",INDEX(campaigns!$BG$2:$BG$51,MATCH($C349,campaigns!$A$2:$A$51,0))),""),$A349,calendar!$A$2:$A$80)))</f>
        <v/>
      </c>
      <c r="K349" s="30" t="str">
        <f aca="false">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ustomFormat="false" ht="15" hidden="false" customHeight="false" outlineLevel="0" collapsed="false">
      <c r="A350" s="11"/>
      <c r="B350" s="38"/>
      <c r="E350" s="10"/>
      <c r="G350" s="10"/>
      <c r="J350" s="30" t="str">
        <f aca="false">IF(OR($C350="",$A350=""),"",IF($A350&lt;IFERROR(IF(INDEX(campaigns!$BG$2:$BG$51,MATCH($C350,campaigns!$A$2:$A$51,0))="","",INDEX(campaigns!$BG$2:$BG$51,MATCH($C350,campaigns!$A$2:$A$51,0))),""),0,NETWORKDAYS(IFERROR(IF(INDEX(campaigns!$BG$2:$BG$51,MATCH($C350,campaigns!$A$2:$A$51,0))="","",INDEX(campaigns!$BG$2:$BG$51,MATCH($C350,campaigns!$A$2:$A$51,0))),""),$A350,calendar!$A$2:$A$80)))</f>
        <v/>
      </c>
      <c r="K350" s="30" t="str">
        <f aca="false">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ustomFormat="false" ht="15" hidden="false" customHeight="false" outlineLevel="0" collapsed="false">
      <c r="A351" s="11"/>
      <c r="B351" s="38"/>
      <c r="E351" s="10"/>
      <c r="G351" s="10"/>
      <c r="J351" s="30" t="str">
        <f aca="false">IF(OR($C351="",$A351=""),"",IF($A351&lt;IFERROR(IF(INDEX(campaigns!$BG$2:$BG$51,MATCH($C351,campaigns!$A$2:$A$51,0))="","",INDEX(campaigns!$BG$2:$BG$51,MATCH($C351,campaigns!$A$2:$A$51,0))),""),0,NETWORKDAYS(IFERROR(IF(INDEX(campaigns!$BG$2:$BG$51,MATCH($C351,campaigns!$A$2:$A$51,0))="","",INDEX(campaigns!$BG$2:$BG$51,MATCH($C351,campaigns!$A$2:$A$51,0))),""),$A351,calendar!$A$2:$A$80)))</f>
        <v/>
      </c>
      <c r="K351" s="30" t="str">
        <f aca="false">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ustomFormat="false" ht="15" hidden="false" customHeight="false" outlineLevel="0" collapsed="false">
      <c r="A352" s="11"/>
      <c r="B352" s="38"/>
      <c r="E352" s="10"/>
      <c r="G352" s="10"/>
      <c r="J352" s="30" t="str">
        <f aca="false">IF(OR($C352="",$A352=""),"",IF($A352&lt;IFERROR(IF(INDEX(campaigns!$BG$2:$BG$51,MATCH($C352,campaigns!$A$2:$A$51,0))="","",INDEX(campaigns!$BG$2:$BG$51,MATCH($C352,campaigns!$A$2:$A$51,0))),""),0,NETWORKDAYS(IFERROR(IF(INDEX(campaigns!$BG$2:$BG$51,MATCH($C352,campaigns!$A$2:$A$51,0))="","",INDEX(campaigns!$BG$2:$BG$51,MATCH($C352,campaigns!$A$2:$A$51,0))),""),$A352,calendar!$A$2:$A$80)))</f>
        <v/>
      </c>
      <c r="K352" s="30" t="str">
        <f aca="false">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ustomFormat="false" ht="15" hidden="false" customHeight="false" outlineLevel="0" collapsed="false">
      <c r="A353" s="11"/>
      <c r="B353" s="38"/>
      <c r="E353" s="10"/>
      <c r="G353" s="10"/>
      <c r="J353" s="30" t="str">
        <f aca="false">IF(OR($C353="",$A353=""),"",IF($A353&lt;IFERROR(IF(INDEX(campaigns!$BG$2:$BG$51,MATCH($C353,campaigns!$A$2:$A$51,0))="","",INDEX(campaigns!$BG$2:$BG$51,MATCH($C353,campaigns!$A$2:$A$51,0))),""),0,NETWORKDAYS(IFERROR(IF(INDEX(campaigns!$BG$2:$BG$51,MATCH($C353,campaigns!$A$2:$A$51,0))="","",INDEX(campaigns!$BG$2:$BG$51,MATCH($C353,campaigns!$A$2:$A$51,0))),""),$A353,calendar!$A$2:$A$80)))</f>
        <v/>
      </c>
      <c r="K353" s="30" t="str">
        <f aca="false">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ustomFormat="false" ht="15" hidden="false" customHeight="false" outlineLevel="0" collapsed="false">
      <c r="A354" s="11"/>
      <c r="B354" s="38"/>
      <c r="E354" s="10"/>
      <c r="G354" s="10"/>
      <c r="J354" s="30" t="str">
        <f aca="false">IF(OR($C354="",$A354=""),"",IF($A354&lt;IFERROR(IF(INDEX(campaigns!$BG$2:$BG$51,MATCH($C354,campaigns!$A$2:$A$51,0))="","",INDEX(campaigns!$BG$2:$BG$51,MATCH($C354,campaigns!$A$2:$A$51,0))),""),0,NETWORKDAYS(IFERROR(IF(INDEX(campaigns!$BG$2:$BG$51,MATCH($C354,campaigns!$A$2:$A$51,0))="","",INDEX(campaigns!$BG$2:$BG$51,MATCH($C354,campaigns!$A$2:$A$51,0))),""),$A354,calendar!$A$2:$A$80)))</f>
        <v/>
      </c>
      <c r="K354" s="30" t="str">
        <f aca="false">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ustomFormat="false" ht="15" hidden="false" customHeight="false" outlineLevel="0" collapsed="false">
      <c r="A355" s="11"/>
      <c r="B355" s="38"/>
      <c r="E355" s="10"/>
      <c r="G355" s="10"/>
      <c r="J355" s="30" t="str">
        <f aca="false">IF(OR($C355="",$A355=""),"",IF($A355&lt;IFERROR(IF(INDEX(campaigns!$BG$2:$BG$51,MATCH($C355,campaigns!$A$2:$A$51,0))="","",INDEX(campaigns!$BG$2:$BG$51,MATCH($C355,campaigns!$A$2:$A$51,0))),""),0,NETWORKDAYS(IFERROR(IF(INDEX(campaigns!$BG$2:$BG$51,MATCH($C355,campaigns!$A$2:$A$51,0))="","",INDEX(campaigns!$BG$2:$BG$51,MATCH($C355,campaigns!$A$2:$A$51,0))),""),$A355,calendar!$A$2:$A$80)))</f>
        <v/>
      </c>
      <c r="K355" s="30" t="str">
        <f aca="false">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ustomFormat="false" ht="15" hidden="false" customHeight="false" outlineLevel="0" collapsed="false">
      <c r="A356" s="11"/>
      <c r="B356" s="38"/>
      <c r="E356" s="10"/>
      <c r="G356" s="10"/>
      <c r="J356" s="30" t="str">
        <f aca="false">IF(OR($C356="",$A356=""),"",IF($A356&lt;IFERROR(IF(INDEX(campaigns!$BG$2:$BG$51,MATCH($C356,campaigns!$A$2:$A$51,0))="","",INDEX(campaigns!$BG$2:$BG$51,MATCH($C356,campaigns!$A$2:$A$51,0))),""),0,NETWORKDAYS(IFERROR(IF(INDEX(campaigns!$BG$2:$BG$51,MATCH($C356,campaigns!$A$2:$A$51,0))="","",INDEX(campaigns!$BG$2:$BG$51,MATCH($C356,campaigns!$A$2:$A$51,0))),""),$A356,calendar!$A$2:$A$80)))</f>
        <v/>
      </c>
      <c r="K356" s="30" t="str">
        <f aca="false">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ustomFormat="false" ht="15" hidden="false" customHeight="false" outlineLevel="0" collapsed="false">
      <c r="A357" s="11"/>
      <c r="B357" s="38"/>
      <c r="E357" s="10"/>
      <c r="G357" s="10"/>
      <c r="J357" s="30" t="str">
        <f aca="false">IF(OR($C357="",$A357=""),"",IF($A357&lt;IFERROR(IF(INDEX(campaigns!$BG$2:$BG$51,MATCH($C357,campaigns!$A$2:$A$51,0))="","",INDEX(campaigns!$BG$2:$BG$51,MATCH($C357,campaigns!$A$2:$A$51,0))),""),0,NETWORKDAYS(IFERROR(IF(INDEX(campaigns!$BG$2:$BG$51,MATCH($C357,campaigns!$A$2:$A$51,0))="","",INDEX(campaigns!$BG$2:$BG$51,MATCH($C357,campaigns!$A$2:$A$51,0))),""),$A357,calendar!$A$2:$A$80)))</f>
        <v/>
      </c>
      <c r="K357" s="30" t="str">
        <f aca="false">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ustomFormat="false" ht="15" hidden="false" customHeight="false" outlineLevel="0" collapsed="false">
      <c r="A358" s="11"/>
      <c r="B358" s="38"/>
      <c r="E358" s="10"/>
      <c r="G358" s="10"/>
      <c r="J358" s="30" t="str">
        <f aca="false">IF(OR($C358="",$A358=""),"",IF($A358&lt;IFERROR(IF(INDEX(campaigns!$BG$2:$BG$51,MATCH($C358,campaigns!$A$2:$A$51,0))="","",INDEX(campaigns!$BG$2:$BG$51,MATCH($C358,campaigns!$A$2:$A$51,0))),""),0,NETWORKDAYS(IFERROR(IF(INDEX(campaigns!$BG$2:$BG$51,MATCH($C358,campaigns!$A$2:$A$51,0))="","",INDEX(campaigns!$BG$2:$BG$51,MATCH($C358,campaigns!$A$2:$A$51,0))),""),$A358,calendar!$A$2:$A$80)))</f>
        <v/>
      </c>
      <c r="K358" s="30" t="str">
        <f aca="false">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ustomFormat="false" ht="15" hidden="false" customHeight="false" outlineLevel="0" collapsed="false">
      <c r="A359" s="11"/>
      <c r="B359" s="38"/>
      <c r="E359" s="10"/>
      <c r="G359" s="10"/>
      <c r="J359" s="30" t="str">
        <f aca="false">IF(OR($C359="",$A359=""),"",IF($A359&lt;IFERROR(IF(INDEX(campaigns!$BG$2:$BG$51,MATCH($C359,campaigns!$A$2:$A$51,0))="","",INDEX(campaigns!$BG$2:$BG$51,MATCH($C359,campaigns!$A$2:$A$51,0))),""),0,NETWORKDAYS(IFERROR(IF(INDEX(campaigns!$BG$2:$BG$51,MATCH($C359,campaigns!$A$2:$A$51,0))="","",INDEX(campaigns!$BG$2:$BG$51,MATCH($C359,campaigns!$A$2:$A$51,0))),""),$A359,calendar!$A$2:$A$80)))</f>
        <v/>
      </c>
      <c r="K359" s="30" t="str">
        <f aca="false">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ustomFormat="false" ht="15" hidden="false" customHeight="false" outlineLevel="0" collapsed="false">
      <c r="A360" s="11"/>
      <c r="B360" s="38"/>
      <c r="E360" s="10"/>
      <c r="G360" s="10"/>
      <c r="J360" s="30" t="str">
        <f aca="false">IF(OR($C360="",$A360=""),"",IF($A360&lt;IFERROR(IF(INDEX(campaigns!$BG$2:$BG$51,MATCH($C360,campaigns!$A$2:$A$51,0))="","",INDEX(campaigns!$BG$2:$BG$51,MATCH($C360,campaigns!$A$2:$A$51,0))),""),0,NETWORKDAYS(IFERROR(IF(INDEX(campaigns!$BG$2:$BG$51,MATCH($C360,campaigns!$A$2:$A$51,0))="","",INDEX(campaigns!$BG$2:$BG$51,MATCH($C360,campaigns!$A$2:$A$51,0))),""),$A360,calendar!$A$2:$A$80)))</f>
        <v/>
      </c>
      <c r="K360" s="30" t="str">
        <f aca="false">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ustomFormat="false" ht="15" hidden="false" customHeight="false" outlineLevel="0" collapsed="false">
      <c r="A361" s="11"/>
      <c r="B361" s="38"/>
      <c r="E361" s="10"/>
      <c r="G361" s="10"/>
      <c r="J361" s="30" t="str">
        <f aca="false">IF(OR($C361="",$A361=""),"",IF($A361&lt;IFERROR(IF(INDEX(campaigns!$BG$2:$BG$51,MATCH($C361,campaigns!$A$2:$A$51,0))="","",INDEX(campaigns!$BG$2:$BG$51,MATCH($C361,campaigns!$A$2:$A$51,0))),""),0,NETWORKDAYS(IFERROR(IF(INDEX(campaigns!$BG$2:$BG$51,MATCH($C361,campaigns!$A$2:$A$51,0))="","",INDEX(campaigns!$BG$2:$BG$51,MATCH($C361,campaigns!$A$2:$A$51,0))),""),$A361,calendar!$A$2:$A$80)))</f>
        <v/>
      </c>
      <c r="K361" s="30" t="str">
        <f aca="false">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ustomFormat="false" ht="15" hidden="false" customHeight="false" outlineLevel="0" collapsed="false">
      <c r="A362" s="11"/>
      <c r="B362" s="38"/>
      <c r="E362" s="10"/>
      <c r="G362" s="10"/>
      <c r="J362" s="30" t="str">
        <f aca="false">IF(OR($C362="",$A362=""),"",IF($A362&lt;IFERROR(IF(INDEX(campaigns!$BG$2:$BG$51,MATCH($C362,campaigns!$A$2:$A$51,0))="","",INDEX(campaigns!$BG$2:$BG$51,MATCH($C362,campaigns!$A$2:$A$51,0))),""),0,NETWORKDAYS(IFERROR(IF(INDEX(campaigns!$BG$2:$BG$51,MATCH($C362,campaigns!$A$2:$A$51,0))="","",INDEX(campaigns!$BG$2:$BG$51,MATCH($C362,campaigns!$A$2:$A$51,0))),""),$A362,calendar!$A$2:$A$80)))</f>
        <v/>
      </c>
      <c r="K362" s="30" t="str">
        <f aca="false">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ustomFormat="false" ht="15" hidden="false" customHeight="false" outlineLevel="0" collapsed="false">
      <c r="A363" s="11"/>
      <c r="B363" s="38"/>
      <c r="E363" s="10"/>
      <c r="G363" s="10"/>
      <c r="J363" s="30" t="str">
        <f aca="false">IF(OR($C363="",$A363=""),"",IF($A363&lt;IFERROR(IF(INDEX(campaigns!$BG$2:$BG$51,MATCH($C363,campaigns!$A$2:$A$51,0))="","",INDEX(campaigns!$BG$2:$BG$51,MATCH($C363,campaigns!$A$2:$A$51,0))),""),0,NETWORKDAYS(IFERROR(IF(INDEX(campaigns!$BG$2:$BG$51,MATCH($C363,campaigns!$A$2:$A$51,0))="","",INDEX(campaigns!$BG$2:$BG$51,MATCH($C363,campaigns!$A$2:$A$51,0))),""),$A363,calendar!$A$2:$A$80)))</f>
        <v/>
      </c>
      <c r="K363" s="30" t="str">
        <f aca="false">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ustomFormat="false" ht="15" hidden="false" customHeight="false" outlineLevel="0" collapsed="false">
      <c r="A364" s="11"/>
      <c r="B364" s="38"/>
      <c r="E364" s="10"/>
      <c r="G364" s="10"/>
      <c r="J364" s="30" t="str">
        <f aca="false">IF(OR($C364="",$A364=""),"",IF($A364&lt;IFERROR(IF(INDEX(campaigns!$BG$2:$BG$51,MATCH($C364,campaigns!$A$2:$A$51,0))="","",INDEX(campaigns!$BG$2:$BG$51,MATCH($C364,campaigns!$A$2:$A$51,0))),""),0,NETWORKDAYS(IFERROR(IF(INDEX(campaigns!$BG$2:$BG$51,MATCH($C364,campaigns!$A$2:$A$51,0))="","",INDEX(campaigns!$BG$2:$BG$51,MATCH($C364,campaigns!$A$2:$A$51,0))),""),$A364,calendar!$A$2:$A$80)))</f>
        <v/>
      </c>
      <c r="K364" s="30" t="str">
        <f aca="false">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ustomFormat="false" ht="15" hidden="false" customHeight="false" outlineLevel="0" collapsed="false">
      <c r="A365" s="11"/>
      <c r="B365" s="38"/>
      <c r="E365" s="10"/>
      <c r="G365" s="10"/>
      <c r="J365" s="30" t="str">
        <f aca="false">IF(OR($C365="",$A365=""),"",IF($A365&lt;IFERROR(IF(INDEX(campaigns!$BG$2:$BG$51,MATCH($C365,campaigns!$A$2:$A$51,0))="","",INDEX(campaigns!$BG$2:$BG$51,MATCH($C365,campaigns!$A$2:$A$51,0))),""),0,NETWORKDAYS(IFERROR(IF(INDEX(campaigns!$BG$2:$BG$51,MATCH($C365,campaigns!$A$2:$A$51,0))="","",INDEX(campaigns!$BG$2:$BG$51,MATCH($C365,campaigns!$A$2:$A$51,0))),""),$A365,calendar!$A$2:$A$80)))</f>
        <v/>
      </c>
      <c r="K365" s="30" t="str">
        <f aca="false">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ustomFormat="false" ht="15" hidden="false" customHeight="false" outlineLevel="0" collapsed="false">
      <c r="A366" s="11"/>
      <c r="B366" s="38"/>
      <c r="E366" s="10"/>
      <c r="G366" s="10"/>
      <c r="J366" s="30" t="str">
        <f aca="false">IF(OR($C366="",$A366=""),"",IF($A366&lt;IFERROR(IF(INDEX(campaigns!$BG$2:$BG$51,MATCH($C366,campaigns!$A$2:$A$51,0))="","",INDEX(campaigns!$BG$2:$BG$51,MATCH($C366,campaigns!$A$2:$A$51,0))),""),0,NETWORKDAYS(IFERROR(IF(INDEX(campaigns!$BG$2:$BG$51,MATCH($C366,campaigns!$A$2:$A$51,0))="","",INDEX(campaigns!$BG$2:$BG$51,MATCH($C366,campaigns!$A$2:$A$51,0))),""),$A366,calendar!$A$2:$A$80)))</f>
        <v/>
      </c>
      <c r="K366" s="30" t="str">
        <f aca="false">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ustomFormat="false" ht="15" hidden="false" customHeight="false" outlineLevel="0" collapsed="false">
      <c r="A367" s="11"/>
      <c r="B367" s="38"/>
      <c r="E367" s="10"/>
      <c r="G367" s="10"/>
      <c r="J367" s="30" t="str">
        <f aca="false">IF(OR($C367="",$A367=""),"",IF($A367&lt;IFERROR(IF(INDEX(campaigns!$BG$2:$BG$51,MATCH($C367,campaigns!$A$2:$A$51,0))="","",INDEX(campaigns!$BG$2:$BG$51,MATCH($C367,campaigns!$A$2:$A$51,0))),""),0,NETWORKDAYS(IFERROR(IF(INDEX(campaigns!$BG$2:$BG$51,MATCH($C367,campaigns!$A$2:$A$51,0))="","",INDEX(campaigns!$BG$2:$BG$51,MATCH($C367,campaigns!$A$2:$A$51,0))),""),$A367,calendar!$A$2:$A$80)))</f>
        <v/>
      </c>
      <c r="K367" s="30" t="str">
        <f aca="false">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ustomFormat="false" ht="15" hidden="false" customHeight="false" outlineLevel="0" collapsed="false">
      <c r="A368" s="11"/>
      <c r="B368" s="38"/>
      <c r="E368" s="10"/>
      <c r="G368" s="10"/>
      <c r="J368" s="30" t="str">
        <f aca="false">IF(OR($C368="",$A368=""),"",IF($A368&lt;IFERROR(IF(INDEX(campaigns!$BG$2:$BG$51,MATCH($C368,campaigns!$A$2:$A$51,0))="","",INDEX(campaigns!$BG$2:$BG$51,MATCH($C368,campaigns!$A$2:$A$51,0))),""),0,NETWORKDAYS(IFERROR(IF(INDEX(campaigns!$BG$2:$BG$51,MATCH($C368,campaigns!$A$2:$A$51,0))="","",INDEX(campaigns!$BG$2:$BG$51,MATCH($C368,campaigns!$A$2:$A$51,0))),""),$A368,calendar!$A$2:$A$80)))</f>
        <v/>
      </c>
      <c r="K368" s="30" t="str">
        <f aca="false">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ustomFormat="false" ht="15" hidden="false" customHeight="false" outlineLevel="0" collapsed="false">
      <c r="A369" s="11"/>
      <c r="B369" s="38"/>
      <c r="E369" s="10"/>
      <c r="G369" s="10"/>
      <c r="J369" s="30" t="str">
        <f aca="false">IF(OR($C369="",$A369=""),"",IF($A369&lt;IFERROR(IF(INDEX(campaigns!$BG$2:$BG$51,MATCH($C369,campaigns!$A$2:$A$51,0))="","",INDEX(campaigns!$BG$2:$BG$51,MATCH($C369,campaigns!$A$2:$A$51,0))),""),0,NETWORKDAYS(IFERROR(IF(INDEX(campaigns!$BG$2:$BG$51,MATCH($C369,campaigns!$A$2:$A$51,0))="","",INDEX(campaigns!$BG$2:$BG$51,MATCH($C369,campaigns!$A$2:$A$51,0))),""),$A369,calendar!$A$2:$A$80)))</f>
        <v/>
      </c>
      <c r="K369" s="30" t="str">
        <f aca="false">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ustomFormat="false" ht="15" hidden="false" customHeight="false" outlineLevel="0" collapsed="false">
      <c r="A370" s="11"/>
      <c r="B370" s="38"/>
      <c r="E370" s="10"/>
      <c r="G370" s="10"/>
      <c r="J370" s="30" t="str">
        <f aca="false">IF(OR($C370="",$A370=""),"",IF($A370&lt;IFERROR(IF(INDEX(campaigns!$BG$2:$BG$51,MATCH($C370,campaigns!$A$2:$A$51,0))="","",INDEX(campaigns!$BG$2:$BG$51,MATCH($C370,campaigns!$A$2:$A$51,0))),""),0,NETWORKDAYS(IFERROR(IF(INDEX(campaigns!$BG$2:$BG$51,MATCH($C370,campaigns!$A$2:$A$51,0))="","",INDEX(campaigns!$BG$2:$BG$51,MATCH($C370,campaigns!$A$2:$A$51,0))),""),$A370,calendar!$A$2:$A$80)))</f>
        <v/>
      </c>
      <c r="K370" s="30" t="str">
        <f aca="false">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ustomFormat="false" ht="15" hidden="false" customHeight="false" outlineLevel="0" collapsed="false">
      <c r="A371" s="11"/>
      <c r="B371" s="38"/>
      <c r="E371" s="10"/>
      <c r="G371" s="10"/>
      <c r="J371" s="30" t="str">
        <f aca="false">IF(OR($C371="",$A371=""),"",IF($A371&lt;IFERROR(IF(INDEX(campaigns!$BG$2:$BG$51,MATCH($C371,campaigns!$A$2:$A$51,0))="","",INDEX(campaigns!$BG$2:$BG$51,MATCH($C371,campaigns!$A$2:$A$51,0))),""),0,NETWORKDAYS(IFERROR(IF(INDEX(campaigns!$BG$2:$BG$51,MATCH($C371,campaigns!$A$2:$A$51,0))="","",INDEX(campaigns!$BG$2:$BG$51,MATCH($C371,campaigns!$A$2:$A$51,0))),""),$A371,calendar!$A$2:$A$80)))</f>
        <v/>
      </c>
      <c r="K371" s="30" t="str">
        <f aca="false">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ustomFormat="false" ht="15" hidden="false" customHeight="false" outlineLevel="0" collapsed="false">
      <c r="A372" s="11"/>
      <c r="B372" s="38"/>
      <c r="E372" s="10"/>
      <c r="G372" s="10"/>
      <c r="J372" s="30" t="str">
        <f aca="false">IF(OR($C372="",$A372=""),"",IF($A372&lt;IFERROR(IF(INDEX(campaigns!$BG$2:$BG$51,MATCH($C372,campaigns!$A$2:$A$51,0))="","",INDEX(campaigns!$BG$2:$BG$51,MATCH($C372,campaigns!$A$2:$A$51,0))),""),0,NETWORKDAYS(IFERROR(IF(INDEX(campaigns!$BG$2:$BG$51,MATCH($C372,campaigns!$A$2:$A$51,0))="","",INDEX(campaigns!$BG$2:$BG$51,MATCH($C372,campaigns!$A$2:$A$51,0))),""),$A372,calendar!$A$2:$A$80)))</f>
        <v/>
      </c>
      <c r="K372" s="30" t="str">
        <f aca="false">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ustomFormat="false" ht="15" hidden="false" customHeight="false" outlineLevel="0" collapsed="false">
      <c r="A373" s="11"/>
      <c r="B373" s="38"/>
      <c r="E373" s="10"/>
      <c r="G373" s="10"/>
      <c r="J373" s="30" t="str">
        <f aca="false">IF(OR($C373="",$A373=""),"",IF($A373&lt;IFERROR(IF(INDEX(campaigns!$BG$2:$BG$51,MATCH($C373,campaigns!$A$2:$A$51,0))="","",INDEX(campaigns!$BG$2:$BG$51,MATCH($C373,campaigns!$A$2:$A$51,0))),""),0,NETWORKDAYS(IFERROR(IF(INDEX(campaigns!$BG$2:$BG$51,MATCH($C373,campaigns!$A$2:$A$51,0))="","",INDEX(campaigns!$BG$2:$BG$51,MATCH($C373,campaigns!$A$2:$A$51,0))),""),$A373,calendar!$A$2:$A$80)))</f>
        <v/>
      </c>
      <c r="K373" s="30" t="str">
        <f aca="false">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ustomFormat="false" ht="15" hidden="false" customHeight="false" outlineLevel="0" collapsed="false">
      <c r="A374" s="11"/>
      <c r="B374" s="38"/>
      <c r="E374" s="10"/>
      <c r="G374" s="10"/>
      <c r="J374" s="30" t="str">
        <f aca="false">IF(OR($C374="",$A374=""),"",IF($A374&lt;IFERROR(IF(INDEX(campaigns!$BG$2:$BG$51,MATCH($C374,campaigns!$A$2:$A$51,0))="","",INDEX(campaigns!$BG$2:$BG$51,MATCH($C374,campaigns!$A$2:$A$51,0))),""),0,NETWORKDAYS(IFERROR(IF(INDEX(campaigns!$BG$2:$BG$51,MATCH($C374,campaigns!$A$2:$A$51,0))="","",INDEX(campaigns!$BG$2:$BG$51,MATCH($C374,campaigns!$A$2:$A$51,0))),""),$A374,calendar!$A$2:$A$80)))</f>
        <v/>
      </c>
      <c r="K374" s="30" t="str">
        <f aca="false">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ustomFormat="false" ht="15" hidden="false" customHeight="false" outlineLevel="0" collapsed="false">
      <c r="A375" s="11"/>
      <c r="B375" s="38"/>
      <c r="E375" s="10"/>
      <c r="G375" s="10"/>
      <c r="J375" s="30" t="str">
        <f aca="false">IF(OR($C375="",$A375=""),"",IF($A375&lt;IFERROR(IF(INDEX(campaigns!$BG$2:$BG$51,MATCH($C375,campaigns!$A$2:$A$51,0))="","",INDEX(campaigns!$BG$2:$BG$51,MATCH($C375,campaigns!$A$2:$A$51,0))),""),0,NETWORKDAYS(IFERROR(IF(INDEX(campaigns!$BG$2:$BG$51,MATCH($C375,campaigns!$A$2:$A$51,0))="","",INDEX(campaigns!$BG$2:$BG$51,MATCH($C375,campaigns!$A$2:$A$51,0))),""),$A375,calendar!$A$2:$A$80)))</f>
        <v/>
      </c>
      <c r="K375" s="30" t="str">
        <f aca="false">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ustomFormat="false" ht="15" hidden="false" customHeight="false" outlineLevel="0" collapsed="false">
      <c r="A376" s="11"/>
      <c r="B376" s="38"/>
      <c r="E376" s="10"/>
      <c r="G376" s="10"/>
      <c r="J376" s="30" t="str">
        <f aca="false">IF(OR($C376="",$A376=""),"",IF($A376&lt;IFERROR(IF(INDEX(campaigns!$BG$2:$BG$51,MATCH($C376,campaigns!$A$2:$A$51,0))="","",INDEX(campaigns!$BG$2:$BG$51,MATCH($C376,campaigns!$A$2:$A$51,0))),""),0,NETWORKDAYS(IFERROR(IF(INDEX(campaigns!$BG$2:$BG$51,MATCH($C376,campaigns!$A$2:$A$51,0))="","",INDEX(campaigns!$BG$2:$BG$51,MATCH($C376,campaigns!$A$2:$A$51,0))),""),$A376,calendar!$A$2:$A$80)))</f>
        <v/>
      </c>
      <c r="K376" s="30" t="str">
        <f aca="false">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ustomFormat="false" ht="15" hidden="false" customHeight="false" outlineLevel="0" collapsed="false">
      <c r="A377" s="11"/>
      <c r="B377" s="38"/>
      <c r="E377" s="10"/>
      <c r="G377" s="10"/>
      <c r="J377" s="30" t="str">
        <f aca="false">IF(OR($C377="",$A377=""),"",IF($A377&lt;IFERROR(IF(INDEX(campaigns!$BG$2:$BG$51,MATCH($C377,campaigns!$A$2:$A$51,0))="","",INDEX(campaigns!$BG$2:$BG$51,MATCH($C377,campaigns!$A$2:$A$51,0))),""),0,NETWORKDAYS(IFERROR(IF(INDEX(campaigns!$BG$2:$BG$51,MATCH($C377,campaigns!$A$2:$A$51,0))="","",INDEX(campaigns!$BG$2:$BG$51,MATCH($C377,campaigns!$A$2:$A$51,0))),""),$A377,calendar!$A$2:$A$80)))</f>
        <v/>
      </c>
      <c r="K377" s="30" t="str">
        <f aca="false">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ustomFormat="false" ht="15" hidden="false" customHeight="false" outlineLevel="0" collapsed="false">
      <c r="A378" s="11"/>
      <c r="B378" s="38"/>
      <c r="E378" s="10"/>
      <c r="G378" s="10"/>
      <c r="J378" s="30" t="str">
        <f aca="false">IF(OR($C378="",$A378=""),"",IF($A378&lt;IFERROR(IF(INDEX(campaigns!$BG$2:$BG$51,MATCH($C378,campaigns!$A$2:$A$51,0))="","",INDEX(campaigns!$BG$2:$BG$51,MATCH($C378,campaigns!$A$2:$A$51,0))),""),0,NETWORKDAYS(IFERROR(IF(INDEX(campaigns!$BG$2:$BG$51,MATCH($C378,campaigns!$A$2:$A$51,0))="","",INDEX(campaigns!$BG$2:$BG$51,MATCH($C378,campaigns!$A$2:$A$51,0))),""),$A378,calendar!$A$2:$A$80)))</f>
        <v/>
      </c>
      <c r="K378" s="30" t="str">
        <f aca="false">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ustomFormat="false" ht="15" hidden="false" customHeight="false" outlineLevel="0" collapsed="false">
      <c r="A379" s="11"/>
      <c r="B379" s="38"/>
      <c r="E379" s="10"/>
      <c r="G379" s="10"/>
      <c r="J379" s="30" t="str">
        <f aca="false">IF(OR($C379="",$A379=""),"",IF($A379&lt;IFERROR(IF(INDEX(campaigns!$BG$2:$BG$51,MATCH($C379,campaigns!$A$2:$A$51,0))="","",INDEX(campaigns!$BG$2:$BG$51,MATCH($C379,campaigns!$A$2:$A$51,0))),""),0,NETWORKDAYS(IFERROR(IF(INDEX(campaigns!$BG$2:$BG$51,MATCH($C379,campaigns!$A$2:$A$51,0))="","",INDEX(campaigns!$BG$2:$BG$51,MATCH($C379,campaigns!$A$2:$A$51,0))),""),$A379,calendar!$A$2:$A$80)))</f>
        <v/>
      </c>
      <c r="K379" s="30" t="str">
        <f aca="false">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ustomFormat="false" ht="15" hidden="false" customHeight="false" outlineLevel="0" collapsed="false">
      <c r="A380" s="11"/>
      <c r="B380" s="38"/>
      <c r="E380" s="10"/>
      <c r="G380" s="10"/>
      <c r="J380" s="30" t="str">
        <f aca="false">IF(OR($C380="",$A380=""),"",IF($A380&lt;IFERROR(IF(INDEX(campaigns!$BG$2:$BG$51,MATCH($C380,campaigns!$A$2:$A$51,0))="","",INDEX(campaigns!$BG$2:$BG$51,MATCH($C380,campaigns!$A$2:$A$51,0))),""),0,NETWORKDAYS(IFERROR(IF(INDEX(campaigns!$BG$2:$BG$51,MATCH($C380,campaigns!$A$2:$A$51,0))="","",INDEX(campaigns!$BG$2:$BG$51,MATCH($C380,campaigns!$A$2:$A$51,0))),""),$A380,calendar!$A$2:$A$80)))</f>
        <v/>
      </c>
      <c r="K380" s="30" t="str">
        <f aca="false">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ustomFormat="false" ht="15" hidden="false" customHeight="false" outlineLevel="0" collapsed="false">
      <c r="A381" s="11"/>
      <c r="B381" s="38"/>
      <c r="E381" s="10"/>
      <c r="G381" s="10"/>
      <c r="J381" s="30" t="str">
        <f aca="false">IF(OR($C381="",$A381=""),"",IF($A381&lt;IFERROR(IF(INDEX(campaigns!$BG$2:$BG$51,MATCH($C381,campaigns!$A$2:$A$51,0))="","",INDEX(campaigns!$BG$2:$BG$51,MATCH($C381,campaigns!$A$2:$A$51,0))),""),0,NETWORKDAYS(IFERROR(IF(INDEX(campaigns!$BG$2:$BG$51,MATCH($C381,campaigns!$A$2:$A$51,0))="","",INDEX(campaigns!$BG$2:$BG$51,MATCH($C381,campaigns!$A$2:$A$51,0))),""),$A381,calendar!$A$2:$A$80)))</f>
        <v/>
      </c>
      <c r="K381" s="30" t="str">
        <f aca="false">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ustomFormat="false" ht="15" hidden="false" customHeight="false" outlineLevel="0" collapsed="false">
      <c r="A382" s="11"/>
      <c r="B382" s="38"/>
      <c r="E382" s="10"/>
      <c r="G382" s="10"/>
      <c r="J382" s="30" t="str">
        <f aca="false">IF(OR($C382="",$A382=""),"",IF($A382&lt;IFERROR(IF(INDEX(campaigns!$BG$2:$BG$51,MATCH($C382,campaigns!$A$2:$A$51,0))="","",INDEX(campaigns!$BG$2:$BG$51,MATCH($C382,campaigns!$A$2:$A$51,0))),""),0,NETWORKDAYS(IFERROR(IF(INDEX(campaigns!$BG$2:$BG$51,MATCH($C382,campaigns!$A$2:$A$51,0))="","",INDEX(campaigns!$BG$2:$BG$51,MATCH($C382,campaigns!$A$2:$A$51,0))),""),$A382,calendar!$A$2:$A$80)))</f>
        <v/>
      </c>
      <c r="K382" s="30" t="str">
        <f aca="false">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ustomFormat="false" ht="15" hidden="false" customHeight="false" outlineLevel="0" collapsed="false">
      <c r="A383" s="11"/>
      <c r="B383" s="38"/>
      <c r="E383" s="10"/>
      <c r="G383" s="10"/>
      <c r="J383" s="30" t="str">
        <f aca="false">IF(OR($C383="",$A383=""),"",IF($A383&lt;IFERROR(IF(INDEX(campaigns!$BG$2:$BG$51,MATCH($C383,campaigns!$A$2:$A$51,0))="","",INDEX(campaigns!$BG$2:$BG$51,MATCH($C383,campaigns!$A$2:$A$51,0))),""),0,NETWORKDAYS(IFERROR(IF(INDEX(campaigns!$BG$2:$BG$51,MATCH($C383,campaigns!$A$2:$A$51,0))="","",INDEX(campaigns!$BG$2:$BG$51,MATCH($C383,campaigns!$A$2:$A$51,0))),""),$A383,calendar!$A$2:$A$80)))</f>
        <v/>
      </c>
      <c r="K383" s="30" t="str">
        <f aca="false">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ustomFormat="false" ht="15" hidden="false" customHeight="false" outlineLevel="0" collapsed="false">
      <c r="A384" s="11"/>
      <c r="B384" s="38"/>
      <c r="E384" s="10"/>
      <c r="G384" s="10"/>
      <c r="J384" s="30" t="str">
        <f aca="false">IF(OR($C384="",$A384=""),"",IF($A384&lt;IFERROR(IF(INDEX(campaigns!$BG$2:$BG$51,MATCH($C384,campaigns!$A$2:$A$51,0))="","",INDEX(campaigns!$BG$2:$BG$51,MATCH($C384,campaigns!$A$2:$A$51,0))),""),0,NETWORKDAYS(IFERROR(IF(INDEX(campaigns!$BG$2:$BG$51,MATCH($C384,campaigns!$A$2:$A$51,0))="","",INDEX(campaigns!$BG$2:$BG$51,MATCH($C384,campaigns!$A$2:$A$51,0))),""),$A384,calendar!$A$2:$A$80)))</f>
        <v/>
      </c>
      <c r="K384" s="30" t="str">
        <f aca="false">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ustomFormat="false" ht="15" hidden="false" customHeight="false" outlineLevel="0" collapsed="false">
      <c r="A385" s="11"/>
      <c r="B385" s="38"/>
      <c r="E385" s="10"/>
      <c r="G385" s="10"/>
      <c r="J385" s="30" t="str">
        <f aca="false">IF(OR($C385="",$A385=""),"",IF($A385&lt;IFERROR(IF(INDEX(campaigns!$BG$2:$BG$51,MATCH($C385,campaigns!$A$2:$A$51,0))="","",INDEX(campaigns!$BG$2:$BG$51,MATCH($C385,campaigns!$A$2:$A$51,0))),""),0,NETWORKDAYS(IFERROR(IF(INDEX(campaigns!$BG$2:$BG$51,MATCH($C385,campaigns!$A$2:$A$51,0))="","",INDEX(campaigns!$BG$2:$BG$51,MATCH($C385,campaigns!$A$2:$A$51,0))),""),$A385,calendar!$A$2:$A$80)))</f>
        <v/>
      </c>
      <c r="K385" s="30" t="str">
        <f aca="false">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ustomFormat="false" ht="15" hidden="false" customHeight="false" outlineLevel="0" collapsed="false">
      <c r="A386" s="11"/>
      <c r="B386" s="38"/>
      <c r="E386" s="10"/>
      <c r="G386" s="10"/>
      <c r="J386" s="30" t="str">
        <f aca="false">IF(OR($C386="",$A386=""),"",IF($A386&lt;IFERROR(IF(INDEX(campaigns!$BG$2:$BG$51,MATCH($C386,campaigns!$A$2:$A$51,0))="","",INDEX(campaigns!$BG$2:$BG$51,MATCH($C386,campaigns!$A$2:$A$51,0))),""),0,NETWORKDAYS(IFERROR(IF(INDEX(campaigns!$BG$2:$BG$51,MATCH($C386,campaigns!$A$2:$A$51,0))="","",INDEX(campaigns!$BG$2:$BG$51,MATCH($C386,campaigns!$A$2:$A$51,0))),""),$A386,calendar!$A$2:$A$80)))</f>
        <v/>
      </c>
      <c r="K386" s="30" t="str">
        <f aca="false">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ustomFormat="false" ht="15" hidden="false" customHeight="false" outlineLevel="0" collapsed="false">
      <c r="A387" s="11"/>
      <c r="B387" s="38"/>
      <c r="E387" s="10"/>
      <c r="G387" s="10"/>
      <c r="J387" s="30" t="str">
        <f aca="false">IF(OR($C387="",$A387=""),"",IF($A387&lt;IFERROR(IF(INDEX(campaigns!$BG$2:$BG$51,MATCH($C387,campaigns!$A$2:$A$51,0))="","",INDEX(campaigns!$BG$2:$BG$51,MATCH($C387,campaigns!$A$2:$A$51,0))),""),0,NETWORKDAYS(IFERROR(IF(INDEX(campaigns!$BG$2:$BG$51,MATCH($C387,campaigns!$A$2:$A$51,0))="","",INDEX(campaigns!$BG$2:$BG$51,MATCH($C387,campaigns!$A$2:$A$51,0))),""),$A387,calendar!$A$2:$A$80)))</f>
        <v/>
      </c>
      <c r="K387" s="30" t="str">
        <f aca="false">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ustomFormat="false" ht="15" hidden="false" customHeight="false" outlineLevel="0" collapsed="false">
      <c r="A388" s="11"/>
      <c r="B388" s="38"/>
      <c r="E388" s="10"/>
      <c r="G388" s="10"/>
      <c r="J388" s="30" t="str">
        <f aca="false">IF(OR($C388="",$A388=""),"",IF($A388&lt;IFERROR(IF(INDEX(campaigns!$BG$2:$BG$51,MATCH($C388,campaigns!$A$2:$A$51,0))="","",INDEX(campaigns!$BG$2:$BG$51,MATCH($C388,campaigns!$A$2:$A$51,0))),""),0,NETWORKDAYS(IFERROR(IF(INDEX(campaigns!$BG$2:$BG$51,MATCH($C388,campaigns!$A$2:$A$51,0))="","",INDEX(campaigns!$BG$2:$BG$51,MATCH($C388,campaigns!$A$2:$A$51,0))),""),$A388,calendar!$A$2:$A$80)))</f>
        <v/>
      </c>
      <c r="K388" s="30" t="str">
        <f aca="false">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ustomFormat="false" ht="15" hidden="false" customHeight="false" outlineLevel="0" collapsed="false">
      <c r="A389" s="11"/>
      <c r="B389" s="38"/>
      <c r="E389" s="10"/>
      <c r="G389" s="10"/>
      <c r="J389" s="30" t="str">
        <f aca="false">IF(OR($C389="",$A389=""),"",IF($A389&lt;IFERROR(IF(INDEX(campaigns!$BG$2:$BG$51,MATCH($C389,campaigns!$A$2:$A$51,0))="","",INDEX(campaigns!$BG$2:$BG$51,MATCH($C389,campaigns!$A$2:$A$51,0))),""),0,NETWORKDAYS(IFERROR(IF(INDEX(campaigns!$BG$2:$BG$51,MATCH($C389,campaigns!$A$2:$A$51,0))="","",INDEX(campaigns!$BG$2:$BG$51,MATCH($C389,campaigns!$A$2:$A$51,0))),""),$A389,calendar!$A$2:$A$80)))</f>
        <v/>
      </c>
      <c r="K389" s="30" t="str">
        <f aca="false">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ustomFormat="false" ht="15" hidden="false" customHeight="false" outlineLevel="0" collapsed="false">
      <c r="A390" s="11"/>
      <c r="B390" s="38"/>
      <c r="E390" s="10"/>
      <c r="G390" s="10"/>
      <c r="J390" s="30" t="str">
        <f aca="false">IF(OR($C390="",$A390=""),"",IF($A390&lt;IFERROR(IF(INDEX(campaigns!$BG$2:$BG$51,MATCH($C390,campaigns!$A$2:$A$51,0))="","",INDEX(campaigns!$BG$2:$BG$51,MATCH($C390,campaigns!$A$2:$A$51,0))),""),0,NETWORKDAYS(IFERROR(IF(INDEX(campaigns!$BG$2:$BG$51,MATCH($C390,campaigns!$A$2:$A$51,0))="","",INDEX(campaigns!$BG$2:$BG$51,MATCH($C390,campaigns!$A$2:$A$51,0))),""),$A390,calendar!$A$2:$A$80)))</f>
        <v/>
      </c>
      <c r="K390" s="30" t="str">
        <f aca="false">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ustomFormat="false" ht="15" hidden="false" customHeight="false" outlineLevel="0" collapsed="false">
      <c r="A391" s="11"/>
      <c r="B391" s="38"/>
      <c r="E391" s="10"/>
      <c r="G391" s="10"/>
      <c r="J391" s="30" t="str">
        <f aca="false">IF(OR($C391="",$A391=""),"",IF($A391&lt;IFERROR(IF(INDEX(campaigns!$BG$2:$BG$51,MATCH($C391,campaigns!$A$2:$A$51,0))="","",INDEX(campaigns!$BG$2:$BG$51,MATCH($C391,campaigns!$A$2:$A$51,0))),""),0,NETWORKDAYS(IFERROR(IF(INDEX(campaigns!$BG$2:$BG$51,MATCH($C391,campaigns!$A$2:$A$51,0))="","",INDEX(campaigns!$BG$2:$BG$51,MATCH($C391,campaigns!$A$2:$A$51,0))),""),$A391,calendar!$A$2:$A$80)))</f>
        <v/>
      </c>
      <c r="K391" s="30" t="str">
        <f aca="false">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ustomFormat="false" ht="15" hidden="false" customHeight="false" outlineLevel="0" collapsed="false">
      <c r="A392" s="11"/>
      <c r="B392" s="38"/>
      <c r="E392" s="10"/>
      <c r="G392" s="10"/>
      <c r="J392" s="30" t="str">
        <f aca="false">IF(OR($C392="",$A392=""),"",IF($A392&lt;IFERROR(IF(INDEX(campaigns!$BG$2:$BG$51,MATCH($C392,campaigns!$A$2:$A$51,0))="","",INDEX(campaigns!$BG$2:$BG$51,MATCH($C392,campaigns!$A$2:$A$51,0))),""),0,NETWORKDAYS(IFERROR(IF(INDEX(campaigns!$BG$2:$BG$51,MATCH($C392,campaigns!$A$2:$A$51,0))="","",INDEX(campaigns!$BG$2:$BG$51,MATCH($C392,campaigns!$A$2:$A$51,0))),""),$A392,calendar!$A$2:$A$80)))</f>
        <v/>
      </c>
      <c r="K392" s="30" t="str">
        <f aca="false">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ustomFormat="false" ht="15" hidden="false" customHeight="false" outlineLevel="0" collapsed="false">
      <c r="A393" s="11"/>
      <c r="B393" s="38"/>
      <c r="E393" s="10"/>
      <c r="G393" s="10"/>
      <c r="J393" s="30" t="str">
        <f aca="false">IF(OR($C393="",$A393=""),"",IF($A393&lt;IFERROR(IF(INDEX(campaigns!$BG$2:$BG$51,MATCH($C393,campaigns!$A$2:$A$51,0))="","",INDEX(campaigns!$BG$2:$BG$51,MATCH($C393,campaigns!$A$2:$A$51,0))),""),0,NETWORKDAYS(IFERROR(IF(INDEX(campaigns!$BG$2:$BG$51,MATCH($C393,campaigns!$A$2:$A$51,0))="","",INDEX(campaigns!$BG$2:$BG$51,MATCH($C393,campaigns!$A$2:$A$51,0))),""),$A393,calendar!$A$2:$A$80)))</f>
        <v/>
      </c>
      <c r="K393" s="30" t="str">
        <f aca="false">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ustomFormat="false" ht="15" hidden="false" customHeight="false" outlineLevel="0" collapsed="false">
      <c r="A394" s="11"/>
      <c r="B394" s="38"/>
      <c r="E394" s="10"/>
      <c r="G394" s="10"/>
      <c r="J394" s="30" t="str">
        <f aca="false">IF(OR($C394="",$A394=""),"",IF($A394&lt;IFERROR(IF(INDEX(campaigns!$BG$2:$BG$51,MATCH($C394,campaigns!$A$2:$A$51,0))="","",INDEX(campaigns!$BG$2:$BG$51,MATCH($C394,campaigns!$A$2:$A$51,0))),""),0,NETWORKDAYS(IFERROR(IF(INDEX(campaigns!$BG$2:$BG$51,MATCH($C394,campaigns!$A$2:$A$51,0))="","",INDEX(campaigns!$BG$2:$BG$51,MATCH($C394,campaigns!$A$2:$A$51,0))),""),$A394,calendar!$A$2:$A$80)))</f>
        <v/>
      </c>
      <c r="K394" s="30" t="str">
        <f aca="false">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ustomFormat="false" ht="15" hidden="false" customHeight="false" outlineLevel="0" collapsed="false">
      <c r="A395" s="11"/>
      <c r="B395" s="38"/>
      <c r="E395" s="10"/>
      <c r="G395" s="10"/>
      <c r="J395" s="30" t="str">
        <f aca="false">IF(OR($C395="",$A395=""),"",IF($A395&lt;IFERROR(IF(INDEX(campaigns!$BG$2:$BG$51,MATCH($C395,campaigns!$A$2:$A$51,0))="","",INDEX(campaigns!$BG$2:$BG$51,MATCH($C395,campaigns!$A$2:$A$51,0))),""),0,NETWORKDAYS(IFERROR(IF(INDEX(campaigns!$BG$2:$BG$51,MATCH($C395,campaigns!$A$2:$A$51,0))="","",INDEX(campaigns!$BG$2:$BG$51,MATCH($C395,campaigns!$A$2:$A$51,0))),""),$A395,calendar!$A$2:$A$80)))</f>
        <v/>
      </c>
      <c r="K395" s="30" t="str">
        <f aca="false">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ustomFormat="false" ht="15" hidden="false" customHeight="false" outlineLevel="0" collapsed="false">
      <c r="A396" s="11"/>
      <c r="B396" s="38"/>
      <c r="E396" s="10"/>
      <c r="G396" s="10"/>
      <c r="J396" s="30" t="str">
        <f aca="false">IF(OR($C396="",$A396=""),"",IF($A396&lt;IFERROR(IF(INDEX(campaigns!$BG$2:$BG$51,MATCH($C396,campaigns!$A$2:$A$51,0))="","",INDEX(campaigns!$BG$2:$BG$51,MATCH($C396,campaigns!$A$2:$A$51,0))),""),0,NETWORKDAYS(IFERROR(IF(INDEX(campaigns!$BG$2:$BG$51,MATCH($C396,campaigns!$A$2:$A$51,0))="","",INDEX(campaigns!$BG$2:$BG$51,MATCH($C396,campaigns!$A$2:$A$51,0))),""),$A396,calendar!$A$2:$A$80)))</f>
        <v/>
      </c>
      <c r="K396" s="30" t="str">
        <f aca="false">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ustomFormat="false" ht="15" hidden="false" customHeight="false" outlineLevel="0" collapsed="false">
      <c r="A397" s="11"/>
      <c r="B397" s="38"/>
      <c r="E397" s="10"/>
      <c r="G397" s="10"/>
      <c r="J397" s="30" t="str">
        <f aca="false">IF(OR($C397="",$A397=""),"",IF($A397&lt;IFERROR(IF(INDEX(campaigns!$BG$2:$BG$51,MATCH($C397,campaigns!$A$2:$A$51,0))="","",INDEX(campaigns!$BG$2:$BG$51,MATCH($C397,campaigns!$A$2:$A$51,0))),""),0,NETWORKDAYS(IFERROR(IF(INDEX(campaigns!$BG$2:$BG$51,MATCH($C397,campaigns!$A$2:$A$51,0))="","",INDEX(campaigns!$BG$2:$BG$51,MATCH($C397,campaigns!$A$2:$A$51,0))),""),$A397,calendar!$A$2:$A$80)))</f>
        <v/>
      </c>
      <c r="K397" s="30" t="str">
        <f aca="false">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ustomFormat="false" ht="15" hidden="false" customHeight="false" outlineLevel="0" collapsed="false">
      <c r="A398" s="11"/>
      <c r="B398" s="38"/>
      <c r="E398" s="10"/>
      <c r="G398" s="10"/>
      <c r="J398" s="30" t="str">
        <f aca="false">IF(OR($C398="",$A398=""),"",IF($A398&lt;IFERROR(IF(INDEX(campaigns!$BG$2:$BG$51,MATCH($C398,campaigns!$A$2:$A$51,0))="","",INDEX(campaigns!$BG$2:$BG$51,MATCH($C398,campaigns!$A$2:$A$51,0))),""),0,NETWORKDAYS(IFERROR(IF(INDEX(campaigns!$BG$2:$BG$51,MATCH($C398,campaigns!$A$2:$A$51,0))="","",INDEX(campaigns!$BG$2:$BG$51,MATCH($C398,campaigns!$A$2:$A$51,0))),""),$A398,calendar!$A$2:$A$80)))</f>
        <v/>
      </c>
      <c r="K398" s="30" t="str">
        <f aca="false">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ustomFormat="false" ht="15" hidden="false" customHeight="false" outlineLevel="0" collapsed="false">
      <c r="A399" s="11"/>
      <c r="B399" s="38"/>
      <c r="E399" s="10"/>
      <c r="G399" s="10"/>
      <c r="J399" s="30" t="str">
        <f aca="false">IF(OR($C399="",$A399=""),"",IF($A399&lt;IFERROR(IF(INDEX(campaigns!$BG$2:$BG$51,MATCH($C399,campaigns!$A$2:$A$51,0))="","",INDEX(campaigns!$BG$2:$BG$51,MATCH($C399,campaigns!$A$2:$A$51,0))),""),0,NETWORKDAYS(IFERROR(IF(INDEX(campaigns!$BG$2:$BG$51,MATCH($C399,campaigns!$A$2:$A$51,0))="","",INDEX(campaigns!$BG$2:$BG$51,MATCH($C399,campaigns!$A$2:$A$51,0))),""),$A399,calendar!$A$2:$A$80)))</f>
        <v/>
      </c>
      <c r="K399" s="30" t="str">
        <f aca="false">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ustomFormat="false" ht="15" hidden="false" customHeight="false" outlineLevel="0" collapsed="false">
      <c r="A400" s="11"/>
      <c r="B400" s="38"/>
      <c r="E400" s="10"/>
      <c r="G400" s="10"/>
      <c r="J400" s="30" t="str">
        <f aca="false">IF(OR($C400="",$A400=""),"",IF($A400&lt;IFERROR(IF(INDEX(campaigns!$BG$2:$BG$51,MATCH($C400,campaigns!$A$2:$A$51,0))="","",INDEX(campaigns!$BG$2:$BG$51,MATCH($C400,campaigns!$A$2:$A$51,0))),""),0,NETWORKDAYS(IFERROR(IF(INDEX(campaigns!$BG$2:$BG$51,MATCH($C400,campaigns!$A$2:$A$51,0))="","",INDEX(campaigns!$BG$2:$BG$51,MATCH($C400,campaigns!$A$2:$A$51,0))),""),$A400,calendar!$A$2:$A$80)))</f>
        <v/>
      </c>
      <c r="K400" s="30" t="str">
        <f aca="false">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ustomFormat="false" ht="15" hidden="false" customHeight="false" outlineLevel="0" collapsed="false">
      <c r="A401" s="11"/>
      <c r="B401" s="38"/>
      <c r="E401" s="10"/>
      <c r="G401" s="10"/>
      <c r="J401" s="30" t="str">
        <f aca="false">IF(OR($C401="",$A401=""),"",IF($A401&lt;IFERROR(IF(INDEX(campaigns!$BG$2:$BG$51,MATCH($C401,campaigns!$A$2:$A$51,0))="","",INDEX(campaigns!$BG$2:$BG$51,MATCH($C401,campaigns!$A$2:$A$51,0))),""),0,NETWORKDAYS(IFERROR(IF(INDEX(campaigns!$BG$2:$BG$51,MATCH($C401,campaigns!$A$2:$A$51,0))="","",INDEX(campaigns!$BG$2:$BG$51,MATCH($C401,campaigns!$A$2:$A$51,0))),""),$A401,calendar!$A$2:$A$80)))</f>
        <v/>
      </c>
      <c r="K401" s="30" t="str">
        <f aca="false">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ustomFormat="false" ht="15" hidden="false" customHeight="false" outlineLevel="0" collapsed="false">
      <c r="A402" s="11"/>
      <c r="B402" s="38"/>
      <c r="E402" s="10"/>
      <c r="G402" s="10"/>
      <c r="J402" s="30" t="str">
        <f aca="false">IF(OR($C402="",$A402=""),"",IF($A402&lt;IFERROR(IF(INDEX(campaigns!$BG$2:$BG$51,MATCH($C402,campaigns!$A$2:$A$51,0))="","",INDEX(campaigns!$BG$2:$BG$51,MATCH($C402,campaigns!$A$2:$A$51,0))),""),0,NETWORKDAYS(IFERROR(IF(INDEX(campaigns!$BG$2:$BG$51,MATCH($C402,campaigns!$A$2:$A$51,0))="","",INDEX(campaigns!$BG$2:$BG$51,MATCH($C402,campaigns!$A$2:$A$51,0))),""),$A402,calendar!$A$2:$A$80)))</f>
        <v/>
      </c>
      <c r="K402" s="30" t="str">
        <f aca="false">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ustomFormat="false" ht="15" hidden="false" customHeight="false" outlineLevel="0" collapsed="false">
      <c r="A403" s="11"/>
      <c r="B403" s="38"/>
      <c r="E403" s="10"/>
      <c r="G403" s="10"/>
      <c r="J403" s="30" t="str">
        <f aca="false">IF(OR($C403="",$A403=""),"",IF($A403&lt;IFERROR(IF(INDEX(campaigns!$BG$2:$BG$51,MATCH($C403,campaigns!$A$2:$A$51,0))="","",INDEX(campaigns!$BG$2:$BG$51,MATCH($C403,campaigns!$A$2:$A$51,0))),""),0,NETWORKDAYS(IFERROR(IF(INDEX(campaigns!$BG$2:$BG$51,MATCH($C403,campaigns!$A$2:$A$51,0))="","",INDEX(campaigns!$BG$2:$BG$51,MATCH($C403,campaigns!$A$2:$A$51,0))),""),$A403,calendar!$A$2:$A$80)))</f>
        <v/>
      </c>
      <c r="K403" s="30" t="str">
        <f aca="false">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ustomFormat="false" ht="15" hidden="false" customHeight="false" outlineLevel="0" collapsed="false">
      <c r="A404" s="11"/>
      <c r="B404" s="38"/>
      <c r="E404" s="10"/>
      <c r="G404" s="10"/>
      <c r="J404" s="30" t="str">
        <f aca="false">IF(OR($C404="",$A404=""),"",IF($A404&lt;IFERROR(IF(INDEX(campaigns!$BG$2:$BG$51,MATCH($C404,campaigns!$A$2:$A$51,0))="","",INDEX(campaigns!$BG$2:$BG$51,MATCH($C404,campaigns!$A$2:$A$51,0))),""),0,NETWORKDAYS(IFERROR(IF(INDEX(campaigns!$BG$2:$BG$51,MATCH($C404,campaigns!$A$2:$A$51,0))="","",INDEX(campaigns!$BG$2:$BG$51,MATCH($C404,campaigns!$A$2:$A$51,0))),""),$A404,calendar!$A$2:$A$80)))</f>
        <v/>
      </c>
      <c r="K404" s="30" t="str">
        <f aca="false">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ustomFormat="false" ht="15" hidden="false" customHeight="false" outlineLevel="0" collapsed="false">
      <c r="A405" s="11"/>
      <c r="B405" s="38"/>
      <c r="E405" s="10"/>
      <c r="G405" s="10"/>
      <c r="J405" s="30" t="str">
        <f aca="false">IF(OR($C405="",$A405=""),"",IF($A405&lt;IFERROR(IF(INDEX(campaigns!$BG$2:$BG$51,MATCH($C405,campaigns!$A$2:$A$51,0))="","",INDEX(campaigns!$BG$2:$BG$51,MATCH($C405,campaigns!$A$2:$A$51,0))),""),0,NETWORKDAYS(IFERROR(IF(INDEX(campaigns!$BG$2:$BG$51,MATCH($C405,campaigns!$A$2:$A$51,0))="","",INDEX(campaigns!$BG$2:$BG$51,MATCH($C405,campaigns!$A$2:$A$51,0))),""),$A405,calendar!$A$2:$A$80)))</f>
        <v/>
      </c>
      <c r="K405" s="30" t="str">
        <f aca="false">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ustomFormat="false" ht="15" hidden="false" customHeight="false" outlineLevel="0" collapsed="false">
      <c r="A406" s="11"/>
      <c r="B406" s="38"/>
      <c r="E406" s="10"/>
      <c r="G406" s="10"/>
      <c r="J406" s="30" t="str">
        <f aca="false">IF(OR($C406="",$A406=""),"",IF($A406&lt;IFERROR(IF(INDEX(campaigns!$BG$2:$BG$51,MATCH($C406,campaigns!$A$2:$A$51,0))="","",INDEX(campaigns!$BG$2:$BG$51,MATCH($C406,campaigns!$A$2:$A$51,0))),""),0,NETWORKDAYS(IFERROR(IF(INDEX(campaigns!$BG$2:$BG$51,MATCH($C406,campaigns!$A$2:$A$51,0))="","",INDEX(campaigns!$BG$2:$BG$51,MATCH($C406,campaigns!$A$2:$A$51,0))),""),$A406,calendar!$A$2:$A$80)))</f>
        <v/>
      </c>
      <c r="K406" s="30" t="str">
        <f aca="false">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ustomFormat="false" ht="15" hidden="false" customHeight="false" outlineLevel="0" collapsed="false">
      <c r="A407" s="11"/>
      <c r="B407" s="38"/>
      <c r="E407" s="10"/>
      <c r="G407" s="10"/>
      <c r="J407" s="30" t="str">
        <f aca="false">IF(OR($C407="",$A407=""),"",IF($A407&lt;IFERROR(IF(INDEX(campaigns!$BG$2:$BG$51,MATCH($C407,campaigns!$A$2:$A$51,0))="","",INDEX(campaigns!$BG$2:$BG$51,MATCH($C407,campaigns!$A$2:$A$51,0))),""),0,NETWORKDAYS(IFERROR(IF(INDEX(campaigns!$BG$2:$BG$51,MATCH($C407,campaigns!$A$2:$A$51,0))="","",INDEX(campaigns!$BG$2:$BG$51,MATCH($C407,campaigns!$A$2:$A$51,0))),""),$A407,calendar!$A$2:$A$80)))</f>
        <v/>
      </c>
      <c r="K407" s="30" t="str">
        <f aca="false">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ustomFormat="false" ht="15" hidden="false" customHeight="false" outlineLevel="0" collapsed="false">
      <c r="A408" s="11"/>
      <c r="B408" s="38"/>
      <c r="E408" s="10"/>
      <c r="G408" s="10"/>
      <c r="J408" s="30" t="str">
        <f aca="false">IF(OR($C408="",$A408=""),"",IF($A408&lt;IFERROR(IF(INDEX(campaigns!$BG$2:$BG$51,MATCH($C408,campaigns!$A$2:$A$51,0))="","",INDEX(campaigns!$BG$2:$BG$51,MATCH($C408,campaigns!$A$2:$A$51,0))),""),0,NETWORKDAYS(IFERROR(IF(INDEX(campaigns!$BG$2:$BG$51,MATCH($C408,campaigns!$A$2:$A$51,0))="","",INDEX(campaigns!$BG$2:$BG$51,MATCH($C408,campaigns!$A$2:$A$51,0))),""),$A408,calendar!$A$2:$A$80)))</f>
        <v/>
      </c>
      <c r="K408" s="30" t="str">
        <f aca="false">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ustomFormat="false" ht="15" hidden="false" customHeight="false" outlineLevel="0" collapsed="false">
      <c r="A409" s="11"/>
      <c r="B409" s="38"/>
      <c r="E409" s="10"/>
      <c r="G409" s="10"/>
      <c r="J409" s="30" t="str">
        <f aca="false">IF(OR($C409="",$A409=""),"",IF($A409&lt;IFERROR(IF(INDEX(campaigns!$BG$2:$BG$51,MATCH($C409,campaigns!$A$2:$A$51,0))="","",INDEX(campaigns!$BG$2:$BG$51,MATCH($C409,campaigns!$A$2:$A$51,0))),""),0,NETWORKDAYS(IFERROR(IF(INDEX(campaigns!$BG$2:$BG$51,MATCH($C409,campaigns!$A$2:$A$51,0))="","",INDEX(campaigns!$BG$2:$BG$51,MATCH($C409,campaigns!$A$2:$A$51,0))),""),$A409,calendar!$A$2:$A$80)))</f>
        <v/>
      </c>
      <c r="K409" s="30" t="str">
        <f aca="false">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ustomFormat="false" ht="15" hidden="false" customHeight="false" outlineLevel="0" collapsed="false">
      <c r="A410" s="11"/>
      <c r="B410" s="38"/>
      <c r="E410" s="10"/>
      <c r="G410" s="10"/>
      <c r="J410" s="30" t="str">
        <f aca="false">IF(OR($C410="",$A410=""),"",IF($A410&lt;IFERROR(IF(INDEX(campaigns!$BG$2:$BG$51,MATCH($C410,campaigns!$A$2:$A$51,0))="","",INDEX(campaigns!$BG$2:$BG$51,MATCH($C410,campaigns!$A$2:$A$51,0))),""),0,NETWORKDAYS(IFERROR(IF(INDEX(campaigns!$BG$2:$BG$51,MATCH($C410,campaigns!$A$2:$A$51,0))="","",INDEX(campaigns!$BG$2:$BG$51,MATCH($C410,campaigns!$A$2:$A$51,0))),""),$A410,calendar!$A$2:$A$80)))</f>
        <v/>
      </c>
      <c r="K410" s="30" t="str">
        <f aca="false">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ustomFormat="false" ht="15" hidden="false" customHeight="false" outlineLevel="0" collapsed="false">
      <c r="A411" s="11"/>
      <c r="B411" s="38"/>
      <c r="E411" s="10"/>
      <c r="G411" s="10"/>
      <c r="J411" s="30" t="str">
        <f aca="false">IF(OR($C411="",$A411=""),"",IF($A411&lt;IFERROR(IF(INDEX(campaigns!$BG$2:$BG$51,MATCH($C411,campaigns!$A$2:$A$51,0))="","",INDEX(campaigns!$BG$2:$BG$51,MATCH($C411,campaigns!$A$2:$A$51,0))),""),0,NETWORKDAYS(IFERROR(IF(INDEX(campaigns!$BG$2:$BG$51,MATCH($C411,campaigns!$A$2:$A$51,0))="","",INDEX(campaigns!$BG$2:$BG$51,MATCH($C411,campaigns!$A$2:$A$51,0))),""),$A411,calendar!$A$2:$A$80)))</f>
        <v/>
      </c>
      <c r="K411" s="30" t="str">
        <f aca="false">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ustomFormat="false" ht="15" hidden="false" customHeight="false" outlineLevel="0" collapsed="false">
      <c r="A412" s="11"/>
      <c r="B412" s="38"/>
      <c r="E412" s="10"/>
      <c r="G412" s="10"/>
      <c r="J412" s="30" t="str">
        <f aca="false">IF(OR($C412="",$A412=""),"",IF($A412&lt;IFERROR(IF(INDEX(campaigns!$BG$2:$BG$51,MATCH($C412,campaigns!$A$2:$A$51,0))="","",INDEX(campaigns!$BG$2:$BG$51,MATCH($C412,campaigns!$A$2:$A$51,0))),""),0,NETWORKDAYS(IFERROR(IF(INDEX(campaigns!$BG$2:$BG$51,MATCH($C412,campaigns!$A$2:$A$51,0))="","",INDEX(campaigns!$BG$2:$BG$51,MATCH($C412,campaigns!$A$2:$A$51,0))),""),$A412,calendar!$A$2:$A$80)))</f>
        <v/>
      </c>
      <c r="K412" s="30" t="str">
        <f aca="false">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ustomFormat="false" ht="15" hidden="false" customHeight="false" outlineLevel="0" collapsed="false">
      <c r="A413" s="11"/>
      <c r="B413" s="38"/>
      <c r="E413" s="10"/>
      <c r="G413" s="10"/>
      <c r="J413" s="30" t="str">
        <f aca="false">IF(OR($C413="",$A413=""),"",IF($A413&lt;IFERROR(IF(INDEX(campaigns!$BG$2:$BG$51,MATCH($C413,campaigns!$A$2:$A$51,0))="","",INDEX(campaigns!$BG$2:$BG$51,MATCH($C413,campaigns!$A$2:$A$51,0))),""),0,NETWORKDAYS(IFERROR(IF(INDEX(campaigns!$BG$2:$BG$51,MATCH($C413,campaigns!$A$2:$A$51,0))="","",INDEX(campaigns!$BG$2:$BG$51,MATCH($C413,campaigns!$A$2:$A$51,0))),""),$A413,calendar!$A$2:$A$80)))</f>
        <v/>
      </c>
      <c r="K413" s="30" t="str">
        <f aca="false">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ustomFormat="false" ht="15" hidden="false" customHeight="false" outlineLevel="0" collapsed="false">
      <c r="A414" s="11"/>
      <c r="B414" s="38"/>
      <c r="E414" s="10"/>
      <c r="G414" s="10"/>
      <c r="J414" s="30" t="str">
        <f aca="false">IF(OR($C414="",$A414=""),"",IF($A414&lt;IFERROR(IF(INDEX(campaigns!$BG$2:$BG$51,MATCH($C414,campaigns!$A$2:$A$51,0))="","",INDEX(campaigns!$BG$2:$BG$51,MATCH($C414,campaigns!$A$2:$A$51,0))),""),0,NETWORKDAYS(IFERROR(IF(INDEX(campaigns!$BG$2:$BG$51,MATCH($C414,campaigns!$A$2:$A$51,0))="","",INDEX(campaigns!$BG$2:$BG$51,MATCH($C414,campaigns!$A$2:$A$51,0))),""),$A414,calendar!$A$2:$A$80)))</f>
        <v/>
      </c>
      <c r="K414" s="30" t="str">
        <f aca="false">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ustomFormat="false" ht="15" hidden="false" customHeight="false" outlineLevel="0" collapsed="false">
      <c r="A415" s="11"/>
      <c r="B415" s="38"/>
      <c r="E415" s="10"/>
      <c r="G415" s="10"/>
      <c r="J415" s="30" t="str">
        <f aca="false">IF(OR($C415="",$A415=""),"",IF($A415&lt;IFERROR(IF(INDEX(campaigns!$BG$2:$BG$51,MATCH($C415,campaigns!$A$2:$A$51,0))="","",INDEX(campaigns!$BG$2:$BG$51,MATCH($C415,campaigns!$A$2:$A$51,0))),""),0,NETWORKDAYS(IFERROR(IF(INDEX(campaigns!$BG$2:$BG$51,MATCH($C415,campaigns!$A$2:$A$51,0))="","",INDEX(campaigns!$BG$2:$BG$51,MATCH($C415,campaigns!$A$2:$A$51,0))),""),$A415,calendar!$A$2:$A$80)))</f>
        <v/>
      </c>
      <c r="K415" s="30" t="str">
        <f aca="false">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ustomFormat="false" ht="15" hidden="false" customHeight="false" outlineLevel="0" collapsed="false">
      <c r="A416" s="11"/>
      <c r="B416" s="38"/>
      <c r="E416" s="10"/>
      <c r="G416" s="10"/>
      <c r="J416" s="30" t="str">
        <f aca="false">IF(OR($C416="",$A416=""),"",IF($A416&lt;IFERROR(IF(INDEX(campaigns!$BG$2:$BG$51,MATCH($C416,campaigns!$A$2:$A$51,0))="","",INDEX(campaigns!$BG$2:$BG$51,MATCH($C416,campaigns!$A$2:$A$51,0))),""),0,NETWORKDAYS(IFERROR(IF(INDEX(campaigns!$BG$2:$BG$51,MATCH($C416,campaigns!$A$2:$A$51,0))="","",INDEX(campaigns!$BG$2:$BG$51,MATCH($C416,campaigns!$A$2:$A$51,0))),""),$A416,calendar!$A$2:$A$80)))</f>
        <v/>
      </c>
      <c r="K416" s="30" t="str">
        <f aca="false">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ustomFormat="false" ht="15" hidden="false" customHeight="false" outlineLevel="0" collapsed="false">
      <c r="A417" s="11"/>
      <c r="B417" s="38"/>
      <c r="E417" s="10"/>
      <c r="G417" s="10"/>
      <c r="J417" s="30" t="str">
        <f aca="false">IF(OR($C417="",$A417=""),"",IF($A417&lt;IFERROR(IF(INDEX(campaigns!$BG$2:$BG$51,MATCH($C417,campaigns!$A$2:$A$51,0))="","",INDEX(campaigns!$BG$2:$BG$51,MATCH($C417,campaigns!$A$2:$A$51,0))),""),0,NETWORKDAYS(IFERROR(IF(INDEX(campaigns!$BG$2:$BG$51,MATCH($C417,campaigns!$A$2:$A$51,0))="","",INDEX(campaigns!$BG$2:$BG$51,MATCH($C417,campaigns!$A$2:$A$51,0))),""),$A417,calendar!$A$2:$A$80)))</f>
        <v/>
      </c>
      <c r="K417" s="30" t="str">
        <f aca="false">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ustomFormat="false" ht="15" hidden="false" customHeight="false" outlineLevel="0" collapsed="false">
      <c r="A418" s="11"/>
      <c r="B418" s="38"/>
      <c r="E418" s="10"/>
      <c r="G418" s="10"/>
      <c r="J418" s="30" t="str">
        <f aca="false">IF(OR($C418="",$A418=""),"",IF($A418&lt;IFERROR(IF(INDEX(campaigns!$BG$2:$BG$51,MATCH($C418,campaigns!$A$2:$A$51,0))="","",INDEX(campaigns!$BG$2:$BG$51,MATCH($C418,campaigns!$A$2:$A$51,0))),""),0,NETWORKDAYS(IFERROR(IF(INDEX(campaigns!$BG$2:$BG$51,MATCH($C418,campaigns!$A$2:$A$51,0))="","",INDEX(campaigns!$BG$2:$BG$51,MATCH($C418,campaigns!$A$2:$A$51,0))),""),$A418,calendar!$A$2:$A$80)))</f>
        <v/>
      </c>
      <c r="K418" s="30" t="str">
        <f aca="false">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ustomFormat="false" ht="15" hidden="false" customHeight="false" outlineLevel="0" collapsed="false">
      <c r="A419" s="11"/>
      <c r="B419" s="38"/>
      <c r="E419" s="10"/>
      <c r="G419" s="10"/>
      <c r="J419" s="30" t="str">
        <f aca="false">IF(OR($C419="",$A419=""),"",IF($A419&lt;IFERROR(IF(INDEX(campaigns!$BG$2:$BG$51,MATCH($C419,campaigns!$A$2:$A$51,0))="","",INDEX(campaigns!$BG$2:$BG$51,MATCH($C419,campaigns!$A$2:$A$51,0))),""),0,NETWORKDAYS(IFERROR(IF(INDEX(campaigns!$BG$2:$BG$51,MATCH($C419,campaigns!$A$2:$A$51,0))="","",INDEX(campaigns!$BG$2:$BG$51,MATCH($C419,campaigns!$A$2:$A$51,0))),""),$A419,calendar!$A$2:$A$80)))</f>
        <v/>
      </c>
      <c r="K419" s="30" t="str">
        <f aca="false">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ustomFormat="false" ht="15" hidden="false" customHeight="false" outlineLevel="0" collapsed="false">
      <c r="A420" s="11"/>
      <c r="B420" s="38"/>
      <c r="E420" s="10"/>
      <c r="G420" s="10"/>
      <c r="J420" s="30" t="str">
        <f aca="false">IF(OR($C420="",$A420=""),"",IF($A420&lt;IFERROR(IF(INDEX(campaigns!$BG$2:$BG$51,MATCH($C420,campaigns!$A$2:$A$51,0))="","",INDEX(campaigns!$BG$2:$BG$51,MATCH($C420,campaigns!$A$2:$A$51,0))),""),0,NETWORKDAYS(IFERROR(IF(INDEX(campaigns!$BG$2:$BG$51,MATCH($C420,campaigns!$A$2:$A$51,0))="","",INDEX(campaigns!$BG$2:$BG$51,MATCH($C420,campaigns!$A$2:$A$51,0))),""),$A420,calendar!$A$2:$A$80)))</f>
        <v/>
      </c>
      <c r="K420" s="30" t="str">
        <f aca="false">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ustomFormat="false" ht="15" hidden="false" customHeight="false" outlineLevel="0" collapsed="false">
      <c r="A421" s="11"/>
      <c r="B421" s="38"/>
      <c r="E421" s="10"/>
      <c r="G421" s="10"/>
      <c r="J421" s="30" t="str">
        <f aca="false">IF(OR($C421="",$A421=""),"",IF($A421&lt;IFERROR(IF(INDEX(campaigns!$BG$2:$BG$51,MATCH($C421,campaigns!$A$2:$A$51,0))="","",INDEX(campaigns!$BG$2:$BG$51,MATCH($C421,campaigns!$A$2:$A$51,0))),""),0,NETWORKDAYS(IFERROR(IF(INDEX(campaigns!$BG$2:$BG$51,MATCH($C421,campaigns!$A$2:$A$51,0))="","",INDEX(campaigns!$BG$2:$BG$51,MATCH($C421,campaigns!$A$2:$A$51,0))),""),$A421,calendar!$A$2:$A$80)))</f>
        <v/>
      </c>
      <c r="K421" s="30" t="str">
        <f aca="false">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ustomFormat="false" ht="15" hidden="false" customHeight="false" outlineLevel="0" collapsed="false">
      <c r="A422" s="11"/>
      <c r="B422" s="38"/>
      <c r="E422" s="10"/>
      <c r="G422" s="10"/>
      <c r="J422" s="30" t="str">
        <f aca="false">IF(OR($C422="",$A422=""),"",IF($A422&lt;IFERROR(IF(INDEX(campaigns!$BG$2:$BG$51,MATCH($C422,campaigns!$A$2:$A$51,0))="","",INDEX(campaigns!$BG$2:$BG$51,MATCH($C422,campaigns!$A$2:$A$51,0))),""),0,NETWORKDAYS(IFERROR(IF(INDEX(campaigns!$BG$2:$BG$51,MATCH($C422,campaigns!$A$2:$A$51,0))="","",INDEX(campaigns!$BG$2:$BG$51,MATCH($C422,campaigns!$A$2:$A$51,0))),""),$A422,calendar!$A$2:$A$80)))</f>
        <v/>
      </c>
      <c r="K422" s="30" t="str">
        <f aca="false">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ustomFormat="false" ht="15" hidden="false" customHeight="false" outlineLevel="0" collapsed="false">
      <c r="A423" s="11"/>
      <c r="B423" s="38"/>
      <c r="E423" s="10"/>
      <c r="G423" s="10"/>
      <c r="J423" s="30" t="str">
        <f aca="false">IF(OR($C423="",$A423=""),"",IF($A423&lt;IFERROR(IF(INDEX(campaigns!$BG$2:$BG$51,MATCH($C423,campaigns!$A$2:$A$51,0))="","",INDEX(campaigns!$BG$2:$BG$51,MATCH($C423,campaigns!$A$2:$A$51,0))),""),0,NETWORKDAYS(IFERROR(IF(INDEX(campaigns!$BG$2:$BG$51,MATCH($C423,campaigns!$A$2:$A$51,0))="","",INDEX(campaigns!$BG$2:$BG$51,MATCH($C423,campaigns!$A$2:$A$51,0))),""),$A423,calendar!$A$2:$A$80)))</f>
        <v/>
      </c>
      <c r="K423" s="30" t="str">
        <f aca="false">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ustomFormat="false" ht="15" hidden="false" customHeight="false" outlineLevel="0" collapsed="false">
      <c r="A424" s="11"/>
      <c r="B424" s="38"/>
      <c r="E424" s="10"/>
      <c r="G424" s="10"/>
      <c r="J424" s="30" t="str">
        <f aca="false">IF(OR($C424="",$A424=""),"",IF($A424&lt;IFERROR(IF(INDEX(campaigns!$BG$2:$BG$51,MATCH($C424,campaigns!$A$2:$A$51,0))="","",INDEX(campaigns!$BG$2:$BG$51,MATCH($C424,campaigns!$A$2:$A$51,0))),""),0,NETWORKDAYS(IFERROR(IF(INDEX(campaigns!$BG$2:$BG$51,MATCH($C424,campaigns!$A$2:$A$51,0))="","",INDEX(campaigns!$BG$2:$BG$51,MATCH($C424,campaigns!$A$2:$A$51,0))),""),$A424,calendar!$A$2:$A$80)))</f>
        <v/>
      </c>
      <c r="K424" s="30" t="str">
        <f aca="false">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ustomFormat="false" ht="15" hidden="false" customHeight="false" outlineLevel="0" collapsed="false">
      <c r="A425" s="11"/>
      <c r="B425" s="38"/>
      <c r="E425" s="10"/>
      <c r="G425" s="10"/>
      <c r="J425" s="30" t="str">
        <f aca="false">IF(OR($C425="",$A425=""),"",IF($A425&lt;IFERROR(IF(INDEX(campaigns!$BG$2:$BG$51,MATCH($C425,campaigns!$A$2:$A$51,0))="","",INDEX(campaigns!$BG$2:$BG$51,MATCH($C425,campaigns!$A$2:$A$51,0))),""),0,NETWORKDAYS(IFERROR(IF(INDEX(campaigns!$BG$2:$BG$51,MATCH($C425,campaigns!$A$2:$A$51,0))="","",INDEX(campaigns!$BG$2:$BG$51,MATCH($C425,campaigns!$A$2:$A$51,0))),""),$A425,calendar!$A$2:$A$80)))</f>
        <v/>
      </c>
      <c r="K425" s="30" t="str">
        <f aca="false">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ustomFormat="false" ht="15" hidden="false" customHeight="false" outlineLevel="0" collapsed="false">
      <c r="A426" s="11"/>
      <c r="B426" s="38"/>
      <c r="E426" s="10"/>
      <c r="G426" s="10"/>
      <c r="J426" s="30" t="str">
        <f aca="false">IF(OR($C426="",$A426=""),"",IF($A426&lt;IFERROR(IF(INDEX(campaigns!$BG$2:$BG$51,MATCH($C426,campaigns!$A$2:$A$51,0))="","",INDEX(campaigns!$BG$2:$BG$51,MATCH($C426,campaigns!$A$2:$A$51,0))),""),0,NETWORKDAYS(IFERROR(IF(INDEX(campaigns!$BG$2:$BG$51,MATCH($C426,campaigns!$A$2:$A$51,0))="","",INDEX(campaigns!$BG$2:$BG$51,MATCH($C426,campaigns!$A$2:$A$51,0))),""),$A426,calendar!$A$2:$A$80)))</f>
        <v/>
      </c>
      <c r="K426" s="30" t="str">
        <f aca="false">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ustomFormat="false" ht="15" hidden="false" customHeight="false" outlineLevel="0" collapsed="false">
      <c r="A427" s="11"/>
      <c r="B427" s="38"/>
      <c r="E427" s="10"/>
      <c r="G427" s="10"/>
      <c r="J427" s="30" t="str">
        <f aca="false">IF(OR($C427="",$A427=""),"",IF($A427&lt;IFERROR(IF(INDEX(campaigns!$BG$2:$BG$51,MATCH($C427,campaigns!$A$2:$A$51,0))="","",INDEX(campaigns!$BG$2:$BG$51,MATCH($C427,campaigns!$A$2:$A$51,0))),""),0,NETWORKDAYS(IFERROR(IF(INDEX(campaigns!$BG$2:$BG$51,MATCH($C427,campaigns!$A$2:$A$51,0))="","",INDEX(campaigns!$BG$2:$BG$51,MATCH($C427,campaigns!$A$2:$A$51,0))),""),$A427,calendar!$A$2:$A$80)))</f>
        <v/>
      </c>
      <c r="K427" s="30" t="str">
        <f aca="false">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ustomFormat="false" ht="15" hidden="false" customHeight="false" outlineLevel="0" collapsed="false">
      <c r="A428" s="11"/>
      <c r="B428" s="38"/>
      <c r="E428" s="10"/>
      <c r="G428" s="10"/>
      <c r="J428" s="30" t="str">
        <f aca="false">IF(OR($C428="",$A428=""),"",IF($A428&lt;IFERROR(IF(INDEX(campaigns!$BG$2:$BG$51,MATCH($C428,campaigns!$A$2:$A$51,0))="","",INDEX(campaigns!$BG$2:$BG$51,MATCH($C428,campaigns!$A$2:$A$51,0))),""),0,NETWORKDAYS(IFERROR(IF(INDEX(campaigns!$BG$2:$BG$51,MATCH($C428,campaigns!$A$2:$A$51,0))="","",INDEX(campaigns!$BG$2:$BG$51,MATCH($C428,campaigns!$A$2:$A$51,0))),""),$A428,calendar!$A$2:$A$80)))</f>
        <v/>
      </c>
      <c r="K428" s="30" t="str">
        <f aca="false">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ustomFormat="false" ht="15" hidden="false" customHeight="false" outlineLevel="0" collapsed="false">
      <c r="A429" s="11"/>
      <c r="B429" s="38"/>
      <c r="E429" s="10"/>
      <c r="G429" s="10"/>
      <c r="J429" s="30" t="str">
        <f aca="false">IF(OR($C429="",$A429=""),"",IF($A429&lt;IFERROR(IF(INDEX(campaigns!$BG$2:$BG$51,MATCH($C429,campaigns!$A$2:$A$51,0))="","",INDEX(campaigns!$BG$2:$BG$51,MATCH($C429,campaigns!$A$2:$A$51,0))),""),0,NETWORKDAYS(IFERROR(IF(INDEX(campaigns!$BG$2:$BG$51,MATCH($C429,campaigns!$A$2:$A$51,0))="","",INDEX(campaigns!$BG$2:$BG$51,MATCH($C429,campaigns!$A$2:$A$51,0))),""),$A429,calendar!$A$2:$A$80)))</f>
        <v/>
      </c>
      <c r="K429" s="30" t="str">
        <f aca="false">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ustomFormat="false" ht="15" hidden="false" customHeight="false" outlineLevel="0" collapsed="false">
      <c r="A430" s="11"/>
      <c r="B430" s="38"/>
      <c r="E430" s="10"/>
      <c r="G430" s="10"/>
      <c r="J430" s="30" t="str">
        <f aca="false">IF(OR($C430="",$A430=""),"",IF($A430&lt;IFERROR(IF(INDEX(campaigns!$BG$2:$BG$51,MATCH($C430,campaigns!$A$2:$A$51,0))="","",INDEX(campaigns!$BG$2:$BG$51,MATCH($C430,campaigns!$A$2:$A$51,0))),""),0,NETWORKDAYS(IFERROR(IF(INDEX(campaigns!$BG$2:$BG$51,MATCH($C430,campaigns!$A$2:$A$51,0))="","",INDEX(campaigns!$BG$2:$BG$51,MATCH($C430,campaigns!$A$2:$A$51,0))),""),$A430,calendar!$A$2:$A$80)))</f>
        <v/>
      </c>
      <c r="K430" s="30" t="str">
        <f aca="false">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ustomFormat="false" ht="15" hidden="false" customHeight="false" outlineLevel="0" collapsed="false">
      <c r="A431" s="11"/>
      <c r="B431" s="38"/>
      <c r="E431" s="10"/>
      <c r="G431" s="10"/>
      <c r="J431" s="30" t="str">
        <f aca="false">IF(OR($C431="",$A431=""),"",IF($A431&lt;IFERROR(IF(INDEX(campaigns!$BG$2:$BG$51,MATCH($C431,campaigns!$A$2:$A$51,0))="","",INDEX(campaigns!$BG$2:$BG$51,MATCH($C431,campaigns!$A$2:$A$51,0))),""),0,NETWORKDAYS(IFERROR(IF(INDEX(campaigns!$BG$2:$BG$51,MATCH($C431,campaigns!$A$2:$A$51,0))="","",INDEX(campaigns!$BG$2:$BG$51,MATCH($C431,campaigns!$A$2:$A$51,0))),""),$A431,calendar!$A$2:$A$80)))</f>
        <v/>
      </c>
      <c r="K431" s="30" t="str">
        <f aca="false">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ustomFormat="false" ht="15" hidden="false" customHeight="false" outlineLevel="0" collapsed="false">
      <c r="A432" s="11"/>
      <c r="B432" s="38"/>
      <c r="E432" s="10"/>
      <c r="G432" s="10"/>
      <c r="J432" s="30" t="str">
        <f aca="false">IF(OR($C432="",$A432=""),"",IF($A432&lt;IFERROR(IF(INDEX(campaigns!$BG$2:$BG$51,MATCH($C432,campaigns!$A$2:$A$51,0))="","",INDEX(campaigns!$BG$2:$BG$51,MATCH($C432,campaigns!$A$2:$A$51,0))),""),0,NETWORKDAYS(IFERROR(IF(INDEX(campaigns!$BG$2:$BG$51,MATCH($C432,campaigns!$A$2:$A$51,0))="","",INDEX(campaigns!$BG$2:$BG$51,MATCH($C432,campaigns!$A$2:$A$51,0))),""),$A432,calendar!$A$2:$A$80)))</f>
        <v/>
      </c>
      <c r="K432" s="30" t="str">
        <f aca="false">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ustomFormat="false" ht="15" hidden="false" customHeight="false" outlineLevel="0" collapsed="false">
      <c r="A433" s="11"/>
      <c r="B433" s="38"/>
      <c r="E433" s="10"/>
      <c r="G433" s="10"/>
      <c r="J433" s="30" t="str">
        <f aca="false">IF(OR($C433="",$A433=""),"",IF($A433&lt;IFERROR(IF(INDEX(campaigns!$BG$2:$BG$51,MATCH($C433,campaigns!$A$2:$A$51,0))="","",INDEX(campaigns!$BG$2:$BG$51,MATCH($C433,campaigns!$A$2:$A$51,0))),""),0,NETWORKDAYS(IFERROR(IF(INDEX(campaigns!$BG$2:$BG$51,MATCH($C433,campaigns!$A$2:$A$51,0))="","",INDEX(campaigns!$BG$2:$BG$51,MATCH($C433,campaigns!$A$2:$A$51,0))),""),$A433,calendar!$A$2:$A$80)))</f>
        <v/>
      </c>
      <c r="K433" s="30" t="str">
        <f aca="false">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ustomFormat="false" ht="15" hidden="false" customHeight="false" outlineLevel="0" collapsed="false">
      <c r="A434" s="11"/>
      <c r="B434" s="38"/>
      <c r="E434" s="10"/>
      <c r="G434" s="10"/>
      <c r="J434" s="30" t="str">
        <f aca="false">IF(OR($C434="",$A434=""),"",IF($A434&lt;IFERROR(IF(INDEX(campaigns!$BG$2:$BG$51,MATCH($C434,campaigns!$A$2:$A$51,0))="","",INDEX(campaigns!$BG$2:$BG$51,MATCH($C434,campaigns!$A$2:$A$51,0))),""),0,NETWORKDAYS(IFERROR(IF(INDEX(campaigns!$BG$2:$BG$51,MATCH($C434,campaigns!$A$2:$A$51,0))="","",INDEX(campaigns!$BG$2:$BG$51,MATCH($C434,campaigns!$A$2:$A$51,0))),""),$A434,calendar!$A$2:$A$80)))</f>
        <v/>
      </c>
      <c r="K434" s="30" t="str">
        <f aca="false">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ustomFormat="false" ht="15" hidden="false" customHeight="false" outlineLevel="0" collapsed="false">
      <c r="A435" s="11"/>
      <c r="B435" s="38"/>
      <c r="E435" s="10"/>
      <c r="G435" s="10"/>
      <c r="J435" s="30" t="str">
        <f aca="false">IF(OR($C435="",$A435=""),"",IF($A435&lt;IFERROR(IF(INDEX(campaigns!$BG$2:$BG$51,MATCH($C435,campaigns!$A$2:$A$51,0))="","",INDEX(campaigns!$BG$2:$BG$51,MATCH($C435,campaigns!$A$2:$A$51,0))),""),0,NETWORKDAYS(IFERROR(IF(INDEX(campaigns!$BG$2:$BG$51,MATCH($C435,campaigns!$A$2:$A$51,0))="","",INDEX(campaigns!$BG$2:$BG$51,MATCH($C435,campaigns!$A$2:$A$51,0))),""),$A435,calendar!$A$2:$A$80)))</f>
        <v/>
      </c>
      <c r="K435" s="30" t="str">
        <f aca="false">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ustomFormat="false" ht="15" hidden="false" customHeight="false" outlineLevel="0" collapsed="false">
      <c r="A436" s="11"/>
      <c r="B436" s="38"/>
      <c r="E436" s="10"/>
      <c r="G436" s="10"/>
      <c r="J436" s="30" t="str">
        <f aca="false">IF(OR($C436="",$A436=""),"",IF($A436&lt;IFERROR(IF(INDEX(campaigns!$BG$2:$BG$51,MATCH($C436,campaigns!$A$2:$A$51,0))="","",INDEX(campaigns!$BG$2:$BG$51,MATCH($C436,campaigns!$A$2:$A$51,0))),""),0,NETWORKDAYS(IFERROR(IF(INDEX(campaigns!$BG$2:$BG$51,MATCH($C436,campaigns!$A$2:$A$51,0))="","",INDEX(campaigns!$BG$2:$BG$51,MATCH($C436,campaigns!$A$2:$A$51,0))),""),$A436,calendar!$A$2:$A$80)))</f>
        <v/>
      </c>
      <c r="K436" s="30" t="str">
        <f aca="false">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ustomFormat="false" ht="15" hidden="false" customHeight="false" outlineLevel="0" collapsed="false">
      <c r="A437" s="11"/>
      <c r="B437" s="38"/>
      <c r="E437" s="10"/>
      <c r="G437" s="10"/>
      <c r="J437" s="30" t="str">
        <f aca="false">IF(OR($C437="",$A437=""),"",IF($A437&lt;IFERROR(IF(INDEX(campaigns!$BG$2:$BG$51,MATCH($C437,campaigns!$A$2:$A$51,0))="","",INDEX(campaigns!$BG$2:$BG$51,MATCH($C437,campaigns!$A$2:$A$51,0))),""),0,NETWORKDAYS(IFERROR(IF(INDEX(campaigns!$BG$2:$BG$51,MATCH($C437,campaigns!$A$2:$A$51,0))="","",INDEX(campaigns!$BG$2:$BG$51,MATCH($C437,campaigns!$A$2:$A$51,0))),""),$A437,calendar!$A$2:$A$80)))</f>
        <v/>
      </c>
      <c r="K437" s="30" t="str">
        <f aca="false">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ustomFormat="false" ht="15" hidden="false" customHeight="false" outlineLevel="0" collapsed="false">
      <c r="A438" s="11"/>
      <c r="B438" s="38"/>
      <c r="E438" s="10"/>
      <c r="G438" s="10"/>
      <c r="J438" s="30" t="str">
        <f aca="false">IF(OR($C438="",$A438=""),"",IF($A438&lt;IFERROR(IF(INDEX(campaigns!$BG$2:$BG$51,MATCH($C438,campaigns!$A$2:$A$51,0))="","",INDEX(campaigns!$BG$2:$BG$51,MATCH($C438,campaigns!$A$2:$A$51,0))),""),0,NETWORKDAYS(IFERROR(IF(INDEX(campaigns!$BG$2:$BG$51,MATCH($C438,campaigns!$A$2:$A$51,0))="","",INDEX(campaigns!$BG$2:$BG$51,MATCH($C438,campaigns!$A$2:$A$51,0))),""),$A438,calendar!$A$2:$A$80)))</f>
        <v/>
      </c>
      <c r="K438" s="30" t="str">
        <f aca="false">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ustomFormat="false" ht="15" hidden="false" customHeight="false" outlineLevel="0" collapsed="false">
      <c r="A439" s="11"/>
      <c r="B439" s="38"/>
      <c r="E439" s="10"/>
      <c r="G439" s="10"/>
      <c r="J439" s="30" t="str">
        <f aca="false">IF(OR($C439="",$A439=""),"",IF($A439&lt;IFERROR(IF(INDEX(campaigns!$BG$2:$BG$51,MATCH($C439,campaigns!$A$2:$A$51,0))="","",INDEX(campaigns!$BG$2:$BG$51,MATCH($C439,campaigns!$A$2:$A$51,0))),""),0,NETWORKDAYS(IFERROR(IF(INDEX(campaigns!$BG$2:$BG$51,MATCH($C439,campaigns!$A$2:$A$51,0))="","",INDEX(campaigns!$BG$2:$BG$51,MATCH($C439,campaigns!$A$2:$A$51,0))),""),$A439,calendar!$A$2:$A$80)))</f>
        <v/>
      </c>
      <c r="K439" s="30" t="str">
        <f aca="false">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ustomFormat="false" ht="15" hidden="false" customHeight="false" outlineLevel="0" collapsed="false">
      <c r="A440" s="11"/>
      <c r="B440" s="38"/>
      <c r="E440" s="10"/>
      <c r="G440" s="10"/>
      <c r="J440" s="30" t="str">
        <f aca="false">IF(OR($C440="",$A440=""),"",IF($A440&lt;IFERROR(IF(INDEX(campaigns!$BG$2:$BG$51,MATCH($C440,campaigns!$A$2:$A$51,0))="","",INDEX(campaigns!$BG$2:$BG$51,MATCH($C440,campaigns!$A$2:$A$51,0))),""),0,NETWORKDAYS(IFERROR(IF(INDEX(campaigns!$BG$2:$BG$51,MATCH($C440,campaigns!$A$2:$A$51,0))="","",INDEX(campaigns!$BG$2:$BG$51,MATCH($C440,campaigns!$A$2:$A$51,0))),""),$A440,calendar!$A$2:$A$80)))</f>
        <v/>
      </c>
      <c r="K440" s="30" t="str">
        <f aca="false">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ustomFormat="false" ht="15" hidden="false" customHeight="false" outlineLevel="0" collapsed="false">
      <c r="A441" s="11"/>
      <c r="B441" s="38"/>
      <c r="E441" s="10"/>
      <c r="G441" s="10"/>
      <c r="J441" s="30" t="str">
        <f aca="false">IF(OR($C441="",$A441=""),"",IF($A441&lt;IFERROR(IF(INDEX(campaigns!$BG$2:$BG$51,MATCH($C441,campaigns!$A$2:$A$51,0))="","",INDEX(campaigns!$BG$2:$BG$51,MATCH($C441,campaigns!$A$2:$A$51,0))),""),0,NETWORKDAYS(IFERROR(IF(INDEX(campaigns!$BG$2:$BG$51,MATCH($C441,campaigns!$A$2:$A$51,0))="","",INDEX(campaigns!$BG$2:$BG$51,MATCH($C441,campaigns!$A$2:$A$51,0))),""),$A441,calendar!$A$2:$A$80)))</f>
        <v/>
      </c>
      <c r="K441" s="30" t="str">
        <f aca="false">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ustomFormat="false" ht="15" hidden="false" customHeight="false" outlineLevel="0" collapsed="false">
      <c r="A442" s="11"/>
      <c r="B442" s="38"/>
      <c r="E442" s="10"/>
      <c r="G442" s="10"/>
      <c r="J442" s="30" t="str">
        <f aca="false">IF(OR($C442="",$A442=""),"",IF($A442&lt;IFERROR(IF(INDEX(campaigns!$BG$2:$BG$51,MATCH($C442,campaigns!$A$2:$A$51,0))="","",INDEX(campaigns!$BG$2:$BG$51,MATCH($C442,campaigns!$A$2:$A$51,0))),""),0,NETWORKDAYS(IFERROR(IF(INDEX(campaigns!$BG$2:$BG$51,MATCH($C442,campaigns!$A$2:$A$51,0))="","",INDEX(campaigns!$BG$2:$BG$51,MATCH($C442,campaigns!$A$2:$A$51,0))),""),$A442,calendar!$A$2:$A$80)))</f>
        <v/>
      </c>
      <c r="K442" s="30" t="str">
        <f aca="false">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ustomFormat="false" ht="15" hidden="false" customHeight="false" outlineLevel="0" collapsed="false">
      <c r="A443" s="11"/>
      <c r="B443" s="38"/>
      <c r="E443" s="10"/>
      <c r="G443" s="10"/>
      <c r="J443" s="30" t="str">
        <f aca="false">IF(OR($C443="",$A443=""),"",IF($A443&lt;IFERROR(IF(INDEX(campaigns!$BG$2:$BG$51,MATCH($C443,campaigns!$A$2:$A$51,0))="","",INDEX(campaigns!$BG$2:$BG$51,MATCH($C443,campaigns!$A$2:$A$51,0))),""),0,NETWORKDAYS(IFERROR(IF(INDEX(campaigns!$BG$2:$BG$51,MATCH($C443,campaigns!$A$2:$A$51,0))="","",INDEX(campaigns!$BG$2:$BG$51,MATCH($C443,campaigns!$A$2:$A$51,0))),""),$A443,calendar!$A$2:$A$80)))</f>
        <v/>
      </c>
      <c r="K443" s="30" t="str">
        <f aca="false">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ustomFormat="false" ht="15" hidden="false" customHeight="false" outlineLevel="0" collapsed="false">
      <c r="A444" s="11"/>
      <c r="B444" s="38"/>
      <c r="E444" s="10"/>
      <c r="G444" s="10"/>
      <c r="J444" s="30" t="str">
        <f aca="false">IF(OR($C444="",$A444=""),"",IF($A444&lt;IFERROR(IF(INDEX(campaigns!$BG$2:$BG$51,MATCH($C444,campaigns!$A$2:$A$51,0))="","",INDEX(campaigns!$BG$2:$BG$51,MATCH($C444,campaigns!$A$2:$A$51,0))),""),0,NETWORKDAYS(IFERROR(IF(INDEX(campaigns!$BG$2:$BG$51,MATCH($C444,campaigns!$A$2:$A$51,0))="","",INDEX(campaigns!$BG$2:$BG$51,MATCH($C444,campaigns!$A$2:$A$51,0))),""),$A444,calendar!$A$2:$A$80)))</f>
        <v/>
      </c>
      <c r="K444" s="30" t="str">
        <f aca="false">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ustomFormat="false" ht="15" hidden="false" customHeight="false" outlineLevel="0" collapsed="false">
      <c r="A445" s="11"/>
      <c r="B445" s="38"/>
      <c r="E445" s="10"/>
      <c r="G445" s="10"/>
      <c r="J445" s="30" t="str">
        <f aca="false">IF(OR($C445="",$A445=""),"",IF($A445&lt;IFERROR(IF(INDEX(campaigns!$BG$2:$BG$51,MATCH($C445,campaigns!$A$2:$A$51,0))="","",INDEX(campaigns!$BG$2:$BG$51,MATCH($C445,campaigns!$A$2:$A$51,0))),""),0,NETWORKDAYS(IFERROR(IF(INDEX(campaigns!$BG$2:$BG$51,MATCH($C445,campaigns!$A$2:$A$51,0))="","",INDEX(campaigns!$BG$2:$BG$51,MATCH($C445,campaigns!$A$2:$A$51,0))),""),$A445,calendar!$A$2:$A$80)))</f>
        <v/>
      </c>
      <c r="K445" s="30" t="str">
        <f aca="false">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ustomFormat="false" ht="15" hidden="false" customHeight="false" outlineLevel="0" collapsed="false">
      <c r="A446" s="11"/>
      <c r="B446" s="38"/>
      <c r="E446" s="10"/>
      <c r="G446" s="10"/>
      <c r="J446" s="30" t="str">
        <f aca="false">IF(OR($C446="",$A446=""),"",IF($A446&lt;IFERROR(IF(INDEX(campaigns!$BG$2:$BG$51,MATCH($C446,campaigns!$A$2:$A$51,0))="","",INDEX(campaigns!$BG$2:$BG$51,MATCH($C446,campaigns!$A$2:$A$51,0))),""),0,NETWORKDAYS(IFERROR(IF(INDEX(campaigns!$BG$2:$BG$51,MATCH($C446,campaigns!$A$2:$A$51,0))="","",INDEX(campaigns!$BG$2:$BG$51,MATCH($C446,campaigns!$A$2:$A$51,0))),""),$A446,calendar!$A$2:$A$80)))</f>
        <v/>
      </c>
      <c r="K446" s="30" t="str">
        <f aca="false">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ustomFormat="false" ht="15" hidden="false" customHeight="false" outlineLevel="0" collapsed="false">
      <c r="A447" s="11"/>
      <c r="B447" s="38"/>
      <c r="E447" s="10"/>
      <c r="G447" s="10"/>
      <c r="J447" s="30" t="str">
        <f aca="false">IF(OR($C447="",$A447=""),"",IF($A447&lt;IFERROR(IF(INDEX(campaigns!$BG$2:$BG$51,MATCH($C447,campaigns!$A$2:$A$51,0))="","",INDEX(campaigns!$BG$2:$BG$51,MATCH($C447,campaigns!$A$2:$A$51,0))),""),0,NETWORKDAYS(IFERROR(IF(INDEX(campaigns!$BG$2:$BG$51,MATCH($C447,campaigns!$A$2:$A$51,0))="","",INDEX(campaigns!$BG$2:$BG$51,MATCH($C447,campaigns!$A$2:$A$51,0))),""),$A447,calendar!$A$2:$A$80)))</f>
        <v/>
      </c>
      <c r="K447" s="30" t="str">
        <f aca="false">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ustomFormat="false" ht="15" hidden="false" customHeight="false" outlineLevel="0" collapsed="false">
      <c r="A448" s="11"/>
      <c r="B448" s="38"/>
      <c r="E448" s="10"/>
      <c r="G448" s="10"/>
      <c r="J448" s="30" t="str">
        <f aca="false">IF(OR($C448="",$A448=""),"",IF($A448&lt;IFERROR(IF(INDEX(campaigns!$BG$2:$BG$51,MATCH($C448,campaigns!$A$2:$A$51,0))="","",INDEX(campaigns!$BG$2:$BG$51,MATCH($C448,campaigns!$A$2:$A$51,0))),""),0,NETWORKDAYS(IFERROR(IF(INDEX(campaigns!$BG$2:$BG$51,MATCH($C448,campaigns!$A$2:$A$51,0))="","",INDEX(campaigns!$BG$2:$BG$51,MATCH($C448,campaigns!$A$2:$A$51,0))),""),$A448,calendar!$A$2:$A$80)))</f>
        <v/>
      </c>
      <c r="K448" s="30" t="str">
        <f aca="false">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ustomFormat="false" ht="15" hidden="false" customHeight="false" outlineLevel="0" collapsed="false">
      <c r="A449" s="11"/>
      <c r="B449" s="38"/>
      <c r="E449" s="10"/>
      <c r="G449" s="10"/>
      <c r="J449" s="30" t="str">
        <f aca="false">IF(OR($C449="",$A449=""),"",IF($A449&lt;IFERROR(IF(INDEX(campaigns!$BG$2:$BG$51,MATCH($C449,campaigns!$A$2:$A$51,0))="","",INDEX(campaigns!$BG$2:$BG$51,MATCH($C449,campaigns!$A$2:$A$51,0))),""),0,NETWORKDAYS(IFERROR(IF(INDEX(campaigns!$BG$2:$BG$51,MATCH($C449,campaigns!$A$2:$A$51,0))="","",INDEX(campaigns!$BG$2:$BG$51,MATCH($C449,campaigns!$A$2:$A$51,0))),""),$A449,calendar!$A$2:$A$80)))</f>
        <v/>
      </c>
      <c r="K449" s="30" t="str">
        <f aca="false">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ustomFormat="false" ht="15" hidden="false" customHeight="false" outlineLevel="0" collapsed="false">
      <c r="A450" s="11"/>
      <c r="B450" s="38"/>
      <c r="E450" s="10"/>
      <c r="G450" s="10"/>
      <c r="J450" s="30" t="str">
        <f aca="false">IF(OR($C450="",$A450=""),"",IF($A450&lt;IFERROR(IF(INDEX(campaigns!$BG$2:$BG$51,MATCH($C450,campaigns!$A$2:$A$51,0))="","",INDEX(campaigns!$BG$2:$BG$51,MATCH($C450,campaigns!$A$2:$A$51,0))),""),0,NETWORKDAYS(IFERROR(IF(INDEX(campaigns!$BG$2:$BG$51,MATCH($C450,campaigns!$A$2:$A$51,0))="","",INDEX(campaigns!$BG$2:$BG$51,MATCH($C450,campaigns!$A$2:$A$51,0))),""),$A450,calendar!$A$2:$A$80)))</f>
        <v/>
      </c>
      <c r="K450" s="30" t="str">
        <f aca="false">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ustomFormat="false" ht="15" hidden="false" customHeight="false" outlineLevel="0" collapsed="false">
      <c r="A451" s="11"/>
      <c r="B451" s="38"/>
      <c r="E451" s="10"/>
      <c r="G451" s="10"/>
      <c r="J451" s="30" t="str">
        <f aca="false">IF(OR($C451="",$A451=""),"",IF($A451&lt;IFERROR(IF(INDEX(campaigns!$BG$2:$BG$51,MATCH($C451,campaigns!$A$2:$A$51,0))="","",INDEX(campaigns!$BG$2:$BG$51,MATCH($C451,campaigns!$A$2:$A$51,0))),""),0,NETWORKDAYS(IFERROR(IF(INDEX(campaigns!$BG$2:$BG$51,MATCH($C451,campaigns!$A$2:$A$51,0))="","",INDEX(campaigns!$BG$2:$BG$51,MATCH($C451,campaigns!$A$2:$A$51,0))),""),$A451,calendar!$A$2:$A$80)))</f>
        <v/>
      </c>
      <c r="K451" s="30" t="str">
        <f aca="false">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ustomFormat="false" ht="15" hidden="false" customHeight="false" outlineLevel="0" collapsed="false">
      <c r="A452" s="11"/>
      <c r="B452" s="38"/>
      <c r="E452" s="10"/>
      <c r="G452" s="10"/>
      <c r="J452" s="30" t="str">
        <f aca="false">IF(OR($C452="",$A452=""),"",IF($A452&lt;IFERROR(IF(INDEX(campaigns!$BG$2:$BG$51,MATCH($C452,campaigns!$A$2:$A$51,0))="","",INDEX(campaigns!$BG$2:$BG$51,MATCH($C452,campaigns!$A$2:$A$51,0))),""),0,NETWORKDAYS(IFERROR(IF(INDEX(campaigns!$BG$2:$BG$51,MATCH($C452,campaigns!$A$2:$A$51,0))="","",INDEX(campaigns!$BG$2:$BG$51,MATCH($C452,campaigns!$A$2:$A$51,0))),""),$A452,calendar!$A$2:$A$80)))</f>
        <v/>
      </c>
      <c r="K452" s="30" t="str">
        <f aca="false">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ustomFormat="false" ht="15" hidden="false" customHeight="false" outlineLevel="0" collapsed="false">
      <c r="A453" s="11"/>
      <c r="B453" s="38"/>
      <c r="E453" s="10"/>
      <c r="G453" s="10"/>
      <c r="J453" s="30" t="str">
        <f aca="false">IF(OR($C453="",$A453=""),"",IF($A453&lt;IFERROR(IF(INDEX(campaigns!$BG$2:$BG$51,MATCH($C453,campaigns!$A$2:$A$51,0))="","",INDEX(campaigns!$BG$2:$BG$51,MATCH($C453,campaigns!$A$2:$A$51,0))),""),0,NETWORKDAYS(IFERROR(IF(INDEX(campaigns!$BG$2:$BG$51,MATCH($C453,campaigns!$A$2:$A$51,0))="","",INDEX(campaigns!$BG$2:$BG$51,MATCH($C453,campaigns!$A$2:$A$51,0))),""),$A453,calendar!$A$2:$A$80)))</f>
        <v/>
      </c>
      <c r="K453" s="30" t="str">
        <f aca="false">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ustomFormat="false" ht="15" hidden="false" customHeight="false" outlineLevel="0" collapsed="false">
      <c r="A454" s="11"/>
      <c r="B454" s="38"/>
      <c r="E454" s="10"/>
      <c r="G454" s="10"/>
      <c r="J454" s="30" t="str">
        <f aca="false">IF(OR($C454="",$A454=""),"",IF($A454&lt;IFERROR(IF(INDEX(campaigns!$BG$2:$BG$51,MATCH($C454,campaigns!$A$2:$A$51,0))="","",INDEX(campaigns!$BG$2:$BG$51,MATCH($C454,campaigns!$A$2:$A$51,0))),""),0,NETWORKDAYS(IFERROR(IF(INDEX(campaigns!$BG$2:$BG$51,MATCH($C454,campaigns!$A$2:$A$51,0))="","",INDEX(campaigns!$BG$2:$BG$51,MATCH($C454,campaigns!$A$2:$A$51,0))),""),$A454,calendar!$A$2:$A$80)))</f>
        <v/>
      </c>
      <c r="K454" s="30" t="str">
        <f aca="false">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ustomFormat="false" ht="15" hidden="false" customHeight="false" outlineLevel="0" collapsed="false">
      <c r="A455" s="11"/>
      <c r="B455" s="38"/>
      <c r="E455" s="10"/>
      <c r="G455" s="10"/>
      <c r="J455" s="30" t="str">
        <f aca="false">IF(OR($C455="",$A455=""),"",IF($A455&lt;IFERROR(IF(INDEX(campaigns!$BG$2:$BG$51,MATCH($C455,campaigns!$A$2:$A$51,0))="","",INDEX(campaigns!$BG$2:$BG$51,MATCH($C455,campaigns!$A$2:$A$51,0))),""),0,NETWORKDAYS(IFERROR(IF(INDEX(campaigns!$BG$2:$BG$51,MATCH($C455,campaigns!$A$2:$A$51,0))="","",INDEX(campaigns!$BG$2:$BG$51,MATCH($C455,campaigns!$A$2:$A$51,0))),""),$A455,calendar!$A$2:$A$80)))</f>
        <v/>
      </c>
      <c r="K455" s="30" t="str">
        <f aca="false">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ustomFormat="false" ht="15" hidden="false" customHeight="false" outlineLevel="0" collapsed="false">
      <c r="A456" s="11"/>
      <c r="B456" s="38"/>
      <c r="E456" s="10"/>
      <c r="G456" s="10"/>
      <c r="J456" s="30" t="str">
        <f aca="false">IF(OR($C456="",$A456=""),"",IF($A456&lt;IFERROR(IF(INDEX(campaigns!$BG$2:$BG$51,MATCH($C456,campaigns!$A$2:$A$51,0))="","",INDEX(campaigns!$BG$2:$BG$51,MATCH($C456,campaigns!$A$2:$A$51,0))),""),0,NETWORKDAYS(IFERROR(IF(INDEX(campaigns!$BG$2:$BG$51,MATCH($C456,campaigns!$A$2:$A$51,0))="","",INDEX(campaigns!$BG$2:$BG$51,MATCH($C456,campaigns!$A$2:$A$51,0))),""),$A456,calendar!$A$2:$A$80)))</f>
        <v/>
      </c>
      <c r="K456" s="30" t="str">
        <f aca="false">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ustomFormat="false" ht="15" hidden="false" customHeight="false" outlineLevel="0" collapsed="false">
      <c r="A457" s="11"/>
      <c r="B457" s="38"/>
      <c r="E457" s="10"/>
      <c r="G457" s="10"/>
      <c r="J457" s="30" t="str">
        <f aca="false">IF(OR($C457="",$A457=""),"",IF($A457&lt;IFERROR(IF(INDEX(campaigns!$BG$2:$BG$51,MATCH($C457,campaigns!$A$2:$A$51,0))="","",INDEX(campaigns!$BG$2:$BG$51,MATCH($C457,campaigns!$A$2:$A$51,0))),""),0,NETWORKDAYS(IFERROR(IF(INDEX(campaigns!$BG$2:$BG$51,MATCH($C457,campaigns!$A$2:$A$51,0))="","",INDEX(campaigns!$BG$2:$BG$51,MATCH($C457,campaigns!$A$2:$A$51,0))),""),$A457,calendar!$A$2:$A$80)))</f>
        <v/>
      </c>
      <c r="K457" s="30" t="str">
        <f aca="false">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ustomFormat="false" ht="15" hidden="false" customHeight="false" outlineLevel="0" collapsed="false">
      <c r="A458" s="11"/>
      <c r="B458" s="38"/>
      <c r="E458" s="10"/>
      <c r="G458" s="10"/>
      <c r="J458" s="30" t="str">
        <f aca="false">IF(OR($C458="",$A458=""),"",IF($A458&lt;IFERROR(IF(INDEX(campaigns!$BG$2:$BG$51,MATCH($C458,campaigns!$A$2:$A$51,0))="","",INDEX(campaigns!$BG$2:$BG$51,MATCH($C458,campaigns!$A$2:$A$51,0))),""),0,NETWORKDAYS(IFERROR(IF(INDEX(campaigns!$BG$2:$BG$51,MATCH($C458,campaigns!$A$2:$A$51,0))="","",INDEX(campaigns!$BG$2:$BG$51,MATCH($C458,campaigns!$A$2:$A$51,0))),""),$A458,calendar!$A$2:$A$80)))</f>
        <v/>
      </c>
      <c r="K458" s="30" t="str">
        <f aca="false">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ustomFormat="false" ht="15" hidden="false" customHeight="false" outlineLevel="0" collapsed="false">
      <c r="A459" s="11"/>
      <c r="B459" s="38"/>
      <c r="E459" s="10"/>
      <c r="G459" s="10"/>
      <c r="J459" s="30" t="str">
        <f aca="false">IF(OR($C459="",$A459=""),"",IF($A459&lt;IFERROR(IF(INDEX(campaigns!$BG$2:$BG$51,MATCH($C459,campaigns!$A$2:$A$51,0))="","",INDEX(campaigns!$BG$2:$BG$51,MATCH($C459,campaigns!$A$2:$A$51,0))),""),0,NETWORKDAYS(IFERROR(IF(INDEX(campaigns!$BG$2:$BG$51,MATCH($C459,campaigns!$A$2:$A$51,0))="","",INDEX(campaigns!$BG$2:$BG$51,MATCH($C459,campaigns!$A$2:$A$51,0))),""),$A459,calendar!$A$2:$A$80)))</f>
        <v/>
      </c>
      <c r="K459" s="30" t="str">
        <f aca="false">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ustomFormat="false" ht="15" hidden="false" customHeight="false" outlineLevel="0" collapsed="false">
      <c r="A460" s="11"/>
      <c r="B460" s="38"/>
      <c r="E460" s="10"/>
      <c r="G460" s="10"/>
      <c r="J460" s="30" t="str">
        <f aca="false">IF(OR($C460="",$A460=""),"",IF($A460&lt;IFERROR(IF(INDEX(campaigns!$BG$2:$BG$51,MATCH($C460,campaigns!$A$2:$A$51,0))="","",INDEX(campaigns!$BG$2:$BG$51,MATCH($C460,campaigns!$A$2:$A$51,0))),""),0,NETWORKDAYS(IFERROR(IF(INDEX(campaigns!$BG$2:$BG$51,MATCH($C460,campaigns!$A$2:$A$51,0))="","",INDEX(campaigns!$BG$2:$BG$51,MATCH($C460,campaigns!$A$2:$A$51,0))),""),$A460,calendar!$A$2:$A$80)))</f>
        <v/>
      </c>
      <c r="K460" s="30" t="str">
        <f aca="false">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ustomFormat="false" ht="15" hidden="false" customHeight="false" outlineLevel="0" collapsed="false">
      <c r="A461" s="11"/>
      <c r="B461" s="38"/>
      <c r="E461" s="10"/>
      <c r="G461" s="10"/>
      <c r="J461" s="30" t="str">
        <f aca="false">IF(OR($C461="",$A461=""),"",IF($A461&lt;IFERROR(IF(INDEX(campaigns!$BG$2:$BG$51,MATCH($C461,campaigns!$A$2:$A$51,0))="","",INDEX(campaigns!$BG$2:$BG$51,MATCH($C461,campaigns!$A$2:$A$51,0))),""),0,NETWORKDAYS(IFERROR(IF(INDEX(campaigns!$BG$2:$BG$51,MATCH($C461,campaigns!$A$2:$A$51,0))="","",INDEX(campaigns!$BG$2:$BG$51,MATCH($C461,campaigns!$A$2:$A$51,0))),""),$A461,calendar!$A$2:$A$80)))</f>
        <v/>
      </c>
      <c r="K461" s="30" t="str">
        <f aca="false">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ustomFormat="false" ht="15" hidden="false" customHeight="false" outlineLevel="0" collapsed="false">
      <c r="A462" s="11"/>
      <c r="B462" s="38"/>
      <c r="E462" s="10"/>
      <c r="G462" s="10"/>
      <c r="J462" s="30" t="str">
        <f aca="false">IF(OR($C462="",$A462=""),"",IF($A462&lt;IFERROR(IF(INDEX(campaigns!$BG$2:$BG$51,MATCH($C462,campaigns!$A$2:$A$51,0))="","",INDEX(campaigns!$BG$2:$BG$51,MATCH($C462,campaigns!$A$2:$A$51,0))),""),0,NETWORKDAYS(IFERROR(IF(INDEX(campaigns!$BG$2:$BG$51,MATCH($C462,campaigns!$A$2:$A$51,0))="","",INDEX(campaigns!$BG$2:$BG$51,MATCH($C462,campaigns!$A$2:$A$51,0))),""),$A462,calendar!$A$2:$A$80)))</f>
        <v/>
      </c>
      <c r="K462" s="30" t="str">
        <f aca="false">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ustomFormat="false" ht="15" hidden="false" customHeight="false" outlineLevel="0" collapsed="false">
      <c r="A463" s="11"/>
      <c r="B463" s="38"/>
      <c r="E463" s="10"/>
      <c r="G463" s="10"/>
      <c r="J463" s="30" t="str">
        <f aca="false">IF(OR($C463="",$A463=""),"",IF($A463&lt;IFERROR(IF(INDEX(campaigns!$BG$2:$BG$51,MATCH($C463,campaigns!$A$2:$A$51,0))="","",INDEX(campaigns!$BG$2:$BG$51,MATCH($C463,campaigns!$A$2:$A$51,0))),""),0,NETWORKDAYS(IFERROR(IF(INDEX(campaigns!$BG$2:$BG$51,MATCH($C463,campaigns!$A$2:$A$51,0))="","",INDEX(campaigns!$BG$2:$BG$51,MATCH($C463,campaigns!$A$2:$A$51,0))),""),$A463,calendar!$A$2:$A$80)))</f>
        <v/>
      </c>
      <c r="K463" s="30" t="str">
        <f aca="false">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ustomFormat="false" ht="15" hidden="false" customHeight="false" outlineLevel="0" collapsed="false">
      <c r="A464" s="11"/>
      <c r="B464" s="38"/>
      <c r="E464" s="10"/>
      <c r="G464" s="10"/>
      <c r="J464" s="30" t="str">
        <f aca="false">IF(OR($C464="",$A464=""),"",IF($A464&lt;IFERROR(IF(INDEX(campaigns!$BG$2:$BG$51,MATCH($C464,campaigns!$A$2:$A$51,0))="","",INDEX(campaigns!$BG$2:$BG$51,MATCH($C464,campaigns!$A$2:$A$51,0))),""),0,NETWORKDAYS(IFERROR(IF(INDEX(campaigns!$BG$2:$BG$51,MATCH($C464,campaigns!$A$2:$A$51,0))="","",INDEX(campaigns!$BG$2:$BG$51,MATCH($C464,campaigns!$A$2:$A$51,0))),""),$A464,calendar!$A$2:$A$80)))</f>
        <v/>
      </c>
      <c r="K464" s="30" t="str">
        <f aca="false">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ustomFormat="false" ht="15" hidden="false" customHeight="false" outlineLevel="0" collapsed="false">
      <c r="A465" s="11"/>
      <c r="B465" s="38"/>
      <c r="E465" s="10"/>
      <c r="G465" s="10"/>
      <c r="J465" s="30" t="str">
        <f aca="false">IF(OR($C465="",$A465=""),"",IF($A465&lt;IFERROR(IF(INDEX(campaigns!$BG$2:$BG$51,MATCH($C465,campaigns!$A$2:$A$51,0))="","",INDEX(campaigns!$BG$2:$BG$51,MATCH($C465,campaigns!$A$2:$A$51,0))),""),0,NETWORKDAYS(IFERROR(IF(INDEX(campaigns!$BG$2:$BG$51,MATCH($C465,campaigns!$A$2:$A$51,0))="","",INDEX(campaigns!$BG$2:$BG$51,MATCH($C465,campaigns!$A$2:$A$51,0))),""),$A465,calendar!$A$2:$A$80)))</f>
        <v/>
      </c>
      <c r="K465" s="30" t="str">
        <f aca="false">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ustomFormat="false" ht="15" hidden="false" customHeight="false" outlineLevel="0" collapsed="false">
      <c r="A466" s="11"/>
      <c r="B466" s="38"/>
      <c r="E466" s="10"/>
      <c r="G466" s="10"/>
      <c r="J466" s="30" t="str">
        <f aca="false">IF(OR($C466="",$A466=""),"",IF($A466&lt;IFERROR(IF(INDEX(campaigns!$BG$2:$BG$51,MATCH($C466,campaigns!$A$2:$A$51,0))="","",INDEX(campaigns!$BG$2:$BG$51,MATCH($C466,campaigns!$A$2:$A$51,0))),""),0,NETWORKDAYS(IFERROR(IF(INDEX(campaigns!$BG$2:$BG$51,MATCH($C466,campaigns!$A$2:$A$51,0))="","",INDEX(campaigns!$BG$2:$BG$51,MATCH($C466,campaigns!$A$2:$A$51,0))),""),$A466,calendar!$A$2:$A$80)))</f>
        <v/>
      </c>
      <c r="K466" s="30" t="str">
        <f aca="false">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ustomFormat="false" ht="15" hidden="false" customHeight="false" outlineLevel="0" collapsed="false">
      <c r="A467" s="11"/>
      <c r="B467" s="38"/>
      <c r="E467" s="10"/>
      <c r="G467" s="10"/>
      <c r="J467" s="30" t="str">
        <f aca="false">IF(OR($C467="",$A467=""),"",IF($A467&lt;IFERROR(IF(INDEX(campaigns!$BG$2:$BG$51,MATCH($C467,campaigns!$A$2:$A$51,0))="","",INDEX(campaigns!$BG$2:$BG$51,MATCH($C467,campaigns!$A$2:$A$51,0))),""),0,NETWORKDAYS(IFERROR(IF(INDEX(campaigns!$BG$2:$BG$51,MATCH($C467,campaigns!$A$2:$A$51,0))="","",INDEX(campaigns!$BG$2:$BG$51,MATCH($C467,campaigns!$A$2:$A$51,0))),""),$A467,calendar!$A$2:$A$80)))</f>
        <v/>
      </c>
      <c r="K467" s="30" t="str">
        <f aca="false">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ustomFormat="false" ht="15" hidden="false" customHeight="false" outlineLevel="0" collapsed="false">
      <c r="A468" s="11"/>
      <c r="B468" s="38"/>
      <c r="E468" s="10"/>
      <c r="G468" s="10"/>
      <c r="J468" s="30" t="str">
        <f aca="false">IF(OR($C468="",$A468=""),"",IF($A468&lt;IFERROR(IF(INDEX(campaigns!$BG$2:$BG$51,MATCH($C468,campaigns!$A$2:$A$51,0))="","",INDEX(campaigns!$BG$2:$BG$51,MATCH($C468,campaigns!$A$2:$A$51,0))),""),0,NETWORKDAYS(IFERROR(IF(INDEX(campaigns!$BG$2:$BG$51,MATCH($C468,campaigns!$A$2:$A$51,0))="","",INDEX(campaigns!$BG$2:$BG$51,MATCH($C468,campaigns!$A$2:$A$51,0))),""),$A468,calendar!$A$2:$A$80)))</f>
        <v/>
      </c>
      <c r="K468" s="30" t="str">
        <f aca="false">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ustomFormat="false" ht="15" hidden="false" customHeight="false" outlineLevel="0" collapsed="false">
      <c r="A469" s="11"/>
      <c r="B469" s="38"/>
      <c r="E469" s="10"/>
      <c r="G469" s="10"/>
      <c r="J469" s="30" t="str">
        <f aca="false">IF(OR($C469="",$A469=""),"",IF($A469&lt;IFERROR(IF(INDEX(campaigns!$BG$2:$BG$51,MATCH($C469,campaigns!$A$2:$A$51,0))="","",INDEX(campaigns!$BG$2:$BG$51,MATCH($C469,campaigns!$A$2:$A$51,0))),""),0,NETWORKDAYS(IFERROR(IF(INDEX(campaigns!$BG$2:$BG$51,MATCH($C469,campaigns!$A$2:$A$51,0))="","",INDEX(campaigns!$BG$2:$BG$51,MATCH($C469,campaigns!$A$2:$A$51,0))),""),$A469,calendar!$A$2:$A$80)))</f>
        <v/>
      </c>
      <c r="K469" s="30" t="str">
        <f aca="false">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ustomFormat="false" ht="15" hidden="false" customHeight="false" outlineLevel="0" collapsed="false">
      <c r="A470" s="11"/>
      <c r="B470" s="38"/>
      <c r="E470" s="10"/>
      <c r="G470" s="10"/>
      <c r="J470" s="30" t="str">
        <f aca="false">IF(OR($C470="",$A470=""),"",IF($A470&lt;IFERROR(IF(INDEX(campaigns!$BG$2:$BG$51,MATCH($C470,campaigns!$A$2:$A$51,0))="","",INDEX(campaigns!$BG$2:$BG$51,MATCH($C470,campaigns!$A$2:$A$51,0))),""),0,NETWORKDAYS(IFERROR(IF(INDEX(campaigns!$BG$2:$BG$51,MATCH($C470,campaigns!$A$2:$A$51,0))="","",INDEX(campaigns!$BG$2:$BG$51,MATCH($C470,campaigns!$A$2:$A$51,0))),""),$A470,calendar!$A$2:$A$80)))</f>
        <v/>
      </c>
      <c r="K470" s="30" t="str">
        <f aca="false">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ustomFormat="false" ht="15" hidden="false" customHeight="false" outlineLevel="0" collapsed="false">
      <c r="A471" s="11"/>
      <c r="B471" s="38"/>
      <c r="E471" s="10"/>
      <c r="G471" s="10"/>
      <c r="J471" s="30" t="str">
        <f aca="false">IF(OR($C471="",$A471=""),"",IF($A471&lt;IFERROR(IF(INDEX(campaigns!$BG$2:$BG$51,MATCH($C471,campaigns!$A$2:$A$51,0))="","",INDEX(campaigns!$BG$2:$BG$51,MATCH($C471,campaigns!$A$2:$A$51,0))),""),0,NETWORKDAYS(IFERROR(IF(INDEX(campaigns!$BG$2:$BG$51,MATCH($C471,campaigns!$A$2:$A$51,0))="","",INDEX(campaigns!$BG$2:$BG$51,MATCH($C471,campaigns!$A$2:$A$51,0))),""),$A471,calendar!$A$2:$A$80)))</f>
        <v/>
      </c>
      <c r="K471" s="30" t="str">
        <f aca="false">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ustomFormat="false" ht="15" hidden="false" customHeight="false" outlineLevel="0" collapsed="false">
      <c r="A472" s="11"/>
      <c r="B472" s="38"/>
      <c r="E472" s="10"/>
      <c r="G472" s="10"/>
      <c r="J472" s="30" t="str">
        <f aca="false">IF(OR($C472="",$A472=""),"",IF($A472&lt;IFERROR(IF(INDEX(campaigns!$BG$2:$BG$51,MATCH($C472,campaigns!$A$2:$A$51,0))="","",INDEX(campaigns!$BG$2:$BG$51,MATCH($C472,campaigns!$A$2:$A$51,0))),""),0,NETWORKDAYS(IFERROR(IF(INDEX(campaigns!$BG$2:$BG$51,MATCH($C472,campaigns!$A$2:$A$51,0))="","",INDEX(campaigns!$BG$2:$BG$51,MATCH($C472,campaigns!$A$2:$A$51,0))),""),$A472,calendar!$A$2:$A$80)))</f>
        <v/>
      </c>
      <c r="K472" s="30" t="str">
        <f aca="false">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ustomFormat="false" ht="15" hidden="false" customHeight="false" outlineLevel="0" collapsed="false">
      <c r="A473" s="11"/>
      <c r="B473" s="38"/>
      <c r="E473" s="10"/>
      <c r="G473" s="10"/>
      <c r="J473" s="30" t="str">
        <f aca="false">IF(OR($C473="",$A473=""),"",IF($A473&lt;IFERROR(IF(INDEX(campaigns!$BG$2:$BG$51,MATCH($C473,campaigns!$A$2:$A$51,0))="","",INDEX(campaigns!$BG$2:$BG$51,MATCH($C473,campaigns!$A$2:$A$51,0))),""),0,NETWORKDAYS(IFERROR(IF(INDEX(campaigns!$BG$2:$BG$51,MATCH($C473,campaigns!$A$2:$A$51,0))="","",INDEX(campaigns!$BG$2:$BG$51,MATCH($C473,campaigns!$A$2:$A$51,0))),""),$A473,calendar!$A$2:$A$80)))</f>
        <v/>
      </c>
      <c r="K473" s="30" t="str">
        <f aca="false">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ustomFormat="false" ht="15" hidden="false" customHeight="false" outlineLevel="0" collapsed="false">
      <c r="A474" s="11"/>
      <c r="B474" s="38"/>
      <c r="E474" s="10"/>
      <c r="G474" s="10"/>
      <c r="J474" s="30" t="str">
        <f aca="false">IF(OR($C474="",$A474=""),"",IF($A474&lt;IFERROR(IF(INDEX(campaigns!$BG$2:$BG$51,MATCH($C474,campaigns!$A$2:$A$51,0))="","",INDEX(campaigns!$BG$2:$BG$51,MATCH($C474,campaigns!$A$2:$A$51,0))),""),0,NETWORKDAYS(IFERROR(IF(INDEX(campaigns!$BG$2:$BG$51,MATCH($C474,campaigns!$A$2:$A$51,0))="","",INDEX(campaigns!$BG$2:$BG$51,MATCH($C474,campaigns!$A$2:$A$51,0))),""),$A474,calendar!$A$2:$A$80)))</f>
        <v/>
      </c>
      <c r="K474" s="30" t="str">
        <f aca="false">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ustomFormat="false" ht="15" hidden="false" customHeight="false" outlineLevel="0" collapsed="false">
      <c r="A475" s="11"/>
      <c r="B475" s="38"/>
      <c r="E475" s="10"/>
      <c r="G475" s="10"/>
      <c r="J475" s="30" t="str">
        <f aca="false">IF(OR($C475="",$A475=""),"",IF($A475&lt;IFERROR(IF(INDEX(campaigns!$BG$2:$BG$51,MATCH($C475,campaigns!$A$2:$A$51,0))="","",INDEX(campaigns!$BG$2:$BG$51,MATCH($C475,campaigns!$A$2:$A$51,0))),""),0,NETWORKDAYS(IFERROR(IF(INDEX(campaigns!$BG$2:$BG$51,MATCH($C475,campaigns!$A$2:$A$51,0))="","",INDEX(campaigns!$BG$2:$BG$51,MATCH($C475,campaigns!$A$2:$A$51,0))),""),$A475,calendar!$A$2:$A$80)))</f>
        <v/>
      </c>
      <c r="K475" s="30" t="str">
        <f aca="false">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ustomFormat="false" ht="15" hidden="false" customHeight="false" outlineLevel="0" collapsed="false">
      <c r="A476" s="11"/>
      <c r="B476" s="38"/>
      <c r="E476" s="10"/>
      <c r="G476" s="10"/>
      <c r="J476" s="30" t="str">
        <f aca="false">IF(OR($C476="",$A476=""),"",IF($A476&lt;IFERROR(IF(INDEX(campaigns!$BG$2:$BG$51,MATCH($C476,campaigns!$A$2:$A$51,0))="","",INDEX(campaigns!$BG$2:$BG$51,MATCH($C476,campaigns!$A$2:$A$51,0))),""),0,NETWORKDAYS(IFERROR(IF(INDEX(campaigns!$BG$2:$BG$51,MATCH($C476,campaigns!$A$2:$A$51,0))="","",INDEX(campaigns!$BG$2:$BG$51,MATCH($C476,campaigns!$A$2:$A$51,0))),""),$A476,calendar!$A$2:$A$80)))</f>
        <v/>
      </c>
      <c r="K476" s="30" t="str">
        <f aca="false">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ustomFormat="false" ht="15" hidden="false" customHeight="false" outlineLevel="0" collapsed="false">
      <c r="A477" s="11"/>
      <c r="B477" s="38"/>
      <c r="E477" s="10"/>
      <c r="G477" s="10"/>
      <c r="J477" s="30" t="str">
        <f aca="false">IF(OR($C477="",$A477=""),"",IF($A477&lt;IFERROR(IF(INDEX(campaigns!$BG$2:$BG$51,MATCH($C477,campaigns!$A$2:$A$51,0))="","",INDEX(campaigns!$BG$2:$BG$51,MATCH($C477,campaigns!$A$2:$A$51,0))),""),0,NETWORKDAYS(IFERROR(IF(INDEX(campaigns!$BG$2:$BG$51,MATCH($C477,campaigns!$A$2:$A$51,0))="","",INDEX(campaigns!$BG$2:$BG$51,MATCH($C477,campaigns!$A$2:$A$51,0))),""),$A477,calendar!$A$2:$A$80)))</f>
        <v/>
      </c>
      <c r="K477" s="30" t="str">
        <f aca="false">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ustomFormat="false" ht="15" hidden="false" customHeight="false" outlineLevel="0" collapsed="false">
      <c r="A478" s="11"/>
      <c r="B478" s="38"/>
      <c r="E478" s="10"/>
      <c r="G478" s="10"/>
      <c r="J478" s="30" t="str">
        <f aca="false">IF(OR($C478="",$A478=""),"",IF($A478&lt;IFERROR(IF(INDEX(campaigns!$BG$2:$BG$51,MATCH($C478,campaigns!$A$2:$A$51,0))="","",INDEX(campaigns!$BG$2:$BG$51,MATCH($C478,campaigns!$A$2:$A$51,0))),""),0,NETWORKDAYS(IFERROR(IF(INDEX(campaigns!$BG$2:$BG$51,MATCH($C478,campaigns!$A$2:$A$51,0))="","",INDEX(campaigns!$BG$2:$BG$51,MATCH($C478,campaigns!$A$2:$A$51,0))),""),$A478,calendar!$A$2:$A$80)))</f>
        <v/>
      </c>
      <c r="K478" s="30" t="str">
        <f aca="false">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ustomFormat="false" ht="15" hidden="false" customHeight="false" outlineLevel="0" collapsed="false">
      <c r="A479" s="11"/>
      <c r="B479" s="38"/>
      <c r="E479" s="10"/>
      <c r="G479" s="10"/>
      <c r="J479" s="30" t="str">
        <f aca="false">IF(OR($C479="",$A479=""),"",IF($A479&lt;IFERROR(IF(INDEX(campaigns!$BG$2:$BG$51,MATCH($C479,campaigns!$A$2:$A$51,0))="","",INDEX(campaigns!$BG$2:$BG$51,MATCH($C479,campaigns!$A$2:$A$51,0))),""),0,NETWORKDAYS(IFERROR(IF(INDEX(campaigns!$BG$2:$BG$51,MATCH($C479,campaigns!$A$2:$A$51,0))="","",INDEX(campaigns!$BG$2:$BG$51,MATCH($C479,campaigns!$A$2:$A$51,0))),""),$A479,calendar!$A$2:$A$80)))</f>
        <v/>
      </c>
      <c r="K479" s="30" t="str">
        <f aca="false">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ustomFormat="false" ht="15" hidden="false" customHeight="false" outlineLevel="0" collapsed="false">
      <c r="A480" s="11"/>
      <c r="B480" s="38"/>
      <c r="E480" s="10"/>
      <c r="G480" s="10"/>
      <c r="J480" s="30" t="str">
        <f aca="false">IF(OR($C480="",$A480=""),"",IF($A480&lt;IFERROR(IF(INDEX(campaigns!$BG$2:$BG$51,MATCH($C480,campaigns!$A$2:$A$51,0))="","",INDEX(campaigns!$BG$2:$BG$51,MATCH($C480,campaigns!$A$2:$A$51,0))),""),0,NETWORKDAYS(IFERROR(IF(INDEX(campaigns!$BG$2:$BG$51,MATCH($C480,campaigns!$A$2:$A$51,0))="","",INDEX(campaigns!$BG$2:$BG$51,MATCH($C480,campaigns!$A$2:$A$51,0))),""),$A480,calendar!$A$2:$A$80)))</f>
        <v/>
      </c>
      <c r="K480" s="30" t="str">
        <f aca="false">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ustomFormat="false" ht="15" hidden="false" customHeight="false" outlineLevel="0" collapsed="false">
      <c r="A481" s="11"/>
      <c r="B481" s="38"/>
      <c r="E481" s="10"/>
      <c r="G481" s="10"/>
      <c r="J481" s="30" t="str">
        <f aca="false">IF(OR($C481="",$A481=""),"",IF($A481&lt;IFERROR(IF(INDEX(campaigns!$BG$2:$BG$51,MATCH($C481,campaigns!$A$2:$A$51,0))="","",INDEX(campaigns!$BG$2:$BG$51,MATCH($C481,campaigns!$A$2:$A$51,0))),""),0,NETWORKDAYS(IFERROR(IF(INDEX(campaigns!$BG$2:$BG$51,MATCH($C481,campaigns!$A$2:$A$51,0))="","",INDEX(campaigns!$BG$2:$BG$51,MATCH($C481,campaigns!$A$2:$A$51,0))),""),$A481,calendar!$A$2:$A$80)))</f>
        <v/>
      </c>
      <c r="K481" s="30" t="str">
        <f aca="false">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ustomFormat="false" ht="15" hidden="false" customHeight="false" outlineLevel="0" collapsed="false">
      <c r="A482" s="11"/>
      <c r="B482" s="38"/>
      <c r="E482" s="10"/>
      <c r="G482" s="10"/>
      <c r="J482" s="30" t="str">
        <f aca="false">IF(OR($C482="",$A482=""),"",IF($A482&lt;IFERROR(IF(INDEX(campaigns!$BG$2:$BG$51,MATCH($C482,campaigns!$A$2:$A$51,0))="","",INDEX(campaigns!$BG$2:$BG$51,MATCH($C482,campaigns!$A$2:$A$51,0))),""),0,NETWORKDAYS(IFERROR(IF(INDEX(campaigns!$BG$2:$BG$51,MATCH($C482,campaigns!$A$2:$A$51,0))="","",INDEX(campaigns!$BG$2:$BG$51,MATCH($C482,campaigns!$A$2:$A$51,0))),""),$A482,calendar!$A$2:$A$80)))</f>
        <v/>
      </c>
      <c r="K482" s="30" t="str">
        <f aca="false">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ustomFormat="false" ht="15" hidden="false" customHeight="false" outlineLevel="0" collapsed="false">
      <c r="A483" s="11"/>
      <c r="B483" s="38"/>
      <c r="E483" s="10"/>
      <c r="G483" s="10"/>
      <c r="J483" s="30" t="str">
        <f aca="false">IF(OR($C483="",$A483=""),"",IF($A483&lt;IFERROR(IF(INDEX(campaigns!$BG$2:$BG$51,MATCH($C483,campaigns!$A$2:$A$51,0))="","",INDEX(campaigns!$BG$2:$BG$51,MATCH($C483,campaigns!$A$2:$A$51,0))),""),0,NETWORKDAYS(IFERROR(IF(INDEX(campaigns!$BG$2:$BG$51,MATCH($C483,campaigns!$A$2:$A$51,0))="","",INDEX(campaigns!$BG$2:$BG$51,MATCH($C483,campaigns!$A$2:$A$51,0))),""),$A483,calendar!$A$2:$A$80)))</f>
        <v/>
      </c>
      <c r="K483" s="30" t="str">
        <f aca="false">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ustomFormat="false" ht="15" hidden="false" customHeight="false" outlineLevel="0" collapsed="false">
      <c r="A484" s="11"/>
      <c r="B484" s="38"/>
      <c r="E484" s="10"/>
      <c r="G484" s="10"/>
      <c r="J484" s="30" t="str">
        <f aca="false">IF(OR($C484="",$A484=""),"",IF($A484&lt;IFERROR(IF(INDEX(campaigns!$BG$2:$BG$51,MATCH($C484,campaigns!$A$2:$A$51,0))="","",INDEX(campaigns!$BG$2:$BG$51,MATCH($C484,campaigns!$A$2:$A$51,0))),""),0,NETWORKDAYS(IFERROR(IF(INDEX(campaigns!$BG$2:$BG$51,MATCH($C484,campaigns!$A$2:$A$51,0))="","",INDEX(campaigns!$BG$2:$BG$51,MATCH($C484,campaigns!$A$2:$A$51,0))),""),$A484,calendar!$A$2:$A$80)))</f>
        <v/>
      </c>
      <c r="K484" s="30" t="str">
        <f aca="false">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ustomFormat="false" ht="15" hidden="false" customHeight="false" outlineLevel="0" collapsed="false">
      <c r="A485" s="11"/>
      <c r="B485" s="38"/>
      <c r="E485" s="10"/>
      <c r="G485" s="10"/>
      <c r="J485" s="30" t="str">
        <f aca="false">IF(OR($C485="",$A485=""),"",IF($A485&lt;IFERROR(IF(INDEX(campaigns!$BG$2:$BG$51,MATCH($C485,campaigns!$A$2:$A$51,0))="","",INDEX(campaigns!$BG$2:$BG$51,MATCH($C485,campaigns!$A$2:$A$51,0))),""),0,NETWORKDAYS(IFERROR(IF(INDEX(campaigns!$BG$2:$BG$51,MATCH($C485,campaigns!$A$2:$A$51,0))="","",INDEX(campaigns!$BG$2:$BG$51,MATCH($C485,campaigns!$A$2:$A$51,0))),""),$A485,calendar!$A$2:$A$80)))</f>
        <v/>
      </c>
      <c r="K485" s="30" t="str">
        <f aca="false">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ustomFormat="false" ht="15" hidden="false" customHeight="false" outlineLevel="0" collapsed="false">
      <c r="A486" s="11"/>
      <c r="B486" s="38"/>
      <c r="E486" s="10"/>
      <c r="G486" s="10"/>
      <c r="J486" s="30" t="str">
        <f aca="false">IF(OR($C486="",$A486=""),"",IF($A486&lt;IFERROR(IF(INDEX(campaigns!$BG$2:$BG$51,MATCH($C486,campaigns!$A$2:$A$51,0))="","",INDEX(campaigns!$BG$2:$BG$51,MATCH($C486,campaigns!$A$2:$A$51,0))),""),0,NETWORKDAYS(IFERROR(IF(INDEX(campaigns!$BG$2:$BG$51,MATCH($C486,campaigns!$A$2:$A$51,0))="","",INDEX(campaigns!$BG$2:$BG$51,MATCH($C486,campaigns!$A$2:$A$51,0))),""),$A486,calendar!$A$2:$A$80)))</f>
        <v/>
      </c>
      <c r="K486" s="30" t="str">
        <f aca="false">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ustomFormat="false" ht="15" hidden="false" customHeight="false" outlineLevel="0" collapsed="false">
      <c r="A487" s="11"/>
      <c r="B487" s="38"/>
      <c r="E487" s="10"/>
      <c r="G487" s="10"/>
      <c r="J487" s="30" t="str">
        <f aca="false">IF(OR($C487="",$A487=""),"",IF($A487&lt;IFERROR(IF(INDEX(campaigns!$BG$2:$BG$51,MATCH($C487,campaigns!$A$2:$A$51,0))="","",INDEX(campaigns!$BG$2:$BG$51,MATCH($C487,campaigns!$A$2:$A$51,0))),""),0,NETWORKDAYS(IFERROR(IF(INDEX(campaigns!$BG$2:$BG$51,MATCH($C487,campaigns!$A$2:$A$51,0))="","",INDEX(campaigns!$BG$2:$BG$51,MATCH($C487,campaigns!$A$2:$A$51,0))),""),$A487,calendar!$A$2:$A$80)))</f>
        <v/>
      </c>
      <c r="K487" s="30" t="str">
        <f aca="false">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ustomFormat="false" ht="15" hidden="false" customHeight="false" outlineLevel="0" collapsed="false">
      <c r="A488" s="11"/>
      <c r="B488" s="38"/>
      <c r="E488" s="10"/>
      <c r="G488" s="10"/>
      <c r="J488" s="30" t="str">
        <f aca="false">IF(OR($C488="",$A488=""),"",IF($A488&lt;IFERROR(IF(INDEX(campaigns!$BG$2:$BG$51,MATCH($C488,campaigns!$A$2:$A$51,0))="","",INDEX(campaigns!$BG$2:$BG$51,MATCH($C488,campaigns!$A$2:$A$51,0))),""),0,NETWORKDAYS(IFERROR(IF(INDEX(campaigns!$BG$2:$BG$51,MATCH($C488,campaigns!$A$2:$A$51,0))="","",INDEX(campaigns!$BG$2:$BG$51,MATCH($C488,campaigns!$A$2:$A$51,0))),""),$A488,calendar!$A$2:$A$80)))</f>
        <v/>
      </c>
      <c r="K488" s="30" t="str">
        <f aca="false">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ustomFormat="false" ht="15" hidden="false" customHeight="false" outlineLevel="0" collapsed="false">
      <c r="A489" s="11"/>
      <c r="B489" s="38"/>
      <c r="E489" s="10"/>
      <c r="G489" s="10"/>
      <c r="J489" s="30" t="str">
        <f aca="false">IF(OR($C489="",$A489=""),"",IF($A489&lt;IFERROR(IF(INDEX(campaigns!$BG$2:$BG$51,MATCH($C489,campaigns!$A$2:$A$51,0))="","",INDEX(campaigns!$BG$2:$BG$51,MATCH($C489,campaigns!$A$2:$A$51,0))),""),0,NETWORKDAYS(IFERROR(IF(INDEX(campaigns!$BG$2:$BG$51,MATCH($C489,campaigns!$A$2:$A$51,0))="","",INDEX(campaigns!$BG$2:$BG$51,MATCH($C489,campaigns!$A$2:$A$51,0))),""),$A489,calendar!$A$2:$A$80)))</f>
        <v/>
      </c>
      <c r="K489" s="30" t="str">
        <f aca="false">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ustomFormat="false" ht="15" hidden="false" customHeight="false" outlineLevel="0" collapsed="false">
      <c r="A490" s="11"/>
      <c r="B490" s="38"/>
      <c r="E490" s="10"/>
      <c r="G490" s="10"/>
      <c r="J490" s="30" t="str">
        <f aca="false">IF(OR($C490="",$A490=""),"",IF($A490&lt;IFERROR(IF(INDEX(campaigns!$BG$2:$BG$51,MATCH($C490,campaigns!$A$2:$A$51,0))="","",INDEX(campaigns!$BG$2:$BG$51,MATCH($C490,campaigns!$A$2:$A$51,0))),""),0,NETWORKDAYS(IFERROR(IF(INDEX(campaigns!$BG$2:$BG$51,MATCH($C490,campaigns!$A$2:$A$51,0))="","",INDEX(campaigns!$BG$2:$BG$51,MATCH($C490,campaigns!$A$2:$A$51,0))),""),$A490,calendar!$A$2:$A$80)))</f>
        <v/>
      </c>
      <c r="K490" s="30" t="str">
        <f aca="false">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ustomFormat="false" ht="15" hidden="false" customHeight="false" outlineLevel="0" collapsed="false">
      <c r="A491" s="11"/>
      <c r="B491" s="38"/>
      <c r="E491" s="10"/>
      <c r="G491" s="10"/>
      <c r="J491" s="30" t="str">
        <f aca="false">IF(OR($C491="",$A491=""),"",IF($A491&lt;IFERROR(IF(INDEX(campaigns!$BG$2:$BG$51,MATCH($C491,campaigns!$A$2:$A$51,0))="","",INDEX(campaigns!$BG$2:$BG$51,MATCH($C491,campaigns!$A$2:$A$51,0))),""),0,NETWORKDAYS(IFERROR(IF(INDEX(campaigns!$BG$2:$BG$51,MATCH($C491,campaigns!$A$2:$A$51,0))="","",INDEX(campaigns!$BG$2:$BG$51,MATCH($C491,campaigns!$A$2:$A$51,0))),""),$A491,calendar!$A$2:$A$80)))</f>
        <v/>
      </c>
      <c r="K491" s="30" t="str">
        <f aca="false">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ustomFormat="false" ht="15" hidden="false" customHeight="false" outlineLevel="0" collapsed="false">
      <c r="A492" s="11"/>
      <c r="B492" s="38"/>
      <c r="E492" s="10"/>
      <c r="G492" s="10"/>
      <c r="J492" s="30" t="str">
        <f aca="false">IF(OR($C492="",$A492=""),"",IF($A492&lt;IFERROR(IF(INDEX(campaigns!$BG$2:$BG$51,MATCH($C492,campaigns!$A$2:$A$51,0))="","",INDEX(campaigns!$BG$2:$BG$51,MATCH($C492,campaigns!$A$2:$A$51,0))),""),0,NETWORKDAYS(IFERROR(IF(INDEX(campaigns!$BG$2:$BG$51,MATCH($C492,campaigns!$A$2:$A$51,0))="","",INDEX(campaigns!$BG$2:$BG$51,MATCH($C492,campaigns!$A$2:$A$51,0))),""),$A492,calendar!$A$2:$A$80)))</f>
        <v/>
      </c>
      <c r="K492" s="30" t="str">
        <f aca="false">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ustomFormat="false" ht="15" hidden="false" customHeight="false" outlineLevel="0" collapsed="false">
      <c r="A493" s="11"/>
      <c r="B493" s="38"/>
      <c r="E493" s="10"/>
      <c r="G493" s="10"/>
      <c r="J493" s="30" t="str">
        <f aca="false">IF(OR($C493="",$A493=""),"",IF($A493&lt;IFERROR(IF(INDEX(campaigns!$BG$2:$BG$51,MATCH($C493,campaigns!$A$2:$A$51,0))="","",INDEX(campaigns!$BG$2:$BG$51,MATCH($C493,campaigns!$A$2:$A$51,0))),""),0,NETWORKDAYS(IFERROR(IF(INDEX(campaigns!$BG$2:$BG$51,MATCH($C493,campaigns!$A$2:$A$51,0))="","",INDEX(campaigns!$BG$2:$BG$51,MATCH($C493,campaigns!$A$2:$A$51,0))),""),$A493,calendar!$A$2:$A$80)))</f>
        <v/>
      </c>
      <c r="K493" s="30" t="str">
        <f aca="false">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ustomFormat="false" ht="15" hidden="false" customHeight="false" outlineLevel="0" collapsed="false">
      <c r="A494" s="11"/>
      <c r="B494" s="38"/>
      <c r="E494" s="10"/>
      <c r="G494" s="10"/>
      <c r="J494" s="30" t="str">
        <f aca="false">IF(OR($C494="",$A494=""),"",IF($A494&lt;IFERROR(IF(INDEX(campaigns!$BG$2:$BG$51,MATCH($C494,campaigns!$A$2:$A$51,0))="","",INDEX(campaigns!$BG$2:$BG$51,MATCH($C494,campaigns!$A$2:$A$51,0))),""),0,NETWORKDAYS(IFERROR(IF(INDEX(campaigns!$BG$2:$BG$51,MATCH($C494,campaigns!$A$2:$A$51,0))="","",INDEX(campaigns!$BG$2:$BG$51,MATCH($C494,campaigns!$A$2:$A$51,0))),""),$A494,calendar!$A$2:$A$80)))</f>
        <v/>
      </c>
      <c r="K494" s="30" t="str">
        <f aca="false">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ustomFormat="false" ht="15" hidden="false" customHeight="false" outlineLevel="0" collapsed="false">
      <c r="A495" s="11"/>
      <c r="B495" s="38"/>
      <c r="E495" s="10"/>
      <c r="G495" s="10"/>
      <c r="J495" s="30" t="str">
        <f aca="false">IF(OR($C495="",$A495=""),"",IF($A495&lt;IFERROR(IF(INDEX(campaigns!$BG$2:$BG$51,MATCH($C495,campaigns!$A$2:$A$51,0))="","",INDEX(campaigns!$BG$2:$BG$51,MATCH($C495,campaigns!$A$2:$A$51,0))),""),0,NETWORKDAYS(IFERROR(IF(INDEX(campaigns!$BG$2:$BG$51,MATCH($C495,campaigns!$A$2:$A$51,0))="","",INDEX(campaigns!$BG$2:$BG$51,MATCH($C495,campaigns!$A$2:$A$51,0))),""),$A495,calendar!$A$2:$A$80)))</f>
        <v/>
      </c>
      <c r="K495" s="30" t="str">
        <f aca="false">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ustomFormat="false" ht="15" hidden="false" customHeight="false" outlineLevel="0" collapsed="false">
      <c r="A496" s="11"/>
      <c r="B496" s="38"/>
      <c r="E496" s="10"/>
      <c r="G496" s="10"/>
      <c r="J496" s="30" t="str">
        <f aca="false">IF(OR($C496="",$A496=""),"",IF($A496&lt;IFERROR(IF(INDEX(campaigns!$BG$2:$BG$51,MATCH($C496,campaigns!$A$2:$A$51,0))="","",INDEX(campaigns!$BG$2:$BG$51,MATCH($C496,campaigns!$A$2:$A$51,0))),""),0,NETWORKDAYS(IFERROR(IF(INDEX(campaigns!$BG$2:$BG$51,MATCH($C496,campaigns!$A$2:$A$51,0))="","",INDEX(campaigns!$BG$2:$BG$51,MATCH($C496,campaigns!$A$2:$A$51,0))),""),$A496,calendar!$A$2:$A$80)))</f>
        <v/>
      </c>
      <c r="K496" s="30" t="str">
        <f aca="false">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ustomFormat="false" ht="15" hidden="false" customHeight="false" outlineLevel="0" collapsed="false">
      <c r="A497" s="11"/>
      <c r="B497" s="38"/>
      <c r="E497" s="10"/>
      <c r="G497" s="10"/>
      <c r="J497" s="30" t="str">
        <f aca="false">IF(OR($C497="",$A497=""),"",IF($A497&lt;IFERROR(IF(INDEX(campaigns!$BG$2:$BG$51,MATCH($C497,campaigns!$A$2:$A$51,0))="","",INDEX(campaigns!$BG$2:$BG$51,MATCH($C497,campaigns!$A$2:$A$51,0))),""),0,NETWORKDAYS(IFERROR(IF(INDEX(campaigns!$BG$2:$BG$51,MATCH($C497,campaigns!$A$2:$A$51,0))="","",INDEX(campaigns!$BG$2:$BG$51,MATCH($C497,campaigns!$A$2:$A$51,0))),""),$A497,calendar!$A$2:$A$80)))</f>
        <v/>
      </c>
      <c r="K497" s="30" t="str">
        <f aca="false">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ustomFormat="false" ht="15" hidden="false" customHeight="false" outlineLevel="0" collapsed="false">
      <c r="A498" s="11"/>
      <c r="B498" s="38"/>
      <c r="E498" s="10"/>
      <c r="G498" s="10"/>
      <c r="J498" s="30" t="str">
        <f aca="false">IF(OR($C498="",$A498=""),"",IF($A498&lt;IFERROR(IF(INDEX(campaigns!$BG$2:$BG$51,MATCH($C498,campaigns!$A$2:$A$51,0))="","",INDEX(campaigns!$BG$2:$BG$51,MATCH($C498,campaigns!$A$2:$A$51,0))),""),0,NETWORKDAYS(IFERROR(IF(INDEX(campaigns!$BG$2:$BG$51,MATCH($C498,campaigns!$A$2:$A$51,0))="","",INDEX(campaigns!$BG$2:$BG$51,MATCH($C498,campaigns!$A$2:$A$51,0))),""),$A498,calendar!$A$2:$A$80)))</f>
        <v/>
      </c>
      <c r="K498" s="30" t="str">
        <f aca="false">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ustomFormat="false" ht="15" hidden="false" customHeight="false" outlineLevel="0" collapsed="false">
      <c r="A499" s="11"/>
      <c r="B499" s="38"/>
      <c r="E499" s="10"/>
      <c r="G499" s="10"/>
      <c r="J499" s="30" t="str">
        <f aca="false">IF(OR($C499="",$A499=""),"",IF($A499&lt;IFERROR(IF(INDEX(campaigns!$BG$2:$BG$51,MATCH($C499,campaigns!$A$2:$A$51,0))="","",INDEX(campaigns!$BG$2:$BG$51,MATCH($C499,campaigns!$A$2:$A$51,0))),""),0,NETWORKDAYS(IFERROR(IF(INDEX(campaigns!$BG$2:$BG$51,MATCH($C499,campaigns!$A$2:$A$51,0))="","",INDEX(campaigns!$BG$2:$BG$51,MATCH($C499,campaigns!$A$2:$A$51,0))),""),$A499,calendar!$A$2:$A$80)))</f>
        <v/>
      </c>
      <c r="K499" s="30" t="str">
        <f aca="false">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ustomFormat="false" ht="15" hidden="false" customHeight="false" outlineLevel="0" collapsed="false">
      <c r="A500" s="11"/>
      <c r="B500" s="38"/>
      <c r="E500" s="10"/>
      <c r="G500" s="10"/>
      <c r="J500" s="30" t="str">
        <f aca="false">IF(OR($C500="",$A500=""),"",IF($A500&lt;IFERROR(IF(INDEX(campaigns!$BG$2:$BG$51,MATCH($C500,campaigns!$A$2:$A$51,0))="","",INDEX(campaigns!$BG$2:$BG$51,MATCH($C500,campaigns!$A$2:$A$51,0))),""),0,NETWORKDAYS(IFERROR(IF(INDEX(campaigns!$BG$2:$BG$51,MATCH($C500,campaigns!$A$2:$A$51,0))="","",INDEX(campaigns!$BG$2:$BG$51,MATCH($C500,campaigns!$A$2:$A$51,0))),""),$A500,calendar!$A$2:$A$80)))</f>
        <v/>
      </c>
      <c r="K500" s="30" t="str">
        <f aca="false">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ustomFormat="false" ht="15" hidden="false" customHeight="false" outlineLevel="0" collapsed="false">
      <c r="A501" s="11"/>
      <c r="B501" s="38"/>
      <c r="E501" s="10"/>
      <c r="G501" s="10"/>
      <c r="J501" s="30" t="str">
        <f aca="false">IF(OR($C501="",$A501=""),"",IF($A501&lt;IFERROR(IF(INDEX(campaigns!$BG$2:$BG$51,MATCH($C501,campaigns!$A$2:$A$51,0))="","",INDEX(campaigns!$BG$2:$BG$51,MATCH($C501,campaigns!$A$2:$A$51,0))),""),0,NETWORKDAYS(IFERROR(IF(INDEX(campaigns!$BG$2:$BG$51,MATCH($C501,campaigns!$A$2:$A$51,0))="","",INDEX(campaigns!$BG$2:$BG$51,MATCH($C501,campaigns!$A$2:$A$51,0))),""),$A501,calendar!$A$2:$A$80)))</f>
        <v/>
      </c>
      <c r="K501" s="30" t="str">
        <f aca="false">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ustomFormat="false" ht="15" hidden="false" customHeight="false" outlineLevel="0" collapsed="false">
      <c r="A502" s="11"/>
      <c r="B502" s="38"/>
      <c r="E502" s="10"/>
      <c r="G502" s="10"/>
      <c r="J502" s="30" t="str">
        <f aca="false">IF(OR($C502="",$A502=""),"",IF($A502&lt;IFERROR(IF(INDEX(campaigns!$BG$2:$BG$51,MATCH($C502,campaigns!$A$2:$A$51,0))="","",INDEX(campaigns!$BG$2:$BG$51,MATCH($C502,campaigns!$A$2:$A$51,0))),""),0,NETWORKDAYS(IFERROR(IF(INDEX(campaigns!$BG$2:$BG$51,MATCH($C502,campaigns!$A$2:$A$51,0))="","",INDEX(campaigns!$BG$2:$BG$51,MATCH($C502,campaigns!$A$2:$A$51,0))),""),$A502,calendar!$A$2:$A$80)))</f>
        <v/>
      </c>
      <c r="K502" s="30" t="str">
        <f aca="false">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ustomFormat="false" ht="15" hidden="false" customHeight="false" outlineLevel="0" collapsed="false">
      <c r="A503" s="11"/>
      <c r="B503" s="38"/>
      <c r="E503" s="10"/>
      <c r="G503" s="10"/>
      <c r="J503" s="30" t="str">
        <f aca="false">IF(OR($C503="",$A503=""),"",IF($A503&lt;IFERROR(IF(INDEX(campaigns!$BG$2:$BG$51,MATCH($C503,campaigns!$A$2:$A$51,0))="","",INDEX(campaigns!$BG$2:$BG$51,MATCH($C503,campaigns!$A$2:$A$51,0))),""),0,NETWORKDAYS(IFERROR(IF(INDEX(campaigns!$BG$2:$BG$51,MATCH($C503,campaigns!$A$2:$A$51,0))="","",INDEX(campaigns!$BG$2:$BG$51,MATCH($C503,campaigns!$A$2:$A$51,0))),""),$A503,calendar!$A$2:$A$80)))</f>
        <v/>
      </c>
      <c r="K503" s="30" t="str">
        <f aca="false">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ustomFormat="false" ht="15" hidden="false" customHeight="false" outlineLevel="0" collapsed="false">
      <c r="A504" s="11"/>
      <c r="B504" s="38"/>
      <c r="E504" s="10"/>
      <c r="G504" s="10"/>
      <c r="J504" s="30" t="str">
        <f aca="false">IF(OR($C504="",$A504=""),"",IF($A504&lt;IFERROR(IF(INDEX(campaigns!$BG$2:$BG$51,MATCH($C504,campaigns!$A$2:$A$51,0))="","",INDEX(campaigns!$BG$2:$BG$51,MATCH($C504,campaigns!$A$2:$A$51,0))),""),0,NETWORKDAYS(IFERROR(IF(INDEX(campaigns!$BG$2:$BG$51,MATCH($C504,campaigns!$A$2:$A$51,0))="","",INDEX(campaigns!$BG$2:$BG$51,MATCH($C504,campaigns!$A$2:$A$51,0))),""),$A504,calendar!$A$2:$A$80)))</f>
        <v/>
      </c>
      <c r="K504" s="30" t="str">
        <f aca="false">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ustomFormat="false" ht="15" hidden="false" customHeight="false" outlineLevel="0" collapsed="false">
      <c r="A505" s="11"/>
      <c r="B505" s="38"/>
      <c r="E505" s="10"/>
      <c r="G505" s="10"/>
      <c r="J505" s="30" t="str">
        <f aca="false">IF(OR($C505="",$A505=""),"",IF($A505&lt;IFERROR(IF(INDEX(campaigns!$BG$2:$BG$51,MATCH($C505,campaigns!$A$2:$A$51,0))="","",INDEX(campaigns!$BG$2:$BG$51,MATCH($C505,campaigns!$A$2:$A$51,0))),""),0,NETWORKDAYS(IFERROR(IF(INDEX(campaigns!$BG$2:$BG$51,MATCH($C505,campaigns!$A$2:$A$51,0))="","",INDEX(campaigns!$BG$2:$BG$51,MATCH($C505,campaigns!$A$2:$A$51,0))),""),$A505,calendar!$A$2:$A$80)))</f>
        <v/>
      </c>
      <c r="K505" s="30" t="str">
        <f aca="false">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ustomFormat="false" ht="15" hidden="false" customHeight="false" outlineLevel="0" collapsed="false">
      <c r="A506" s="11"/>
      <c r="B506" s="38"/>
      <c r="E506" s="10"/>
      <c r="G506" s="10"/>
      <c r="J506" s="30" t="str">
        <f aca="false">IF(OR($C506="",$A506=""),"",IF($A506&lt;IFERROR(IF(INDEX(campaigns!$BG$2:$BG$51,MATCH($C506,campaigns!$A$2:$A$51,0))="","",INDEX(campaigns!$BG$2:$BG$51,MATCH($C506,campaigns!$A$2:$A$51,0))),""),0,NETWORKDAYS(IFERROR(IF(INDEX(campaigns!$BG$2:$BG$51,MATCH($C506,campaigns!$A$2:$A$51,0))="","",INDEX(campaigns!$BG$2:$BG$51,MATCH($C506,campaigns!$A$2:$A$51,0))),""),$A506,calendar!$A$2:$A$80)))</f>
        <v/>
      </c>
      <c r="K506" s="30" t="str">
        <f aca="false">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ustomFormat="false" ht="15" hidden="false" customHeight="false" outlineLevel="0" collapsed="false">
      <c r="A507" s="11"/>
      <c r="B507" s="38"/>
      <c r="E507" s="10"/>
      <c r="G507" s="10"/>
      <c r="J507" s="30" t="str">
        <f aca="false">IF(OR($C507="",$A507=""),"",IF($A507&lt;IFERROR(IF(INDEX(campaigns!$BG$2:$BG$51,MATCH($C507,campaigns!$A$2:$A$51,0))="","",INDEX(campaigns!$BG$2:$BG$51,MATCH($C507,campaigns!$A$2:$A$51,0))),""),0,NETWORKDAYS(IFERROR(IF(INDEX(campaigns!$BG$2:$BG$51,MATCH($C507,campaigns!$A$2:$A$51,0))="","",INDEX(campaigns!$BG$2:$BG$51,MATCH($C507,campaigns!$A$2:$A$51,0))),""),$A507,calendar!$A$2:$A$80)))</f>
        <v/>
      </c>
      <c r="K507" s="30" t="str">
        <f aca="false">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ustomFormat="false" ht="15" hidden="false" customHeight="false" outlineLevel="0" collapsed="false">
      <c r="A508" s="11"/>
      <c r="B508" s="38"/>
      <c r="E508" s="10"/>
      <c r="G508" s="10"/>
      <c r="J508" s="30" t="str">
        <f aca="false">IF(OR($C508="",$A508=""),"",IF($A508&lt;IFERROR(IF(INDEX(campaigns!$BG$2:$BG$51,MATCH($C508,campaigns!$A$2:$A$51,0))="","",INDEX(campaigns!$BG$2:$BG$51,MATCH($C508,campaigns!$A$2:$A$51,0))),""),0,NETWORKDAYS(IFERROR(IF(INDEX(campaigns!$BG$2:$BG$51,MATCH($C508,campaigns!$A$2:$A$51,0))="","",INDEX(campaigns!$BG$2:$BG$51,MATCH($C508,campaigns!$A$2:$A$51,0))),""),$A508,calendar!$A$2:$A$80)))</f>
        <v/>
      </c>
      <c r="K508" s="30" t="str">
        <f aca="false">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ustomFormat="false" ht="15" hidden="false" customHeight="false" outlineLevel="0" collapsed="false">
      <c r="A509" s="11"/>
      <c r="B509" s="38"/>
      <c r="E509" s="10"/>
      <c r="G509" s="10"/>
      <c r="J509" s="30" t="str">
        <f aca="false">IF(OR($C509="",$A509=""),"",IF($A509&lt;IFERROR(IF(INDEX(campaigns!$BG$2:$BG$51,MATCH($C509,campaigns!$A$2:$A$51,0))="","",INDEX(campaigns!$BG$2:$BG$51,MATCH($C509,campaigns!$A$2:$A$51,0))),""),0,NETWORKDAYS(IFERROR(IF(INDEX(campaigns!$BG$2:$BG$51,MATCH($C509,campaigns!$A$2:$A$51,0))="","",INDEX(campaigns!$BG$2:$BG$51,MATCH($C509,campaigns!$A$2:$A$51,0))),""),$A509,calendar!$A$2:$A$80)))</f>
        <v/>
      </c>
      <c r="K509" s="30" t="str">
        <f aca="false">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ustomFormat="false" ht="15" hidden="false" customHeight="false" outlineLevel="0" collapsed="false">
      <c r="A510" s="11"/>
      <c r="B510" s="38"/>
      <c r="E510" s="10"/>
      <c r="G510" s="10"/>
      <c r="J510" s="30" t="str">
        <f aca="false">IF(OR($C510="",$A510=""),"",IF($A510&lt;IFERROR(IF(INDEX(campaigns!$BG$2:$BG$51,MATCH($C510,campaigns!$A$2:$A$51,0))="","",INDEX(campaigns!$BG$2:$BG$51,MATCH($C510,campaigns!$A$2:$A$51,0))),""),0,NETWORKDAYS(IFERROR(IF(INDEX(campaigns!$BG$2:$BG$51,MATCH($C510,campaigns!$A$2:$A$51,0))="","",INDEX(campaigns!$BG$2:$BG$51,MATCH($C510,campaigns!$A$2:$A$51,0))),""),$A510,calendar!$A$2:$A$80)))</f>
        <v/>
      </c>
      <c r="K510" s="30" t="str">
        <f aca="false">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ustomFormat="false" ht="15" hidden="false" customHeight="false" outlineLevel="0" collapsed="false">
      <c r="A511" s="11"/>
      <c r="B511" s="38"/>
      <c r="E511" s="10"/>
      <c r="G511" s="10"/>
      <c r="J511" s="30" t="str">
        <f aca="false">IF(OR($C511="",$A511=""),"",IF($A511&lt;IFERROR(IF(INDEX(campaigns!$BG$2:$BG$51,MATCH($C511,campaigns!$A$2:$A$51,0))="","",INDEX(campaigns!$BG$2:$BG$51,MATCH($C511,campaigns!$A$2:$A$51,0))),""),0,NETWORKDAYS(IFERROR(IF(INDEX(campaigns!$BG$2:$BG$51,MATCH($C511,campaigns!$A$2:$A$51,0))="","",INDEX(campaigns!$BG$2:$BG$51,MATCH($C511,campaigns!$A$2:$A$51,0))),""),$A511,calendar!$A$2:$A$80)))</f>
        <v/>
      </c>
      <c r="K511" s="30" t="str">
        <f aca="false">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ustomFormat="false" ht="15" hidden="false" customHeight="false" outlineLevel="0" collapsed="false">
      <c r="A512" s="11"/>
      <c r="B512" s="38"/>
      <c r="E512" s="10"/>
      <c r="G512" s="10"/>
      <c r="J512" s="30" t="str">
        <f aca="false">IF(OR($C512="",$A512=""),"",IF($A512&lt;IFERROR(IF(INDEX(campaigns!$BG$2:$BG$51,MATCH($C512,campaigns!$A$2:$A$51,0))="","",INDEX(campaigns!$BG$2:$BG$51,MATCH($C512,campaigns!$A$2:$A$51,0))),""),0,NETWORKDAYS(IFERROR(IF(INDEX(campaigns!$BG$2:$BG$51,MATCH($C512,campaigns!$A$2:$A$51,0))="","",INDEX(campaigns!$BG$2:$BG$51,MATCH($C512,campaigns!$A$2:$A$51,0))),""),$A512,calendar!$A$2:$A$80)))</f>
        <v/>
      </c>
      <c r="K512" s="30" t="str">
        <f aca="false">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ustomFormat="false" ht="15" hidden="false" customHeight="false" outlineLevel="0" collapsed="false">
      <c r="A513" s="11"/>
      <c r="B513" s="38"/>
      <c r="E513" s="10"/>
      <c r="G513" s="10"/>
      <c r="J513" s="30" t="str">
        <f aca="false">IF(OR($C513="",$A513=""),"",IF($A513&lt;IFERROR(IF(INDEX(campaigns!$BG$2:$BG$51,MATCH($C513,campaigns!$A$2:$A$51,0))="","",INDEX(campaigns!$BG$2:$BG$51,MATCH($C513,campaigns!$A$2:$A$51,0))),""),0,NETWORKDAYS(IFERROR(IF(INDEX(campaigns!$BG$2:$BG$51,MATCH($C513,campaigns!$A$2:$A$51,0))="","",INDEX(campaigns!$BG$2:$BG$51,MATCH($C513,campaigns!$A$2:$A$51,0))),""),$A513,calendar!$A$2:$A$80)))</f>
        <v/>
      </c>
      <c r="K513" s="30" t="str">
        <f aca="false">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ustomFormat="false" ht="15" hidden="false" customHeight="false" outlineLevel="0" collapsed="false">
      <c r="A514" s="11"/>
      <c r="B514" s="38"/>
      <c r="E514" s="10"/>
      <c r="G514" s="10"/>
      <c r="J514" s="30" t="str">
        <f aca="false">IF(OR($C514="",$A514=""),"",IF($A514&lt;IFERROR(IF(INDEX(campaigns!$BG$2:$BG$51,MATCH($C514,campaigns!$A$2:$A$51,0))="","",INDEX(campaigns!$BG$2:$BG$51,MATCH($C514,campaigns!$A$2:$A$51,0))),""),0,NETWORKDAYS(IFERROR(IF(INDEX(campaigns!$BG$2:$BG$51,MATCH($C514,campaigns!$A$2:$A$51,0))="","",INDEX(campaigns!$BG$2:$BG$51,MATCH($C514,campaigns!$A$2:$A$51,0))),""),$A514,calendar!$A$2:$A$80)))</f>
        <v/>
      </c>
      <c r="K514" s="30" t="str">
        <f aca="false">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ustomFormat="false" ht="15" hidden="false" customHeight="false" outlineLevel="0" collapsed="false">
      <c r="A515" s="11"/>
      <c r="B515" s="38"/>
      <c r="E515" s="10"/>
      <c r="G515" s="10"/>
      <c r="J515" s="30" t="str">
        <f aca="false">IF(OR($C515="",$A515=""),"",IF($A515&lt;IFERROR(IF(INDEX(campaigns!$BG$2:$BG$51,MATCH($C515,campaigns!$A$2:$A$51,0))="","",INDEX(campaigns!$BG$2:$BG$51,MATCH($C515,campaigns!$A$2:$A$51,0))),""),0,NETWORKDAYS(IFERROR(IF(INDEX(campaigns!$BG$2:$BG$51,MATCH($C515,campaigns!$A$2:$A$51,0))="","",INDEX(campaigns!$BG$2:$BG$51,MATCH($C515,campaigns!$A$2:$A$51,0))),""),$A515,calendar!$A$2:$A$80)))</f>
        <v/>
      </c>
      <c r="K515" s="30" t="str">
        <f aca="false">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ustomFormat="false" ht="15" hidden="false" customHeight="false" outlineLevel="0" collapsed="false">
      <c r="A516" s="11"/>
      <c r="B516" s="38"/>
      <c r="E516" s="10"/>
      <c r="G516" s="10"/>
      <c r="J516" s="30" t="str">
        <f aca="false">IF(OR($C516="",$A516=""),"",IF($A516&lt;IFERROR(IF(INDEX(campaigns!$BG$2:$BG$51,MATCH($C516,campaigns!$A$2:$A$51,0))="","",INDEX(campaigns!$BG$2:$BG$51,MATCH($C516,campaigns!$A$2:$A$51,0))),""),0,NETWORKDAYS(IFERROR(IF(INDEX(campaigns!$BG$2:$BG$51,MATCH($C516,campaigns!$A$2:$A$51,0))="","",INDEX(campaigns!$BG$2:$BG$51,MATCH($C516,campaigns!$A$2:$A$51,0))),""),$A516,calendar!$A$2:$A$80)))</f>
        <v/>
      </c>
      <c r="K516" s="30" t="str">
        <f aca="false">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ustomFormat="false" ht="15" hidden="false" customHeight="false" outlineLevel="0" collapsed="false">
      <c r="A517" s="11"/>
      <c r="B517" s="38"/>
      <c r="E517" s="10"/>
      <c r="G517" s="10"/>
      <c r="J517" s="30" t="str">
        <f aca="false">IF(OR($C517="",$A517=""),"",IF($A517&lt;IFERROR(IF(INDEX(campaigns!$BG$2:$BG$51,MATCH($C517,campaigns!$A$2:$A$51,0))="","",INDEX(campaigns!$BG$2:$BG$51,MATCH($C517,campaigns!$A$2:$A$51,0))),""),0,NETWORKDAYS(IFERROR(IF(INDEX(campaigns!$BG$2:$BG$51,MATCH($C517,campaigns!$A$2:$A$51,0))="","",INDEX(campaigns!$BG$2:$BG$51,MATCH($C517,campaigns!$A$2:$A$51,0))),""),$A517,calendar!$A$2:$A$80)))</f>
        <v/>
      </c>
      <c r="K517" s="30" t="str">
        <f aca="false">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ustomFormat="false" ht="15" hidden="false" customHeight="false" outlineLevel="0" collapsed="false">
      <c r="A518" s="11"/>
      <c r="B518" s="38"/>
      <c r="E518" s="10"/>
      <c r="G518" s="10"/>
      <c r="J518" s="30" t="str">
        <f aca="false">IF(OR($C518="",$A518=""),"",IF($A518&lt;IFERROR(IF(INDEX(campaigns!$BG$2:$BG$51,MATCH($C518,campaigns!$A$2:$A$51,0))="","",INDEX(campaigns!$BG$2:$BG$51,MATCH($C518,campaigns!$A$2:$A$51,0))),""),0,NETWORKDAYS(IFERROR(IF(INDEX(campaigns!$BG$2:$BG$51,MATCH($C518,campaigns!$A$2:$A$51,0))="","",INDEX(campaigns!$BG$2:$BG$51,MATCH($C518,campaigns!$A$2:$A$51,0))),""),$A518,calendar!$A$2:$A$80)))</f>
        <v/>
      </c>
      <c r="K518" s="30" t="str">
        <f aca="false">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ustomFormat="false" ht="15" hidden="false" customHeight="false" outlineLevel="0" collapsed="false">
      <c r="A519" s="11"/>
      <c r="B519" s="38"/>
      <c r="E519" s="10"/>
      <c r="G519" s="10"/>
      <c r="J519" s="30" t="str">
        <f aca="false">IF(OR($C519="",$A519=""),"",IF($A519&lt;IFERROR(IF(INDEX(campaigns!$BG$2:$BG$51,MATCH($C519,campaigns!$A$2:$A$51,0))="","",INDEX(campaigns!$BG$2:$BG$51,MATCH($C519,campaigns!$A$2:$A$51,0))),""),0,NETWORKDAYS(IFERROR(IF(INDEX(campaigns!$BG$2:$BG$51,MATCH($C519,campaigns!$A$2:$A$51,0))="","",INDEX(campaigns!$BG$2:$BG$51,MATCH($C519,campaigns!$A$2:$A$51,0))),""),$A519,calendar!$A$2:$A$80)))</f>
        <v/>
      </c>
      <c r="K519" s="30" t="str">
        <f aca="false">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ustomFormat="false" ht="15" hidden="false" customHeight="false" outlineLevel="0" collapsed="false">
      <c r="A520" s="11"/>
      <c r="B520" s="38"/>
      <c r="E520" s="10"/>
      <c r="G520" s="10"/>
      <c r="J520" s="30" t="str">
        <f aca="false">IF(OR($C520="",$A520=""),"",IF($A520&lt;IFERROR(IF(INDEX(campaigns!$BG$2:$BG$51,MATCH($C520,campaigns!$A$2:$A$51,0))="","",INDEX(campaigns!$BG$2:$BG$51,MATCH($C520,campaigns!$A$2:$A$51,0))),""),0,NETWORKDAYS(IFERROR(IF(INDEX(campaigns!$BG$2:$BG$51,MATCH($C520,campaigns!$A$2:$A$51,0))="","",INDEX(campaigns!$BG$2:$BG$51,MATCH($C520,campaigns!$A$2:$A$51,0))),""),$A520,calendar!$A$2:$A$80)))</f>
        <v/>
      </c>
      <c r="K520" s="30" t="str">
        <f aca="false">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ustomFormat="false" ht="15" hidden="false" customHeight="false" outlineLevel="0" collapsed="false">
      <c r="A521" s="11"/>
      <c r="B521" s="38"/>
      <c r="E521" s="10"/>
      <c r="G521" s="10"/>
      <c r="J521" s="30" t="str">
        <f aca="false">IF(OR($C521="",$A521=""),"",IF($A521&lt;IFERROR(IF(INDEX(campaigns!$BG$2:$BG$51,MATCH($C521,campaigns!$A$2:$A$51,0))="","",INDEX(campaigns!$BG$2:$BG$51,MATCH($C521,campaigns!$A$2:$A$51,0))),""),0,NETWORKDAYS(IFERROR(IF(INDEX(campaigns!$BG$2:$BG$51,MATCH($C521,campaigns!$A$2:$A$51,0))="","",INDEX(campaigns!$BG$2:$BG$51,MATCH($C521,campaigns!$A$2:$A$51,0))),""),$A521,calendar!$A$2:$A$80)))</f>
        <v/>
      </c>
      <c r="K521" s="30" t="str">
        <f aca="false">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ustomFormat="false" ht="15" hidden="false" customHeight="false" outlineLevel="0" collapsed="false">
      <c r="A522" s="11"/>
      <c r="B522" s="38"/>
      <c r="E522" s="10"/>
      <c r="G522" s="10"/>
      <c r="J522" s="30" t="str">
        <f aca="false">IF(OR($C522="",$A522=""),"",IF($A522&lt;IFERROR(IF(INDEX(campaigns!$BG$2:$BG$51,MATCH($C522,campaigns!$A$2:$A$51,0))="","",INDEX(campaigns!$BG$2:$BG$51,MATCH($C522,campaigns!$A$2:$A$51,0))),""),0,NETWORKDAYS(IFERROR(IF(INDEX(campaigns!$BG$2:$BG$51,MATCH($C522,campaigns!$A$2:$A$51,0))="","",INDEX(campaigns!$BG$2:$BG$51,MATCH($C522,campaigns!$A$2:$A$51,0))),""),$A522,calendar!$A$2:$A$80)))</f>
        <v/>
      </c>
      <c r="K522" s="30" t="str">
        <f aca="false">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ustomFormat="false" ht="15" hidden="false" customHeight="false" outlineLevel="0" collapsed="false">
      <c r="A523" s="11"/>
      <c r="B523" s="38"/>
      <c r="E523" s="10"/>
      <c r="G523" s="10"/>
      <c r="J523" s="30" t="str">
        <f aca="false">IF(OR($C523="",$A523=""),"",IF($A523&lt;IFERROR(IF(INDEX(campaigns!$BG$2:$BG$51,MATCH($C523,campaigns!$A$2:$A$51,0))="","",INDEX(campaigns!$BG$2:$BG$51,MATCH($C523,campaigns!$A$2:$A$51,0))),""),0,NETWORKDAYS(IFERROR(IF(INDEX(campaigns!$BG$2:$BG$51,MATCH($C523,campaigns!$A$2:$A$51,0))="","",INDEX(campaigns!$BG$2:$BG$51,MATCH($C523,campaigns!$A$2:$A$51,0))),""),$A523,calendar!$A$2:$A$80)))</f>
        <v/>
      </c>
      <c r="K523" s="30" t="str">
        <f aca="false">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ustomFormat="false" ht="15" hidden="false" customHeight="false" outlineLevel="0" collapsed="false">
      <c r="A524" s="11"/>
      <c r="B524" s="38"/>
      <c r="E524" s="10"/>
      <c r="G524" s="10"/>
      <c r="J524" s="30" t="str">
        <f aca="false">IF(OR($C524="",$A524=""),"",IF($A524&lt;IFERROR(IF(INDEX(campaigns!$BG$2:$BG$51,MATCH($C524,campaigns!$A$2:$A$51,0))="","",INDEX(campaigns!$BG$2:$BG$51,MATCH($C524,campaigns!$A$2:$A$51,0))),""),0,NETWORKDAYS(IFERROR(IF(INDEX(campaigns!$BG$2:$BG$51,MATCH($C524,campaigns!$A$2:$A$51,0))="","",INDEX(campaigns!$BG$2:$BG$51,MATCH($C524,campaigns!$A$2:$A$51,0))),""),$A524,calendar!$A$2:$A$80)))</f>
        <v/>
      </c>
      <c r="K524" s="30" t="str">
        <f aca="false">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ustomFormat="false" ht="15" hidden="false" customHeight="false" outlineLevel="0" collapsed="false">
      <c r="A525" s="11"/>
      <c r="B525" s="38"/>
      <c r="E525" s="10"/>
      <c r="G525" s="10"/>
      <c r="J525" s="30" t="str">
        <f aca="false">IF(OR($C525="",$A525=""),"",IF($A525&lt;IFERROR(IF(INDEX(campaigns!$BG$2:$BG$51,MATCH($C525,campaigns!$A$2:$A$51,0))="","",INDEX(campaigns!$BG$2:$BG$51,MATCH($C525,campaigns!$A$2:$A$51,0))),""),0,NETWORKDAYS(IFERROR(IF(INDEX(campaigns!$BG$2:$BG$51,MATCH($C525,campaigns!$A$2:$A$51,0))="","",INDEX(campaigns!$BG$2:$BG$51,MATCH($C525,campaigns!$A$2:$A$51,0))),""),$A525,calendar!$A$2:$A$80)))</f>
        <v/>
      </c>
      <c r="K525" s="30" t="str">
        <f aca="false">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ustomFormat="false" ht="15" hidden="false" customHeight="false" outlineLevel="0" collapsed="false">
      <c r="A526" s="11"/>
      <c r="B526" s="38"/>
      <c r="E526" s="10"/>
      <c r="G526" s="10"/>
      <c r="J526" s="30" t="str">
        <f aca="false">IF(OR($C526="",$A526=""),"",IF($A526&lt;IFERROR(IF(INDEX(campaigns!$BG$2:$BG$51,MATCH($C526,campaigns!$A$2:$A$51,0))="","",INDEX(campaigns!$BG$2:$BG$51,MATCH($C526,campaigns!$A$2:$A$51,0))),""),0,NETWORKDAYS(IFERROR(IF(INDEX(campaigns!$BG$2:$BG$51,MATCH($C526,campaigns!$A$2:$A$51,0))="","",INDEX(campaigns!$BG$2:$BG$51,MATCH($C526,campaigns!$A$2:$A$51,0))),""),$A526,calendar!$A$2:$A$80)))</f>
        <v/>
      </c>
      <c r="K526" s="30" t="str">
        <f aca="false">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ustomFormat="false" ht="15" hidden="false" customHeight="false" outlineLevel="0" collapsed="false">
      <c r="A527" s="11"/>
      <c r="B527" s="38"/>
      <c r="E527" s="10"/>
      <c r="G527" s="10"/>
      <c r="J527" s="30" t="str">
        <f aca="false">IF(OR($C527="",$A527=""),"",IF($A527&lt;IFERROR(IF(INDEX(campaigns!$BG$2:$BG$51,MATCH($C527,campaigns!$A$2:$A$51,0))="","",INDEX(campaigns!$BG$2:$BG$51,MATCH($C527,campaigns!$A$2:$A$51,0))),""),0,NETWORKDAYS(IFERROR(IF(INDEX(campaigns!$BG$2:$BG$51,MATCH($C527,campaigns!$A$2:$A$51,0))="","",INDEX(campaigns!$BG$2:$BG$51,MATCH($C527,campaigns!$A$2:$A$51,0))),""),$A527,calendar!$A$2:$A$80)))</f>
        <v/>
      </c>
      <c r="K527" s="30" t="str">
        <f aca="false">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ustomFormat="false" ht="15" hidden="false" customHeight="false" outlineLevel="0" collapsed="false">
      <c r="A528" s="11"/>
      <c r="B528" s="38"/>
      <c r="E528" s="10"/>
      <c r="G528" s="10"/>
      <c r="J528" s="30" t="str">
        <f aca="false">IF(OR($C528="",$A528=""),"",IF($A528&lt;IFERROR(IF(INDEX(campaigns!$BG$2:$BG$51,MATCH($C528,campaigns!$A$2:$A$51,0))="","",INDEX(campaigns!$BG$2:$BG$51,MATCH($C528,campaigns!$A$2:$A$51,0))),""),0,NETWORKDAYS(IFERROR(IF(INDEX(campaigns!$BG$2:$BG$51,MATCH($C528,campaigns!$A$2:$A$51,0))="","",INDEX(campaigns!$BG$2:$BG$51,MATCH($C528,campaigns!$A$2:$A$51,0))),""),$A528,calendar!$A$2:$A$80)))</f>
        <v/>
      </c>
      <c r="K528" s="30" t="str">
        <f aca="false">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ustomFormat="false" ht="15" hidden="false" customHeight="false" outlineLevel="0" collapsed="false">
      <c r="A529" s="11"/>
      <c r="B529" s="38"/>
      <c r="E529" s="10"/>
      <c r="G529" s="10"/>
      <c r="J529" s="30" t="str">
        <f aca="false">IF(OR($C529="",$A529=""),"",IF($A529&lt;IFERROR(IF(INDEX(campaigns!$BG$2:$BG$51,MATCH($C529,campaigns!$A$2:$A$51,0))="","",INDEX(campaigns!$BG$2:$BG$51,MATCH($C529,campaigns!$A$2:$A$51,0))),""),0,NETWORKDAYS(IFERROR(IF(INDEX(campaigns!$BG$2:$BG$51,MATCH($C529,campaigns!$A$2:$A$51,0))="","",INDEX(campaigns!$BG$2:$BG$51,MATCH($C529,campaigns!$A$2:$A$51,0))),""),$A529,calendar!$A$2:$A$80)))</f>
        <v/>
      </c>
      <c r="K529" s="30" t="str">
        <f aca="false">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ustomFormat="false" ht="15" hidden="false" customHeight="false" outlineLevel="0" collapsed="false">
      <c r="A530" s="11"/>
      <c r="B530" s="38"/>
      <c r="E530" s="10"/>
      <c r="G530" s="10"/>
      <c r="J530" s="30" t="str">
        <f aca="false">IF(OR($C530="",$A530=""),"",IF($A530&lt;IFERROR(IF(INDEX(campaigns!$BG$2:$BG$51,MATCH($C530,campaigns!$A$2:$A$51,0))="","",INDEX(campaigns!$BG$2:$BG$51,MATCH($C530,campaigns!$A$2:$A$51,0))),""),0,NETWORKDAYS(IFERROR(IF(INDEX(campaigns!$BG$2:$BG$51,MATCH($C530,campaigns!$A$2:$A$51,0))="","",INDEX(campaigns!$BG$2:$BG$51,MATCH($C530,campaigns!$A$2:$A$51,0))),""),$A530,calendar!$A$2:$A$80)))</f>
        <v/>
      </c>
      <c r="K530" s="30" t="str">
        <f aca="false">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ustomFormat="false" ht="15" hidden="false" customHeight="false" outlineLevel="0" collapsed="false">
      <c r="A531" s="11"/>
      <c r="B531" s="38"/>
      <c r="E531" s="10"/>
      <c r="G531" s="10"/>
      <c r="J531" s="30" t="str">
        <f aca="false">IF(OR($C531="",$A531=""),"",IF($A531&lt;IFERROR(IF(INDEX(campaigns!$BG$2:$BG$51,MATCH($C531,campaigns!$A$2:$A$51,0))="","",INDEX(campaigns!$BG$2:$BG$51,MATCH($C531,campaigns!$A$2:$A$51,0))),""),0,NETWORKDAYS(IFERROR(IF(INDEX(campaigns!$BG$2:$BG$51,MATCH($C531,campaigns!$A$2:$A$51,0))="","",INDEX(campaigns!$BG$2:$BG$51,MATCH($C531,campaigns!$A$2:$A$51,0))),""),$A531,calendar!$A$2:$A$80)))</f>
        <v/>
      </c>
      <c r="K531" s="30" t="str">
        <f aca="false">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ustomFormat="false" ht="15" hidden="false" customHeight="false" outlineLevel="0" collapsed="false">
      <c r="A532" s="11"/>
      <c r="B532" s="38"/>
      <c r="E532" s="10"/>
      <c r="G532" s="10"/>
      <c r="J532" s="30" t="str">
        <f aca="false">IF(OR($C532="",$A532=""),"",IF($A532&lt;IFERROR(IF(INDEX(campaigns!$BG$2:$BG$51,MATCH($C532,campaigns!$A$2:$A$51,0))="","",INDEX(campaigns!$BG$2:$BG$51,MATCH($C532,campaigns!$A$2:$A$51,0))),""),0,NETWORKDAYS(IFERROR(IF(INDEX(campaigns!$BG$2:$BG$51,MATCH($C532,campaigns!$A$2:$A$51,0))="","",INDEX(campaigns!$BG$2:$BG$51,MATCH($C532,campaigns!$A$2:$A$51,0))),""),$A532,calendar!$A$2:$A$80)))</f>
        <v/>
      </c>
      <c r="K532" s="30" t="str">
        <f aca="false">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ustomFormat="false" ht="15" hidden="false" customHeight="false" outlineLevel="0" collapsed="false">
      <c r="A533" s="11"/>
      <c r="B533" s="38"/>
      <c r="E533" s="10"/>
      <c r="G533" s="10"/>
      <c r="J533" s="30" t="str">
        <f aca="false">IF(OR($C533="",$A533=""),"",IF($A533&lt;IFERROR(IF(INDEX(campaigns!$BG$2:$BG$51,MATCH($C533,campaigns!$A$2:$A$51,0))="","",INDEX(campaigns!$BG$2:$BG$51,MATCH($C533,campaigns!$A$2:$A$51,0))),""),0,NETWORKDAYS(IFERROR(IF(INDEX(campaigns!$BG$2:$BG$51,MATCH($C533,campaigns!$A$2:$A$51,0))="","",INDEX(campaigns!$BG$2:$BG$51,MATCH($C533,campaigns!$A$2:$A$51,0))),""),$A533,calendar!$A$2:$A$80)))</f>
        <v/>
      </c>
      <c r="K533" s="30" t="str">
        <f aca="false">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ustomFormat="false" ht="15" hidden="false" customHeight="false" outlineLevel="0" collapsed="false">
      <c r="A534" s="11"/>
      <c r="B534" s="38"/>
      <c r="E534" s="10"/>
      <c r="G534" s="10"/>
      <c r="J534" s="30" t="str">
        <f aca="false">IF(OR($C534="",$A534=""),"",IF($A534&lt;IFERROR(IF(INDEX(campaigns!$BG$2:$BG$51,MATCH($C534,campaigns!$A$2:$A$51,0))="","",INDEX(campaigns!$BG$2:$BG$51,MATCH($C534,campaigns!$A$2:$A$51,0))),""),0,NETWORKDAYS(IFERROR(IF(INDEX(campaigns!$BG$2:$BG$51,MATCH($C534,campaigns!$A$2:$A$51,0))="","",INDEX(campaigns!$BG$2:$BG$51,MATCH($C534,campaigns!$A$2:$A$51,0))),""),$A534,calendar!$A$2:$A$80)))</f>
        <v/>
      </c>
      <c r="K534" s="30" t="str">
        <f aca="false">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ustomFormat="false" ht="15" hidden="false" customHeight="false" outlineLevel="0" collapsed="false">
      <c r="A535" s="11"/>
      <c r="B535" s="38"/>
      <c r="E535" s="10"/>
      <c r="G535" s="10"/>
      <c r="J535" s="30" t="str">
        <f aca="false">IF(OR($C535="",$A535=""),"",IF($A535&lt;IFERROR(IF(INDEX(campaigns!$BG$2:$BG$51,MATCH($C535,campaigns!$A$2:$A$51,0))="","",INDEX(campaigns!$BG$2:$BG$51,MATCH($C535,campaigns!$A$2:$A$51,0))),""),0,NETWORKDAYS(IFERROR(IF(INDEX(campaigns!$BG$2:$BG$51,MATCH($C535,campaigns!$A$2:$A$51,0))="","",INDEX(campaigns!$BG$2:$BG$51,MATCH($C535,campaigns!$A$2:$A$51,0))),""),$A535,calendar!$A$2:$A$80)))</f>
        <v/>
      </c>
      <c r="K535" s="30" t="str">
        <f aca="false">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ustomFormat="false" ht="15" hidden="false" customHeight="false" outlineLevel="0" collapsed="false">
      <c r="A536" s="11"/>
      <c r="B536" s="38"/>
      <c r="E536" s="10"/>
      <c r="G536" s="10"/>
      <c r="J536" s="30" t="str">
        <f aca="false">IF(OR($C536="",$A536=""),"",IF($A536&lt;IFERROR(IF(INDEX(campaigns!$BG$2:$BG$51,MATCH($C536,campaigns!$A$2:$A$51,0))="","",INDEX(campaigns!$BG$2:$BG$51,MATCH($C536,campaigns!$A$2:$A$51,0))),""),0,NETWORKDAYS(IFERROR(IF(INDEX(campaigns!$BG$2:$BG$51,MATCH($C536,campaigns!$A$2:$A$51,0))="","",INDEX(campaigns!$BG$2:$BG$51,MATCH($C536,campaigns!$A$2:$A$51,0))),""),$A536,calendar!$A$2:$A$80)))</f>
        <v/>
      </c>
      <c r="K536" s="30" t="str">
        <f aca="false">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ustomFormat="false" ht="15" hidden="false" customHeight="false" outlineLevel="0" collapsed="false">
      <c r="A537" s="11"/>
      <c r="B537" s="38"/>
      <c r="E537" s="10"/>
      <c r="G537" s="10"/>
      <c r="J537" s="30" t="str">
        <f aca="false">IF(OR($C537="",$A537=""),"",IF($A537&lt;IFERROR(IF(INDEX(campaigns!$BG$2:$BG$51,MATCH($C537,campaigns!$A$2:$A$51,0))="","",INDEX(campaigns!$BG$2:$BG$51,MATCH($C537,campaigns!$A$2:$A$51,0))),""),0,NETWORKDAYS(IFERROR(IF(INDEX(campaigns!$BG$2:$BG$51,MATCH($C537,campaigns!$A$2:$A$51,0))="","",INDEX(campaigns!$BG$2:$BG$51,MATCH($C537,campaigns!$A$2:$A$51,0))),""),$A537,calendar!$A$2:$A$80)))</f>
        <v/>
      </c>
      <c r="K537" s="30" t="str">
        <f aca="false">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ustomFormat="false" ht="15" hidden="false" customHeight="false" outlineLevel="0" collapsed="false">
      <c r="A538" s="11"/>
      <c r="B538" s="38"/>
      <c r="E538" s="10"/>
      <c r="G538" s="10"/>
      <c r="J538" s="30" t="str">
        <f aca="false">IF(OR($C538="",$A538=""),"",IF($A538&lt;IFERROR(IF(INDEX(campaigns!$BG$2:$BG$51,MATCH($C538,campaigns!$A$2:$A$51,0))="","",INDEX(campaigns!$BG$2:$BG$51,MATCH($C538,campaigns!$A$2:$A$51,0))),""),0,NETWORKDAYS(IFERROR(IF(INDEX(campaigns!$BG$2:$BG$51,MATCH($C538,campaigns!$A$2:$A$51,0))="","",INDEX(campaigns!$BG$2:$BG$51,MATCH($C538,campaigns!$A$2:$A$51,0))),""),$A538,calendar!$A$2:$A$80)))</f>
        <v/>
      </c>
      <c r="K538" s="30" t="str">
        <f aca="false">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ustomFormat="false" ht="15" hidden="false" customHeight="false" outlineLevel="0" collapsed="false">
      <c r="A539" s="11"/>
      <c r="B539" s="38"/>
      <c r="E539" s="10"/>
      <c r="G539" s="10"/>
      <c r="J539" s="30" t="str">
        <f aca="false">IF(OR($C539="",$A539=""),"",IF($A539&lt;IFERROR(IF(INDEX(campaigns!$BG$2:$BG$51,MATCH($C539,campaigns!$A$2:$A$51,0))="","",INDEX(campaigns!$BG$2:$BG$51,MATCH($C539,campaigns!$A$2:$A$51,0))),""),0,NETWORKDAYS(IFERROR(IF(INDEX(campaigns!$BG$2:$BG$51,MATCH($C539,campaigns!$A$2:$A$51,0))="","",INDEX(campaigns!$BG$2:$BG$51,MATCH($C539,campaigns!$A$2:$A$51,0))),""),$A539,calendar!$A$2:$A$80)))</f>
        <v/>
      </c>
      <c r="K539" s="30" t="str">
        <f aca="false">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ustomFormat="false" ht="15" hidden="false" customHeight="false" outlineLevel="0" collapsed="false">
      <c r="A540" s="11"/>
      <c r="B540" s="38"/>
      <c r="E540" s="10"/>
      <c r="G540" s="10"/>
      <c r="J540" s="30" t="str">
        <f aca="false">IF(OR($C540="",$A540=""),"",IF($A540&lt;IFERROR(IF(INDEX(campaigns!$BG$2:$BG$51,MATCH($C540,campaigns!$A$2:$A$51,0))="","",INDEX(campaigns!$BG$2:$BG$51,MATCH($C540,campaigns!$A$2:$A$51,0))),""),0,NETWORKDAYS(IFERROR(IF(INDEX(campaigns!$BG$2:$BG$51,MATCH($C540,campaigns!$A$2:$A$51,0))="","",INDEX(campaigns!$BG$2:$BG$51,MATCH($C540,campaigns!$A$2:$A$51,0))),""),$A540,calendar!$A$2:$A$80)))</f>
        <v/>
      </c>
      <c r="K540" s="30" t="str">
        <f aca="false">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ustomFormat="false" ht="15" hidden="false" customHeight="false" outlineLevel="0" collapsed="false">
      <c r="A541" s="11"/>
      <c r="B541" s="38"/>
      <c r="E541" s="10"/>
      <c r="G541" s="10"/>
      <c r="J541" s="30" t="str">
        <f aca="false">IF(OR($C541="",$A541=""),"",IF($A541&lt;IFERROR(IF(INDEX(campaigns!$BG$2:$BG$51,MATCH($C541,campaigns!$A$2:$A$51,0))="","",INDEX(campaigns!$BG$2:$BG$51,MATCH($C541,campaigns!$A$2:$A$51,0))),""),0,NETWORKDAYS(IFERROR(IF(INDEX(campaigns!$BG$2:$BG$51,MATCH($C541,campaigns!$A$2:$A$51,0))="","",INDEX(campaigns!$BG$2:$BG$51,MATCH($C541,campaigns!$A$2:$A$51,0))),""),$A541,calendar!$A$2:$A$80)))</f>
        <v/>
      </c>
      <c r="K541" s="30" t="str">
        <f aca="false">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ustomFormat="false" ht="15" hidden="false" customHeight="false" outlineLevel="0" collapsed="false">
      <c r="A542" s="11"/>
      <c r="B542" s="38"/>
      <c r="E542" s="10"/>
      <c r="G542" s="10"/>
      <c r="J542" s="30" t="str">
        <f aca="false">IF(OR($C542="",$A542=""),"",IF($A542&lt;IFERROR(IF(INDEX(campaigns!$BG$2:$BG$51,MATCH($C542,campaigns!$A$2:$A$51,0))="","",INDEX(campaigns!$BG$2:$BG$51,MATCH($C542,campaigns!$A$2:$A$51,0))),""),0,NETWORKDAYS(IFERROR(IF(INDEX(campaigns!$BG$2:$BG$51,MATCH($C542,campaigns!$A$2:$A$51,0))="","",INDEX(campaigns!$BG$2:$BG$51,MATCH($C542,campaigns!$A$2:$A$51,0))),""),$A542,calendar!$A$2:$A$80)))</f>
        <v/>
      </c>
      <c r="K542" s="30" t="str">
        <f aca="false">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ustomFormat="false" ht="15" hidden="false" customHeight="false" outlineLevel="0" collapsed="false">
      <c r="A543" s="11"/>
      <c r="B543" s="38"/>
      <c r="E543" s="10"/>
      <c r="G543" s="10"/>
      <c r="J543" s="30" t="str">
        <f aca="false">IF(OR($C543="",$A543=""),"",IF($A543&lt;IFERROR(IF(INDEX(campaigns!$BG$2:$BG$51,MATCH($C543,campaigns!$A$2:$A$51,0))="","",INDEX(campaigns!$BG$2:$BG$51,MATCH($C543,campaigns!$A$2:$A$51,0))),""),0,NETWORKDAYS(IFERROR(IF(INDEX(campaigns!$BG$2:$BG$51,MATCH($C543,campaigns!$A$2:$A$51,0))="","",INDEX(campaigns!$BG$2:$BG$51,MATCH($C543,campaigns!$A$2:$A$51,0))),""),$A543,calendar!$A$2:$A$80)))</f>
        <v/>
      </c>
      <c r="K543" s="30" t="str">
        <f aca="false">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ustomFormat="false" ht="15" hidden="false" customHeight="false" outlineLevel="0" collapsed="false">
      <c r="A544" s="11"/>
      <c r="B544" s="38"/>
      <c r="E544" s="10"/>
      <c r="G544" s="10"/>
      <c r="J544" s="30" t="str">
        <f aca="false">IF(OR($C544="",$A544=""),"",IF($A544&lt;IFERROR(IF(INDEX(campaigns!$BG$2:$BG$51,MATCH($C544,campaigns!$A$2:$A$51,0))="","",INDEX(campaigns!$BG$2:$BG$51,MATCH($C544,campaigns!$A$2:$A$51,0))),""),0,NETWORKDAYS(IFERROR(IF(INDEX(campaigns!$BG$2:$BG$51,MATCH($C544,campaigns!$A$2:$A$51,0))="","",INDEX(campaigns!$BG$2:$BG$51,MATCH($C544,campaigns!$A$2:$A$51,0))),""),$A544,calendar!$A$2:$A$80)))</f>
        <v/>
      </c>
      <c r="K544" s="30" t="str">
        <f aca="false">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ustomFormat="false" ht="15" hidden="false" customHeight="false" outlineLevel="0" collapsed="false">
      <c r="A545" s="11"/>
      <c r="B545" s="38"/>
      <c r="E545" s="10"/>
      <c r="G545" s="10"/>
      <c r="J545" s="30" t="str">
        <f aca="false">IF(OR($C545="",$A545=""),"",IF($A545&lt;IFERROR(IF(INDEX(campaigns!$BG$2:$BG$51,MATCH($C545,campaigns!$A$2:$A$51,0))="","",INDEX(campaigns!$BG$2:$BG$51,MATCH($C545,campaigns!$A$2:$A$51,0))),""),0,NETWORKDAYS(IFERROR(IF(INDEX(campaigns!$BG$2:$BG$51,MATCH($C545,campaigns!$A$2:$A$51,0))="","",INDEX(campaigns!$BG$2:$BG$51,MATCH($C545,campaigns!$A$2:$A$51,0))),""),$A545,calendar!$A$2:$A$80)))</f>
        <v/>
      </c>
      <c r="K545" s="30" t="str">
        <f aca="false">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ustomFormat="false" ht="15" hidden="false" customHeight="false" outlineLevel="0" collapsed="false">
      <c r="A546" s="11"/>
      <c r="B546" s="38"/>
      <c r="E546" s="10"/>
      <c r="G546" s="10"/>
      <c r="J546" s="30" t="str">
        <f aca="false">IF(OR($C546="",$A546=""),"",IF($A546&lt;IFERROR(IF(INDEX(campaigns!$BG$2:$BG$51,MATCH($C546,campaigns!$A$2:$A$51,0))="","",INDEX(campaigns!$BG$2:$BG$51,MATCH($C546,campaigns!$A$2:$A$51,0))),""),0,NETWORKDAYS(IFERROR(IF(INDEX(campaigns!$BG$2:$BG$51,MATCH($C546,campaigns!$A$2:$A$51,0))="","",INDEX(campaigns!$BG$2:$BG$51,MATCH($C546,campaigns!$A$2:$A$51,0))),""),$A546,calendar!$A$2:$A$80)))</f>
        <v/>
      </c>
      <c r="K546" s="30" t="str">
        <f aca="false">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ustomFormat="false" ht="15" hidden="false" customHeight="false" outlineLevel="0" collapsed="false">
      <c r="A547" s="11"/>
      <c r="B547" s="38"/>
      <c r="E547" s="10"/>
      <c r="G547" s="10"/>
      <c r="J547" s="30" t="str">
        <f aca="false">IF(OR($C547="",$A547=""),"",IF($A547&lt;IFERROR(IF(INDEX(campaigns!$BG$2:$BG$51,MATCH($C547,campaigns!$A$2:$A$51,0))="","",INDEX(campaigns!$BG$2:$BG$51,MATCH($C547,campaigns!$A$2:$A$51,0))),""),0,NETWORKDAYS(IFERROR(IF(INDEX(campaigns!$BG$2:$BG$51,MATCH($C547,campaigns!$A$2:$A$51,0))="","",INDEX(campaigns!$BG$2:$BG$51,MATCH($C547,campaigns!$A$2:$A$51,0))),""),$A547,calendar!$A$2:$A$80)))</f>
        <v/>
      </c>
      <c r="K547" s="30" t="str">
        <f aca="false">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ustomFormat="false" ht="15" hidden="false" customHeight="false" outlineLevel="0" collapsed="false">
      <c r="A548" s="11"/>
      <c r="B548" s="38"/>
      <c r="E548" s="10"/>
      <c r="G548" s="10"/>
      <c r="J548" s="30" t="str">
        <f aca="false">IF(OR($C548="",$A548=""),"",IF($A548&lt;IFERROR(IF(INDEX(campaigns!$BG$2:$BG$51,MATCH($C548,campaigns!$A$2:$A$51,0))="","",INDEX(campaigns!$BG$2:$BG$51,MATCH($C548,campaigns!$A$2:$A$51,0))),""),0,NETWORKDAYS(IFERROR(IF(INDEX(campaigns!$BG$2:$BG$51,MATCH($C548,campaigns!$A$2:$A$51,0))="","",INDEX(campaigns!$BG$2:$BG$51,MATCH($C548,campaigns!$A$2:$A$51,0))),""),$A548,calendar!$A$2:$A$80)))</f>
        <v/>
      </c>
      <c r="K548" s="30" t="str">
        <f aca="false">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ustomFormat="false" ht="15" hidden="false" customHeight="false" outlineLevel="0" collapsed="false">
      <c r="A549" s="11"/>
      <c r="B549" s="38"/>
      <c r="E549" s="10"/>
      <c r="G549" s="10"/>
      <c r="J549" s="30" t="str">
        <f aca="false">IF(OR($C549="",$A549=""),"",IF($A549&lt;IFERROR(IF(INDEX(campaigns!$BG$2:$BG$51,MATCH($C549,campaigns!$A$2:$A$51,0))="","",INDEX(campaigns!$BG$2:$BG$51,MATCH($C549,campaigns!$A$2:$A$51,0))),""),0,NETWORKDAYS(IFERROR(IF(INDEX(campaigns!$BG$2:$BG$51,MATCH($C549,campaigns!$A$2:$A$51,0))="","",INDEX(campaigns!$BG$2:$BG$51,MATCH($C549,campaigns!$A$2:$A$51,0))),""),$A549,calendar!$A$2:$A$80)))</f>
        <v/>
      </c>
      <c r="K549" s="30" t="str">
        <f aca="false">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ustomFormat="false" ht="15" hidden="false" customHeight="false" outlineLevel="0" collapsed="false">
      <c r="A550" s="11"/>
      <c r="B550" s="38"/>
      <c r="E550" s="10"/>
      <c r="G550" s="10"/>
      <c r="J550" s="30" t="str">
        <f aca="false">IF(OR($C550="",$A550=""),"",IF($A550&lt;IFERROR(IF(INDEX(campaigns!$BG$2:$BG$51,MATCH($C550,campaigns!$A$2:$A$51,0))="","",INDEX(campaigns!$BG$2:$BG$51,MATCH($C550,campaigns!$A$2:$A$51,0))),""),0,NETWORKDAYS(IFERROR(IF(INDEX(campaigns!$BG$2:$BG$51,MATCH($C550,campaigns!$A$2:$A$51,0))="","",INDEX(campaigns!$BG$2:$BG$51,MATCH($C550,campaigns!$A$2:$A$51,0))),""),$A550,calendar!$A$2:$A$80)))</f>
        <v/>
      </c>
      <c r="K550" s="30" t="str">
        <f aca="false">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ustomFormat="false" ht="15" hidden="false" customHeight="false" outlineLevel="0" collapsed="false">
      <c r="A551" s="11"/>
      <c r="B551" s="38"/>
      <c r="E551" s="10"/>
      <c r="G551" s="10"/>
      <c r="J551" s="30" t="str">
        <f aca="false">IF(OR($C551="",$A551=""),"",IF($A551&lt;IFERROR(IF(INDEX(campaigns!$BG$2:$BG$51,MATCH($C551,campaigns!$A$2:$A$51,0))="","",INDEX(campaigns!$BG$2:$BG$51,MATCH($C551,campaigns!$A$2:$A$51,0))),""),0,NETWORKDAYS(IFERROR(IF(INDEX(campaigns!$BG$2:$BG$51,MATCH($C551,campaigns!$A$2:$A$51,0))="","",INDEX(campaigns!$BG$2:$BG$51,MATCH($C551,campaigns!$A$2:$A$51,0))),""),$A551,calendar!$A$2:$A$80)))</f>
        <v/>
      </c>
      <c r="K551" s="30" t="str">
        <f aca="false">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ustomFormat="false" ht="15" hidden="false" customHeight="false" outlineLevel="0" collapsed="false">
      <c r="A552" s="11"/>
      <c r="B552" s="38"/>
      <c r="E552" s="10"/>
      <c r="G552" s="10"/>
      <c r="J552" s="30" t="str">
        <f aca="false">IF(OR($C552="",$A552=""),"",IF($A552&lt;IFERROR(IF(INDEX(campaigns!$BG$2:$BG$51,MATCH($C552,campaigns!$A$2:$A$51,0))="","",INDEX(campaigns!$BG$2:$BG$51,MATCH($C552,campaigns!$A$2:$A$51,0))),""),0,NETWORKDAYS(IFERROR(IF(INDEX(campaigns!$BG$2:$BG$51,MATCH($C552,campaigns!$A$2:$A$51,0))="","",INDEX(campaigns!$BG$2:$BG$51,MATCH($C552,campaigns!$A$2:$A$51,0))),""),$A552,calendar!$A$2:$A$80)))</f>
        <v/>
      </c>
      <c r="K552" s="30" t="str">
        <f aca="false">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ustomFormat="false" ht="15" hidden="false" customHeight="false" outlineLevel="0" collapsed="false">
      <c r="A553" s="11"/>
      <c r="B553" s="38"/>
      <c r="E553" s="10"/>
      <c r="G553" s="10"/>
      <c r="J553" s="30" t="str">
        <f aca="false">IF(OR($C553="",$A553=""),"",IF($A553&lt;IFERROR(IF(INDEX(campaigns!$BG$2:$BG$51,MATCH($C553,campaigns!$A$2:$A$51,0))="","",INDEX(campaigns!$BG$2:$BG$51,MATCH($C553,campaigns!$A$2:$A$51,0))),""),0,NETWORKDAYS(IFERROR(IF(INDEX(campaigns!$BG$2:$BG$51,MATCH($C553,campaigns!$A$2:$A$51,0))="","",INDEX(campaigns!$BG$2:$BG$51,MATCH($C553,campaigns!$A$2:$A$51,0))),""),$A553,calendar!$A$2:$A$80)))</f>
        <v/>
      </c>
      <c r="K553" s="30" t="str">
        <f aca="false">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ustomFormat="false" ht="15" hidden="false" customHeight="false" outlineLevel="0" collapsed="false">
      <c r="A554" s="11"/>
      <c r="B554" s="38"/>
      <c r="E554" s="10"/>
      <c r="G554" s="10"/>
      <c r="J554" s="30" t="str">
        <f aca="false">IF(OR($C554="",$A554=""),"",IF($A554&lt;IFERROR(IF(INDEX(campaigns!$BG$2:$BG$51,MATCH($C554,campaigns!$A$2:$A$51,0))="","",INDEX(campaigns!$BG$2:$BG$51,MATCH($C554,campaigns!$A$2:$A$51,0))),""),0,NETWORKDAYS(IFERROR(IF(INDEX(campaigns!$BG$2:$BG$51,MATCH($C554,campaigns!$A$2:$A$51,0))="","",INDEX(campaigns!$BG$2:$BG$51,MATCH($C554,campaigns!$A$2:$A$51,0))),""),$A554,calendar!$A$2:$A$80)))</f>
        <v/>
      </c>
      <c r="K554" s="30" t="str">
        <f aca="false">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ustomFormat="false" ht="15" hidden="false" customHeight="false" outlineLevel="0" collapsed="false">
      <c r="A555" s="11"/>
      <c r="B555" s="38"/>
      <c r="E555" s="10"/>
      <c r="G555" s="10"/>
      <c r="J555" s="30" t="str">
        <f aca="false">IF(OR($C555="",$A555=""),"",IF($A555&lt;IFERROR(IF(INDEX(campaigns!$BG$2:$BG$51,MATCH($C555,campaigns!$A$2:$A$51,0))="","",INDEX(campaigns!$BG$2:$BG$51,MATCH($C555,campaigns!$A$2:$A$51,0))),""),0,NETWORKDAYS(IFERROR(IF(INDEX(campaigns!$BG$2:$BG$51,MATCH($C555,campaigns!$A$2:$A$51,0))="","",INDEX(campaigns!$BG$2:$BG$51,MATCH($C555,campaigns!$A$2:$A$51,0))),""),$A555,calendar!$A$2:$A$80)))</f>
        <v/>
      </c>
      <c r="K555" s="30" t="str">
        <f aca="false">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ustomFormat="false" ht="15" hidden="false" customHeight="false" outlineLevel="0" collapsed="false">
      <c r="A556" s="11"/>
      <c r="B556" s="38"/>
      <c r="E556" s="10"/>
      <c r="G556" s="10"/>
      <c r="J556" s="30" t="str">
        <f aca="false">IF(OR($C556="",$A556=""),"",IF($A556&lt;IFERROR(IF(INDEX(campaigns!$BG$2:$BG$51,MATCH($C556,campaigns!$A$2:$A$51,0))="","",INDEX(campaigns!$BG$2:$BG$51,MATCH($C556,campaigns!$A$2:$A$51,0))),""),0,NETWORKDAYS(IFERROR(IF(INDEX(campaigns!$BG$2:$BG$51,MATCH($C556,campaigns!$A$2:$A$51,0))="","",INDEX(campaigns!$BG$2:$BG$51,MATCH($C556,campaigns!$A$2:$A$51,0))),""),$A556,calendar!$A$2:$A$80)))</f>
        <v/>
      </c>
      <c r="K556" s="30" t="str">
        <f aca="false">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ustomFormat="false" ht="15" hidden="false" customHeight="false" outlineLevel="0" collapsed="false">
      <c r="A557" s="11"/>
      <c r="B557" s="38"/>
      <c r="E557" s="10"/>
      <c r="G557" s="10"/>
      <c r="J557" s="30" t="str">
        <f aca="false">IF(OR($C557="",$A557=""),"",IF($A557&lt;IFERROR(IF(INDEX(campaigns!$BG$2:$BG$51,MATCH($C557,campaigns!$A$2:$A$51,0))="","",INDEX(campaigns!$BG$2:$BG$51,MATCH($C557,campaigns!$A$2:$A$51,0))),""),0,NETWORKDAYS(IFERROR(IF(INDEX(campaigns!$BG$2:$BG$51,MATCH($C557,campaigns!$A$2:$A$51,0))="","",INDEX(campaigns!$BG$2:$BG$51,MATCH($C557,campaigns!$A$2:$A$51,0))),""),$A557,calendar!$A$2:$A$80)))</f>
        <v/>
      </c>
      <c r="K557" s="30" t="str">
        <f aca="false">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ustomFormat="false" ht="15" hidden="false" customHeight="false" outlineLevel="0" collapsed="false">
      <c r="A558" s="11"/>
      <c r="B558" s="38"/>
      <c r="E558" s="10"/>
      <c r="G558" s="10"/>
      <c r="J558" s="30" t="str">
        <f aca="false">IF(OR($C558="",$A558=""),"",IF($A558&lt;IFERROR(IF(INDEX(campaigns!$BG$2:$BG$51,MATCH($C558,campaigns!$A$2:$A$51,0))="","",INDEX(campaigns!$BG$2:$BG$51,MATCH($C558,campaigns!$A$2:$A$51,0))),""),0,NETWORKDAYS(IFERROR(IF(INDEX(campaigns!$BG$2:$BG$51,MATCH($C558,campaigns!$A$2:$A$51,0))="","",INDEX(campaigns!$BG$2:$BG$51,MATCH($C558,campaigns!$A$2:$A$51,0))),""),$A558,calendar!$A$2:$A$80)))</f>
        <v/>
      </c>
      <c r="K558" s="30" t="str">
        <f aca="false">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ustomFormat="false" ht="15" hidden="false" customHeight="false" outlineLevel="0" collapsed="false">
      <c r="A559" s="11"/>
      <c r="B559" s="38"/>
      <c r="E559" s="10"/>
      <c r="G559" s="10"/>
      <c r="J559" s="30" t="str">
        <f aca="false">IF(OR($C559="",$A559=""),"",IF($A559&lt;IFERROR(IF(INDEX(campaigns!$BG$2:$BG$51,MATCH($C559,campaigns!$A$2:$A$51,0))="","",INDEX(campaigns!$BG$2:$BG$51,MATCH($C559,campaigns!$A$2:$A$51,0))),""),0,NETWORKDAYS(IFERROR(IF(INDEX(campaigns!$BG$2:$BG$51,MATCH($C559,campaigns!$A$2:$A$51,0))="","",INDEX(campaigns!$BG$2:$BG$51,MATCH($C559,campaigns!$A$2:$A$51,0))),""),$A559,calendar!$A$2:$A$80)))</f>
        <v/>
      </c>
      <c r="K559" s="30" t="str">
        <f aca="false">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ustomFormat="false" ht="15" hidden="false" customHeight="false" outlineLevel="0" collapsed="false">
      <c r="A560" s="11"/>
      <c r="B560" s="38"/>
      <c r="E560" s="10"/>
      <c r="G560" s="10"/>
      <c r="J560" s="30" t="str">
        <f aca="false">IF(OR($C560="",$A560=""),"",IF($A560&lt;IFERROR(IF(INDEX(campaigns!$BG$2:$BG$51,MATCH($C560,campaigns!$A$2:$A$51,0))="","",INDEX(campaigns!$BG$2:$BG$51,MATCH($C560,campaigns!$A$2:$A$51,0))),""),0,NETWORKDAYS(IFERROR(IF(INDEX(campaigns!$BG$2:$BG$51,MATCH($C560,campaigns!$A$2:$A$51,0))="","",INDEX(campaigns!$BG$2:$BG$51,MATCH($C560,campaigns!$A$2:$A$51,0))),""),$A560,calendar!$A$2:$A$80)))</f>
        <v/>
      </c>
      <c r="K560" s="30" t="str">
        <f aca="false">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ustomFormat="false" ht="15" hidden="false" customHeight="false" outlineLevel="0" collapsed="false">
      <c r="A561" s="11"/>
      <c r="B561" s="38"/>
      <c r="E561" s="10"/>
      <c r="G561" s="10"/>
      <c r="J561" s="30" t="str">
        <f aca="false">IF(OR($C561="",$A561=""),"",IF($A561&lt;IFERROR(IF(INDEX(campaigns!$BG$2:$BG$51,MATCH($C561,campaigns!$A$2:$A$51,0))="","",INDEX(campaigns!$BG$2:$BG$51,MATCH($C561,campaigns!$A$2:$A$51,0))),""),0,NETWORKDAYS(IFERROR(IF(INDEX(campaigns!$BG$2:$BG$51,MATCH($C561,campaigns!$A$2:$A$51,0))="","",INDEX(campaigns!$BG$2:$BG$51,MATCH($C561,campaigns!$A$2:$A$51,0))),""),$A561,calendar!$A$2:$A$80)))</f>
        <v/>
      </c>
      <c r="K561" s="30" t="str">
        <f aca="false">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ustomFormat="false" ht="15" hidden="false" customHeight="false" outlineLevel="0" collapsed="false">
      <c r="A562" s="11"/>
      <c r="B562" s="38"/>
      <c r="E562" s="10"/>
      <c r="G562" s="10"/>
      <c r="J562" s="30" t="str">
        <f aca="false">IF(OR($C562="",$A562=""),"",IF($A562&lt;IFERROR(IF(INDEX(campaigns!$BG$2:$BG$51,MATCH($C562,campaigns!$A$2:$A$51,0))="","",INDEX(campaigns!$BG$2:$BG$51,MATCH($C562,campaigns!$A$2:$A$51,0))),""),0,NETWORKDAYS(IFERROR(IF(INDEX(campaigns!$BG$2:$BG$51,MATCH($C562,campaigns!$A$2:$A$51,0))="","",INDEX(campaigns!$BG$2:$BG$51,MATCH($C562,campaigns!$A$2:$A$51,0))),""),$A562,calendar!$A$2:$A$80)))</f>
        <v/>
      </c>
      <c r="K562" s="30" t="str">
        <f aca="false">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ustomFormat="false" ht="15" hidden="false" customHeight="false" outlineLevel="0" collapsed="false">
      <c r="A563" s="11"/>
      <c r="B563" s="38"/>
      <c r="E563" s="10"/>
      <c r="G563" s="10"/>
      <c r="J563" s="30" t="str">
        <f aca="false">IF(OR($C563="",$A563=""),"",IF($A563&lt;IFERROR(IF(INDEX(campaigns!$BG$2:$BG$51,MATCH($C563,campaigns!$A$2:$A$51,0))="","",INDEX(campaigns!$BG$2:$BG$51,MATCH($C563,campaigns!$A$2:$A$51,0))),""),0,NETWORKDAYS(IFERROR(IF(INDEX(campaigns!$BG$2:$BG$51,MATCH($C563,campaigns!$A$2:$A$51,0))="","",INDEX(campaigns!$BG$2:$BG$51,MATCH($C563,campaigns!$A$2:$A$51,0))),""),$A563,calendar!$A$2:$A$80)))</f>
        <v/>
      </c>
      <c r="K563" s="30" t="str">
        <f aca="false">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ustomFormat="false" ht="15" hidden="false" customHeight="false" outlineLevel="0" collapsed="false">
      <c r="A564" s="11"/>
      <c r="B564" s="38"/>
      <c r="E564" s="10"/>
      <c r="G564" s="10"/>
      <c r="J564" s="30" t="str">
        <f aca="false">IF(OR($C564="",$A564=""),"",IF($A564&lt;IFERROR(IF(INDEX(campaigns!$BG$2:$BG$51,MATCH($C564,campaigns!$A$2:$A$51,0))="","",INDEX(campaigns!$BG$2:$BG$51,MATCH($C564,campaigns!$A$2:$A$51,0))),""),0,NETWORKDAYS(IFERROR(IF(INDEX(campaigns!$BG$2:$BG$51,MATCH($C564,campaigns!$A$2:$A$51,0))="","",INDEX(campaigns!$BG$2:$BG$51,MATCH($C564,campaigns!$A$2:$A$51,0))),""),$A564,calendar!$A$2:$A$80)))</f>
        <v/>
      </c>
      <c r="K564" s="30" t="str">
        <f aca="false">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ustomFormat="false" ht="15" hidden="false" customHeight="false" outlineLevel="0" collapsed="false">
      <c r="A565" s="11"/>
      <c r="B565" s="38"/>
      <c r="E565" s="10"/>
      <c r="G565" s="10"/>
      <c r="J565" s="30" t="str">
        <f aca="false">IF(OR($C565="",$A565=""),"",IF($A565&lt;IFERROR(IF(INDEX(campaigns!$BG$2:$BG$51,MATCH($C565,campaigns!$A$2:$A$51,0))="","",INDEX(campaigns!$BG$2:$BG$51,MATCH($C565,campaigns!$A$2:$A$51,0))),""),0,NETWORKDAYS(IFERROR(IF(INDEX(campaigns!$BG$2:$BG$51,MATCH($C565,campaigns!$A$2:$A$51,0))="","",INDEX(campaigns!$BG$2:$BG$51,MATCH($C565,campaigns!$A$2:$A$51,0))),""),$A565,calendar!$A$2:$A$80)))</f>
        <v/>
      </c>
      <c r="K565" s="30" t="str">
        <f aca="false">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ustomFormat="false" ht="15" hidden="false" customHeight="false" outlineLevel="0" collapsed="false">
      <c r="A566" s="11"/>
      <c r="B566" s="38"/>
      <c r="E566" s="10"/>
      <c r="G566" s="10"/>
      <c r="J566" s="30" t="str">
        <f aca="false">IF(OR($C566="",$A566=""),"",IF($A566&lt;IFERROR(IF(INDEX(campaigns!$BG$2:$BG$51,MATCH($C566,campaigns!$A$2:$A$51,0))="","",INDEX(campaigns!$BG$2:$BG$51,MATCH($C566,campaigns!$A$2:$A$51,0))),""),0,NETWORKDAYS(IFERROR(IF(INDEX(campaigns!$BG$2:$BG$51,MATCH($C566,campaigns!$A$2:$A$51,0))="","",INDEX(campaigns!$BG$2:$BG$51,MATCH($C566,campaigns!$A$2:$A$51,0))),""),$A566,calendar!$A$2:$A$80)))</f>
        <v/>
      </c>
      <c r="K566" s="30" t="str">
        <f aca="false">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ustomFormat="false" ht="15" hidden="false" customHeight="false" outlineLevel="0" collapsed="false">
      <c r="A567" s="11"/>
      <c r="B567" s="38"/>
      <c r="E567" s="10"/>
      <c r="G567" s="10"/>
      <c r="J567" s="30" t="str">
        <f aca="false">IF(OR($C567="",$A567=""),"",IF($A567&lt;IFERROR(IF(INDEX(campaigns!$BG$2:$BG$51,MATCH($C567,campaigns!$A$2:$A$51,0))="","",INDEX(campaigns!$BG$2:$BG$51,MATCH($C567,campaigns!$A$2:$A$51,0))),""),0,NETWORKDAYS(IFERROR(IF(INDEX(campaigns!$BG$2:$BG$51,MATCH($C567,campaigns!$A$2:$A$51,0))="","",INDEX(campaigns!$BG$2:$BG$51,MATCH($C567,campaigns!$A$2:$A$51,0))),""),$A567,calendar!$A$2:$A$80)))</f>
        <v/>
      </c>
      <c r="K567" s="30" t="str">
        <f aca="false">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ustomFormat="false" ht="15" hidden="false" customHeight="false" outlineLevel="0" collapsed="false">
      <c r="A568" s="11"/>
      <c r="B568" s="38"/>
      <c r="E568" s="10"/>
      <c r="G568" s="10"/>
      <c r="J568" s="30" t="str">
        <f aca="false">IF(OR($C568="",$A568=""),"",IF($A568&lt;IFERROR(IF(INDEX(campaigns!$BG$2:$BG$51,MATCH($C568,campaigns!$A$2:$A$51,0))="","",INDEX(campaigns!$BG$2:$BG$51,MATCH($C568,campaigns!$A$2:$A$51,0))),""),0,NETWORKDAYS(IFERROR(IF(INDEX(campaigns!$BG$2:$BG$51,MATCH($C568,campaigns!$A$2:$A$51,0))="","",INDEX(campaigns!$BG$2:$BG$51,MATCH($C568,campaigns!$A$2:$A$51,0))),""),$A568,calendar!$A$2:$A$80)))</f>
        <v/>
      </c>
      <c r="K568" s="30" t="str">
        <f aca="false">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ustomFormat="false" ht="15" hidden="false" customHeight="false" outlineLevel="0" collapsed="false">
      <c r="A569" s="11"/>
      <c r="B569" s="38"/>
      <c r="E569" s="10"/>
      <c r="G569" s="10"/>
      <c r="J569" s="30" t="str">
        <f aca="false">IF(OR($C569="",$A569=""),"",IF($A569&lt;IFERROR(IF(INDEX(campaigns!$BG$2:$BG$51,MATCH($C569,campaigns!$A$2:$A$51,0))="","",INDEX(campaigns!$BG$2:$BG$51,MATCH($C569,campaigns!$A$2:$A$51,0))),""),0,NETWORKDAYS(IFERROR(IF(INDEX(campaigns!$BG$2:$BG$51,MATCH($C569,campaigns!$A$2:$A$51,0))="","",INDEX(campaigns!$BG$2:$BG$51,MATCH($C569,campaigns!$A$2:$A$51,0))),""),$A569,calendar!$A$2:$A$80)))</f>
        <v/>
      </c>
      <c r="K569" s="30" t="str">
        <f aca="false">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ustomFormat="false" ht="15" hidden="false" customHeight="false" outlineLevel="0" collapsed="false">
      <c r="A570" s="11"/>
      <c r="B570" s="38"/>
      <c r="E570" s="10"/>
      <c r="G570" s="10"/>
      <c r="J570" s="30" t="str">
        <f aca="false">IF(OR($C570="",$A570=""),"",IF($A570&lt;IFERROR(IF(INDEX(campaigns!$BG$2:$BG$51,MATCH($C570,campaigns!$A$2:$A$51,0))="","",INDEX(campaigns!$BG$2:$BG$51,MATCH($C570,campaigns!$A$2:$A$51,0))),""),0,NETWORKDAYS(IFERROR(IF(INDEX(campaigns!$BG$2:$BG$51,MATCH($C570,campaigns!$A$2:$A$51,0))="","",INDEX(campaigns!$BG$2:$BG$51,MATCH($C570,campaigns!$A$2:$A$51,0))),""),$A570,calendar!$A$2:$A$80)))</f>
        <v/>
      </c>
      <c r="K570" s="30" t="str">
        <f aca="false">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ustomFormat="false" ht="15" hidden="false" customHeight="false" outlineLevel="0" collapsed="false">
      <c r="A571" s="11"/>
      <c r="B571" s="38"/>
      <c r="E571" s="10"/>
      <c r="G571" s="10"/>
      <c r="J571" s="30" t="str">
        <f aca="false">IF(OR($C571="",$A571=""),"",IF($A571&lt;IFERROR(IF(INDEX(campaigns!$BG$2:$BG$51,MATCH($C571,campaigns!$A$2:$A$51,0))="","",INDEX(campaigns!$BG$2:$BG$51,MATCH($C571,campaigns!$A$2:$A$51,0))),""),0,NETWORKDAYS(IFERROR(IF(INDEX(campaigns!$BG$2:$BG$51,MATCH($C571,campaigns!$A$2:$A$51,0))="","",INDEX(campaigns!$BG$2:$BG$51,MATCH($C571,campaigns!$A$2:$A$51,0))),""),$A571,calendar!$A$2:$A$80)))</f>
        <v/>
      </c>
      <c r="K571" s="30" t="str">
        <f aca="false">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ustomFormat="false" ht="15" hidden="false" customHeight="false" outlineLevel="0" collapsed="false">
      <c r="A572" s="11"/>
      <c r="B572" s="38"/>
      <c r="E572" s="10"/>
      <c r="G572" s="10"/>
      <c r="J572" s="30" t="str">
        <f aca="false">IF(OR($C572="",$A572=""),"",IF($A572&lt;IFERROR(IF(INDEX(campaigns!$BG$2:$BG$51,MATCH($C572,campaigns!$A$2:$A$51,0))="","",INDEX(campaigns!$BG$2:$BG$51,MATCH($C572,campaigns!$A$2:$A$51,0))),""),0,NETWORKDAYS(IFERROR(IF(INDEX(campaigns!$BG$2:$BG$51,MATCH($C572,campaigns!$A$2:$A$51,0))="","",INDEX(campaigns!$BG$2:$BG$51,MATCH($C572,campaigns!$A$2:$A$51,0))),""),$A572,calendar!$A$2:$A$80)))</f>
        <v/>
      </c>
      <c r="K572" s="30" t="str">
        <f aca="false">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ustomFormat="false" ht="15" hidden="false" customHeight="false" outlineLevel="0" collapsed="false">
      <c r="A573" s="11"/>
      <c r="B573" s="38"/>
      <c r="E573" s="10"/>
      <c r="G573" s="10"/>
      <c r="J573" s="30" t="str">
        <f aca="false">IF(OR($C573="",$A573=""),"",IF($A573&lt;IFERROR(IF(INDEX(campaigns!$BG$2:$BG$51,MATCH($C573,campaigns!$A$2:$A$51,0))="","",INDEX(campaigns!$BG$2:$BG$51,MATCH($C573,campaigns!$A$2:$A$51,0))),""),0,NETWORKDAYS(IFERROR(IF(INDEX(campaigns!$BG$2:$BG$51,MATCH($C573,campaigns!$A$2:$A$51,0))="","",INDEX(campaigns!$BG$2:$BG$51,MATCH($C573,campaigns!$A$2:$A$51,0))),""),$A573,calendar!$A$2:$A$80)))</f>
        <v/>
      </c>
      <c r="K573" s="30" t="str">
        <f aca="false">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ustomFormat="false" ht="15" hidden="false" customHeight="false" outlineLevel="0" collapsed="false">
      <c r="A574" s="11"/>
      <c r="B574" s="38"/>
      <c r="E574" s="10"/>
      <c r="G574" s="10"/>
      <c r="J574" s="30" t="str">
        <f aca="false">IF(OR($C574="",$A574=""),"",IF($A574&lt;IFERROR(IF(INDEX(campaigns!$BG$2:$BG$51,MATCH($C574,campaigns!$A$2:$A$51,0))="","",INDEX(campaigns!$BG$2:$BG$51,MATCH($C574,campaigns!$A$2:$A$51,0))),""),0,NETWORKDAYS(IFERROR(IF(INDEX(campaigns!$BG$2:$BG$51,MATCH($C574,campaigns!$A$2:$A$51,0))="","",INDEX(campaigns!$BG$2:$BG$51,MATCH($C574,campaigns!$A$2:$A$51,0))),""),$A574,calendar!$A$2:$A$80)))</f>
        <v/>
      </c>
      <c r="K574" s="30" t="str">
        <f aca="false">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ustomFormat="false" ht="15" hidden="false" customHeight="false" outlineLevel="0" collapsed="false">
      <c r="A575" s="11"/>
      <c r="B575" s="38"/>
      <c r="E575" s="10"/>
      <c r="G575" s="10"/>
      <c r="J575" s="30" t="str">
        <f aca="false">IF(OR($C575="",$A575=""),"",IF($A575&lt;IFERROR(IF(INDEX(campaigns!$BG$2:$BG$51,MATCH($C575,campaigns!$A$2:$A$51,0))="","",INDEX(campaigns!$BG$2:$BG$51,MATCH($C575,campaigns!$A$2:$A$51,0))),""),0,NETWORKDAYS(IFERROR(IF(INDEX(campaigns!$BG$2:$BG$51,MATCH($C575,campaigns!$A$2:$A$51,0))="","",INDEX(campaigns!$BG$2:$BG$51,MATCH($C575,campaigns!$A$2:$A$51,0))),""),$A575,calendar!$A$2:$A$80)))</f>
        <v/>
      </c>
      <c r="K575" s="30" t="str">
        <f aca="false">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ustomFormat="false" ht="15" hidden="false" customHeight="false" outlineLevel="0" collapsed="false">
      <c r="A576" s="11"/>
      <c r="B576" s="38"/>
      <c r="E576" s="10"/>
      <c r="G576" s="10"/>
      <c r="J576" s="30" t="str">
        <f aca="false">IF(OR($C576="",$A576=""),"",IF($A576&lt;IFERROR(IF(INDEX(campaigns!$BG$2:$BG$51,MATCH($C576,campaigns!$A$2:$A$51,0))="","",INDEX(campaigns!$BG$2:$BG$51,MATCH($C576,campaigns!$A$2:$A$51,0))),""),0,NETWORKDAYS(IFERROR(IF(INDEX(campaigns!$BG$2:$BG$51,MATCH($C576,campaigns!$A$2:$A$51,0))="","",INDEX(campaigns!$BG$2:$BG$51,MATCH($C576,campaigns!$A$2:$A$51,0))),""),$A576,calendar!$A$2:$A$80)))</f>
        <v/>
      </c>
      <c r="K576" s="30" t="str">
        <f aca="false">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ustomFormat="false" ht="15" hidden="false" customHeight="false" outlineLevel="0" collapsed="false">
      <c r="A577" s="11"/>
      <c r="B577" s="38"/>
      <c r="E577" s="10"/>
      <c r="G577" s="10"/>
      <c r="J577" s="30" t="str">
        <f aca="false">IF(OR($C577="",$A577=""),"",IF($A577&lt;IFERROR(IF(INDEX(campaigns!$BG$2:$BG$51,MATCH($C577,campaigns!$A$2:$A$51,0))="","",INDEX(campaigns!$BG$2:$BG$51,MATCH($C577,campaigns!$A$2:$A$51,0))),""),0,NETWORKDAYS(IFERROR(IF(INDEX(campaigns!$BG$2:$BG$51,MATCH($C577,campaigns!$A$2:$A$51,0))="","",INDEX(campaigns!$BG$2:$BG$51,MATCH($C577,campaigns!$A$2:$A$51,0))),""),$A577,calendar!$A$2:$A$80)))</f>
        <v/>
      </c>
      <c r="K577" s="30" t="str">
        <f aca="false">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ustomFormat="false" ht="15" hidden="false" customHeight="false" outlineLevel="0" collapsed="false">
      <c r="A578" s="11"/>
      <c r="B578" s="38"/>
      <c r="E578" s="10"/>
      <c r="G578" s="10"/>
      <c r="J578" s="30" t="str">
        <f aca="false">IF(OR($C578="",$A578=""),"",IF($A578&lt;IFERROR(IF(INDEX(campaigns!$BG$2:$BG$51,MATCH($C578,campaigns!$A$2:$A$51,0))="","",INDEX(campaigns!$BG$2:$BG$51,MATCH($C578,campaigns!$A$2:$A$51,0))),""),0,NETWORKDAYS(IFERROR(IF(INDEX(campaigns!$BG$2:$BG$51,MATCH($C578,campaigns!$A$2:$A$51,0))="","",INDEX(campaigns!$BG$2:$BG$51,MATCH($C578,campaigns!$A$2:$A$51,0))),""),$A578,calendar!$A$2:$A$80)))</f>
        <v/>
      </c>
      <c r="K578" s="30" t="str">
        <f aca="false">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ustomFormat="false" ht="15" hidden="false" customHeight="false" outlineLevel="0" collapsed="false">
      <c r="A579" s="11"/>
      <c r="B579" s="38"/>
      <c r="E579" s="10"/>
      <c r="G579" s="10"/>
      <c r="J579" s="30" t="str">
        <f aca="false">IF(OR($C579="",$A579=""),"",IF($A579&lt;IFERROR(IF(INDEX(campaigns!$BG$2:$BG$51,MATCH($C579,campaigns!$A$2:$A$51,0))="","",INDEX(campaigns!$BG$2:$BG$51,MATCH($C579,campaigns!$A$2:$A$51,0))),""),0,NETWORKDAYS(IFERROR(IF(INDEX(campaigns!$BG$2:$BG$51,MATCH($C579,campaigns!$A$2:$A$51,0))="","",INDEX(campaigns!$BG$2:$BG$51,MATCH($C579,campaigns!$A$2:$A$51,0))),""),$A579,calendar!$A$2:$A$80)))</f>
        <v/>
      </c>
      <c r="K579" s="30" t="str">
        <f aca="false">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ustomFormat="false" ht="15" hidden="false" customHeight="false" outlineLevel="0" collapsed="false">
      <c r="A580" s="11"/>
      <c r="B580" s="38"/>
      <c r="E580" s="10"/>
      <c r="G580" s="10"/>
      <c r="J580" s="30" t="str">
        <f aca="false">IF(OR($C580="",$A580=""),"",IF($A580&lt;IFERROR(IF(INDEX(campaigns!$BG$2:$BG$51,MATCH($C580,campaigns!$A$2:$A$51,0))="","",INDEX(campaigns!$BG$2:$BG$51,MATCH($C580,campaigns!$A$2:$A$51,0))),""),0,NETWORKDAYS(IFERROR(IF(INDEX(campaigns!$BG$2:$BG$51,MATCH($C580,campaigns!$A$2:$A$51,0))="","",INDEX(campaigns!$BG$2:$BG$51,MATCH($C580,campaigns!$A$2:$A$51,0))),""),$A580,calendar!$A$2:$A$80)))</f>
        <v/>
      </c>
      <c r="K580" s="30" t="str">
        <f aca="false">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ustomFormat="false" ht="15" hidden="false" customHeight="false" outlineLevel="0" collapsed="false">
      <c r="A581" s="11"/>
      <c r="B581" s="38"/>
      <c r="E581" s="10"/>
      <c r="G581" s="10"/>
      <c r="J581" s="30" t="str">
        <f aca="false">IF(OR($C581="",$A581=""),"",IF($A581&lt;IFERROR(IF(INDEX(campaigns!$BG$2:$BG$51,MATCH($C581,campaigns!$A$2:$A$51,0))="","",INDEX(campaigns!$BG$2:$BG$51,MATCH($C581,campaigns!$A$2:$A$51,0))),""),0,NETWORKDAYS(IFERROR(IF(INDEX(campaigns!$BG$2:$BG$51,MATCH($C581,campaigns!$A$2:$A$51,0))="","",INDEX(campaigns!$BG$2:$BG$51,MATCH($C581,campaigns!$A$2:$A$51,0))),""),$A581,calendar!$A$2:$A$80)))</f>
        <v/>
      </c>
      <c r="K581" s="30" t="str">
        <f aca="false">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ustomFormat="false" ht="15" hidden="false" customHeight="false" outlineLevel="0" collapsed="false">
      <c r="A582" s="11"/>
      <c r="B582" s="38"/>
      <c r="E582" s="10"/>
      <c r="G582" s="10"/>
      <c r="J582" s="30" t="str">
        <f aca="false">IF(OR($C582="",$A582=""),"",IF($A582&lt;IFERROR(IF(INDEX(campaigns!$BG$2:$BG$51,MATCH($C582,campaigns!$A$2:$A$51,0))="","",INDEX(campaigns!$BG$2:$BG$51,MATCH($C582,campaigns!$A$2:$A$51,0))),""),0,NETWORKDAYS(IFERROR(IF(INDEX(campaigns!$BG$2:$BG$51,MATCH($C582,campaigns!$A$2:$A$51,0))="","",INDEX(campaigns!$BG$2:$BG$51,MATCH($C582,campaigns!$A$2:$A$51,0))),""),$A582,calendar!$A$2:$A$80)))</f>
        <v/>
      </c>
      <c r="K582" s="30" t="str">
        <f aca="false">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ustomFormat="false" ht="15" hidden="false" customHeight="false" outlineLevel="0" collapsed="false">
      <c r="A583" s="11"/>
      <c r="B583" s="38"/>
      <c r="E583" s="10"/>
      <c r="G583" s="10"/>
      <c r="J583" s="30" t="str">
        <f aca="false">IF(OR($C583="",$A583=""),"",IF($A583&lt;IFERROR(IF(INDEX(campaigns!$BG$2:$BG$51,MATCH($C583,campaigns!$A$2:$A$51,0))="","",INDEX(campaigns!$BG$2:$BG$51,MATCH($C583,campaigns!$A$2:$A$51,0))),""),0,NETWORKDAYS(IFERROR(IF(INDEX(campaigns!$BG$2:$BG$51,MATCH($C583,campaigns!$A$2:$A$51,0))="","",INDEX(campaigns!$BG$2:$BG$51,MATCH($C583,campaigns!$A$2:$A$51,0))),""),$A583,calendar!$A$2:$A$80)))</f>
        <v/>
      </c>
      <c r="K583" s="30" t="str">
        <f aca="false">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ustomFormat="false" ht="15" hidden="false" customHeight="false" outlineLevel="0" collapsed="false">
      <c r="A584" s="11"/>
      <c r="B584" s="38"/>
      <c r="E584" s="10"/>
      <c r="G584" s="10"/>
      <c r="J584" s="30" t="str">
        <f aca="false">IF(OR($C584="",$A584=""),"",IF($A584&lt;IFERROR(IF(INDEX(campaigns!$BG$2:$BG$51,MATCH($C584,campaigns!$A$2:$A$51,0))="","",INDEX(campaigns!$BG$2:$BG$51,MATCH($C584,campaigns!$A$2:$A$51,0))),""),0,NETWORKDAYS(IFERROR(IF(INDEX(campaigns!$BG$2:$BG$51,MATCH($C584,campaigns!$A$2:$A$51,0))="","",INDEX(campaigns!$BG$2:$BG$51,MATCH($C584,campaigns!$A$2:$A$51,0))),""),$A584,calendar!$A$2:$A$80)))</f>
        <v/>
      </c>
      <c r="K584" s="30" t="str">
        <f aca="false">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ustomFormat="false" ht="15" hidden="false" customHeight="false" outlineLevel="0" collapsed="false">
      <c r="A585" s="11"/>
      <c r="B585" s="38"/>
      <c r="E585" s="10"/>
      <c r="G585" s="10"/>
      <c r="J585" s="30" t="str">
        <f aca="false">IF(OR($C585="",$A585=""),"",IF($A585&lt;IFERROR(IF(INDEX(campaigns!$BG$2:$BG$51,MATCH($C585,campaigns!$A$2:$A$51,0))="","",INDEX(campaigns!$BG$2:$BG$51,MATCH($C585,campaigns!$A$2:$A$51,0))),""),0,NETWORKDAYS(IFERROR(IF(INDEX(campaigns!$BG$2:$BG$51,MATCH($C585,campaigns!$A$2:$A$51,0))="","",INDEX(campaigns!$BG$2:$BG$51,MATCH($C585,campaigns!$A$2:$A$51,0))),""),$A585,calendar!$A$2:$A$80)))</f>
        <v/>
      </c>
      <c r="K585" s="30" t="str">
        <f aca="false">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ustomFormat="false" ht="15" hidden="false" customHeight="false" outlineLevel="0" collapsed="false">
      <c r="A586" s="11"/>
      <c r="B586" s="38"/>
      <c r="E586" s="10"/>
      <c r="G586" s="10"/>
      <c r="J586" s="30" t="str">
        <f aca="false">IF(OR($C586="",$A586=""),"",IF($A586&lt;IFERROR(IF(INDEX(campaigns!$BG$2:$BG$51,MATCH($C586,campaigns!$A$2:$A$51,0))="","",INDEX(campaigns!$BG$2:$BG$51,MATCH($C586,campaigns!$A$2:$A$51,0))),""),0,NETWORKDAYS(IFERROR(IF(INDEX(campaigns!$BG$2:$BG$51,MATCH($C586,campaigns!$A$2:$A$51,0))="","",INDEX(campaigns!$BG$2:$BG$51,MATCH($C586,campaigns!$A$2:$A$51,0))),""),$A586,calendar!$A$2:$A$80)))</f>
        <v/>
      </c>
      <c r="K586" s="30" t="str">
        <f aca="false">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ustomFormat="false" ht="15" hidden="false" customHeight="false" outlineLevel="0" collapsed="false">
      <c r="A587" s="11"/>
      <c r="B587" s="38"/>
      <c r="E587" s="10"/>
      <c r="G587" s="10"/>
      <c r="J587" s="30" t="str">
        <f aca="false">IF(OR($C587="",$A587=""),"",IF($A587&lt;IFERROR(IF(INDEX(campaigns!$BG$2:$BG$51,MATCH($C587,campaigns!$A$2:$A$51,0))="","",INDEX(campaigns!$BG$2:$BG$51,MATCH($C587,campaigns!$A$2:$A$51,0))),""),0,NETWORKDAYS(IFERROR(IF(INDEX(campaigns!$BG$2:$BG$51,MATCH($C587,campaigns!$A$2:$A$51,0))="","",INDEX(campaigns!$BG$2:$BG$51,MATCH($C587,campaigns!$A$2:$A$51,0))),""),$A587,calendar!$A$2:$A$80)))</f>
        <v/>
      </c>
      <c r="K587" s="30" t="str">
        <f aca="false">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ustomFormat="false" ht="15" hidden="false" customHeight="false" outlineLevel="0" collapsed="false">
      <c r="A588" s="11"/>
      <c r="B588" s="38"/>
      <c r="E588" s="10"/>
      <c r="G588" s="10"/>
      <c r="J588" s="30" t="str">
        <f aca="false">IF(OR($C588="",$A588=""),"",IF($A588&lt;IFERROR(IF(INDEX(campaigns!$BG$2:$BG$51,MATCH($C588,campaigns!$A$2:$A$51,0))="","",INDEX(campaigns!$BG$2:$BG$51,MATCH($C588,campaigns!$A$2:$A$51,0))),""),0,NETWORKDAYS(IFERROR(IF(INDEX(campaigns!$BG$2:$BG$51,MATCH($C588,campaigns!$A$2:$A$51,0))="","",INDEX(campaigns!$BG$2:$BG$51,MATCH($C588,campaigns!$A$2:$A$51,0))),""),$A588,calendar!$A$2:$A$80)))</f>
        <v/>
      </c>
      <c r="K588" s="30" t="str">
        <f aca="false">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ustomFormat="false" ht="15" hidden="false" customHeight="false" outlineLevel="0" collapsed="false">
      <c r="A589" s="11"/>
      <c r="B589" s="38"/>
      <c r="E589" s="10"/>
      <c r="G589" s="10"/>
      <c r="J589" s="30" t="str">
        <f aca="false">IF(OR($C589="",$A589=""),"",IF($A589&lt;IFERROR(IF(INDEX(campaigns!$BG$2:$BG$51,MATCH($C589,campaigns!$A$2:$A$51,0))="","",INDEX(campaigns!$BG$2:$BG$51,MATCH($C589,campaigns!$A$2:$A$51,0))),""),0,NETWORKDAYS(IFERROR(IF(INDEX(campaigns!$BG$2:$BG$51,MATCH($C589,campaigns!$A$2:$A$51,0))="","",INDEX(campaigns!$BG$2:$BG$51,MATCH($C589,campaigns!$A$2:$A$51,0))),""),$A589,calendar!$A$2:$A$80)))</f>
        <v/>
      </c>
      <c r="K589" s="30" t="str">
        <f aca="false">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ustomFormat="false" ht="15" hidden="false" customHeight="false" outlineLevel="0" collapsed="false">
      <c r="A590" s="11"/>
      <c r="B590" s="38"/>
      <c r="E590" s="10"/>
      <c r="G590" s="10"/>
      <c r="J590" s="30" t="str">
        <f aca="false">IF(OR($C590="",$A590=""),"",IF($A590&lt;IFERROR(IF(INDEX(campaigns!$BG$2:$BG$51,MATCH($C590,campaigns!$A$2:$A$51,0))="","",INDEX(campaigns!$BG$2:$BG$51,MATCH($C590,campaigns!$A$2:$A$51,0))),""),0,NETWORKDAYS(IFERROR(IF(INDEX(campaigns!$BG$2:$BG$51,MATCH($C590,campaigns!$A$2:$A$51,0))="","",INDEX(campaigns!$BG$2:$BG$51,MATCH($C590,campaigns!$A$2:$A$51,0))),""),$A590,calendar!$A$2:$A$80)))</f>
        <v/>
      </c>
      <c r="K590" s="30" t="str">
        <f aca="false">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ustomFormat="false" ht="15" hidden="false" customHeight="false" outlineLevel="0" collapsed="false">
      <c r="A591" s="11"/>
      <c r="B591" s="38"/>
      <c r="E591" s="10"/>
      <c r="G591" s="10"/>
      <c r="J591" s="30" t="str">
        <f aca="false">IF(OR($C591="",$A591=""),"",IF($A591&lt;IFERROR(IF(INDEX(campaigns!$BG$2:$BG$51,MATCH($C591,campaigns!$A$2:$A$51,0))="","",INDEX(campaigns!$BG$2:$BG$51,MATCH($C591,campaigns!$A$2:$A$51,0))),""),0,NETWORKDAYS(IFERROR(IF(INDEX(campaigns!$BG$2:$BG$51,MATCH($C591,campaigns!$A$2:$A$51,0))="","",INDEX(campaigns!$BG$2:$BG$51,MATCH($C591,campaigns!$A$2:$A$51,0))),""),$A591,calendar!$A$2:$A$80)))</f>
        <v/>
      </c>
      <c r="K591" s="30" t="str">
        <f aca="false">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ustomFormat="false" ht="15" hidden="false" customHeight="false" outlineLevel="0" collapsed="false">
      <c r="A592" s="11"/>
      <c r="B592" s="38"/>
      <c r="E592" s="10"/>
      <c r="G592" s="10"/>
      <c r="J592" s="30" t="str">
        <f aca="false">IF(OR($C592="",$A592=""),"",IF($A592&lt;IFERROR(IF(INDEX(campaigns!$BG$2:$BG$51,MATCH($C592,campaigns!$A$2:$A$51,0))="","",INDEX(campaigns!$BG$2:$BG$51,MATCH($C592,campaigns!$A$2:$A$51,0))),""),0,NETWORKDAYS(IFERROR(IF(INDEX(campaigns!$BG$2:$BG$51,MATCH($C592,campaigns!$A$2:$A$51,0))="","",INDEX(campaigns!$BG$2:$BG$51,MATCH($C592,campaigns!$A$2:$A$51,0))),""),$A592,calendar!$A$2:$A$80)))</f>
        <v/>
      </c>
      <c r="K592" s="30" t="str">
        <f aca="false">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ustomFormat="false" ht="15" hidden="false" customHeight="false" outlineLevel="0" collapsed="false">
      <c r="A593" s="11"/>
      <c r="B593" s="38"/>
      <c r="E593" s="10"/>
      <c r="G593" s="10"/>
      <c r="J593" s="30" t="str">
        <f aca="false">IF(OR($C593="",$A593=""),"",IF($A593&lt;IFERROR(IF(INDEX(campaigns!$BG$2:$BG$51,MATCH($C593,campaigns!$A$2:$A$51,0))="","",INDEX(campaigns!$BG$2:$BG$51,MATCH($C593,campaigns!$A$2:$A$51,0))),""),0,NETWORKDAYS(IFERROR(IF(INDEX(campaigns!$BG$2:$BG$51,MATCH($C593,campaigns!$A$2:$A$51,0))="","",INDEX(campaigns!$BG$2:$BG$51,MATCH($C593,campaigns!$A$2:$A$51,0))),""),$A593,calendar!$A$2:$A$80)))</f>
        <v/>
      </c>
      <c r="K593" s="30" t="str">
        <f aca="false">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ustomFormat="false" ht="15" hidden="false" customHeight="false" outlineLevel="0" collapsed="false">
      <c r="A594" s="11"/>
      <c r="B594" s="38"/>
      <c r="E594" s="10"/>
      <c r="G594" s="10"/>
      <c r="J594" s="30" t="str">
        <f aca="false">IF(OR($C594="",$A594=""),"",IF($A594&lt;IFERROR(IF(INDEX(campaigns!$BG$2:$BG$51,MATCH($C594,campaigns!$A$2:$A$51,0))="","",INDEX(campaigns!$BG$2:$BG$51,MATCH($C594,campaigns!$A$2:$A$51,0))),""),0,NETWORKDAYS(IFERROR(IF(INDEX(campaigns!$BG$2:$BG$51,MATCH($C594,campaigns!$A$2:$A$51,0))="","",INDEX(campaigns!$BG$2:$BG$51,MATCH($C594,campaigns!$A$2:$A$51,0))),""),$A594,calendar!$A$2:$A$80)))</f>
        <v/>
      </c>
      <c r="K594" s="30" t="str">
        <f aca="false">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ustomFormat="false" ht="15" hidden="false" customHeight="false" outlineLevel="0" collapsed="false">
      <c r="A595" s="11"/>
      <c r="B595" s="38"/>
      <c r="E595" s="10"/>
      <c r="G595" s="10"/>
      <c r="J595" s="30" t="str">
        <f aca="false">IF(OR($C595="",$A595=""),"",IF($A595&lt;IFERROR(IF(INDEX(campaigns!$BG$2:$BG$51,MATCH($C595,campaigns!$A$2:$A$51,0))="","",INDEX(campaigns!$BG$2:$BG$51,MATCH($C595,campaigns!$A$2:$A$51,0))),""),0,NETWORKDAYS(IFERROR(IF(INDEX(campaigns!$BG$2:$BG$51,MATCH($C595,campaigns!$A$2:$A$51,0))="","",INDEX(campaigns!$BG$2:$BG$51,MATCH($C595,campaigns!$A$2:$A$51,0))),""),$A595,calendar!$A$2:$A$80)))</f>
        <v/>
      </c>
      <c r="K595" s="30" t="str">
        <f aca="false">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ustomFormat="false" ht="15" hidden="false" customHeight="false" outlineLevel="0" collapsed="false">
      <c r="A596" s="11"/>
      <c r="B596" s="38"/>
      <c r="E596" s="10"/>
      <c r="G596" s="10"/>
      <c r="J596" s="30" t="str">
        <f aca="false">IF(OR($C596="",$A596=""),"",IF($A596&lt;IFERROR(IF(INDEX(campaigns!$BG$2:$BG$51,MATCH($C596,campaigns!$A$2:$A$51,0))="","",INDEX(campaigns!$BG$2:$BG$51,MATCH($C596,campaigns!$A$2:$A$51,0))),""),0,NETWORKDAYS(IFERROR(IF(INDEX(campaigns!$BG$2:$BG$51,MATCH($C596,campaigns!$A$2:$A$51,0))="","",INDEX(campaigns!$BG$2:$BG$51,MATCH($C596,campaigns!$A$2:$A$51,0))),""),$A596,calendar!$A$2:$A$80)))</f>
        <v/>
      </c>
      <c r="K596" s="30" t="str">
        <f aca="false">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ustomFormat="false" ht="15" hidden="false" customHeight="false" outlineLevel="0" collapsed="false">
      <c r="A597" s="11"/>
      <c r="B597" s="38"/>
      <c r="E597" s="10"/>
      <c r="G597" s="10"/>
      <c r="J597" s="30" t="str">
        <f aca="false">IF(OR($C597="",$A597=""),"",IF($A597&lt;IFERROR(IF(INDEX(campaigns!$BG$2:$BG$51,MATCH($C597,campaigns!$A$2:$A$51,0))="","",INDEX(campaigns!$BG$2:$BG$51,MATCH($C597,campaigns!$A$2:$A$51,0))),""),0,NETWORKDAYS(IFERROR(IF(INDEX(campaigns!$BG$2:$BG$51,MATCH($C597,campaigns!$A$2:$A$51,0))="","",INDEX(campaigns!$BG$2:$BG$51,MATCH($C597,campaigns!$A$2:$A$51,0))),""),$A597,calendar!$A$2:$A$80)))</f>
        <v/>
      </c>
      <c r="K597" s="30" t="str">
        <f aca="false">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ustomFormat="false" ht="15" hidden="false" customHeight="false" outlineLevel="0" collapsed="false">
      <c r="A598" s="11"/>
      <c r="B598" s="38"/>
      <c r="E598" s="10"/>
      <c r="G598" s="10"/>
      <c r="J598" s="30" t="str">
        <f aca="false">IF(OR($C598="",$A598=""),"",IF($A598&lt;IFERROR(IF(INDEX(campaigns!$BG$2:$BG$51,MATCH($C598,campaigns!$A$2:$A$51,0))="","",INDEX(campaigns!$BG$2:$BG$51,MATCH($C598,campaigns!$A$2:$A$51,0))),""),0,NETWORKDAYS(IFERROR(IF(INDEX(campaigns!$BG$2:$BG$51,MATCH($C598,campaigns!$A$2:$A$51,0))="","",INDEX(campaigns!$BG$2:$BG$51,MATCH($C598,campaigns!$A$2:$A$51,0))),""),$A598,calendar!$A$2:$A$80)))</f>
        <v/>
      </c>
      <c r="K598" s="30" t="str">
        <f aca="false">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ustomFormat="false" ht="15" hidden="false" customHeight="false" outlineLevel="0" collapsed="false">
      <c r="A599" s="11"/>
      <c r="B599" s="38"/>
      <c r="E599" s="10"/>
      <c r="G599" s="10"/>
      <c r="J599" s="30" t="str">
        <f aca="false">IF(OR($C599="",$A599=""),"",IF($A599&lt;IFERROR(IF(INDEX(campaigns!$BG$2:$BG$51,MATCH($C599,campaigns!$A$2:$A$51,0))="","",INDEX(campaigns!$BG$2:$BG$51,MATCH($C599,campaigns!$A$2:$A$51,0))),""),0,NETWORKDAYS(IFERROR(IF(INDEX(campaigns!$BG$2:$BG$51,MATCH($C599,campaigns!$A$2:$A$51,0))="","",INDEX(campaigns!$BG$2:$BG$51,MATCH($C599,campaigns!$A$2:$A$51,0))),""),$A599,calendar!$A$2:$A$80)))</f>
        <v/>
      </c>
      <c r="K599" s="30" t="str">
        <f aca="false">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ustomFormat="false" ht="15" hidden="false" customHeight="false" outlineLevel="0" collapsed="false">
      <c r="A600" s="11"/>
      <c r="B600" s="38"/>
      <c r="E600" s="10"/>
      <c r="G600" s="10"/>
      <c r="J600" s="30" t="str">
        <f aca="false">IF(OR($C600="",$A600=""),"",IF($A600&lt;IFERROR(IF(INDEX(campaigns!$BG$2:$BG$51,MATCH($C600,campaigns!$A$2:$A$51,0))="","",INDEX(campaigns!$BG$2:$BG$51,MATCH($C600,campaigns!$A$2:$A$51,0))),""),0,NETWORKDAYS(IFERROR(IF(INDEX(campaigns!$BG$2:$BG$51,MATCH($C600,campaigns!$A$2:$A$51,0))="","",INDEX(campaigns!$BG$2:$BG$51,MATCH($C600,campaigns!$A$2:$A$51,0))),""),$A600,calendar!$A$2:$A$80)))</f>
        <v/>
      </c>
      <c r="K600" s="30" t="str">
        <f aca="false">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ustomFormat="false" ht="15" hidden="false" customHeight="false" outlineLevel="0" collapsed="false">
      <c r="A601" s="11"/>
      <c r="B601" s="38"/>
      <c r="E601" s="10"/>
      <c r="G601" s="10"/>
      <c r="J601" s="30" t="str">
        <f aca="false">IF(OR($C601="",$A601=""),"",IF($A601&lt;IFERROR(IF(INDEX(campaigns!$BG$2:$BG$51,MATCH($C601,campaigns!$A$2:$A$51,0))="","",INDEX(campaigns!$BG$2:$BG$51,MATCH($C601,campaigns!$A$2:$A$51,0))),""),0,NETWORKDAYS(IFERROR(IF(INDEX(campaigns!$BG$2:$BG$51,MATCH($C601,campaigns!$A$2:$A$51,0))="","",INDEX(campaigns!$BG$2:$BG$51,MATCH($C601,campaigns!$A$2:$A$51,0))),""),$A601,calendar!$A$2:$A$80)))</f>
        <v/>
      </c>
      <c r="K601" s="30" t="str">
        <f aca="false">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ustomFormat="false" ht="15" hidden="false" customHeight="false" outlineLevel="0" collapsed="false">
      <c r="A602" s="11"/>
      <c r="B602" s="38"/>
      <c r="E602" s="10"/>
      <c r="G602" s="10"/>
      <c r="J602" s="30" t="str">
        <f aca="false">IF(OR($C602="",$A602=""),"",IF($A602&lt;IFERROR(IF(INDEX(campaigns!$BG$2:$BG$51,MATCH($C602,campaigns!$A$2:$A$51,0))="","",INDEX(campaigns!$BG$2:$BG$51,MATCH($C602,campaigns!$A$2:$A$51,0))),""),0,NETWORKDAYS(IFERROR(IF(INDEX(campaigns!$BG$2:$BG$51,MATCH($C602,campaigns!$A$2:$A$51,0))="","",INDEX(campaigns!$BG$2:$BG$51,MATCH($C602,campaigns!$A$2:$A$51,0))),""),$A602,calendar!$A$2:$A$80)))</f>
        <v/>
      </c>
      <c r="K602" s="30" t="str">
        <f aca="false">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ustomFormat="false" ht="15" hidden="false" customHeight="false" outlineLevel="0" collapsed="false">
      <c r="A603" s="11"/>
      <c r="B603" s="38"/>
      <c r="E603" s="10"/>
      <c r="G603" s="10"/>
      <c r="J603" s="30" t="str">
        <f aca="false">IF(OR($C603="",$A603=""),"",IF($A603&lt;IFERROR(IF(INDEX(campaigns!$BG$2:$BG$51,MATCH($C603,campaigns!$A$2:$A$51,0))="","",INDEX(campaigns!$BG$2:$BG$51,MATCH($C603,campaigns!$A$2:$A$51,0))),""),0,NETWORKDAYS(IFERROR(IF(INDEX(campaigns!$BG$2:$BG$51,MATCH($C603,campaigns!$A$2:$A$51,0))="","",INDEX(campaigns!$BG$2:$BG$51,MATCH($C603,campaigns!$A$2:$A$51,0))),""),$A603,calendar!$A$2:$A$80)))</f>
        <v/>
      </c>
      <c r="K603" s="30" t="str">
        <f aca="false">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ustomFormat="false" ht="15" hidden="false" customHeight="false" outlineLevel="0" collapsed="false">
      <c r="A604" s="11"/>
      <c r="B604" s="38"/>
      <c r="E604" s="10"/>
      <c r="G604" s="10"/>
      <c r="J604" s="30" t="str">
        <f aca="false">IF(OR($C604="",$A604=""),"",IF($A604&lt;IFERROR(IF(INDEX(campaigns!$BG$2:$BG$51,MATCH($C604,campaigns!$A$2:$A$51,0))="","",INDEX(campaigns!$BG$2:$BG$51,MATCH($C604,campaigns!$A$2:$A$51,0))),""),0,NETWORKDAYS(IFERROR(IF(INDEX(campaigns!$BG$2:$BG$51,MATCH($C604,campaigns!$A$2:$A$51,0))="","",INDEX(campaigns!$BG$2:$BG$51,MATCH($C604,campaigns!$A$2:$A$51,0))),""),$A604,calendar!$A$2:$A$80)))</f>
        <v/>
      </c>
      <c r="K604" s="30" t="str">
        <f aca="false">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ustomFormat="false" ht="15" hidden="false" customHeight="false" outlineLevel="0" collapsed="false">
      <c r="A605" s="11"/>
      <c r="B605" s="38"/>
      <c r="E605" s="10"/>
      <c r="G605" s="10"/>
      <c r="J605" s="30" t="str">
        <f aca="false">IF(OR($C605="",$A605=""),"",IF($A605&lt;IFERROR(IF(INDEX(campaigns!$BG$2:$BG$51,MATCH($C605,campaigns!$A$2:$A$51,0))="","",INDEX(campaigns!$BG$2:$BG$51,MATCH($C605,campaigns!$A$2:$A$51,0))),""),0,NETWORKDAYS(IFERROR(IF(INDEX(campaigns!$BG$2:$BG$51,MATCH($C605,campaigns!$A$2:$A$51,0))="","",INDEX(campaigns!$BG$2:$BG$51,MATCH($C605,campaigns!$A$2:$A$51,0))),""),$A605,calendar!$A$2:$A$80)))</f>
        <v/>
      </c>
      <c r="K605" s="30" t="str">
        <f aca="false">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ustomFormat="false" ht="15" hidden="false" customHeight="false" outlineLevel="0" collapsed="false">
      <c r="A606" s="11"/>
      <c r="B606" s="38"/>
      <c r="E606" s="10"/>
      <c r="G606" s="10"/>
      <c r="J606" s="30" t="str">
        <f aca="false">IF(OR($C606="",$A606=""),"",IF($A606&lt;IFERROR(IF(INDEX(campaigns!$BG$2:$BG$51,MATCH($C606,campaigns!$A$2:$A$51,0))="","",INDEX(campaigns!$BG$2:$BG$51,MATCH($C606,campaigns!$A$2:$A$51,0))),""),0,NETWORKDAYS(IFERROR(IF(INDEX(campaigns!$BG$2:$BG$51,MATCH($C606,campaigns!$A$2:$A$51,0))="","",INDEX(campaigns!$BG$2:$BG$51,MATCH($C606,campaigns!$A$2:$A$51,0))),""),$A606,calendar!$A$2:$A$80)))</f>
        <v/>
      </c>
      <c r="K606" s="30" t="str">
        <f aca="false">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ustomFormat="false" ht="15" hidden="false" customHeight="false" outlineLevel="0" collapsed="false">
      <c r="A607" s="11"/>
      <c r="B607" s="38"/>
      <c r="E607" s="10"/>
      <c r="G607" s="10"/>
      <c r="J607" s="30" t="str">
        <f aca="false">IF(OR($C607="",$A607=""),"",IF($A607&lt;IFERROR(IF(INDEX(campaigns!$BG$2:$BG$51,MATCH($C607,campaigns!$A$2:$A$51,0))="","",INDEX(campaigns!$BG$2:$BG$51,MATCH($C607,campaigns!$A$2:$A$51,0))),""),0,NETWORKDAYS(IFERROR(IF(INDEX(campaigns!$BG$2:$BG$51,MATCH($C607,campaigns!$A$2:$A$51,0))="","",INDEX(campaigns!$BG$2:$BG$51,MATCH($C607,campaigns!$A$2:$A$51,0))),""),$A607,calendar!$A$2:$A$80)))</f>
        <v/>
      </c>
      <c r="K607" s="30" t="str">
        <f aca="false">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ustomFormat="false" ht="15" hidden="false" customHeight="false" outlineLevel="0" collapsed="false">
      <c r="A608" s="11"/>
      <c r="B608" s="38"/>
      <c r="E608" s="10"/>
      <c r="G608" s="10"/>
      <c r="J608" s="30" t="str">
        <f aca="false">IF(OR($C608="",$A608=""),"",IF($A608&lt;IFERROR(IF(INDEX(campaigns!$BG$2:$BG$51,MATCH($C608,campaigns!$A$2:$A$51,0))="","",INDEX(campaigns!$BG$2:$BG$51,MATCH($C608,campaigns!$A$2:$A$51,0))),""),0,NETWORKDAYS(IFERROR(IF(INDEX(campaigns!$BG$2:$BG$51,MATCH($C608,campaigns!$A$2:$A$51,0))="","",INDEX(campaigns!$BG$2:$BG$51,MATCH($C608,campaigns!$A$2:$A$51,0))),""),$A608,calendar!$A$2:$A$80)))</f>
        <v/>
      </c>
      <c r="K608" s="30" t="str">
        <f aca="false">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ustomFormat="false" ht="15" hidden="false" customHeight="false" outlineLevel="0" collapsed="false">
      <c r="A609" s="11"/>
      <c r="B609" s="38"/>
      <c r="E609" s="10"/>
      <c r="G609" s="10"/>
      <c r="J609" s="30" t="str">
        <f aca="false">IF(OR($C609="",$A609=""),"",IF($A609&lt;IFERROR(IF(INDEX(campaigns!$BG$2:$BG$51,MATCH($C609,campaigns!$A$2:$A$51,0))="","",INDEX(campaigns!$BG$2:$BG$51,MATCH($C609,campaigns!$A$2:$A$51,0))),""),0,NETWORKDAYS(IFERROR(IF(INDEX(campaigns!$BG$2:$BG$51,MATCH($C609,campaigns!$A$2:$A$51,0))="","",INDEX(campaigns!$BG$2:$BG$51,MATCH($C609,campaigns!$A$2:$A$51,0))),""),$A609,calendar!$A$2:$A$80)))</f>
        <v/>
      </c>
      <c r="K609" s="30" t="str">
        <f aca="false">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ustomFormat="false" ht="15" hidden="false" customHeight="false" outlineLevel="0" collapsed="false">
      <c r="A610" s="11"/>
      <c r="B610" s="38"/>
      <c r="E610" s="10"/>
      <c r="G610" s="10"/>
      <c r="J610" s="30" t="str">
        <f aca="false">IF(OR($C610="",$A610=""),"",IF($A610&lt;IFERROR(IF(INDEX(campaigns!$BG$2:$BG$51,MATCH($C610,campaigns!$A$2:$A$51,0))="","",INDEX(campaigns!$BG$2:$BG$51,MATCH($C610,campaigns!$A$2:$A$51,0))),""),0,NETWORKDAYS(IFERROR(IF(INDEX(campaigns!$BG$2:$BG$51,MATCH($C610,campaigns!$A$2:$A$51,0))="","",INDEX(campaigns!$BG$2:$BG$51,MATCH($C610,campaigns!$A$2:$A$51,0))),""),$A610,calendar!$A$2:$A$80)))</f>
        <v/>
      </c>
      <c r="K610" s="30" t="str">
        <f aca="false">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ustomFormat="false" ht="15" hidden="false" customHeight="false" outlineLevel="0" collapsed="false">
      <c r="A611" s="11"/>
      <c r="B611" s="38"/>
      <c r="E611" s="10"/>
      <c r="G611" s="10"/>
      <c r="J611" s="30" t="str">
        <f aca="false">IF(OR($C611="",$A611=""),"",IF($A611&lt;IFERROR(IF(INDEX(campaigns!$BG$2:$BG$51,MATCH($C611,campaigns!$A$2:$A$51,0))="","",INDEX(campaigns!$BG$2:$BG$51,MATCH($C611,campaigns!$A$2:$A$51,0))),""),0,NETWORKDAYS(IFERROR(IF(INDEX(campaigns!$BG$2:$BG$51,MATCH($C611,campaigns!$A$2:$A$51,0))="","",INDEX(campaigns!$BG$2:$BG$51,MATCH($C611,campaigns!$A$2:$A$51,0))),""),$A611,calendar!$A$2:$A$80)))</f>
        <v/>
      </c>
      <c r="K611" s="30" t="str">
        <f aca="false">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ustomFormat="false" ht="15" hidden="false" customHeight="false" outlineLevel="0" collapsed="false">
      <c r="A612" s="11"/>
      <c r="B612" s="38"/>
      <c r="E612" s="10"/>
      <c r="G612" s="10"/>
      <c r="J612" s="30" t="str">
        <f aca="false">IF(OR($C612="",$A612=""),"",IF($A612&lt;IFERROR(IF(INDEX(campaigns!$BG$2:$BG$51,MATCH($C612,campaigns!$A$2:$A$51,0))="","",INDEX(campaigns!$BG$2:$BG$51,MATCH($C612,campaigns!$A$2:$A$51,0))),""),0,NETWORKDAYS(IFERROR(IF(INDEX(campaigns!$BG$2:$BG$51,MATCH($C612,campaigns!$A$2:$A$51,0))="","",INDEX(campaigns!$BG$2:$BG$51,MATCH($C612,campaigns!$A$2:$A$51,0))),""),$A612,calendar!$A$2:$A$80)))</f>
        <v/>
      </c>
      <c r="K612" s="30" t="str">
        <f aca="false">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ustomFormat="false" ht="15" hidden="false" customHeight="false" outlineLevel="0" collapsed="false">
      <c r="A613" s="11"/>
      <c r="B613" s="38"/>
      <c r="E613" s="10"/>
      <c r="G613" s="10"/>
      <c r="J613" s="30" t="str">
        <f aca="false">IF(OR($C613="",$A613=""),"",IF($A613&lt;IFERROR(IF(INDEX(campaigns!$BG$2:$BG$51,MATCH($C613,campaigns!$A$2:$A$51,0))="","",INDEX(campaigns!$BG$2:$BG$51,MATCH($C613,campaigns!$A$2:$A$51,0))),""),0,NETWORKDAYS(IFERROR(IF(INDEX(campaigns!$BG$2:$BG$51,MATCH($C613,campaigns!$A$2:$A$51,0))="","",INDEX(campaigns!$BG$2:$BG$51,MATCH($C613,campaigns!$A$2:$A$51,0))),""),$A613,calendar!$A$2:$A$80)))</f>
        <v/>
      </c>
      <c r="K613" s="30" t="str">
        <f aca="false">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ustomFormat="false" ht="15" hidden="false" customHeight="false" outlineLevel="0" collapsed="false">
      <c r="A614" s="11"/>
      <c r="B614" s="38"/>
      <c r="E614" s="10"/>
      <c r="G614" s="10"/>
      <c r="J614" s="30" t="str">
        <f aca="false">IF(OR($C614="",$A614=""),"",IF($A614&lt;IFERROR(IF(INDEX(campaigns!$BG$2:$BG$51,MATCH($C614,campaigns!$A$2:$A$51,0))="","",INDEX(campaigns!$BG$2:$BG$51,MATCH($C614,campaigns!$A$2:$A$51,0))),""),0,NETWORKDAYS(IFERROR(IF(INDEX(campaigns!$BG$2:$BG$51,MATCH($C614,campaigns!$A$2:$A$51,0))="","",INDEX(campaigns!$BG$2:$BG$51,MATCH($C614,campaigns!$A$2:$A$51,0))),""),$A614,calendar!$A$2:$A$80)))</f>
        <v/>
      </c>
      <c r="K614" s="30" t="str">
        <f aca="false">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ustomFormat="false" ht="15" hidden="false" customHeight="false" outlineLevel="0" collapsed="false">
      <c r="A615" s="11"/>
      <c r="B615" s="38"/>
      <c r="E615" s="10"/>
      <c r="G615" s="10"/>
      <c r="J615" s="30" t="str">
        <f aca="false">IF(OR($C615="",$A615=""),"",IF($A615&lt;IFERROR(IF(INDEX(campaigns!$BG$2:$BG$51,MATCH($C615,campaigns!$A$2:$A$51,0))="","",INDEX(campaigns!$BG$2:$BG$51,MATCH($C615,campaigns!$A$2:$A$51,0))),""),0,NETWORKDAYS(IFERROR(IF(INDEX(campaigns!$BG$2:$BG$51,MATCH($C615,campaigns!$A$2:$A$51,0))="","",INDEX(campaigns!$BG$2:$BG$51,MATCH($C615,campaigns!$A$2:$A$51,0))),""),$A615,calendar!$A$2:$A$80)))</f>
        <v/>
      </c>
      <c r="K615" s="30" t="str">
        <f aca="false">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ustomFormat="false" ht="15" hidden="false" customHeight="false" outlineLevel="0" collapsed="false">
      <c r="A616" s="11"/>
      <c r="B616" s="38"/>
      <c r="E616" s="10"/>
      <c r="G616" s="10"/>
      <c r="J616" s="30" t="str">
        <f aca="false">IF(OR($C616="",$A616=""),"",IF($A616&lt;IFERROR(IF(INDEX(campaigns!$BG$2:$BG$51,MATCH($C616,campaigns!$A$2:$A$51,0))="","",INDEX(campaigns!$BG$2:$BG$51,MATCH($C616,campaigns!$A$2:$A$51,0))),""),0,NETWORKDAYS(IFERROR(IF(INDEX(campaigns!$BG$2:$BG$51,MATCH($C616,campaigns!$A$2:$A$51,0))="","",INDEX(campaigns!$BG$2:$BG$51,MATCH($C616,campaigns!$A$2:$A$51,0))),""),$A616,calendar!$A$2:$A$80)))</f>
        <v/>
      </c>
      <c r="K616" s="30" t="str">
        <f aca="false">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ustomFormat="false" ht="15" hidden="false" customHeight="false" outlineLevel="0" collapsed="false">
      <c r="A617" s="11"/>
      <c r="B617" s="38"/>
      <c r="E617" s="10"/>
      <c r="G617" s="10"/>
      <c r="J617" s="30" t="str">
        <f aca="false">IF(OR($C617="",$A617=""),"",IF($A617&lt;IFERROR(IF(INDEX(campaigns!$BG$2:$BG$51,MATCH($C617,campaigns!$A$2:$A$51,0))="","",INDEX(campaigns!$BG$2:$BG$51,MATCH($C617,campaigns!$A$2:$A$51,0))),""),0,NETWORKDAYS(IFERROR(IF(INDEX(campaigns!$BG$2:$BG$51,MATCH($C617,campaigns!$A$2:$A$51,0))="","",INDEX(campaigns!$BG$2:$BG$51,MATCH($C617,campaigns!$A$2:$A$51,0))),""),$A617,calendar!$A$2:$A$80)))</f>
        <v/>
      </c>
      <c r="K617" s="30" t="str">
        <f aca="false">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ustomFormat="false" ht="15" hidden="false" customHeight="false" outlineLevel="0" collapsed="false">
      <c r="A618" s="11"/>
      <c r="B618" s="38"/>
      <c r="E618" s="10"/>
      <c r="G618" s="10"/>
      <c r="J618" s="30" t="str">
        <f aca="false">IF(OR($C618="",$A618=""),"",IF($A618&lt;IFERROR(IF(INDEX(campaigns!$BG$2:$BG$51,MATCH($C618,campaigns!$A$2:$A$51,0))="","",INDEX(campaigns!$BG$2:$BG$51,MATCH($C618,campaigns!$A$2:$A$51,0))),""),0,NETWORKDAYS(IFERROR(IF(INDEX(campaigns!$BG$2:$BG$51,MATCH($C618,campaigns!$A$2:$A$51,0))="","",INDEX(campaigns!$BG$2:$BG$51,MATCH($C618,campaigns!$A$2:$A$51,0))),""),$A618,calendar!$A$2:$A$80)))</f>
        <v/>
      </c>
      <c r="K618" s="30" t="str">
        <f aca="false">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ustomFormat="false" ht="15" hidden="false" customHeight="false" outlineLevel="0" collapsed="false">
      <c r="A619" s="11"/>
      <c r="B619" s="38"/>
      <c r="E619" s="10"/>
      <c r="G619" s="10"/>
      <c r="J619" s="30" t="str">
        <f aca="false">IF(OR($C619="",$A619=""),"",IF($A619&lt;IFERROR(IF(INDEX(campaigns!$BG$2:$BG$51,MATCH($C619,campaigns!$A$2:$A$51,0))="","",INDEX(campaigns!$BG$2:$BG$51,MATCH($C619,campaigns!$A$2:$A$51,0))),""),0,NETWORKDAYS(IFERROR(IF(INDEX(campaigns!$BG$2:$BG$51,MATCH($C619,campaigns!$A$2:$A$51,0))="","",INDEX(campaigns!$BG$2:$BG$51,MATCH($C619,campaigns!$A$2:$A$51,0))),""),$A619,calendar!$A$2:$A$80)))</f>
        <v/>
      </c>
      <c r="K619" s="30" t="str">
        <f aca="false">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ustomFormat="false" ht="15" hidden="false" customHeight="false" outlineLevel="0" collapsed="false">
      <c r="A620" s="11"/>
      <c r="B620" s="38"/>
      <c r="E620" s="10"/>
      <c r="G620" s="10"/>
      <c r="J620" s="30" t="str">
        <f aca="false">IF(OR($C620="",$A620=""),"",IF($A620&lt;IFERROR(IF(INDEX(campaigns!$BG$2:$BG$51,MATCH($C620,campaigns!$A$2:$A$51,0))="","",INDEX(campaigns!$BG$2:$BG$51,MATCH($C620,campaigns!$A$2:$A$51,0))),""),0,NETWORKDAYS(IFERROR(IF(INDEX(campaigns!$BG$2:$BG$51,MATCH($C620,campaigns!$A$2:$A$51,0))="","",INDEX(campaigns!$BG$2:$BG$51,MATCH($C620,campaigns!$A$2:$A$51,0))),""),$A620,calendar!$A$2:$A$80)))</f>
        <v/>
      </c>
      <c r="K620" s="30" t="str">
        <f aca="false">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ustomFormat="false" ht="15" hidden="false" customHeight="false" outlineLevel="0" collapsed="false">
      <c r="A621" s="11"/>
      <c r="B621" s="38"/>
      <c r="E621" s="10"/>
      <c r="G621" s="10"/>
      <c r="J621" s="30" t="str">
        <f aca="false">IF(OR($C621="",$A621=""),"",IF($A621&lt;IFERROR(IF(INDEX(campaigns!$BG$2:$BG$51,MATCH($C621,campaigns!$A$2:$A$51,0))="","",INDEX(campaigns!$BG$2:$BG$51,MATCH($C621,campaigns!$A$2:$A$51,0))),""),0,NETWORKDAYS(IFERROR(IF(INDEX(campaigns!$BG$2:$BG$51,MATCH($C621,campaigns!$A$2:$A$51,0))="","",INDEX(campaigns!$BG$2:$BG$51,MATCH($C621,campaigns!$A$2:$A$51,0))),""),$A621,calendar!$A$2:$A$80)))</f>
        <v/>
      </c>
      <c r="K621" s="30" t="str">
        <f aca="false">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ustomFormat="false" ht="15" hidden="false" customHeight="false" outlineLevel="0" collapsed="false">
      <c r="A622" s="11"/>
      <c r="B622" s="38"/>
      <c r="E622" s="10"/>
      <c r="G622" s="10"/>
      <c r="J622" s="30" t="str">
        <f aca="false">IF(OR($C622="",$A622=""),"",IF($A622&lt;IFERROR(IF(INDEX(campaigns!$BG$2:$BG$51,MATCH($C622,campaigns!$A$2:$A$51,0))="","",INDEX(campaigns!$BG$2:$BG$51,MATCH($C622,campaigns!$A$2:$A$51,0))),""),0,NETWORKDAYS(IFERROR(IF(INDEX(campaigns!$BG$2:$BG$51,MATCH($C622,campaigns!$A$2:$A$51,0))="","",INDEX(campaigns!$BG$2:$BG$51,MATCH($C622,campaigns!$A$2:$A$51,0))),""),$A622,calendar!$A$2:$A$80)))</f>
        <v/>
      </c>
      <c r="K622" s="30" t="str">
        <f aca="false">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ustomFormat="false" ht="15" hidden="false" customHeight="false" outlineLevel="0" collapsed="false">
      <c r="A623" s="11"/>
      <c r="B623" s="38"/>
      <c r="E623" s="10"/>
      <c r="G623" s="10"/>
      <c r="J623" s="30" t="str">
        <f aca="false">IF(OR($C623="",$A623=""),"",IF($A623&lt;IFERROR(IF(INDEX(campaigns!$BG$2:$BG$51,MATCH($C623,campaigns!$A$2:$A$51,0))="","",INDEX(campaigns!$BG$2:$BG$51,MATCH($C623,campaigns!$A$2:$A$51,0))),""),0,NETWORKDAYS(IFERROR(IF(INDEX(campaigns!$BG$2:$BG$51,MATCH($C623,campaigns!$A$2:$A$51,0))="","",INDEX(campaigns!$BG$2:$BG$51,MATCH($C623,campaigns!$A$2:$A$51,0))),""),$A623,calendar!$A$2:$A$80)))</f>
        <v/>
      </c>
      <c r="K623" s="30" t="str">
        <f aca="false">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ustomFormat="false" ht="15" hidden="false" customHeight="false" outlineLevel="0" collapsed="false">
      <c r="A624" s="11"/>
      <c r="B624" s="38"/>
      <c r="E624" s="10"/>
      <c r="G624" s="10"/>
      <c r="J624" s="30" t="str">
        <f aca="false">IF(OR($C624="",$A624=""),"",IF($A624&lt;IFERROR(IF(INDEX(campaigns!$BG$2:$BG$51,MATCH($C624,campaigns!$A$2:$A$51,0))="","",INDEX(campaigns!$BG$2:$BG$51,MATCH($C624,campaigns!$A$2:$A$51,0))),""),0,NETWORKDAYS(IFERROR(IF(INDEX(campaigns!$BG$2:$BG$51,MATCH($C624,campaigns!$A$2:$A$51,0))="","",INDEX(campaigns!$BG$2:$BG$51,MATCH($C624,campaigns!$A$2:$A$51,0))),""),$A624,calendar!$A$2:$A$80)))</f>
        <v/>
      </c>
      <c r="K624" s="30" t="str">
        <f aca="false">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ustomFormat="false" ht="15" hidden="false" customHeight="false" outlineLevel="0" collapsed="false">
      <c r="A625" s="11"/>
      <c r="B625" s="38"/>
      <c r="E625" s="10"/>
      <c r="G625" s="10"/>
      <c r="J625" s="30" t="str">
        <f aca="false">IF(OR($C625="",$A625=""),"",IF($A625&lt;IFERROR(IF(INDEX(campaigns!$BG$2:$BG$51,MATCH($C625,campaigns!$A$2:$A$51,0))="","",INDEX(campaigns!$BG$2:$BG$51,MATCH($C625,campaigns!$A$2:$A$51,0))),""),0,NETWORKDAYS(IFERROR(IF(INDEX(campaigns!$BG$2:$BG$51,MATCH($C625,campaigns!$A$2:$A$51,0))="","",INDEX(campaigns!$BG$2:$BG$51,MATCH($C625,campaigns!$A$2:$A$51,0))),""),$A625,calendar!$A$2:$A$80)))</f>
        <v/>
      </c>
      <c r="K625" s="30" t="str">
        <f aca="false">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ustomFormat="false" ht="15" hidden="false" customHeight="false" outlineLevel="0" collapsed="false">
      <c r="A626" s="11"/>
      <c r="B626" s="38"/>
      <c r="E626" s="10"/>
      <c r="G626" s="10"/>
      <c r="J626" s="30" t="str">
        <f aca="false">IF(OR($C626="",$A626=""),"",IF($A626&lt;IFERROR(IF(INDEX(campaigns!$BG$2:$BG$51,MATCH($C626,campaigns!$A$2:$A$51,0))="","",INDEX(campaigns!$BG$2:$BG$51,MATCH($C626,campaigns!$A$2:$A$51,0))),""),0,NETWORKDAYS(IFERROR(IF(INDEX(campaigns!$BG$2:$BG$51,MATCH($C626,campaigns!$A$2:$A$51,0))="","",INDEX(campaigns!$BG$2:$BG$51,MATCH($C626,campaigns!$A$2:$A$51,0))),""),$A626,calendar!$A$2:$A$80)))</f>
        <v/>
      </c>
      <c r="K626" s="30" t="str">
        <f aca="false">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ustomFormat="false" ht="15" hidden="false" customHeight="false" outlineLevel="0" collapsed="false">
      <c r="A627" s="11"/>
      <c r="B627" s="38"/>
      <c r="E627" s="10"/>
      <c r="G627" s="10"/>
      <c r="J627" s="30" t="str">
        <f aca="false">IF(OR($C627="",$A627=""),"",IF($A627&lt;IFERROR(IF(INDEX(campaigns!$BG$2:$BG$51,MATCH($C627,campaigns!$A$2:$A$51,0))="","",INDEX(campaigns!$BG$2:$BG$51,MATCH($C627,campaigns!$A$2:$A$51,0))),""),0,NETWORKDAYS(IFERROR(IF(INDEX(campaigns!$BG$2:$BG$51,MATCH($C627,campaigns!$A$2:$A$51,0))="","",INDEX(campaigns!$BG$2:$BG$51,MATCH($C627,campaigns!$A$2:$A$51,0))),""),$A627,calendar!$A$2:$A$80)))</f>
        <v/>
      </c>
      <c r="K627" s="30" t="str">
        <f aca="false">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ustomFormat="false" ht="15" hidden="false" customHeight="false" outlineLevel="0" collapsed="false">
      <c r="A628" s="11"/>
      <c r="B628" s="38"/>
      <c r="E628" s="10"/>
      <c r="G628" s="10"/>
      <c r="J628" s="30" t="str">
        <f aca="false">IF(OR($C628="",$A628=""),"",IF($A628&lt;IFERROR(IF(INDEX(campaigns!$BG$2:$BG$51,MATCH($C628,campaigns!$A$2:$A$51,0))="","",INDEX(campaigns!$BG$2:$BG$51,MATCH($C628,campaigns!$A$2:$A$51,0))),""),0,NETWORKDAYS(IFERROR(IF(INDEX(campaigns!$BG$2:$BG$51,MATCH($C628,campaigns!$A$2:$A$51,0))="","",INDEX(campaigns!$BG$2:$BG$51,MATCH($C628,campaigns!$A$2:$A$51,0))),""),$A628,calendar!$A$2:$A$80)))</f>
        <v/>
      </c>
      <c r="K628" s="30" t="str">
        <f aca="false">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ustomFormat="false" ht="15" hidden="false" customHeight="false" outlineLevel="0" collapsed="false">
      <c r="A629" s="11"/>
      <c r="B629" s="38"/>
      <c r="E629" s="10"/>
      <c r="G629" s="10"/>
      <c r="J629" s="30" t="str">
        <f aca="false">IF(OR($C629="",$A629=""),"",IF($A629&lt;IFERROR(IF(INDEX(campaigns!$BG$2:$BG$51,MATCH($C629,campaigns!$A$2:$A$51,0))="","",INDEX(campaigns!$BG$2:$BG$51,MATCH($C629,campaigns!$A$2:$A$51,0))),""),0,NETWORKDAYS(IFERROR(IF(INDEX(campaigns!$BG$2:$BG$51,MATCH($C629,campaigns!$A$2:$A$51,0))="","",INDEX(campaigns!$BG$2:$BG$51,MATCH($C629,campaigns!$A$2:$A$51,0))),""),$A629,calendar!$A$2:$A$80)))</f>
        <v/>
      </c>
      <c r="K629" s="30" t="str">
        <f aca="false">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ustomFormat="false" ht="15" hidden="false" customHeight="false" outlineLevel="0" collapsed="false">
      <c r="A630" s="11"/>
      <c r="B630" s="38"/>
      <c r="E630" s="10"/>
      <c r="G630" s="10"/>
      <c r="J630" s="30" t="str">
        <f aca="false">IF(OR($C630="",$A630=""),"",IF($A630&lt;IFERROR(IF(INDEX(campaigns!$BG$2:$BG$51,MATCH($C630,campaigns!$A$2:$A$51,0))="","",INDEX(campaigns!$BG$2:$BG$51,MATCH($C630,campaigns!$A$2:$A$51,0))),""),0,NETWORKDAYS(IFERROR(IF(INDEX(campaigns!$BG$2:$BG$51,MATCH($C630,campaigns!$A$2:$A$51,0))="","",INDEX(campaigns!$BG$2:$BG$51,MATCH($C630,campaigns!$A$2:$A$51,0))),""),$A630,calendar!$A$2:$A$80)))</f>
        <v/>
      </c>
      <c r="K630" s="30" t="str">
        <f aca="false">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ustomFormat="false" ht="15" hidden="false" customHeight="false" outlineLevel="0" collapsed="false">
      <c r="A631" s="11"/>
      <c r="B631" s="38"/>
      <c r="E631" s="10"/>
      <c r="G631" s="10"/>
      <c r="J631" s="30" t="str">
        <f aca="false">IF(OR($C631="",$A631=""),"",IF($A631&lt;IFERROR(IF(INDEX(campaigns!$BG$2:$BG$51,MATCH($C631,campaigns!$A$2:$A$51,0))="","",INDEX(campaigns!$BG$2:$BG$51,MATCH($C631,campaigns!$A$2:$A$51,0))),""),0,NETWORKDAYS(IFERROR(IF(INDEX(campaigns!$BG$2:$BG$51,MATCH($C631,campaigns!$A$2:$A$51,0))="","",INDEX(campaigns!$BG$2:$BG$51,MATCH($C631,campaigns!$A$2:$A$51,0))),""),$A631,calendar!$A$2:$A$80)))</f>
        <v/>
      </c>
      <c r="K631" s="30" t="str">
        <f aca="false">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ustomFormat="false" ht="15" hidden="false" customHeight="false" outlineLevel="0" collapsed="false">
      <c r="A632" s="11"/>
      <c r="B632" s="38"/>
      <c r="E632" s="10"/>
      <c r="G632" s="10"/>
      <c r="J632" s="30" t="str">
        <f aca="false">IF(OR($C632="",$A632=""),"",IF($A632&lt;IFERROR(IF(INDEX(campaigns!$BG$2:$BG$51,MATCH($C632,campaigns!$A$2:$A$51,0))="","",INDEX(campaigns!$BG$2:$BG$51,MATCH($C632,campaigns!$A$2:$A$51,0))),""),0,NETWORKDAYS(IFERROR(IF(INDEX(campaigns!$BG$2:$BG$51,MATCH($C632,campaigns!$A$2:$A$51,0))="","",INDEX(campaigns!$BG$2:$BG$51,MATCH($C632,campaigns!$A$2:$A$51,0))),""),$A632,calendar!$A$2:$A$80)))</f>
        <v/>
      </c>
      <c r="K632" s="30" t="str">
        <f aca="false">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ustomFormat="false" ht="15" hidden="false" customHeight="false" outlineLevel="0" collapsed="false">
      <c r="A633" s="11"/>
      <c r="B633" s="38"/>
      <c r="E633" s="10"/>
      <c r="G633" s="10"/>
      <c r="J633" s="30" t="str">
        <f aca="false">IF(OR($C633="",$A633=""),"",IF($A633&lt;IFERROR(IF(INDEX(campaigns!$BG$2:$BG$51,MATCH($C633,campaigns!$A$2:$A$51,0))="","",INDEX(campaigns!$BG$2:$BG$51,MATCH($C633,campaigns!$A$2:$A$51,0))),""),0,NETWORKDAYS(IFERROR(IF(INDEX(campaigns!$BG$2:$BG$51,MATCH($C633,campaigns!$A$2:$A$51,0))="","",INDEX(campaigns!$BG$2:$BG$51,MATCH($C633,campaigns!$A$2:$A$51,0))),""),$A633,calendar!$A$2:$A$80)))</f>
        <v/>
      </c>
      <c r="K633" s="30" t="str">
        <f aca="false">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ustomFormat="false" ht="15" hidden="false" customHeight="false" outlineLevel="0" collapsed="false">
      <c r="A634" s="11"/>
      <c r="B634" s="38"/>
      <c r="E634" s="10"/>
      <c r="G634" s="10"/>
      <c r="J634" s="30" t="str">
        <f aca="false">IF(OR($C634="",$A634=""),"",IF($A634&lt;IFERROR(IF(INDEX(campaigns!$BG$2:$BG$51,MATCH($C634,campaigns!$A$2:$A$51,0))="","",INDEX(campaigns!$BG$2:$BG$51,MATCH($C634,campaigns!$A$2:$A$51,0))),""),0,NETWORKDAYS(IFERROR(IF(INDEX(campaigns!$BG$2:$BG$51,MATCH($C634,campaigns!$A$2:$A$51,0))="","",INDEX(campaigns!$BG$2:$BG$51,MATCH($C634,campaigns!$A$2:$A$51,0))),""),$A634,calendar!$A$2:$A$80)))</f>
        <v/>
      </c>
      <c r="K634" s="30" t="str">
        <f aca="false">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ustomFormat="false" ht="15" hidden="false" customHeight="false" outlineLevel="0" collapsed="false">
      <c r="A635" s="11"/>
      <c r="B635" s="38"/>
      <c r="E635" s="10"/>
      <c r="G635" s="10"/>
      <c r="J635" s="30" t="str">
        <f aca="false">IF(OR($C635="",$A635=""),"",IF($A635&lt;IFERROR(IF(INDEX(campaigns!$BG$2:$BG$51,MATCH($C635,campaigns!$A$2:$A$51,0))="","",INDEX(campaigns!$BG$2:$BG$51,MATCH($C635,campaigns!$A$2:$A$51,0))),""),0,NETWORKDAYS(IFERROR(IF(INDEX(campaigns!$BG$2:$BG$51,MATCH($C635,campaigns!$A$2:$A$51,0))="","",INDEX(campaigns!$BG$2:$BG$51,MATCH($C635,campaigns!$A$2:$A$51,0))),""),$A635,calendar!$A$2:$A$80)))</f>
        <v/>
      </c>
      <c r="K635" s="30" t="str">
        <f aca="false">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ustomFormat="false" ht="15" hidden="false" customHeight="false" outlineLevel="0" collapsed="false">
      <c r="A636" s="11"/>
      <c r="B636" s="38"/>
      <c r="E636" s="10"/>
      <c r="G636" s="10"/>
      <c r="J636" s="30" t="str">
        <f aca="false">IF(OR($C636="",$A636=""),"",IF($A636&lt;IFERROR(IF(INDEX(campaigns!$BG$2:$BG$51,MATCH($C636,campaigns!$A$2:$A$51,0))="","",INDEX(campaigns!$BG$2:$BG$51,MATCH($C636,campaigns!$A$2:$A$51,0))),""),0,NETWORKDAYS(IFERROR(IF(INDEX(campaigns!$BG$2:$BG$51,MATCH($C636,campaigns!$A$2:$A$51,0))="","",INDEX(campaigns!$BG$2:$BG$51,MATCH($C636,campaigns!$A$2:$A$51,0))),""),$A636,calendar!$A$2:$A$80)))</f>
        <v/>
      </c>
      <c r="K636" s="30" t="str">
        <f aca="false">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ustomFormat="false" ht="15" hidden="false" customHeight="false" outlineLevel="0" collapsed="false">
      <c r="A637" s="11"/>
      <c r="B637" s="38"/>
      <c r="E637" s="10"/>
      <c r="G637" s="10"/>
      <c r="J637" s="30" t="str">
        <f aca="false">IF(OR($C637="",$A637=""),"",IF($A637&lt;IFERROR(IF(INDEX(campaigns!$BG$2:$BG$51,MATCH($C637,campaigns!$A$2:$A$51,0))="","",INDEX(campaigns!$BG$2:$BG$51,MATCH($C637,campaigns!$A$2:$A$51,0))),""),0,NETWORKDAYS(IFERROR(IF(INDEX(campaigns!$BG$2:$BG$51,MATCH($C637,campaigns!$A$2:$A$51,0))="","",INDEX(campaigns!$BG$2:$BG$51,MATCH($C637,campaigns!$A$2:$A$51,0))),""),$A637,calendar!$A$2:$A$80)))</f>
        <v/>
      </c>
      <c r="K637" s="30" t="str">
        <f aca="false">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ustomFormat="false" ht="15" hidden="false" customHeight="false" outlineLevel="0" collapsed="false">
      <c r="A638" s="11"/>
      <c r="B638" s="38"/>
      <c r="E638" s="10"/>
      <c r="G638" s="10"/>
      <c r="J638" s="30" t="str">
        <f aca="false">IF(OR($C638="",$A638=""),"",IF($A638&lt;IFERROR(IF(INDEX(campaigns!$BG$2:$BG$51,MATCH($C638,campaigns!$A$2:$A$51,0))="","",INDEX(campaigns!$BG$2:$BG$51,MATCH($C638,campaigns!$A$2:$A$51,0))),""),0,NETWORKDAYS(IFERROR(IF(INDEX(campaigns!$BG$2:$BG$51,MATCH($C638,campaigns!$A$2:$A$51,0))="","",INDEX(campaigns!$BG$2:$BG$51,MATCH($C638,campaigns!$A$2:$A$51,0))),""),$A638,calendar!$A$2:$A$80)))</f>
        <v/>
      </c>
      <c r="K638" s="30" t="str">
        <f aca="false">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ustomFormat="false" ht="15" hidden="false" customHeight="false" outlineLevel="0" collapsed="false">
      <c r="A639" s="11"/>
      <c r="B639" s="38"/>
      <c r="E639" s="10"/>
      <c r="G639" s="10"/>
      <c r="J639" s="30" t="str">
        <f aca="false">IF(OR($C639="",$A639=""),"",IF($A639&lt;IFERROR(IF(INDEX(campaigns!$BG$2:$BG$51,MATCH($C639,campaigns!$A$2:$A$51,0))="","",INDEX(campaigns!$BG$2:$BG$51,MATCH($C639,campaigns!$A$2:$A$51,0))),""),0,NETWORKDAYS(IFERROR(IF(INDEX(campaigns!$BG$2:$BG$51,MATCH($C639,campaigns!$A$2:$A$51,0))="","",INDEX(campaigns!$BG$2:$BG$51,MATCH($C639,campaigns!$A$2:$A$51,0))),""),$A639,calendar!$A$2:$A$80)))</f>
        <v/>
      </c>
      <c r="K639" s="30" t="str">
        <f aca="false">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ustomFormat="false" ht="15" hidden="false" customHeight="false" outlineLevel="0" collapsed="false">
      <c r="A640" s="11"/>
      <c r="B640" s="38"/>
      <c r="E640" s="10"/>
      <c r="G640" s="10"/>
      <c r="J640" s="30" t="str">
        <f aca="false">IF(OR($C640="",$A640=""),"",IF($A640&lt;IFERROR(IF(INDEX(campaigns!$BG$2:$BG$51,MATCH($C640,campaigns!$A$2:$A$51,0))="","",INDEX(campaigns!$BG$2:$BG$51,MATCH($C640,campaigns!$A$2:$A$51,0))),""),0,NETWORKDAYS(IFERROR(IF(INDEX(campaigns!$BG$2:$BG$51,MATCH($C640,campaigns!$A$2:$A$51,0))="","",INDEX(campaigns!$BG$2:$BG$51,MATCH($C640,campaigns!$A$2:$A$51,0))),""),$A640,calendar!$A$2:$A$80)))</f>
        <v/>
      </c>
      <c r="K640" s="30" t="str">
        <f aca="false">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ustomFormat="false" ht="15" hidden="false" customHeight="false" outlineLevel="0" collapsed="false">
      <c r="A641" s="11"/>
      <c r="B641" s="38"/>
      <c r="E641" s="10"/>
      <c r="G641" s="10"/>
      <c r="J641" s="30" t="str">
        <f aca="false">IF(OR($C641="",$A641=""),"",IF($A641&lt;IFERROR(IF(INDEX(campaigns!$BG$2:$BG$51,MATCH($C641,campaigns!$A$2:$A$51,0))="","",INDEX(campaigns!$BG$2:$BG$51,MATCH($C641,campaigns!$A$2:$A$51,0))),""),0,NETWORKDAYS(IFERROR(IF(INDEX(campaigns!$BG$2:$BG$51,MATCH($C641,campaigns!$A$2:$A$51,0))="","",INDEX(campaigns!$BG$2:$BG$51,MATCH($C641,campaigns!$A$2:$A$51,0))),""),$A641,calendar!$A$2:$A$80)))</f>
        <v/>
      </c>
      <c r="K641" s="30" t="str">
        <f aca="false">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ustomFormat="false" ht="15" hidden="false" customHeight="false" outlineLevel="0" collapsed="false">
      <c r="A642" s="11"/>
      <c r="B642" s="38"/>
      <c r="E642" s="10"/>
      <c r="G642" s="10"/>
      <c r="J642" s="30" t="str">
        <f aca="false">IF(OR($C642="",$A642=""),"",IF($A642&lt;IFERROR(IF(INDEX(campaigns!$BG$2:$BG$51,MATCH($C642,campaigns!$A$2:$A$51,0))="","",INDEX(campaigns!$BG$2:$BG$51,MATCH($C642,campaigns!$A$2:$A$51,0))),""),0,NETWORKDAYS(IFERROR(IF(INDEX(campaigns!$BG$2:$BG$51,MATCH($C642,campaigns!$A$2:$A$51,0))="","",INDEX(campaigns!$BG$2:$BG$51,MATCH($C642,campaigns!$A$2:$A$51,0))),""),$A642,calendar!$A$2:$A$80)))</f>
        <v/>
      </c>
      <c r="K642" s="30" t="str">
        <f aca="false">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ustomFormat="false" ht="15" hidden="false" customHeight="false" outlineLevel="0" collapsed="false">
      <c r="A643" s="11"/>
      <c r="B643" s="38"/>
      <c r="E643" s="10"/>
      <c r="G643" s="10"/>
      <c r="J643" s="30" t="str">
        <f aca="false">IF(OR($C643="",$A643=""),"",IF($A643&lt;IFERROR(IF(INDEX(campaigns!$BG$2:$BG$51,MATCH($C643,campaigns!$A$2:$A$51,0))="","",INDEX(campaigns!$BG$2:$BG$51,MATCH($C643,campaigns!$A$2:$A$51,0))),""),0,NETWORKDAYS(IFERROR(IF(INDEX(campaigns!$BG$2:$BG$51,MATCH($C643,campaigns!$A$2:$A$51,0))="","",INDEX(campaigns!$BG$2:$BG$51,MATCH($C643,campaigns!$A$2:$A$51,0))),""),$A643,calendar!$A$2:$A$80)))</f>
        <v/>
      </c>
      <c r="K643" s="30" t="str">
        <f aca="false">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ustomFormat="false" ht="15" hidden="false" customHeight="false" outlineLevel="0" collapsed="false">
      <c r="A644" s="11"/>
      <c r="B644" s="38"/>
      <c r="E644" s="10"/>
      <c r="G644" s="10"/>
      <c r="J644" s="30" t="str">
        <f aca="false">IF(OR($C644="",$A644=""),"",IF($A644&lt;IFERROR(IF(INDEX(campaigns!$BG$2:$BG$51,MATCH($C644,campaigns!$A$2:$A$51,0))="","",INDEX(campaigns!$BG$2:$BG$51,MATCH($C644,campaigns!$A$2:$A$51,0))),""),0,NETWORKDAYS(IFERROR(IF(INDEX(campaigns!$BG$2:$BG$51,MATCH($C644,campaigns!$A$2:$A$51,0))="","",INDEX(campaigns!$BG$2:$BG$51,MATCH($C644,campaigns!$A$2:$A$51,0))),""),$A644,calendar!$A$2:$A$80)))</f>
        <v/>
      </c>
      <c r="K644" s="30" t="str">
        <f aca="false">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ustomFormat="false" ht="15" hidden="false" customHeight="false" outlineLevel="0" collapsed="false">
      <c r="A645" s="11"/>
      <c r="B645" s="38"/>
      <c r="E645" s="10"/>
      <c r="G645" s="10"/>
      <c r="J645" s="30" t="str">
        <f aca="false">IF(OR($C645="",$A645=""),"",IF($A645&lt;IFERROR(IF(INDEX(campaigns!$BG$2:$BG$51,MATCH($C645,campaigns!$A$2:$A$51,0))="","",INDEX(campaigns!$BG$2:$BG$51,MATCH($C645,campaigns!$A$2:$A$51,0))),""),0,NETWORKDAYS(IFERROR(IF(INDEX(campaigns!$BG$2:$BG$51,MATCH($C645,campaigns!$A$2:$A$51,0))="","",INDEX(campaigns!$BG$2:$BG$51,MATCH($C645,campaigns!$A$2:$A$51,0))),""),$A645,calendar!$A$2:$A$80)))</f>
        <v/>
      </c>
      <c r="K645" s="30" t="str">
        <f aca="false">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ustomFormat="false" ht="15" hidden="false" customHeight="false" outlineLevel="0" collapsed="false">
      <c r="A646" s="11"/>
      <c r="B646" s="38"/>
      <c r="E646" s="10"/>
      <c r="G646" s="10"/>
      <c r="J646" s="30" t="str">
        <f aca="false">IF(OR($C646="",$A646=""),"",IF($A646&lt;IFERROR(IF(INDEX(campaigns!$BG$2:$BG$51,MATCH($C646,campaigns!$A$2:$A$51,0))="","",INDEX(campaigns!$BG$2:$BG$51,MATCH($C646,campaigns!$A$2:$A$51,0))),""),0,NETWORKDAYS(IFERROR(IF(INDEX(campaigns!$BG$2:$BG$51,MATCH($C646,campaigns!$A$2:$A$51,0))="","",INDEX(campaigns!$BG$2:$BG$51,MATCH($C646,campaigns!$A$2:$A$51,0))),""),$A646,calendar!$A$2:$A$80)))</f>
        <v/>
      </c>
      <c r="K646" s="30" t="str">
        <f aca="false">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ustomFormat="false" ht="15" hidden="false" customHeight="false" outlineLevel="0" collapsed="false">
      <c r="A647" s="11"/>
      <c r="B647" s="38"/>
      <c r="E647" s="10"/>
      <c r="G647" s="10"/>
      <c r="J647" s="30" t="str">
        <f aca="false">IF(OR($C647="",$A647=""),"",IF($A647&lt;IFERROR(IF(INDEX(campaigns!$BG$2:$BG$51,MATCH($C647,campaigns!$A$2:$A$51,0))="","",INDEX(campaigns!$BG$2:$BG$51,MATCH($C647,campaigns!$A$2:$A$51,0))),""),0,NETWORKDAYS(IFERROR(IF(INDEX(campaigns!$BG$2:$BG$51,MATCH($C647,campaigns!$A$2:$A$51,0))="","",INDEX(campaigns!$BG$2:$BG$51,MATCH($C647,campaigns!$A$2:$A$51,0))),""),$A647,calendar!$A$2:$A$80)))</f>
        <v/>
      </c>
      <c r="K647" s="30" t="str">
        <f aca="false">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ustomFormat="false" ht="15" hidden="false" customHeight="false" outlineLevel="0" collapsed="false">
      <c r="A648" s="11"/>
      <c r="B648" s="38"/>
      <c r="E648" s="10"/>
      <c r="G648" s="10"/>
      <c r="J648" s="30" t="str">
        <f aca="false">IF(OR($C648="",$A648=""),"",IF($A648&lt;IFERROR(IF(INDEX(campaigns!$BG$2:$BG$51,MATCH($C648,campaigns!$A$2:$A$51,0))="","",INDEX(campaigns!$BG$2:$BG$51,MATCH($C648,campaigns!$A$2:$A$51,0))),""),0,NETWORKDAYS(IFERROR(IF(INDEX(campaigns!$BG$2:$BG$51,MATCH($C648,campaigns!$A$2:$A$51,0))="","",INDEX(campaigns!$BG$2:$BG$51,MATCH($C648,campaigns!$A$2:$A$51,0))),""),$A648,calendar!$A$2:$A$80)))</f>
        <v/>
      </c>
      <c r="K648" s="30" t="str">
        <f aca="false">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ustomFormat="false" ht="15" hidden="false" customHeight="false" outlineLevel="0" collapsed="false">
      <c r="A649" s="11"/>
      <c r="B649" s="38"/>
      <c r="E649" s="10"/>
      <c r="G649" s="10"/>
      <c r="J649" s="30" t="str">
        <f aca="false">IF(OR($C649="",$A649=""),"",IF($A649&lt;IFERROR(IF(INDEX(campaigns!$BG$2:$BG$51,MATCH($C649,campaigns!$A$2:$A$51,0))="","",INDEX(campaigns!$BG$2:$BG$51,MATCH($C649,campaigns!$A$2:$A$51,0))),""),0,NETWORKDAYS(IFERROR(IF(INDEX(campaigns!$BG$2:$BG$51,MATCH($C649,campaigns!$A$2:$A$51,0))="","",INDEX(campaigns!$BG$2:$BG$51,MATCH($C649,campaigns!$A$2:$A$51,0))),""),$A649,calendar!$A$2:$A$80)))</f>
        <v/>
      </c>
      <c r="K649" s="30" t="str">
        <f aca="false">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ustomFormat="false" ht="15" hidden="false" customHeight="false" outlineLevel="0" collapsed="false">
      <c r="A650" s="11"/>
      <c r="B650" s="38"/>
      <c r="E650" s="10"/>
      <c r="G650" s="10"/>
      <c r="J650" s="30" t="str">
        <f aca="false">IF(OR($C650="",$A650=""),"",IF($A650&lt;IFERROR(IF(INDEX(campaigns!$BG$2:$BG$51,MATCH($C650,campaigns!$A$2:$A$51,0))="","",INDEX(campaigns!$BG$2:$BG$51,MATCH($C650,campaigns!$A$2:$A$51,0))),""),0,NETWORKDAYS(IFERROR(IF(INDEX(campaigns!$BG$2:$BG$51,MATCH($C650,campaigns!$A$2:$A$51,0))="","",INDEX(campaigns!$BG$2:$BG$51,MATCH($C650,campaigns!$A$2:$A$51,0))),""),$A650,calendar!$A$2:$A$80)))</f>
        <v/>
      </c>
      <c r="K650" s="30" t="str">
        <f aca="false">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ustomFormat="false" ht="15" hidden="false" customHeight="false" outlineLevel="0" collapsed="false">
      <c r="A651" s="11"/>
      <c r="B651" s="38"/>
      <c r="E651" s="10"/>
      <c r="G651" s="10"/>
      <c r="J651" s="30" t="str">
        <f aca="false">IF(OR($C651="",$A651=""),"",IF($A651&lt;IFERROR(IF(INDEX(campaigns!$BG$2:$BG$51,MATCH($C651,campaigns!$A$2:$A$51,0))="","",INDEX(campaigns!$BG$2:$BG$51,MATCH($C651,campaigns!$A$2:$A$51,0))),""),0,NETWORKDAYS(IFERROR(IF(INDEX(campaigns!$BG$2:$BG$51,MATCH($C651,campaigns!$A$2:$A$51,0))="","",INDEX(campaigns!$BG$2:$BG$51,MATCH($C651,campaigns!$A$2:$A$51,0))),""),$A651,calendar!$A$2:$A$80)))</f>
        <v/>
      </c>
      <c r="K651" s="30" t="str">
        <f aca="false">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ustomFormat="false" ht="15" hidden="false" customHeight="false" outlineLevel="0" collapsed="false">
      <c r="A652" s="11"/>
      <c r="B652" s="38"/>
      <c r="E652" s="10"/>
      <c r="G652" s="10"/>
      <c r="J652" s="30" t="str">
        <f aca="false">IF(OR($C652="",$A652=""),"",IF($A652&lt;IFERROR(IF(INDEX(campaigns!$BG$2:$BG$51,MATCH($C652,campaigns!$A$2:$A$51,0))="","",INDEX(campaigns!$BG$2:$BG$51,MATCH($C652,campaigns!$A$2:$A$51,0))),""),0,NETWORKDAYS(IFERROR(IF(INDEX(campaigns!$BG$2:$BG$51,MATCH($C652,campaigns!$A$2:$A$51,0))="","",INDEX(campaigns!$BG$2:$BG$51,MATCH($C652,campaigns!$A$2:$A$51,0))),""),$A652,calendar!$A$2:$A$80)))</f>
        <v/>
      </c>
      <c r="K652" s="30" t="str">
        <f aca="false">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ustomFormat="false" ht="15" hidden="false" customHeight="false" outlineLevel="0" collapsed="false">
      <c r="A653" s="11"/>
      <c r="B653" s="38"/>
      <c r="E653" s="10"/>
      <c r="G653" s="10"/>
      <c r="J653" s="30" t="str">
        <f aca="false">IF(OR($C653="",$A653=""),"",IF($A653&lt;IFERROR(IF(INDEX(campaigns!$BG$2:$BG$51,MATCH($C653,campaigns!$A$2:$A$51,0))="","",INDEX(campaigns!$BG$2:$BG$51,MATCH($C653,campaigns!$A$2:$A$51,0))),""),0,NETWORKDAYS(IFERROR(IF(INDEX(campaigns!$BG$2:$BG$51,MATCH($C653,campaigns!$A$2:$A$51,0))="","",INDEX(campaigns!$BG$2:$BG$51,MATCH($C653,campaigns!$A$2:$A$51,0))),""),$A653,calendar!$A$2:$A$80)))</f>
        <v/>
      </c>
      <c r="K653" s="30" t="str">
        <f aca="false">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ustomFormat="false" ht="15" hidden="false" customHeight="false" outlineLevel="0" collapsed="false">
      <c r="A654" s="11"/>
      <c r="B654" s="38"/>
      <c r="E654" s="10"/>
      <c r="G654" s="10"/>
      <c r="J654" s="30" t="str">
        <f aca="false">IF(OR($C654="",$A654=""),"",IF($A654&lt;IFERROR(IF(INDEX(campaigns!$BG$2:$BG$51,MATCH($C654,campaigns!$A$2:$A$51,0))="","",INDEX(campaigns!$BG$2:$BG$51,MATCH($C654,campaigns!$A$2:$A$51,0))),""),0,NETWORKDAYS(IFERROR(IF(INDEX(campaigns!$BG$2:$BG$51,MATCH($C654,campaigns!$A$2:$A$51,0))="","",INDEX(campaigns!$BG$2:$BG$51,MATCH($C654,campaigns!$A$2:$A$51,0))),""),$A654,calendar!$A$2:$A$80)))</f>
        <v/>
      </c>
      <c r="K654" s="30" t="str">
        <f aca="false">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ustomFormat="false" ht="15" hidden="false" customHeight="false" outlineLevel="0" collapsed="false">
      <c r="A655" s="11"/>
      <c r="B655" s="38"/>
      <c r="E655" s="10"/>
      <c r="G655" s="10"/>
      <c r="J655" s="30" t="str">
        <f aca="false">IF(OR($C655="",$A655=""),"",IF($A655&lt;IFERROR(IF(INDEX(campaigns!$BG$2:$BG$51,MATCH($C655,campaigns!$A$2:$A$51,0))="","",INDEX(campaigns!$BG$2:$BG$51,MATCH($C655,campaigns!$A$2:$A$51,0))),""),0,NETWORKDAYS(IFERROR(IF(INDEX(campaigns!$BG$2:$BG$51,MATCH($C655,campaigns!$A$2:$A$51,0))="","",INDEX(campaigns!$BG$2:$BG$51,MATCH($C655,campaigns!$A$2:$A$51,0))),""),$A655,calendar!$A$2:$A$80)))</f>
        <v/>
      </c>
      <c r="K655" s="30" t="str">
        <f aca="false">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ustomFormat="false" ht="15" hidden="false" customHeight="false" outlineLevel="0" collapsed="false">
      <c r="A656" s="11"/>
      <c r="B656" s="38"/>
      <c r="E656" s="10"/>
      <c r="G656" s="10"/>
      <c r="J656" s="30" t="str">
        <f aca="false">IF(OR($C656="",$A656=""),"",IF($A656&lt;IFERROR(IF(INDEX(campaigns!$BG$2:$BG$51,MATCH($C656,campaigns!$A$2:$A$51,0))="","",INDEX(campaigns!$BG$2:$BG$51,MATCH($C656,campaigns!$A$2:$A$51,0))),""),0,NETWORKDAYS(IFERROR(IF(INDEX(campaigns!$BG$2:$BG$51,MATCH($C656,campaigns!$A$2:$A$51,0))="","",INDEX(campaigns!$BG$2:$BG$51,MATCH($C656,campaigns!$A$2:$A$51,0))),""),$A656,calendar!$A$2:$A$80)))</f>
        <v/>
      </c>
      <c r="K656" s="30" t="str">
        <f aca="false">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ustomFormat="false" ht="15" hidden="false" customHeight="false" outlineLevel="0" collapsed="false">
      <c r="A657" s="11"/>
      <c r="B657" s="38"/>
      <c r="E657" s="10"/>
      <c r="G657" s="10"/>
      <c r="J657" s="30" t="str">
        <f aca="false">IF(OR($C657="",$A657=""),"",IF($A657&lt;IFERROR(IF(INDEX(campaigns!$BG$2:$BG$51,MATCH($C657,campaigns!$A$2:$A$51,0))="","",INDEX(campaigns!$BG$2:$BG$51,MATCH($C657,campaigns!$A$2:$A$51,0))),""),0,NETWORKDAYS(IFERROR(IF(INDEX(campaigns!$BG$2:$BG$51,MATCH($C657,campaigns!$A$2:$A$51,0))="","",INDEX(campaigns!$BG$2:$BG$51,MATCH($C657,campaigns!$A$2:$A$51,0))),""),$A657,calendar!$A$2:$A$80)))</f>
        <v/>
      </c>
      <c r="K657" s="30" t="str">
        <f aca="false">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ustomFormat="false" ht="15" hidden="false" customHeight="false" outlineLevel="0" collapsed="false">
      <c r="A658" s="11"/>
      <c r="B658" s="38"/>
      <c r="E658" s="10"/>
      <c r="G658" s="10"/>
      <c r="J658" s="30" t="str">
        <f aca="false">IF(OR($C658="",$A658=""),"",IF($A658&lt;IFERROR(IF(INDEX(campaigns!$BG$2:$BG$51,MATCH($C658,campaigns!$A$2:$A$51,0))="","",INDEX(campaigns!$BG$2:$BG$51,MATCH($C658,campaigns!$A$2:$A$51,0))),""),0,NETWORKDAYS(IFERROR(IF(INDEX(campaigns!$BG$2:$BG$51,MATCH($C658,campaigns!$A$2:$A$51,0))="","",INDEX(campaigns!$BG$2:$BG$51,MATCH($C658,campaigns!$A$2:$A$51,0))),""),$A658,calendar!$A$2:$A$80)))</f>
        <v/>
      </c>
      <c r="K658" s="30" t="str">
        <f aca="false">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ustomFormat="false" ht="15" hidden="false" customHeight="false" outlineLevel="0" collapsed="false">
      <c r="A659" s="11"/>
      <c r="B659" s="38"/>
      <c r="E659" s="10"/>
      <c r="G659" s="10"/>
      <c r="J659" s="30" t="str">
        <f aca="false">IF(OR($C659="",$A659=""),"",IF($A659&lt;IFERROR(IF(INDEX(campaigns!$BG$2:$BG$51,MATCH($C659,campaigns!$A$2:$A$51,0))="","",INDEX(campaigns!$BG$2:$BG$51,MATCH($C659,campaigns!$A$2:$A$51,0))),""),0,NETWORKDAYS(IFERROR(IF(INDEX(campaigns!$BG$2:$BG$51,MATCH($C659,campaigns!$A$2:$A$51,0))="","",INDEX(campaigns!$BG$2:$BG$51,MATCH($C659,campaigns!$A$2:$A$51,0))),""),$A659,calendar!$A$2:$A$80)))</f>
        <v/>
      </c>
      <c r="K659" s="30" t="str">
        <f aca="false">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ustomFormat="false" ht="15" hidden="false" customHeight="false" outlineLevel="0" collapsed="false">
      <c r="A660" s="11"/>
      <c r="B660" s="38"/>
      <c r="E660" s="10"/>
      <c r="G660" s="10"/>
      <c r="J660" s="30" t="str">
        <f aca="false">IF(OR($C660="",$A660=""),"",IF($A660&lt;IFERROR(IF(INDEX(campaigns!$BG$2:$BG$51,MATCH($C660,campaigns!$A$2:$A$51,0))="","",INDEX(campaigns!$BG$2:$BG$51,MATCH($C660,campaigns!$A$2:$A$51,0))),""),0,NETWORKDAYS(IFERROR(IF(INDEX(campaigns!$BG$2:$BG$51,MATCH($C660,campaigns!$A$2:$A$51,0))="","",INDEX(campaigns!$BG$2:$BG$51,MATCH($C660,campaigns!$A$2:$A$51,0))),""),$A660,calendar!$A$2:$A$80)))</f>
        <v/>
      </c>
      <c r="K660" s="30" t="str">
        <f aca="false">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ustomFormat="false" ht="15" hidden="false" customHeight="false" outlineLevel="0" collapsed="false">
      <c r="A661" s="11"/>
      <c r="B661" s="38"/>
      <c r="E661" s="10"/>
      <c r="G661" s="10"/>
      <c r="J661" s="30" t="str">
        <f aca="false">IF(OR($C661="",$A661=""),"",IF($A661&lt;IFERROR(IF(INDEX(campaigns!$BG$2:$BG$51,MATCH($C661,campaigns!$A$2:$A$51,0))="","",INDEX(campaigns!$BG$2:$BG$51,MATCH($C661,campaigns!$A$2:$A$51,0))),""),0,NETWORKDAYS(IFERROR(IF(INDEX(campaigns!$BG$2:$BG$51,MATCH($C661,campaigns!$A$2:$A$51,0))="","",INDEX(campaigns!$BG$2:$BG$51,MATCH($C661,campaigns!$A$2:$A$51,0))),""),$A661,calendar!$A$2:$A$80)))</f>
        <v/>
      </c>
      <c r="K661" s="30" t="str">
        <f aca="false">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ustomFormat="false" ht="15" hidden="false" customHeight="false" outlineLevel="0" collapsed="false">
      <c r="A662" s="11"/>
      <c r="B662" s="38"/>
      <c r="E662" s="10"/>
      <c r="G662" s="10"/>
      <c r="J662" s="30" t="str">
        <f aca="false">IF(OR($C662="",$A662=""),"",IF($A662&lt;IFERROR(IF(INDEX(campaigns!$BG$2:$BG$51,MATCH($C662,campaigns!$A$2:$A$51,0))="","",INDEX(campaigns!$BG$2:$BG$51,MATCH($C662,campaigns!$A$2:$A$51,0))),""),0,NETWORKDAYS(IFERROR(IF(INDEX(campaigns!$BG$2:$BG$51,MATCH($C662,campaigns!$A$2:$A$51,0))="","",INDEX(campaigns!$BG$2:$BG$51,MATCH($C662,campaigns!$A$2:$A$51,0))),""),$A662,calendar!$A$2:$A$80)))</f>
        <v/>
      </c>
      <c r="K662" s="30" t="str">
        <f aca="false">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ustomFormat="false" ht="15" hidden="false" customHeight="false" outlineLevel="0" collapsed="false">
      <c r="A663" s="11"/>
      <c r="B663" s="38"/>
      <c r="E663" s="10"/>
      <c r="G663" s="10"/>
      <c r="J663" s="30" t="str">
        <f aca="false">IF(OR($C663="",$A663=""),"",IF($A663&lt;IFERROR(IF(INDEX(campaigns!$BG$2:$BG$51,MATCH($C663,campaigns!$A$2:$A$51,0))="","",INDEX(campaigns!$BG$2:$BG$51,MATCH($C663,campaigns!$A$2:$A$51,0))),""),0,NETWORKDAYS(IFERROR(IF(INDEX(campaigns!$BG$2:$BG$51,MATCH($C663,campaigns!$A$2:$A$51,0))="","",INDEX(campaigns!$BG$2:$BG$51,MATCH($C663,campaigns!$A$2:$A$51,0))),""),$A663,calendar!$A$2:$A$80)))</f>
        <v/>
      </c>
      <c r="K663" s="30" t="str">
        <f aca="false">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ustomFormat="false" ht="15" hidden="false" customHeight="false" outlineLevel="0" collapsed="false">
      <c r="A664" s="11"/>
      <c r="B664" s="38"/>
      <c r="E664" s="10"/>
      <c r="G664" s="10"/>
      <c r="J664" s="30" t="str">
        <f aca="false">IF(OR($C664="",$A664=""),"",IF($A664&lt;IFERROR(IF(INDEX(campaigns!$BG$2:$BG$51,MATCH($C664,campaigns!$A$2:$A$51,0))="","",INDEX(campaigns!$BG$2:$BG$51,MATCH($C664,campaigns!$A$2:$A$51,0))),""),0,NETWORKDAYS(IFERROR(IF(INDEX(campaigns!$BG$2:$BG$51,MATCH($C664,campaigns!$A$2:$A$51,0))="","",INDEX(campaigns!$BG$2:$BG$51,MATCH($C664,campaigns!$A$2:$A$51,0))),""),$A664,calendar!$A$2:$A$80)))</f>
        <v/>
      </c>
      <c r="K664" s="30" t="str">
        <f aca="false">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ustomFormat="false" ht="15" hidden="false" customHeight="false" outlineLevel="0" collapsed="false">
      <c r="A665" s="11"/>
      <c r="B665" s="38"/>
      <c r="E665" s="10"/>
      <c r="G665" s="10"/>
      <c r="J665" s="30" t="str">
        <f aca="false">IF(OR($C665="",$A665=""),"",IF($A665&lt;IFERROR(IF(INDEX(campaigns!$BG$2:$BG$51,MATCH($C665,campaigns!$A$2:$A$51,0))="","",INDEX(campaigns!$BG$2:$BG$51,MATCH($C665,campaigns!$A$2:$A$51,0))),""),0,NETWORKDAYS(IFERROR(IF(INDEX(campaigns!$BG$2:$BG$51,MATCH($C665,campaigns!$A$2:$A$51,0))="","",INDEX(campaigns!$BG$2:$BG$51,MATCH($C665,campaigns!$A$2:$A$51,0))),""),$A665,calendar!$A$2:$A$80)))</f>
        <v/>
      </c>
      <c r="K665" s="30" t="str">
        <f aca="false">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ustomFormat="false" ht="15" hidden="false" customHeight="false" outlineLevel="0" collapsed="false">
      <c r="A666" s="11"/>
      <c r="B666" s="38"/>
      <c r="E666" s="10"/>
      <c r="G666" s="10"/>
      <c r="J666" s="30" t="str">
        <f aca="false">IF(OR($C666="",$A666=""),"",IF($A666&lt;IFERROR(IF(INDEX(campaigns!$BG$2:$BG$51,MATCH($C666,campaigns!$A$2:$A$51,0))="","",INDEX(campaigns!$BG$2:$BG$51,MATCH($C666,campaigns!$A$2:$A$51,0))),""),0,NETWORKDAYS(IFERROR(IF(INDEX(campaigns!$BG$2:$BG$51,MATCH($C666,campaigns!$A$2:$A$51,0))="","",INDEX(campaigns!$BG$2:$BG$51,MATCH($C666,campaigns!$A$2:$A$51,0))),""),$A666,calendar!$A$2:$A$80)))</f>
        <v/>
      </c>
      <c r="K666" s="30" t="str">
        <f aca="false">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ustomFormat="false" ht="15" hidden="false" customHeight="false" outlineLevel="0" collapsed="false">
      <c r="A667" s="11"/>
      <c r="B667" s="38"/>
      <c r="E667" s="10"/>
      <c r="G667" s="10"/>
      <c r="J667" s="30" t="str">
        <f aca="false">IF(OR($C667="",$A667=""),"",IF($A667&lt;IFERROR(IF(INDEX(campaigns!$BG$2:$BG$51,MATCH($C667,campaigns!$A$2:$A$51,0))="","",INDEX(campaigns!$BG$2:$BG$51,MATCH($C667,campaigns!$A$2:$A$51,0))),""),0,NETWORKDAYS(IFERROR(IF(INDEX(campaigns!$BG$2:$BG$51,MATCH($C667,campaigns!$A$2:$A$51,0))="","",INDEX(campaigns!$BG$2:$BG$51,MATCH($C667,campaigns!$A$2:$A$51,0))),""),$A667,calendar!$A$2:$A$80)))</f>
        <v/>
      </c>
      <c r="K667" s="30" t="str">
        <f aca="false">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ustomFormat="false" ht="15" hidden="false" customHeight="false" outlineLevel="0" collapsed="false">
      <c r="A668" s="11"/>
      <c r="B668" s="38"/>
      <c r="E668" s="10"/>
      <c r="G668" s="10"/>
      <c r="J668" s="30" t="str">
        <f aca="false">IF(OR($C668="",$A668=""),"",IF($A668&lt;IFERROR(IF(INDEX(campaigns!$BG$2:$BG$51,MATCH($C668,campaigns!$A$2:$A$51,0))="","",INDEX(campaigns!$BG$2:$BG$51,MATCH($C668,campaigns!$A$2:$A$51,0))),""),0,NETWORKDAYS(IFERROR(IF(INDEX(campaigns!$BG$2:$BG$51,MATCH($C668,campaigns!$A$2:$A$51,0))="","",INDEX(campaigns!$BG$2:$BG$51,MATCH($C668,campaigns!$A$2:$A$51,0))),""),$A668,calendar!$A$2:$A$80)))</f>
        <v/>
      </c>
      <c r="K668" s="30" t="str">
        <f aca="false">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ustomFormat="false" ht="15" hidden="false" customHeight="false" outlineLevel="0" collapsed="false">
      <c r="A669" s="11"/>
      <c r="B669" s="38"/>
      <c r="E669" s="10"/>
      <c r="G669" s="10"/>
      <c r="J669" s="30" t="str">
        <f aca="false">IF(OR($C669="",$A669=""),"",IF($A669&lt;IFERROR(IF(INDEX(campaigns!$BG$2:$BG$51,MATCH($C669,campaigns!$A$2:$A$51,0))="","",INDEX(campaigns!$BG$2:$BG$51,MATCH($C669,campaigns!$A$2:$A$51,0))),""),0,NETWORKDAYS(IFERROR(IF(INDEX(campaigns!$BG$2:$BG$51,MATCH($C669,campaigns!$A$2:$A$51,0))="","",INDEX(campaigns!$BG$2:$BG$51,MATCH($C669,campaigns!$A$2:$A$51,0))),""),$A669,calendar!$A$2:$A$80)))</f>
        <v/>
      </c>
      <c r="K669" s="30" t="str">
        <f aca="false">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ustomFormat="false" ht="15" hidden="false" customHeight="false" outlineLevel="0" collapsed="false">
      <c r="A670" s="11"/>
      <c r="B670" s="38"/>
      <c r="E670" s="10"/>
      <c r="G670" s="10"/>
      <c r="J670" s="30" t="str">
        <f aca="false">IF(OR($C670="",$A670=""),"",IF($A670&lt;IFERROR(IF(INDEX(campaigns!$BG$2:$BG$51,MATCH($C670,campaigns!$A$2:$A$51,0))="","",INDEX(campaigns!$BG$2:$BG$51,MATCH($C670,campaigns!$A$2:$A$51,0))),""),0,NETWORKDAYS(IFERROR(IF(INDEX(campaigns!$BG$2:$BG$51,MATCH($C670,campaigns!$A$2:$A$51,0))="","",INDEX(campaigns!$BG$2:$BG$51,MATCH($C670,campaigns!$A$2:$A$51,0))),""),$A670,calendar!$A$2:$A$80)))</f>
        <v/>
      </c>
      <c r="K670" s="30" t="str">
        <f aca="false">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ustomFormat="false" ht="15" hidden="false" customHeight="false" outlineLevel="0" collapsed="false">
      <c r="A671" s="11"/>
      <c r="B671" s="38"/>
      <c r="E671" s="10"/>
      <c r="G671" s="10"/>
      <c r="J671" s="30" t="str">
        <f aca="false">IF(OR($C671="",$A671=""),"",IF($A671&lt;IFERROR(IF(INDEX(campaigns!$BG$2:$BG$51,MATCH($C671,campaigns!$A$2:$A$51,0))="","",INDEX(campaigns!$BG$2:$BG$51,MATCH($C671,campaigns!$A$2:$A$51,0))),""),0,NETWORKDAYS(IFERROR(IF(INDEX(campaigns!$BG$2:$BG$51,MATCH($C671,campaigns!$A$2:$A$51,0))="","",INDEX(campaigns!$BG$2:$BG$51,MATCH($C671,campaigns!$A$2:$A$51,0))),""),$A671,calendar!$A$2:$A$80)))</f>
        <v/>
      </c>
      <c r="K671" s="30" t="str">
        <f aca="false">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ustomFormat="false" ht="15" hidden="false" customHeight="false" outlineLevel="0" collapsed="false">
      <c r="A672" s="11"/>
      <c r="B672" s="38"/>
      <c r="E672" s="10"/>
      <c r="G672" s="10"/>
      <c r="J672" s="30" t="str">
        <f aca="false">IF(OR($C672="",$A672=""),"",IF($A672&lt;IFERROR(IF(INDEX(campaigns!$BG$2:$BG$51,MATCH($C672,campaigns!$A$2:$A$51,0))="","",INDEX(campaigns!$BG$2:$BG$51,MATCH($C672,campaigns!$A$2:$A$51,0))),""),0,NETWORKDAYS(IFERROR(IF(INDEX(campaigns!$BG$2:$BG$51,MATCH($C672,campaigns!$A$2:$A$51,0))="","",INDEX(campaigns!$BG$2:$BG$51,MATCH($C672,campaigns!$A$2:$A$51,0))),""),$A672,calendar!$A$2:$A$80)))</f>
        <v/>
      </c>
      <c r="K672" s="30" t="str">
        <f aca="false">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ustomFormat="false" ht="15" hidden="false" customHeight="false" outlineLevel="0" collapsed="false">
      <c r="A673" s="11"/>
      <c r="B673" s="38"/>
      <c r="E673" s="10"/>
      <c r="G673" s="10"/>
      <c r="J673" s="30" t="str">
        <f aca="false">IF(OR($C673="",$A673=""),"",IF($A673&lt;IFERROR(IF(INDEX(campaigns!$BG$2:$BG$51,MATCH($C673,campaigns!$A$2:$A$51,0))="","",INDEX(campaigns!$BG$2:$BG$51,MATCH($C673,campaigns!$A$2:$A$51,0))),""),0,NETWORKDAYS(IFERROR(IF(INDEX(campaigns!$BG$2:$BG$51,MATCH($C673,campaigns!$A$2:$A$51,0))="","",INDEX(campaigns!$BG$2:$BG$51,MATCH($C673,campaigns!$A$2:$A$51,0))),""),$A673,calendar!$A$2:$A$80)))</f>
        <v/>
      </c>
      <c r="K673" s="30" t="str">
        <f aca="false">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ustomFormat="false" ht="15" hidden="false" customHeight="false" outlineLevel="0" collapsed="false">
      <c r="A674" s="11"/>
      <c r="B674" s="38"/>
      <c r="E674" s="10"/>
      <c r="G674" s="10"/>
      <c r="J674" s="30" t="str">
        <f aca="false">IF(OR($C674="",$A674=""),"",IF($A674&lt;IFERROR(IF(INDEX(campaigns!$BG$2:$BG$51,MATCH($C674,campaigns!$A$2:$A$51,0))="","",INDEX(campaigns!$BG$2:$BG$51,MATCH($C674,campaigns!$A$2:$A$51,0))),""),0,NETWORKDAYS(IFERROR(IF(INDEX(campaigns!$BG$2:$BG$51,MATCH($C674,campaigns!$A$2:$A$51,0))="","",INDEX(campaigns!$BG$2:$BG$51,MATCH($C674,campaigns!$A$2:$A$51,0))),""),$A674,calendar!$A$2:$A$80)))</f>
        <v/>
      </c>
      <c r="K674" s="30" t="str">
        <f aca="false">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ustomFormat="false" ht="15" hidden="false" customHeight="false" outlineLevel="0" collapsed="false">
      <c r="A675" s="11"/>
      <c r="B675" s="38"/>
      <c r="E675" s="10"/>
      <c r="G675" s="10"/>
      <c r="J675" s="30" t="str">
        <f aca="false">IF(OR($C675="",$A675=""),"",IF($A675&lt;IFERROR(IF(INDEX(campaigns!$BG$2:$BG$51,MATCH($C675,campaigns!$A$2:$A$51,0))="","",INDEX(campaigns!$BG$2:$BG$51,MATCH($C675,campaigns!$A$2:$A$51,0))),""),0,NETWORKDAYS(IFERROR(IF(INDEX(campaigns!$BG$2:$BG$51,MATCH($C675,campaigns!$A$2:$A$51,0))="","",INDEX(campaigns!$BG$2:$BG$51,MATCH($C675,campaigns!$A$2:$A$51,0))),""),$A675,calendar!$A$2:$A$80)))</f>
        <v/>
      </c>
      <c r="K675" s="30" t="str">
        <f aca="false">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ustomFormat="false" ht="15" hidden="false" customHeight="false" outlineLevel="0" collapsed="false">
      <c r="A676" s="11"/>
      <c r="B676" s="38"/>
      <c r="E676" s="10"/>
      <c r="G676" s="10"/>
      <c r="J676" s="30" t="str">
        <f aca="false">IF(OR($C676="",$A676=""),"",IF($A676&lt;IFERROR(IF(INDEX(campaigns!$BG$2:$BG$51,MATCH($C676,campaigns!$A$2:$A$51,0))="","",INDEX(campaigns!$BG$2:$BG$51,MATCH($C676,campaigns!$A$2:$A$51,0))),""),0,NETWORKDAYS(IFERROR(IF(INDEX(campaigns!$BG$2:$BG$51,MATCH($C676,campaigns!$A$2:$A$51,0))="","",INDEX(campaigns!$BG$2:$BG$51,MATCH($C676,campaigns!$A$2:$A$51,0))),""),$A676,calendar!$A$2:$A$80)))</f>
        <v/>
      </c>
      <c r="K676" s="30" t="str">
        <f aca="false">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ustomFormat="false" ht="15" hidden="false" customHeight="false" outlineLevel="0" collapsed="false">
      <c r="A677" s="11"/>
      <c r="B677" s="38"/>
      <c r="E677" s="10"/>
      <c r="G677" s="10"/>
      <c r="J677" s="30" t="str">
        <f aca="false">IF(OR($C677="",$A677=""),"",IF($A677&lt;IFERROR(IF(INDEX(campaigns!$BG$2:$BG$51,MATCH($C677,campaigns!$A$2:$A$51,0))="","",INDEX(campaigns!$BG$2:$BG$51,MATCH($C677,campaigns!$A$2:$A$51,0))),""),0,NETWORKDAYS(IFERROR(IF(INDEX(campaigns!$BG$2:$BG$51,MATCH($C677,campaigns!$A$2:$A$51,0))="","",INDEX(campaigns!$BG$2:$BG$51,MATCH($C677,campaigns!$A$2:$A$51,0))),""),$A677,calendar!$A$2:$A$80)))</f>
        <v/>
      </c>
      <c r="K677" s="30" t="str">
        <f aca="false">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ustomFormat="false" ht="15" hidden="false" customHeight="false" outlineLevel="0" collapsed="false">
      <c r="A678" s="11"/>
      <c r="B678" s="38"/>
      <c r="E678" s="10"/>
      <c r="G678" s="10"/>
      <c r="J678" s="30" t="str">
        <f aca="false">IF(OR($C678="",$A678=""),"",IF($A678&lt;IFERROR(IF(INDEX(campaigns!$BG$2:$BG$51,MATCH($C678,campaigns!$A$2:$A$51,0))="","",INDEX(campaigns!$BG$2:$BG$51,MATCH($C678,campaigns!$A$2:$A$51,0))),""),0,NETWORKDAYS(IFERROR(IF(INDEX(campaigns!$BG$2:$BG$51,MATCH($C678,campaigns!$A$2:$A$51,0))="","",INDEX(campaigns!$BG$2:$BG$51,MATCH($C678,campaigns!$A$2:$A$51,0))),""),$A678,calendar!$A$2:$A$80)))</f>
        <v/>
      </c>
      <c r="K678" s="30" t="str">
        <f aca="false">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ustomFormat="false" ht="15" hidden="false" customHeight="false" outlineLevel="0" collapsed="false">
      <c r="A679" s="11"/>
      <c r="B679" s="38"/>
      <c r="E679" s="10"/>
      <c r="G679" s="10"/>
      <c r="J679" s="30" t="str">
        <f aca="false">IF(OR($C679="",$A679=""),"",IF($A679&lt;IFERROR(IF(INDEX(campaigns!$BG$2:$BG$51,MATCH($C679,campaigns!$A$2:$A$51,0))="","",INDEX(campaigns!$BG$2:$BG$51,MATCH($C679,campaigns!$A$2:$A$51,0))),""),0,NETWORKDAYS(IFERROR(IF(INDEX(campaigns!$BG$2:$BG$51,MATCH($C679,campaigns!$A$2:$A$51,0))="","",INDEX(campaigns!$BG$2:$BG$51,MATCH($C679,campaigns!$A$2:$A$51,0))),""),$A679,calendar!$A$2:$A$80)))</f>
        <v/>
      </c>
      <c r="K679" s="30" t="str">
        <f aca="false">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ustomFormat="false" ht="15" hidden="false" customHeight="false" outlineLevel="0" collapsed="false">
      <c r="A680" s="11"/>
      <c r="B680" s="38"/>
      <c r="E680" s="10"/>
      <c r="G680" s="10"/>
      <c r="J680" s="30" t="str">
        <f aca="false">IF(OR($C680="",$A680=""),"",IF($A680&lt;IFERROR(IF(INDEX(campaigns!$BG$2:$BG$51,MATCH($C680,campaigns!$A$2:$A$51,0))="","",INDEX(campaigns!$BG$2:$BG$51,MATCH($C680,campaigns!$A$2:$A$51,0))),""),0,NETWORKDAYS(IFERROR(IF(INDEX(campaigns!$BG$2:$BG$51,MATCH($C680,campaigns!$A$2:$A$51,0))="","",INDEX(campaigns!$BG$2:$BG$51,MATCH($C680,campaigns!$A$2:$A$51,0))),""),$A680,calendar!$A$2:$A$80)))</f>
        <v/>
      </c>
      <c r="K680" s="30" t="str">
        <f aca="false">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ustomFormat="false" ht="15" hidden="false" customHeight="false" outlineLevel="0" collapsed="false">
      <c r="A681" s="11"/>
      <c r="B681" s="38"/>
      <c r="E681" s="10"/>
      <c r="G681" s="10"/>
      <c r="J681" s="30" t="str">
        <f aca="false">IF(OR($C681="",$A681=""),"",IF($A681&lt;IFERROR(IF(INDEX(campaigns!$BG$2:$BG$51,MATCH($C681,campaigns!$A$2:$A$51,0))="","",INDEX(campaigns!$BG$2:$BG$51,MATCH($C681,campaigns!$A$2:$A$51,0))),""),0,NETWORKDAYS(IFERROR(IF(INDEX(campaigns!$BG$2:$BG$51,MATCH($C681,campaigns!$A$2:$A$51,0))="","",INDEX(campaigns!$BG$2:$BG$51,MATCH($C681,campaigns!$A$2:$A$51,0))),""),$A681,calendar!$A$2:$A$80)))</f>
        <v/>
      </c>
      <c r="K681" s="30" t="str">
        <f aca="false">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ustomFormat="false" ht="15" hidden="false" customHeight="false" outlineLevel="0" collapsed="false">
      <c r="A682" s="11"/>
      <c r="B682" s="38"/>
      <c r="E682" s="10"/>
      <c r="G682" s="10"/>
      <c r="J682" s="30" t="str">
        <f aca="false">IF(OR($C682="",$A682=""),"",IF($A682&lt;IFERROR(IF(INDEX(campaigns!$BG$2:$BG$51,MATCH($C682,campaigns!$A$2:$A$51,0))="","",INDEX(campaigns!$BG$2:$BG$51,MATCH($C682,campaigns!$A$2:$A$51,0))),""),0,NETWORKDAYS(IFERROR(IF(INDEX(campaigns!$BG$2:$BG$51,MATCH($C682,campaigns!$A$2:$A$51,0))="","",INDEX(campaigns!$BG$2:$BG$51,MATCH($C682,campaigns!$A$2:$A$51,0))),""),$A682,calendar!$A$2:$A$80)))</f>
        <v/>
      </c>
      <c r="K682" s="30" t="str">
        <f aca="false">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ustomFormat="false" ht="15" hidden="false" customHeight="false" outlineLevel="0" collapsed="false">
      <c r="A683" s="11"/>
      <c r="B683" s="38"/>
      <c r="E683" s="10"/>
      <c r="G683" s="10"/>
      <c r="J683" s="30" t="str">
        <f aca="false">IF(OR($C683="",$A683=""),"",IF($A683&lt;IFERROR(IF(INDEX(campaigns!$BG$2:$BG$51,MATCH($C683,campaigns!$A$2:$A$51,0))="","",INDEX(campaigns!$BG$2:$BG$51,MATCH($C683,campaigns!$A$2:$A$51,0))),""),0,NETWORKDAYS(IFERROR(IF(INDEX(campaigns!$BG$2:$BG$51,MATCH($C683,campaigns!$A$2:$A$51,0))="","",INDEX(campaigns!$BG$2:$BG$51,MATCH($C683,campaigns!$A$2:$A$51,0))),""),$A683,calendar!$A$2:$A$80)))</f>
        <v/>
      </c>
      <c r="K683" s="30" t="str">
        <f aca="false">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ustomFormat="false" ht="15" hidden="false" customHeight="false" outlineLevel="0" collapsed="false">
      <c r="A684" s="11"/>
      <c r="B684" s="38"/>
      <c r="E684" s="10"/>
      <c r="G684" s="10"/>
      <c r="J684" s="30" t="str">
        <f aca="false">IF(OR($C684="",$A684=""),"",IF($A684&lt;IFERROR(IF(INDEX(campaigns!$BG$2:$BG$51,MATCH($C684,campaigns!$A$2:$A$51,0))="","",INDEX(campaigns!$BG$2:$BG$51,MATCH($C684,campaigns!$A$2:$A$51,0))),""),0,NETWORKDAYS(IFERROR(IF(INDEX(campaigns!$BG$2:$BG$51,MATCH($C684,campaigns!$A$2:$A$51,0))="","",INDEX(campaigns!$BG$2:$BG$51,MATCH($C684,campaigns!$A$2:$A$51,0))),""),$A684,calendar!$A$2:$A$80)))</f>
        <v/>
      </c>
      <c r="K684" s="30" t="str">
        <f aca="false">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ustomFormat="false" ht="15" hidden="false" customHeight="false" outlineLevel="0" collapsed="false">
      <c r="A685" s="11"/>
      <c r="B685" s="38"/>
      <c r="E685" s="10"/>
      <c r="G685" s="10"/>
      <c r="J685" s="30" t="str">
        <f aca="false">IF(OR($C685="",$A685=""),"",IF($A685&lt;IFERROR(IF(INDEX(campaigns!$BG$2:$BG$51,MATCH($C685,campaigns!$A$2:$A$51,0))="","",INDEX(campaigns!$BG$2:$BG$51,MATCH($C685,campaigns!$A$2:$A$51,0))),""),0,NETWORKDAYS(IFERROR(IF(INDEX(campaigns!$BG$2:$BG$51,MATCH($C685,campaigns!$A$2:$A$51,0))="","",INDEX(campaigns!$BG$2:$BG$51,MATCH($C685,campaigns!$A$2:$A$51,0))),""),$A685,calendar!$A$2:$A$80)))</f>
        <v/>
      </c>
      <c r="K685" s="30" t="str">
        <f aca="false">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ustomFormat="false" ht="15" hidden="false" customHeight="false" outlineLevel="0" collapsed="false">
      <c r="A686" s="11"/>
      <c r="B686" s="38"/>
      <c r="E686" s="10"/>
      <c r="G686" s="10"/>
      <c r="J686" s="30" t="str">
        <f aca="false">IF(OR($C686="",$A686=""),"",IF($A686&lt;IFERROR(IF(INDEX(campaigns!$BG$2:$BG$51,MATCH($C686,campaigns!$A$2:$A$51,0))="","",INDEX(campaigns!$BG$2:$BG$51,MATCH($C686,campaigns!$A$2:$A$51,0))),""),0,NETWORKDAYS(IFERROR(IF(INDEX(campaigns!$BG$2:$BG$51,MATCH($C686,campaigns!$A$2:$A$51,0))="","",INDEX(campaigns!$BG$2:$BG$51,MATCH($C686,campaigns!$A$2:$A$51,0))),""),$A686,calendar!$A$2:$A$80)))</f>
        <v/>
      </c>
      <c r="K686" s="30" t="str">
        <f aca="false">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ustomFormat="false" ht="15" hidden="false" customHeight="false" outlineLevel="0" collapsed="false">
      <c r="A687" s="11"/>
      <c r="B687" s="38"/>
      <c r="E687" s="10"/>
      <c r="G687" s="10"/>
      <c r="J687" s="30" t="str">
        <f aca="false">IF(OR($C687="",$A687=""),"",IF($A687&lt;IFERROR(IF(INDEX(campaigns!$BG$2:$BG$51,MATCH($C687,campaigns!$A$2:$A$51,0))="","",INDEX(campaigns!$BG$2:$BG$51,MATCH($C687,campaigns!$A$2:$A$51,0))),""),0,NETWORKDAYS(IFERROR(IF(INDEX(campaigns!$BG$2:$BG$51,MATCH($C687,campaigns!$A$2:$A$51,0))="","",INDEX(campaigns!$BG$2:$BG$51,MATCH($C687,campaigns!$A$2:$A$51,0))),""),$A687,calendar!$A$2:$A$80)))</f>
        <v/>
      </c>
      <c r="K687" s="30" t="str">
        <f aca="false">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ustomFormat="false" ht="15" hidden="false" customHeight="false" outlineLevel="0" collapsed="false">
      <c r="A688" s="11"/>
      <c r="B688" s="38"/>
      <c r="E688" s="10"/>
      <c r="G688" s="10"/>
      <c r="J688" s="30" t="str">
        <f aca="false">IF(OR($C688="",$A688=""),"",IF($A688&lt;IFERROR(IF(INDEX(campaigns!$BG$2:$BG$51,MATCH($C688,campaigns!$A$2:$A$51,0))="","",INDEX(campaigns!$BG$2:$BG$51,MATCH($C688,campaigns!$A$2:$A$51,0))),""),0,NETWORKDAYS(IFERROR(IF(INDEX(campaigns!$BG$2:$BG$51,MATCH($C688,campaigns!$A$2:$A$51,0))="","",INDEX(campaigns!$BG$2:$BG$51,MATCH($C688,campaigns!$A$2:$A$51,0))),""),$A688,calendar!$A$2:$A$80)))</f>
        <v/>
      </c>
      <c r="K688" s="30" t="str">
        <f aca="false">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ustomFormat="false" ht="15" hidden="false" customHeight="false" outlineLevel="0" collapsed="false">
      <c r="A689" s="11"/>
      <c r="B689" s="38"/>
      <c r="E689" s="10"/>
      <c r="G689" s="10"/>
      <c r="J689" s="30" t="str">
        <f aca="false">IF(OR($C689="",$A689=""),"",IF($A689&lt;IFERROR(IF(INDEX(campaigns!$BG$2:$BG$51,MATCH($C689,campaigns!$A$2:$A$51,0))="","",INDEX(campaigns!$BG$2:$BG$51,MATCH($C689,campaigns!$A$2:$A$51,0))),""),0,NETWORKDAYS(IFERROR(IF(INDEX(campaigns!$BG$2:$BG$51,MATCH($C689,campaigns!$A$2:$A$51,0))="","",INDEX(campaigns!$BG$2:$BG$51,MATCH($C689,campaigns!$A$2:$A$51,0))),""),$A689,calendar!$A$2:$A$80)))</f>
        <v/>
      </c>
      <c r="K689" s="30" t="str">
        <f aca="false">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ustomFormat="false" ht="15" hidden="false" customHeight="false" outlineLevel="0" collapsed="false">
      <c r="A690" s="11"/>
      <c r="B690" s="38"/>
      <c r="E690" s="10"/>
      <c r="G690" s="10"/>
      <c r="J690" s="30" t="str">
        <f aca="false">IF(OR($C690="",$A690=""),"",IF($A690&lt;IFERROR(IF(INDEX(campaigns!$BG$2:$BG$51,MATCH($C690,campaigns!$A$2:$A$51,0))="","",INDEX(campaigns!$BG$2:$BG$51,MATCH($C690,campaigns!$A$2:$A$51,0))),""),0,NETWORKDAYS(IFERROR(IF(INDEX(campaigns!$BG$2:$BG$51,MATCH($C690,campaigns!$A$2:$A$51,0))="","",INDEX(campaigns!$BG$2:$BG$51,MATCH($C690,campaigns!$A$2:$A$51,0))),""),$A690,calendar!$A$2:$A$80)))</f>
        <v/>
      </c>
      <c r="K690" s="30" t="str">
        <f aca="false">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ustomFormat="false" ht="15" hidden="false" customHeight="false" outlineLevel="0" collapsed="false">
      <c r="A691" s="11"/>
      <c r="B691" s="38"/>
      <c r="E691" s="10"/>
      <c r="G691" s="10"/>
      <c r="J691" s="30" t="str">
        <f aca="false">IF(OR($C691="",$A691=""),"",IF($A691&lt;IFERROR(IF(INDEX(campaigns!$BG$2:$BG$51,MATCH($C691,campaigns!$A$2:$A$51,0))="","",INDEX(campaigns!$BG$2:$BG$51,MATCH($C691,campaigns!$A$2:$A$51,0))),""),0,NETWORKDAYS(IFERROR(IF(INDEX(campaigns!$BG$2:$BG$51,MATCH($C691,campaigns!$A$2:$A$51,0))="","",INDEX(campaigns!$BG$2:$BG$51,MATCH($C691,campaigns!$A$2:$A$51,0))),""),$A691,calendar!$A$2:$A$80)))</f>
        <v/>
      </c>
      <c r="K691" s="30" t="str">
        <f aca="false">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ustomFormat="false" ht="15" hidden="false" customHeight="false" outlineLevel="0" collapsed="false">
      <c r="A692" s="11"/>
      <c r="B692" s="38"/>
      <c r="E692" s="10"/>
      <c r="G692" s="10"/>
      <c r="J692" s="30" t="str">
        <f aca="false">IF(OR($C692="",$A692=""),"",IF($A692&lt;IFERROR(IF(INDEX(campaigns!$BG$2:$BG$51,MATCH($C692,campaigns!$A$2:$A$51,0))="","",INDEX(campaigns!$BG$2:$BG$51,MATCH($C692,campaigns!$A$2:$A$51,0))),""),0,NETWORKDAYS(IFERROR(IF(INDEX(campaigns!$BG$2:$BG$51,MATCH($C692,campaigns!$A$2:$A$51,0))="","",INDEX(campaigns!$BG$2:$BG$51,MATCH($C692,campaigns!$A$2:$A$51,0))),""),$A692,calendar!$A$2:$A$80)))</f>
        <v/>
      </c>
      <c r="K692" s="30" t="str">
        <f aca="false">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ustomFormat="false" ht="15" hidden="false" customHeight="false" outlineLevel="0" collapsed="false">
      <c r="A693" s="11"/>
      <c r="B693" s="38"/>
      <c r="E693" s="10"/>
      <c r="G693" s="10"/>
      <c r="J693" s="30" t="str">
        <f aca="false">IF(OR($C693="",$A693=""),"",IF($A693&lt;IFERROR(IF(INDEX(campaigns!$BG$2:$BG$51,MATCH($C693,campaigns!$A$2:$A$51,0))="","",INDEX(campaigns!$BG$2:$BG$51,MATCH($C693,campaigns!$A$2:$A$51,0))),""),0,NETWORKDAYS(IFERROR(IF(INDEX(campaigns!$BG$2:$BG$51,MATCH($C693,campaigns!$A$2:$A$51,0))="","",INDEX(campaigns!$BG$2:$BG$51,MATCH($C693,campaigns!$A$2:$A$51,0))),""),$A693,calendar!$A$2:$A$80)))</f>
        <v/>
      </c>
      <c r="K693" s="30" t="str">
        <f aca="false">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ustomFormat="false" ht="15" hidden="false" customHeight="false" outlineLevel="0" collapsed="false">
      <c r="A694" s="11"/>
      <c r="B694" s="38"/>
      <c r="E694" s="10"/>
      <c r="G694" s="10"/>
      <c r="J694" s="30" t="str">
        <f aca="false">IF(OR($C694="",$A694=""),"",IF($A694&lt;IFERROR(IF(INDEX(campaigns!$BG$2:$BG$51,MATCH($C694,campaigns!$A$2:$A$51,0))="","",INDEX(campaigns!$BG$2:$BG$51,MATCH($C694,campaigns!$A$2:$A$51,0))),""),0,NETWORKDAYS(IFERROR(IF(INDEX(campaigns!$BG$2:$BG$51,MATCH($C694,campaigns!$A$2:$A$51,0))="","",INDEX(campaigns!$BG$2:$BG$51,MATCH($C694,campaigns!$A$2:$A$51,0))),""),$A694,calendar!$A$2:$A$80)))</f>
        <v/>
      </c>
      <c r="K694" s="30" t="str">
        <f aca="false">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ustomFormat="false" ht="15" hidden="false" customHeight="false" outlineLevel="0" collapsed="false">
      <c r="A695" s="11"/>
      <c r="B695" s="38"/>
      <c r="E695" s="10"/>
      <c r="G695" s="10"/>
      <c r="J695" s="30" t="str">
        <f aca="false">IF(OR($C695="",$A695=""),"",IF($A695&lt;IFERROR(IF(INDEX(campaigns!$BG$2:$BG$51,MATCH($C695,campaigns!$A$2:$A$51,0))="","",INDEX(campaigns!$BG$2:$BG$51,MATCH($C695,campaigns!$A$2:$A$51,0))),""),0,NETWORKDAYS(IFERROR(IF(INDEX(campaigns!$BG$2:$BG$51,MATCH($C695,campaigns!$A$2:$A$51,0))="","",INDEX(campaigns!$BG$2:$BG$51,MATCH($C695,campaigns!$A$2:$A$51,0))),""),$A695,calendar!$A$2:$A$80)))</f>
        <v/>
      </c>
      <c r="K695" s="30" t="str">
        <f aca="false">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ustomFormat="false" ht="15" hidden="false" customHeight="false" outlineLevel="0" collapsed="false">
      <c r="A696" s="11"/>
      <c r="B696" s="38"/>
      <c r="E696" s="10"/>
      <c r="G696" s="10"/>
      <c r="J696" s="30" t="str">
        <f aca="false">IF(OR($C696="",$A696=""),"",IF($A696&lt;IFERROR(IF(INDEX(campaigns!$BG$2:$BG$51,MATCH($C696,campaigns!$A$2:$A$51,0))="","",INDEX(campaigns!$BG$2:$BG$51,MATCH($C696,campaigns!$A$2:$A$51,0))),""),0,NETWORKDAYS(IFERROR(IF(INDEX(campaigns!$BG$2:$BG$51,MATCH($C696,campaigns!$A$2:$A$51,0))="","",INDEX(campaigns!$BG$2:$BG$51,MATCH($C696,campaigns!$A$2:$A$51,0))),""),$A696,calendar!$A$2:$A$80)))</f>
        <v/>
      </c>
      <c r="K696" s="30" t="str">
        <f aca="false">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ustomFormat="false" ht="15" hidden="false" customHeight="false" outlineLevel="0" collapsed="false">
      <c r="A697" s="11"/>
      <c r="B697" s="38"/>
      <c r="E697" s="10"/>
      <c r="G697" s="10"/>
      <c r="J697" s="30" t="str">
        <f aca="false">IF(OR($C697="",$A697=""),"",IF($A697&lt;IFERROR(IF(INDEX(campaigns!$BG$2:$BG$51,MATCH($C697,campaigns!$A$2:$A$51,0))="","",INDEX(campaigns!$BG$2:$BG$51,MATCH($C697,campaigns!$A$2:$A$51,0))),""),0,NETWORKDAYS(IFERROR(IF(INDEX(campaigns!$BG$2:$BG$51,MATCH($C697,campaigns!$A$2:$A$51,0))="","",INDEX(campaigns!$BG$2:$BG$51,MATCH($C697,campaigns!$A$2:$A$51,0))),""),$A697,calendar!$A$2:$A$80)))</f>
        <v/>
      </c>
      <c r="K697" s="30" t="str">
        <f aca="false">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ustomFormat="false" ht="15" hidden="false" customHeight="false" outlineLevel="0" collapsed="false">
      <c r="A698" s="11"/>
      <c r="B698" s="38"/>
      <c r="E698" s="10"/>
      <c r="G698" s="10"/>
      <c r="J698" s="30" t="str">
        <f aca="false">IF(OR($C698="",$A698=""),"",IF($A698&lt;IFERROR(IF(INDEX(campaigns!$BG$2:$BG$51,MATCH($C698,campaigns!$A$2:$A$51,0))="","",INDEX(campaigns!$BG$2:$BG$51,MATCH($C698,campaigns!$A$2:$A$51,0))),""),0,NETWORKDAYS(IFERROR(IF(INDEX(campaigns!$BG$2:$BG$51,MATCH($C698,campaigns!$A$2:$A$51,0))="","",INDEX(campaigns!$BG$2:$BG$51,MATCH($C698,campaigns!$A$2:$A$51,0))),""),$A698,calendar!$A$2:$A$80)))</f>
        <v/>
      </c>
      <c r="K698" s="30" t="str">
        <f aca="false">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ustomFormat="false" ht="15" hidden="false" customHeight="false" outlineLevel="0" collapsed="false">
      <c r="A699" s="11"/>
      <c r="B699" s="38"/>
      <c r="E699" s="10"/>
      <c r="G699" s="10"/>
      <c r="J699" s="30" t="str">
        <f aca="false">IF(OR($C699="",$A699=""),"",IF($A699&lt;IFERROR(IF(INDEX(campaigns!$BG$2:$BG$51,MATCH($C699,campaigns!$A$2:$A$51,0))="","",INDEX(campaigns!$BG$2:$BG$51,MATCH($C699,campaigns!$A$2:$A$51,0))),""),0,NETWORKDAYS(IFERROR(IF(INDEX(campaigns!$BG$2:$BG$51,MATCH($C699,campaigns!$A$2:$A$51,0))="","",INDEX(campaigns!$BG$2:$BG$51,MATCH($C699,campaigns!$A$2:$A$51,0))),""),$A699,calendar!$A$2:$A$80)))</f>
        <v/>
      </c>
      <c r="K699" s="30" t="str">
        <f aca="false">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ustomFormat="false" ht="15" hidden="false" customHeight="false" outlineLevel="0" collapsed="false">
      <c r="A700" s="11"/>
      <c r="B700" s="38"/>
      <c r="E700" s="10"/>
      <c r="G700" s="10"/>
      <c r="J700" s="30" t="str">
        <f aca="false">IF(OR($C700="",$A700=""),"",IF($A700&lt;IFERROR(IF(INDEX(campaigns!$BG$2:$BG$51,MATCH($C700,campaigns!$A$2:$A$51,0))="","",INDEX(campaigns!$BG$2:$BG$51,MATCH($C700,campaigns!$A$2:$A$51,0))),""),0,NETWORKDAYS(IFERROR(IF(INDEX(campaigns!$BG$2:$BG$51,MATCH($C700,campaigns!$A$2:$A$51,0))="","",INDEX(campaigns!$BG$2:$BG$51,MATCH($C700,campaigns!$A$2:$A$51,0))),""),$A700,calendar!$A$2:$A$80)))</f>
        <v/>
      </c>
      <c r="K700" s="30" t="str">
        <f aca="false">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ustomFormat="false" ht="15" hidden="false" customHeight="false" outlineLevel="0" collapsed="false">
      <c r="A701" s="11"/>
      <c r="B701" s="38"/>
      <c r="E701" s="10"/>
      <c r="G701" s="10"/>
      <c r="J701" s="30" t="str">
        <f aca="false">IF(OR($C701="",$A701=""),"",IF($A701&lt;IFERROR(IF(INDEX(campaigns!$BG$2:$BG$51,MATCH($C701,campaigns!$A$2:$A$51,0))="","",INDEX(campaigns!$BG$2:$BG$51,MATCH($C701,campaigns!$A$2:$A$51,0))),""),0,NETWORKDAYS(IFERROR(IF(INDEX(campaigns!$BG$2:$BG$51,MATCH($C701,campaigns!$A$2:$A$51,0))="","",INDEX(campaigns!$BG$2:$BG$51,MATCH($C701,campaigns!$A$2:$A$51,0))),""),$A701,calendar!$A$2:$A$80)))</f>
        <v/>
      </c>
      <c r="K701" s="30" t="str">
        <f aca="false">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2" aboveAverage="0" equalAverage="0" bottom="0" percent="0" rank="0" text="" dxfId="1">
      <formula>LEN(K2)&gt;0</formula>
    </cfRule>
  </conditionalFormatting>
  <dataValidations count="2">
    <dataValidation allowBlank="true" error="Pick a value from the list." errorStyle="stop" errorTitle="Not on the list" operator="between" showDropDown="false" showErrorMessage="true" showInputMessage="false" sqref="E2:E701" type="list">
      <formula1>"placed,remaining_day3,remaining_day5"</formula1>
      <formula2>0</formula2>
    </dataValidation>
    <dataValidation allowBlank="true" error="Pick a value from the list." errorStyle="stop" errorTitle="Not on the list" operator="between" showDropDown="false" showErrorMessage="true" showInputMessage="false" sqref="G2:G701" type="list">
      <formula1>"photo,owner_report,founder_count"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S7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8"/>
    <col collapsed="false" customWidth="true" hidden="false" outlineLevel="0" max="7" min="7" style="0" width="14"/>
    <col collapsed="false" customWidth="true" hidden="false" outlineLevel="0" max="8" min="8" style="0" width="30"/>
    <col collapsed="false" customWidth="true" hidden="false" outlineLevel="0" max="11" min="9" style="0" width="14"/>
    <col collapsed="false" customWidth="true" hidden="false" outlineLevel="0" max="12" min="12" style="0" width="20"/>
    <col collapsed="false" customWidth="true" hidden="false" outlineLevel="0" max="13" min="13" style="0" width="14"/>
    <col collapsed="false" customWidth="true" hidden="false" outlineLevel="0" max="14" min="14" style="0" width="6"/>
    <col collapsed="false" customWidth="true" hidden="false" outlineLevel="0" max="15" min="15" style="0" width="7"/>
    <col collapsed="false" customWidth="true" hidden="false" outlineLevel="0" max="16" min="16" style="0" width="34"/>
    <col collapsed="false" customWidth="true" hidden="false" outlineLevel="0" max="17" min="17" style="0" width="30"/>
    <col collapsed="false" customWidth="true" hidden="false" outlineLevel="0" max="18" min="18" style="0" width="20"/>
    <col collapsed="false" customWidth="true" hidden="false" outlineLevel="0" max="19" min="19" style="0" width="24"/>
  </cols>
  <sheetData>
    <row r="1" customFormat="false" ht="15" hidden="false" customHeight="false" outlineLevel="0" collapsed="false">
      <c r="A1" s="28" t="s">
        <v>824</v>
      </c>
      <c r="B1" s="28" t="s">
        <v>358</v>
      </c>
      <c r="C1" s="28" t="s">
        <v>642</v>
      </c>
      <c r="D1" s="28" t="s">
        <v>958</v>
      </c>
      <c r="E1" s="28" t="s">
        <v>959</v>
      </c>
      <c r="F1" s="28" t="s">
        <v>960</v>
      </c>
      <c r="G1" s="28" t="s">
        <v>823</v>
      </c>
      <c r="H1" s="28" t="s">
        <v>961</v>
      </c>
      <c r="I1" s="28" t="s">
        <v>962</v>
      </c>
      <c r="J1" s="28" t="s">
        <v>963</v>
      </c>
      <c r="K1" s="28" t="s">
        <v>964</v>
      </c>
      <c r="L1" s="28" t="s">
        <v>178</v>
      </c>
      <c r="M1" s="29" t="s">
        <v>300</v>
      </c>
      <c r="N1" s="29" t="s">
        <v>825</v>
      </c>
      <c r="O1" s="29" t="s">
        <v>965</v>
      </c>
      <c r="P1" s="29" t="s">
        <v>966</v>
      </c>
      <c r="Q1" s="29" t="s">
        <v>120</v>
      </c>
      <c r="R1" s="29" t="s">
        <v>176</v>
      </c>
      <c r="S1" s="29" t="s">
        <v>967</v>
      </c>
    </row>
    <row r="2" customFormat="false" ht="15" hidden="false" customHeight="false" outlineLevel="0" collapsed="false">
      <c r="A2" s="0" t="s">
        <v>828</v>
      </c>
      <c r="B2" s="0" t="s">
        <v>472</v>
      </c>
      <c r="C2" s="0" t="s">
        <v>678</v>
      </c>
      <c r="D2" s="10" t="s">
        <v>968</v>
      </c>
      <c r="E2" s="11" t="n">
        <v>46399</v>
      </c>
      <c r="F2" s="38" t="n">
        <v>0.356944444444445</v>
      </c>
      <c r="G2" s="10" t="s">
        <v>338</v>
      </c>
      <c r="H2" s="10" t="s">
        <v>969</v>
      </c>
      <c r="I2" s="11" t="n">
        <v>46399</v>
      </c>
      <c r="J2" s="10" t="s">
        <v>486</v>
      </c>
      <c r="K2" s="10" t="s">
        <v>486</v>
      </c>
      <c r="M2" s="31" t="n">
        <f aca="false">IF($B2="","",IFERROR(IF(INDEX(campaigns!$BG$2:$BG$51,MATCH($B2,campaigns!$A$2:$A$51,0))="","",INDEX(campaigns!$BG$2:$BG$51,MATCH($B2,campaigns!$A$2:$A$51,0))),""))</f>
        <v>46399</v>
      </c>
      <c r="N2" s="30" t="n">
        <f aca="false">IF(OR($B2="",$E2="",$M2=""),"",IF($E2&lt;$M2,0,NETWORKDAYS($M2,$E2,calendar!$A$2:$A$80)))</f>
        <v>1</v>
      </c>
      <c r="O2" s="30" t="str">
        <f aca="false">IF($B2="","",IF(AND($K2="Y",OR($D2="later",$J2="Y")),"Y","N"))</f>
        <v>Y</v>
      </c>
      <c r="P2" s="30" t="str">
        <f aca="false">IF(OR($B2="",$E2=""),"",$B2&amp;"_"&amp;$C2&amp;"_"&amp;$D2&amp;"_"&amp;TEXT($E2,"yyyy-mm-dd")&amp;".jpg")</f>
        <v>SAMPLE-CMP-001_SAMPLE-O-001_placement_2027-01-12.jpg</v>
      </c>
      <c r="Q2" s="30" t="str">
        <f aca="false">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30" t="str">
        <f aca="false">IF($B2="","",$B2&amp;"|"&amp;$C2&amp;"|"&amp;$D2&amp;"|"&amp;$O2)</f>
        <v>SAMPLE-CMP-001|SAMPLE-O-001|placement|Y</v>
      </c>
      <c r="S2" s="30" t="str">
        <f aca="false">IF($B2="","",$R2&amp;"|"&amp;N($E2))</f>
        <v>SAMPLE-CMP-001|SAMPLE-O-001|placement|Y|46399</v>
      </c>
    </row>
    <row r="3" customFormat="false" ht="15" hidden="false" customHeight="false" outlineLevel="0" collapsed="false">
      <c r="A3" s="0" t="s">
        <v>830</v>
      </c>
      <c r="B3" s="0" t="s">
        <v>472</v>
      </c>
      <c r="C3" s="0" t="s">
        <v>678</v>
      </c>
      <c r="D3" s="10" t="s">
        <v>970</v>
      </c>
      <c r="E3" s="11" t="n">
        <v>46406</v>
      </c>
      <c r="F3" s="38" t="n">
        <v>0.645833333333333</v>
      </c>
      <c r="G3" s="10" t="s">
        <v>137</v>
      </c>
      <c r="H3" s="10" t="s">
        <v>971</v>
      </c>
      <c r="I3" s="11" t="n">
        <v>46406</v>
      </c>
      <c r="J3" s="10" t="s">
        <v>486</v>
      </c>
      <c r="K3" s="10" t="s">
        <v>486</v>
      </c>
      <c r="M3" s="31" t="n">
        <f aca="false">IF($B3="","",IFERROR(IF(INDEX(campaigns!$BG$2:$BG$51,MATCH($B3,campaigns!$A$2:$A$51,0))="","",INDEX(campaigns!$BG$2:$BG$51,MATCH($B3,campaigns!$A$2:$A$51,0))),""))</f>
        <v>46399</v>
      </c>
      <c r="N3" s="30" t="n">
        <f aca="false">IF(OR($B3="",$E3="",$M3=""),"",IF($E3&lt;$M3,0,NETWORKDAYS($M3,$E3,calendar!$A$2:$A$80)))</f>
        <v>5</v>
      </c>
      <c r="O3" s="30" t="str">
        <f aca="false">IF($B3="","",IF(AND($K3="Y",OR($D3="later",$J3="Y")),"Y","N"))</f>
        <v>Y</v>
      </c>
      <c r="P3" s="30" t="str">
        <f aca="false">IF(OR($B3="",$E3=""),"",$B3&amp;"_"&amp;$C3&amp;"_"&amp;$D3&amp;"_"&amp;TEXT($E3,"yyyy-mm-dd")&amp;".jpg")</f>
        <v>SAMPLE-CMP-001_SAMPLE-O-001_later_2027-01-19.jpg</v>
      </c>
      <c r="Q3" s="30" t="str">
        <f aca="false">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30" t="str">
        <f aca="false">IF($B3="","",$B3&amp;"|"&amp;$C3&amp;"|"&amp;$D3&amp;"|"&amp;$O3)</f>
        <v>SAMPLE-CMP-001|SAMPLE-O-001|later|Y</v>
      </c>
      <c r="S3" s="30" t="str">
        <f aca="false">IF($B3="","",$R3&amp;"|"&amp;N($E3))</f>
        <v>SAMPLE-CMP-001|SAMPLE-O-001|later|Y|46406</v>
      </c>
    </row>
    <row r="4" customFormat="false" ht="15" hidden="false" customHeight="false" outlineLevel="0" collapsed="false">
      <c r="A4" s="0" t="s">
        <v>831</v>
      </c>
      <c r="B4" s="0" t="s">
        <v>472</v>
      </c>
      <c r="C4" s="0" t="s">
        <v>681</v>
      </c>
      <c r="D4" s="10" t="s">
        <v>968</v>
      </c>
      <c r="E4" s="11" t="n">
        <v>46399</v>
      </c>
      <c r="F4" s="38" t="n">
        <v>0.486111111111111</v>
      </c>
      <c r="G4" s="10" t="s">
        <v>137</v>
      </c>
      <c r="H4" s="10" t="s">
        <v>972</v>
      </c>
      <c r="I4" s="11" t="n">
        <v>46399</v>
      </c>
      <c r="J4" s="10" t="s">
        <v>486</v>
      </c>
      <c r="K4" s="10" t="s">
        <v>486</v>
      </c>
      <c r="M4" s="31" t="n">
        <f aca="false">IF($B4="","",IFERROR(IF(INDEX(campaigns!$BG$2:$BG$51,MATCH($B4,campaigns!$A$2:$A$51,0))="","",INDEX(campaigns!$BG$2:$BG$51,MATCH($B4,campaigns!$A$2:$A$51,0))),""))</f>
        <v>46399</v>
      </c>
      <c r="N4" s="30" t="n">
        <f aca="false">IF(OR($B4="",$E4="",$M4=""),"",IF($E4&lt;$M4,0,NETWORKDAYS($M4,$E4,calendar!$A$2:$A$80)))</f>
        <v>1</v>
      </c>
      <c r="O4" s="30" t="str">
        <f aca="false">IF($B4="","",IF(AND($K4="Y",OR($D4="later",$J4="Y")),"Y","N"))</f>
        <v>Y</v>
      </c>
      <c r="P4" s="30" t="str">
        <f aca="false">IF(OR($B4="",$E4=""),"",$B4&amp;"_"&amp;$C4&amp;"_"&amp;$D4&amp;"_"&amp;TEXT($E4,"yyyy-mm-dd")&amp;".jpg")</f>
        <v>SAMPLE-CMP-001_SAMPLE-O-002_placement_2027-01-12.jpg</v>
      </c>
      <c r="Q4" s="30" t="str">
        <f aca="false">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30" t="str">
        <f aca="false">IF($B4="","",$B4&amp;"|"&amp;$C4&amp;"|"&amp;$D4&amp;"|"&amp;$O4)</f>
        <v>SAMPLE-CMP-001|SAMPLE-O-002|placement|Y</v>
      </c>
      <c r="S4" s="30" t="str">
        <f aca="false">IF($B4="","",$R4&amp;"|"&amp;N($E4))</f>
        <v>SAMPLE-CMP-001|SAMPLE-O-002|placement|Y|46399</v>
      </c>
    </row>
    <row r="5" customFormat="false" ht="15" hidden="false" customHeight="false" outlineLevel="0" collapsed="false">
      <c r="A5" s="0" t="s">
        <v>832</v>
      </c>
      <c r="B5" s="0" t="s">
        <v>472</v>
      </c>
      <c r="C5" s="0" t="s">
        <v>681</v>
      </c>
      <c r="D5" s="10" t="s">
        <v>970</v>
      </c>
      <c r="E5" s="11" t="n">
        <v>46406</v>
      </c>
      <c r="F5" s="38" t="n">
        <v>0.645833333333333</v>
      </c>
      <c r="G5" s="10" t="s">
        <v>137</v>
      </c>
      <c r="H5" s="10" t="s">
        <v>973</v>
      </c>
      <c r="I5" s="11" t="n">
        <v>46406</v>
      </c>
      <c r="J5" s="10" t="s">
        <v>486</v>
      </c>
      <c r="K5" s="10" t="s">
        <v>486</v>
      </c>
      <c r="M5" s="31" t="n">
        <f aca="false">IF($B5="","",IFERROR(IF(INDEX(campaigns!$BG$2:$BG$51,MATCH($B5,campaigns!$A$2:$A$51,0))="","",INDEX(campaigns!$BG$2:$BG$51,MATCH($B5,campaigns!$A$2:$A$51,0))),""))</f>
        <v>46399</v>
      </c>
      <c r="N5" s="30" t="n">
        <f aca="false">IF(OR($B5="",$E5="",$M5=""),"",IF($E5&lt;$M5,0,NETWORKDAYS($M5,$E5,calendar!$A$2:$A$80)))</f>
        <v>5</v>
      </c>
      <c r="O5" s="30" t="str">
        <f aca="false">IF($B5="","",IF(AND($K5="Y",OR($D5="later",$J5="Y")),"Y","N"))</f>
        <v>Y</v>
      </c>
      <c r="P5" s="30" t="str">
        <f aca="false">IF(OR($B5="",$E5=""),"",$B5&amp;"_"&amp;$C5&amp;"_"&amp;$D5&amp;"_"&amp;TEXT($E5,"yyyy-mm-dd")&amp;".jpg")</f>
        <v>SAMPLE-CMP-001_SAMPLE-O-002_later_2027-01-19.jpg</v>
      </c>
      <c r="Q5" s="30" t="str">
        <f aca="false">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30" t="str">
        <f aca="false">IF($B5="","",$B5&amp;"|"&amp;$C5&amp;"|"&amp;$D5&amp;"|"&amp;$O5)</f>
        <v>SAMPLE-CMP-001|SAMPLE-O-002|later|Y</v>
      </c>
      <c r="S5" s="30" t="str">
        <f aca="false">IF($B5="","",$R5&amp;"|"&amp;N($E5))</f>
        <v>SAMPLE-CMP-001|SAMPLE-O-002|later|Y|46406</v>
      </c>
    </row>
    <row r="6" customFormat="false" ht="15" hidden="false" customHeight="false" outlineLevel="0" collapsed="false">
      <c r="A6" s="0" t="s">
        <v>833</v>
      </c>
      <c r="B6" s="0" t="s">
        <v>472</v>
      </c>
      <c r="C6" s="0" t="s">
        <v>683</v>
      </c>
      <c r="D6" s="10" t="s">
        <v>968</v>
      </c>
      <c r="E6" s="11" t="n">
        <v>46399</v>
      </c>
      <c r="F6" s="38" t="n">
        <v>0.381944444444444</v>
      </c>
      <c r="G6" s="10" t="s">
        <v>338</v>
      </c>
      <c r="H6" s="10" t="s">
        <v>974</v>
      </c>
      <c r="I6" s="11" t="n">
        <v>46399</v>
      </c>
      <c r="J6" s="10" t="s">
        <v>486</v>
      </c>
      <c r="K6" s="10" t="s">
        <v>486</v>
      </c>
      <c r="M6" s="31" t="n">
        <f aca="false">IF($B6="","",IFERROR(IF(INDEX(campaigns!$BG$2:$BG$51,MATCH($B6,campaigns!$A$2:$A$51,0))="","",INDEX(campaigns!$BG$2:$BG$51,MATCH($B6,campaigns!$A$2:$A$51,0))),""))</f>
        <v>46399</v>
      </c>
      <c r="N6" s="30" t="n">
        <f aca="false">IF(OR($B6="",$E6="",$M6=""),"",IF($E6&lt;$M6,0,NETWORKDAYS($M6,$E6,calendar!$A$2:$A$80)))</f>
        <v>1</v>
      </c>
      <c r="O6" s="30" t="str">
        <f aca="false">IF($B6="","",IF(AND($K6="Y",OR($D6="later",$J6="Y")),"Y","N"))</f>
        <v>Y</v>
      </c>
      <c r="P6" s="30" t="str">
        <f aca="false">IF(OR($B6="",$E6=""),"",$B6&amp;"_"&amp;$C6&amp;"_"&amp;$D6&amp;"_"&amp;TEXT($E6,"yyyy-mm-dd")&amp;".jpg")</f>
        <v>SAMPLE-CMP-001_SAMPLE-O-003_placement_2027-01-12.jpg</v>
      </c>
      <c r="Q6" s="30" t="str">
        <f aca="false">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30" t="str">
        <f aca="false">IF($B6="","",$B6&amp;"|"&amp;$C6&amp;"|"&amp;$D6&amp;"|"&amp;$O6)</f>
        <v>SAMPLE-CMP-001|SAMPLE-O-003|placement|Y</v>
      </c>
      <c r="S6" s="30" t="str">
        <f aca="false">IF($B6="","",$R6&amp;"|"&amp;N($E6))</f>
        <v>SAMPLE-CMP-001|SAMPLE-O-003|placement|Y|46399</v>
      </c>
    </row>
    <row r="7" customFormat="false" ht="15" hidden="false" customHeight="false" outlineLevel="0" collapsed="false">
      <c r="A7" s="0" t="s">
        <v>834</v>
      </c>
      <c r="B7" s="0" t="s">
        <v>472</v>
      </c>
      <c r="C7" s="0" t="s">
        <v>683</v>
      </c>
      <c r="D7" s="10" t="s">
        <v>970</v>
      </c>
      <c r="E7" s="11" t="n">
        <v>46406</v>
      </c>
      <c r="F7" s="38" t="n">
        <v>0.645833333333333</v>
      </c>
      <c r="G7" s="10" t="s">
        <v>137</v>
      </c>
      <c r="H7" s="10" t="s">
        <v>975</v>
      </c>
      <c r="I7" s="11" t="n">
        <v>46406</v>
      </c>
      <c r="J7" s="10" t="s">
        <v>486</v>
      </c>
      <c r="K7" s="10" t="s">
        <v>486</v>
      </c>
      <c r="M7" s="31" t="n">
        <f aca="false">IF($B7="","",IFERROR(IF(INDEX(campaigns!$BG$2:$BG$51,MATCH($B7,campaigns!$A$2:$A$51,0))="","",INDEX(campaigns!$BG$2:$BG$51,MATCH($B7,campaigns!$A$2:$A$51,0))),""))</f>
        <v>46399</v>
      </c>
      <c r="N7" s="30" t="n">
        <f aca="false">IF(OR($B7="",$E7="",$M7=""),"",IF($E7&lt;$M7,0,NETWORKDAYS($M7,$E7,calendar!$A$2:$A$80)))</f>
        <v>5</v>
      </c>
      <c r="O7" s="30" t="str">
        <f aca="false">IF($B7="","",IF(AND($K7="Y",OR($D7="later",$J7="Y")),"Y","N"))</f>
        <v>Y</v>
      </c>
      <c r="P7" s="30" t="str">
        <f aca="false">IF(OR($B7="",$E7=""),"",$B7&amp;"_"&amp;$C7&amp;"_"&amp;$D7&amp;"_"&amp;TEXT($E7,"yyyy-mm-dd")&amp;".jpg")</f>
        <v>SAMPLE-CMP-001_SAMPLE-O-003_later_2027-01-19.jpg</v>
      </c>
      <c r="Q7" s="30" t="str">
        <f aca="false">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30" t="str">
        <f aca="false">IF($B7="","",$B7&amp;"|"&amp;$C7&amp;"|"&amp;$D7&amp;"|"&amp;$O7)</f>
        <v>SAMPLE-CMP-001|SAMPLE-O-003|later|Y</v>
      </c>
      <c r="S7" s="30" t="str">
        <f aca="false">IF($B7="","",$R7&amp;"|"&amp;N($E7))</f>
        <v>SAMPLE-CMP-001|SAMPLE-O-003|later|Y|46406</v>
      </c>
    </row>
    <row r="8" customFormat="false" ht="15" hidden="false" customHeight="false" outlineLevel="0" collapsed="false">
      <c r="A8" s="0" t="s">
        <v>835</v>
      </c>
      <c r="B8" s="0" t="s">
        <v>472</v>
      </c>
      <c r="C8" s="0" t="s">
        <v>686</v>
      </c>
      <c r="D8" s="10" t="s">
        <v>968</v>
      </c>
      <c r="E8" s="11" t="n">
        <v>46401</v>
      </c>
      <c r="F8" s="38" t="n">
        <v>0.40625</v>
      </c>
      <c r="G8" s="10" t="s">
        <v>137</v>
      </c>
      <c r="H8" s="10" t="s">
        <v>976</v>
      </c>
      <c r="I8" s="11" t="n">
        <v>46401</v>
      </c>
      <c r="J8" s="10" t="s">
        <v>486</v>
      </c>
      <c r="K8" s="10" t="s">
        <v>486</v>
      </c>
      <c r="M8" s="31" t="n">
        <f aca="false">IF($B8="","",IFERROR(IF(INDEX(campaigns!$BG$2:$BG$51,MATCH($B8,campaigns!$A$2:$A$51,0))="","",INDEX(campaigns!$BG$2:$BG$51,MATCH($B8,campaigns!$A$2:$A$51,0))),""))</f>
        <v>46399</v>
      </c>
      <c r="N8" s="30" t="n">
        <f aca="false">IF(OR($B8="",$E8="",$M8=""),"",IF($E8&lt;$M8,0,NETWORKDAYS($M8,$E8,calendar!$A$2:$A$80)))</f>
        <v>3</v>
      </c>
      <c r="O8" s="30" t="str">
        <f aca="false">IF($B8="","",IF(AND($K8="Y",OR($D8="later",$J8="Y")),"Y","N"))</f>
        <v>Y</v>
      </c>
      <c r="P8" s="30" t="str">
        <f aca="false">IF(OR($B8="",$E8=""),"",$B8&amp;"_"&amp;$C8&amp;"_"&amp;$D8&amp;"_"&amp;TEXT($E8,"yyyy-mm-dd")&amp;".jpg")</f>
        <v>SAMPLE-CMP-001_SAMPLE-O-004_placement_2027-01-14.jpg</v>
      </c>
      <c r="Q8" s="30" t="str">
        <f aca="false">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info: placed after the first business day; </v>
      </c>
      <c r="R8" s="30" t="str">
        <f aca="false">IF($B8="","",$B8&amp;"|"&amp;$C8&amp;"|"&amp;$D8&amp;"|"&amp;$O8)</f>
        <v>SAMPLE-CMP-001|SAMPLE-O-004|placement|Y</v>
      </c>
      <c r="S8" s="30" t="str">
        <f aca="false">IF($B8="","",$R8&amp;"|"&amp;N($E8))</f>
        <v>SAMPLE-CMP-001|SAMPLE-O-004|placement|Y|46401</v>
      </c>
    </row>
    <row r="9" customFormat="false" ht="15" hidden="false" customHeight="false" outlineLevel="0" collapsed="false">
      <c r="A9" s="0" t="s">
        <v>836</v>
      </c>
      <c r="B9" s="0" t="s">
        <v>472</v>
      </c>
      <c r="C9" s="0" t="s">
        <v>686</v>
      </c>
      <c r="D9" s="10" t="s">
        <v>970</v>
      </c>
      <c r="E9" s="11" t="n">
        <v>46406</v>
      </c>
      <c r="F9" s="38" t="n">
        <v>0.645833333333333</v>
      </c>
      <c r="G9" s="10" t="s">
        <v>137</v>
      </c>
      <c r="H9" s="10" t="s">
        <v>977</v>
      </c>
      <c r="I9" s="11" t="n">
        <v>46406</v>
      </c>
      <c r="J9" s="10" t="s">
        <v>486</v>
      </c>
      <c r="K9" s="10" t="s">
        <v>486</v>
      </c>
      <c r="M9" s="31" t="n">
        <f aca="false">IF($B9="","",IFERROR(IF(INDEX(campaigns!$BG$2:$BG$51,MATCH($B9,campaigns!$A$2:$A$51,0))="","",INDEX(campaigns!$BG$2:$BG$51,MATCH($B9,campaigns!$A$2:$A$51,0))),""))</f>
        <v>46399</v>
      </c>
      <c r="N9" s="30" t="n">
        <f aca="false">IF(OR($B9="",$E9="",$M9=""),"",IF($E9&lt;$M9,0,NETWORKDAYS($M9,$E9,calendar!$A$2:$A$80)))</f>
        <v>5</v>
      </c>
      <c r="O9" s="30" t="str">
        <f aca="false">IF($B9="","",IF(AND($K9="Y",OR($D9="later",$J9="Y")),"Y","N"))</f>
        <v>Y</v>
      </c>
      <c r="P9" s="30" t="str">
        <f aca="false">IF(OR($B9="",$E9=""),"",$B9&amp;"_"&amp;$C9&amp;"_"&amp;$D9&amp;"_"&amp;TEXT($E9,"yyyy-mm-dd")&amp;".jpg")</f>
        <v>SAMPLE-CMP-001_SAMPLE-O-004_later_2027-01-19.jpg</v>
      </c>
      <c r="Q9" s="30" t="str">
        <f aca="false">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30" t="str">
        <f aca="false">IF($B9="","",$B9&amp;"|"&amp;$C9&amp;"|"&amp;$D9&amp;"|"&amp;$O9)</f>
        <v>SAMPLE-CMP-001|SAMPLE-O-004|later|Y</v>
      </c>
      <c r="S9" s="30" t="str">
        <f aca="false">IF($B9="","",$R9&amp;"|"&amp;N($E9))</f>
        <v>SAMPLE-CMP-001|SAMPLE-O-004|later|Y|46406</v>
      </c>
    </row>
    <row r="10" customFormat="false" ht="15" hidden="false" customHeight="false" outlineLevel="0" collapsed="false">
      <c r="A10" s="0" t="s">
        <v>837</v>
      </c>
      <c r="B10" s="0" t="s">
        <v>472</v>
      </c>
      <c r="C10" s="0" t="s">
        <v>688</v>
      </c>
      <c r="D10" s="10" t="s">
        <v>968</v>
      </c>
      <c r="E10" s="11" t="n">
        <v>46399</v>
      </c>
      <c r="F10" s="38" t="n">
        <v>0.590277777777778</v>
      </c>
      <c r="G10" s="10" t="s">
        <v>137</v>
      </c>
      <c r="H10" s="10" t="s">
        <v>978</v>
      </c>
      <c r="I10" s="11" t="n">
        <v>46399</v>
      </c>
      <c r="J10" s="10" t="s">
        <v>486</v>
      </c>
      <c r="K10" s="10" t="s">
        <v>486</v>
      </c>
      <c r="M10" s="31" t="n">
        <f aca="false">IF($B10="","",IFERROR(IF(INDEX(campaigns!$BG$2:$BG$51,MATCH($B10,campaigns!$A$2:$A$51,0))="","",INDEX(campaigns!$BG$2:$BG$51,MATCH($B10,campaigns!$A$2:$A$51,0))),""))</f>
        <v>46399</v>
      </c>
      <c r="N10" s="30" t="n">
        <f aca="false">IF(OR($B10="",$E10="",$M10=""),"",IF($E10&lt;$M10,0,NETWORKDAYS($M10,$E10,calendar!$A$2:$A$80)))</f>
        <v>1</v>
      </c>
      <c r="O10" s="30" t="str">
        <f aca="false">IF($B10="","",IF(AND($K10="Y",OR($D10="later",$J10="Y")),"Y","N"))</f>
        <v>Y</v>
      </c>
      <c r="P10" s="30" t="str">
        <f aca="false">IF(OR($B10="",$E10=""),"",$B10&amp;"_"&amp;$C10&amp;"_"&amp;$D10&amp;"_"&amp;TEXT($E10,"yyyy-mm-dd")&amp;".jpg")</f>
        <v>SAMPLE-CMP-001_SAMPLE-O-005_placement_2027-01-12.jpg</v>
      </c>
      <c r="Q10" s="30" t="str">
        <f aca="false">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30" t="str">
        <f aca="false">IF($B10="","",$B10&amp;"|"&amp;$C10&amp;"|"&amp;$D10&amp;"|"&amp;$O10)</f>
        <v>SAMPLE-CMP-001|SAMPLE-O-005|placement|Y</v>
      </c>
      <c r="S10" s="30" t="str">
        <f aca="false">IF($B10="","",$R10&amp;"|"&amp;N($E10))</f>
        <v>SAMPLE-CMP-001|SAMPLE-O-005|placement|Y|46399</v>
      </c>
    </row>
    <row r="11" customFormat="false" ht="15" hidden="false" customHeight="false" outlineLevel="0" collapsed="false">
      <c r="A11" s="0" t="s">
        <v>979</v>
      </c>
      <c r="B11" s="0" t="s">
        <v>472</v>
      </c>
      <c r="C11" s="0" t="s">
        <v>688</v>
      </c>
      <c r="D11" s="10" t="s">
        <v>970</v>
      </c>
      <c r="E11" s="11" t="n">
        <v>46406</v>
      </c>
      <c r="F11" s="38" t="n">
        <v>0.626388888888889</v>
      </c>
      <c r="G11" s="10" t="s">
        <v>137</v>
      </c>
      <c r="H11" s="10" t="s">
        <v>980</v>
      </c>
      <c r="I11" s="11" t="n">
        <v>46406</v>
      </c>
      <c r="J11" s="10" t="s">
        <v>486</v>
      </c>
      <c r="K11" s="10" t="s">
        <v>507</v>
      </c>
      <c r="L11" s="10" t="s">
        <v>981</v>
      </c>
      <c r="M11" s="31" t="n">
        <f aca="false">IF($B11="","",IFERROR(IF(INDEX(campaigns!$BG$2:$BG$51,MATCH($B11,campaigns!$A$2:$A$51,0))="","",INDEX(campaigns!$BG$2:$BG$51,MATCH($B11,campaigns!$A$2:$A$51,0))),""))</f>
        <v>46399</v>
      </c>
      <c r="N11" s="30" t="n">
        <f aca="false">IF(OR($B11="",$E11="",$M11=""),"",IF($E11&lt;$M11,0,NETWORKDAYS($M11,$E11,calendar!$A$2:$A$80)))</f>
        <v>5</v>
      </c>
      <c r="O11" s="30" t="str">
        <f aca="false">IF($B11="","",IF(AND($K11="Y",OR($D11="later",$J11="Y")),"Y","N"))</f>
        <v>N</v>
      </c>
      <c r="P11" s="30" t="str">
        <f aca="false">IF(OR($B11="",$E11=""),"",$B11&amp;"_"&amp;$C11&amp;"_"&amp;$D11&amp;"_"&amp;TEXT($E11,"yyyy-mm-dd")&amp;".jpg")</f>
        <v>SAMPLE-CMP-001_SAMPLE-O-005_later_2027-01-19.jpg</v>
      </c>
      <c r="Q11" s="30" t="str">
        <f aca="false">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info: not usable (a person, screen or whiteboard may show): never used, delete the file; </v>
      </c>
      <c r="R11" s="30" t="str">
        <f aca="false">IF($B11="","",$B11&amp;"|"&amp;$C11&amp;"|"&amp;$D11&amp;"|"&amp;$O11)</f>
        <v>SAMPLE-CMP-001|SAMPLE-O-005|later|N</v>
      </c>
      <c r="S11" s="30" t="str">
        <f aca="false">IF($B11="","",$R11&amp;"|"&amp;N($E11))</f>
        <v>SAMPLE-CMP-001|SAMPLE-O-005|later|N|46406</v>
      </c>
    </row>
    <row r="12" customFormat="false" ht="15" hidden="false" customHeight="false" outlineLevel="0" collapsed="false">
      <c r="A12" s="0" t="s">
        <v>838</v>
      </c>
      <c r="B12" s="0" t="s">
        <v>472</v>
      </c>
      <c r="C12" s="0" t="s">
        <v>688</v>
      </c>
      <c r="D12" s="10" t="s">
        <v>970</v>
      </c>
      <c r="E12" s="11" t="n">
        <v>46406</v>
      </c>
      <c r="F12" s="38" t="n">
        <v>0.694444444444444</v>
      </c>
      <c r="G12" s="10" t="s">
        <v>137</v>
      </c>
      <c r="H12" s="10" t="s">
        <v>980</v>
      </c>
      <c r="I12" s="11" t="n">
        <v>46406</v>
      </c>
      <c r="J12" s="10" t="s">
        <v>486</v>
      </c>
      <c r="K12" s="10" t="s">
        <v>486</v>
      </c>
      <c r="L12" s="10" t="s">
        <v>982</v>
      </c>
      <c r="M12" s="31" t="n">
        <f aca="false">IF($B12="","",IFERROR(IF(INDEX(campaigns!$BG$2:$BG$51,MATCH($B12,campaigns!$A$2:$A$51,0))="","",INDEX(campaigns!$BG$2:$BG$51,MATCH($B12,campaigns!$A$2:$A$51,0))),""))</f>
        <v>46399</v>
      </c>
      <c r="N12" s="30" t="n">
        <f aca="false">IF(OR($B12="",$E12="",$M12=""),"",IF($E12&lt;$M12,0,NETWORKDAYS($M12,$E12,calendar!$A$2:$A$80)))</f>
        <v>5</v>
      </c>
      <c r="O12" s="30" t="str">
        <f aca="false">IF($B12="","",IF(AND($K12="Y",OR($D12="later",$J12="Y")),"Y","N"))</f>
        <v>Y</v>
      </c>
      <c r="P12" s="30" t="str">
        <f aca="false">IF(OR($B12="",$E12=""),"",$B12&amp;"_"&amp;$C12&amp;"_"&amp;$D12&amp;"_"&amp;TEXT($E12,"yyyy-mm-dd")&amp;".jpg")</f>
        <v>SAMPLE-CMP-001_SAMPLE-O-005_later_2027-01-19.jpg</v>
      </c>
      <c r="Q12" s="30" t="str">
        <f aca="false">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30" t="str">
        <f aca="false">IF($B12="","",$B12&amp;"|"&amp;$C12&amp;"|"&amp;$D12&amp;"|"&amp;$O12)</f>
        <v>SAMPLE-CMP-001|SAMPLE-O-005|later|Y</v>
      </c>
      <c r="S12" s="30" t="str">
        <f aca="false">IF($B12="","",$R12&amp;"|"&amp;N($E12))</f>
        <v>SAMPLE-CMP-001|SAMPLE-O-005|later|Y|46406</v>
      </c>
    </row>
    <row r="13" customFormat="false" ht="15" hidden="false" customHeight="false" outlineLevel="0" collapsed="false">
      <c r="A13" s="0" t="s">
        <v>839</v>
      </c>
      <c r="B13" s="0" t="s">
        <v>498</v>
      </c>
      <c r="C13" s="0" t="s">
        <v>678</v>
      </c>
      <c r="D13" s="10" t="s">
        <v>968</v>
      </c>
      <c r="E13" s="11" t="n">
        <v>46399</v>
      </c>
      <c r="F13" s="38" t="n">
        <v>0.356944444444445</v>
      </c>
      <c r="G13" s="10" t="s">
        <v>338</v>
      </c>
      <c r="H13" s="10" t="s">
        <v>983</v>
      </c>
      <c r="I13" s="11" t="n">
        <v>46399</v>
      </c>
      <c r="J13" s="10" t="s">
        <v>486</v>
      </c>
      <c r="K13" s="10" t="s">
        <v>486</v>
      </c>
      <c r="M13" s="31" t="n">
        <f aca="false">IF($B13="","",IFERROR(IF(INDEX(campaigns!$BG$2:$BG$51,MATCH($B13,campaigns!$A$2:$A$51,0))="","",INDEX(campaigns!$BG$2:$BG$51,MATCH($B13,campaigns!$A$2:$A$51,0))),""))</f>
        <v>46399</v>
      </c>
      <c r="N13" s="30" t="n">
        <f aca="false">IF(OR($B13="",$E13="",$M13=""),"",IF($E13&lt;$M13,0,NETWORKDAYS($M13,$E13,calendar!$A$2:$A$80)))</f>
        <v>1</v>
      </c>
      <c r="O13" s="30" t="str">
        <f aca="false">IF($B13="","",IF(AND($K13="Y",OR($D13="later",$J13="Y")),"Y","N"))</f>
        <v>Y</v>
      </c>
      <c r="P13" s="30" t="str">
        <f aca="false">IF(OR($B13="",$E13=""),"",$B13&amp;"_"&amp;$C13&amp;"_"&amp;$D13&amp;"_"&amp;TEXT($E13,"yyyy-mm-dd")&amp;".jpg")</f>
        <v>SAMPLE-CMP-002_SAMPLE-O-001_placement_2027-01-12.jpg</v>
      </c>
      <c r="Q13" s="30" t="str">
        <f aca="false">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30" t="str">
        <f aca="false">IF($B13="","",$B13&amp;"|"&amp;$C13&amp;"|"&amp;$D13&amp;"|"&amp;$O13)</f>
        <v>SAMPLE-CMP-002|SAMPLE-O-001|placement|Y</v>
      </c>
      <c r="S13" s="30" t="str">
        <f aca="false">IF($B13="","",$R13&amp;"|"&amp;N($E13))</f>
        <v>SAMPLE-CMP-002|SAMPLE-O-001|placement|Y|46399</v>
      </c>
    </row>
    <row r="14" customFormat="false" ht="15" hidden="false" customHeight="false" outlineLevel="0" collapsed="false">
      <c r="A14" s="0" t="s">
        <v>984</v>
      </c>
      <c r="B14" s="0" t="s">
        <v>498</v>
      </c>
      <c r="C14" s="0" t="s">
        <v>678</v>
      </c>
      <c r="D14" s="10" t="s">
        <v>970</v>
      </c>
      <c r="E14" s="11" t="n">
        <v>46406</v>
      </c>
      <c r="F14" s="38" t="n">
        <v>0.645833333333333</v>
      </c>
      <c r="G14" s="10" t="s">
        <v>338</v>
      </c>
      <c r="H14" s="10" t="s">
        <v>985</v>
      </c>
      <c r="I14" s="11" t="n">
        <v>46406</v>
      </c>
      <c r="J14" s="10" t="s">
        <v>486</v>
      </c>
      <c r="K14" s="10" t="s">
        <v>486</v>
      </c>
      <c r="M14" s="31" t="n">
        <f aca="false">IF($B14="","",IFERROR(IF(INDEX(campaigns!$BG$2:$BG$51,MATCH($B14,campaigns!$A$2:$A$51,0))="","",INDEX(campaigns!$BG$2:$BG$51,MATCH($B14,campaigns!$A$2:$A$51,0))),""))</f>
        <v>46399</v>
      </c>
      <c r="N14" s="30" t="n">
        <f aca="false">IF(OR($B14="",$E14="",$M14=""),"",IF($E14&lt;$M14,0,NETWORKDAYS($M14,$E14,calendar!$A$2:$A$80)))</f>
        <v>5</v>
      </c>
      <c r="O14" s="30" t="str">
        <f aca="false">IF($B14="","",IF(AND($K14="Y",OR($D14="later",$J14="Y")),"Y","N"))</f>
        <v>Y</v>
      </c>
      <c r="P14" s="30" t="str">
        <f aca="false">IF(OR($B14="",$E14=""),"",$B14&amp;"_"&amp;$C14&amp;"_"&amp;$D14&amp;"_"&amp;TEXT($E14,"yyyy-mm-dd")&amp;".jpg")</f>
        <v>SAMPLE-CMP-002_SAMPLE-O-001_later_2027-01-19.jpg</v>
      </c>
      <c r="Q14" s="30" t="str">
        <f aca="false">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30" t="str">
        <f aca="false">IF($B14="","",$B14&amp;"|"&amp;$C14&amp;"|"&amp;$D14&amp;"|"&amp;$O14)</f>
        <v>SAMPLE-CMP-002|SAMPLE-O-001|later|Y</v>
      </c>
      <c r="S14" s="30" t="str">
        <f aca="false">IF($B14="","",$R14&amp;"|"&amp;N($E14))</f>
        <v>SAMPLE-CMP-002|SAMPLE-O-001|later|Y|46406</v>
      </c>
    </row>
    <row r="15" customFormat="false" ht="15" hidden="false" customHeight="false" outlineLevel="0" collapsed="false">
      <c r="A15" s="0" t="s">
        <v>840</v>
      </c>
      <c r="B15" s="0" t="s">
        <v>498</v>
      </c>
      <c r="C15" s="0" t="s">
        <v>681</v>
      </c>
      <c r="D15" s="10" t="s">
        <v>968</v>
      </c>
      <c r="E15" s="11" t="n">
        <v>46399</v>
      </c>
      <c r="F15" s="38" t="n">
        <v>0.486111111111111</v>
      </c>
      <c r="G15" s="10" t="s">
        <v>137</v>
      </c>
      <c r="H15" s="10" t="s">
        <v>986</v>
      </c>
      <c r="I15" s="11" t="n">
        <v>46399</v>
      </c>
      <c r="J15" s="10" t="s">
        <v>486</v>
      </c>
      <c r="K15" s="10" t="s">
        <v>486</v>
      </c>
      <c r="M15" s="31" t="n">
        <f aca="false">IF($B15="","",IFERROR(IF(INDEX(campaigns!$BG$2:$BG$51,MATCH($B15,campaigns!$A$2:$A$51,0))="","",INDEX(campaigns!$BG$2:$BG$51,MATCH($B15,campaigns!$A$2:$A$51,0))),""))</f>
        <v>46399</v>
      </c>
      <c r="N15" s="30" t="n">
        <f aca="false">IF(OR($B15="",$E15="",$M15=""),"",IF($E15&lt;$M15,0,NETWORKDAYS($M15,$E15,calendar!$A$2:$A$80)))</f>
        <v>1</v>
      </c>
      <c r="O15" s="30" t="str">
        <f aca="false">IF($B15="","",IF(AND($K15="Y",OR($D15="later",$J15="Y")),"Y","N"))</f>
        <v>Y</v>
      </c>
      <c r="P15" s="30" t="str">
        <f aca="false">IF(OR($B15="",$E15=""),"",$B15&amp;"_"&amp;$C15&amp;"_"&amp;$D15&amp;"_"&amp;TEXT($E15,"yyyy-mm-dd")&amp;".jpg")</f>
        <v>SAMPLE-CMP-002_SAMPLE-O-002_placement_2027-01-12.jpg</v>
      </c>
      <c r="Q15" s="30" t="str">
        <f aca="false">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30" t="str">
        <f aca="false">IF($B15="","",$B15&amp;"|"&amp;$C15&amp;"|"&amp;$D15&amp;"|"&amp;$O15)</f>
        <v>SAMPLE-CMP-002|SAMPLE-O-002|placement|Y</v>
      </c>
      <c r="S15" s="30" t="str">
        <f aca="false">IF($B15="","",$R15&amp;"|"&amp;N($E15))</f>
        <v>SAMPLE-CMP-002|SAMPLE-O-002|placement|Y|46399</v>
      </c>
    </row>
    <row r="16" customFormat="false" ht="15" hidden="false" customHeight="false" outlineLevel="0" collapsed="false">
      <c r="A16" s="0" t="s">
        <v>987</v>
      </c>
      <c r="B16" s="0" t="s">
        <v>498</v>
      </c>
      <c r="C16" s="0" t="s">
        <v>681</v>
      </c>
      <c r="D16" s="10" t="s">
        <v>970</v>
      </c>
      <c r="E16" s="11" t="n">
        <v>46401</v>
      </c>
      <c r="F16" s="38" t="n">
        <v>0.638888888888889</v>
      </c>
      <c r="G16" s="10" t="s">
        <v>137</v>
      </c>
      <c r="H16" s="10" t="s">
        <v>988</v>
      </c>
      <c r="I16" s="11" t="n">
        <v>46401</v>
      </c>
      <c r="J16" s="10" t="s">
        <v>486</v>
      </c>
      <c r="K16" s="10" t="s">
        <v>486</v>
      </c>
      <c r="M16" s="31" t="n">
        <f aca="false">IF($B16="","",IFERROR(IF(INDEX(campaigns!$BG$2:$BG$51,MATCH($B16,campaigns!$A$2:$A$51,0))="","",INDEX(campaigns!$BG$2:$BG$51,MATCH($B16,campaigns!$A$2:$A$51,0))),""))</f>
        <v>46399</v>
      </c>
      <c r="N16" s="30" t="n">
        <f aca="false">IF(OR($B16="",$E16="",$M16=""),"",IF($E16&lt;$M16,0,NETWORKDAYS($M16,$E16,calendar!$A$2:$A$80)))</f>
        <v>3</v>
      </c>
      <c r="O16" s="30" t="str">
        <f aca="false">IF($B16="","",IF(AND($K16="Y",OR($D16="later",$J16="Y")),"Y","N"))</f>
        <v>Y</v>
      </c>
      <c r="P16" s="30" t="str">
        <f aca="false">IF(OR($B16="",$E16=""),"",$B16&amp;"_"&amp;$C16&amp;"_"&amp;$D16&amp;"_"&amp;TEXT($E16,"yyyy-mm-dd")&amp;".jpg")</f>
        <v>SAMPLE-CMP-002_SAMPLE-O-002_later_2027-01-14.jpg</v>
      </c>
      <c r="Q16" s="30" t="str">
        <f aca="false">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30" t="str">
        <f aca="false">IF($B16="","",$B16&amp;"|"&amp;$C16&amp;"|"&amp;$D16&amp;"|"&amp;$O16)</f>
        <v>SAMPLE-CMP-002|SAMPLE-O-002|later|Y</v>
      </c>
      <c r="S16" s="30" t="str">
        <f aca="false">IF($B16="","",$R16&amp;"|"&amp;N($E16))</f>
        <v>SAMPLE-CMP-002|SAMPLE-O-002|later|Y|46401</v>
      </c>
    </row>
    <row r="17" customFormat="false" ht="15" hidden="false" customHeight="false" outlineLevel="0" collapsed="false">
      <c r="A17" s="0" t="s">
        <v>841</v>
      </c>
      <c r="B17" s="0" t="s">
        <v>498</v>
      </c>
      <c r="C17" s="0" t="s">
        <v>683</v>
      </c>
      <c r="D17" s="10" t="s">
        <v>968</v>
      </c>
      <c r="E17" s="11" t="n">
        <v>46399</v>
      </c>
      <c r="F17" s="38" t="n">
        <v>0.381944444444444</v>
      </c>
      <c r="G17" s="10" t="s">
        <v>338</v>
      </c>
      <c r="H17" s="10" t="s">
        <v>989</v>
      </c>
      <c r="I17" s="11" t="n">
        <v>46399</v>
      </c>
      <c r="J17" s="10" t="s">
        <v>486</v>
      </c>
      <c r="K17" s="10" t="s">
        <v>486</v>
      </c>
      <c r="M17" s="31" t="n">
        <f aca="false">IF($B17="","",IFERROR(IF(INDEX(campaigns!$BG$2:$BG$51,MATCH($B17,campaigns!$A$2:$A$51,0))="","",INDEX(campaigns!$BG$2:$BG$51,MATCH($B17,campaigns!$A$2:$A$51,0))),""))</f>
        <v>46399</v>
      </c>
      <c r="N17" s="30" t="n">
        <f aca="false">IF(OR($B17="",$E17="",$M17=""),"",IF($E17&lt;$M17,0,NETWORKDAYS($M17,$E17,calendar!$A$2:$A$80)))</f>
        <v>1</v>
      </c>
      <c r="O17" s="30" t="str">
        <f aca="false">IF($B17="","",IF(AND($K17="Y",OR($D17="later",$J17="Y")),"Y","N"))</f>
        <v>Y</v>
      </c>
      <c r="P17" s="30" t="str">
        <f aca="false">IF(OR($B17="",$E17=""),"",$B17&amp;"_"&amp;$C17&amp;"_"&amp;$D17&amp;"_"&amp;TEXT($E17,"yyyy-mm-dd")&amp;".jpg")</f>
        <v>SAMPLE-CMP-002_SAMPLE-O-003_placement_2027-01-12.jpg</v>
      </c>
      <c r="Q17" s="30" t="str">
        <f aca="false">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30" t="str">
        <f aca="false">IF($B17="","",$B17&amp;"|"&amp;$C17&amp;"|"&amp;$D17&amp;"|"&amp;$O17)</f>
        <v>SAMPLE-CMP-002|SAMPLE-O-003|placement|Y</v>
      </c>
      <c r="S17" s="30" t="str">
        <f aca="false">IF($B17="","",$R17&amp;"|"&amp;N($E17))</f>
        <v>SAMPLE-CMP-002|SAMPLE-O-003|placement|Y|46399</v>
      </c>
    </row>
    <row r="18" customFormat="false" ht="15" hidden="false" customHeight="false" outlineLevel="0" collapsed="false">
      <c r="A18" s="0" t="s">
        <v>842</v>
      </c>
      <c r="B18" s="0" t="s">
        <v>498</v>
      </c>
      <c r="C18" s="0" t="s">
        <v>686</v>
      </c>
      <c r="D18" s="10" t="s">
        <v>968</v>
      </c>
      <c r="E18" s="11" t="n">
        <v>46400</v>
      </c>
      <c r="F18" s="38" t="n">
        <v>0.378472222222222</v>
      </c>
      <c r="G18" s="10" t="s">
        <v>137</v>
      </c>
      <c r="H18" s="10" t="s">
        <v>990</v>
      </c>
      <c r="I18" s="11" t="n">
        <v>46400</v>
      </c>
      <c r="J18" s="10" t="s">
        <v>486</v>
      </c>
      <c r="K18" s="10" t="s">
        <v>486</v>
      </c>
      <c r="M18" s="31" t="n">
        <f aca="false">IF($B18="","",IFERROR(IF(INDEX(campaigns!$BG$2:$BG$51,MATCH($B18,campaigns!$A$2:$A$51,0))="","",INDEX(campaigns!$BG$2:$BG$51,MATCH($B18,campaigns!$A$2:$A$51,0))),""))</f>
        <v>46399</v>
      </c>
      <c r="N18" s="30" t="n">
        <f aca="false">IF(OR($B18="",$E18="",$M18=""),"",IF($E18&lt;$M18,0,NETWORKDAYS($M18,$E18,calendar!$A$2:$A$80)))</f>
        <v>2</v>
      </c>
      <c r="O18" s="30" t="str">
        <f aca="false">IF($B18="","",IF(AND($K18="Y",OR($D18="later",$J18="Y")),"Y","N"))</f>
        <v>Y</v>
      </c>
      <c r="P18" s="30" t="str">
        <f aca="false">IF(OR($B18="",$E18=""),"",$B18&amp;"_"&amp;$C18&amp;"_"&amp;$D18&amp;"_"&amp;TEXT($E18,"yyyy-mm-dd")&amp;".jpg")</f>
        <v>SAMPLE-CMP-002_SAMPLE-O-004_placement_2027-01-13.jpg</v>
      </c>
      <c r="Q18" s="30" t="str">
        <f aca="false">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30" t="str">
        <f aca="false">IF($B18="","",$B18&amp;"|"&amp;$C18&amp;"|"&amp;$D18&amp;"|"&amp;$O18)</f>
        <v>SAMPLE-CMP-002|SAMPLE-O-004|placement|Y</v>
      </c>
      <c r="S18" s="30" t="str">
        <f aca="false">IF($B18="","",$R18&amp;"|"&amp;N($E18))</f>
        <v>SAMPLE-CMP-002|SAMPLE-O-004|placement|Y|46400</v>
      </c>
    </row>
    <row r="19" customFormat="false" ht="15" hidden="false" customHeight="false" outlineLevel="0" collapsed="false">
      <c r="A19" s="0" t="s">
        <v>991</v>
      </c>
      <c r="B19" s="0" t="s">
        <v>498</v>
      </c>
      <c r="C19" s="0" t="s">
        <v>686</v>
      </c>
      <c r="D19" s="10" t="s">
        <v>970</v>
      </c>
      <c r="E19" s="11" t="n">
        <v>46406</v>
      </c>
      <c r="F19" s="38" t="n">
        <v>0.645833333333333</v>
      </c>
      <c r="G19" s="10" t="s">
        <v>338</v>
      </c>
      <c r="H19" s="10" t="s">
        <v>992</v>
      </c>
      <c r="I19" s="11" t="n">
        <v>46406</v>
      </c>
      <c r="J19" s="10" t="s">
        <v>486</v>
      </c>
      <c r="K19" s="10" t="s">
        <v>486</v>
      </c>
      <c r="M19" s="31" t="n">
        <f aca="false">IF($B19="","",IFERROR(IF(INDEX(campaigns!$BG$2:$BG$51,MATCH($B19,campaigns!$A$2:$A$51,0))="","",INDEX(campaigns!$BG$2:$BG$51,MATCH($B19,campaigns!$A$2:$A$51,0))),""))</f>
        <v>46399</v>
      </c>
      <c r="N19" s="30" t="n">
        <f aca="false">IF(OR($B19="",$E19="",$M19=""),"",IF($E19&lt;$M19,0,NETWORKDAYS($M19,$E19,calendar!$A$2:$A$80)))</f>
        <v>5</v>
      </c>
      <c r="O19" s="30" t="str">
        <f aca="false">IF($B19="","",IF(AND($K19="Y",OR($D19="later",$J19="Y")),"Y","N"))</f>
        <v>Y</v>
      </c>
      <c r="P19" s="30" t="str">
        <f aca="false">IF(OR($B19="",$E19=""),"",$B19&amp;"_"&amp;$C19&amp;"_"&amp;$D19&amp;"_"&amp;TEXT($E19,"yyyy-mm-dd")&amp;".jpg")</f>
        <v>SAMPLE-CMP-002_SAMPLE-O-004_later_2027-01-19.jpg</v>
      </c>
      <c r="Q19" s="30" t="str">
        <f aca="false">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30" t="str">
        <f aca="false">IF($B19="","",$B19&amp;"|"&amp;$C19&amp;"|"&amp;$D19&amp;"|"&amp;$O19)</f>
        <v>SAMPLE-CMP-002|SAMPLE-O-004|later|Y</v>
      </c>
      <c r="S19" s="30" t="str">
        <f aca="false">IF($B19="","",$R19&amp;"|"&amp;N($E19))</f>
        <v>SAMPLE-CMP-002|SAMPLE-O-004|later|Y|46406</v>
      </c>
    </row>
    <row r="20" customFormat="false" ht="15" hidden="false" customHeight="false" outlineLevel="0" collapsed="false">
      <c r="A20" s="0" t="s">
        <v>843</v>
      </c>
      <c r="B20" s="0" t="s">
        <v>498</v>
      </c>
      <c r="C20" s="0" t="s">
        <v>688</v>
      </c>
      <c r="D20" s="10" t="s">
        <v>968</v>
      </c>
      <c r="E20" s="11" t="n">
        <v>46399</v>
      </c>
      <c r="F20" s="38" t="n">
        <v>0.590277777777778</v>
      </c>
      <c r="G20" s="10" t="s">
        <v>137</v>
      </c>
      <c r="H20" s="10" t="s">
        <v>993</v>
      </c>
      <c r="I20" s="11" t="n">
        <v>46399</v>
      </c>
      <c r="J20" s="10" t="s">
        <v>486</v>
      </c>
      <c r="K20" s="10" t="s">
        <v>486</v>
      </c>
      <c r="M20" s="31" t="n">
        <f aca="false">IF($B20="","",IFERROR(IF(INDEX(campaigns!$BG$2:$BG$51,MATCH($B20,campaigns!$A$2:$A$51,0))="","",INDEX(campaigns!$BG$2:$BG$51,MATCH($B20,campaigns!$A$2:$A$51,0))),""))</f>
        <v>46399</v>
      </c>
      <c r="N20" s="30" t="n">
        <f aca="false">IF(OR($B20="",$E20="",$M20=""),"",IF($E20&lt;$M20,0,NETWORKDAYS($M20,$E20,calendar!$A$2:$A$80)))</f>
        <v>1</v>
      </c>
      <c r="O20" s="30" t="str">
        <f aca="false">IF($B20="","",IF(AND($K20="Y",OR($D20="later",$J20="Y")),"Y","N"))</f>
        <v>Y</v>
      </c>
      <c r="P20" s="30" t="str">
        <f aca="false">IF(OR($B20="",$E20=""),"",$B20&amp;"_"&amp;$C20&amp;"_"&amp;$D20&amp;"_"&amp;TEXT($E20,"yyyy-mm-dd")&amp;".jpg")</f>
        <v>SAMPLE-CMP-002_SAMPLE-O-005_placement_2027-01-12.jpg</v>
      </c>
      <c r="Q20" s="30" t="str">
        <f aca="false">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30" t="str">
        <f aca="false">IF($B20="","",$B20&amp;"|"&amp;$C20&amp;"|"&amp;$D20&amp;"|"&amp;$O20)</f>
        <v>SAMPLE-CMP-002|SAMPLE-O-005|placement|Y</v>
      </c>
      <c r="S20" s="30" t="str">
        <f aca="false">IF($B20="","",$R20&amp;"|"&amp;N($E20))</f>
        <v>SAMPLE-CMP-002|SAMPLE-O-005|placement|Y|46399</v>
      </c>
    </row>
    <row r="21" customFormat="false" ht="15" hidden="false" customHeight="false" outlineLevel="0" collapsed="false">
      <c r="A21" s="0" t="s">
        <v>994</v>
      </c>
      <c r="B21" s="0" t="s">
        <v>498</v>
      </c>
      <c r="C21" s="0" t="s">
        <v>688</v>
      </c>
      <c r="D21" s="10" t="s">
        <v>970</v>
      </c>
      <c r="E21" s="11" t="n">
        <v>46406</v>
      </c>
      <c r="F21" s="38" t="n">
        <v>0.645833333333333</v>
      </c>
      <c r="G21" s="10" t="s">
        <v>338</v>
      </c>
      <c r="H21" s="10" t="s">
        <v>995</v>
      </c>
      <c r="I21" s="11" t="n">
        <v>46406</v>
      </c>
      <c r="J21" s="10" t="s">
        <v>486</v>
      </c>
      <c r="K21" s="10" t="s">
        <v>486</v>
      </c>
      <c r="M21" s="31" t="n">
        <f aca="false">IF($B21="","",IFERROR(IF(INDEX(campaigns!$BG$2:$BG$51,MATCH($B21,campaigns!$A$2:$A$51,0))="","",INDEX(campaigns!$BG$2:$BG$51,MATCH($B21,campaigns!$A$2:$A$51,0))),""))</f>
        <v>46399</v>
      </c>
      <c r="N21" s="30" t="n">
        <f aca="false">IF(OR($B21="",$E21="",$M21=""),"",IF($E21&lt;$M21,0,NETWORKDAYS($M21,$E21,calendar!$A$2:$A$80)))</f>
        <v>5</v>
      </c>
      <c r="O21" s="30" t="str">
        <f aca="false">IF($B21="","",IF(AND($K21="Y",OR($D21="later",$J21="Y")),"Y","N"))</f>
        <v>Y</v>
      </c>
      <c r="P21" s="30" t="str">
        <f aca="false">IF(OR($B21="",$E21=""),"",$B21&amp;"_"&amp;$C21&amp;"_"&amp;$D21&amp;"_"&amp;TEXT($E21,"yyyy-mm-dd")&amp;".jpg")</f>
        <v>SAMPLE-CMP-002_SAMPLE-O-005_later_2027-01-19.jpg</v>
      </c>
      <c r="Q21" s="30" t="str">
        <f aca="false">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30" t="str">
        <f aca="false">IF($B21="","",$B21&amp;"|"&amp;$C21&amp;"|"&amp;$D21&amp;"|"&amp;$O21)</f>
        <v>SAMPLE-CMP-002|SAMPLE-O-005|later|Y</v>
      </c>
      <c r="S21" s="30" t="str">
        <f aca="false">IF($B21="","",$R21&amp;"|"&amp;N($E21))</f>
        <v>SAMPLE-CMP-002|SAMPLE-O-005|later|Y|46406</v>
      </c>
    </row>
    <row r="22" customFormat="false" ht="15" hidden="false" customHeight="false" outlineLevel="0" collapsed="false">
      <c r="A22" s="0" t="s">
        <v>844</v>
      </c>
      <c r="B22" s="0" t="s">
        <v>516</v>
      </c>
      <c r="C22" s="0" t="s">
        <v>678</v>
      </c>
      <c r="D22" s="10" t="s">
        <v>968</v>
      </c>
      <c r="E22" s="11" t="n">
        <v>46427</v>
      </c>
      <c r="F22" s="38" t="n">
        <v>0.541666666666667</v>
      </c>
      <c r="G22" s="10" t="s">
        <v>137</v>
      </c>
      <c r="H22" s="10" t="s">
        <v>996</v>
      </c>
      <c r="I22" s="11" t="n">
        <v>46427</v>
      </c>
      <c r="J22" s="10" t="s">
        <v>486</v>
      </c>
      <c r="K22" s="10" t="s">
        <v>486</v>
      </c>
      <c r="M22" s="31" t="n">
        <f aca="false">IF($B22="","",IFERROR(IF(INDEX(campaigns!$BG$2:$BG$51,MATCH($B22,campaigns!$A$2:$A$51,0))="","",INDEX(campaigns!$BG$2:$BG$51,MATCH($B22,campaigns!$A$2:$A$51,0))),""))</f>
        <v>46427</v>
      </c>
      <c r="N22" s="30" t="n">
        <f aca="false">IF(OR($B22="",$E22="",$M22=""),"",IF($E22&lt;$M22,0,NETWORKDAYS($M22,$E22,calendar!$A$2:$A$80)))</f>
        <v>1</v>
      </c>
      <c r="O22" s="30" t="str">
        <f aca="false">IF($B22="","",IF(AND($K22="Y",OR($D22="later",$J22="Y")),"Y","N"))</f>
        <v>Y</v>
      </c>
      <c r="P22" s="30" t="str">
        <f aca="false">IF(OR($B22="",$E22=""),"",$B22&amp;"_"&amp;$C22&amp;"_"&amp;$D22&amp;"_"&amp;TEXT($E22,"yyyy-mm-dd")&amp;".jpg")</f>
        <v>SAMPLE-CMP-003_SAMPLE-O-001_placement_2027-02-09.jpg</v>
      </c>
      <c r="Q22" s="30" t="str">
        <f aca="false">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30" t="str">
        <f aca="false">IF($B22="","",$B22&amp;"|"&amp;$C22&amp;"|"&amp;$D22&amp;"|"&amp;$O22)</f>
        <v>SAMPLE-CMP-003|SAMPLE-O-001|placement|Y</v>
      </c>
      <c r="S22" s="30" t="str">
        <f aca="false">IF($B22="","",$R22&amp;"|"&amp;N($E22))</f>
        <v>SAMPLE-CMP-003|SAMPLE-O-001|placement|Y|46427</v>
      </c>
    </row>
    <row r="23" customFormat="false" ht="15" hidden="false" customHeight="false" outlineLevel="0" collapsed="false">
      <c r="A23" s="0" t="s">
        <v>845</v>
      </c>
      <c r="B23" s="0" t="s">
        <v>516</v>
      </c>
      <c r="C23" s="0" t="s">
        <v>678</v>
      </c>
      <c r="D23" s="10" t="s">
        <v>970</v>
      </c>
      <c r="E23" s="11" t="n">
        <v>46434</v>
      </c>
      <c r="F23" s="38" t="n">
        <v>0.625</v>
      </c>
      <c r="G23" s="10" t="s">
        <v>137</v>
      </c>
      <c r="H23" s="10" t="s">
        <v>997</v>
      </c>
      <c r="I23" s="11" t="n">
        <v>46434</v>
      </c>
      <c r="J23" s="10" t="s">
        <v>486</v>
      </c>
      <c r="K23" s="10" t="s">
        <v>486</v>
      </c>
      <c r="M23" s="31" t="n">
        <f aca="false">IF($B23="","",IFERROR(IF(INDEX(campaigns!$BG$2:$BG$51,MATCH($B23,campaigns!$A$2:$A$51,0))="","",INDEX(campaigns!$BG$2:$BG$51,MATCH($B23,campaigns!$A$2:$A$51,0))),""))</f>
        <v>46427</v>
      </c>
      <c r="N23" s="30" t="n">
        <f aca="false">IF(OR($B23="",$E23="",$M23=""),"",IF($E23&lt;$M23,0,NETWORKDAYS($M23,$E23,calendar!$A$2:$A$80)))</f>
        <v>5</v>
      </c>
      <c r="O23" s="30" t="str">
        <f aca="false">IF($B23="","",IF(AND($K23="Y",OR($D23="later",$J23="Y")),"Y","N"))</f>
        <v>Y</v>
      </c>
      <c r="P23" s="30" t="str">
        <f aca="false">IF(OR($B23="",$E23=""),"",$B23&amp;"_"&amp;$C23&amp;"_"&amp;$D23&amp;"_"&amp;TEXT($E23,"yyyy-mm-dd")&amp;".jpg")</f>
        <v>SAMPLE-CMP-003_SAMPLE-O-001_later_2027-02-16.jpg</v>
      </c>
      <c r="Q23" s="30" t="str">
        <f aca="false">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30" t="str">
        <f aca="false">IF($B23="","",$B23&amp;"|"&amp;$C23&amp;"|"&amp;$D23&amp;"|"&amp;$O23)</f>
        <v>SAMPLE-CMP-003|SAMPLE-O-001|later|Y</v>
      </c>
      <c r="S23" s="30" t="str">
        <f aca="false">IF($B23="","",$R23&amp;"|"&amp;N($E23))</f>
        <v>SAMPLE-CMP-003|SAMPLE-O-001|later|Y|46434</v>
      </c>
    </row>
    <row r="24" customFormat="false" ht="15" hidden="false" customHeight="false" outlineLevel="0" collapsed="false">
      <c r="A24" s="0" t="s">
        <v>846</v>
      </c>
      <c r="B24" s="0" t="s">
        <v>516</v>
      </c>
      <c r="C24" s="0" t="s">
        <v>681</v>
      </c>
      <c r="D24" s="10" t="s">
        <v>968</v>
      </c>
      <c r="E24" s="11" t="n">
        <v>46427</v>
      </c>
      <c r="F24" s="38" t="n">
        <v>0.541666666666667</v>
      </c>
      <c r="G24" s="10" t="s">
        <v>137</v>
      </c>
      <c r="H24" s="10" t="s">
        <v>998</v>
      </c>
      <c r="I24" s="11" t="n">
        <v>46427</v>
      </c>
      <c r="J24" s="10" t="s">
        <v>486</v>
      </c>
      <c r="K24" s="10" t="s">
        <v>486</v>
      </c>
      <c r="M24" s="31" t="n">
        <f aca="false">IF($B24="","",IFERROR(IF(INDEX(campaigns!$BG$2:$BG$51,MATCH($B24,campaigns!$A$2:$A$51,0))="","",INDEX(campaigns!$BG$2:$BG$51,MATCH($B24,campaigns!$A$2:$A$51,0))),""))</f>
        <v>46427</v>
      </c>
      <c r="N24" s="30" t="n">
        <f aca="false">IF(OR($B24="",$E24="",$M24=""),"",IF($E24&lt;$M24,0,NETWORKDAYS($M24,$E24,calendar!$A$2:$A$80)))</f>
        <v>1</v>
      </c>
      <c r="O24" s="30" t="str">
        <f aca="false">IF($B24="","",IF(AND($K24="Y",OR($D24="later",$J24="Y")),"Y","N"))</f>
        <v>Y</v>
      </c>
      <c r="P24" s="30" t="str">
        <f aca="false">IF(OR($B24="",$E24=""),"",$B24&amp;"_"&amp;$C24&amp;"_"&amp;$D24&amp;"_"&amp;TEXT($E24,"yyyy-mm-dd")&amp;".jpg")</f>
        <v>SAMPLE-CMP-003_SAMPLE-O-002_placement_2027-02-09.jpg</v>
      </c>
      <c r="Q24" s="30" t="str">
        <f aca="false">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30" t="str">
        <f aca="false">IF($B24="","",$B24&amp;"|"&amp;$C24&amp;"|"&amp;$D24&amp;"|"&amp;$O24)</f>
        <v>SAMPLE-CMP-003|SAMPLE-O-002|placement|Y</v>
      </c>
      <c r="S24" s="30" t="str">
        <f aca="false">IF($B24="","",$R24&amp;"|"&amp;N($E24))</f>
        <v>SAMPLE-CMP-003|SAMPLE-O-002|placement|Y|46427</v>
      </c>
    </row>
    <row r="25" customFormat="false" ht="15" hidden="false" customHeight="false" outlineLevel="0" collapsed="false">
      <c r="A25" s="0" t="s">
        <v>847</v>
      </c>
      <c r="B25" s="0" t="s">
        <v>516</v>
      </c>
      <c r="C25" s="0" t="s">
        <v>681</v>
      </c>
      <c r="D25" s="10" t="s">
        <v>970</v>
      </c>
      <c r="E25" s="11" t="n">
        <v>46434</v>
      </c>
      <c r="F25" s="38" t="n">
        <v>0.625</v>
      </c>
      <c r="G25" s="10" t="s">
        <v>137</v>
      </c>
      <c r="H25" s="10" t="s">
        <v>999</v>
      </c>
      <c r="I25" s="11" t="n">
        <v>46434</v>
      </c>
      <c r="J25" s="10" t="s">
        <v>486</v>
      </c>
      <c r="K25" s="10" t="s">
        <v>486</v>
      </c>
      <c r="M25" s="31" t="n">
        <f aca="false">IF($B25="","",IFERROR(IF(INDEX(campaigns!$BG$2:$BG$51,MATCH($B25,campaigns!$A$2:$A$51,0))="","",INDEX(campaigns!$BG$2:$BG$51,MATCH($B25,campaigns!$A$2:$A$51,0))),""))</f>
        <v>46427</v>
      </c>
      <c r="N25" s="30" t="n">
        <f aca="false">IF(OR($B25="",$E25="",$M25=""),"",IF($E25&lt;$M25,0,NETWORKDAYS($M25,$E25,calendar!$A$2:$A$80)))</f>
        <v>5</v>
      </c>
      <c r="O25" s="30" t="str">
        <f aca="false">IF($B25="","",IF(AND($K25="Y",OR($D25="later",$J25="Y")),"Y","N"))</f>
        <v>Y</v>
      </c>
      <c r="P25" s="30" t="str">
        <f aca="false">IF(OR($B25="",$E25=""),"",$B25&amp;"_"&amp;$C25&amp;"_"&amp;$D25&amp;"_"&amp;TEXT($E25,"yyyy-mm-dd")&amp;".jpg")</f>
        <v>SAMPLE-CMP-003_SAMPLE-O-002_later_2027-02-16.jpg</v>
      </c>
      <c r="Q25" s="30" t="str">
        <f aca="false">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30" t="str">
        <f aca="false">IF($B25="","",$B25&amp;"|"&amp;$C25&amp;"|"&amp;$D25&amp;"|"&amp;$O25)</f>
        <v>SAMPLE-CMP-003|SAMPLE-O-002|later|Y</v>
      </c>
      <c r="S25" s="30" t="str">
        <f aca="false">IF($B25="","",$R25&amp;"|"&amp;N($E25))</f>
        <v>SAMPLE-CMP-003|SAMPLE-O-002|later|Y|46434</v>
      </c>
    </row>
    <row r="26" customFormat="false" ht="15" hidden="false" customHeight="false" outlineLevel="0" collapsed="false">
      <c r="A26" s="0" t="s">
        <v>848</v>
      </c>
      <c r="B26" s="0" t="s">
        <v>516</v>
      </c>
      <c r="C26" s="0" t="s">
        <v>683</v>
      </c>
      <c r="D26" s="10" t="s">
        <v>968</v>
      </c>
      <c r="E26" s="11" t="n">
        <v>46427</v>
      </c>
      <c r="F26" s="38" t="n">
        <v>0.541666666666667</v>
      </c>
      <c r="G26" s="10" t="s">
        <v>137</v>
      </c>
      <c r="H26" s="10" t="s">
        <v>1000</v>
      </c>
      <c r="I26" s="11" t="n">
        <v>46427</v>
      </c>
      <c r="J26" s="10" t="s">
        <v>486</v>
      </c>
      <c r="K26" s="10" t="s">
        <v>486</v>
      </c>
      <c r="M26" s="31" t="n">
        <f aca="false">IF($B26="","",IFERROR(IF(INDEX(campaigns!$BG$2:$BG$51,MATCH($B26,campaigns!$A$2:$A$51,0))="","",INDEX(campaigns!$BG$2:$BG$51,MATCH($B26,campaigns!$A$2:$A$51,0))),""))</f>
        <v>46427</v>
      </c>
      <c r="N26" s="30" t="n">
        <f aca="false">IF(OR($B26="",$E26="",$M26=""),"",IF($E26&lt;$M26,0,NETWORKDAYS($M26,$E26,calendar!$A$2:$A$80)))</f>
        <v>1</v>
      </c>
      <c r="O26" s="30" t="str">
        <f aca="false">IF($B26="","",IF(AND($K26="Y",OR($D26="later",$J26="Y")),"Y","N"))</f>
        <v>Y</v>
      </c>
      <c r="P26" s="30" t="str">
        <f aca="false">IF(OR($B26="",$E26=""),"",$B26&amp;"_"&amp;$C26&amp;"_"&amp;$D26&amp;"_"&amp;TEXT($E26,"yyyy-mm-dd")&amp;".jpg")</f>
        <v>SAMPLE-CMP-003_SAMPLE-O-003_placement_2027-02-09.jpg</v>
      </c>
      <c r="Q26" s="30" t="str">
        <f aca="false">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30" t="str">
        <f aca="false">IF($B26="","",$B26&amp;"|"&amp;$C26&amp;"|"&amp;$D26&amp;"|"&amp;$O26)</f>
        <v>SAMPLE-CMP-003|SAMPLE-O-003|placement|Y</v>
      </c>
      <c r="S26" s="30" t="str">
        <f aca="false">IF($B26="","",$R26&amp;"|"&amp;N($E26))</f>
        <v>SAMPLE-CMP-003|SAMPLE-O-003|placement|Y|46427</v>
      </c>
    </row>
    <row r="27" customFormat="false" ht="15" hidden="false" customHeight="false" outlineLevel="0" collapsed="false">
      <c r="A27" s="0" t="s">
        <v>849</v>
      </c>
      <c r="B27" s="0" t="s">
        <v>516</v>
      </c>
      <c r="C27" s="0" t="s">
        <v>683</v>
      </c>
      <c r="D27" s="10" t="s">
        <v>970</v>
      </c>
      <c r="E27" s="11" t="n">
        <v>46434</v>
      </c>
      <c r="F27" s="38" t="n">
        <v>0.625</v>
      </c>
      <c r="G27" s="10" t="s">
        <v>137</v>
      </c>
      <c r="H27" s="10" t="s">
        <v>1001</v>
      </c>
      <c r="I27" s="11" t="n">
        <v>46434</v>
      </c>
      <c r="J27" s="10" t="s">
        <v>486</v>
      </c>
      <c r="K27" s="10" t="s">
        <v>486</v>
      </c>
      <c r="M27" s="31" t="n">
        <f aca="false">IF($B27="","",IFERROR(IF(INDEX(campaigns!$BG$2:$BG$51,MATCH($B27,campaigns!$A$2:$A$51,0))="","",INDEX(campaigns!$BG$2:$BG$51,MATCH($B27,campaigns!$A$2:$A$51,0))),""))</f>
        <v>46427</v>
      </c>
      <c r="N27" s="30" t="n">
        <f aca="false">IF(OR($B27="",$E27="",$M27=""),"",IF($E27&lt;$M27,0,NETWORKDAYS($M27,$E27,calendar!$A$2:$A$80)))</f>
        <v>5</v>
      </c>
      <c r="O27" s="30" t="str">
        <f aca="false">IF($B27="","",IF(AND($K27="Y",OR($D27="later",$J27="Y")),"Y","N"))</f>
        <v>Y</v>
      </c>
      <c r="P27" s="30" t="str">
        <f aca="false">IF(OR($B27="",$E27=""),"",$B27&amp;"_"&amp;$C27&amp;"_"&amp;$D27&amp;"_"&amp;TEXT($E27,"yyyy-mm-dd")&amp;".jpg")</f>
        <v>SAMPLE-CMP-003_SAMPLE-O-003_later_2027-02-16.jpg</v>
      </c>
      <c r="Q27" s="30" t="str">
        <f aca="false">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30" t="str">
        <f aca="false">IF($B27="","",$B27&amp;"|"&amp;$C27&amp;"|"&amp;$D27&amp;"|"&amp;$O27)</f>
        <v>SAMPLE-CMP-003|SAMPLE-O-003|later|Y</v>
      </c>
      <c r="S27" s="30" t="str">
        <f aca="false">IF($B27="","",$R27&amp;"|"&amp;N($E27))</f>
        <v>SAMPLE-CMP-003|SAMPLE-O-003|later|Y|46434</v>
      </c>
    </row>
    <row r="28" customFormat="false" ht="15" hidden="false" customHeight="false" outlineLevel="0" collapsed="false">
      <c r="A28" s="0" t="s">
        <v>850</v>
      </c>
      <c r="B28" s="0" t="s">
        <v>516</v>
      </c>
      <c r="C28" s="0" t="s">
        <v>686</v>
      </c>
      <c r="D28" s="10" t="s">
        <v>968</v>
      </c>
      <c r="E28" s="11" t="n">
        <v>46428</v>
      </c>
      <c r="F28" s="38" t="n">
        <v>0.395833333333333</v>
      </c>
      <c r="G28" s="10" t="s">
        <v>137</v>
      </c>
      <c r="H28" s="10" t="s">
        <v>1002</v>
      </c>
      <c r="I28" s="11" t="n">
        <v>46428</v>
      </c>
      <c r="J28" s="10" t="s">
        <v>486</v>
      </c>
      <c r="K28" s="10" t="s">
        <v>486</v>
      </c>
      <c r="M28" s="31" t="n">
        <f aca="false">IF($B28="","",IFERROR(IF(INDEX(campaigns!$BG$2:$BG$51,MATCH($B28,campaigns!$A$2:$A$51,0))="","",INDEX(campaigns!$BG$2:$BG$51,MATCH($B28,campaigns!$A$2:$A$51,0))),""))</f>
        <v>46427</v>
      </c>
      <c r="N28" s="30" t="n">
        <f aca="false">IF(OR($B28="",$E28="",$M28=""),"",IF($E28&lt;$M28,0,NETWORKDAYS($M28,$E28,calendar!$A$2:$A$80)))</f>
        <v>2</v>
      </c>
      <c r="O28" s="30" t="str">
        <f aca="false">IF($B28="","",IF(AND($K28="Y",OR($D28="later",$J28="Y")),"Y","N"))</f>
        <v>Y</v>
      </c>
      <c r="P28" s="30" t="str">
        <f aca="false">IF(OR($B28="",$E28=""),"",$B28&amp;"_"&amp;$C28&amp;"_"&amp;$D28&amp;"_"&amp;TEXT($E28,"yyyy-mm-dd")&amp;".jpg")</f>
        <v>SAMPLE-CMP-003_SAMPLE-O-004_placement_2027-02-10.jpg</v>
      </c>
      <c r="Q28" s="30" t="str">
        <f aca="false">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30" t="str">
        <f aca="false">IF($B28="","",$B28&amp;"|"&amp;$C28&amp;"|"&amp;$D28&amp;"|"&amp;$O28)</f>
        <v>SAMPLE-CMP-003|SAMPLE-O-004|placement|Y</v>
      </c>
      <c r="S28" s="30" t="str">
        <f aca="false">IF($B28="","",$R28&amp;"|"&amp;N($E28))</f>
        <v>SAMPLE-CMP-003|SAMPLE-O-004|placement|Y|46428</v>
      </c>
    </row>
    <row r="29" customFormat="false" ht="15" hidden="false" customHeight="false" outlineLevel="0" collapsed="false">
      <c r="A29" s="0" t="s">
        <v>851</v>
      </c>
      <c r="B29" s="0" t="s">
        <v>516</v>
      </c>
      <c r="C29" s="0" t="s">
        <v>686</v>
      </c>
      <c r="D29" s="10" t="s">
        <v>970</v>
      </c>
      <c r="E29" s="11" t="n">
        <v>46434</v>
      </c>
      <c r="F29" s="38" t="n">
        <v>0.625</v>
      </c>
      <c r="G29" s="10" t="s">
        <v>137</v>
      </c>
      <c r="H29" s="10" t="s">
        <v>1003</v>
      </c>
      <c r="I29" s="11" t="n">
        <v>46434</v>
      </c>
      <c r="J29" s="10" t="s">
        <v>486</v>
      </c>
      <c r="K29" s="10" t="s">
        <v>486</v>
      </c>
      <c r="M29" s="31" t="n">
        <f aca="false">IF($B29="","",IFERROR(IF(INDEX(campaigns!$BG$2:$BG$51,MATCH($B29,campaigns!$A$2:$A$51,0))="","",INDEX(campaigns!$BG$2:$BG$51,MATCH($B29,campaigns!$A$2:$A$51,0))),""))</f>
        <v>46427</v>
      </c>
      <c r="N29" s="30" t="n">
        <f aca="false">IF(OR($B29="",$E29="",$M29=""),"",IF($E29&lt;$M29,0,NETWORKDAYS($M29,$E29,calendar!$A$2:$A$80)))</f>
        <v>5</v>
      </c>
      <c r="O29" s="30" t="str">
        <f aca="false">IF($B29="","",IF(AND($K29="Y",OR($D29="later",$J29="Y")),"Y","N"))</f>
        <v>Y</v>
      </c>
      <c r="P29" s="30" t="str">
        <f aca="false">IF(OR($B29="",$E29=""),"",$B29&amp;"_"&amp;$C29&amp;"_"&amp;$D29&amp;"_"&amp;TEXT($E29,"yyyy-mm-dd")&amp;".jpg")</f>
        <v>SAMPLE-CMP-003_SAMPLE-O-004_later_2027-02-16.jpg</v>
      </c>
      <c r="Q29" s="30" t="str">
        <f aca="false">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30" t="str">
        <f aca="false">IF($B29="","",$B29&amp;"|"&amp;$C29&amp;"|"&amp;$D29&amp;"|"&amp;$O29)</f>
        <v>SAMPLE-CMP-003|SAMPLE-O-004|later|Y</v>
      </c>
      <c r="S29" s="30" t="str">
        <f aca="false">IF($B29="","",$R29&amp;"|"&amp;N($E29))</f>
        <v>SAMPLE-CMP-003|SAMPLE-O-004|later|Y|46434</v>
      </c>
    </row>
    <row r="30" customFormat="false" ht="15" hidden="false" customHeight="false" outlineLevel="0" collapsed="false">
      <c r="A30" s="0" t="s">
        <v>852</v>
      </c>
      <c r="B30" s="0" t="s">
        <v>516</v>
      </c>
      <c r="C30" s="0" t="s">
        <v>688</v>
      </c>
      <c r="D30" s="10" t="s">
        <v>968</v>
      </c>
      <c r="E30" s="11" t="n">
        <v>46427</v>
      </c>
      <c r="F30" s="38" t="n">
        <v>0.541666666666667</v>
      </c>
      <c r="G30" s="10" t="s">
        <v>137</v>
      </c>
      <c r="H30" s="10" t="s">
        <v>1004</v>
      </c>
      <c r="I30" s="11" t="n">
        <v>46427</v>
      </c>
      <c r="J30" s="10" t="s">
        <v>486</v>
      </c>
      <c r="K30" s="10" t="s">
        <v>486</v>
      </c>
      <c r="M30" s="31" t="n">
        <f aca="false">IF($B30="","",IFERROR(IF(INDEX(campaigns!$BG$2:$BG$51,MATCH($B30,campaigns!$A$2:$A$51,0))="","",INDEX(campaigns!$BG$2:$BG$51,MATCH($B30,campaigns!$A$2:$A$51,0))),""))</f>
        <v>46427</v>
      </c>
      <c r="N30" s="30" t="n">
        <f aca="false">IF(OR($B30="",$E30="",$M30=""),"",IF($E30&lt;$M30,0,NETWORKDAYS($M30,$E30,calendar!$A$2:$A$80)))</f>
        <v>1</v>
      </c>
      <c r="O30" s="30" t="str">
        <f aca="false">IF($B30="","",IF(AND($K30="Y",OR($D30="later",$J30="Y")),"Y","N"))</f>
        <v>Y</v>
      </c>
      <c r="P30" s="30" t="str">
        <f aca="false">IF(OR($B30="",$E30=""),"",$B30&amp;"_"&amp;$C30&amp;"_"&amp;$D30&amp;"_"&amp;TEXT($E30,"yyyy-mm-dd")&amp;".jpg")</f>
        <v>SAMPLE-CMP-003_SAMPLE-O-005_placement_2027-02-09.jpg</v>
      </c>
      <c r="Q30" s="30" t="str">
        <f aca="false">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30" t="str">
        <f aca="false">IF($B30="","",$B30&amp;"|"&amp;$C30&amp;"|"&amp;$D30&amp;"|"&amp;$O30)</f>
        <v>SAMPLE-CMP-003|SAMPLE-O-005|placement|Y</v>
      </c>
      <c r="S30" s="30" t="str">
        <f aca="false">IF($B30="","",$R30&amp;"|"&amp;N($E30))</f>
        <v>SAMPLE-CMP-003|SAMPLE-O-005|placement|Y|46427</v>
      </c>
    </row>
    <row r="31" customFormat="false" ht="15" hidden="false" customHeight="false" outlineLevel="0" collapsed="false">
      <c r="A31" s="0" t="s">
        <v>853</v>
      </c>
      <c r="B31" s="0" t="s">
        <v>516</v>
      </c>
      <c r="C31" s="0" t="s">
        <v>688</v>
      </c>
      <c r="D31" s="10" t="s">
        <v>970</v>
      </c>
      <c r="E31" s="11" t="n">
        <v>46434</v>
      </c>
      <c r="F31" s="38" t="n">
        <v>0.625</v>
      </c>
      <c r="G31" s="10" t="s">
        <v>137</v>
      </c>
      <c r="H31" s="10" t="s">
        <v>1005</v>
      </c>
      <c r="I31" s="11" t="n">
        <v>46434</v>
      </c>
      <c r="J31" s="10" t="s">
        <v>486</v>
      </c>
      <c r="K31" s="10" t="s">
        <v>486</v>
      </c>
      <c r="M31" s="31" t="n">
        <f aca="false">IF($B31="","",IFERROR(IF(INDEX(campaigns!$BG$2:$BG$51,MATCH($B31,campaigns!$A$2:$A$51,0))="","",INDEX(campaigns!$BG$2:$BG$51,MATCH($B31,campaigns!$A$2:$A$51,0))),""))</f>
        <v>46427</v>
      </c>
      <c r="N31" s="30" t="n">
        <f aca="false">IF(OR($B31="",$E31="",$M31=""),"",IF($E31&lt;$M31,0,NETWORKDAYS($M31,$E31,calendar!$A$2:$A$80)))</f>
        <v>5</v>
      </c>
      <c r="O31" s="30" t="str">
        <f aca="false">IF($B31="","",IF(AND($K31="Y",OR($D31="later",$J31="Y")),"Y","N"))</f>
        <v>Y</v>
      </c>
      <c r="P31" s="30" t="str">
        <f aca="false">IF(OR($B31="",$E31=""),"",$B31&amp;"_"&amp;$C31&amp;"_"&amp;$D31&amp;"_"&amp;TEXT($E31,"yyyy-mm-dd")&amp;".jpg")</f>
        <v>SAMPLE-CMP-003_SAMPLE-O-005_later_2027-02-16.jpg</v>
      </c>
      <c r="Q31" s="30" t="str">
        <f aca="false">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30" t="str">
        <f aca="false">IF($B31="","",$B31&amp;"|"&amp;$C31&amp;"|"&amp;$D31&amp;"|"&amp;$O31)</f>
        <v>SAMPLE-CMP-003|SAMPLE-O-005|later|Y</v>
      </c>
      <c r="S31" s="30" t="str">
        <f aca="false">IF($B31="","",$R31&amp;"|"&amp;N($E31))</f>
        <v>SAMPLE-CMP-003|SAMPLE-O-005|later|Y|46434</v>
      </c>
    </row>
    <row r="32" customFormat="false" ht="15" hidden="false" customHeight="false" outlineLevel="0" collapsed="false">
      <c r="A32" s="0" t="s">
        <v>854</v>
      </c>
      <c r="B32" s="0" t="s">
        <v>516</v>
      </c>
      <c r="C32" s="0" t="s">
        <v>690</v>
      </c>
      <c r="D32" s="10" t="s">
        <v>968</v>
      </c>
      <c r="E32" s="11" t="n">
        <v>46427</v>
      </c>
      <c r="F32" s="38" t="n">
        <v>0.541666666666667</v>
      </c>
      <c r="G32" s="10" t="s">
        <v>137</v>
      </c>
      <c r="H32" s="10" t="s">
        <v>1006</v>
      </c>
      <c r="I32" s="11" t="n">
        <v>46427</v>
      </c>
      <c r="J32" s="10" t="s">
        <v>486</v>
      </c>
      <c r="K32" s="10" t="s">
        <v>486</v>
      </c>
      <c r="M32" s="31" t="n">
        <f aca="false">IF($B32="","",IFERROR(IF(INDEX(campaigns!$BG$2:$BG$51,MATCH($B32,campaigns!$A$2:$A$51,0))="","",INDEX(campaigns!$BG$2:$BG$51,MATCH($B32,campaigns!$A$2:$A$51,0))),""))</f>
        <v>46427</v>
      </c>
      <c r="N32" s="30" t="n">
        <f aca="false">IF(OR($B32="",$E32="",$M32=""),"",IF($E32&lt;$M32,0,NETWORKDAYS($M32,$E32,calendar!$A$2:$A$80)))</f>
        <v>1</v>
      </c>
      <c r="O32" s="30" t="str">
        <f aca="false">IF($B32="","",IF(AND($K32="Y",OR($D32="later",$J32="Y")),"Y","N"))</f>
        <v>Y</v>
      </c>
      <c r="P32" s="30" t="str">
        <f aca="false">IF(OR($B32="",$E32=""),"",$B32&amp;"_"&amp;$C32&amp;"_"&amp;$D32&amp;"_"&amp;TEXT($E32,"yyyy-mm-dd")&amp;".jpg")</f>
        <v>SAMPLE-CMP-003_SAMPLE-O-006_placement_2027-02-09.jpg</v>
      </c>
      <c r="Q32" s="30" t="str">
        <f aca="false">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30" t="str">
        <f aca="false">IF($B32="","",$B32&amp;"|"&amp;$C32&amp;"|"&amp;$D32&amp;"|"&amp;$O32)</f>
        <v>SAMPLE-CMP-003|SAMPLE-O-006|placement|Y</v>
      </c>
      <c r="S32" s="30" t="str">
        <f aca="false">IF($B32="","",$R32&amp;"|"&amp;N($E32))</f>
        <v>SAMPLE-CMP-003|SAMPLE-O-006|placement|Y|46427</v>
      </c>
    </row>
    <row r="33" customFormat="false" ht="15" hidden="false" customHeight="false" outlineLevel="0" collapsed="false">
      <c r="A33" s="0" t="s">
        <v>855</v>
      </c>
      <c r="B33" s="0" t="s">
        <v>516</v>
      </c>
      <c r="C33" s="0" t="s">
        <v>690</v>
      </c>
      <c r="D33" s="10" t="s">
        <v>970</v>
      </c>
      <c r="E33" s="11" t="n">
        <v>46434</v>
      </c>
      <c r="F33" s="38" t="n">
        <v>0.625</v>
      </c>
      <c r="G33" s="10" t="s">
        <v>137</v>
      </c>
      <c r="H33" s="10" t="s">
        <v>1007</v>
      </c>
      <c r="I33" s="11" t="n">
        <v>46434</v>
      </c>
      <c r="J33" s="10" t="s">
        <v>486</v>
      </c>
      <c r="K33" s="10" t="s">
        <v>486</v>
      </c>
      <c r="M33" s="31" t="n">
        <f aca="false">IF($B33="","",IFERROR(IF(INDEX(campaigns!$BG$2:$BG$51,MATCH($B33,campaigns!$A$2:$A$51,0))="","",INDEX(campaigns!$BG$2:$BG$51,MATCH($B33,campaigns!$A$2:$A$51,0))),""))</f>
        <v>46427</v>
      </c>
      <c r="N33" s="30" t="n">
        <f aca="false">IF(OR($B33="",$E33="",$M33=""),"",IF($E33&lt;$M33,0,NETWORKDAYS($M33,$E33,calendar!$A$2:$A$80)))</f>
        <v>5</v>
      </c>
      <c r="O33" s="30" t="str">
        <f aca="false">IF($B33="","",IF(AND($K33="Y",OR($D33="later",$J33="Y")),"Y","N"))</f>
        <v>Y</v>
      </c>
      <c r="P33" s="30" t="str">
        <f aca="false">IF(OR($B33="",$E33=""),"",$B33&amp;"_"&amp;$C33&amp;"_"&amp;$D33&amp;"_"&amp;TEXT($E33,"yyyy-mm-dd")&amp;".jpg")</f>
        <v>SAMPLE-CMP-003_SAMPLE-O-006_later_2027-02-16.jpg</v>
      </c>
      <c r="Q33" s="30" t="str">
        <f aca="false">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30" t="str">
        <f aca="false">IF($B33="","",$B33&amp;"|"&amp;$C33&amp;"|"&amp;$D33&amp;"|"&amp;$O33)</f>
        <v>SAMPLE-CMP-003|SAMPLE-O-006|later|Y</v>
      </c>
      <c r="S33" s="30" t="str">
        <f aca="false">IF($B33="","",$R33&amp;"|"&amp;N($E33))</f>
        <v>SAMPLE-CMP-003|SAMPLE-O-006|later|Y|46434</v>
      </c>
    </row>
    <row r="34" customFormat="false" ht="15" hidden="false" customHeight="false" outlineLevel="0" collapsed="false">
      <c r="A34" s="0" t="s">
        <v>856</v>
      </c>
      <c r="B34" s="0" t="s">
        <v>516</v>
      </c>
      <c r="C34" s="0" t="s">
        <v>692</v>
      </c>
      <c r="D34" s="10" t="s">
        <v>968</v>
      </c>
      <c r="E34" s="11" t="n">
        <v>46427</v>
      </c>
      <c r="F34" s="38" t="n">
        <v>0.541666666666667</v>
      </c>
      <c r="G34" s="10" t="s">
        <v>137</v>
      </c>
      <c r="H34" s="10" t="s">
        <v>1008</v>
      </c>
      <c r="I34" s="11" t="n">
        <v>46427</v>
      </c>
      <c r="J34" s="10" t="s">
        <v>486</v>
      </c>
      <c r="K34" s="10" t="s">
        <v>486</v>
      </c>
      <c r="M34" s="31" t="n">
        <f aca="false">IF($B34="","",IFERROR(IF(INDEX(campaigns!$BG$2:$BG$51,MATCH($B34,campaigns!$A$2:$A$51,0))="","",INDEX(campaigns!$BG$2:$BG$51,MATCH($B34,campaigns!$A$2:$A$51,0))),""))</f>
        <v>46427</v>
      </c>
      <c r="N34" s="30" t="n">
        <f aca="false">IF(OR($B34="",$E34="",$M34=""),"",IF($E34&lt;$M34,0,NETWORKDAYS($M34,$E34,calendar!$A$2:$A$80)))</f>
        <v>1</v>
      </c>
      <c r="O34" s="30" t="str">
        <f aca="false">IF($B34="","",IF(AND($K34="Y",OR($D34="later",$J34="Y")),"Y","N"))</f>
        <v>Y</v>
      </c>
      <c r="P34" s="30" t="str">
        <f aca="false">IF(OR($B34="",$E34=""),"",$B34&amp;"_"&amp;$C34&amp;"_"&amp;$D34&amp;"_"&amp;TEXT($E34,"yyyy-mm-dd")&amp;".jpg")</f>
        <v>SAMPLE-CMP-003_SAMPLE-O-007_placement_2027-02-09.jpg</v>
      </c>
      <c r="Q34" s="30" t="str">
        <f aca="false">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30" t="str">
        <f aca="false">IF($B34="","",$B34&amp;"|"&amp;$C34&amp;"|"&amp;$D34&amp;"|"&amp;$O34)</f>
        <v>SAMPLE-CMP-003|SAMPLE-O-007|placement|Y</v>
      </c>
      <c r="S34" s="30" t="str">
        <f aca="false">IF($B34="","",$R34&amp;"|"&amp;N($E34))</f>
        <v>SAMPLE-CMP-003|SAMPLE-O-007|placement|Y|46427</v>
      </c>
    </row>
    <row r="35" customFormat="false" ht="15" hidden="false" customHeight="false" outlineLevel="0" collapsed="false">
      <c r="A35" s="0" t="s">
        <v>857</v>
      </c>
      <c r="B35" s="0" t="s">
        <v>516</v>
      </c>
      <c r="C35" s="0" t="s">
        <v>692</v>
      </c>
      <c r="D35" s="10" t="s">
        <v>970</v>
      </c>
      <c r="E35" s="11" t="n">
        <v>46434</v>
      </c>
      <c r="F35" s="38" t="n">
        <v>0.625</v>
      </c>
      <c r="G35" s="10" t="s">
        <v>137</v>
      </c>
      <c r="H35" s="10" t="s">
        <v>1009</v>
      </c>
      <c r="I35" s="11" t="n">
        <v>46434</v>
      </c>
      <c r="J35" s="10" t="s">
        <v>486</v>
      </c>
      <c r="K35" s="10" t="s">
        <v>486</v>
      </c>
      <c r="M35" s="31" t="n">
        <f aca="false">IF($B35="","",IFERROR(IF(INDEX(campaigns!$BG$2:$BG$51,MATCH($B35,campaigns!$A$2:$A$51,0))="","",INDEX(campaigns!$BG$2:$BG$51,MATCH($B35,campaigns!$A$2:$A$51,0))),""))</f>
        <v>46427</v>
      </c>
      <c r="N35" s="30" t="n">
        <f aca="false">IF(OR($B35="",$E35="",$M35=""),"",IF($E35&lt;$M35,0,NETWORKDAYS($M35,$E35,calendar!$A$2:$A$80)))</f>
        <v>5</v>
      </c>
      <c r="O35" s="30" t="str">
        <f aca="false">IF($B35="","",IF(AND($K35="Y",OR($D35="later",$J35="Y")),"Y","N"))</f>
        <v>Y</v>
      </c>
      <c r="P35" s="30" t="str">
        <f aca="false">IF(OR($B35="",$E35=""),"",$B35&amp;"_"&amp;$C35&amp;"_"&amp;$D35&amp;"_"&amp;TEXT($E35,"yyyy-mm-dd")&amp;".jpg")</f>
        <v>SAMPLE-CMP-003_SAMPLE-O-007_later_2027-02-16.jpg</v>
      </c>
      <c r="Q35" s="30" t="str">
        <f aca="false">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30" t="str">
        <f aca="false">IF($B35="","",$B35&amp;"|"&amp;$C35&amp;"|"&amp;$D35&amp;"|"&amp;$O35)</f>
        <v>SAMPLE-CMP-003|SAMPLE-O-007|later|Y</v>
      </c>
      <c r="S35" s="30" t="str">
        <f aca="false">IF($B35="","",$R35&amp;"|"&amp;N($E35))</f>
        <v>SAMPLE-CMP-003|SAMPLE-O-007|later|Y|46434</v>
      </c>
    </row>
    <row r="36" customFormat="false" ht="15" hidden="false" customHeight="false" outlineLevel="0" collapsed="false">
      <c r="A36" s="0" t="s">
        <v>858</v>
      </c>
      <c r="B36" s="0" t="s">
        <v>516</v>
      </c>
      <c r="C36" s="0" t="s">
        <v>694</v>
      </c>
      <c r="D36" s="10" t="s">
        <v>968</v>
      </c>
      <c r="E36" s="11" t="n">
        <v>46427</v>
      </c>
      <c r="F36" s="38" t="n">
        <v>0.541666666666667</v>
      </c>
      <c r="G36" s="10" t="s">
        <v>137</v>
      </c>
      <c r="H36" s="10" t="s">
        <v>1010</v>
      </c>
      <c r="I36" s="11" t="n">
        <v>46427</v>
      </c>
      <c r="J36" s="10" t="s">
        <v>486</v>
      </c>
      <c r="K36" s="10" t="s">
        <v>486</v>
      </c>
      <c r="M36" s="31" t="n">
        <f aca="false">IF($B36="","",IFERROR(IF(INDEX(campaigns!$BG$2:$BG$51,MATCH($B36,campaigns!$A$2:$A$51,0))="","",INDEX(campaigns!$BG$2:$BG$51,MATCH($B36,campaigns!$A$2:$A$51,0))),""))</f>
        <v>46427</v>
      </c>
      <c r="N36" s="30" t="n">
        <f aca="false">IF(OR($B36="",$E36="",$M36=""),"",IF($E36&lt;$M36,0,NETWORKDAYS($M36,$E36,calendar!$A$2:$A$80)))</f>
        <v>1</v>
      </c>
      <c r="O36" s="30" t="str">
        <f aca="false">IF($B36="","",IF(AND($K36="Y",OR($D36="later",$J36="Y")),"Y","N"))</f>
        <v>Y</v>
      </c>
      <c r="P36" s="30" t="str">
        <f aca="false">IF(OR($B36="",$E36=""),"",$B36&amp;"_"&amp;$C36&amp;"_"&amp;$D36&amp;"_"&amp;TEXT($E36,"yyyy-mm-dd")&amp;".jpg")</f>
        <v>SAMPLE-CMP-003_SAMPLE-O-008_placement_2027-02-09.jpg</v>
      </c>
      <c r="Q36" s="30" t="str">
        <f aca="false">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30" t="str">
        <f aca="false">IF($B36="","",$B36&amp;"|"&amp;$C36&amp;"|"&amp;$D36&amp;"|"&amp;$O36)</f>
        <v>SAMPLE-CMP-003|SAMPLE-O-008|placement|Y</v>
      </c>
      <c r="S36" s="30" t="str">
        <f aca="false">IF($B36="","",$R36&amp;"|"&amp;N($E36))</f>
        <v>SAMPLE-CMP-003|SAMPLE-O-008|placement|Y|46427</v>
      </c>
    </row>
    <row r="37" customFormat="false" ht="15" hidden="false" customHeight="false" outlineLevel="0" collapsed="false">
      <c r="A37" s="0" t="s">
        <v>859</v>
      </c>
      <c r="B37" s="0" t="s">
        <v>516</v>
      </c>
      <c r="C37" s="0" t="s">
        <v>694</v>
      </c>
      <c r="D37" s="10" t="s">
        <v>970</v>
      </c>
      <c r="E37" s="11" t="n">
        <v>46434</v>
      </c>
      <c r="F37" s="38" t="n">
        <v>0.625</v>
      </c>
      <c r="G37" s="10" t="s">
        <v>137</v>
      </c>
      <c r="H37" s="10" t="s">
        <v>1011</v>
      </c>
      <c r="I37" s="11" t="n">
        <v>46434</v>
      </c>
      <c r="J37" s="10" t="s">
        <v>486</v>
      </c>
      <c r="K37" s="10" t="s">
        <v>486</v>
      </c>
      <c r="M37" s="31" t="n">
        <f aca="false">IF($B37="","",IFERROR(IF(INDEX(campaigns!$BG$2:$BG$51,MATCH($B37,campaigns!$A$2:$A$51,0))="","",INDEX(campaigns!$BG$2:$BG$51,MATCH($B37,campaigns!$A$2:$A$51,0))),""))</f>
        <v>46427</v>
      </c>
      <c r="N37" s="30" t="n">
        <f aca="false">IF(OR($B37="",$E37="",$M37=""),"",IF($E37&lt;$M37,0,NETWORKDAYS($M37,$E37,calendar!$A$2:$A$80)))</f>
        <v>5</v>
      </c>
      <c r="O37" s="30" t="str">
        <f aca="false">IF($B37="","",IF(AND($K37="Y",OR($D37="later",$J37="Y")),"Y","N"))</f>
        <v>Y</v>
      </c>
      <c r="P37" s="30" t="str">
        <f aca="false">IF(OR($B37="",$E37=""),"",$B37&amp;"_"&amp;$C37&amp;"_"&amp;$D37&amp;"_"&amp;TEXT($E37,"yyyy-mm-dd")&amp;".jpg")</f>
        <v>SAMPLE-CMP-003_SAMPLE-O-008_later_2027-02-16.jpg</v>
      </c>
      <c r="Q37" s="30" t="str">
        <f aca="false">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30" t="str">
        <f aca="false">IF($B37="","",$B37&amp;"|"&amp;$C37&amp;"|"&amp;$D37&amp;"|"&amp;$O37)</f>
        <v>SAMPLE-CMP-003|SAMPLE-O-008|later|Y</v>
      </c>
      <c r="S37" s="30" t="str">
        <f aca="false">IF($B37="","",$R37&amp;"|"&amp;N($E37))</f>
        <v>SAMPLE-CMP-003|SAMPLE-O-008|later|Y|46434</v>
      </c>
    </row>
    <row r="38" customFormat="false" ht="15" hidden="false" customHeight="false" outlineLevel="0" collapsed="false">
      <c r="A38" s="0" t="s">
        <v>860</v>
      </c>
      <c r="B38" s="0" t="s">
        <v>516</v>
      </c>
      <c r="C38" s="0" t="s">
        <v>696</v>
      </c>
      <c r="D38" s="10" t="s">
        <v>968</v>
      </c>
      <c r="E38" s="11" t="n">
        <v>46428</v>
      </c>
      <c r="F38" s="38" t="n">
        <v>0.381944444444444</v>
      </c>
      <c r="G38" s="10" t="s">
        <v>137</v>
      </c>
      <c r="H38" s="10" t="s">
        <v>1012</v>
      </c>
      <c r="I38" s="11" t="n">
        <v>46428</v>
      </c>
      <c r="J38" s="10" t="s">
        <v>486</v>
      </c>
      <c r="K38" s="10" t="s">
        <v>486</v>
      </c>
      <c r="M38" s="31" t="n">
        <f aca="false">IF($B38="","",IFERROR(IF(INDEX(campaigns!$BG$2:$BG$51,MATCH($B38,campaigns!$A$2:$A$51,0))="","",INDEX(campaigns!$BG$2:$BG$51,MATCH($B38,campaigns!$A$2:$A$51,0))),""))</f>
        <v>46427</v>
      </c>
      <c r="N38" s="30" t="n">
        <f aca="false">IF(OR($B38="",$E38="",$M38=""),"",IF($E38&lt;$M38,0,NETWORKDAYS($M38,$E38,calendar!$A$2:$A$80)))</f>
        <v>2</v>
      </c>
      <c r="O38" s="30" t="str">
        <f aca="false">IF($B38="","",IF(AND($K38="Y",OR($D38="later",$J38="Y")),"Y","N"))</f>
        <v>Y</v>
      </c>
      <c r="P38" s="30" t="str">
        <f aca="false">IF(OR($B38="",$E38=""),"",$B38&amp;"_"&amp;$C38&amp;"_"&amp;$D38&amp;"_"&amp;TEXT($E38,"yyyy-mm-dd")&amp;".jpg")</f>
        <v>SAMPLE-CMP-003_SAMPLE-O-009_placement_2027-02-10.jpg</v>
      </c>
      <c r="Q38" s="30" t="str">
        <f aca="false">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30" t="str">
        <f aca="false">IF($B38="","",$B38&amp;"|"&amp;$C38&amp;"|"&amp;$D38&amp;"|"&amp;$O38)</f>
        <v>SAMPLE-CMP-003|SAMPLE-O-009|placement|Y</v>
      </c>
      <c r="S38" s="30" t="str">
        <f aca="false">IF($B38="","",$R38&amp;"|"&amp;N($E38))</f>
        <v>SAMPLE-CMP-003|SAMPLE-O-009|placement|Y|46428</v>
      </c>
    </row>
    <row r="39" customFormat="false" ht="15" hidden="false" customHeight="false" outlineLevel="0" collapsed="false">
      <c r="A39" s="0" t="s">
        <v>861</v>
      </c>
      <c r="B39" s="0" t="s">
        <v>516</v>
      </c>
      <c r="C39" s="0" t="s">
        <v>696</v>
      </c>
      <c r="D39" s="10" t="s">
        <v>970</v>
      </c>
      <c r="E39" s="11" t="n">
        <v>46434</v>
      </c>
      <c r="F39" s="38" t="n">
        <v>0.625</v>
      </c>
      <c r="G39" s="10" t="s">
        <v>137</v>
      </c>
      <c r="H39" s="10" t="s">
        <v>1013</v>
      </c>
      <c r="I39" s="11" t="n">
        <v>46434</v>
      </c>
      <c r="J39" s="10" t="s">
        <v>486</v>
      </c>
      <c r="K39" s="10" t="s">
        <v>486</v>
      </c>
      <c r="M39" s="31" t="n">
        <f aca="false">IF($B39="","",IFERROR(IF(INDEX(campaigns!$BG$2:$BG$51,MATCH($B39,campaigns!$A$2:$A$51,0))="","",INDEX(campaigns!$BG$2:$BG$51,MATCH($B39,campaigns!$A$2:$A$51,0))),""))</f>
        <v>46427</v>
      </c>
      <c r="N39" s="30" t="n">
        <f aca="false">IF(OR($B39="",$E39="",$M39=""),"",IF($E39&lt;$M39,0,NETWORKDAYS($M39,$E39,calendar!$A$2:$A$80)))</f>
        <v>5</v>
      </c>
      <c r="O39" s="30" t="str">
        <f aca="false">IF($B39="","",IF(AND($K39="Y",OR($D39="later",$J39="Y")),"Y","N"))</f>
        <v>Y</v>
      </c>
      <c r="P39" s="30" t="str">
        <f aca="false">IF(OR($B39="",$E39=""),"",$B39&amp;"_"&amp;$C39&amp;"_"&amp;$D39&amp;"_"&amp;TEXT($E39,"yyyy-mm-dd")&amp;".jpg")</f>
        <v>SAMPLE-CMP-003_SAMPLE-O-009_later_2027-02-16.jpg</v>
      </c>
      <c r="Q39" s="30" t="str">
        <f aca="false">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30" t="str">
        <f aca="false">IF($B39="","",$B39&amp;"|"&amp;$C39&amp;"|"&amp;$D39&amp;"|"&amp;$O39)</f>
        <v>SAMPLE-CMP-003|SAMPLE-O-009|later|Y</v>
      </c>
      <c r="S39" s="30" t="str">
        <f aca="false">IF($B39="","",$R39&amp;"|"&amp;N($E39))</f>
        <v>SAMPLE-CMP-003|SAMPLE-O-009|later|Y|46434</v>
      </c>
    </row>
    <row r="40" customFormat="false" ht="15" hidden="false" customHeight="false" outlineLevel="0" collapsed="false">
      <c r="A40" s="0" t="s">
        <v>862</v>
      </c>
      <c r="B40" s="0" t="s">
        <v>516</v>
      </c>
      <c r="C40" s="0" t="s">
        <v>698</v>
      </c>
      <c r="D40" s="10" t="s">
        <v>968</v>
      </c>
      <c r="E40" s="11" t="n">
        <v>46427</v>
      </c>
      <c r="F40" s="38" t="n">
        <v>0.541666666666667</v>
      </c>
      <c r="G40" s="10" t="s">
        <v>137</v>
      </c>
      <c r="H40" s="10" t="s">
        <v>1014</v>
      </c>
      <c r="I40" s="11" t="n">
        <v>46427</v>
      </c>
      <c r="J40" s="10" t="s">
        <v>486</v>
      </c>
      <c r="K40" s="10" t="s">
        <v>486</v>
      </c>
      <c r="M40" s="31" t="n">
        <f aca="false">IF($B40="","",IFERROR(IF(INDEX(campaigns!$BG$2:$BG$51,MATCH($B40,campaigns!$A$2:$A$51,0))="","",INDEX(campaigns!$BG$2:$BG$51,MATCH($B40,campaigns!$A$2:$A$51,0))),""))</f>
        <v>46427</v>
      </c>
      <c r="N40" s="30" t="n">
        <f aca="false">IF(OR($B40="",$E40="",$M40=""),"",IF($E40&lt;$M40,0,NETWORKDAYS($M40,$E40,calendar!$A$2:$A$80)))</f>
        <v>1</v>
      </c>
      <c r="O40" s="30" t="str">
        <f aca="false">IF($B40="","",IF(AND($K40="Y",OR($D40="later",$J40="Y")),"Y","N"))</f>
        <v>Y</v>
      </c>
      <c r="P40" s="30" t="str">
        <f aca="false">IF(OR($B40="",$E40=""),"",$B40&amp;"_"&amp;$C40&amp;"_"&amp;$D40&amp;"_"&amp;TEXT($E40,"yyyy-mm-dd")&amp;".jpg")</f>
        <v>SAMPLE-CMP-003_SAMPLE-O-010_placement_2027-02-09.jpg</v>
      </c>
      <c r="Q40" s="30" t="str">
        <f aca="false">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30" t="str">
        <f aca="false">IF($B40="","",$B40&amp;"|"&amp;$C40&amp;"|"&amp;$D40&amp;"|"&amp;$O40)</f>
        <v>SAMPLE-CMP-003|SAMPLE-O-010|placement|Y</v>
      </c>
      <c r="S40" s="30" t="str">
        <f aca="false">IF($B40="","",$R40&amp;"|"&amp;N($E40))</f>
        <v>SAMPLE-CMP-003|SAMPLE-O-010|placement|Y|46427</v>
      </c>
    </row>
    <row r="41" customFormat="false" ht="15" hidden="false" customHeight="false" outlineLevel="0" collapsed="false">
      <c r="A41" s="0" t="s">
        <v>863</v>
      </c>
      <c r="B41" s="0" t="s">
        <v>516</v>
      </c>
      <c r="C41" s="0" t="s">
        <v>698</v>
      </c>
      <c r="D41" s="10" t="s">
        <v>970</v>
      </c>
      <c r="E41" s="11" t="n">
        <v>46434</v>
      </c>
      <c r="F41" s="38" t="n">
        <v>0.625</v>
      </c>
      <c r="G41" s="10" t="s">
        <v>137</v>
      </c>
      <c r="H41" s="10" t="s">
        <v>1015</v>
      </c>
      <c r="I41" s="11" t="n">
        <v>46434</v>
      </c>
      <c r="J41" s="10" t="s">
        <v>486</v>
      </c>
      <c r="K41" s="10" t="s">
        <v>486</v>
      </c>
      <c r="M41" s="31" t="n">
        <f aca="false">IF($B41="","",IFERROR(IF(INDEX(campaigns!$BG$2:$BG$51,MATCH($B41,campaigns!$A$2:$A$51,0))="","",INDEX(campaigns!$BG$2:$BG$51,MATCH($B41,campaigns!$A$2:$A$51,0))),""))</f>
        <v>46427</v>
      </c>
      <c r="N41" s="30" t="n">
        <f aca="false">IF(OR($B41="",$E41="",$M41=""),"",IF($E41&lt;$M41,0,NETWORKDAYS($M41,$E41,calendar!$A$2:$A$80)))</f>
        <v>5</v>
      </c>
      <c r="O41" s="30" t="str">
        <f aca="false">IF($B41="","",IF(AND($K41="Y",OR($D41="later",$J41="Y")),"Y","N"))</f>
        <v>Y</v>
      </c>
      <c r="P41" s="30" t="str">
        <f aca="false">IF(OR($B41="",$E41=""),"",$B41&amp;"_"&amp;$C41&amp;"_"&amp;$D41&amp;"_"&amp;TEXT($E41,"yyyy-mm-dd")&amp;".jpg")</f>
        <v>SAMPLE-CMP-003_SAMPLE-O-010_later_2027-02-16.jpg</v>
      </c>
      <c r="Q41" s="30" t="str">
        <f aca="false">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30" t="str">
        <f aca="false">IF($B41="","",$B41&amp;"|"&amp;$C41&amp;"|"&amp;$D41&amp;"|"&amp;$O41)</f>
        <v>SAMPLE-CMP-003|SAMPLE-O-010|later|Y</v>
      </c>
      <c r="S41" s="30" t="str">
        <f aca="false">IF($B41="","",$R41&amp;"|"&amp;N($E41))</f>
        <v>SAMPLE-CMP-003|SAMPLE-O-010|later|Y|46434</v>
      </c>
    </row>
    <row r="42" customFormat="false" ht="15" hidden="false" customHeight="false" outlineLevel="0" collapsed="false">
      <c r="A42" s="0" t="s">
        <v>864</v>
      </c>
      <c r="B42" s="0" t="s">
        <v>532</v>
      </c>
      <c r="C42" s="0" t="s">
        <v>678</v>
      </c>
      <c r="D42" s="10" t="s">
        <v>968</v>
      </c>
      <c r="E42" s="11" t="n">
        <v>46427</v>
      </c>
      <c r="F42" s="38" t="n">
        <v>0.541666666666667</v>
      </c>
      <c r="G42" s="10" t="s">
        <v>137</v>
      </c>
      <c r="H42" s="10" t="s">
        <v>1016</v>
      </c>
      <c r="I42" s="11" t="n">
        <v>46427</v>
      </c>
      <c r="J42" s="10" t="s">
        <v>486</v>
      </c>
      <c r="K42" s="10" t="s">
        <v>486</v>
      </c>
      <c r="M42" s="31" t="n">
        <f aca="false">IF($B42="","",IFERROR(IF(INDEX(campaigns!$BG$2:$BG$51,MATCH($B42,campaigns!$A$2:$A$51,0))="","",INDEX(campaigns!$BG$2:$BG$51,MATCH($B42,campaigns!$A$2:$A$51,0))),""))</f>
        <v>46427</v>
      </c>
      <c r="N42" s="30" t="n">
        <f aca="false">IF(OR($B42="",$E42="",$M42=""),"",IF($E42&lt;$M42,0,NETWORKDAYS($M42,$E42,calendar!$A$2:$A$80)))</f>
        <v>1</v>
      </c>
      <c r="O42" s="30" t="str">
        <f aca="false">IF($B42="","",IF(AND($K42="Y",OR($D42="later",$J42="Y")),"Y","N"))</f>
        <v>Y</v>
      </c>
      <c r="P42" s="30" t="str">
        <f aca="false">IF(OR($B42="",$E42=""),"",$B42&amp;"_"&amp;$C42&amp;"_"&amp;$D42&amp;"_"&amp;TEXT($E42,"yyyy-mm-dd")&amp;".jpg")</f>
        <v>SAMPLE-CMP-004_SAMPLE-O-001_placement_2027-02-09.jpg</v>
      </c>
      <c r="Q42" s="30" t="str">
        <f aca="false">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30" t="str">
        <f aca="false">IF($B42="","",$B42&amp;"|"&amp;$C42&amp;"|"&amp;$D42&amp;"|"&amp;$O42)</f>
        <v>SAMPLE-CMP-004|SAMPLE-O-001|placement|Y</v>
      </c>
      <c r="S42" s="30" t="str">
        <f aca="false">IF($B42="","",$R42&amp;"|"&amp;N($E42))</f>
        <v>SAMPLE-CMP-004|SAMPLE-O-001|placement|Y|46427</v>
      </c>
    </row>
    <row r="43" customFormat="false" ht="15" hidden="false" customHeight="false" outlineLevel="0" collapsed="false">
      <c r="A43" s="0" t="s">
        <v>865</v>
      </c>
      <c r="B43" s="0" t="s">
        <v>532</v>
      </c>
      <c r="C43" s="0" t="s">
        <v>678</v>
      </c>
      <c r="D43" s="10" t="s">
        <v>970</v>
      </c>
      <c r="E43" s="11" t="n">
        <v>46434</v>
      </c>
      <c r="F43" s="38" t="n">
        <v>0.625</v>
      </c>
      <c r="G43" s="10" t="s">
        <v>137</v>
      </c>
      <c r="H43" s="10" t="s">
        <v>1017</v>
      </c>
      <c r="I43" s="11" t="n">
        <v>46434</v>
      </c>
      <c r="J43" s="10" t="s">
        <v>486</v>
      </c>
      <c r="K43" s="10" t="s">
        <v>486</v>
      </c>
      <c r="M43" s="31" t="n">
        <f aca="false">IF($B43="","",IFERROR(IF(INDEX(campaigns!$BG$2:$BG$51,MATCH($B43,campaigns!$A$2:$A$51,0))="","",INDEX(campaigns!$BG$2:$BG$51,MATCH($B43,campaigns!$A$2:$A$51,0))),""))</f>
        <v>46427</v>
      </c>
      <c r="N43" s="30" t="n">
        <f aca="false">IF(OR($B43="",$E43="",$M43=""),"",IF($E43&lt;$M43,0,NETWORKDAYS($M43,$E43,calendar!$A$2:$A$80)))</f>
        <v>5</v>
      </c>
      <c r="O43" s="30" t="str">
        <f aca="false">IF($B43="","",IF(AND($K43="Y",OR($D43="later",$J43="Y")),"Y","N"))</f>
        <v>Y</v>
      </c>
      <c r="P43" s="30" t="str">
        <f aca="false">IF(OR($B43="",$E43=""),"",$B43&amp;"_"&amp;$C43&amp;"_"&amp;$D43&amp;"_"&amp;TEXT($E43,"yyyy-mm-dd")&amp;".jpg")</f>
        <v>SAMPLE-CMP-004_SAMPLE-O-001_later_2027-02-16.jpg</v>
      </c>
      <c r="Q43" s="30" t="str">
        <f aca="false">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30" t="str">
        <f aca="false">IF($B43="","",$B43&amp;"|"&amp;$C43&amp;"|"&amp;$D43&amp;"|"&amp;$O43)</f>
        <v>SAMPLE-CMP-004|SAMPLE-O-001|later|Y</v>
      </c>
      <c r="S43" s="30" t="str">
        <f aca="false">IF($B43="","",$R43&amp;"|"&amp;N($E43))</f>
        <v>SAMPLE-CMP-004|SAMPLE-O-001|later|Y|46434</v>
      </c>
    </row>
    <row r="44" customFormat="false" ht="15" hidden="false" customHeight="false" outlineLevel="0" collapsed="false">
      <c r="A44" s="0" t="s">
        <v>866</v>
      </c>
      <c r="B44" s="0" t="s">
        <v>532</v>
      </c>
      <c r="C44" s="0" t="s">
        <v>681</v>
      </c>
      <c r="D44" s="10" t="s">
        <v>968</v>
      </c>
      <c r="E44" s="11" t="n">
        <v>46427</v>
      </c>
      <c r="F44" s="38" t="n">
        <v>0.541666666666667</v>
      </c>
      <c r="G44" s="10" t="s">
        <v>137</v>
      </c>
      <c r="H44" s="10" t="s">
        <v>1018</v>
      </c>
      <c r="I44" s="11" t="n">
        <v>46427</v>
      </c>
      <c r="J44" s="10" t="s">
        <v>486</v>
      </c>
      <c r="K44" s="10" t="s">
        <v>486</v>
      </c>
      <c r="M44" s="31" t="n">
        <f aca="false">IF($B44="","",IFERROR(IF(INDEX(campaigns!$BG$2:$BG$51,MATCH($B44,campaigns!$A$2:$A$51,0))="","",INDEX(campaigns!$BG$2:$BG$51,MATCH($B44,campaigns!$A$2:$A$51,0))),""))</f>
        <v>46427</v>
      </c>
      <c r="N44" s="30" t="n">
        <f aca="false">IF(OR($B44="",$E44="",$M44=""),"",IF($E44&lt;$M44,0,NETWORKDAYS($M44,$E44,calendar!$A$2:$A$80)))</f>
        <v>1</v>
      </c>
      <c r="O44" s="30" t="str">
        <f aca="false">IF($B44="","",IF(AND($K44="Y",OR($D44="later",$J44="Y")),"Y","N"))</f>
        <v>Y</v>
      </c>
      <c r="P44" s="30" t="str">
        <f aca="false">IF(OR($B44="",$E44=""),"",$B44&amp;"_"&amp;$C44&amp;"_"&amp;$D44&amp;"_"&amp;TEXT($E44,"yyyy-mm-dd")&amp;".jpg")</f>
        <v>SAMPLE-CMP-004_SAMPLE-O-002_placement_2027-02-09.jpg</v>
      </c>
      <c r="Q44" s="30" t="str">
        <f aca="false">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30" t="str">
        <f aca="false">IF($B44="","",$B44&amp;"|"&amp;$C44&amp;"|"&amp;$D44&amp;"|"&amp;$O44)</f>
        <v>SAMPLE-CMP-004|SAMPLE-O-002|placement|Y</v>
      </c>
      <c r="S44" s="30" t="str">
        <f aca="false">IF($B44="","",$R44&amp;"|"&amp;N($E44))</f>
        <v>SAMPLE-CMP-004|SAMPLE-O-002|placement|Y|46427</v>
      </c>
    </row>
    <row r="45" customFormat="false" ht="15" hidden="false" customHeight="false" outlineLevel="0" collapsed="false">
      <c r="A45" s="0" t="s">
        <v>867</v>
      </c>
      <c r="B45" s="0" t="s">
        <v>532</v>
      </c>
      <c r="C45" s="0" t="s">
        <v>681</v>
      </c>
      <c r="D45" s="10" t="s">
        <v>970</v>
      </c>
      <c r="E45" s="11" t="n">
        <v>46434</v>
      </c>
      <c r="F45" s="38" t="n">
        <v>0.625</v>
      </c>
      <c r="G45" s="10" t="s">
        <v>137</v>
      </c>
      <c r="H45" s="10" t="s">
        <v>1019</v>
      </c>
      <c r="I45" s="11" t="n">
        <v>46434</v>
      </c>
      <c r="J45" s="10" t="s">
        <v>486</v>
      </c>
      <c r="K45" s="10" t="s">
        <v>486</v>
      </c>
      <c r="M45" s="31" t="n">
        <f aca="false">IF($B45="","",IFERROR(IF(INDEX(campaigns!$BG$2:$BG$51,MATCH($B45,campaigns!$A$2:$A$51,0))="","",INDEX(campaigns!$BG$2:$BG$51,MATCH($B45,campaigns!$A$2:$A$51,0))),""))</f>
        <v>46427</v>
      </c>
      <c r="N45" s="30" t="n">
        <f aca="false">IF(OR($B45="",$E45="",$M45=""),"",IF($E45&lt;$M45,0,NETWORKDAYS($M45,$E45,calendar!$A$2:$A$80)))</f>
        <v>5</v>
      </c>
      <c r="O45" s="30" t="str">
        <f aca="false">IF($B45="","",IF(AND($K45="Y",OR($D45="later",$J45="Y")),"Y","N"))</f>
        <v>Y</v>
      </c>
      <c r="P45" s="30" t="str">
        <f aca="false">IF(OR($B45="",$E45=""),"",$B45&amp;"_"&amp;$C45&amp;"_"&amp;$D45&amp;"_"&amp;TEXT($E45,"yyyy-mm-dd")&amp;".jpg")</f>
        <v>SAMPLE-CMP-004_SAMPLE-O-002_later_2027-02-16.jpg</v>
      </c>
      <c r="Q45" s="30" t="str">
        <f aca="false">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30" t="str">
        <f aca="false">IF($B45="","",$B45&amp;"|"&amp;$C45&amp;"|"&amp;$D45&amp;"|"&amp;$O45)</f>
        <v>SAMPLE-CMP-004|SAMPLE-O-002|later|Y</v>
      </c>
      <c r="S45" s="30" t="str">
        <f aca="false">IF($B45="","",$R45&amp;"|"&amp;N($E45))</f>
        <v>SAMPLE-CMP-004|SAMPLE-O-002|later|Y|46434</v>
      </c>
    </row>
    <row r="46" customFormat="false" ht="15" hidden="false" customHeight="false" outlineLevel="0" collapsed="false">
      <c r="A46" s="0" t="s">
        <v>868</v>
      </c>
      <c r="B46" s="0" t="s">
        <v>532</v>
      </c>
      <c r="C46" s="0" t="s">
        <v>683</v>
      </c>
      <c r="D46" s="10" t="s">
        <v>968</v>
      </c>
      <c r="E46" s="11" t="n">
        <v>46427</v>
      </c>
      <c r="F46" s="38" t="n">
        <v>0.541666666666667</v>
      </c>
      <c r="G46" s="10" t="s">
        <v>137</v>
      </c>
      <c r="H46" s="10" t="s">
        <v>1020</v>
      </c>
      <c r="I46" s="11" t="n">
        <v>46427</v>
      </c>
      <c r="J46" s="10" t="s">
        <v>486</v>
      </c>
      <c r="K46" s="10" t="s">
        <v>486</v>
      </c>
      <c r="M46" s="31" t="n">
        <f aca="false">IF($B46="","",IFERROR(IF(INDEX(campaigns!$BG$2:$BG$51,MATCH($B46,campaigns!$A$2:$A$51,0))="","",INDEX(campaigns!$BG$2:$BG$51,MATCH($B46,campaigns!$A$2:$A$51,0))),""))</f>
        <v>46427</v>
      </c>
      <c r="N46" s="30" t="n">
        <f aca="false">IF(OR($B46="",$E46="",$M46=""),"",IF($E46&lt;$M46,0,NETWORKDAYS($M46,$E46,calendar!$A$2:$A$80)))</f>
        <v>1</v>
      </c>
      <c r="O46" s="30" t="str">
        <f aca="false">IF($B46="","",IF(AND($K46="Y",OR($D46="later",$J46="Y")),"Y","N"))</f>
        <v>Y</v>
      </c>
      <c r="P46" s="30" t="str">
        <f aca="false">IF(OR($B46="",$E46=""),"",$B46&amp;"_"&amp;$C46&amp;"_"&amp;$D46&amp;"_"&amp;TEXT($E46,"yyyy-mm-dd")&amp;".jpg")</f>
        <v>SAMPLE-CMP-004_SAMPLE-O-003_placement_2027-02-09.jpg</v>
      </c>
      <c r="Q46" s="30" t="str">
        <f aca="false">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30" t="str">
        <f aca="false">IF($B46="","",$B46&amp;"|"&amp;$C46&amp;"|"&amp;$D46&amp;"|"&amp;$O46)</f>
        <v>SAMPLE-CMP-004|SAMPLE-O-003|placement|Y</v>
      </c>
      <c r="S46" s="30" t="str">
        <f aca="false">IF($B46="","",$R46&amp;"|"&amp;N($E46))</f>
        <v>SAMPLE-CMP-004|SAMPLE-O-003|placement|Y|46427</v>
      </c>
    </row>
    <row r="47" customFormat="false" ht="15" hidden="false" customHeight="false" outlineLevel="0" collapsed="false">
      <c r="A47" s="0" t="s">
        <v>869</v>
      </c>
      <c r="B47" s="0" t="s">
        <v>532</v>
      </c>
      <c r="C47" s="0" t="s">
        <v>683</v>
      </c>
      <c r="D47" s="10" t="s">
        <v>970</v>
      </c>
      <c r="E47" s="11" t="n">
        <v>46434</v>
      </c>
      <c r="F47" s="38" t="n">
        <v>0.625</v>
      </c>
      <c r="G47" s="10" t="s">
        <v>137</v>
      </c>
      <c r="H47" s="10" t="s">
        <v>1021</v>
      </c>
      <c r="I47" s="11" t="n">
        <v>46434</v>
      </c>
      <c r="J47" s="10" t="s">
        <v>486</v>
      </c>
      <c r="K47" s="10" t="s">
        <v>486</v>
      </c>
      <c r="M47" s="31" t="n">
        <f aca="false">IF($B47="","",IFERROR(IF(INDEX(campaigns!$BG$2:$BG$51,MATCH($B47,campaigns!$A$2:$A$51,0))="","",INDEX(campaigns!$BG$2:$BG$51,MATCH($B47,campaigns!$A$2:$A$51,0))),""))</f>
        <v>46427</v>
      </c>
      <c r="N47" s="30" t="n">
        <f aca="false">IF(OR($B47="",$E47="",$M47=""),"",IF($E47&lt;$M47,0,NETWORKDAYS($M47,$E47,calendar!$A$2:$A$80)))</f>
        <v>5</v>
      </c>
      <c r="O47" s="30" t="str">
        <f aca="false">IF($B47="","",IF(AND($K47="Y",OR($D47="later",$J47="Y")),"Y","N"))</f>
        <v>Y</v>
      </c>
      <c r="P47" s="30" t="str">
        <f aca="false">IF(OR($B47="",$E47=""),"",$B47&amp;"_"&amp;$C47&amp;"_"&amp;$D47&amp;"_"&amp;TEXT($E47,"yyyy-mm-dd")&amp;".jpg")</f>
        <v>SAMPLE-CMP-004_SAMPLE-O-003_later_2027-02-16.jpg</v>
      </c>
      <c r="Q47" s="30" t="str">
        <f aca="false">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30" t="str">
        <f aca="false">IF($B47="","",$B47&amp;"|"&amp;$C47&amp;"|"&amp;$D47&amp;"|"&amp;$O47)</f>
        <v>SAMPLE-CMP-004|SAMPLE-O-003|later|Y</v>
      </c>
      <c r="S47" s="30" t="str">
        <f aca="false">IF($B47="","",$R47&amp;"|"&amp;N($E47))</f>
        <v>SAMPLE-CMP-004|SAMPLE-O-003|later|Y|46434</v>
      </c>
    </row>
    <row r="48" customFormat="false" ht="15" hidden="false" customHeight="false" outlineLevel="0" collapsed="false">
      <c r="A48" s="0" t="s">
        <v>870</v>
      </c>
      <c r="B48" s="0" t="s">
        <v>532</v>
      </c>
      <c r="C48" s="0" t="s">
        <v>686</v>
      </c>
      <c r="D48" s="10" t="s">
        <v>968</v>
      </c>
      <c r="E48" s="11" t="n">
        <v>46428</v>
      </c>
      <c r="F48" s="38" t="n">
        <v>0.395833333333333</v>
      </c>
      <c r="G48" s="10" t="s">
        <v>137</v>
      </c>
      <c r="H48" s="10" t="s">
        <v>1022</v>
      </c>
      <c r="I48" s="11" t="n">
        <v>46428</v>
      </c>
      <c r="J48" s="10" t="s">
        <v>486</v>
      </c>
      <c r="K48" s="10" t="s">
        <v>486</v>
      </c>
      <c r="M48" s="31" t="n">
        <f aca="false">IF($B48="","",IFERROR(IF(INDEX(campaigns!$BG$2:$BG$51,MATCH($B48,campaigns!$A$2:$A$51,0))="","",INDEX(campaigns!$BG$2:$BG$51,MATCH($B48,campaigns!$A$2:$A$51,0))),""))</f>
        <v>46427</v>
      </c>
      <c r="N48" s="30" t="n">
        <f aca="false">IF(OR($B48="",$E48="",$M48=""),"",IF($E48&lt;$M48,0,NETWORKDAYS($M48,$E48,calendar!$A$2:$A$80)))</f>
        <v>2</v>
      </c>
      <c r="O48" s="30" t="str">
        <f aca="false">IF($B48="","",IF(AND($K48="Y",OR($D48="later",$J48="Y")),"Y","N"))</f>
        <v>Y</v>
      </c>
      <c r="P48" s="30" t="str">
        <f aca="false">IF(OR($B48="",$E48=""),"",$B48&amp;"_"&amp;$C48&amp;"_"&amp;$D48&amp;"_"&amp;TEXT($E48,"yyyy-mm-dd")&amp;".jpg")</f>
        <v>SAMPLE-CMP-004_SAMPLE-O-004_placement_2027-02-10.jpg</v>
      </c>
      <c r="Q48" s="30" t="str">
        <f aca="false">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30" t="str">
        <f aca="false">IF($B48="","",$B48&amp;"|"&amp;$C48&amp;"|"&amp;$D48&amp;"|"&amp;$O48)</f>
        <v>SAMPLE-CMP-004|SAMPLE-O-004|placement|Y</v>
      </c>
      <c r="S48" s="30" t="str">
        <f aca="false">IF($B48="","",$R48&amp;"|"&amp;N($E48))</f>
        <v>SAMPLE-CMP-004|SAMPLE-O-004|placement|Y|46428</v>
      </c>
    </row>
    <row r="49" customFormat="false" ht="15" hidden="false" customHeight="false" outlineLevel="0" collapsed="false">
      <c r="A49" s="0" t="s">
        <v>871</v>
      </c>
      <c r="B49" s="0" t="s">
        <v>532</v>
      </c>
      <c r="C49" s="0" t="s">
        <v>686</v>
      </c>
      <c r="D49" s="10" t="s">
        <v>970</v>
      </c>
      <c r="E49" s="11" t="n">
        <v>46434</v>
      </c>
      <c r="F49" s="38" t="n">
        <v>0.625</v>
      </c>
      <c r="G49" s="10" t="s">
        <v>137</v>
      </c>
      <c r="H49" s="10" t="s">
        <v>1023</v>
      </c>
      <c r="I49" s="11" t="n">
        <v>46434</v>
      </c>
      <c r="J49" s="10" t="s">
        <v>486</v>
      </c>
      <c r="K49" s="10" t="s">
        <v>486</v>
      </c>
      <c r="M49" s="31" t="n">
        <f aca="false">IF($B49="","",IFERROR(IF(INDEX(campaigns!$BG$2:$BG$51,MATCH($B49,campaigns!$A$2:$A$51,0))="","",INDEX(campaigns!$BG$2:$BG$51,MATCH($B49,campaigns!$A$2:$A$51,0))),""))</f>
        <v>46427</v>
      </c>
      <c r="N49" s="30" t="n">
        <f aca="false">IF(OR($B49="",$E49="",$M49=""),"",IF($E49&lt;$M49,0,NETWORKDAYS($M49,$E49,calendar!$A$2:$A$80)))</f>
        <v>5</v>
      </c>
      <c r="O49" s="30" t="str">
        <f aca="false">IF($B49="","",IF(AND($K49="Y",OR($D49="later",$J49="Y")),"Y","N"))</f>
        <v>Y</v>
      </c>
      <c r="P49" s="30" t="str">
        <f aca="false">IF(OR($B49="",$E49=""),"",$B49&amp;"_"&amp;$C49&amp;"_"&amp;$D49&amp;"_"&amp;TEXT($E49,"yyyy-mm-dd")&amp;".jpg")</f>
        <v>SAMPLE-CMP-004_SAMPLE-O-004_later_2027-02-16.jpg</v>
      </c>
      <c r="Q49" s="30" t="str">
        <f aca="false">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30" t="str">
        <f aca="false">IF($B49="","",$B49&amp;"|"&amp;$C49&amp;"|"&amp;$D49&amp;"|"&amp;$O49)</f>
        <v>SAMPLE-CMP-004|SAMPLE-O-004|later|Y</v>
      </c>
      <c r="S49" s="30" t="str">
        <f aca="false">IF($B49="","",$R49&amp;"|"&amp;N($E49))</f>
        <v>SAMPLE-CMP-004|SAMPLE-O-004|later|Y|46434</v>
      </c>
    </row>
    <row r="50" customFormat="false" ht="15" hidden="false" customHeight="false" outlineLevel="0" collapsed="false">
      <c r="A50" s="0" t="s">
        <v>872</v>
      </c>
      <c r="B50" s="0" t="s">
        <v>532</v>
      </c>
      <c r="C50" s="0" t="s">
        <v>688</v>
      </c>
      <c r="D50" s="10" t="s">
        <v>968</v>
      </c>
      <c r="E50" s="11" t="n">
        <v>46427</v>
      </c>
      <c r="F50" s="38" t="n">
        <v>0.541666666666667</v>
      </c>
      <c r="G50" s="10" t="s">
        <v>137</v>
      </c>
      <c r="H50" s="10" t="s">
        <v>1024</v>
      </c>
      <c r="I50" s="11" t="n">
        <v>46427</v>
      </c>
      <c r="J50" s="10" t="s">
        <v>486</v>
      </c>
      <c r="K50" s="10" t="s">
        <v>486</v>
      </c>
      <c r="M50" s="31" t="n">
        <f aca="false">IF($B50="","",IFERROR(IF(INDEX(campaigns!$BG$2:$BG$51,MATCH($B50,campaigns!$A$2:$A$51,0))="","",INDEX(campaigns!$BG$2:$BG$51,MATCH($B50,campaigns!$A$2:$A$51,0))),""))</f>
        <v>46427</v>
      </c>
      <c r="N50" s="30" t="n">
        <f aca="false">IF(OR($B50="",$E50="",$M50=""),"",IF($E50&lt;$M50,0,NETWORKDAYS($M50,$E50,calendar!$A$2:$A$80)))</f>
        <v>1</v>
      </c>
      <c r="O50" s="30" t="str">
        <f aca="false">IF($B50="","",IF(AND($K50="Y",OR($D50="later",$J50="Y")),"Y","N"))</f>
        <v>Y</v>
      </c>
      <c r="P50" s="30" t="str">
        <f aca="false">IF(OR($B50="",$E50=""),"",$B50&amp;"_"&amp;$C50&amp;"_"&amp;$D50&amp;"_"&amp;TEXT($E50,"yyyy-mm-dd")&amp;".jpg")</f>
        <v>SAMPLE-CMP-004_SAMPLE-O-005_placement_2027-02-09.jpg</v>
      </c>
      <c r="Q50" s="30" t="str">
        <f aca="false">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30" t="str">
        <f aca="false">IF($B50="","",$B50&amp;"|"&amp;$C50&amp;"|"&amp;$D50&amp;"|"&amp;$O50)</f>
        <v>SAMPLE-CMP-004|SAMPLE-O-005|placement|Y</v>
      </c>
      <c r="S50" s="30" t="str">
        <f aca="false">IF($B50="","",$R50&amp;"|"&amp;N($E50))</f>
        <v>SAMPLE-CMP-004|SAMPLE-O-005|placement|Y|46427</v>
      </c>
    </row>
    <row r="51" customFormat="false" ht="15" hidden="false" customHeight="false" outlineLevel="0" collapsed="false">
      <c r="A51" s="0" t="s">
        <v>873</v>
      </c>
      <c r="B51" s="0" t="s">
        <v>532</v>
      </c>
      <c r="C51" s="0" t="s">
        <v>688</v>
      </c>
      <c r="D51" s="10" t="s">
        <v>970</v>
      </c>
      <c r="E51" s="11" t="n">
        <v>46434</v>
      </c>
      <c r="F51" s="38" t="n">
        <v>0.625</v>
      </c>
      <c r="G51" s="10" t="s">
        <v>137</v>
      </c>
      <c r="H51" s="10" t="s">
        <v>1025</v>
      </c>
      <c r="I51" s="11" t="n">
        <v>46434</v>
      </c>
      <c r="J51" s="10" t="s">
        <v>486</v>
      </c>
      <c r="K51" s="10" t="s">
        <v>486</v>
      </c>
      <c r="M51" s="31" t="n">
        <f aca="false">IF($B51="","",IFERROR(IF(INDEX(campaigns!$BG$2:$BG$51,MATCH($B51,campaigns!$A$2:$A$51,0))="","",INDEX(campaigns!$BG$2:$BG$51,MATCH($B51,campaigns!$A$2:$A$51,0))),""))</f>
        <v>46427</v>
      </c>
      <c r="N51" s="30" t="n">
        <f aca="false">IF(OR($B51="",$E51="",$M51=""),"",IF($E51&lt;$M51,0,NETWORKDAYS($M51,$E51,calendar!$A$2:$A$80)))</f>
        <v>5</v>
      </c>
      <c r="O51" s="30" t="str">
        <f aca="false">IF($B51="","",IF(AND($K51="Y",OR($D51="later",$J51="Y")),"Y","N"))</f>
        <v>Y</v>
      </c>
      <c r="P51" s="30" t="str">
        <f aca="false">IF(OR($B51="",$E51=""),"",$B51&amp;"_"&amp;$C51&amp;"_"&amp;$D51&amp;"_"&amp;TEXT($E51,"yyyy-mm-dd")&amp;".jpg")</f>
        <v>SAMPLE-CMP-004_SAMPLE-O-005_later_2027-02-16.jpg</v>
      </c>
      <c r="Q51" s="30" t="str">
        <f aca="false">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30" t="str">
        <f aca="false">IF($B51="","",$B51&amp;"|"&amp;$C51&amp;"|"&amp;$D51&amp;"|"&amp;$O51)</f>
        <v>SAMPLE-CMP-004|SAMPLE-O-005|later|Y</v>
      </c>
      <c r="S51" s="30" t="str">
        <f aca="false">IF($B51="","",$R51&amp;"|"&amp;N($E51))</f>
        <v>SAMPLE-CMP-004|SAMPLE-O-005|later|Y|46434</v>
      </c>
    </row>
    <row r="52" customFormat="false" ht="15" hidden="false" customHeight="false" outlineLevel="0" collapsed="false">
      <c r="A52" s="0" t="s">
        <v>874</v>
      </c>
      <c r="B52" s="0" t="s">
        <v>532</v>
      </c>
      <c r="C52" s="0" t="s">
        <v>690</v>
      </c>
      <c r="D52" s="10" t="s">
        <v>968</v>
      </c>
      <c r="E52" s="11" t="n">
        <v>46427</v>
      </c>
      <c r="F52" s="38" t="n">
        <v>0.541666666666667</v>
      </c>
      <c r="G52" s="10" t="s">
        <v>137</v>
      </c>
      <c r="H52" s="10" t="s">
        <v>1026</v>
      </c>
      <c r="I52" s="11" t="n">
        <v>46427</v>
      </c>
      <c r="J52" s="10" t="s">
        <v>486</v>
      </c>
      <c r="K52" s="10" t="s">
        <v>486</v>
      </c>
      <c r="M52" s="31" t="n">
        <f aca="false">IF($B52="","",IFERROR(IF(INDEX(campaigns!$BG$2:$BG$51,MATCH($B52,campaigns!$A$2:$A$51,0))="","",INDEX(campaigns!$BG$2:$BG$51,MATCH($B52,campaigns!$A$2:$A$51,0))),""))</f>
        <v>46427</v>
      </c>
      <c r="N52" s="30" t="n">
        <f aca="false">IF(OR($B52="",$E52="",$M52=""),"",IF($E52&lt;$M52,0,NETWORKDAYS($M52,$E52,calendar!$A$2:$A$80)))</f>
        <v>1</v>
      </c>
      <c r="O52" s="30" t="str">
        <f aca="false">IF($B52="","",IF(AND($K52="Y",OR($D52="later",$J52="Y")),"Y","N"))</f>
        <v>Y</v>
      </c>
      <c r="P52" s="30" t="str">
        <f aca="false">IF(OR($B52="",$E52=""),"",$B52&amp;"_"&amp;$C52&amp;"_"&amp;$D52&amp;"_"&amp;TEXT($E52,"yyyy-mm-dd")&amp;".jpg")</f>
        <v>SAMPLE-CMP-004_SAMPLE-O-006_placement_2027-02-09.jpg</v>
      </c>
      <c r="Q52" s="30" t="str">
        <f aca="false">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30" t="str">
        <f aca="false">IF($B52="","",$B52&amp;"|"&amp;$C52&amp;"|"&amp;$D52&amp;"|"&amp;$O52)</f>
        <v>SAMPLE-CMP-004|SAMPLE-O-006|placement|Y</v>
      </c>
      <c r="S52" s="30" t="str">
        <f aca="false">IF($B52="","",$R52&amp;"|"&amp;N($E52))</f>
        <v>SAMPLE-CMP-004|SAMPLE-O-006|placement|Y|46427</v>
      </c>
    </row>
    <row r="53" customFormat="false" ht="15" hidden="false" customHeight="false" outlineLevel="0" collapsed="false">
      <c r="A53" s="0" t="s">
        <v>875</v>
      </c>
      <c r="B53" s="0" t="s">
        <v>532</v>
      </c>
      <c r="C53" s="0" t="s">
        <v>690</v>
      </c>
      <c r="D53" s="10" t="s">
        <v>970</v>
      </c>
      <c r="E53" s="11" t="n">
        <v>46434</v>
      </c>
      <c r="F53" s="38" t="n">
        <v>0.625</v>
      </c>
      <c r="G53" s="10" t="s">
        <v>137</v>
      </c>
      <c r="H53" s="10" t="s">
        <v>1027</v>
      </c>
      <c r="I53" s="11" t="n">
        <v>46434</v>
      </c>
      <c r="J53" s="10" t="s">
        <v>486</v>
      </c>
      <c r="K53" s="10" t="s">
        <v>486</v>
      </c>
      <c r="M53" s="31" t="n">
        <f aca="false">IF($B53="","",IFERROR(IF(INDEX(campaigns!$BG$2:$BG$51,MATCH($B53,campaigns!$A$2:$A$51,0))="","",INDEX(campaigns!$BG$2:$BG$51,MATCH($B53,campaigns!$A$2:$A$51,0))),""))</f>
        <v>46427</v>
      </c>
      <c r="N53" s="30" t="n">
        <f aca="false">IF(OR($B53="",$E53="",$M53=""),"",IF($E53&lt;$M53,0,NETWORKDAYS($M53,$E53,calendar!$A$2:$A$80)))</f>
        <v>5</v>
      </c>
      <c r="O53" s="30" t="str">
        <f aca="false">IF($B53="","",IF(AND($K53="Y",OR($D53="later",$J53="Y")),"Y","N"))</f>
        <v>Y</v>
      </c>
      <c r="P53" s="30" t="str">
        <f aca="false">IF(OR($B53="",$E53=""),"",$B53&amp;"_"&amp;$C53&amp;"_"&amp;$D53&amp;"_"&amp;TEXT($E53,"yyyy-mm-dd")&amp;".jpg")</f>
        <v>SAMPLE-CMP-004_SAMPLE-O-006_later_2027-02-16.jpg</v>
      </c>
      <c r="Q53" s="30" t="str">
        <f aca="false">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30" t="str">
        <f aca="false">IF($B53="","",$B53&amp;"|"&amp;$C53&amp;"|"&amp;$D53&amp;"|"&amp;$O53)</f>
        <v>SAMPLE-CMP-004|SAMPLE-O-006|later|Y</v>
      </c>
      <c r="S53" s="30" t="str">
        <f aca="false">IF($B53="","",$R53&amp;"|"&amp;N($E53))</f>
        <v>SAMPLE-CMP-004|SAMPLE-O-006|later|Y|46434</v>
      </c>
    </row>
    <row r="54" customFormat="false" ht="15" hidden="false" customHeight="false" outlineLevel="0" collapsed="false">
      <c r="A54" s="0" t="s">
        <v>876</v>
      </c>
      <c r="B54" s="0" t="s">
        <v>532</v>
      </c>
      <c r="C54" s="0" t="s">
        <v>694</v>
      </c>
      <c r="D54" s="10" t="s">
        <v>968</v>
      </c>
      <c r="E54" s="11" t="n">
        <v>46427</v>
      </c>
      <c r="F54" s="38" t="n">
        <v>0.541666666666667</v>
      </c>
      <c r="G54" s="10" t="s">
        <v>137</v>
      </c>
      <c r="H54" s="10" t="s">
        <v>1028</v>
      </c>
      <c r="I54" s="11" t="n">
        <v>46427</v>
      </c>
      <c r="J54" s="10" t="s">
        <v>486</v>
      </c>
      <c r="K54" s="10" t="s">
        <v>486</v>
      </c>
      <c r="M54" s="31" t="n">
        <f aca="false">IF($B54="","",IFERROR(IF(INDEX(campaigns!$BG$2:$BG$51,MATCH($B54,campaigns!$A$2:$A$51,0))="","",INDEX(campaigns!$BG$2:$BG$51,MATCH($B54,campaigns!$A$2:$A$51,0))),""))</f>
        <v>46427</v>
      </c>
      <c r="N54" s="30" t="n">
        <f aca="false">IF(OR($B54="",$E54="",$M54=""),"",IF($E54&lt;$M54,0,NETWORKDAYS($M54,$E54,calendar!$A$2:$A$80)))</f>
        <v>1</v>
      </c>
      <c r="O54" s="30" t="str">
        <f aca="false">IF($B54="","",IF(AND($K54="Y",OR($D54="later",$J54="Y")),"Y","N"))</f>
        <v>Y</v>
      </c>
      <c r="P54" s="30" t="str">
        <f aca="false">IF(OR($B54="",$E54=""),"",$B54&amp;"_"&amp;$C54&amp;"_"&amp;$D54&amp;"_"&amp;TEXT($E54,"yyyy-mm-dd")&amp;".jpg")</f>
        <v>SAMPLE-CMP-004_SAMPLE-O-008_placement_2027-02-09.jpg</v>
      </c>
      <c r="Q54" s="30" t="str">
        <f aca="false">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30" t="str">
        <f aca="false">IF($B54="","",$B54&amp;"|"&amp;$C54&amp;"|"&amp;$D54&amp;"|"&amp;$O54)</f>
        <v>SAMPLE-CMP-004|SAMPLE-O-008|placement|Y</v>
      </c>
      <c r="S54" s="30" t="str">
        <f aca="false">IF($B54="","",$R54&amp;"|"&amp;N($E54))</f>
        <v>SAMPLE-CMP-004|SAMPLE-O-008|placement|Y|46427</v>
      </c>
    </row>
    <row r="55" customFormat="false" ht="15" hidden="false" customHeight="false" outlineLevel="0" collapsed="false">
      <c r="A55" s="0" t="s">
        <v>877</v>
      </c>
      <c r="B55" s="0" t="s">
        <v>532</v>
      </c>
      <c r="C55" s="0" t="s">
        <v>694</v>
      </c>
      <c r="D55" s="10" t="s">
        <v>970</v>
      </c>
      <c r="E55" s="11" t="n">
        <v>46434</v>
      </c>
      <c r="F55" s="38" t="n">
        <v>0.625</v>
      </c>
      <c r="G55" s="10" t="s">
        <v>137</v>
      </c>
      <c r="H55" s="10" t="s">
        <v>1029</v>
      </c>
      <c r="I55" s="11" t="n">
        <v>46434</v>
      </c>
      <c r="J55" s="10" t="s">
        <v>486</v>
      </c>
      <c r="K55" s="10" t="s">
        <v>486</v>
      </c>
      <c r="M55" s="31" t="n">
        <f aca="false">IF($B55="","",IFERROR(IF(INDEX(campaigns!$BG$2:$BG$51,MATCH($B55,campaigns!$A$2:$A$51,0))="","",INDEX(campaigns!$BG$2:$BG$51,MATCH($B55,campaigns!$A$2:$A$51,0))),""))</f>
        <v>46427</v>
      </c>
      <c r="N55" s="30" t="n">
        <f aca="false">IF(OR($B55="",$E55="",$M55=""),"",IF($E55&lt;$M55,0,NETWORKDAYS($M55,$E55,calendar!$A$2:$A$80)))</f>
        <v>5</v>
      </c>
      <c r="O55" s="30" t="str">
        <f aca="false">IF($B55="","",IF(AND($K55="Y",OR($D55="later",$J55="Y")),"Y","N"))</f>
        <v>Y</v>
      </c>
      <c r="P55" s="30" t="str">
        <f aca="false">IF(OR($B55="",$E55=""),"",$B55&amp;"_"&amp;$C55&amp;"_"&amp;$D55&amp;"_"&amp;TEXT($E55,"yyyy-mm-dd")&amp;".jpg")</f>
        <v>SAMPLE-CMP-004_SAMPLE-O-008_later_2027-02-16.jpg</v>
      </c>
      <c r="Q55" s="30" t="str">
        <f aca="false">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30" t="str">
        <f aca="false">IF($B55="","",$B55&amp;"|"&amp;$C55&amp;"|"&amp;$D55&amp;"|"&amp;$O55)</f>
        <v>SAMPLE-CMP-004|SAMPLE-O-008|later|Y</v>
      </c>
      <c r="S55" s="30" t="str">
        <f aca="false">IF($B55="","",$R55&amp;"|"&amp;N($E55))</f>
        <v>SAMPLE-CMP-004|SAMPLE-O-008|later|Y|46434</v>
      </c>
    </row>
    <row r="56" customFormat="false" ht="15" hidden="false" customHeight="false" outlineLevel="0" collapsed="false">
      <c r="A56" s="0" t="s">
        <v>878</v>
      </c>
      <c r="B56" s="0" t="s">
        <v>532</v>
      </c>
      <c r="C56" s="0" t="s">
        <v>696</v>
      </c>
      <c r="D56" s="10" t="s">
        <v>968</v>
      </c>
      <c r="E56" s="11" t="n">
        <v>46428</v>
      </c>
      <c r="F56" s="38" t="n">
        <v>0.381944444444444</v>
      </c>
      <c r="G56" s="10" t="s">
        <v>137</v>
      </c>
      <c r="H56" s="10" t="s">
        <v>1030</v>
      </c>
      <c r="I56" s="11" t="n">
        <v>46428</v>
      </c>
      <c r="J56" s="10" t="s">
        <v>486</v>
      </c>
      <c r="K56" s="10" t="s">
        <v>486</v>
      </c>
      <c r="M56" s="31" t="n">
        <f aca="false">IF($B56="","",IFERROR(IF(INDEX(campaigns!$BG$2:$BG$51,MATCH($B56,campaigns!$A$2:$A$51,0))="","",INDEX(campaigns!$BG$2:$BG$51,MATCH($B56,campaigns!$A$2:$A$51,0))),""))</f>
        <v>46427</v>
      </c>
      <c r="N56" s="30" t="n">
        <f aca="false">IF(OR($B56="",$E56="",$M56=""),"",IF($E56&lt;$M56,0,NETWORKDAYS($M56,$E56,calendar!$A$2:$A$80)))</f>
        <v>2</v>
      </c>
      <c r="O56" s="30" t="str">
        <f aca="false">IF($B56="","",IF(AND($K56="Y",OR($D56="later",$J56="Y")),"Y","N"))</f>
        <v>Y</v>
      </c>
      <c r="P56" s="30" t="str">
        <f aca="false">IF(OR($B56="",$E56=""),"",$B56&amp;"_"&amp;$C56&amp;"_"&amp;$D56&amp;"_"&amp;TEXT($E56,"yyyy-mm-dd")&amp;".jpg")</f>
        <v>SAMPLE-CMP-004_SAMPLE-O-009_placement_2027-02-10.jpg</v>
      </c>
      <c r="Q56" s="30" t="str">
        <f aca="false">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30" t="str">
        <f aca="false">IF($B56="","",$B56&amp;"|"&amp;$C56&amp;"|"&amp;$D56&amp;"|"&amp;$O56)</f>
        <v>SAMPLE-CMP-004|SAMPLE-O-009|placement|Y</v>
      </c>
      <c r="S56" s="30" t="str">
        <f aca="false">IF($B56="","",$R56&amp;"|"&amp;N($E56))</f>
        <v>SAMPLE-CMP-004|SAMPLE-O-009|placement|Y|46428</v>
      </c>
    </row>
    <row r="57" customFormat="false" ht="15" hidden="false" customHeight="false" outlineLevel="0" collapsed="false">
      <c r="A57" s="0" t="s">
        <v>879</v>
      </c>
      <c r="B57" s="0" t="s">
        <v>532</v>
      </c>
      <c r="C57" s="0" t="s">
        <v>696</v>
      </c>
      <c r="D57" s="10" t="s">
        <v>970</v>
      </c>
      <c r="E57" s="11" t="n">
        <v>46434</v>
      </c>
      <c r="F57" s="38" t="n">
        <v>0.625</v>
      </c>
      <c r="G57" s="10" t="s">
        <v>137</v>
      </c>
      <c r="H57" s="10" t="s">
        <v>1031</v>
      </c>
      <c r="I57" s="11" t="n">
        <v>46434</v>
      </c>
      <c r="J57" s="10" t="s">
        <v>486</v>
      </c>
      <c r="K57" s="10" t="s">
        <v>486</v>
      </c>
      <c r="M57" s="31" t="n">
        <f aca="false">IF($B57="","",IFERROR(IF(INDEX(campaigns!$BG$2:$BG$51,MATCH($B57,campaigns!$A$2:$A$51,0))="","",INDEX(campaigns!$BG$2:$BG$51,MATCH($B57,campaigns!$A$2:$A$51,0))),""))</f>
        <v>46427</v>
      </c>
      <c r="N57" s="30" t="n">
        <f aca="false">IF(OR($B57="",$E57="",$M57=""),"",IF($E57&lt;$M57,0,NETWORKDAYS($M57,$E57,calendar!$A$2:$A$80)))</f>
        <v>5</v>
      </c>
      <c r="O57" s="30" t="str">
        <f aca="false">IF($B57="","",IF(AND($K57="Y",OR($D57="later",$J57="Y")),"Y","N"))</f>
        <v>Y</v>
      </c>
      <c r="P57" s="30" t="str">
        <f aca="false">IF(OR($B57="",$E57=""),"",$B57&amp;"_"&amp;$C57&amp;"_"&amp;$D57&amp;"_"&amp;TEXT($E57,"yyyy-mm-dd")&amp;".jpg")</f>
        <v>SAMPLE-CMP-004_SAMPLE-O-009_later_2027-02-16.jpg</v>
      </c>
      <c r="Q57" s="30" t="str">
        <f aca="false">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30" t="str">
        <f aca="false">IF($B57="","",$B57&amp;"|"&amp;$C57&amp;"|"&amp;$D57&amp;"|"&amp;$O57)</f>
        <v>SAMPLE-CMP-004|SAMPLE-O-009|later|Y</v>
      </c>
      <c r="S57" s="30" t="str">
        <f aca="false">IF($B57="","",$R57&amp;"|"&amp;N($E57))</f>
        <v>SAMPLE-CMP-004|SAMPLE-O-009|later|Y|46434</v>
      </c>
    </row>
    <row r="58" customFormat="false" ht="15" hidden="false" customHeight="false" outlineLevel="0" collapsed="false">
      <c r="A58" s="0" t="s">
        <v>880</v>
      </c>
      <c r="B58" s="0" t="s">
        <v>532</v>
      </c>
      <c r="C58" s="0" t="s">
        <v>698</v>
      </c>
      <c r="D58" s="10" t="s">
        <v>968</v>
      </c>
      <c r="E58" s="11" t="n">
        <v>46427</v>
      </c>
      <c r="F58" s="38" t="n">
        <v>0.541666666666667</v>
      </c>
      <c r="G58" s="10" t="s">
        <v>137</v>
      </c>
      <c r="H58" s="10" t="s">
        <v>1032</v>
      </c>
      <c r="I58" s="11" t="n">
        <v>46427</v>
      </c>
      <c r="J58" s="10" t="s">
        <v>486</v>
      </c>
      <c r="K58" s="10" t="s">
        <v>486</v>
      </c>
      <c r="M58" s="31" t="n">
        <f aca="false">IF($B58="","",IFERROR(IF(INDEX(campaigns!$BG$2:$BG$51,MATCH($B58,campaigns!$A$2:$A$51,0))="","",INDEX(campaigns!$BG$2:$BG$51,MATCH($B58,campaigns!$A$2:$A$51,0))),""))</f>
        <v>46427</v>
      </c>
      <c r="N58" s="30" t="n">
        <f aca="false">IF(OR($B58="",$E58="",$M58=""),"",IF($E58&lt;$M58,0,NETWORKDAYS($M58,$E58,calendar!$A$2:$A$80)))</f>
        <v>1</v>
      </c>
      <c r="O58" s="30" t="str">
        <f aca="false">IF($B58="","",IF(AND($K58="Y",OR($D58="later",$J58="Y")),"Y","N"))</f>
        <v>Y</v>
      </c>
      <c r="P58" s="30" t="str">
        <f aca="false">IF(OR($B58="",$E58=""),"",$B58&amp;"_"&amp;$C58&amp;"_"&amp;$D58&amp;"_"&amp;TEXT($E58,"yyyy-mm-dd")&amp;".jpg")</f>
        <v>SAMPLE-CMP-004_SAMPLE-O-010_placement_2027-02-09.jpg</v>
      </c>
      <c r="Q58" s="30" t="str">
        <f aca="false">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30" t="str">
        <f aca="false">IF($B58="","",$B58&amp;"|"&amp;$C58&amp;"|"&amp;$D58&amp;"|"&amp;$O58)</f>
        <v>SAMPLE-CMP-004|SAMPLE-O-010|placement|Y</v>
      </c>
      <c r="S58" s="30" t="str">
        <f aca="false">IF($B58="","",$R58&amp;"|"&amp;N($E58))</f>
        <v>SAMPLE-CMP-004|SAMPLE-O-010|placement|Y|46427</v>
      </c>
    </row>
    <row r="59" customFormat="false" ht="15" hidden="false" customHeight="false" outlineLevel="0" collapsed="false">
      <c r="A59" s="0" t="s">
        <v>881</v>
      </c>
      <c r="B59" s="0" t="s">
        <v>532</v>
      </c>
      <c r="C59" s="0" t="s">
        <v>698</v>
      </c>
      <c r="D59" s="10" t="s">
        <v>970</v>
      </c>
      <c r="E59" s="11" t="n">
        <v>46434</v>
      </c>
      <c r="F59" s="38" t="n">
        <v>0.625</v>
      </c>
      <c r="G59" s="10" t="s">
        <v>137</v>
      </c>
      <c r="H59" s="10" t="s">
        <v>1033</v>
      </c>
      <c r="I59" s="11" t="n">
        <v>46434</v>
      </c>
      <c r="J59" s="10" t="s">
        <v>486</v>
      </c>
      <c r="K59" s="10" t="s">
        <v>486</v>
      </c>
      <c r="M59" s="31" t="n">
        <f aca="false">IF($B59="","",IFERROR(IF(INDEX(campaigns!$BG$2:$BG$51,MATCH($B59,campaigns!$A$2:$A$51,0))="","",INDEX(campaigns!$BG$2:$BG$51,MATCH($B59,campaigns!$A$2:$A$51,0))),""))</f>
        <v>46427</v>
      </c>
      <c r="N59" s="30" t="n">
        <f aca="false">IF(OR($B59="",$E59="",$M59=""),"",IF($E59&lt;$M59,0,NETWORKDAYS($M59,$E59,calendar!$A$2:$A$80)))</f>
        <v>5</v>
      </c>
      <c r="O59" s="30" t="str">
        <f aca="false">IF($B59="","",IF(AND($K59="Y",OR($D59="later",$J59="Y")),"Y","N"))</f>
        <v>Y</v>
      </c>
      <c r="P59" s="30" t="str">
        <f aca="false">IF(OR($B59="",$E59=""),"",$B59&amp;"_"&amp;$C59&amp;"_"&amp;$D59&amp;"_"&amp;TEXT($E59,"yyyy-mm-dd")&amp;".jpg")</f>
        <v>SAMPLE-CMP-004_SAMPLE-O-010_later_2027-02-16.jpg</v>
      </c>
      <c r="Q59" s="30" t="str">
        <f aca="false">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30" t="str">
        <f aca="false">IF($B59="","",$B59&amp;"|"&amp;$C59&amp;"|"&amp;$D59&amp;"|"&amp;$O59)</f>
        <v>SAMPLE-CMP-004|SAMPLE-O-010|later|Y</v>
      </c>
      <c r="S59" s="30" t="str">
        <f aca="false">IF($B59="","",$R59&amp;"|"&amp;N($E59))</f>
        <v>SAMPLE-CMP-004|SAMPLE-O-010|later|Y|46434</v>
      </c>
    </row>
    <row r="60" customFormat="false" ht="15" hidden="false" customHeight="false" outlineLevel="0" collapsed="false">
      <c r="A60" s="0" t="s">
        <v>882</v>
      </c>
      <c r="B60" s="0" t="s">
        <v>549</v>
      </c>
      <c r="C60" s="0" t="s">
        <v>678</v>
      </c>
      <c r="D60" s="10" t="s">
        <v>968</v>
      </c>
      <c r="E60" s="11" t="n">
        <v>46427</v>
      </c>
      <c r="F60" s="38" t="n">
        <v>0.541666666666667</v>
      </c>
      <c r="G60" s="10" t="s">
        <v>137</v>
      </c>
      <c r="H60" s="10" t="s">
        <v>1034</v>
      </c>
      <c r="I60" s="11" t="n">
        <v>46427</v>
      </c>
      <c r="J60" s="10" t="s">
        <v>486</v>
      </c>
      <c r="K60" s="10" t="s">
        <v>486</v>
      </c>
      <c r="M60" s="31" t="n">
        <f aca="false">IF($B60="","",IFERROR(IF(INDEX(campaigns!$BG$2:$BG$51,MATCH($B60,campaigns!$A$2:$A$51,0))="","",INDEX(campaigns!$BG$2:$BG$51,MATCH($B60,campaigns!$A$2:$A$51,0))),""))</f>
        <v>46427</v>
      </c>
      <c r="N60" s="30" t="n">
        <f aca="false">IF(OR($B60="",$E60="",$M60=""),"",IF($E60&lt;$M60,0,NETWORKDAYS($M60,$E60,calendar!$A$2:$A$80)))</f>
        <v>1</v>
      </c>
      <c r="O60" s="30" t="str">
        <f aca="false">IF($B60="","",IF(AND($K60="Y",OR($D60="later",$J60="Y")),"Y","N"))</f>
        <v>Y</v>
      </c>
      <c r="P60" s="30" t="str">
        <f aca="false">IF(OR($B60="",$E60=""),"",$B60&amp;"_"&amp;$C60&amp;"_"&amp;$D60&amp;"_"&amp;TEXT($E60,"yyyy-mm-dd")&amp;".jpg")</f>
        <v>SAMPLE-CMP-005_SAMPLE-O-001_placement_2027-02-09.jpg</v>
      </c>
      <c r="Q60" s="30" t="str">
        <f aca="false">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30" t="str">
        <f aca="false">IF($B60="","",$B60&amp;"|"&amp;$C60&amp;"|"&amp;$D60&amp;"|"&amp;$O60)</f>
        <v>SAMPLE-CMP-005|SAMPLE-O-001|placement|Y</v>
      </c>
      <c r="S60" s="30" t="str">
        <f aca="false">IF($B60="","",$R60&amp;"|"&amp;N($E60))</f>
        <v>SAMPLE-CMP-005|SAMPLE-O-001|placement|Y|46427</v>
      </c>
    </row>
    <row r="61" customFormat="false" ht="15" hidden="false" customHeight="false" outlineLevel="0" collapsed="false">
      <c r="A61" s="0" t="s">
        <v>883</v>
      </c>
      <c r="B61" s="0" t="s">
        <v>549</v>
      </c>
      <c r="C61" s="0" t="s">
        <v>678</v>
      </c>
      <c r="D61" s="10" t="s">
        <v>970</v>
      </c>
      <c r="E61" s="11" t="n">
        <v>46434</v>
      </c>
      <c r="F61" s="38" t="n">
        <v>0.625</v>
      </c>
      <c r="G61" s="10" t="s">
        <v>137</v>
      </c>
      <c r="H61" s="10" t="s">
        <v>1035</v>
      </c>
      <c r="I61" s="11" t="n">
        <v>46434</v>
      </c>
      <c r="J61" s="10" t="s">
        <v>486</v>
      </c>
      <c r="K61" s="10" t="s">
        <v>486</v>
      </c>
      <c r="M61" s="31" t="n">
        <f aca="false">IF($B61="","",IFERROR(IF(INDEX(campaigns!$BG$2:$BG$51,MATCH($B61,campaigns!$A$2:$A$51,0))="","",INDEX(campaigns!$BG$2:$BG$51,MATCH($B61,campaigns!$A$2:$A$51,0))),""))</f>
        <v>46427</v>
      </c>
      <c r="N61" s="30" t="n">
        <f aca="false">IF(OR($B61="",$E61="",$M61=""),"",IF($E61&lt;$M61,0,NETWORKDAYS($M61,$E61,calendar!$A$2:$A$80)))</f>
        <v>5</v>
      </c>
      <c r="O61" s="30" t="str">
        <f aca="false">IF($B61="","",IF(AND($K61="Y",OR($D61="later",$J61="Y")),"Y","N"))</f>
        <v>Y</v>
      </c>
      <c r="P61" s="30" t="str">
        <f aca="false">IF(OR($B61="",$E61=""),"",$B61&amp;"_"&amp;$C61&amp;"_"&amp;$D61&amp;"_"&amp;TEXT($E61,"yyyy-mm-dd")&amp;".jpg")</f>
        <v>SAMPLE-CMP-005_SAMPLE-O-001_later_2027-02-16.jpg</v>
      </c>
      <c r="Q61" s="30" t="str">
        <f aca="false">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30" t="str">
        <f aca="false">IF($B61="","",$B61&amp;"|"&amp;$C61&amp;"|"&amp;$D61&amp;"|"&amp;$O61)</f>
        <v>SAMPLE-CMP-005|SAMPLE-O-001|later|Y</v>
      </c>
      <c r="S61" s="30" t="str">
        <f aca="false">IF($B61="","",$R61&amp;"|"&amp;N($E61))</f>
        <v>SAMPLE-CMP-005|SAMPLE-O-001|later|Y|46434</v>
      </c>
    </row>
    <row r="62" customFormat="false" ht="15" hidden="false" customHeight="false" outlineLevel="0" collapsed="false">
      <c r="A62" s="0" t="s">
        <v>884</v>
      </c>
      <c r="B62" s="0" t="s">
        <v>549</v>
      </c>
      <c r="C62" s="0" t="s">
        <v>681</v>
      </c>
      <c r="D62" s="10" t="s">
        <v>968</v>
      </c>
      <c r="E62" s="11" t="n">
        <v>46427</v>
      </c>
      <c r="F62" s="38" t="n">
        <v>0.541666666666667</v>
      </c>
      <c r="G62" s="10" t="s">
        <v>137</v>
      </c>
      <c r="H62" s="10" t="s">
        <v>1036</v>
      </c>
      <c r="I62" s="11" t="n">
        <v>46427</v>
      </c>
      <c r="J62" s="10" t="s">
        <v>486</v>
      </c>
      <c r="K62" s="10" t="s">
        <v>486</v>
      </c>
      <c r="M62" s="31" t="n">
        <f aca="false">IF($B62="","",IFERROR(IF(INDEX(campaigns!$BG$2:$BG$51,MATCH($B62,campaigns!$A$2:$A$51,0))="","",INDEX(campaigns!$BG$2:$BG$51,MATCH($B62,campaigns!$A$2:$A$51,0))),""))</f>
        <v>46427</v>
      </c>
      <c r="N62" s="30" t="n">
        <f aca="false">IF(OR($B62="",$E62="",$M62=""),"",IF($E62&lt;$M62,0,NETWORKDAYS($M62,$E62,calendar!$A$2:$A$80)))</f>
        <v>1</v>
      </c>
      <c r="O62" s="30" t="str">
        <f aca="false">IF($B62="","",IF(AND($K62="Y",OR($D62="later",$J62="Y")),"Y","N"))</f>
        <v>Y</v>
      </c>
      <c r="P62" s="30" t="str">
        <f aca="false">IF(OR($B62="",$E62=""),"",$B62&amp;"_"&amp;$C62&amp;"_"&amp;$D62&amp;"_"&amp;TEXT($E62,"yyyy-mm-dd")&amp;".jpg")</f>
        <v>SAMPLE-CMP-005_SAMPLE-O-002_placement_2027-02-09.jpg</v>
      </c>
      <c r="Q62" s="30" t="str">
        <f aca="false">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30" t="str">
        <f aca="false">IF($B62="","",$B62&amp;"|"&amp;$C62&amp;"|"&amp;$D62&amp;"|"&amp;$O62)</f>
        <v>SAMPLE-CMP-005|SAMPLE-O-002|placement|Y</v>
      </c>
      <c r="S62" s="30" t="str">
        <f aca="false">IF($B62="","",$R62&amp;"|"&amp;N($E62))</f>
        <v>SAMPLE-CMP-005|SAMPLE-O-002|placement|Y|46427</v>
      </c>
    </row>
    <row r="63" customFormat="false" ht="15" hidden="false" customHeight="false" outlineLevel="0" collapsed="false">
      <c r="A63" s="0" t="s">
        <v>885</v>
      </c>
      <c r="B63" s="0" t="s">
        <v>549</v>
      </c>
      <c r="C63" s="0" t="s">
        <v>681</v>
      </c>
      <c r="D63" s="10" t="s">
        <v>970</v>
      </c>
      <c r="E63" s="11" t="n">
        <v>46434</v>
      </c>
      <c r="F63" s="38" t="n">
        <v>0.625</v>
      </c>
      <c r="G63" s="10" t="s">
        <v>137</v>
      </c>
      <c r="H63" s="10" t="s">
        <v>1037</v>
      </c>
      <c r="I63" s="11" t="n">
        <v>46434</v>
      </c>
      <c r="J63" s="10" t="s">
        <v>486</v>
      </c>
      <c r="K63" s="10" t="s">
        <v>486</v>
      </c>
      <c r="M63" s="31" t="n">
        <f aca="false">IF($B63="","",IFERROR(IF(INDEX(campaigns!$BG$2:$BG$51,MATCH($B63,campaigns!$A$2:$A$51,0))="","",INDEX(campaigns!$BG$2:$BG$51,MATCH($B63,campaigns!$A$2:$A$51,0))),""))</f>
        <v>46427</v>
      </c>
      <c r="N63" s="30" t="n">
        <f aca="false">IF(OR($B63="",$E63="",$M63=""),"",IF($E63&lt;$M63,0,NETWORKDAYS($M63,$E63,calendar!$A$2:$A$80)))</f>
        <v>5</v>
      </c>
      <c r="O63" s="30" t="str">
        <f aca="false">IF($B63="","",IF(AND($K63="Y",OR($D63="later",$J63="Y")),"Y","N"))</f>
        <v>Y</v>
      </c>
      <c r="P63" s="30" t="str">
        <f aca="false">IF(OR($B63="",$E63=""),"",$B63&amp;"_"&amp;$C63&amp;"_"&amp;$D63&amp;"_"&amp;TEXT($E63,"yyyy-mm-dd")&amp;".jpg")</f>
        <v>SAMPLE-CMP-005_SAMPLE-O-002_later_2027-02-16.jpg</v>
      </c>
      <c r="Q63" s="30" t="str">
        <f aca="false">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30" t="str">
        <f aca="false">IF($B63="","",$B63&amp;"|"&amp;$C63&amp;"|"&amp;$D63&amp;"|"&amp;$O63)</f>
        <v>SAMPLE-CMP-005|SAMPLE-O-002|later|Y</v>
      </c>
      <c r="S63" s="30" t="str">
        <f aca="false">IF($B63="","",$R63&amp;"|"&amp;N($E63))</f>
        <v>SAMPLE-CMP-005|SAMPLE-O-002|later|Y|46434</v>
      </c>
    </row>
    <row r="64" customFormat="false" ht="15" hidden="false" customHeight="false" outlineLevel="0" collapsed="false">
      <c r="A64" s="0" t="s">
        <v>886</v>
      </c>
      <c r="B64" s="0" t="s">
        <v>549</v>
      </c>
      <c r="C64" s="0" t="s">
        <v>683</v>
      </c>
      <c r="D64" s="10" t="s">
        <v>968</v>
      </c>
      <c r="E64" s="11" t="n">
        <v>46427</v>
      </c>
      <c r="F64" s="38" t="n">
        <v>0.541666666666667</v>
      </c>
      <c r="G64" s="10" t="s">
        <v>137</v>
      </c>
      <c r="H64" s="10" t="s">
        <v>1038</v>
      </c>
      <c r="I64" s="11" t="n">
        <v>46427</v>
      </c>
      <c r="J64" s="10" t="s">
        <v>486</v>
      </c>
      <c r="K64" s="10" t="s">
        <v>486</v>
      </c>
      <c r="M64" s="31" t="n">
        <f aca="false">IF($B64="","",IFERROR(IF(INDEX(campaigns!$BG$2:$BG$51,MATCH($B64,campaigns!$A$2:$A$51,0))="","",INDEX(campaigns!$BG$2:$BG$51,MATCH($B64,campaigns!$A$2:$A$51,0))),""))</f>
        <v>46427</v>
      </c>
      <c r="N64" s="30" t="n">
        <f aca="false">IF(OR($B64="",$E64="",$M64=""),"",IF($E64&lt;$M64,0,NETWORKDAYS($M64,$E64,calendar!$A$2:$A$80)))</f>
        <v>1</v>
      </c>
      <c r="O64" s="30" t="str">
        <f aca="false">IF($B64="","",IF(AND($K64="Y",OR($D64="later",$J64="Y")),"Y","N"))</f>
        <v>Y</v>
      </c>
      <c r="P64" s="30" t="str">
        <f aca="false">IF(OR($B64="",$E64=""),"",$B64&amp;"_"&amp;$C64&amp;"_"&amp;$D64&amp;"_"&amp;TEXT($E64,"yyyy-mm-dd")&amp;".jpg")</f>
        <v>SAMPLE-CMP-005_SAMPLE-O-003_placement_2027-02-09.jpg</v>
      </c>
      <c r="Q64" s="30" t="str">
        <f aca="false">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30" t="str">
        <f aca="false">IF($B64="","",$B64&amp;"|"&amp;$C64&amp;"|"&amp;$D64&amp;"|"&amp;$O64)</f>
        <v>SAMPLE-CMP-005|SAMPLE-O-003|placement|Y</v>
      </c>
      <c r="S64" s="30" t="str">
        <f aca="false">IF($B64="","",$R64&amp;"|"&amp;N($E64))</f>
        <v>SAMPLE-CMP-005|SAMPLE-O-003|placement|Y|46427</v>
      </c>
    </row>
    <row r="65" customFormat="false" ht="15" hidden="false" customHeight="false" outlineLevel="0" collapsed="false">
      <c r="A65" s="0" t="s">
        <v>887</v>
      </c>
      <c r="B65" s="0" t="s">
        <v>549</v>
      </c>
      <c r="C65" s="0" t="s">
        <v>683</v>
      </c>
      <c r="D65" s="10" t="s">
        <v>970</v>
      </c>
      <c r="E65" s="11" t="n">
        <v>46434</v>
      </c>
      <c r="F65" s="38" t="n">
        <v>0.625</v>
      </c>
      <c r="G65" s="10" t="s">
        <v>137</v>
      </c>
      <c r="H65" s="10" t="s">
        <v>1039</v>
      </c>
      <c r="I65" s="11" t="n">
        <v>46434</v>
      </c>
      <c r="J65" s="10" t="s">
        <v>486</v>
      </c>
      <c r="K65" s="10" t="s">
        <v>486</v>
      </c>
      <c r="M65" s="31" t="n">
        <f aca="false">IF($B65="","",IFERROR(IF(INDEX(campaigns!$BG$2:$BG$51,MATCH($B65,campaigns!$A$2:$A$51,0))="","",INDEX(campaigns!$BG$2:$BG$51,MATCH($B65,campaigns!$A$2:$A$51,0))),""))</f>
        <v>46427</v>
      </c>
      <c r="N65" s="30" t="n">
        <f aca="false">IF(OR($B65="",$E65="",$M65=""),"",IF($E65&lt;$M65,0,NETWORKDAYS($M65,$E65,calendar!$A$2:$A$80)))</f>
        <v>5</v>
      </c>
      <c r="O65" s="30" t="str">
        <f aca="false">IF($B65="","",IF(AND($K65="Y",OR($D65="later",$J65="Y")),"Y","N"))</f>
        <v>Y</v>
      </c>
      <c r="P65" s="30" t="str">
        <f aca="false">IF(OR($B65="",$E65=""),"",$B65&amp;"_"&amp;$C65&amp;"_"&amp;$D65&amp;"_"&amp;TEXT($E65,"yyyy-mm-dd")&amp;".jpg")</f>
        <v>SAMPLE-CMP-005_SAMPLE-O-003_later_2027-02-16.jpg</v>
      </c>
      <c r="Q65" s="30" t="str">
        <f aca="false">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30" t="str">
        <f aca="false">IF($B65="","",$B65&amp;"|"&amp;$C65&amp;"|"&amp;$D65&amp;"|"&amp;$O65)</f>
        <v>SAMPLE-CMP-005|SAMPLE-O-003|later|Y</v>
      </c>
      <c r="S65" s="30" t="str">
        <f aca="false">IF($B65="","",$R65&amp;"|"&amp;N($E65))</f>
        <v>SAMPLE-CMP-005|SAMPLE-O-003|later|Y|46434</v>
      </c>
    </row>
    <row r="66" customFormat="false" ht="15" hidden="false" customHeight="false" outlineLevel="0" collapsed="false">
      <c r="A66" s="0" t="s">
        <v>888</v>
      </c>
      <c r="B66" s="0" t="s">
        <v>549</v>
      </c>
      <c r="C66" s="0" t="s">
        <v>686</v>
      </c>
      <c r="D66" s="10" t="s">
        <v>968</v>
      </c>
      <c r="E66" s="11" t="n">
        <v>46428</v>
      </c>
      <c r="F66" s="38" t="n">
        <v>0.395833333333333</v>
      </c>
      <c r="G66" s="10" t="s">
        <v>137</v>
      </c>
      <c r="H66" s="10" t="s">
        <v>1040</v>
      </c>
      <c r="I66" s="11" t="n">
        <v>46428</v>
      </c>
      <c r="J66" s="10" t="s">
        <v>486</v>
      </c>
      <c r="K66" s="10" t="s">
        <v>486</v>
      </c>
      <c r="M66" s="31" t="n">
        <f aca="false">IF($B66="","",IFERROR(IF(INDEX(campaigns!$BG$2:$BG$51,MATCH($B66,campaigns!$A$2:$A$51,0))="","",INDEX(campaigns!$BG$2:$BG$51,MATCH($B66,campaigns!$A$2:$A$51,0))),""))</f>
        <v>46427</v>
      </c>
      <c r="N66" s="30" t="n">
        <f aca="false">IF(OR($B66="",$E66="",$M66=""),"",IF($E66&lt;$M66,0,NETWORKDAYS($M66,$E66,calendar!$A$2:$A$80)))</f>
        <v>2</v>
      </c>
      <c r="O66" s="30" t="str">
        <f aca="false">IF($B66="","",IF(AND($K66="Y",OR($D66="later",$J66="Y")),"Y","N"))</f>
        <v>Y</v>
      </c>
      <c r="P66" s="30" t="str">
        <f aca="false">IF(OR($B66="",$E66=""),"",$B66&amp;"_"&amp;$C66&amp;"_"&amp;$D66&amp;"_"&amp;TEXT($E66,"yyyy-mm-dd")&amp;".jpg")</f>
        <v>SAMPLE-CMP-005_SAMPLE-O-004_placement_2027-02-10.jpg</v>
      </c>
      <c r="Q66" s="30" t="str">
        <f aca="false">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30" t="str">
        <f aca="false">IF($B66="","",$B66&amp;"|"&amp;$C66&amp;"|"&amp;$D66&amp;"|"&amp;$O66)</f>
        <v>SAMPLE-CMP-005|SAMPLE-O-004|placement|Y</v>
      </c>
      <c r="S66" s="30" t="str">
        <f aca="false">IF($B66="","",$R66&amp;"|"&amp;N($E66))</f>
        <v>SAMPLE-CMP-005|SAMPLE-O-004|placement|Y|46428</v>
      </c>
    </row>
    <row r="67" customFormat="false" ht="15" hidden="false" customHeight="false" outlineLevel="0" collapsed="false">
      <c r="A67" s="0" t="s">
        <v>889</v>
      </c>
      <c r="B67" s="0" t="s">
        <v>549</v>
      </c>
      <c r="C67" s="0" t="s">
        <v>686</v>
      </c>
      <c r="D67" s="10" t="s">
        <v>970</v>
      </c>
      <c r="E67" s="11" t="n">
        <v>46434</v>
      </c>
      <c r="F67" s="38" t="n">
        <v>0.625</v>
      </c>
      <c r="G67" s="10" t="s">
        <v>137</v>
      </c>
      <c r="H67" s="10" t="s">
        <v>1041</v>
      </c>
      <c r="I67" s="11" t="n">
        <v>46434</v>
      </c>
      <c r="J67" s="10" t="s">
        <v>486</v>
      </c>
      <c r="K67" s="10" t="s">
        <v>486</v>
      </c>
      <c r="M67" s="31" t="n">
        <f aca="false">IF($B67="","",IFERROR(IF(INDEX(campaigns!$BG$2:$BG$51,MATCH($B67,campaigns!$A$2:$A$51,0))="","",INDEX(campaigns!$BG$2:$BG$51,MATCH($B67,campaigns!$A$2:$A$51,0))),""))</f>
        <v>46427</v>
      </c>
      <c r="N67" s="30" t="n">
        <f aca="false">IF(OR($B67="",$E67="",$M67=""),"",IF($E67&lt;$M67,0,NETWORKDAYS($M67,$E67,calendar!$A$2:$A$80)))</f>
        <v>5</v>
      </c>
      <c r="O67" s="30" t="str">
        <f aca="false">IF($B67="","",IF(AND($K67="Y",OR($D67="later",$J67="Y")),"Y","N"))</f>
        <v>Y</v>
      </c>
      <c r="P67" s="30" t="str">
        <f aca="false">IF(OR($B67="",$E67=""),"",$B67&amp;"_"&amp;$C67&amp;"_"&amp;$D67&amp;"_"&amp;TEXT($E67,"yyyy-mm-dd")&amp;".jpg")</f>
        <v>SAMPLE-CMP-005_SAMPLE-O-004_later_2027-02-16.jpg</v>
      </c>
      <c r="Q67" s="30" t="str">
        <f aca="false">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30" t="str">
        <f aca="false">IF($B67="","",$B67&amp;"|"&amp;$C67&amp;"|"&amp;$D67&amp;"|"&amp;$O67)</f>
        <v>SAMPLE-CMP-005|SAMPLE-O-004|later|Y</v>
      </c>
      <c r="S67" s="30" t="str">
        <f aca="false">IF($B67="","",$R67&amp;"|"&amp;N($E67))</f>
        <v>SAMPLE-CMP-005|SAMPLE-O-004|later|Y|46434</v>
      </c>
    </row>
    <row r="68" customFormat="false" ht="15" hidden="false" customHeight="false" outlineLevel="0" collapsed="false">
      <c r="A68" s="0" t="s">
        <v>890</v>
      </c>
      <c r="B68" s="0" t="s">
        <v>549</v>
      </c>
      <c r="C68" s="0" t="s">
        <v>688</v>
      </c>
      <c r="D68" s="10" t="s">
        <v>968</v>
      </c>
      <c r="E68" s="11" t="n">
        <v>46427</v>
      </c>
      <c r="F68" s="38" t="n">
        <v>0.541666666666667</v>
      </c>
      <c r="G68" s="10" t="s">
        <v>137</v>
      </c>
      <c r="H68" s="10" t="s">
        <v>1042</v>
      </c>
      <c r="I68" s="11" t="n">
        <v>46427</v>
      </c>
      <c r="J68" s="10" t="s">
        <v>486</v>
      </c>
      <c r="K68" s="10" t="s">
        <v>486</v>
      </c>
      <c r="M68" s="31" t="n">
        <f aca="false">IF($B68="","",IFERROR(IF(INDEX(campaigns!$BG$2:$BG$51,MATCH($B68,campaigns!$A$2:$A$51,0))="","",INDEX(campaigns!$BG$2:$BG$51,MATCH($B68,campaigns!$A$2:$A$51,0))),""))</f>
        <v>46427</v>
      </c>
      <c r="N68" s="30" t="n">
        <f aca="false">IF(OR($B68="",$E68="",$M68=""),"",IF($E68&lt;$M68,0,NETWORKDAYS($M68,$E68,calendar!$A$2:$A$80)))</f>
        <v>1</v>
      </c>
      <c r="O68" s="30" t="str">
        <f aca="false">IF($B68="","",IF(AND($K68="Y",OR($D68="later",$J68="Y")),"Y","N"))</f>
        <v>Y</v>
      </c>
      <c r="P68" s="30" t="str">
        <f aca="false">IF(OR($B68="",$E68=""),"",$B68&amp;"_"&amp;$C68&amp;"_"&amp;$D68&amp;"_"&amp;TEXT($E68,"yyyy-mm-dd")&amp;".jpg")</f>
        <v>SAMPLE-CMP-005_SAMPLE-O-005_placement_2027-02-09.jpg</v>
      </c>
      <c r="Q68" s="30" t="str">
        <f aca="false">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30" t="str">
        <f aca="false">IF($B68="","",$B68&amp;"|"&amp;$C68&amp;"|"&amp;$D68&amp;"|"&amp;$O68)</f>
        <v>SAMPLE-CMP-005|SAMPLE-O-005|placement|Y</v>
      </c>
      <c r="S68" s="30" t="str">
        <f aca="false">IF($B68="","",$R68&amp;"|"&amp;N($E68))</f>
        <v>SAMPLE-CMP-005|SAMPLE-O-005|placement|Y|46427</v>
      </c>
    </row>
    <row r="69" customFormat="false" ht="15" hidden="false" customHeight="false" outlineLevel="0" collapsed="false">
      <c r="A69" s="0" t="s">
        <v>891</v>
      </c>
      <c r="B69" s="0" t="s">
        <v>549</v>
      </c>
      <c r="C69" s="0" t="s">
        <v>688</v>
      </c>
      <c r="D69" s="10" t="s">
        <v>970</v>
      </c>
      <c r="E69" s="11" t="n">
        <v>46434</v>
      </c>
      <c r="F69" s="38" t="n">
        <v>0.625</v>
      </c>
      <c r="G69" s="10" t="s">
        <v>137</v>
      </c>
      <c r="H69" s="10" t="s">
        <v>1043</v>
      </c>
      <c r="I69" s="11" t="n">
        <v>46434</v>
      </c>
      <c r="J69" s="10" t="s">
        <v>486</v>
      </c>
      <c r="K69" s="10" t="s">
        <v>486</v>
      </c>
      <c r="M69" s="31" t="n">
        <f aca="false">IF($B69="","",IFERROR(IF(INDEX(campaigns!$BG$2:$BG$51,MATCH($B69,campaigns!$A$2:$A$51,0))="","",INDEX(campaigns!$BG$2:$BG$51,MATCH($B69,campaigns!$A$2:$A$51,0))),""))</f>
        <v>46427</v>
      </c>
      <c r="N69" s="30" t="n">
        <f aca="false">IF(OR($B69="",$E69="",$M69=""),"",IF($E69&lt;$M69,0,NETWORKDAYS($M69,$E69,calendar!$A$2:$A$80)))</f>
        <v>5</v>
      </c>
      <c r="O69" s="30" t="str">
        <f aca="false">IF($B69="","",IF(AND($K69="Y",OR($D69="later",$J69="Y")),"Y","N"))</f>
        <v>Y</v>
      </c>
      <c r="P69" s="30" t="str">
        <f aca="false">IF(OR($B69="",$E69=""),"",$B69&amp;"_"&amp;$C69&amp;"_"&amp;$D69&amp;"_"&amp;TEXT($E69,"yyyy-mm-dd")&amp;".jpg")</f>
        <v>SAMPLE-CMP-005_SAMPLE-O-005_later_2027-02-16.jpg</v>
      </c>
      <c r="Q69" s="30" t="str">
        <f aca="false">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30" t="str">
        <f aca="false">IF($B69="","",$B69&amp;"|"&amp;$C69&amp;"|"&amp;$D69&amp;"|"&amp;$O69)</f>
        <v>SAMPLE-CMP-005|SAMPLE-O-005|later|Y</v>
      </c>
      <c r="S69" s="30" t="str">
        <f aca="false">IF($B69="","",$R69&amp;"|"&amp;N($E69))</f>
        <v>SAMPLE-CMP-005|SAMPLE-O-005|later|Y|46434</v>
      </c>
    </row>
    <row r="70" customFormat="false" ht="15" hidden="false" customHeight="false" outlineLevel="0" collapsed="false">
      <c r="A70" s="0" t="s">
        <v>892</v>
      </c>
      <c r="B70" s="0" t="s">
        <v>549</v>
      </c>
      <c r="C70" s="0" t="s">
        <v>690</v>
      </c>
      <c r="D70" s="10" t="s">
        <v>968</v>
      </c>
      <c r="E70" s="11" t="n">
        <v>46427</v>
      </c>
      <c r="F70" s="38" t="n">
        <v>0.541666666666667</v>
      </c>
      <c r="G70" s="10" t="s">
        <v>137</v>
      </c>
      <c r="H70" s="10" t="s">
        <v>1044</v>
      </c>
      <c r="I70" s="11" t="n">
        <v>46427</v>
      </c>
      <c r="J70" s="10" t="s">
        <v>486</v>
      </c>
      <c r="K70" s="10" t="s">
        <v>486</v>
      </c>
      <c r="M70" s="31" t="n">
        <f aca="false">IF($B70="","",IFERROR(IF(INDEX(campaigns!$BG$2:$BG$51,MATCH($B70,campaigns!$A$2:$A$51,0))="","",INDEX(campaigns!$BG$2:$BG$51,MATCH($B70,campaigns!$A$2:$A$51,0))),""))</f>
        <v>46427</v>
      </c>
      <c r="N70" s="30" t="n">
        <f aca="false">IF(OR($B70="",$E70="",$M70=""),"",IF($E70&lt;$M70,0,NETWORKDAYS($M70,$E70,calendar!$A$2:$A$80)))</f>
        <v>1</v>
      </c>
      <c r="O70" s="30" t="str">
        <f aca="false">IF($B70="","",IF(AND($K70="Y",OR($D70="later",$J70="Y")),"Y","N"))</f>
        <v>Y</v>
      </c>
      <c r="P70" s="30" t="str">
        <f aca="false">IF(OR($B70="",$E70=""),"",$B70&amp;"_"&amp;$C70&amp;"_"&amp;$D70&amp;"_"&amp;TEXT($E70,"yyyy-mm-dd")&amp;".jpg")</f>
        <v>SAMPLE-CMP-005_SAMPLE-O-006_placement_2027-02-09.jpg</v>
      </c>
      <c r="Q70" s="30" t="str">
        <f aca="false">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30" t="str">
        <f aca="false">IF($B70="","",$B70&amp;"|"&amp;$C70&amp;"|"&amp;$D70&amp;"|"&amp;$O70)</f>
        <v>SAMPLE-CMP-005|SAMPLE-O-006|placement|Y</v>
      </c>
      <c r="S70" s="30" t="str">
        <f aca="false">IF($B70="","",$R70&amp;"|"&amp;N($E70))</f>
        <v>SAMPLE-CMP-005|SAMPLE-O-006|placement|Y|46427</v>
      </c>
    </row>
    <row r="71" customFormat="false" ht="15" hidden="false" customHeight="false" outlineLevel="0" collapsed="false">
      <c r="A71" s="0" t="s">
        <v>893</v>
      </c>
      <c r="B71" s="0" t="s">
        <v>549</v>
      </c>
      <c r="C71" s="0" t="s">
        <v>690</v>
      </c>
      <c r="D71" s="10" t="s">
        <v>970</v>
      </c>
      <c r="E71" s="11" t="n">
        <v>46434</v>
      </c>
      <c r="F71" s="38" t="n">
        <v>0.625</v>
      </c>
      <c r="G71" s="10" t="s">
        <v>137</v>
      </c>
      <c r="H71" s="10" t="s">
        <v>1045</v>
      </c>
      <c r="I71" s="11" t="n">
        <v>46434</v>
      </c>
      <c r="J71" s="10" t="s">
        <v>486</v>
      </c>
      <c r="K71" s="10" t="s">
        <v>486</v>
      </c>
      <c r="M71" s="31" t="n">
        <f aca="false">IF($B71="","",IFERROR(IF(INDEX(campaigns!$BG$2:$BG$51,MATCH($B71,campaigns!$A$2:$A$51,0))="","",INDEX(campaigns!$BG$2:$BG$51,MATCH($B71,campaigns!$A$2:$A$51,0))),""))</f>
        <v>46427</v>
      </c>
      <c r="N71" s="30" t="n">
        <f aca="false">IF(OR($B71="",$E71="",$M71=""),"",IF($E71&lt;$M71,0,NETWORKDAYS($M71,$E71,calendar!$A$2:$A$80)))</f>
        <v>5</v>
      </c>
      <c r="O71" s="30" t="str">
        <f aca="false">IF($B71="","",IF(AND($K71="Y",OR($D71="later",$J71="Y")),"Y","N"))</f>
        <v>Y</v>
      </c>
      <c r="P71" s="30" t="str">
        <f aca="false">IF(OR($B71="",$E71=""),"",$B71&amp;"_"&amp;$C71&amp;"_"&amp;$D71&amp;"_"&amp;TEXT($E71,"yyyy-mm-dd")&amp;".jpg")</f>
        <v>SAMPLE-CMP-005_SAMPLE-O-006_later_2027-02-16.jpg</v>
      </c>
      <c r="Q71" s="30" t="str">
        <f aca="false">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30" t="str">
        <f aca="false">IF($B71="","",$B71&amp;"|"&amp;$C71&amp;"|"&amp;$D71&amp;"|"&amp;$O71)</f>
        <v>SAMPLE-CMP-005|SAMPLE-O-006|later|Y</v>
      </c>
      <c r="S71" s="30" t="str">
        <f aca="false">IF($B71="","",$R71&amp;"|"&amp;N($E71))</f>
        <v>SAMPLE-CMP-005|SAMPLE-O-006|later|Y|46434</v>
      </c>
    </row>
    <row r="72" customFormat="false" ht="15" hidden="false" customHeight="false" outlineLevel="0" collapsed="false">
      <c r="A72" s="0" t="s">
        <v>894</v>
      </c>
      <c r="B72" s="0" t="s">
        <v>549</v>
      </c>
      <c r="C72" s="0" t="s">
        <v>692</v>
      </c>
      <c r="D72" s="10" t="s">
        <v>968</v>
      </c>
      <c r="E72" s="11" t="n">
        <v>46427</v>
      </c>
      <c r="F72" s="38" t="n">
        <v>0.541666666666667</v>
      </c>
      <c r="G72" s="10" t="s">
        <v>137</v>
      </c>
      <c r="H72" s="10" t="s">
        <v>1046</v>
      </c>
      <c r="I72" s="11" t="n">
        <v>46427</v>
      </c>
      <c r="J72" s="10" t="s">
        <v>486</v>
      </c>
      <c r="K72" s="10" t="s">
        <v>486</v>
      </c>
      <c r="M72" s="31" t="n">
        <f aca="false">IF($B72="","",IFERROR(IF(INDEX(campaigns!$BG$2:$BG$51,MATCH($B72,campaigns!$A$2:$A$51,0))="","",INDEX(campaigns!$BG$2:$BG$51,MATCH($B72,campaigns!$A$2:$A$51,0))),""))</f>
        <v>46427</v>
      </c>
      <c r="N72" s="30" t="n">
        <f aca="false">IF(OR($B72="",$E72="",$M72=""),"",IF($E72&lt;$M72,0,NETWORKDAYS($M72,$E72,calendar!$A$2:$A$80)))</f>
        <v>1</v>
      </c>
      <c r="O72" s="30" t="str">
        <f aca="false">IF($B72="","",IF(AND($K72="Y",OR($D72="later",$J72="Y")),"Y","N"))</f>
        <v>Y</v>
      </c>
      <c r="P72" s="30" t="str">
        <f aca="false">IF(OR($B72="",$E72=""),"",$B72&amp;"_"&amp;$C72&amp;"_"&amp;$D72&amp;"_"&amp;TEXT($E72,"yyyy-mm-dd")&amp;".jpg")</f>
        <v>SAMPLE-CMP-005_SAMPLE-O-007_placement_2027-02-09.jpg</v>
      </c>
      <c r="Q72" s="30" t="str">
        <f aca="false">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30" t="str">
        <f aca="false">IF($B72="","",$B72&amp;"|"&amp;$C72&amp;"|"&amp;$D72&amp;"|"&amp;$O72)</f>
        <v>SAMPLE-CMP-005|SAMPLE-O-007|placement|Y</v>
      </c>
      <c r="S72" s="30" t="str">
        <f aca="false">IF($B72="","",$R72&amp;"|"&amp;N($E72))</f>
        <v>SAMPLE-CMP-005|SAMPLE-O-007|placement|Y|46427</v>
      </c>
    </row>
    <row r="73" customFormat="false" ht="15" hidden="false" customHeight="false" outlineLevel="0" collapsed="false">
      <c r="A73" s="0" t="s">
        <v>895</v>
      </c>
      <c r="B73" s="0" t="s">
        <v>549</v>
      </c>
      <c r="C73" s="0" t="s">
        <v>692</v>
      </c>
      <c r="D73" s="10" t="s">
        <v>970</v>
      </c>
      <c r="E73" s="11" t="n">
        <v>46434</v>
      </c>
      <c r="F73" s="38" t="n">
        <v>0.625</v>
      </c>
      <c r="G73" s="10" t="s">
        <v>137</v>
      </c>
      <c r="H73" s="10" t="s">
        <v>1047</v>
      </c>
      <c r="I73" s="11" t="n">
        <v>46434</v>
      </c>
      <c r="J73" s="10" t="s">
        <v>486</v>
      </c>
      <c r="K73" s="10" t="s">
        <v>486</v>
      </c>
      <c r="M73" s="31" t="n">
        <f aca="false">IF($B73="","",IFERROR(IF(INDEX(campaigns!$BG$2:$BG$51,MATCH($B73,campaigns!$A$2:$A$51,0))="","",INDEX(campaigns!$BG$2:$BG$51,MATCH($B73,campaigns!$A$2:$A$51,0))),""))</f>
        <v>46427</v>
      </c>
      <c r="N73" s="30" t="n">
        <f aca="false">IF(OR($B73="",$E73="",$M73=""),"",IF($E73&lt;$M73,0,NETWORKDAYS($M73,$E73,calendar!$A$2:$A$80)))</f>
        <v>5</v>
      </c>
      <c r="O73" s="30" t="str">
        <f aca="false">IF($B73="","",IF(AND($K73="Y",OR($D73="later",$J73="Y")),"Y","N"))</f>
        <v>Y</v>
      </c>
      <c r="P73" s="30" t="str">
        <f aca="false">IF(OR($B73="",$E73=""),"",$B73&amp;"_"&amp;$C73&amp;"_"&amp;$D73&amp;"_"&amp;TEXT($E73,"yyyy-mm-dd")&amp;".jpg")</f>
        <v>SAMPLE-CMP-005_SAMPLE-O-007_later_2027-02-16.jpg</v>
      </c>
      <c r="Q73" s="30" t="str">
        <f aca="false">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30" t="str">
        <f aca="false">IF($B73="","",$B73&amp;"|"&amp;$C73&amp;"|"&amp;$D73&amp;"|"&amp;$O73)</f>
        <v>SAMPLE-CMP-005|SAMPLE-O-007|later|Y</v>
      </c>
      <c r="S73" s="30" t="str">
        <f aca="false">IF($B73="","",$R73&amp;"|"&amp;N($E73))</f>
        <v>SAMPLE-CMP-005|SAMPLE-O-007|later|Y|46434</v>
      </c>
    </row>
    <row r="74" customFormat="false" ht="15" hidden="false" customHeight="false" outlineLevel="0" collapsed="false">
      <c r="A74" s="0" t="s">
        <v>896</v>
      </c>
      <c r="B74" s="0" t="s">
        <v>549</v>
      </c>
      <c r="C74" s="0" t="s">
        <v>694</v>
      </c>
      <c r="D74" s="10" t="s">
        <v>968</v>
      </c>
      <c r="E74" s="11" t="n">
        <v>46427</v>
      </c>
      <c r="F74" s="38" t="n">
        <v>0.541666666666667</v>
      </c>
      <c r="G74" s="10" t="s">
        <v>137</v>
      </c>
      <c r="H74" s="10" t="s">
        <v>1048</v>
      </c>
      <c r="I74" s="11" t="n">
        <v>46427</v>
      </c>
      <c r="J74" s="10" t="s">
        <v>486</v>
      </c>
      <c r="K74" s="10" t="s">
        <v>486</v>
      </c>
      <c r="M74" s="31" t="n">
        <f aca="false">IF($B74="","",IFERROR(IF(INDEX(campaigns!$BG$2:$BG$51,MATCH($B74,campaigns!$A$2:$A$51,0))="","",INDEX(campaigns!$BG$2:$BG$51,MATCH($B74,campaigns!$A$2:$A$51,0))),""))</f>
        <v>46427</v>
      </c>
      <c r="N74" s="30" t="n">
        <f aca="false">IF(OR($B74="",$E74="",$M74=""),"",IF($E74&lt;$M74,0,NETWORKDAYS($M74,$E74,calendar!$A$2:$A$80)))</f>
        <v>1</v>
      </c>
      <c r="O74" s="30" t="str">
        <f aca="false">IF($B74="","",IF(AND($K74="Y",OR($D74="later",$J74="Y")),"Y","N"))</f>
        <v>Y</v>
      </c>
      <c r="P74" s="30" t="str">
        <f aca="false">IF(OR($B74="",$E74=""),"",$B74&amp;"_"&amp;$C74&amp;"_"&amp;$D74&amp;"_"&amp;TEXT($E74,"yyyy-mm-dd")&amp;".jpg")</f>
        <v>SAMPLE-CMP-005_SAMPLE-O-008_placement_2027-02-09.jpg</v>
      </c>
      <c r="Q74" s="30" t="str">
        <f aca="false">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30" t="str">
        <f aca="false">IF($B74="","",$B74&amp;"|"&amp;$C74&amp;"|"&amp;$D74&amp;"|"&amp;$O74)</f>
        <v>SAMPLE-CMP-005|SAMPLE-O-008|placement|Y</v>
      </c>
      <c r="S74" s="30" t="str">
        <f aca="false">IF($B74="","",$R74&amp;"|"&amp;N($E74))</f>
        <v>SAMPLE-CMP-005|SAMPLE-O-008|placement|Y|46427</v>
      </c>
    </row>
    <row r="75" customFormat="false" ht="15" hidden="false" customHeight="false" outlineLevel="0" collapsed="false">
      <c r="A75" s="0" t="s">
        <v>897</v>
      </c>
      <c r="B75" s="0" t="s">
        <v>549</v>
      </c>
      <c r="C75" s="0" t="s">
        <v>694</v>
      </c>
      <c r="D75" s="10" t="s">
        <v>970</v>
      </c>
      <c r="E75" s="11" t="n">
        <v>46434</v>
      </c>
      <c r="F75" s="38" t="n">
        <v>0.625</v>
      </c>
      <c r="G75" s="10" t="s">
        <v>137</v>
      </c>
      <c r="H75" s="10" t="s">
        <v>1049</v>
      </c>
      <c r="I75" s="11" t="n">
        <v>46434</v>
      </c>
      <c r="J75" s="10" t="s">
        <v>486</v>
      </c>
      <c r="K75" s="10" t="s">
        <v>486</v>
      </c>
      <c r="M75" s="31" t="n">
        <f aca="false">IF($B75="","",IFERROR(IF(INDEX(campaigns!$BG$2:$BG$51,MATCH($B75,campaigns!$A$2:$A$51,0))="","",INDEX(campaigns!$BG$2:$BG$51,MATCH($B75,campaigns!$A$2:$A$51,0))),""))</f>
        <v>46427</v>
      </c>
      <c r="N75" s="30" t="n">
        <f aca="false">IF(OR($B75="",$E75="",$M75=""),"",IF($E75&lt;$M75,0,NETWORKDAYS($M75,$E75,calendar!$A$2:$A$80)))</f>
        <v>5</v>
      </c>
      <c r="O75" s="30" t="str">
        <f aca="false">IF($B75="","",IF(AND($K75="Y",OR($D75="later",$J75="Y")),"Y","N"))</f>
        <v>Y</v>
      </c>
      <c r="P75" s="30" t="str">
        <f aca="false">IF(OR($B75="",$E75=""),"",$B75&amp;"_"&amp;$C75&amp;"_"&amp;$D75&amp;"_"&amp;TEXT($E75,"yyyy-mm-dd")&amp;".jpg")</f>
        <v>SAMPLE-CMP-005_SAMPLE-O-008_later_2027-02-16.jpg</v>
      </c>
      <c r="Q75" s="30" t="str">
        <f aca="false">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30" t="str">
        <f aca="false">IF($B75="","",$B75&amp;"|"&amp;$C75&amp;"|"&amp;$D75&amp;"|"&amp;$O75)</f>
        <v>SAMPLE-CMP-005|SAMPLE-O-008|later|Y</v>
      </c>
      <c r="S75" s="30" t="str">
        <f aca="false">IF($B75="","",$R75&amp;"|"&amp;N($E75))</f>
        <v>SAMPLE-CMP-005|SAMPLE-O-008|later|Y|46434</v>
      </c>
    </row>
    <row r="76" customFormat="false" ht="15" hidden="false" customHeight="false" outlineLevel="0" collapsed="false">
      <c r="A76" s="0" t="s">
        <v>898</v>
      </c>
      <c r="B76" s="0" t="s">
        <v>549</v>
      </c>
      <c r="C76" s="0" t="s">
        <v>696</v>
      </c>
      <c r="D76" s="10" t="s">
        <v>968</v>
      </c>
      <c r="E76" s="11" t="n">
        <v>46428</v>
      </c>
      <c r="F76" s="38" t="n">
        <v>0.381944444444444</v>
      </c>
      <c r="G76" s="10" t="s">
        <v>137</v>
      </c>
      <c r="H76" s="10" t="s">
        <v>1050</v>
      </c>
      <c r="I76" s="11" t="n">
        <v>46428</v>
      </c>
      <c r="J76" s="10" t="s">
        <v>486</v>
      </c>
      <c r="K76" s="10" t="s">
        <v>486</v>
      </c>
      <c r="M76" s="31" t="n">
        <f aca="false">IF($B76="","",IFERROR(IF(INDEX(campaigns!$BG$2:$BG$51,MATCH($B76,campaigns!$A$2:$A$51,0))="","",INDEX(campaigns!$BG$2:$BG$51,MATCH($B76,campaigns!$A$2:$A$51,0))),""))</f>
        <v>46427</v>
      </c>
      <c r="N76" s="30" t="n">
        <f aca="false">IF(OR($B76="",$E76="",$M76=""),"",IF($E76&lt;$M76,0,NETWORKDAYS($M76,$E76,calendar!$A$2:$A$80)))</f>
        <v>2</v>
      </c>
      <c r="O76" s="30" t="str">
        <f aca="false">IF($B76="","",IF(AND($K76="Y",OR($D76="later",$J76="Y")),"Y","N"))</f>
        <v>Y</v>
      </c>
      <c r="P76" s="30" t="str">
        <f aca="false">IF(OR($B76="",$E76=""),"",$B76&amp;"_"&amp;$C76&amp;"_"&amp;$D76&amp;"_"&amp;TEXT($E76,"yyyy-mm-dd")&amp;".jpg")</f>
        <v>SAMPLE-CMP-005_SAMPLE-O-009_placement_2027-02-10.jpg</v>
      </c>
      <c r="Q76" s="30" t="str">
        <f aca="false">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30" t="str">
        <f aca="false">IF($B76="","",$B76&amp;"|"&amp;$C76&amp;"|"&amp;$D76&amp;"|"&amp;$O76)</f>
        <v>SAMPLE-CMP-005|SAMPLE-O-009|placement|Y</v>
      </c>
      <c r="S76" s="30" t="str">
        <f aca="false">IF($B76="","",$R76&amp;"|"&amp;N($E76))</f>
        <v>SAMPLE-CMP-005|SAMPLE-O-009|placement|Y|46428</v>
      </c>
    </row>
    <row r="77" customFormat="false" ht="15" hidden="false" customHeight="false" outlineLevel="0" collapsed="false">
      <c r="A77" s="0" t="s">
        <v>899</v>
      </c>
      <c r="B77" s="0" t="s">
        <v>549</v>
      </c>
      <c r="C77" s="0" t="s">
        <v>696</v>
      </c>
      <c r="D77" s="10" t="s">
        <v>970</v>
      </c>
      <c r="E77" s="11" t="n">
        <v>46434</v>
      </c>
      <c r="F77" s="38" t="n">
        <v>0.625</v>
      </c>
      <c r="G77" s="10" t="s">
        <v>137</v>
      </c>
      <c r="H77" s="10" t="s">
        <v>1051</v>
      </c>
      <c r="I77" s="11" t="n">
        <v>46434</v>
      </c>
      <c r="J77" s="10" t="s">
        <v>486</v>
      </c>
      <c r="K77" s="10" t="s">
        <v>486</v>
      </c>
      <c r="M77" s="31" t="n">
        <f aca="false">IF($B77="","",IFERROR(IF(INDEX(campaigns!$BG$2:$BG$51,MATCH($B77,campaigns!$A$2:$A$51,0))="","",INDEX(campaigns!$BG$2:$BG$51,MATCH($B77,campaigns!$A$2:$A$51,0))),""))</f>
        <v>46427</v>
      </c>
      <c r="N77" s="30" t="n">
        <f aca="false">IF(OR($B77="",$E77="",$M77=""),"",IF($E77&lt;$M77,0,NETWORKDAYS($M77,$E77,calendar!$A$2:$A$80)))</f>
        <v>5</v>
      </c>
      <c r="O77" s="30" t="str">
        <f aca="false">IF($B77="","",IF(AND($K77="Y",OR($D77="later",$J77="Y")),"Y","N"))</f>
        <v>Y</v>
      </c>
      <c r="P77" s="30" t="str">
        <f aca="false">IF(OR($B77="",$E77=""),"",$B77&amp;"_"&amp;$C77&amp;"_"&amp;$D77&amp;"_"&amp;TEXT($E77,"yyyy-mm-dd")&amp;".jpg")</f>
        <v>SAMPLE-CMP-005_SAMPLE-O-009_later_2027-02-16.jpg</v>
      </c>
      <c r="Q77" s="30" t="str">
        <f aca="false">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30" t="str">
        <f aca="false">IF($B77="","",$B77&amp;"|"&amp;$C77&amp;"|"&amp;$D77&amp;"|"&amp;$O77)</f>
        <v>SAMPLE-CMP-005|SAMPLE-O-009|later|Y</v>
      </c>
      <c r="S77" s="30" t="str">
        <f aca="false">IF($B77="","",$R77&amp;"|"&amp;N($E77))</f>
        <v>SAMPLE-CMP-005|SAMPLE-O-009|later|Y|46434</v>
      </c>
    </row>
    <row r="78" customFormat="false" ht="15" hidden="false" customHeight="false" outlineLevel="0" collapsed="false">
      <c r="A78" s="0" t="s">
        <v>900</v>
      </c>
      <c r="B78" s="0" t="s">
        <v>549</v>
      </c>
      <c r="C78" s="0" t="s">
        <v>698</v>
      </c>
      <c r="D78" s="10" t="s">
        <v>968</v>
      </c>
      <c r="E78" s="11" t="n">
        <v>46427</v>
      </c>
      <c r="F78" s="38" t="n">
        <v>0.541666666666667</v>
      </c>
      <c r="G78" s="10" t="s">
        <v>137</v>
      </c>
      <c r="H78" s="10" t="s">
        <v>1052</v>
      </c>
      <c r="I78" s="11" t="n">
        <v>46427</v>
      </c>
      <c r="J78" s="10" t="s">
        <v>486</v>
      </c>
      <c r="K78" s="10" t="s">
        <v>486</v>
      </c>
      <c r="M78" s="31" t="n">
        <f aca="false">IF($B78="","",IFERROR(IF(INDEX(campaigns!$BG$2:$BG$51,MATCH($B78,campaigns!$A$2:$A$51,0))="","",INDEX(campaigns!$BG$2:$BG$51,MATCH($B78,campaigns!$A$2:$A$51,0))),""))</f>
        <v>46427</v>
      </c>
      <c r="N78" s="30" t="n">
        <f aca="false">IF(OR($B78="",$E78="",$M78=""),"",IF($E78&lt;$M78,0,NETWORKDAYS($M78,$E78,calendar!$A$2:$A$80)))</f>
        <v>1</v>
      </c>
      <c r="O78" s="30" t="str">
        <f aca="false">IF($B78="","",IF(AND($K78="Y",OR($D78="later",$J78="Y")),"Y","N"))</f>
        <v>Y</v>
      </c>
      <c r="P78" s="30" t="str">
        <f aca="false">IF(OR($B78="",$E78=""),"",$B78&amp;"_"&amp;$C78&amp;"_"&amp;$D78&amp;"_"&amp;TEXT($E78,"yyyy-mm-dd")&amp;".jpg")</f>
        <v>SAMPLE-CMP-005_SAMPLE-O-010_placement_2027-02-09.jpg</v>
      </c>
      <c r="Q78" s="30" t="str">
        <f aca="false">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30" t="str">
        <f aca="false">IF($B78="","",$B78&amp;"|"&amp;$C78&amp;"|"&amp;$D78&amp;"|"&amp;$O78)</f>
        <v>SAMPLE-CMP-005|SAMPLE-O-010|placement|Y</v>
      </c>
      <c r="S78" s="30" t="str">
        <f aca="false">IF($B78="","",$R78&amp;"|"&amp;N($E78))</f>
        <v>SAMPLE-CMP-005|SAMPLE-O-010|placement|Y|46427</v>
      </c>
    </row>
    <row r="79" customFormat="false" ht="15" hidden="false" customHeight="false" outlineLevel="0" collapsed="false">
      <c r="A79" s="0" t="s">
        <v>901</v>
      </c>
      <c r="B79" s="0" t="s">
        <v>549</v>
      </c>
      <c r="C79" s="0" t="s">
        <v>698</v>
      </c>
      <c r="D79" s="10" t="s">
        <v>970</v>
      </c>
      <c r="E79" s="11" t="n">
        <v>46434</v>
      </c>
      <c r="F79" s="38" t="n">
        <v>0.625</v>
      </c>
      <c r="G79" s="10" t="s">
        <v>137</v>
      </c>
      <c r="H79" s="10" t="s">
        <v>1053</v>
      </c>
      <c r="I79" s="11" t="n">
        <v>46434</v>
      </c>
      <c r="J79" s="10" t="s">
        <v>486</v>
      </c>
      <c r="K79" s="10" t="s">
        <v>486</v>
      </c>
      <c r="M79" s="31" t="n">
        <f aca="false">IF($B79="","",IFERROR(IF(INDEX(campaigns!$BG$2:$BG$51,MATCH($B79,campaigns!$A$2:$A$51,0))="","",INDEX(campaigns!$BG$2:$BG$51,MATCH($B79,campaigns!$A$2:$A$51,0))),""))</f>
        <v>46427</v>
      </c>
      <c r="N79" s="30" t="n">
        <f aca="false">IF(OR($B79="",$E79="",$M79=""),"",IF($E79&lt;$M79,0,NETWORKDAYS($M79,$E79,calendar!$A$2:$A$80)))</f>
        <v>5</v>
      </c>
      <c r="O79" s="30" t="str">
        <f aca="false">IF($B79="","",IF(AND($K79="Y",OR($D79="later",$J79="Y")),"Y","N"))</f>
        <v>Y</v>
      </c>
      <c r="P79" s="30" t="str">
        <f aca="false">IF(OR($B79="",$E79=""),"",$B79&amp;"_"&amp;$C79&amp;"_"&amp;$D79&amp;"_"&amp;TEXT($E79,"yyyy-mm-dd")&amp;".jpg")</f>
        <v>SAMPLE-CMP-005_SAMPLE-O-010_later_2027-02-16.jpg</v>
      </c>
      <c r="Q79" s="30" t="str">
        <f aca="false">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30" t="str">
        <f aca="false">IF($B79="","",$B79&amp;"|"&amp;$C79&amp;"|"&amp;$D79&amp;"|"&amp;$O79)</f>
        <v>SAMPLE-CMP-005|SAMPLE-O-010|later|Y</v>
      </c>
      <c r="S79" s="30" t="str">
        <f aca="false">IF($B79="","",$R79&amp;"|"&amp;N($E79))</f>
        <v>SAMPLE-CMP-005|SAMPLE-O-010|later|Y|46434</v>
      </c>
    </row>
    <row r="80" customFormat="false" ht="15" hidden="false" customHeight="false" outlineLevel="0" collapsed="false">
      <c r="A80" s="0" t="s">
        <v>902</v>
      </c>
      <c r="B80" s="0" t="s">
        <v>563</v>
      </c>
      <c r="C80" s="0" t="s">
        <v>678</v>
      </c>
      <c r="D80" s="10" t="s">
        <v>968</v>
      </c>
      <c r="E80" s="11" t="n">
        <v>46441</v>
      </c>
      <c r="F80" s="38" t="n">
        <v>0.541666666666667</v>
      </c>
      <c r="G80" s="10" t="s">
        <v>137</v>
      </c>
      <c r="H80" s="10" t="s">
        <v>1054</v>
      </c>
      <c r="I80" s="11" t="n">
        <v>46441</v>
      </c>
      <c r="J80" s="10" t="s">
        <v>486</v>
      </c>
      <c r="K80" s="10" t="s">
        <v>486</v>
      </c>
      <c r="M80" s="31" t="n">
        <f aca="false">IF($B80="","",IFERROR(IF(INDEX(campaigns!$BG$2:$BG$51,MATCH($B80,campaigns!$A$2:$A$51,0))="","",INDEX(campaigns!$BG$2:$BG$51,MATCH($B80,campaigns!$A$2:$A$51,0))),""))</f>
        <v>46441</v>
      </c>
      <c r="N80" s="30" t="n">
        <f aca="false">IF(OR($B80="",$E80="",$M80=""),"",IF($E80&lt;$M80,0,NETWORKDAYS($M80,$E80,calendar!$A$2:$A$80)))</f>
        <v>1</v>
      </c>
      <c r="O80" s="30" t="str">
        <f aca="false">IF($B80="","",IF(AND($K80="Y",OR($D80="later",$J80="Y")),"Y","N"))</f>
        <v>Y</v>
      </c>
      <c r="P80" s="30" t="str">
        <f aca="false">IF(OR($B80="",$E80=""),"",$B80&amp;"_"&amp;$C80&amp;"_"&amp;$D80&amp;"_"&amp;TEXT($E80,"yyyy-mm-dd")&amp;".jpg")</f>
        <v>SAMPLE-CMP-006_SAMPLE-O-001_placement_2027-02-23.jpg</v>
      </c>
      <c r="Q80" s="30" t="str">
        <f aca="false">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30" t="str">
        <f aca="false">IF($B80="","",$B80&amp;"|"&amp;$C80&amp;"|"&amp;$D80&amp;"|"&amp;$O80)</f>
        <v>SAMPLE-CMP-006|SAMPLE-O-001|placement|Y</v>
      </c>
      <c r="S80" s="30" t="str">
        <f aca="false">IF($B80="","",$R80&amp;"|"&amp;N($E80))</f>
        <v>SAMPLE-CMP-006|SAMPLE-O-001|placement|Y|46441</v>
      </c>
    </row>
    <row r="81" customFormat="false" ht="15" hidden="false" customHeight="false" outlineLevel="0" collapsed="false">
      <c r="A81" s="0" t="s">
        <v>903</v>
      </c>
      <c r="B81" s="0" t="s">
        <v>563</v>
      </c>
      <c r="C81" s="0" t="s">
        <v>678</v>
      </c>
      <c r="D81" s="10" t="s">
        <v>970</v>
      </c>
      <c r="E81" s="11" t="n">
        <v>46447</v>
      </c>
      <c r="F81" s="38" t="n">
        <v>0.625</v>
      </c>
      <c r="G81" s="10" t="s">
        <v>137</v>
      </c>
      <c r="H81" s="10" t="s">
        <v>1055</v>
      </c>
      <c r="I81" s="11" t="n">
        <v>46447</v>
      </c>
      <c r="J81" s="10" t="s">
        <v>486</v>
      </c>
      <c r="K81" s="10" t="s">
        <v>486</v>
      </c>
      <c r="M81" s="31" t="n">
        <f aca="false">IF($B81="","",IFERROR(IF(INDEX(campaigns!$BG$2:$BG$51,MATCH($B81,campaigns!$A$2:$A$51,0))="","",INDEX(campaigns!$BG$2:$BG$51,MATCH($B81,campaigns!$A$2:$A$51,0))),""))</f>
        <v>46441</v>
      </c>
      <c r="N81" s="30" t="n">
        <f aca="false">IF(OR($B81="",$E81="",$M81=""),"",IF($E81&lt;$M81,0,NETWORKDAYS($M81,$E81,calendar!$A$2:$A$80)))</f>
        <v>5</v>
      </c>
      <c r="O81" s="30" t="str">
        <f aca="false">IF($B81="","",IF(AND($K81="Y",OR($D81="later",$J81="Y")),"Y","N"))</f>
        <v>Y</v>
      </c>
      <c r="P81" s="30" t="str">
        <f aca="false">IF(OR($B81="",$E81=""),"",$B81&amp;"_"&amp;$C81&amp;"_"&amp;$D81&amp;"_"&amp;TEXT($E81,"yyyy-mm-dd")&amp;".jpg")</f>
        <v>SAMPLE-CMP-006_SAMPLE-O-001_later_2027-03-01.jpg</v>
      </c>
      <c r="Q81" s="30" t="str">
        <f aca="false">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30" t="str">
        <f aca="false">IF($B81="","",$B81&amp;"|"&amp;$C81&amp;"|"&amp;$D81&amp;"|"&amp;$O81)</f>
        <v>SAMPLE-CMP-006|SAMPLE-O-001|later|Y</v>
      </c>
      <c r="S81" s="30" t="str">
        <f aca="false">IF($B81="","",$R81&amp;"|"&amp;N($E81))</f>
        <v>SAMPLE-CMP-006|SAMPLE-O-001|later|Y|46447</v>
      </c>
    </row>
    <row r="82" customFormat="false" ht="15" hidden="false" customHeight="false" outlineLevel="0" collapsed="false">
      <c r="A82" s="0" t="s">
        <v>904</v>
      </c>
      <c r="B82" s="0" t="s">
        <v>563</v>
      </c>
      <c r="C82" s="0" t="s">
        <v>681</v>
      </c>
      <c r="D82" s="10" t="s">
        <v>968</v>
      </c>
      <c r="E82" s="11" t="n">
        <v>46441</v>
      </c>
      <c r="F82" s="38" t="n">
        <v>0.541666666666667</v>
      </c>
      <c r="G82" s="10" t="s">
        <v>137</v>
      </c>
      <c r="H82" s="10" t="s">
        <v>1056</v>
      </c>
      <c r="I82" s="11" t="n">
        <v>46441</v>
      </c>
      <c r="J82" s="10" t="s">
        <v>486</v>
      </c>
      <c r="K82" s="10" t="s">
        <v>486</v>
      </c>
      <c r="M82" s="31" t="n">
        <f aca="false">IF($B82="","",IFERROR(IF(INDEX(campaigns!$BG$2:$BG$51,MATCH($B82,campaigns!$A$2:$A$51,0))="","",INDEX(campaigns!$BG$2:$BG$51,MATCH($B82,campaigns!$A$2:$A$51,0))),""))</f>
        <v>46441</v>
      </c>
      <c r="N82" s="30" t="n">
        <f aca="false">IF(OR($B82="",$E82="",$M82=""),"",IF($E82&lt;$M82,0,NETWORKDAYS($M82,$E82,calendar!$A$2:$A$80)))</f>
        <v>1</v>
      </c>
      <c r="O82" s="30" t="str">
        <f aca="false">IF($B82="","",IF(AND($K82="Y",OR($D82="later",$J82="Y")),"Y","N"))</f>
        <v>Y</v>
      </c>
      <c r="P82" s="30" t="str">
        <f aca="false">IF(OR($B82="",$E82=""),"",$B82&amp;"_"&amp;$C82&amp;"_"&amp;$D82&amp;"_"&amp;TEXT($E82,"yyyy-mm-dd")&amp;".jpg")</f>
        <v>SAMPLE-CMP-006_SAMPLE-O-002_placement_2027-02-23.jpg</v>
      </c>
      <c r="Q82" s="30" t="str">
        <f aca="false">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30" t="str">
        <f aca="false">IF($B82="","",$B82&amp;"|"&amp;$C82&amp;"|"&amp;$D82&amp;"|"&amp;$O82)</f>
        <v>SAMPLE-CMP-006|SAMPLE-O-002|placement|Y</v>
      </c>
      <c r="S82" s="30" t="str">
        <f aca="false">IF($B82="","",$R82&amp;"|"&amp;N($E82))</f>
        <v>SAMPLE-CMP-006|SAMPLE-O-002|placement|Y|46441</v>
      </c>
    </row>
    <row r="83" customFormat="false" ht="15" hidden="false" customHeight="false" outlineLevel="0" collapsed="false">
      <c r="A83" s="0" t="s">
        <v>905</v>
      </c>
      <c r="B83" s="0" t="s">
        <v>563</v>
      </c>
      <c r="C83" s="0" t="s">
        <v>681</v>
      </c>
      <c r="D83" s="10" t="s">
        <v>970</v>
      </c>
      <c r="E83" s="11" t="n">
        <v>46447</v>
      </c>
      <c r="F83" s="38" t="n">
        <v>0.625</v>
      </c>
      <c r="G83" s="10" t="s">
        <v>137</v>
      </c>
      <c r="H83" s="10" t="s">
        <v>1057</v>
      </c>
      <c r="I83" s="11" t="n">
        <v>46447</v>
      </c>
      <c r="J83" s="10" t="s">
        <v>486</v>
      </c>
      <c r="K83" s="10" t="s">
        <v>486</v>
      </c>
      <c r="M83" s="31" t="n">
        <f aca="false">IF($B83="","",IFERROR(IF(INDEX(campaigns!$BG$2:$BG$51,MATCH($B83,campaigns!$A$2:$A$51,0))="","",INDEX(campaigns!$BG$2:$BG$51,MATCH($B83,campaigns!$A$2:$A$51,0))),""))</f>
        <v>46441</v>
      </c>
      <c r="N83" s="30" t="n">
        <f aca="false">IF(OR($B83="",$E83="",$M83=""),"",IF($E83&lt;$M83,0,NETWORKDAYS($M83,$E83,calendar!$A$2:$A$80)))</f>
        <v>5</v>
      </c>
      <c r="O83" s="30" t="str">
        <f aca="false">IF($B83="","",IF(AND($K83="Y",OR($D83="later",$J83="Y")),"Y","N"))</f>
        <v>Y</v>
      </c>
      <c r="P83" s="30" t="str">
        <f aca="false">IF(OR($B83="",$E83=""),"",$B83&amp;"_"&amp;$C83&amp;"_"&amp;$D83&amp;"_"&amp;TEXT($E83,"yyyy-mm-dd")&amp;".jpg")</f>
        <v>SAMPLE-CMP-006_SAMPLE-O-002_later_2027-03-01.jpg</v>
      </c>
      <c r="Q83" s="30" t="str">
        <f aca="false">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30" t="str">
        <f aca="false">IF($B83="","",$B83&amp;"|"&amp;$C83&amp;"|"&amp;$D83&amp;"|"&amp;$O83)</f>
        <v>SAMPLE-CMP-006|SAMPLE-O-002|later|Y</v>
      </c>
      <c r="S83" s="30" t="str">
        <f aca="false">IF($B83="","",$R83&amp;"|"&amp;N($E83))</f>
        <v>SAMPLE-CMP-006|SAMPLE-O-002|later|Y|46447</v>
      </c>
    </row>
    <row r="84" customFormat="false" ht="15" hidden="false" customHeight="false" outlineLevel="0" collapsed="false">
      <c r="A84" s="0" t="s">
        <v>906</v>
      </c>
      <c r="B84" s="0" t="s">
        <v>563</v>
      </c>
      <c r="C84" s="0" t="s">
        <v>683</v>
      </c>
      <c r="D84" s="10" t="s">
        <v>968</v>
      </c>
      <c r="E84" s="11" t="n">
        <v>46441</v>
      </c>
      <c r="F84" s="38" t="n">
        <v>0.541666666666667</v>
      </c>
      <c r="G84" s="10" t="s">
        <v>137</v>
      </c>
      <c r="H84" s="10" t="s">
        <v>1058</v>
      </c>
      <c r="I84" s="11" t="n">
        <v>46441</v>
      </c>
      <c r="J84" s="10" t="s">
        <v>486</v>
      </c>
      <c r="K84" s="10" t="s">
        <v>486</v>
      </c>
      <c r="M84" s="31" t="n">
        <f aca="false">IF($B84="","",IFERROR(IF(INDEX(campaigns!$BG$2:$BG$51,MATCH($B84,campaigns!$A$2:$A$51,0))="","",INDEX(campaigns!$BG$2:$BG$51,MATCH($B84,campaigns!$A$2:$A$51,0))),""))</f>
        <v>46441</v>
      </c>
      <c r="N84" s="30" t="n">
        <f aca="false">IF(OR($B84="",$E84="",$M84=""),"",IF($E84&lt;$M84,0,NETWORKDAYS($M84,$E84,calendar!$A$2:$A$80)))</f>
        <v>1</v>
      </c>
      <c r="O84" s="30" t="str">
        <f aca="false">IF($B84="","",IF(AND($K84="Y",OR($D84="later",$J84="Y")),"Y","N"))</f>
        <v>Y</v>
      </c>
      <c r="P84" s="30" t="str">
        <f aca="false">IF(OR($B84="",$E84=""),"",$B84&amp;"_"&amp;$C84&amp;"_"&amp;$D84&amp;"_"&amp;TEXT($E84,"yyyy-mm-dd")&amp;".jpg")</f>
        <v>SAMPLE-CMP-006_SAMPLE-O-003_placement_2027-02-23.jpg</v>
      </c>
      <c r="Q84" s="30" t="str">
        <f aca="false">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30" t="str">
        <f aca="false">IF($B84="","",$B84&amp;"|"&amp;$C84&amp;"|"&amp;$D84&amp;"|"&amp;$O84)</f>
        <v>SAMPLE-CMP-006|SAMPLE-O-003|placement|Y</v>
      </c>
      <c r="S84" s="30" t="str">
        <f aca="false">IF($B84="","",$R84&amp;"|"&amp;N($E84))</f>
        <v>SAMPLE-CMP-006|SAMPLE-O-003|placement|Y|46441</v>
      </c>
    </row>
    <row r="85" customFormat="false" ht="15" hidden="false" customHeight="false" outlineLevel="0" collapsed="false">
      <c r="A85" s="0" t="s">
        <v>907</v>
      </c>
      <c r="B85" s="0" t="s">
        <v>563</v>
      </c>
      <c r="C85" s="0" t="s">
        <v>683</v>
      </c>
      <c r="D85" s="10" t="s">
        <v>970</v>
      </c>
      <c r="E85" s="11" t="n">
        <v>46447</v>
      </c>
      <c r="F85" s="38" t="n">
        <v>0.625</v>
      </c>
      <c r="G85" s="10" t="s">
        <v>137</v>
      </c>
      <c r="H85" s="10" t="s">
        <v>1059</v>
      </c>
      <c r="I85" s="11" t="n">
        <v>46447</v>
      </c>
      <c r="J85" s="10" t="s">
        <v>486</v>
      </c>
      <c r="K85" s="10" t="s">
        <v>486</v>
      </c>
      <c r="M85" s="31" t="n">
        <f aca="false">IF($B85="","",IFERROR(IF(INDEX(campaigns!$BG$2:$BG$51,MATCH($B85,campaigns!$A$2:$A$51,0))="","",INDEX(campaigns!$BG$2:$BG$51,MATCH($B85,campaigns!$A$2:$A$51,0))),""))</f>
        <v>46441</v>
      </c>
      <c r="N85" s="30" t="n">
        <f aca="false">IF(OR($B85="",$E85="",$M85=""),"",IF($E85&lt;$M85,0,NETWORKDAYS($M85,$E85,calendar!$A$2:$A$80)))</f>
        <v>5</v>
      </c>
      <c r="O85" s="30" t="str">
        <f aca="false">IF($B85="","",IF(AND($K85="Y",OR($D85="later",$J85="Y")),"Y","N"))</f>
        <v>Y</v>
      </c>
      <c r="P85" s="30" t="str">
        <f aca="false">IF(OR($B85="",$E85=""),"",$B85&amp;"_"&amp;$C85&amp;"_"&amp;$D85&amp;"_"&amp;TEXT($E85,"yyyy-mm-dd")&amp;".jpg")</f>
        <v>SAMPLE-CMP-006_SAMPLE-O-003_later_2027-03-01.jpg</v>
      </c>
      <c r="Q85" s="30" t="str">
        <f aca="false">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30" t="str">
        <f aca="false">IF($B85="","",$B85&amp;"|"&amp;$C85&amp;"|"&amp;$D85&amp;"|"&amp;$O85)</f>
        <v>SAMPLE-CMP-006|SAMPLE-O-003|later|Y</v>
      </c>
      <c r="S85" s="30" t="str">
        <f aca="false">IF($B85="","",$R85&amp;"|"&amp;N($E85))</f>
        <v>SAMPLE-CMP-006|SAMPLE-O-003|later|Y|46447</v>
      </c>
    </row>
    <row r="86" customFormat="false" ht="15" hidden="false" customHeight="false" outlineLevel="0" collapsed="false">
      <c r="A86" s="0" t="s">
        <v>908</v>
      </c>
      <c r="B86" s="0" t="s">
        <v>563</v>
      </c>
      <c r="C86" s="0" t="s">
        <v>686</v>
      </c>
      <c r="D86" s="10" t="s">
        <v>968</v>
      </c>
      <c r="E86" s="11" t="n">
        <v>46441</v>
      </c>
      <c r="F86" s="38" t="n">
        <v>0.541666666666667</v>
      </c>
      <c r="G86" s="10" t="s">
        <v>137</v>
      </c>
      <c r="H86" s="10" t="s">
        <v>1060</v>
      </c>
      <c r="I86" s="11" t="n">
        <v>46441</v>
      </c>
      <c r="J86" s="10" t="s">
        <v>486</v>
      </c>
      <c r="K86" s="10" t="s">
        <v>486</v>
      </c>
      <c r="M86" s="31" t="n">
        <f aca="false">IF($B86="","",IFERROR(IF(INDEX(campaigns!$BG$2:$BG$51,MATCH($B86,campaigns!$A$2:$A$51,0))="","",INDEX(campaigns!$BG$2:$BG$51,MATCH($B86,campaigns!$A$2:$A$51,0))),""))</f>
        <v>46441</v>
      </c>
      <c r="N86" s="30" t="n">
        <f aca="false">IF(OR($B86="",$E86="",$M86=""),"",IF($E86&lt;$M86,0,NETWORKDAYS($M86,$E86,calendar!$A$2:$A$80)))</f>
        <v>1</v>
      </c>
      <c r="O86" s="30" t="str">
        <f aca="false">IF($B86="","",IF(AND($K86="Y",OR($D86="later",$J86="Y")),"Y","N"))</f>
        <v>Y</v>
      </c>
      <c r="P86" s="30" t="str">
        <f aca="false">IF(OR($B86="",$E86=""),"",$B86&amp;"_"&amp;$C86&amp;"_"&amp;$D86&amp;"_"&amp;TEXT($E86,"yyyy-mm-dd")&amp;".jpg")</f>
        <v>SAMPLE-CMP-006_SAMPLE-O-004_placement_2027-02-23.jpg</v>
      </c>
      <c r="Q86" s="30" t="str">
        <f aca="false">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30" t="str">
        <f aca="false">IF($B86="","",$B86&amp;"|"&amp;$C86&amp;"|"&amp;$D86&amp;"|"&amp;$O86)</f>
        <v>SAMPLE-CMP-006|SAMPLE-O-004|placement|Y</v>
      </c>
      <c r="S86" s="30" t="str">
        <f aca="false">IF($B86="","",$R86&amp;"|"&amp;N($E86))</f>
        <v>SAMPLE-CMP-006|SAMPLE-O-004|placement|Y|46441</v>
      </c>
    </row>
    <row r="87" customFormat="false" ht="15" hidden="false" customHeight="false" outlineLevel="0" collapsed="false">
      <c r="A87" s="0" t="s">
        <v>909</v>
      </c>
      <c r="B87" s="0" t="s">
        <v>563</v>
      </c>
      <c r="C87" s="0" t="s">
        <v>686</v>
      </c>
      <c r="D87" s="10" t="s">
        <v>970</v>
      </c>
      <c r="E87" s="11" t="n">
        <v>46447</v>
      </c>
      <c r="F87" s="38" t="n">
        <v>0.625</v>
      </c>
      <c r="G87" s="10" t="s">
        <v>137</v>
      </c>
      <c r="H87" s="10" t="s">
        <v>1061</v>
      </c>
      <c r="I87" s="11" t="n">
        <v>46447</v>
      </c>
      <c r="J87" s="10" t="s">
        <v>486</v>
      </c>
      <c r="K87" s="10" t="s">
        <v>486</v>
      </c>
      <c r="M87" s="31" t="n">
        <f aca="false">IF($B87="","",IFERROR(IF(INDEX(campaigns!$BG$2:$BG$51,MATCH($B87,campaigns!$A$2:$A$51,0))="","",INDEX(campaigns!$BG$2:$BG$51,MATCH($B87,campaigns!$A$2:$A$51,0))),""))</f>
        <v>46441</v>
      </c>
      <c r="N87" s="30" t="n">
        <f aca="false">IF(OR($B87="",$E87="",$M87=""),"",IF($E87&lt;$M87,0,NETWORKDAYS($M87,$E87,calendar!$A$2:$A$80)))</f>
        <v>5</v>
      </c>
      <c r="O87" s="30" t="str">
        <f aca="false">IF($B87="","",IF(AND($K87="Y",OR($D87="later",$J87="Y")),"Y","N"))</f>
        <v>Y</v>
      </c>
      <c r="P87" s="30" t="str">
        <f aca="false">IF(OR($B87="",$E87=""),"",$B87&amp;"_"&amp;$C87&amp;"_"&amp;$D87&amp;"_"&amp;TEXT($E87,"yyyy-mm-dd")&amp;".jpg")</f>
        <v>SAMPLE-CMP-006_SAMPLE-O-004_later_2027-03-01.jpg</v>
      </c>
      <c r="Q87" s="30" t="str">
        <f aca="false">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30" t="str">
        <f aca="false">IF($B87="","",$B87&amp;"|"&amp;$C87&amp;"|"&amp;$D87&amp;"|"&amp;$O87)</f>
        <v>SAMPLE-CMP-006|SAMPLE-O-004|later|Y</v>
      </c>
      <c r="S87" s="30" t="str">
        <f aca="false">IF($B87="","",$R87&amp;"|"&amp;N($E87))</f>
        <v>SAMPLE-CMP-006|SAMPLE-O-004|later|Y|46447</v>
      </c>
    </row>
    <row r="88" customFormat="false" ht="15" hidden="false" customHeight="false" outlineLevel="0" collapsed="false">
      <c r="A88" s="0" t="s">
        <v>910</v>
      </c>
      <c r="B88" s="0" t="s">
        <v>563</v>
      </c>
      <c r="C88" s="0" t="s">
        <v>688</v>
      </c>
      <c r="D88" s="10" t="s">
        <v>968</v>
      </c>
      <c r="E88" s="11" t="n">
        <v>46441</v>
      </c>
      <c r="F88" s="38" t="n">
        <v>0.541666666666667</v>
      </c>
      <c r="G88" s="10" t="s">
        <v>137</v>
      </c>
      <c r="H88" s="10" t="s">
        <v>1062</v>
      </c>
      <c r="I88" s="11" t="n">
        <v>46441</v>
      </c>
      <c r="J88" s="10" t="s">
        <v>486</v>
      </c>
      <c r="K88" s="10" t="s">
        <v>486</v>
      </c>
      <c r="M88" s="31" t="n">
        <f aca="false">IF($B88="","",IFERROR(IF(INDEX(campaigns!$BG$2:$BG$51,MATCH($B88,campaigns!$A$2:$A$51,0))="","",INDEX(campaigns!$BG$2:$BG$51,MATCH($B88,campaigns!$A$2:$A$51,0))),""))</f>
        <v>46441</v>
      </c>
      <c r="N88" s="30" t="n">
        <f aca="false">IF(OR($B88="",$E88="",$M88=""),"",IF($E88&lt;$M88,0,NETWORKDAYS($M88,$E88,calendar!$A$2:$A$80)))</f>
        <v>1</v>
      </c>
      <c r="O88" s="30" t="str">
        <f aca="false">IF($B88="","",IF(AND($K88="Y",OR($D88="later",$J88="Y")),"Y","N"))</f>
        <v>Y</v>
      </c>
      <c r="P88" s="30" t="str">
        <f aca="false">IF(OR($B88="",$E88=""),"",$B88&amp;"_"&amp;$C88&amp;"_"&amp;$D88&amp;"_"&amp;TEXT($E88,"yyyy-mm-dd")&amp;".jpg")</f>
        <v>SAMPLE-CMP-006_SAMPLE-O-005_placement_2027-02-23.jpg</v>
      </c>
      <c r="Q88" s="30" t="str">
        <f aca="false">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30" t="str">
        <f aca="false">IF($B88="","",$B88&amp;"|"&amp;$C88&amp;"|"&amp;$D88&amp;"|"&amp;$O88)</f>
        <v>SAMPLE-CMP-006|SAMPLE-O-005|placement|Y</v>
      </c>
      <c r="S88" s="30" t="str">
        <f aca="false">IF($B88="","",$R88&amp;"|"&amp;N($E88))</f>
        <v>SAMPLE-CMP-006|SAMPLE-O-005|placement|Y|46441</v>
      </c>
    </row>
    <row r="89" customFormat="false" ht="15" hidden="false" customHeight="false" outlineLevel="0" collapsed="false">
      <c r="A89" s="0" t="s">
        <v>911</v>
      </c>
      <c r="B89" s="0" t="s">
        <v>563</v>
      </c>
      <c r="C89" s="0" t="s">
        <v>688</v>
      </c>
      <c r="D89" s="10" t="s">
        <v>970</v>
      </c>
      <c r="E89" s="11" t="n">
        <v>46447</v>
      </c>
      <c r="F89" s="38" t="n">
        <v>0.625</v>
      </c>
      <c r="G89" s="10" t="s">
        <v>137</v>
      </c>
      <c r="H89" s="10" t="s">
        <v>1063</v>
      </c>
      <c r="I89" s="11" t="n">
        <v>46447</v>
      </c>
      <c r="J89" s="10" t="s">
        <v>486</v>
      </c>
      <c r="K89" s="10" t="s">
        <v>486</v>
      </c>
      <c r="M89" s="31" t="n">
        <f aca="false">IF($B89="","",IFERROR(IF(INDEX(campaigns!$BG$2:$BG$51,MATCH($B89,campaigns!$A$2:$A$51,0))="","",INDEX(campaigns!$BG$2:$BG$51,MATCH($B89,campaigns!$A$2:$A$51,0))),""))</f>
        <v>46441</v>
      </c>
      <c r="N89" s="30" t="n">
        <f aca="false">IF(OR($B89="",$E89="",$M89=""),"",IF($E89&lt;$M89,0,NETWORKDAYS($M89,$E89,calendar!$A$2:$A$80)))</f>
        <v>5</v>
      </c>
      <c r="O89" s="30" t="str">
        <f aca="false">IF($B89="","",IF(AND($K89="Y",OR($D89="later",$J89="Y")),"Y","N"))</f>
        <v>Y</v>
      </c>
      <c r="P89" s="30" t="str">
        <f aca="false">IF(OR($B89="",$E89=""),"",$B89&amp;"_"&amp;$C89&amp;"_"&amp;$D89&amp;"_"&amp;TEXT($E89,"yyyy-mm-dd")&amp;".jpg")</f>
        <v>SAMPLE-CMP-006_SAMPLE-O-005_later_2027-03-01.jpg</v>
      </c>
      <c r="Q89" s="30" t="str">
        <f aca="false">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30" t="str">
        <f aca="false">IF($B89="","",$B89&amp;"|"&amp;$C89&amp;"|"&amp;$D89&amp;"|"&amp;$O89)</f>
        <v>SAMPLE-CMP-006|SAMPLE-O-005|later|Y</v>
      </c>
      <c r="S89" s="30" t="str">
        <f aca="false">IF($B89="","",$R89&amp;"|"&amp;N($E89))</f>
        <v>SAMPLE-CMP-006|SAMPLE-O-005|later|Y|46447</v>
      </c>
    </row>
    <row r="90" customFormat="false" ht="15" hidden="false" customHeight="false" outlineLevel="0" collapsed="false">
      <c r="A90" s="0" t="s">
        <v>912</v>
      </c>
      <c r="B90" s="0" t="s">
        <v>563</v>
      </c>
      <c r="C90" s="0" t="s">
        <v>692</v>
      </c>
      <c r="D90" s="10" t="s">
        <v>968</v>
      </c>
      <c r="E90" s="11" t="n">
        <v>46441</v>
      </c>
      <c r="F90" s="38" t="n">
        <v>0.541666666666667</v>
      </c>
      <c r="G90" s="10" t="s">
        <v>137</v>
      </c>
      <c r="H90" s="10" t="s">
        <v>1064</v>
      </c>
      <c r="I90" s="11" t="n">
        <v>46441</v>
      </c>
      <c r="J90" s="10" t="s">
        <v>486</v>
      </c>
      <c r="K90" s="10" t="s">
        <v>486</v>
      </c>
      <c r="M90" s="31" t="n">
        <f aca="false">IF($B90="","",IFERROR(IF(INDEX(campaigns!$BG$2:$BG$51,MATCH($B90,campaigns!$A$2:$A$51,0))="","",INDEX(campaigns!$BG$2:$BG$51,MATCH($B90,campaigns!$A$2:$A$51,0))),""))</f>
        <v>46441</v>
      </c>
      <c r="N90" s="30" t="n">
        <f aca="false">IF(OR($B90="",$E90="",$M90=""),"",IF($E90&lt;$M90,0,NETWORKDAYS($M90,$E90,calendar!$A$2:$A$80)))</f>
        <v>1</v>
      </c>
      <c r="O90" s="30" t="str">
        <f aca="false">IF($B90="","",IF(AND($K90="Y",OR($D90="later",$J90="Y")),"Y","N"))</f>
        <v>Y</v>
      </c>
      <c r="P90" s="30" t="str">
        <f aca="false">IF(OR($B90="",$E90=""),"",$B90&amp;"_"&amp;$C90&amp;"_"&amp;$D90&amp;"_"&amp;TEXT($E90,"yyyy-mm-dd")&amp;".jpg")</f>
        <v>SAMPLE-CMP-006_SAMPLE-O-007_placement_2027-02-23.jpg</v>
      </c>
      <c r="Q90" s="30" t="str">
        <f aca="false">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30" t="str">
        <f aca="false">IF($B90="","",$B90&amp;"|"&amp;$C90&amp;"|"&amp;$D90&amp;"|"&amp;$O90)</f>
        <v>SAMPLE-CMP-006|SAMPLE-O-007|placement|Y</v>
      </c>
      <c r="S90" s="30" t="str">
        <f aca="false">IF($B90="","",$R90&amp;"|"&amp;N($E90))</f>
        <v>SAMPLE-CMP-006|SAMPLE-O-007|placement|Y|46441</v>
      </c>
    </row>
    <row r="91" customFormat="false" ht="15" hidden="false" customHeight="false" outlineLevel="0" collapsed="false">
      <c r="A91" s="0" t="s">
        <v>913</v>
      </c>
      <c r="B91" s="0" t="s">
        <v>563</v>
      </c>
      <c r="C91" s="0" t="s">
        <v>692</v>
      </c>
      <c r="D91" s="10" t="s">
        <v>970</v>
      </c>
      <c r="E91" s="11" t="n">
        <v>46447</v>
      </c>
      <c r="F91" s="38" t="n">
        <v>0.625</v>
      </c>
      <c r="G91" s="10" t="s">
        <v>137</v>
      </c>
      <c r="H91" s="10" t="s">
        <v>1065</v>
      </c>
      <c r="I91" s="11" t="n">
        <v>46447</v>
      </c>
      <c r="J91" s="10" t="s">
        <v>486</v>
      </c>
      <c r="K91" s="10" t="s">
        <v>486</v>
      </c>
      <c r="M91" s="31" t="n">
        <f aca="false">IF($B91="","",IFERROR(IF(INDEX(campaigns!$BG$2:$BG$51,MATCH($B91,campaigns!$A$2:$A$51,0))="","",INDEX(campaigns!$BG$2:$BG$51,MATCH($B91,campaigns!$A$2:$A$51,0))),""))</f>
        <v>46441</v>
      </c>
      <c r="N91" s="30" t="n">
        <f aca="false">IF(OR($B91="",$E91="",$M91=""),"",IF($E91&lt;$M91,0,NETWORKDAYS($M91,$E91,calendar!$A$2:$A$80)))</f>
        <v>5</v>
      </c>
      <c r="O91" s="30" t="str">
        <f aca="false">IF($B91="","",IF(AND($K91="Y",OR($D91="later",$J91="Y")),"Y","N"))</f>
        <v>Y</v>
      </c>
      <c r="P91" s="30" t="str">
        <f aca="false">IF(OR($B91="",$E91=""),"",$B91&amp;"_"&amp;$C91&amp;"_"&amp;$D91&amp;"_"&amp;TEXT($E91,"yyyy-mm-dd")&amp;".jpg")</f>
        <v>SAMPLE-CMP-006_SAMPLE-O-007_later_2027-03-01.jpg</v>
      </c>
      <c r="Q91" s="30" t="str">
        <f aca="false">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30" t="str">
        <f aca="false">IF($B91="","",$B91&amp;"|"&amp;$C91&amp;"|"&amp;$D91&amp;"|"&amp;$O91)</f>
        <v>SAMPLE-CMP-006|SAMPLE-O-007|later|Y</v>
      </c>
      <c r="S91" s="30" t="str">
        <f aca="false">IF($B91="","",$R91&amp;"|"&amp;N($E91))</f>
        <v>SAMPLE-CMP-006|SAMPLE-O-007|later|Y|46447</v>
      </c>
    </row>
    <row r="92" customFormat="false" ht="15" hidden="false" customHeight="false" outlineLevel="0" collapsed="false">
      <c r="A92" s="0" t="s">
        <v>914</v>
      </c>
      <c r="B92" s="0" t="s">
        <v>563</v>
      </c>
      <c r="C92" s="0" t="s">
        <v>694</v>
      </c>
      <c r="D92" s="10" t="s">
        <v>968</v>
      </c>
      <c r="E92" s="11" t="n">
        <v>46441</v>
      </c>
      <c r="F92" s="38" t="n">
        <v>0.541666666666667</v>
      </c>
      <c r="G92" s="10" t="s">
        <v>137</v>
      </c>
      <c r="H92" s="10" t="s">
        <v>1066</v>
      </c>
      <c r="I92" s="11" t="n">
        <v>46441</v>
      </c>
      <c r="J92" s="10" t="s">
        <v>486</v>
      </c>
      <c r="K92" s="10" t="s">
        <v>486</v>
      </c>
      <c r="M92" s="31" t="n">
        <f aca="false">IF($B92="","",IFERROR(IF(INDEX(campaigns!$BG$2:$BG$51,MATCH($B92,campaigns!$A$2:$A$51,0))="","",INDEX(campaigns!$BG$2:$BG$51,MATCH($B92,campaigns!$A$2:$A$51,0))),""))</f>
        <v>46441</v>
      </c>
      <c r="N92" s="30" t="n">
        <f aca="false">IF(OR($B92="",$E92="",$M92=""),"",IF($E92&lt;$M92,0,NETWORKDAYS($M92,$E92,calendar!$A$2:$A$80)))</f>
        <v>1</v>
      </c>
      <c r="O92" s="30" t="str">
        <f aca="false">IF($B92="","",IF(AND($K92="Y",OR($D92="later",$J92="Y")),"Y","N"))</f>
        <v>Y</v>
      </c>
      <c r="P92" s="30" t="str">
        <f aca="false">IF(OR($B92="",$E92=""),"",$B92&amp;"_"&amp;$C92&amp;"_"&amp;$D92&amp;"_"&amp;TEXT($E92,"yyyy-mm-dd")&amp;".jpg")</f>
        <v>SAMPLE-CMP-006_SAMPLE-O-008_placement_2027-02-23.jpg</v>
      </c>
      <c r="Q92" s="30" t="str">
        <f aca="false">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30" t="str">
        <f aca="false">IF($B92="","",$B92&amp;"|"&amp;$C92&amp;"|"&amp;$D92&amp;"|"&amp;$O92)</f>
        <v>SAMPLE-CMP-006|SAMPLE-O-008|placement|Y</v>
      </c>
      <c r="S92" s="30" t="str">
        <f aca="false">IF($B92="","",$R92&amp;"|"&amp;N($E92))</f>
        <v>SAMPLE-CMP-006|SAMPLE-O-008|placement|Y|46441</v>
      </c>
    </row>
    <row r="93" customFormat="false" ht="15" hidden="false" customHeight="false" outlineLevel="0" collapsed="false">
      <c r="A93" s="0" t="s">
        <v>915</v>
      </c>
      <c r="B93" s="0" t="s">
        <v>563</v>
      </c>
      <c r="C93" s="0" t="s">
        <v>694</v>
      </c>
      <c r="D93" s="10" t="s">
        <v>970</v>
      </c>
      <c r="E93" s="11" t="n">
        <v>46447</v>
      </c>
      <c r="F93" s="38" t="n">
        <v>0.625</v>
      </c>
      <c r="G93" s="10" t="s">
        <v>137</v>
      </c>
      <c r="H93" s="10" t="s">
        <v>1067</v>
      </c>
      <c r="I93" s="11" t="n">
        <v>46447</v>
      </c>
      <c r="J93" s="10" t="s">
        <v>486</v>
      </c>
      <c r="K93" s="10" t="s">
        <v>486</v>
      </c>
      <c r="M93" s="31" t="n">
        <f aca="false">IF($B93="","",IFERROR(IF(INDEX(campaigns!$BG$2:$BG$51,MATCH($B93,campaigns!$A$2:$A$51,0))="","",INDEX(campaigns!$BG$2:$BG$51,MATCH($B93,campaigns!$A$2:$A$51,0))),""))</f>
        <v>46441</v>
      </c>
      <c r="N93" s="30" t="n">
        <f aca="false">IF(OR($B93="",$E93="",$M93=""),"",IF($E93&lt;$M93,0,NETWORKDAYS($M93,$E93,calendar!$A$2:$A$80)))</f>
        <v>5</v>
      </c>
      <c r="O93" s="30" t="str">
        <f aca="false">IF($B93="","",IF(AND($K93="Y",OR($D93="later",$J93="Y")),"Y","N"))</f>
        <v>Y</v>
      </c>
      <c r="P93" s="30" t="str">
        <f aca="false">IF(OR($B93="",$E93=""),"",$B93&amp;"_"&amp;$C93&amp;"_"&amp;$D93&amp;"_"&amp;TEXT($E93,"yyyy-mm-dd")&amp;".jpg")</f>
        <v>SAMPLE-CMP-006_SAMPLE-O-008_later_2027-03-01.jpg</v>
      </c>
      <c r="Q93" s="30" t="str">
        <f aca="false">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30" t="str">
        <f aca="false">IF($B93="","",$B93&amp;"|"&amp;$C93&amp;"|"&amp;$D93&amp;"|"&amp;$O93)</f>
        <v>SAMPLE-CMP-006|SAMPLE-O-008|later|Y</v>
      </c>
      <c r="S93" s="30" t="str">
        <f aca="false">IF($B93="","",$R93&amp;"|"&amp;N($E93))</f>
        <v>SAMPLE-CMP-006|SAMPLE-O-008|later|Y|46447</v>
      </c>
    </row>
    <row r="94" customFormat="false" ht="15" hidden="false" customHeight="false" outlineLevel="0" collapsed="false">
      <c r="A94" s="0" t="s">
        <v>916</v>
      </c>
      <c r="B94" s="0" t="s">
        <v>563</v>
      </c>
      <c r="C94" s="0" t="s">
        <v>696</v>
      </c>
      <c r="D94" s="10" t="s">
        <v>968</v>
      </c>
      <c r="E94" s="11" t="n">
        <v>46441</v>
      </c>
      <c r="F94" s="38" t="n">
        <v>0.541666666666667</v>
      </c>
      <c r="G94" s="10" t="s">
        <v>137</v>
      </c>
      <c r="H94" s="10" t="s">
        <v>1068</v>
      </c>
      <c r="I94" s="11" t="n">
        <v>46441</v>
      </c>
      <c r="J94" s="10" t="s">
        <v>486</v>
      </c>
      <c r="K94" s="10" t="s">
        <v>486</v>
      </c>
      <c r="M94" s="31" t="n">
        <f aca="false">IF($B94="","",IFERROR(IF(INDEX(campaigns!$BG$2:$BG$51,MATCH($B94,campaigns!$A$2:$A$51,0))="","",INDEX(campaigns!$BG$2:$BG$51,MATCH($B94,campaigns!$A$2:$A$51,0))),""))</f>
        <v>46441</v>
      </c>
      <c r="N94" s="30" t="n">
        <f aca="false">IF(OR($B94="",$E94="",$M94=""),"",IF($E94&lt;$M94,0,NETWORKDAYS($M94,$E94,calendar!$A$2:$A$80)))</f>
        <v>1</v>
      </c>
      <c r="O94" s="30" t="str">
        <f aca="false">IF($B94="","",IF(AND($K94="Y",OR($D94="later",$J94="Y")),"Y","N"))</f>
        <v>Y</v>
      </c>
      <c r="P94" s="30" t="str">
        <f aca="false">IF(OR($B94="",$E94=""),"",$B94&amp;"_"&amp;$C94&amp;"_"&amp;$D94&amp;"_"&amp;TEXT($E94,"yyyy-mm-dd")&amp;".jpg")</f>
        <v>SAMPLE-CMP-006_SAMPLE-O-009_placement_2027-02-23.jpg</v>
      </c>
      <c r="Q94" s="30" t="str">
        <f aca="false">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30" t="str">
        <f aca="false">IF($B94="","",$B94&amp;"|"&amp;$C94&amp;"|"&amp;$D94&amp;"|"&amp;$O94)</f>
        <v>SAMPLE-CMP-006|SAMPLE-O-009|placement|Y</v>
      </c>
      <c r="S94" s="30" t="str">
        <f aca="false">IF($B94="","",$R94&amp;"|"&amp;N($E94))</f>
        <v>SAMPLE-CMP-006|SAMPLE-O-009|placement|Y|46441</v>
      </c>
    </row>
    <row r="95" customFormat="false" ht="15" hidden="false" customHeight="false" outlineLevel="0" collapsed="false">
      <c r="A95" s="0" t="s">
        <v>917</v>
      </c>
      <c r="B95" s="0" t="s">
        <v>563</v>
      </c>
      <c r="C95" s="0" t="s">
        <v>696</v>
      </c>
      <c r="D95" s="10" t="s">
        <v>970</v>
      </c>
      <c r="E95" s="11" t="n">
        <v>46447</v>
      </c>
      <c r="F95" s="38" t="n">
        <v>0.625</v>
      </c>
      <c r="G95" s="10" t="s">
        <v>137</v>
      </c>
      <c r="H95" s="10" t="s">
        <v>1069</v>
      </c>
      <c r="I95" s="11" t="n">
        <v>46447</v>
      </c>
      <c r="J95" s="10" t="s">
        <v>486</v>
      </c>
      <c r="K95" s="10" t="s">
        <v>486</v>
      </c>
      <c r="M95" s="31" t="n">
        <f aca="false">IF($B95="","",IFERROR(IF(INDEX(campaigns!$BG$2:$BG$51,MATCH($B95,campaigns!$A$2:$A$51,0))="","",INDEX(campaigns!$BG$2:$BG$51,MATCH($B95,campaigns!$A$2:$A$51,0))),""))</f>
        <v>46441</v>
      </c>
      <c r="N95" s="30" t="n">
        <f aca="false">IF(OR($B95="",$E95="",$M95=""),"",IF($E95&lt;$M95,0,NETWORKDAYS($M95,$E95,calendar!$A$2:$A$80)))</f>
        <v>5</v>
      </c>
      <c r="O95" s="30" t="str">
        <f aca="false">IF($B95="","",IF(AND($K95="Y",OR($D95="later",$J95="Y")),"Y","N"))</f>
        <v>Y</v>
      </c>
      <c r="P95" s="30" t="str">
        <f aca="false">IF(OR($B95="",$E95=""),"",$B95&amp;"_"&amp;$C95&amp;"_"&amp;$D95&amp;"_"&amp;TEXT($E95,"yyyy-mm-dd")&amp;".jpg")</f>
        <v>SAMPLE-CMP-006_SAMPLE-O-009_later_2027-03-01.jpg</v>
      </c>
      <c r="Q95" s="30" t="str">
        <f aca="false">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30" t="str">
        <f aca="false">IF($B95="","",$B95&amp;"|"&amp;$C95&amp;"|"&amp;$D95&amp;"|"&amp;$O95)</f>
        <v>SAMPLE-CMP-006|SAMPLE-O-009|later|Y</v>
      </c>
      <c r="S95" s="30" t="str">
        <f aca="false">IF($B95="","",$R95&amp;"|"&amp;N($E95))</f>
        <v>SAMPLE-CMP-006|SAMPLE-O-009|later|Y|46447</v>
      </c>
    </row>
    <row r="96" customFormat="false" ht="15" hidden="false" customHeight="false" outlineLevel="0" collapsed="false">
      <c r="A96" s="0" t="s">
        <v>918</v>
      </c>
      <c r="B96" s="0" t="s">
        <v>563</v>
      </c>
      <c r="C96" s="0" t="s">
        <v>698</v>
      </c>
      <c r="D96" s="10" t="s">
        <v>968</v>
      </c>
      <c r="E96" s="11" t="n">
        <v>46441</v>
      </c>
      <c r="F96" s="38" t="n">
        <v>0.541666666666667</v>
      </c>
      <c r="G96" s="10" t="s">
        <v>137</v>
      </c>
      <c r="H96" s="10" t="s">
        <v>1070</v>
      </c>
      <c r="I96" s="11" t="n">
        <v>46441</v>
      </c>
      <c r="J96" s="10" t="s">
        <v>486</v>
      </c>
      <c r="K96" s="10" t="s">
        <v>486</v>
      </c>
      <c r="M96" s="31" t="n">
        <f aca="false">IF($B96="","",IFERROR(IF(INDEX(campaigns!$BG$2:$BG$51,MATCH($B96,campaigns!$A$2:$A$51,0))="","",INDEX(campaigns!$BG$2:$BG$51,MATCH($B96,campaigns!$A$2:$A$51,0))),""))</f>
        <v>46441</v>
      </c>
      <c r="N96" s="30" t="n">
        <f aca="false">IF(OR($B96="",$E96="",$M96=""),"",IF($E96&lt;$M96,0,NETWORKDAYS($M96,$E96,calendar!$A$2:$A$80)))</f>
        <v>1</v>
      </c>
      <c r="O96" s="30" t="str">
        <f aca="false">IF($B96="","",IF(AND($K96="Y",OR($D96="later",$J96="Y")),"Y","N"))</f>
        <v>Y</v>
      </c>
      <c r="P96" s="30" t="str">
        <f aca="false">IF(OR($B96="",$E96=""),"",$B96&amp;"_"&amp;$C96&amp;"_"&amp;$D96&amp;"_"&amp;TEXT($E96,"yyyy-mm-dd")&amp;".jpg")</f>
        <v>SAMPLE-CMP-006_SAMPLE-O-010_placement_2027-02-23.jpg</v>
      </c>
      <c r="Q96" s="30" t="str">
        <f aca="false">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30" t="str">
        <f aca="false">IF($B96="","",$B96&amp;"|"&amp;$C96&amp;"|"&amp;$D96&amp;"|"&amp;$O96)</f>
        <v>SAMPLE-CMP-006|SAMPLE-O-010|placement|Y</v>
      </c>
      <c r="S96" s="30" t="str">
        <f aca="false">IF($B96="","",$R96&amp;"|"&amp;N($E96))</f>
        <v>SAMPLE-CMP-006|SAMPLE-O-010|placement|Y|46441</v>
      </c>
    </row>
    <row r="97" customFormat="false" ht="15" hidden="false" customHeight="false" outlineLevel="0" collapsed="false">
      <c r="A97" s="0" t="s">
        <v>919</v>
      </c>
      <c r="B97" s="0" t="s">
        <v>563</v>
      </c>
      <c r="C97" s="0" t="s">
        <v>698</v>
      </c>
      <c r="D97" s="10" t="s">
        <v>970</v>
      </c>
      <c r="E97" s="11" t="n">
        <v>46447</v>
      </c>
      <c r="F97" s="38" t="n">
        <v>0.625</v>
      </c>
      <c r="G97" s="10" t="s">
        <v>137</v>
      </c>
      <c r="H97" s="10" t="s">
        <v>1071</v>
      </c>
      <c r="I97" s="11" t="n">
        <v>46447</v>
      </c>
      <c r="J97" s="10" t="s">
        <v>486</v>
      </c>
      <c r="K97" s="10" t="s">
        <v>486</v>
      </c>
      <c r="M97" s="31" t="n">
        <f aca="false">IF($B97="","",IFERROR(IF(INDEX(campaigns!$BG$2:$BG$51,MATCH($B97,campaigns!$A$2:$A$51,0))="","",INDEX(campaigns!$BG$2:$BG$51,MATCH($B97,campaigns!$A$2:$A$51,0))),""))</f>
        <v>46441</v>
      </c>
      <c r="N97" s="30" t="n">
        <f aca="false">IF(OR($B97="",$E97="",$M97=""),"",IF($E97&lt;$M97,0,NETWORKDAYS($M97,$E97,calendar!$A$2:$A$80)))</f>
        <v>5</v>
      </c>
      <c r="O97" s="30" t="str">
        <f aca="false">IF($B97="","",IF(AND($K97="Y",OR($D97="later",$J97="Y")),"Y","N"))</f>
        <v>Y</v>
      </c>
      <c r="P97" s="30" t="str">
        <f aca="false">IF(OR($B97="",$E97=""),"",$B97&amp;"_"&amp;$C97&amp;"_"&amp;$D97&amp;"_"&amp;TEXT($E97,"yyyy-mm-dd")&amp;".jpg")</f>
        <v>SAMPLE-CMP-006_SAMPLE-O-010_later_2027-03-01.jpg</v>
      </c>
      <c r="Q97" s="30" t="str">
        <f aca="false">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30" t="str">
        <f aca="false">IF($B97="","",$B97&amp;"|"&amp;$C97&amp;"|"&amp;$D97&amp;"|"&amp;$O97)</f>
        <v>SAMPLE-CMP-006|SAMPLE-O-010|later|Y</v>
      </c>
      <c r="S97" s="30" t="str">
        <f aca="false">IF($B97="","",$R97&amp;"|"&amp;N($E97))</f>
        <v>SAMPLE-CMP-006|SAMPLE-O-010|later|Y|46447</v>
      </c>
    </row>
    <row r="98" customFormat="false" ht="15" hidden="false" customHeight="false" outlineLevel="0" collapsed="false">
      <c r="A98" s="0" t="s">
        <v>920</v>
      </c>
      <c r="B98" s="0" t="s">
        <v>576</v>
      </c>
      <c r="C98" s="0" t="s">
        <v>678</v>
      </c>
      <c r="D98" s="10" t="s">
        <v>968</v>
      </c>
      <c r="E98" s="11" t="n">
        <v>46469</v>
      </c>
      <c r="F98" s="38" t="n">
        <v>0.541666666666667</v>
      </c>
      <c r="G98" s="10" t="s">
        <v>137</v>
      </c>
      <c r="H98" s="10" t="s">
        <v>1072</v>
      </c>
      <c r="I98" s="11" t="n">
        <v>46469</v>
      </c>
      <c r="J98" s="10" t="s">
        <v>486</v>
      </c>
      <c r="K98" s="10" t="s">
        <v>486</v>
      </c>
      <c r="M98" s="31" t="n">
        <f aca="false">IF($B98="","",IFERROR(IF(INDEX(campaigns!$BG$2:$BG$51,MATCH($B98,campaigns!$A$2:$A$51,0))="","",INDEX(campaigns!$BG$2:$BG$51,MATCH($B98,campaigns!$A$2:$A$51,0))),""))</f>
        <v>46469</v>
      </c>
      <c r="N98" s="30" t="n">
        <f aca="false">IF(OR($B98="",$E98="",$M98=""),"",IF($E98&lt;$M98,0,NETWORKDAYS($M98,$E98,calendar!$A$2:$A$80)))</f>
        <v>1</v>
      </c>
      <c r="O98" s="30" t="str">
        <f aca="false">IF($B98="","",IF(AND($K98="Y",OR($D98="later",$J98="Y")),"Y","N"))</f>
        <v>Y</v>
      </c>
      <c r="P98" s="30" t="str">
        <f aca="false">IF(OR($B98="",$E98=""),"",$B98&amp;"_"&amp;$C98&amp;"_"&amp;$D98&amp;"_"&amp;TEXT($E98,"yyyy-mm-dd")&amp;".jpg")</f>
        <v>SAMPLE-CMP-007_SAMPLE-O-001_placement_2027-03-23.jpg</v>
      </c>
      <c r="Q98" s="30" t="str">
        <f aca="false">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30" t="str">
        <f aca="false">IF($B98="","",$B98&amp;"|"&amp;$C98&amp;"|"&amp;$D98&amp;"|"&amp;$O98)</f>
        <v>SAMPLE-CMP-007|SAMPLE-O-001|placement|Y</v>
      </c>
      <c r="S98" s="30" t="str">
        <f aca="false">IF($B98="","",$R98&amp;"|"&amp;N($E98))</f>
        <v>SAMPLE-CMP-007|SAMPLE-O-001|placement|Y|46469</v>
      </c>
    </row>
    <row r="99" customFormat="false" ht="15" hidden="false" customHeight="false" outlineLevel="0" collapsed="false">
      <c r="A99" s="0" t="s">
        <v>921</v>
      </c>
      <c r="B99" s="0" t="s">
        <v>576</v>
      </c>
      <c r="C99" s="0" t="s">
        <v>678</v>
      </c>
      <c r="D99" s="10" t="s">
        <v>970</v>
      </c>
      <c r="E99" s="11" t="n">
        <v>46475</v>
      </c>
      <c r="F99" s="38" t="n">
        <v>0.625</v>
      </c>
      <c r="G99" s="10" t="s">
        <v>137</v>
      </c>
      <c r="H99" s="10" t="s">
        <v>1073</v>
      </c>
      <c r="I99" s="11" t="n">
        <v>46475</v>
      </c>
      <c r="J99" s="10" t="s">
        <v>486</v>
      </c>
      <c r="K99" s="10" t="s">
        <v>486</v>
      </c>
      <c r="M99" s="31" t="n">
        <f aca="false">IF($B99="","",IFERROR(IF(INDEX(campaigns!$BG$2:$BG$51,MATCH($B99,campaigns!$A$2:$A$51,0))="","",INDEX(campaigns!$BG$2:$BG$51,MATCH($B99,campaigns!$A$2:$A$51,0))),""))</f>
        <v>46469</v>
      </c>
      <c r="N99" s="30" t="n">
        <f aca="false">IF(OR($B99="",$E99="",$M99=""),"",IF($E99&lt;$M99,0,NETWORKDAYS($M99,$E99,calendar!$A$2:$A$80)))</f>
        <v>5</v>
      </c>
      <c r="O99" s="30" t="str">
        <f aca="false">IF($B99="","",IF(AND($K99="Y",OR($D99="later",$J99="Y")),"Y","N"))</f>
        <v>Y</v>
      </c>
      <c r="P99" s="30" t="str">
        <f aca="false">IF(OR($B99="",$E99=""),"",$B99&amp;"_"&amp;$C99&amp;"_"&amp;$D99&amp;"_"&amp;TEXT($E99,"yyyy-mm-dd")&amp;".jpg")</f>
        <v>SAMPLE-CMP-007_SAMPLE-O-001_later_2027-03-29.jpg</v>
      </c>
      <c r="Q99" s="30" t="str">
        <f aca="false">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30" t="str">
        <f aca="false">IF($B99="","",$B99&amp;"|"&amp;$C99&amp;"|"&amp;$D99&amp;"|"&amp;$O99)</f>
        <v>SAMPLE-CMP-007|SAMPLE-O-001|later|Y</v>
      </c>
      <c r="S99" s="30" t="str">
        <f aca="false">IF($B99="","",$R99&amp;"|"&amp;N($E99))</f>
        <v>SAMPLE-CMP-007|SAMPLE-O-001|later|Y|46475</v>
      </c>
    </row>
    <row r="100" customFormat="false" ht="15" hidden="false" customHeight="false" outlineLevel="0" collapsed="false">
      <c r="A100" s="0" t="s">
        <v>922</v>
      </c>
      <c r="B100" s="0" t="s">
        <v>576</v>
      </c>
      <c r="C100" s="0" t="s">
        <v>681</v>
      </c>
      <c r="D100" s="10" t="s">
        <v>968</v>
      </c>
      <c r="E100" s="11" t="n">
        <v>46469</v>
      </c>
      <c r="F100" s="38" t="n">
        <v>0.541666666666667</v>
      </c>
      <c r="G100" s="10" t="s">
        <v>137</v>
      </c>
      <c r="H100" s="10" t="s">
        <v>1074</v>
      </c>
      <c r="I100" s="11" t="n">
        <v>46469</v>
      </c>
      <c r="J100" s="10" t="s">
        <v>486</v>
      </c>
      <c r="K100" s="10" t="s">
        <v>486</v>
      </c>
      <c r="M100" s="31" t="n">
        <f aca="false">IF($B100="","",IFERROR(IF(INDEX(campaigns!$BG$2:$BG$51,MATCH($B100,campaigns!$A$2:$A$51,0))="","",INDEX(campaigns!$BG$2:$BG$51,MATCH($B100,campaigns!$A$2:$A$51,0))),""))</f>
        <v>46469</v>
      </c>
      <c r="N100" s="30" t="n">
        <f aca="false">IF(OR($B100="",$E100="",$M100=""),"",IF($E100&lt;$M100,0,NETWORKDAYS($M100,$E100,calendar!$A$2:$A$80)))</f>
        <v>1</v>
      </c>
      <c r="O100" s="30" t="str">
        <f aca="false">IF($B100="","",IF(AND($K100="Y",OR($D100="later",$J100="Y")),"Y","N"))</f>
        <v>Y</v>
      </c>
      <c r="P100" s="30" t="str">
        <f aca="false">IF(OR($B100="",$E100=""),"",$B100&amp;"_"&amp;$C100&amp;"_"&amp;$D100&amp;"_"&amp;TEXT($E100,"yyyy-mm-dd")&amp;".jpg")</f>
        <v>SAMPLE-CMP-007_SAMPLE-O-002_placement_2027-03-23.jpg</v>
      </c>
      <c r="Q100" s="30" t="str">
        <f aca="false">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30" t="str">
        <f aca="false">IF($B100="","",$B100&amp;"|"&amp;$C100&amp;"|"&amp;$D100&amp;"|"&amp;$O100)</f>
        <v>SAMPLE-CMP-007|SAMPLE-O-002|placement|Y</v>
      </c>
      <c r="S100" s="30" t="str">
        <f aca="false">IF($B100="","",$R100&amp;"|"&amp;N($E100))</f>
        <v>SAMPLE-CMP-007|SAMPLE-O-002|placement|Y|46469</v>
      </c>
    </row>
    <row r="101" customFormat="false" ht="15" hidden="false" customHeight="false" outlineLevel="0" collapsed="false">
      <c r="A101" s="0" t="s">
        <v>923</v>
      </c>
      <c r="B101" s="0" t="s">
        <v>576</v>
      </c>
      <c r="C101" s="0" t="s">
        <v>681</v>
      </c>
      <c r="D101" s="10" t="s">
        <v>970</v>
      </c>
      <c r="E101" s="11" t="n">
        <v>46475</v>
      </c>
      <c r="F101" s="38" t="n">
        <v>0.625</v>
      </c>
      <c r="G101" s="10" t="s">
        <v>137</v>
      </c>
      <c r="H101" s="10" t="s">
        <v>1075</v>
      </c>
      <c r="I101" s="11" t="n">
        <v>46475</v>
      </c>
      <c r="J101" s="10" t="s">
        <v>486</v>
      </c>
      <c r="K101" s="10" t="s">
        <v>486</v>
      </c>
      <c r="M101" s="31" t="n">
        <f aca="false">IF($B101="","",IFERROR(IF(INDEX(campaigns!$BG$2:$BG$51,MATCH($B101,campaigns!$A$2:$A$51,0))="","",INDEX(campaigns!$BG$2:$BG$51,MATCH($B101,campaigns!$A$2:$A$51,0))),""))</f>
        <v>46469</v>
      </c>
      <c r="N101" s="30" t="n">
        <f aca="false">IF(OR($B101="",$E101="",$M101=""),"",IF($E101&lt;$M101,0,NETWORKDAYS($M101,$E101,calendar!$A$2:$A$80)))</f>
        <v>5</v>
      </c>
      <c r="O101" s="30" t="str">
        <f aca="false">IF($B101="","",IF(AND($K101="Y",OR($D101="later",$J101="Y")),"Y","N"))</f>
        <v>Y</v>
      </c>
      <c r="P101" s="30" t="str">
        <f aca="false">IF(OR($B101="",$E101=""),"",$B101&amp;"_"&amp;$C101&amp;"_"&amp;$D101&amp;"_"&amp;TEXT($E101,"yyyy-mm-dd")&amp;".jpg")</f>
        <v>SAMPLE-CMP-007_SAMPLE-O-002_later_2027-03-29.jpg</v>
      </c>
      <c r="Q101" s="30" t="str">
        <f aca="false">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30" t="str">
        <f aca="false">IF($B101="","",$B101&amp;"|"&amp;$C101&amp;"|"&amp;$D101&amp;"|"&amp;$O101)</f>
        <v>SAMPLE-CMP-007|SAMPLE-O-002|later|Y</v>
      </c>
      <c r="S101" s="30" t="str">
        <f aca="false">IF($B101="","",$R101&amp;"|"&amp;N($E101))</f>
        <v>SAMPLE-CMP-007|SAMPLE-O-002|later|Y|46475</v>
      </c>
    </row>
    <row r="102" customFormat="false" ht="15" hidden="false" customHeight="false" outlineLevel="0" collapsed="false">
      <c r="A102" s="0" t="s">
        <v>924</v>
      </c>
      <c r="B102" s="0" t="s">
        <v>576</v>
      </c>
      <c r="C102" s="0" t="s">
        <v>683</v>
      </c>
      <c r="D102" s="10" t="s">
        <v>968</v>
      </c>
      <c r="E102" s="11" t="n">
        <v>46469</v>
      </c>
      <c r="F102" s="38" t="n">
        <v>0.541666666666667</v>
      </c>
      <c r="G102" s="10" t="s">
        <v>137</v>
      </c>
      <c r="H102" s="10" t="s">
        <v>1076</v>
      </c>
      <c r="I102" s="11" t="n">
        <v>46469</v>
      </c>
      <c r="J102" s="10" t="s">
        <v>486</v>
      </c>
      <c r="K102" s="10" t="s">
        <v>486</v>
      </c>
      <c r="M102" s="31" t="n">
        <f aca="false">IF($B102="","",IFERROR(IF(INDEX(campaigns!$BG$2:$BG$51,MATCH($B102,campaigns!$A$2:$A$51,0))="","",INDEX(campaigns!$BG$2:$BG$51,MATCH($B102,campaigns!$A$2:$A$51,0))),""))</f>
        <v>46469</v>
      </c>
      <c r="N102" s="30" t="n">
        <f aca="false">IF(OR($B102="",$E102="",$M102=""),"",IF($E102&lt;$M102,0,NETWORKDAYS($M102,$E102,calendar!$A$2:$A$80)))</f>
        <v>1</v>
      </c>
      <c r="O102" s="30" t="str">
        <f aca="false">IF($B102="","",IF(AND($K102="Y",OR($D102="later",$J102="Y")),"Y","N"))</f>
        <v>Y</v>
      </c>
      <c r="P102" s="30" t="str">
        <f aca="false">IF(OR($B102="",$E102=""),"",$B102&amp;"_"&amp;$C102&amp;"_"&amp;$D102&amp;"_"&amp;TEXT($E102,"yyyy-mm-dd")&amp;".jpg")</f>
        <v>SAMPLE-CMP-007_SAMPLE-O-003_placement_2027-03-23.jpg</v>
      </c>
      <c r="Q102" s="30" t="str">
        <f aca="false">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30" t="str">
        <f aca="false">IF($B102="","",$B102&amp;"|"&amp;$C102&amp;"|"&amp;$D102&amp;"|"&amp;$O102)</f>
        <v>SAMPLE-CMP-007|SAMPLE-O-003|placement|Y</v>
      </c>
      <c r="S102" s="30" t="str">
        <f aca="false">IF($B102="","",$R102&amp;"|"&amp;N($E102))</f>
        <v>SAMPLE-CMP-007|SAMPLE-O-003|placement|Y|46469</v>
      </c>
    </row>
    <row r="103" customFormat="false" ht="15" hidden="false" customHeight="false" outlineLevel="0" collapsed="false">
      <c r="A103" s="0" t="s">
        <v>925</v>
      </c>
      <c r="B103" s="0" t="s">
        <v>576</v>
      </c>
      <c r="C103" s="0" t="s">
        <v>683</v>
      </c>
      <c r="D103" s="10" t="s">
        <v>970</v>
      </c>
      <c r="E103" s="11" t="n">
        <v>46475</v>
      </c>
      <c r="F103" s="38" t="n">
        <v>0.625</v>
      </c>
      <c r="G103" s="10" t="s">
        <v>137</v>
      </c>
      <c r="H103" s="10" t="s">
        <v>1077</v>
      </c>
      <c r="I103" s="11" t="n">
        <v>46475</v>
      </c>
      <c r="J103" s="10" t="s">
        <v>486</v>
      </c>
      <c r="K103" s="10" t="s">
        <v>486</v>
      </c>
      <c r="M103" s="31" t="n">
        <f aca="false">IF($B103="","",IFERROR(IF(INDEX(campaigns!$BG$2:$BG$51,MATCH($B103,campaigns!$A$2:$A$51,0))="","",INDEX(campaigns!$BG$2:$BG$51,MATCH($B103,campaigns!$A$2:$A$51,0))),""))</f>
        <v>46469</v>
      </c>
      <c r="N103" s="30" t="n">
        <f aca="false">IF(OR($B103="",$E103="",$M103=""),"",IF($E103&lt;$M103,0,NETWORKDAYS($M103,$E103,calendar!$A$2:$A$80)))</f>
        <v>5</v>
      </c>
      <c r="O103" s="30" t="str">
        <f aca="false">IF($B103="","",IF(AND($K103="Y",OR($D103="later",$J103="Y")),"Y","N"))</f>
        <v>Y</v>
      </c>
      <c r="P103" s="30" t="str">
        <f aca="false">IF(OR($B103="",$E103=""),"",$B103&amp;"_"&amp;$C103&amp;"_"&amp;$D103&amp;"_"&amp;TEXT($E103,"yyyy-mm-dd")&amp;".jpg")</f>
        <v>SAMPLE-CMP-007_SAMPLE-O-003_later_2027-03-29.jpg</v>
      </c>
      <c r="Q103" s="30" t="str">
        <f aca="false">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30" t="str">
        <f aca="false">IF($B103="","",$B103&amp;"|"&amp;$C103&amp;"|"&amp;$D103&amp;"|"&amp;$O103)</f>
        <v>SAMPLE-CMP-007|SAMPLE-O-003|later|Y</v>
      </c>
      <c r="S103" s="30" t="str">
        <f aca="false">IF($B103="","",$R103&amp;"|"&amp;N($E103))</f>
        <v>SAMPLE-CMP-007|SAMPLE-O-003|later|Y|46475</v>
      </c>
    </row>
    <row r="104" customFormat="false" ht="15" hidden="false" customHeight="false" outlineLevel="0" collapsed="false">
      <c r="A104" s="0" t="s">
        <v>926</v>
      </c>
      <c r="B104" s="0" t="s">
        <v>576</v>
      </c>
      <c r="C104" s="0" t="s">
        <v>686</v>
      </c>
      <c r="D104" s="10" t="s">
        <v>968</v>
      </c>
      <c r="E104" s="11" t="n">
        <v>46469</v>
      </c>
      <c r="F104" s="38" t="n">
        <v>0.541666666666667</v>
      </c>
      <c r="G104" s="10" t="s">
        <v>137</v>
      </c>
      <c r="H104" s="10" t="s">
        <v>1078</v>
      </c>
      <c r="I104" s="11" t="n">
        <v>46469</v>
      </c>
      <c r="J104" s="10" t="s">
        <v>486</v>
      </c>
      <c r="K104" s="10" t="s">
        <v>486</v>
      </c>
      <c r="M104" s="31" t="n">
        <f aca="false">IF($B104="","",IFERROR(IF(INDEX(campaigns!$BG$2:$BG$51,MATCH($B104,campaigns!$A$2:$A$51,0))="","",INDEX(campaigns!$BG$2:$BG$51,MATCH($B104,campaigns!$A$2:$A$51,0))),""))</f>
        <v>46469</v>
      </c>
      <c r="N104" s="30" t="n">
        <f aca="false">IF(OR($B104="",$E104="",$M104=""),"",IF($E104&lt;$M104,0,NETWORKDAYS($M104,$E104,calendar!$A$2:$A$80)))</f>
        <v>1</v>
      </c>
      <c r="O104" s="30" t="str">
        <f aca="false">IF($B104="","",IF(AND($K104="Y",OR($D104="later",$J104="Y")),"Y","N"))</f>
        <v>Y</v>
      </c>
      <c r="P104" s="30" t="str">
        <f aca="false">IF(OR($B104="",$E104=""),"",$B104&amp;"_"&amp;$C104&amp;"_"&amp;$D104&amp;"_"&amp;TEXT($E104,"yyyy-mm-dd")&amp;".jpg")</f>
        <v>SAMPLE-CMP-007_SAMPLE-O-004_placement_2027-03-23.jpg</v>
      </c>
      <c r="Q104" s="30" t="str">
        <f aca="false">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30" t="str">
        <f aca="false">IF($B104="","",$B104&amp;"|"&amp;$C104&amp;"|"&amp;$D104&amp;"|"&amp;$O104)</f>
        <v>SAMPLE-CMP-007|SAMPLE-O-004|placement|Y</v>
      </c>
      <c r="S104" s="30" t="str">
        <f aca="false">IF($B104="","",$R104&amp;"|"&amp;N($E104))</f>
        <v>SAMPLE-CMP-007|SAMPLE-O-004|placement|Y|46469</v>
      </c>
    </row>
    <row r="105" customFormat="false" ht="15" hidden="false" customHeight="false" outlineLevel="0" collapsed="false">
      <c r="A105" s="0" t="s">
        <v>927</v>
      </c>
      <c r="B105" s="0" t="s">
        <v>576</v>
      </c>
      <c r="C105" s="0" t="s">
        <v>686</v>
      </c>
      <c r="D105" s="10" t="s">
        <v>970</v>
      </c>
      <c r="E105" s="11" t="n">
        <v>46475</v>
      </c>
      <c r="F105" s="38" t="n">
        <v>0.625</v>
      </c>
      <c r="G105" s="10" t="s">
        <v>137</v>
      </c>
      <c r="H105" s="10" t="s">
        <v>1079</v>
      </c>
      <c r="I105" s="11" t="n">
        <v>46475</v>
      </c>
      <c r="J105" s="10" t="s">
        <v>486</v>
      </c>
      <c r="K105" s="10" t="s">
        <v>486</v>
      </c>
      <c r="M105" s="31" t="n">
        <f aca="false">IF($B105="","",IFERROR(IF(INDEX(campaigns!$BG$2:$BG$51,MATCH($B105,campaigns!$A$2:$A$51,0))="","",INDEX(campaigns!$BG$2:$BG$51,MATCH($B105,campaigns!$A$2:$A$51,0))),""))</f>
        <v>46469</v>
      </c>
      <c r="N105" s="30" t="n">
        <f aca="false">IF(OR($B105="",$E105="",$M105=""),"",IF($E105&lt;$M105,0,NETWORKDAYS($M105,$E105,calendar!$A$2:$A$80)))</f>
        <v>5</v>
      </c>
      <c r="O105" s="30" t="str">
        <f aca="false">IF($B105="","",IF(AND($K105="Y",OR($D105="later",$J105="Y")),"Y","N"))</f>
        <v>Y</v>
      </c>
      <c r="P105" s="30" t="str">
        <f aca="false">IF(OR($B105="",$E105=""),"",$B105&amp;"_"&amp;$C105&amp;"_"&amp;$D105&amp;"_"&amp;TEXT($E105,"yyyy-mm-dd")&amp;".jpg")</f>
        <v>SAMPLE-CMP-007_SAMPLE-O-004_later_2027-03-29.jpg</v>
      </c>
      <c r="Q105" s="30" t="str">
        <f aca="false">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30" t="str">
        <f aca="false">IF($B105="","",$B105&amp;"|"&amp;$C105&amp;"|"&amp;$D105&amp;"|"&amp;$O105)</f>
        <v>SAMPLE-CMP-007|SAMPLE-O-004|later|Y</v>
      </c>
      <c r="S105" s="30" t="str">
        <f aca="false">IF($B105="","",$R105&amp;"|"&amp;N($E105))</f>
        <v>SAMPLE-CMP-007|SAMPLE-O-004|later|Y|46475</v>
      </c>
    </row>
    <row r="106" customFormat="false" ht="15" hidden="false" customHeight="false" outlineLevel="0" collapsed="false">
      <c r="A106" s="0" t="s">
        <v>928</v>
      </c>
      <c r="B106" s="0" t="s">
        <v>576</v>
      </c>
      <c r="C106" s="0" t="s">
        <v>688</v>
      </c>
      <c r="D106" s="10" t="s">
        <v>968</v>
      </c>
      <c r="E106" s="11" t="n">
        <v>46469</v>
      </c>
      <c r="F106" s="38" t="n">
        <v>0.541666666666667</v>
      </c>
      <c r="G106" s="10" t="s">
        <v>137</v>
      </c>
      <c r="H106" s="10" t="s">
        <v>1080</v>
      </c>
      <c r="I106" s="11" t="n">
        <v>46469</v>
      </c>
      <c r="J106" s="10" t="s">
        <v>486</v>
      </c>
      <c r="K106" s="10" t="s">
        <v>486</v>
      </c>
      <c r="M106" s="31" t="n">
        <f aca="false">IF($B106="","",IFERROR(IF(INDEX(campaigns!$BG$2:$BG$51,MATCH($B106,campaigns!$A$2:$A$51,0))="","",INDEX(campaigns!$BG$2:$BG$51,MATCH($B106,campaigns!$A$2:$A$51,0))),""))</f>
        <v>46469</v>
      </c>
      <c r="N106" s="30" t="n">
        <f aca="false">IF(OR($B106="",$E106="",$M106=""),"",IF($E106&lt;$M106,0,NETWORKDAYS($M106,$E106,calendar!$A$2:$A$80)))</f>
        <v>1</v>
      </c>
      <c r="O106" s="30" t="str">
        <f aca="false">IF($B106="","",IF(AND($K106="Y",OR($D106="later",$J106="Y")),"Y","N"))</f>
        <v>Y</v>
      </c>
      <c r="P106" s="30" t="str">
        <f aca="false">IF(OR($B106="",$E106=""),"",$B106&amp;"_"&amp;$C106&amp;"_"&amp;$D106&amp;"_"&amp;TEXT($E106,"yyyy-mm-dd")&amp;".jpg")</f>
        <v>SAMPLE-CMP-007_SAMPLE-O-005_placement_2027-03-23.jpg</v>
      </c>
      <c r="Q106" s="30" t="str">
        <f aca="false">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30" t="str">
        <f aca="false">IF($B106="","",$B106&amp;"|"&amp;$C106&amp;"|"&amp;$D106&amp;"|"&amp;$O106)</f>
        <v>SAMPLE-CMP-007|SAMPLE-O-005|placement|Y</v>
      </c>
      <c r="S106" s="30" t="str">
        <f aca="false">IF($B106="","",$R106&amp;"|"&amp;N($E106))</f>
        <v>SAMPLE-CMP-007|SAMPLE-O-005|placement|Y|46469</v>
      </c>
    </row>
    <row r="107" customFormat="false" ht="15" hidden="false" customHeight="false" outlineLevel="0" collapsed="false">
      <c r="A107" s="0" t="s">
        <v>929</v>
      </c>
      <c r="B107" s="0" t="s">
        <v>576</v>
      </c>
      <c r="C107" s="0" t="s">
        <v>688</v>
      </c>
      <c r="D107" s="10" t="s">
        <v>970</v>
      </c>
      <c r="E107" s="11" t="n">
        <v>46475</v>
      </c>
      <c r="F107" s="38" t="n">
        <v>0.625</v>
      </c>
      <c r="G107" s="10" t="s">
        <v>137</v>
      </c>
      <c r="H107" s="10" t="s">
        <v>1081</v>
      </c>
      <c r="I107" s="11" t="n">
        <v>46475</v>
      </c>
      <c r="J107" s="10" t="s">
        <v>486</v>
      </c>
      <c r="K107" s="10" t="s">
        <v>486</v>
      </c>
      <c r="M107" s="31" t="n">
        <f aca="false">IF($B107="","",IFERROR(IF(INDEX(campaigns!$BG$2:$BG$51,MATCH($B107,campaigns!$A$2:$A$51,0))="","",INDEX(campaigns!$BG$2:$BG$51,MATCH($B107,campaigns!$A$2:$A$51,0))),""))</f>
        <v>46469</v>
      </c>
      <c r="N107" s="30" t="n">
        <f aca="false">IF(OR($B107="",$E107="",$M107=""),"",IF($E107&lt;$M107,0,NETWORKDAYS($M107,$E107,calendar!$A$2:$A$80)))</f>
        <v>5</v>
      </c>
      <c r="O107" s="30" t="str">
        <f aca="false">IF($B107="","",IF(AND($K107="Y",OR($D107="later",$J107="Y")),"Y","N"))</f>
        <v>Y</v>
      </c>
      <c r="P107" s="30" t="str">
        <f aca="false">IF(OR($B107="",$E107=""),"",$B107&amp;"_"&amp;$C107&amp;"_"&amp;$D107&amp;"_"&amp;TEXT($E107,"yyyy-mm-dd")&amp;".jpg")</f>
        <v>SAMPLE-CMP-007_SAMPLE-O-005_later_2027-03-29.jpg</v>
      </c>
      <c r="Q107" s="30" t="str">
        <f aca="false">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30" t="str">
        <f aca="false">IF($B107="","",$B107&amp;"|"&amp;$C107&amp;"|"&amp;$D107&amp;"|"&amp;$O107)</f>
        <v>SAMPLE-CMP-007|SAMPLE-O-005|later|Y</v>
      </c>
      <c r="S107" s="30" t="str">
        <f aca="false">IF($B107="","",$R107&amp;"|"&amp;N($E107))</f>
        <v>SAMPLE-CMP-007|SAMPLE-O-005|later|Y|46475</v>
      </c>
    </row>
    <row r="108" customFormat="false" ht="15" hidden="false" customHeight="false" outlineLevel="0" collapsed="false">
      <c r="A108" s="0" t="s">
        <v>930</v>
      </c>
      <c r="B108" s="0" t="s">
        <v>576</v>
      </c>
      <c r="C108" s="0" t="s">
        <v>690</v>
      </c>
      <c r="D108" s="10" t="s">
        <v>968</v>
      </c>
      <c r="E108" s="11" t="n">
        <v>46469</v>
      </c>
      <c r="F108" s="38" t="n">
        <v>0.541666666666667</v>
      </c>
      <c r="G108" s="10" t="s">
        <v>137</v>
      </c>
      <c r="H108" s="10" t="s">
        <v>1082</v>
      </c>
      <c r="I108" s="11" t="n">
        <v>46469</v>
      </c>
      <c r="J108" s="10" t="s">
        <v>486</v>
      </c>
      <c r="K108" s="10" t="s">
        <v>486</v>
      </c>
      <c r="M108" s="31" t="n">
        <f aca="false">IF($B108="","",IFERROR(IF(INDEX(campaigns!$BG$2:$BG$51,MATCH($B108,campaigns!$A$2:$A$51,0))="","",INDEX(campaigns!$BG$2:$BG$51,MATCH($B108,campaigns!$A$2:$A$51,0))),""))</f>
        <v>46469</v>
      </c>
      <c r="N108" s="30" t="n">
        <f aca="false">IF(OR($B108="",$E108="",$M108=""),"",IF($E108&lt;$M108,0,NETWORKDAYS($M108,$E108,calendar!$A$2:$A$80)))</f>
        <v>1</v>
      </c>
      <c r="O108" s="30" t="str">
        <f aca="false">IF($B108="","",IF(AND($K108="Y",OR($D108="later",$J108="Y")),"Y","N"))</f>
        <v>Y</v>
      </c>
      <c r="P108" s="30" t="str">
        <f aca="false">IF(OR($B108="",$E108=""),"",$B108&amp;"_"&amp;$C108&amp;"_"&amp;$D108&amp;"_"&amp;TEXT($E108,"yyyy-mm-dd")&amp;".jpg")</f>
        <v>SAMPLE-CMP-007_SAMPLE-O-006_placement_2027-03-23.jpg</v>
      </c>
      <c r="Q108" s="30" t="str">
        <f aca="false">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30" t="str">
        <f aca="false">IF($B108="","",$B108&amp;"|"&amp;$C108&amp;"|"&amp;$D108&amp;"|"&amp;$O108)</f>
        <v>SAMPLE-CMP-007|SAMPLE-O-006|placement|Y</v>
      </c>
      <c r="S108" s="30" t="str">
        <f aca="false">IF($B108="","",$R108&amp;"|"&amp;N($E108))</f>
        <v>SAMPLE-CMP-007|SAMPLE-O-006|placement|Y|46469</v>
      </c>
    </row>
    <row r="109" customFormat="false" ht="15" hidden="false" customHeight="false" outlineLevel="0" collapsed="false">
      <c r="A109" s="0" t="s">
        <v>931</v>
      </c>
      <c r="B109" s="0" t="s">
        <v>576</v>
      </c>
      <c r="C109" s="0" t="s">
        <v>690</v>
      </c>
      <c r="D109" s="10" t="s">
        <v>970</v>
      </c>
      <c r="E109" s="11" t="n">
        <v>46475</v>
      </c>
      <c r="F109" s="38" t="n">
        <v>0.625</v>
      </c>
      <c r="G109" s="10" t="s">
        <v>137</v>
      </c>
      <c r="H109" s="10" t="s">
        <v>1083</v>
      </c>
      <c r="I109" s="11" t="n">
        <v>46475</v>
      </c>
      <c r="J109" s="10" t="s">
        <v>486</v>
      </c>
      <c r="K109" s="10" t="s">
        <v>486</v>
      </c>
      <c r="M109" s="31" t="n">
        <f aca="false">IF($B109="","",IFERROR(IF(INDEX(campaigns!$BG$2:$BG$51,MATCH($B109,campaigns!$A$2:$A$51,0))="","",INDEX(campaigns!$BG$2:$BG$51,MATCH($B109,campaigns!$A$2:$A$51,0))),""))</f>
        <v>46469</v>
      </c>
      <c r="N109" s="30" t="n">
        <f aca="false">IF(OR($B109="",$E109="",$M109=""),"",IF($E109&lt;$M109,0,NETWORKDAYS($M109,$E109,calendar!$A$2:$A$80)))</f>
        <v>5</v>
      </c>
      <c r="O109" s="30" t="str">
        <f aca="false">IF($B109="","",IF(AND($K109="Y",OR($D109="later",$J109="Y")),"Y","N"))</f>
        <v>Y</v>
      </c>
      <c r="P109" s="30" t="str">
        <f aca="false">IF(OR($B109="",$E109=""),"",$B109&amp;"_"&amp;$C109&amp;"_"&amp;$D109&amp;"_"&amp;TEXT($E109,"yyyy-mm-dd")&amp;".jpg")</f>
        <v>SAMPLE-CMP-007_SAMPLE-O-006_later_2027-03-29.jpg</v>
      </c>
      <c r="Q109" s="30" t="str">
        <f aca="false">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30" t="str">
        <f aca="false">IF($B109="","",$B109&amp;"|"&amp;$C109&amp;"|"&amp;$D109&amp;"|"&amp;$O109)</f>
        <v>SAMPLE-CMP-007|SAMPLE-O-006|later|Y</v>
      </c>
      <c r="S109" s="30" t="str">
        <f aca="false">IF($B109="","",$R109&amp;"|"&amp;N($E109))</f>
        <v>SAMPLE-CMP-007|SAMPLE-O-006|later|Y|46475</v>
      </c>
    </row>
    <row r="110" customFormat="false" ht="15" hidden="false" customHeight="false" outlineLevel="0" collapsed="false">
      <c r="A110" s="0" t="s">
        <v>932</v>
      </c>
      <c r="B110" s="0" t="s">
        <v>576</v>
      </c>
      <c r="C110" s="0" t="s">
        <v>692</v>
      </c>
      <c r="D110" s="10" t="s">
        <v>968</v>
      </c>
      <c r="E110" s="11" t="n">
        <v>46469</v>
      </c>
      <c r="F110" s="38" t="n">
        <v>0.541666666666667</v>
      </c>
      <c r="G110" s="10" t="s">
        <v>137</v>
      </c>
      <c r="H110" s="10" t="s">
        <v>1084</v>
      </c>
      <c r="I110" s="11" t="n">
        <v>46469</v>
      </c>
      <c r="J110" s="10" t="s">
        <v>486</v>
      </c>
      <c r="K110" s="10" t="s">
        <v>486</v>
      </c>
      <c r="M110" s="31" t="n">
        <f aca="false">IF($B110="","",IFERROR(IF(INDEX(campaigns!$BG$2:$BG$51,MATCH($B110,campaigns!$A$2:$A$51,0))="","",INDEX(campaigns!$BG$2:$BG$51,MATCH($B110,campaigns!$A$2:$A$51,0))),""))</f>
        <v>46469</v>
      </c>
      <c r="N110" s="30" t="n">
        <f aca="false">IF(OR($B110="",$E110="",$M110=""),"",IF($E110&lt;$M110,0,NETWORKDAYS($M110,$E110,calendar!$A$2:$A$80)))</f>
        <v>1</v>
      </c>
      <c r="O110" s="30" t="str">
        <f aca="false">IF($B110="","",IF(AND($K110="Y",OR($D110="later",$J110="Y")),"Y","N"))</f>
        <v>Y</v>
      </c>
      <c r="P110" s="30" t="str">
        <f aca="false">IF(OR($B110="",$E110=""),"",$B110&amp;"_"&amp;$C110&amp;"_"&amp;$D110&amp;"_"&amp;TEXT($E110,"yyyy-mm-dd")&amp;".jpg")</f>
        <v>SAMPLE-CMP-007_SAMPLE-O-007_placement_2027-03-23.jpg</v>
      </c>
      <c r="Q110" s="30" t="str">
        <f aca="false">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30" t="str">
        <f aca="false">IF($B110="","",$B110&amp;"|"&amp;$C110&amp;"|"&amp;$D110&amp;"|"&amp;$O110)</f>
        <v>SAMPLE-CMP-007|SAMPLE-O-007|placement|Y</v>
      </c>
      <c r="S110" s="30" t="str">
        <f aca="false">IF($B110="","",$R110&amp;"|"&amp;N($E110))</f>
        <v>SAMPLE-CMP-007|SAMPLE-O-007|placement|Y|46469</v>
      </c>
    </row>
    <row r="111" customFormat="false" ht="15" hidden="false" customHeight="false" outlineLevel="0" collapsed="false">
      <c r="A111" s="0" t="s">
        <v>933</v>
      </c>
      <c r="B111" s="0" t="s">
        <v>576</v>
      </c>
      <c r="C111" s="0" t="s">
        <v>692</v>
      </c>
      <c r="D111" s="10" t="s">
        <v>970</v>
      </c>
      <c r="E111" s="11" t="n">
        <v>46475</v>
      </c>
      <c r="F111" s="38" t="n">
        <v>0.625</v>
      </c>
      <c r="G111" s="10" t="s">
        <v>137</v>
      </c>
      <c r="H111" s="10" t="s">
        <v>1085</v>
      </c>
      <c r="I111" s="11" t="n">
        <v>46475</v>
      </c>
      <c r="J111" s="10" t="s">
        <v>486</v>
      </c>
      <c r="K111" s="10" t="s">
        <v>486</v>
      </c>
      <c r="M111" s="31" t="n">
        <f aca="false">IF($B111="","",IFERROR(IF(INDEX(campaigns!$BG$2:$BG$51,MATCH($B111,campaigns!$A$2:$A$51,0))="","",INDEX(campaigns!$BG$2:$BG$51,MATCH($B111,campaigns!$A$2:$A$51,0))),""))</f>
        <v>46469</v>
      </c>
      <c r="N111" s="30" t="n">
        <f aca="false">IF(OR($B111="",$E111="",$M111=""),"",IF($E111&lt;$M111,0,NETWORKDAYS($M111,$E111,calendar!$A$2:$A$80)))</f>
        <v>5</v>
      </c>
      <c r="O111" s="30" t="str">
        <f aca="false">IF($B111="","",IF(AND($K111="Y",OR($D111="later",$J111="Y")),"Y","N"))</f>
        <v>Y</v>
      </c>
      <c r="P111" s="30" t="str">
        <f aca="false">IF(OR($B111="",$E111=""),"",$B111&amp;"_"&amp;$C111&amp;"_"&amp;$D111&amp;"_"&amp;TEXT($E111,"yyyy-mm-dd")&amp;".jpg")</f>
        <v>SAMPLE-CMP-007_SAMPLE-O-007_later_2027-03-29.jpg</v>
      </c>
      <c r="Q111" s="30" t="str">
        <f aca="false">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30" t="str">
        <f aca="false">IF($B111="","",$B111&amp;"|"&amp;$C111&amp;"|"&amp;$D111&amp;"|"&amp;$O111)</f>
        <v>SAMPLE-CMP-007|SAMPLE-O-007|later|Y</v>
      </c>
      <c r="S111" s="30" t="str">
        <f aca="false">IF($B111="","",$R111&amp;"|"&amp;N($E111))</f>
        <v>SAMPLE-CMP-007|SAMPLE-O-007|later|Y|46475</v>
      </c>
    </row>
    <row r="112" customFormat="false" ht="15" hidden="false" customHeight="false" outlineLevel="0" collapsed="false">
      <c r="A112" s="0" t="s">
        <v>934</v>
      </c>
      <c r="B112" s="0" t="s">
        <v>576</v>
      </c>
      <c r="C112" s="0" t="s">
        <v>694</v>
      </c>
      <c r="D112" s="10" t="s">
        <v>968</v>
      </c>
      <c r="E112" s="11" t="n">
        <v>46469</v>
      </c>
      <c r="F112" s="38" t="n">
        <v>0.541666666666667</v>
      </c>
      <c r="G112" s="10" t="s">
        <v>137</v>
      </c>
      <c r="H112" s="10" t="s">
        <v>1086</v>
      </c>
      <c r="I112" s="11" t="n">
        <v>46469</v>
      </c>
      <c r="J112" s="10" t="s">
        <v>486</v>
      </c>
      <c r="K112" s="10" t="s">
        <v>486</v>
      </c>
      <c r="M112" s="31" t="n">
        <f aca="false">IF($B112="","",IFERROR(IF(INDEX(campaigns!$BG$2:$BG$51,MATCH($B112,campaigns!$A$2:$A$51,0))="","",INDEX(campaigns!$BG$2:$BG$51,MATCH($B112,campaigns!$A$2:$A$51,0))),""))</f>
        <v>46469</v>
      </c>
      <c r="N112" s="30" t="n">
        <f aca="false">IF(OR($B112="",$E112="",$M112=""),"",IF($E112&lt;$M112,0,NETWORKDAYS($M112,$E112,calendar!$A$2:$A$80)))</f>
        <v>1</v>
      </c>
      <c r="O112" s="30" t="str">
        <f aca="false">IF($B112="","",IF(AND($K112="Y",OR($D112="later",$J112="Y")),"Y","N"))</f>
        <v>Y</v>
      </c>
      <c r="P112" s="30" t="str">
        <f aca="false">IF(OR($B112="",$E112=""),"",$B112&amp;"_"&amp;$C112&amp;"_"&amp;$D112&amp;"_"&amp;TEXT($E112,"yyyy-mm-dd")&amp;".jpg")</f>
        <v>SAMPLE-CMP-007_SAMPLE-O-008_placement_2027-03-23.jpg</v>
      </c>
      <c r="Q112" s="30" t="str">
        <f aca="false">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30" t="str">
        <f aca="false">IF($B112="","",$B112&amp;"|"&amp;$C112&amp;"|"&amp;$D112&amp;"|"&amp;$O112)</f>
        <v>SAMPLE-CMP-007|SAMPLE-O-008|placement|Y</v>
      </c>
      <c r="S112" s="30" t="str">
        <f aca="false">IF($B112="","",$R112&amp;"|"&amp;N($E112))</f>
        <v>SAMPLE-CMP-007|SAMPLE-O-008|placement|Y|46469</v>
      </c>
    </row>
    <row r="113" customFormat="false" ht="15" hidden="false" customHeight="false" outlineLevel="0" collapsed="false">
      <c r="A113" s="0" t="s">
        <v>935</v>
      </c>
      <c r="B113" s="0" t="s">
        <v>576</v>
      </c>
      <c r="C113" s="0" t="s">
        <v>694</v>
      </c>
      <c r="D113" s="10" t="s">
        <v>970</v>
      </c>
      <c r="E113" s="11" t="n">
        <v>46475</v>
      </c>
      <c r="F113" s="38" t="n">
        <v>0.625</v>
      </c>
      <c r="G113" s="10" t="s">
        <v>137</v>
      </c>
      <c r="H113" s="10" t="s">
        <v>1087</v>
      </c>
      <c r="I113" s="11" t="n">
        <v>46475</v>
      </c>
      <c r="J113" s="10" t="s">
        <v>486</v>
      </c>
      <c r="K113" s="10" t="s">
        <v>486</v>
      </c>
      <c r="M113" s="31" t="n">
        <f aca="false">IF($B113="","",IFERROR(IF(INDEX(campaigns!$BG$2:$BG$51,MATCH($B113,campaigns!$A$2:$A$51,0))="","",INDEX(campaigns!$BG$2:$BG$51,MATCH($B113,campaigns!$A$2:$A$51,0))),""))</f>
        <v>46469</v>
      </c>
      <c r="N113" s="30" t="n">
        <f aca="false">IF(OR($B113="",$E113="",$M113=""),"",IF($E113&lt;$M113,0,NETWORKDAYS($M113,$E113,calendar!$A$2:$A$80)))</f>
        <v>5</v>
      </c>
      <c r="O113" s="30" t="str">
        <f aca="false">IF($B113="","",IF(AND($K113="Y",OR($D113="later",$J113="Y")),"Y","N"))</f>
        <v>Y</v>
      </c>
      <c r="P113" s="30" t="str">
        <f aca="false">IF(OR($B113="",$E113=""),"",$B113&amp;"_"&amp;$C113&amp;"_"&amp;$D113&amp;"_"&amp;TEXT($E113,"yyyy-mm-dd")&amp;".jpg")</f>
        <v>SAMPLE-CMP-007_SAMPLE-O-008_later_2027-03-29.jpg</v>
      </c>
      <c r="Q113" s="30" t="str">
        <f aca="false">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30" t="str">
        <f aca="false">IF($B113="","",$B113&amp;"|"&amp;$C113&amp;"|"&amp;$D113&amp;"|"&amp;$O113)</f>
        <v>SAMPLE-CMP-007|SAMPLE-O-008|later|Y</v>
      </c>
      <c r="S113" s="30" t="str">
        <f aca="false">IF($B113="","",$R113&amp;"|"&amp;N($E113))</f>
        <v>SAMPLE-CMP-007|SAMPLE-O-008|later|Y|46475</v>
      </c>
    </row>
    <row r="114" customFormat="false" ht="15" hidden="false" customHeight="false" outlineLevel="0" collapsed="false">
      <c r="A114" s="0" t="s">
        <v>936</v>
      </c>
      <c r="B114" s="0" t="s">
        <v>576</v>
      </c>
      <c r="C114" s="0" t="s">
        <v>696</v>
      </c>
      <c r="D114" s="10" t="s">
        <v>968</v>
      </c>
      <c r="E114" s="11" t="n">
        <v>46469</v>
      </c>
      <c r="F114" s="38" t="n">
        <v>0.444444444444444</v>
      </c>
      <c r="G114" s="10" t="s">
        <v>338</v>
      </c>
      <c r="H114" s="10" t="s">
        <v>1088</v>
      </c>
      <c r="I114" s="11" t="n">
        <v>46469</v>
      </c>
      <c r="J114" s="10" t="s">
        <v>486</v>
      </c>
      <c r="K114" s="10" t="s">
        <v>486</v>
      </c>
      <c r="M114" s="31" t="n">
        <f aca="false">IF($B114="","",IFERROR(IF(INDEX(campaigns!$BG$2:$BG$51,MATCH($B114,campaigns!$A$2:$A$51,0))="","",INDEX(campaigns!$BG$2:$BG$51,MATCH($B114,campaigns!$A$2:$A$51,0))),""))</f>
        <v>46469</v>
      </c>
      <c r="N114" s="30" t="n">
        <f aca="false">IF(OR($B114="",$E114="",$M114=""),"",IF($E114&lt;$M114,0,NETWORKDAYS($M114,$E114,calendar!$A$2:$A$80)))</f>
        <v>1</v>
      </c>
      <c r="O114" s="30" t="str">
        <f aca="false">IF($B114="","",IF(AND($K114="Y",OR($D114="later",$J114="Y")),"Y","N"))</f>
        <v>Y</v>
      </c>
      <c r="P114" s="30" t="str">
        <f aca="false">IF(OR($B114="",$E114=""),"",$B114&amp;"_"&amp;$C114&amp;"_"&amp;$D114&amp;"_"&amp;TEXT($E114,"yyyy-mm-dd")&amp;".jpg")</f>
        <v>SAMPLE-CMP-007_SAMPLE-O-009_placement_2027-03-23.jpg</v>
      </c>
      <c r="Q114" s="30" t="str">
        <f aca="false">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30" t="str">
        <f aca="false">IF($B114="","",$B114&amp;"|"&amp;$C114&amp;"|"&amp;$D114&amp;"|"&amp;$O114)</f>
        <v>SAMPLE-CMP-007|SAMPLE-O-009|placement|Y</v>
      </c>
      <c r="S114" s="30" t="str">
        <f aca="false">IF($B114="","",$R114&amp;"|"&amp;N($E114))</f>
        <v>SAMPLE-CMP-007|SAMPLE-O-009|placement|Y|46469</v>
      </c>
    </row>
    <row r="115" customFormat="false" ht="15" hidden="false" customHeight="false" outlineLevel="0" collapsed="false">
      <c r="A115" s="0" t="s">
        <v>937</v>
      </c>
      <c r="B115" s="0" t="s">
        <v>576</v>
      </c>
      <c r="C115" s="0" t="s">
        <v>696</v>
      </c>
      <c r="D115" s="10" t="s">
        <v>970</v>
      </c>
      <c r="E115" s="11" t="n">
        <v>46475</v>
      </c>
      <c r="F115" s="38" t="n">
        <v>0.625</v>
      </c>
      <c r="G115" s="10" t="s">
        <v>137</v>
      </c>
      <c r="H115" s="10" t="s">
        <v>1089</v>
      </c>
      <c r="I115" s="11" t="n">
        <v>46475</v>
      </c>
      <c r="J115" s="10" t="s">
        <v>486</v>
      </c>
      <c r="K115" s="10" t="s">
        <v>486</v>
      </c>
      <c r="M115" s="31" t="n">
        <f aca="false">IF($B115="","",IFERROR(IF(INDEX(campaigns!$BG$2:$BG$51,MATCH($B115,campaigns!$A$2:$A$51,0))="","",INDEX(campaigns!$BG$2:$BG$51,MATCH($B115,campaigns!$A$2:$A$51,0))),""))</f>
        <v>46469</v>
      </c>
      <c r="N115" s="30" t="n">
        <f aca="false">IF(OR($B115="",$E115="",$M115=""),"",IF($E115&lt;$M115,0,NETWORKDAYS($M115,$E115,calendar!$A$2:$A$80)))</f>
        <v>5</v>
      </c>
      <c r="O115" s="30" t="str">
        <f aca="false">IF($B115="","",IF(AND($K115="Y",OR($D115="later",$J115="Y")),"Y","N"))</f>
        <v>Y</v>
      </c>
      <c r="P115" s="30" t="str">
        <f aca="false">IF(OR($B115="",$E115=""),"",$B115&amp;"_"&amp;$C115&amp;"_"&amp;$D115&amp;"_"&amp;TEXT($E115,"yyyy-mm-dd")&amp;".jpg")</f>
        <v>SAMPLE-CMP-007_SAMPLE-O-009_later_2027-03-29.jpg</v>
      </c>
      <c r="Q115" s="30" t="str">
        <f aca="false">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30" t="str">
        <f aca="false">IF($B115="","",$B115&amp;"|"&amp;$C115&amp;"|"&amp;$D115&amp;"|"&amp;$O115)</f>
        <v>SAMPLE-CMP-007|SAMPLE-O-009|later|Y</v>
      </c>
      <c r="S115" s="30" t="str">
        <f aca="false">IF($B115="","",$R115&amp;"|"&amp;N($E115))</f>
        <v>SAMPLE-CMP-007|SAMPLE-O-009|later|Y|46475</v>
      </c>
    </row>
    <row r="116" customFormat="false" ht="15" hidden="false" customHeight="false" outlineLevel="0" collapsed="false">
      <c r="A116" s="0" t="s">
        <v>938</v>
      </c>
      <c r="B116" s="0" t="s">
        <v>576</v>
      </c>
      <c r="C116" s="0" t="s">
        <v>698</v>
      </c>
      <c r="D116" s="10" t="s">
        <v>968</v>
      </c>
      <c r="E116" s="11" t="n">
        <v>46469</v>
      </c>
      <c r="F116" s="38" t="n">
        <v>0.541666666666667</v>
      </c>
      <c r="G116" s="10" t="s">
        <v>137</v>
      </c>
      <c r="H116" s="10" t="s">
        <v>1090</v>
      </c>
      <c r="I116" s="11" t="n">
        <v>46469</v>
      </c>
      <c r="J116" s="10" t="s">
        <v>486</v>
      </c>
      <c r="K116" s="10" t="s">
        <v>486</v>
      </c>
      <c r="M116" s="31" t="n">
        <f aca="false">IF($B116="","",IFERROR(IF(INDEX(campaigns!$BG$2:$BG$51,MATCH($B116,campaigns!$A$2:$A$51,0))="","",INDEX(campaigns!$BG$2:$BG$51,MATCH($B116,campaigns!$A$2:$A$51,0))),""))</f>
        <v>46469</v>
      </c>
      <c r="N116" s="30" t="n">
        <f aca="false">IF(OR($B116="",$E116="",$M116=""),"",IF($E116&lt;$M116,0,NETWORKDAYS($M116,$E116,calendar!$A$2:$A$80)))</f>
        <v>1</v>
      </c>
      <c r="O116" s="30" t="str">
        <f aca="false">IF($B116="","",IF(AND($K116="Y",OR($D116="later",$J116="Y")),"Y","N"))</f>
        <v>Y</v>
      </c>
      <c r="P116" s="30" t="str">
        <f aca="false">IF(OR($B116="",$E116=""),"",$B116&amp;"_"&amp;$C116&amp;"_"&amp;$D116&amp;"_"&amp;TEXT($E116,"yyyy-mm-dd")&amp;".jpg")</f>
        <v>SAMPLE-CMP-007_SAMPLE-O-010_placement_2027-03-23.jpg</v>
      </c>
      <c r="Q116" s="30" t="str">
        <f aca="false">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30" t="str">
        <f aca="false">IF($B116="","",$B116&amp;"|"&amp;$C116&amp;"|"&amp;$D116&amp;"|"&amp;$O116)</f>
        <v>SAMPLE-CMP-007|SAMPLE-O-010|placement|Y</v>
      </c>
      <c r="S116" s="30" t="str">
        <f aca="false">IF($B116="","",$R116&amp;"|"&amp;N($E116))</f>
        <v>SAMPLE-CMP-007|SAMPLE-O-010|placement|Y|46469</v>
      </c>
    </row>
    <row r="117" customFormat="false" ht="15" hidden="false" customHeight="false" outlineLevel="0" collapsed="false">
      <c r="A117" s="0" t="s">
        <v>939</v>
      </c>
      <c r="B117" s="0" t="s">
        <v>576</v>
      </c>
      <c r="C117" s="0" t="s">
        <v>698</v>
      </c>
      <c r="D117" s="10" t="s">
        <v>970</v>
      </c>
      <c r="E117" s="11" t="n">
        <v>46475</v>
      </c>
      <c r="F117" s="38" t="n">
        <v>0.625</v>
      </c>
      <c r="G117" s="10" t="s">
        <v>137</v>
      </c>
      <c r="H117" s="10" t="s">
        <v>1091</v>
      </c>
      <c r="I117" s="11" t="n">
        <v>46475</v>
      </c>
      <c r="J117" s="10" t="s">
        <v>486</v>
      </c>
      <c r="K117" s="10" t="s">
        <v>486</v>
      </c>
      <c r="M117" s="31" t="n">
        <f aca="false">IF($B117="","",IFERROR(IF(INDEX(campaigns!$BG$2:$BG$51,MATCH($B117,campaigns!$A$2:$A$51,0))="","",INDEX(campaigns!$BG$2:$BG$51,MATCH($B117,campaigns!$A$2:$A$51,0))),""))</f>
        <v>46469</v>
      </c>
      <c r="N117" s="30" t="n">
        <f aca="false">IF(OR($B117="",$E117="",$M117=""),"",IF($E117&lt;$M117,0,NETWORKDAYS($M117,$E117,calendar!$A$2:$A$80)))</f>
        <v>5</v>
      </c>
      <c r="O117" s="30" t="str">
        <f aca="false">IF($B117="","",IF(AND($K117="Y",OR($D117="later",$J117="Y")),"Y","N"))</f>
        <v>Y</v>
      </c>
      <c r="P117" s="30" t="str">
        <f aca="false">IF(OR($B117="",$E117=""),"",$B117&amp;"_"&amp;$C117&amp;"_"&amp;$D117&amp;"_"&amp;TEXT($E117,"yyyy-mm-dd")&amp;".jpg")</f>
        <v>SAMPLE-CMP-007_SAMPLE-O-010_later_2027-03-29.jpg</v>
      </c>
      <c r="Q117" s="30" t="str">
        <f aca="false">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30" t="str">
        <f aca="false">IF($B117="","",$B117&amp;"|"&amp;$C117&amp;"|"&amp;$D117&amp;"|"&amp;$O117)</f>
        <v>SAMPLE-CMP-007|SAMPLE-O-010|later|Y</v>
      </c>
      <c r="S117" s="30" t="str">
        <f aca="false">IF($B117="","",$R117&amp;"|"&amp;N($E117))</f>
        <v>SAMPLE-CMP-007|SAMPLE-O-010|later|Y|46475</v>
      </c>
    </row>
    <row r="118" customFormat="false" ht="15" hidden="false" customHeight="false" outlineLevel="0" collapsed="false">
      <c r="A118" s="0" t="s">
        <v>940</v>
      </c>
      <c r="B118" s="0" t="s">
        <v>584</v>
      </c>
      <c r="C118" s="0" t="s">
        <v>678</v>
      </c>
      <c r="D118" s="10" t="s">
        <v>968</v>
      </c>
      <c r="E118" s="11" t="n">
        <v>46469</v>
      </c>
      <c r="F118" s="38" t="n">
        <v>0.541666666666667</v>
      </c>
      <c r="G118" s="10" t="s">
        <v>137</v>
      </c>
      <c r="H118" s="10" t="s">
        <v>1092</v>
      </c>
      <c r="I118" s="11" t="n">
        <v>46469</v>
      </c>
      <c r="J118" s="10" t="s">
        <v>486</v>
      </c>
      <c r="K118" s="10" t="s">
        <v>486</v>
      </c>
      <c r="M118" s="31" t="n">
        <f aca="false">IF($B118="","",IFERROR(IF(INDEX(campaigns!$BG$2:$BG$51,MATCH($B118,campaigns!$A$2:$A$51,0))="","",INDEX(campaigns!$BG$2:$BG$51,MATCH($B118,campaigns!$A$2:$A$51,0))),""))</f>
        <v>46469</v>
      </c>
      <c r="N118" s="30" t="n">
        <f aca="false">IF(OR($B118="",$E118="",$M118=""),"",IF($E118&lt;$M118,0,NETWORKDAYS($M118,$E118,calendar!$A$2:$A$80)))</f>
        <v>1</v>
      </c>
      <c r="O118" s="30" t="str">
        <f aca="false">IF($B118="","",IF(AND($K118="Y",OR($D118="later",$J118="Y")),"Y","N"))</f>
        <v>Y</v>
      </c>
      <c r="P118" s="30" t="str">
        <f aca="false">IF(OR($B118="",$E118=""),"",$B118&amp;"_"&amp;$C118&amp;"_"&amp;$D118&amp;"_"&amp;TEXT($E118,"yyyy-mm-dd")&amp;".jpg")</f>
        <v>SAMPLE-CMP-008_SAMPLE-O-001_placement_2027-03-23.jpg</v>
      </c>
      <c r="Q118" s="30" t="str">
        <f aca="false">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30" t="str">
        <f aca="false">IF($B118="","",$B118&amp;"|"&amp;$C118&amp;"|"&amp;$D118&amp;"|"&amp;$O118)</f>
        <v>SAMPLE-CMP-008|SAMPLE-O-001|placement|Y</v>
      </c>
      <c r="S118" s="30" t="str">
        <f aca="false">IF($B118="","",$R118&amp;"|"&amp;N($E118))</f>
        <v>SAMPLE-CMP-008|SAMPLE-O-001|placement|Y|46469</v>
      </c>
    </row>
    <row r="119" customFormat="false" ht="15" hidden="false" customHeight="false" outlineLevel="0" collapsed="false">
      <c r="A119" s="0" t="s">
        <v>941</v>
      </c>
      <c r="B119" s="0" t="s">
        <v>584</v>
      </c>
      <c r="C119" s="0" t="s">
        <v>678</v>
      </c>
      <c r="D119" s="10" t="s">
        <v>970</v>
      </c>
      <c r="E119" s="11" t="n">
        <v>46475</v>
      </c>
      <c r="F119" s="38" t="n">
        <v>0.625</v>
      </c>
      <c r="G119" s="10" t="s">
        <v>137</v>
      </c>
      <c r="H119" s="10" t="s">
        <v>1093</v>
      </c>
      <c r="I119" s="11" t="n">
        <v>46475</v>
      </c>
      <c r="J119" s="10" t="s">
        <v>486</v>
      </c>
      <c r="K119" s="10" t="s">
        <v>486</v>
      </c>
      <c r="M119" s="31" t="n">
        <f aca="false">IF($B119="","",IFERROR(IF(INDEX(campaigns!$BG$2:$BG$51,MATCH($B119,campaigns!$A$2:$A$51,0))="","",INDEX(campaigns!$BG$2:$BG$51,MATCH($B119,campaigns!$A$2:$A$51,0))),""))</f>
        <v>46469</v>
      </c>
      <c r="N119" s="30" t="n">
        <f aca="false">IF(OR($B119="",$E119="",$M119=""),"",IF($E119&lt;$M119,0,NETWORKDAYS($M119,$E119,calendar!$A$2:$A$80)))</f>
        <v>5</v>
      </c>
      <c r="O119" s="30" t="str">
        <f aca="false">IF($B119="","",IF(AND($K119="Y",OR($D119="later",$J119="Y")),"Y","N"))</f>
        <v>Y</v>
      </c>
      <c r="P119" s="30" t="str">
        <f aca="false">IF(OR($B119="",$E119=""),"",$B119&amp;"_"&amp;$C119&amp;"_"&amp;$D119&amp;"_"&amp;TEXT($E119,"yyyy-mm-dd")&amp;".jpg")</f>
        <v>SAMPLE-CMP-008_SAMPLE-O-001_later_2027-03-29.jpg</v>
      </c>
      <c r="Q119" s="30" t="str">
        <f aca="false">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30" t="str">
        <f aca="false">IF($B119="","",$B119&amp;"|"&amp;$C119&amp;"|"&amp;$D119&amp;"|"&amp;$O119)</f>
        <v>SAMPLE-CMP-008|SAMPLE-O-001|later|Y</v>
      </c>
      <c r="S119" s="30" t="str">
        <f aca="false">IF($B119="","",$R119&amp;"|"&amp;N($E119))</f>
        <v>SAMPLE-CMP-008|SAMPLE-O-001|later|Y|46475</v>
      </c>
    </row>
    <row r="120" customFormat="false" ht="15" hidden="false" customHeight="false" outlineLevel="0" collapsed="false">
      <c r="A120" s="0" t="s">
        <v>942</v>
      </c>
      <c r="B120" s="0" t="s">
        <v>584</v>
      </c>
      <c r="C120" s="0" t="s">
        <v>681</v>
      </c>
      <c r="D120" s="10" t="s">
        <v>968</v>
      </c>
      <c r="E120" s="11" t="n">
        <v>46469</v>
      </c>
      <c r="F120" s="38" t="n">
        <v>0.541666666666667</v>
      </c>
      <c r="G120" s="10" t="s">
        <v>137</v>
      </c>
      <c r="H120" s="10" t="s">
        <v>1094</v>
      </c>
      <c r="I120" s="11" t="n">
        <v>46469</v>
      </c>
      <c r="J120" s="10" t="s">
        <v>486</v>
      </c>
      <c r="K120" s="10" t="s">
        <v>486</v>
      </c>
      <c r="M120" s="31" t="n">
        <f aca="false">IF($B120="","",IFERROR(IF(INDEX(campaigns!$BG$2:$BG$51,MATCH($B120,campaigns!$A$2:$A$51,0))="","",INDEX(campaigns!$BG$2:$BG$51,MATCH($B120,campaigns!$A$2:$A$51,0))),""))</f>
        <v>46469</v>
      </c>
      <c r="N120" s="30" t="n">
        <f aca="false">IF(OR($B120="",$E120="",$M120=""),"",IF($E120&lt;$M120,0,NETWORKDAYS($M120,$E120,calendar!$A$2:$A$80)))</f>
        <v>1</v>
      </c>
      <c r="O120" s="30" t="str">
        <f aca="false">IF($B120="","",IF(AND($K120="Y",OR($D120="later",$J120="Y")),"Y","N"))</f>
        <v>Y</v>
      </c>
      <c r="P120" s="30" t="str">
        <f aca="false">IF(OR($B120="",$E120=""),"",$B120&amp;"_"&amp;$C120&amp;"_"&amp;$D120&amp;"_"&amp;TEXT($E120,"yyyy-mm-dd")&amp;".jpg")</f>
        <v>SAMPLE-CMP-008_SAMPLE-O-002_placement_2027-03-23.jpg</v>
      </c>
      <c r="Q120" s="30" t="str">
        <f aca="false">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30" t="str">
        <f aca="false">IF($B120="","",$B120&amp;"|"&amp;$C120&amp;"|"&amp;$D120&amp;"|"&amp;$O120)</f>
        <v>SAMPLE-CMP-008|SAMPLE-O-002|placement|Y</v>
      </c>
      <c r="S120" s="30" t="str">
        <f aca="false">IF($B120="","",$R120&amp;"|"&amp;N($E120))</f>
        <v>SAMPLE-CMP-008|SAMPLE-O-002|placement|Y|46469</v>
      </c>
    </row>
    <row r="121" customFormat="false" ht="15" hidden="false" customHeight="false" outlineLevel="0" collapsed="false">
      <c r="A121" s="0" t="s">
        <v>943</v>
      </c>
      <c r="B121" s="0" t="s">
        <v>584</v>
      </c>
      <c r="C121" s="0" t="s">
        <v>681</v>
      </c>
      <c r="D121" s="10" t="s">
        <v>970</v>
      </c>
      <c r="E121" s="11" t="n">
        <v>46475</v>
      </c>
      <c r="F121" s="38" t="n">
        <v>0.625</v>
      </c>
      <c r="G121" s="10" t="s">
        <v>137</v>
      </c>
      <c r="H121" s="10" t="s">
        <v>1095</v>
      </c>
      <c r="I121" s="11" t="n">
        <v>46475</v>
      </c>
      <c r="J121" s="10" t="s">
        <v>486</v>
      </c>
      <c r="K121" s="10" t="s">
        <v>486</v>
      </c>
      <c r="M121" s="31" t="n">
        <f aca="false">IF($B121="","",IFERROR(IF(INDEX(campaigns!$BG$2:$BG$51,MATCH($B121,campaigns!$A$2:$A$51,0))="","",INDEX(campaigns!$BG$2:$BG$51,MATCH($B121,campaigns!$A$2:$A$51,0))),""))</f>
        <v>46469</v>
      </c>
      <c r="N121" s="30" t="n">
        <f aca="false">IF(OR($B121="",$E121="",$M121=""),"",IF($E121&lt;$M121,0,NETWORKDAYS($M121,$E121,calendar!$A$2:$A$80)))</f>
        <v>5</v>
      </c>
      <c r="O121" s="30" t="str">
        <f aca="false">IF($B121="","",IF(AND($K121="Y",OR($D121="later",$J121="Y")),"Y","N"))</f>
        <v>Y</v>
      </c>
      <c r="P121" s="30" t="str">
        <f aca="false">IF(OR($B121="",$E121=""),"",$B121&amp;"_"&amp;$C121&amp;"_"&amp;$D121&amp;"_"&amp;TEXT($E121,"yyyy-mm-dd")&amp;".jpg")</f>
        <v>SAMPLE-CMP-008_SAMPLE-O-002_later_2027-03-29.jpg</v>
      </c>
      <c r="Q121" s="30" t="str">
        <f aca="false">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30" t="str">
        <f aca="false">IF($B121="","",$B121&amp;"|"&amp;$C121&amp;"|"&amp;$D121&amp;"|"&amp;$O121)</f>
        <v>SAMPLE-CMP-008|SAMPLE-O-002|later|Y</v>
      </c>
      <c r="S121" s="30" t="str">
        <f aca="false">IF($B121="","",$R121&amp;"|"&amp;N($E121))</f>
        <v>SAMPLE-CMP-008|SAMPLE-O-002|later|Y|46475</v>
      </c>
    </row>
    <row r="122" customFormat="false" ht="15" hidden="false" customHeight="false" outlineLevel="0" collapsed="false">
      <c r="A122" s="0" t="s">
        <v>944</v>
      </c>
      <c r="B122" s="0" t="s">
        <v>584</v>
      </c>
      <c r="C122" s="0" t="s">
        <v>683</v>
      </c>
      <c r="D122" s="10" t="s">
        <v>968</v>
      </c>
      <c r="E122" s="11" t="n">
        <v>46469</v>
      </c>
      <c r="F122" s="38" t="n">
        <v>0.541666666666667</v>
      </c>
      <c r="G122" s="10" t="s">
        <v>137</v>
      </c>
      <c r="H122" s="10" t="s">
        <v>1096</v>
      </c>
      <c r="I122" s="11" t="n">
        <v>46469</v>
      </c>
      <c r="J122" s="10" t="s">
        <v>486</v>
      </c>
      <c r="K122" s="10" t="s">
        <v>486</v>
      </c>
      <c r="M122" s="31" t="n">
        <f aca="false">IF($B122="","",IFERROR(IF(INDEX(campaigns!$BG$2:$BG$51,MATCH($B122,campaigns!$A$2:$A$51,0))="","",INDEX(campaigns!$BG$2:$BG$51,MATCH($B122,campaigns!$A$2:$A$51,0))),""))</f>
        <v>46469</v>
      </c>
      <c r="N122" s="30" t="n">
        <f aca="false">IF(OR($B122="",$E122="",$M122=""),"",IF($E122&lt;$M122,0,NETWORKDAYS($M122,$E122,calendar!$A$2:$A$80)))</f>
        <v>1</v>
      </c>
      <c r="O122" s="30" t="str">
        <f aca="false">IF($B122="","",IF(AND($K122="Y",OR($D122="later",$J122="Y")),"Y","N"))</f>
        <v>Y</v>
      </c>
      <c r="P122" s="30" t="str">
        <f aca="false">IF(OR($B122="",$E122=""),"",$B122&amp;"_"&amp;$C122&amp;"_"&amp;$D122&amp;"_"&amp;TEXT($E122,"yyyy-mm-dd")&amp;".jpg")</f>
        <v>SAMPLE-CMP-008_SAMPLE-O-003_placement_2027-03-23.jpg</v>
      </c>
      <c r="Q122" s="30" t="str">
        <f aca="false">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30" t="str">
        <f aca="false">IF($B122="","",$B122&amp;"|"&amp;$C122&amp;"|"&amp;$D122&amp;"|"&amp;$O122)</f>
        <v>SAMPLE-CMP-008|SAMPLE-O-003|placement|Y</v>
      </c>
      <c r="S122" s="30" t="str">
        <f aca="false">IF($B122="","",$R122&amp;"|"&amp;N($E122))</f>
        <v>SAMPLE-CMP-008|SAMPLE-O-003|placement|Y|46469</v>
      </c>
    </row>
    <row r="123" customFormat="false" ht="15" hidden="false" customHeight="false" outlineLevel="0" collapsed="false">
      <c r="A123" s="0" t="s">
        <v>945</v>
      </c>
      <c r="B123" s="0" t="s">
        <v>584</v>
      </c>
      <c r="C123" s="0" t="s">
        <v>683</v>
      </c>
      <c r="D123" s="10" t="s">
        <v>970</v>
      </c>
      <c r="E123" s="11" t="n">
        <v>46475</v>
      </c>
      <c r="F123" s="38" t="n">
        <v>0.625</v>
      </c>
      <c r="G123" s="10" t="s">
        <v>137</v>
      </c>
      <c r="H123" s="10" t="s">
        <v>1097</v>
      </c>
      <c r="I123" s="11" t="n">
        <v>46475</v>
      </c>
      <c r="J123" s="10" t="s">
        <v>486</v>
      </c>
      <c r="K123" s="10" t="s">
        <v>486</v>
      </c>
      <c r="M123" s="31" t="n">
        <f aca="false">IF($B123="","",IFERROR(IF(INDEX(campaigns!$BG$2:$BG$51,MATCH($B123,campaigns!$A$2:$A$51,0))="","",INDEX(campaigns!$BG$2:$BG$51,MATCH($B123,campaigns!$A$2:$A$51,0))),""))</f>
        <v>46469</v>
      </c>
      <c r="N123" s="30" t="n">
        <f aca="false">IF(OR($B123="",$E123="",$M123=""),"",IF($E123&lt;$M123,0,NETWORKDAYS($M123,$E123,calendar!$A$2:$A$80)))</f>
        <v>5</v>
      </c>
      <c r="O123" s="30" t="str">
        <f aca="false">IF($B123="","",IF(AND($K123="Y",OR($D123="later",$J123="Y")),"Y","N"))</f>
        <v>Y</v>
      </c>
      <c r="P123" s="30" t="str">
        <f aca="false">IF(OR($B123="",$E123=""),"",$B123&amp;"_"&amp;$C123&amp;"_"&amp;$D123&amp;"_"&amp;TEXT($E123,"yyyy-mm-dd")&amp;".jpg")</f>
        <v>SAMPLE-CMP-008_SAMPLE-O-003_later_2027-03-29.jpg</v>
      </c>
      <c r="Q123" s="30" t="str">
        <f aca="false">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30" t="str">
        <f aca="false">IF($B123="","",$B123&amp;"|"&amp;$C123&amp;"|"&amp;$D123&amp;"|"&amp;$O123)</f>
        <v>SAMPLE-CMP-008|SAMPLE-O-003|later|Y</v>
      </c>
      <c r="S123" s="30" t="str">
        <f aca="false">IF($B123="","",$R123&amp;"|"&amp;N($E123))</f>
        <v>SAMPLE-CMP-008|SAMPLE-O-003|later|Y|46475</v>
      </c>
    </row>
    <row r="124" customFormat="false" ht="15" hidden="false" customHeight="false" outlineLevel="0" collapsed="false">
      <c r="A124" s="0" t="s">
        <v>946</v>
      </c>
      <c r="B124" s="0" t="s">
        <v>584</v>
      </c>
      <c r="C124" s="0" t="s">
        <v>686</v>
      </c>
      <c r="D124" s="10" t="s">
        <v>968</v>
      </c>
      <c r="E124" s="11" t="n">
        <v>46469</v>
      </c>
      <c r="F124" s="38" t="n">
        <v>0.541666666666667</v>
      </c>
      <c r="G124" s="10" t="s">
        <v>137</v>
      </c>
      <c r="H124" s="10" t="s">
        <v>1098</v>
      </c>
      <c r="I124" s="11" t="n">
        <v>46469</v>
      </c>
      <c r="J124" s="10" t="s">
        <v>486</v>
      </c>
      <c r="K124" s="10" t="s">
        <v>486</v>
      </c>
      <c r="M124" s="31" t="n">
        <f aca="false">IF($B124="","",IFERROR(IF(INDEX(campaigns!$BG$2:$BG$51,MATCH($B124,campaigns!$A$2:$A$51,0))="","",INDEX(campaigns!$BG$2:$BG$51,MATCH($B124,campaigns!$A$2:$A$51,0))),""))</f>
        <v>46469</v>
      </c>
      <c r="N124" s="30" t="n">
        <f aca="false">IF(OR($B124="",$E124="",$M124=""),"",IF($E124&lt;$M124,0,NETWORKDAYS($M124,$E124,calendar!$A$2:$A$80)))</f>
        <v>1</v>
      </c>
      <c r="O124" s="30" t="str">
        <f aca="false">IF($B124="","",IF(AND($K124="Y",OR($D124="later",$J124="Y")),"Y","N"))</f>
        <v>Y</v>
      </c>
      <c r="P124" s="30" t="str">
        <f aca="false">IF(OR($B124="",$E124=""),"",$B124&amp;"_"&amp;$C124&amp;"_"&amp;$D124&amp;"_"&amp;TEXT($E124,"yyyy-mm-dd")&amp;".jpg")</f>
        <v>SAMPLE-CMP-008_SAMPLE-O-004_placement_2027-03-23.jpg</v>
      </c>
      <c r="Q124" s="30" t="str">
        <f aca="false">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30" t="str">
        <f aca="false">IF($B124="","",$B124&amp;"|"&amp;$C124&amp;"|"&amp;$D124&amp;"|"&amp;$O124)</f>
        <v>SAMPLE-CMP-008|SAMPLE-O-004|placement|Y</v>
      </c>
      <c r="S124" s="30" t="str">
        <f aca="false">IF($B124="","",$R124&amp;"|"&amp;N($E124))</f>
        <v>SAMPLE-CMP-008|SAMPLE-O-004|placement|Y|46469</v>
      </c>
    </row>
    <row r="125" customFormat="false" ht="15" hidden="false" customHeight="false" outlineLevel="0" collapsed="false">
      <c r="A125" s="0" t="s">
        <v>947</v>
      </c>
      <c r="B125" s="0" t="s">
        <v>584</v>
      </c>
      <c r="C125" s="0" t="s">
        <v>686</v>
      </c>
      <c r="D125" s="10" t="s">
        <v>970</v>
      </c>
      <c r="E125" s="11" t="n">
        <v>46475</v>
      </c>
      <c r="F125" s="38" t="n">
        <v>0.625</v>
      </c>
      <c r="G125" s="10" t="s">
        <v>137</v>
      </c>
      <c r="H125" s="10" t="s">
        <v>1099</v>
      </c>
      <c r="I125" s="11" t="n">
        <v>46475</v>
      </c>
      <c r="J125" s="10" t="s">
        <v>486</v>
      </c>
      <c r="K125" s="10" t="s">
        <v>486</v>
      </c>
      <c r="M125" s="31" t="n">
        <f aca="false">IF($B125="","",IFERROR(IF(INDEX(campaigns!$BG$2:$BG$51,MATCH($B125,campaigns!$A$2:$A$51,0))="","",INDEX(campaigns!$BG$2:$BG$51,MATCH($B125,campaigns!$A$2:$A$51,0))),""))</f>
        <v>46469</v>
      </c>
      <c r="N125" s="30" t="n">
        <f aca="false">IF(OR($B125="",$E125="",$M125=""),"",IF($E125&lt;$M125,0,NETWORKDAYS($M125,$E125,calendar!$A$2:$A$80)))</f>
        <v>5</v>
      </c>
      <c r="O125" s="30" t="str">
        <f aca="false">IF($B125="","",IF(AND($K125="Y",OR($D125="later",$J125="Y")),"Y","N"))</f>
        <v>Y</v>
      </c>
      <c r="P125" s="30" t="str">
        <f aca="false">IF(OR($B125="",$E125=""),"",$B125&amp;"_"&amp;$C125&amp;"_"&amp;$D125&amp;"_"&amp;TEXT($E125,"yyyy-mm-dd")&amp;".jpg")</f>
        <v>SAMPLE-CMP-008_SAMPLE-O-004_later_2027-03-29.jpg</v>
      </c>
      <c r="Q125" s="30" t="str">
        <f aca="false">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30" t="str">
        <f aca="false">IF($B125="","",$B125&amp;"|"&amp;$C125&amp;"|"&amp;$D125&amp;"|"&amp;$O125)</f>
        <v>SAMPLE-CMP-008|SAMPLE-O-004|later|Y</v>
      </c>
      <c r="S125" s="30" t="str">
        <f aca="false">IF($B125="","",$R125&amp;"|"&amp;N($E125))</f>
        <v>SAMPLE-CMP-008|SAMPLE-O-004|later|Y|46475</v>
      </c>
    </row>
    <row r="126" customFormat="false" ht="15" hidden="false" customHeight="false" outlineLevel="0" collapsed="false">
      <c r="A126" s="0" t="s">
        <v>948</v>
      </c>
      <c r="B126" s="0" t="s">
        <v>584</v>
      </c>
      <c r="C126" s="0" t="s">
        <v>688</v>
      </c>
      <c r="D126" s="10" t="s">
        <v>968</v>
      </c>
      <c r="E126" s="11" t="n">
        <v>46469</v>
      </c>
      <c r="F126" s="38" t="n">
        <v>0.541666666666667</v>
      </c>
      <c r="G126" s="10" t="s">
        <v>137</v>
      </c>
      <c r="H126" s="10" t="s">
        <v>1100</v>
      </c>
      <c r="I126" s="11" t="n">
        <v>46469</v>
      </c>
      <c r="J126" s="10" t="s">
        <v>486</v>
      </c>
      <c r="K126" s="10" t="s">
        <v>486</v>
      </c>
      <c r="M126" s="31" t="n">
        <f aca="false">IF($B126="","",IFERROR(IF(INDEX(campaigns!$BG$2:$BG$51,MATCH($B126,campaigns!$A$2:$A$51,0))="","",INDEX(campaigns!$BG$2:$BG$51,MATCH($B126,campaigns!$A$2:$A$51,0))),""))</f>
        <v>46469</v>
      </c>
      <c r="N126" s="30" t="n">
        <f aca="false">IF(OR($B126="",$E126="",$M126=""),"",IF($E126&lt;$M126,0,NETWORKDAYS($M126,$E126,calendar!$A$2:$A$80)))</f>
        <v>1</v>
      </c>
      <c r="O126" s="30" t="str">
        <f aca="false">IF($B126="","",IF(AND($K126="Y",OR($D126="later",$J126="Y")),"Y","N"))</f>
        <v>Y</v>
      </c>
      <c r="P126" s="30" t="str">
        <f aca="false">IF(OR($B126="",$E126=""),"",$B126&amp;"_"&amp;$C126&amp;"_"&amp;$D126&amp;"_"&amp;TEXT($E126,"yyyy-mm-dd")&amp;".jpg")</f>
        <v>SAMPLE-CMP-008_SAMPLE-O-005_placement_2027-03-23.jpg</v>
      </c>
      <c r="Q126" s="30" t="str">
        <f aca="false">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30" t="str">
        <f aca="false">IF($B126="","",$B126&amp;"|"&amp;$C126&amp;"|"&amp;$D126&amp;"|"&amp;$O126)</f>
        <v>SAMPLE-CMP-008|SAMPLE-O-005|placement|Y</v>
      </c>
      <c r="S126" s="30" t="str">
        <f aca="false">IF($B126="","",$R126&amp;"|"&amp;N($E126))</f>
        <v>SAMPLE-CMP-008|SAMPLE-O-005|placement|Y|46469</v>
      </c>
    </row>
    <row r="127" customFormat="false" ht="15" hidden="false" customHeight="false" outlineLevel="0" collapsed="false">
      <c r="A127" s="0" t="s">
        <v>949</v>
      </c>
      <c r="B127" s="0" t="s">
        <v>584</v>
      </c>
      <c r="C127" s="0" t="s">
        <v>688</v>
      </c>
      <c r="D127" s="10" t="s">
        <v>970</v>
      </c>
      <c r="E127" s="11" t="n">
        <v>46475</v>
      </c>
      <c r="F127" s="38" t="n">
        <v>0.625</v>
      </c>
      <c r="G127" s="10" t="s">
        <v>137</v>
      </c>
      <c r="H127" s="10" t="s">
        <v>1101</v>
      </c>
      <c r="I127" s="11" t="n">
        <v>46475</v>
      </c>
      <c r="J127" s="10" t="s">
        <v>486</v>
      </c>
      <c r="K127" s="10" t="s">
        <v>486</v>
      </c>
      <c r="M127" s="31" t="n">
        <f aca="false">IF($B127="","",IFERROR(IF(INDEX(campaigns!$BG$2:$BG$51,MATCH($B127,campaigns!$A$2:$A$51,0))="","",INDEX(campaigns!$BG$2:$BG$51,MATCH($B127,campaigns!$A$2:$A$51,0))),""))</f>
        <v>46469</v>
      </c>
      <c r="N127" s="30" t="n">
        <f aca="false">IF(OR($B127="",$E127="",$M127=""),"",IF($E127&lt;$M127,0,NETWORKDAYS($M127,$E127,calendar!$A$2:$A$80)))</f>
        <v>5</v>
      </c>
      <c r="O127" s="30" t="str">
        <f aca="false">IF($B127="","",IF(AND($K127="Y",OR($D127="later",$J127="Y")),"Y","N"))</f>
        <v>Y</v>
      </c>
      <c r="P127" s="30" t="str">
        <f aca="false">IF(OR($B127="",$E127=""),"",$B127&amp;"_"&amp;$C127&amp;"_"&amp;$D127&amp;"_"&amp;TEXT($E127,"yyyy-mm-dd")&amp;".jpg")</f>
        <v>SAMPLE-CMP-008_SAMPLE-O-005_later_2027-03-29.jpg</v>
      </c>
      <c r="Q127" s="30" t="str">
        <f aca="false">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30" t="str">
        <f aca="false">IF($B127="","",$B127&amp;"|"&amp;$C127&amp;"|"&amp;$D127&amp;"|"&amp;$O127)</f>
        <v>SAMPLE-CMP-008|SAMPLE-O-005|later|Y</v>
      </c>
      <c r="S127" s="30" t="str">
        <f aca="false">IF($B127="","",$R127&amp;"|"&amp;N($E127))</f>
        <v>SAMPLE-CMP-008|SAMPLE-O-005|later|Y|46475</v>
      </c>
    </row>
    <row r="128" customFormat="false" ht="15" hidden="false" customHeight="false" outlineLevel="0" collapsed="false">
      <c r="A128" s="0" t="s">
        <v>950</v>
      </c>
      <c r="B128" s="0" t="s">
        <v>584</v>
      </c>
      <c r="C128" s="0" t="s">
        <v>690</v>
      </c>
      <c r="D128" s="10" t="s">
        <v>968</v>
      </c>
      <c r="E128" s="11" t="n">
        <v>46469</v>
      </c>
      <c r="F128" s="38" t="n">
        <v>0.541666666666667</v>
      </c>
      <c r="G128" s="10" t="s">
        <v>137</v>
      </c>
      <c r="H128" s="10" t="s">
        <v>1102</v>
      </c>
      <c r="I128" s="11" t="n">
        <v>46469</v>
      </c>
      <c r="J128" s="10" t="s">
        <v>486</v>
      </c>
      <c r="K128" s="10" t="s">
        <v>486</v>
      </c>
      <c r="M128" s="31" t="n">
        <f aca="false">IF($B128="","",IFERROR(IF(INDEX(campaigns!$BG$2:$BG$51,MATCH($B128,campaigns!$A$2:$A$51,0))="","",INDEX(campaigns!$BG$2:$BG$51,MATCH($B128,campaigns!$A$2:$A$51,0))),""))</f>
        <v>46469</v>
      </c>
      <c r="N128" s="30" t="n">
        <f aca="false">IF(OR($B128="",$E128="",$M128=""),"",IF($E128&lt;$M128,0,NETWORKDAYS($M128,$E128,calendar!$A$2:$A$80)))</f>
        <v>1</v>
      </c>
      <c r="O128" s="30" t="str">
        <f aca="false">IF($B128="","",IF(AND($K128="Y",OR($D128="later",$J128="Y")),"Y","N"))</f>
        <v>Y</v>
      </c>
      <c r="P128" s="30" t="str">
        <f aca="false">IF(OR($B128="",$E128=""),"",$B128&amp;"_"&amp;$C128&amp;"_"&amp;$D128&amp;"_"&amp;TEXT($E128,"yyyy-mm-dd")&amp;".jpg")</f>
        <v>SAMPLE-CMP-008_SAMPLE-O-006_placement_2027-03-23.jpg</v>
      </c>
      <c r="Q128" s="30" t="str">
        <f aca="false">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30" t="str">
        <f aca="false">IF($B128="","",$B128&amp;"|"&amp;$C128&amp;"|"&amp;$D128&amp;"|"&amp;$O128)</f>
        <v>SAMPLE-CMP-008|SAMPLE-O-006|placement|Y</v>
      </c>
      <c r="S128" s="30" t="str">
        <f aca="false">IF($B128="","",$R128&amp;"|"&amp;N($E128))</f>
        <v>SAMPLE-CMP-008|SAMPLE-O-006|placement|Y|46469</v>
      </c>
    </row>
    <row r="129" customFormat="false" ht="15" hidden="false" customHeight="false" outlineLevel="0" collapsed="false">
      <c r="A129" s="0" t="s">
        <v>951</v>
      </c>
      <c r="B129" s="0" t="s">
        <v>584</v>
      </c>
      <c r="C129" s="0" t="s">
        <v>690</v>
      </c>
      <c r="D129" s="10" t="s">
        <v>970</v>
      </c>
      <c r="E129" s="11" t="n">
        <v>46475</v>
      </c>
      <c r="F129" s="38" t="n">
        <v>0.625</v>
      </c>
      <c r="G129" s="10" t="s">
        <v>137</v>
      </c>
      <c r="H129" s="10" t="s">
        <v>1103</v>
      </c>
      <c r="I129" s="11" t="n">
        <v>46475</v>
      </c>
      <c r="J129" s="10" t="s">
        <v>486</v>
      </c>
      <c r="K129" s="10" t="s">
        <v>486</v>
      </c>
      <c r="M129" s="31" t="n">
        <f aca="false">IF($B129="","",IFERROR(IF(INDEX(campaigns!$BG$2:$BG$51,MATCH($B129,campaigns!$A$2:$A$51,0))="","",INDEX(campaigns!$BG$2:$BG$51,MATCH($B129,campaigns!$A$2:$A$51,0))),""))</f>
        <v>46469</v>
      </c>
      <c r="N129" s="30" t="n">
        <f aca="false">IF(OR($B129="",$E129="",$M129=""),"",IF($E129&lt;$M129,0,NETWORKDAYS($M129,$E129,calendar!$A$2:$A$80)))</f>
        <v>5</v>
      </c>
      <c r="O129" s="30" t="str">
        <f aca="false">IF($B129="","",IF(AND($K129="Y",OR($D129="later",$J129="Y")),"Y","N"))</f>
        <v>Y</v>
      </c>
      <c r="P129" s="30" t="str">
        <f aca="false">IF(OR($B129="",$E129=""),"",$B129&amp;"_"&amp;$C129&amp;"_"&amp;$D129&amp;"_"&amp;TEXT($E129,"yyyy-mm-dd")&amp;".jpg")</f>
        <v>SAMPLE-CMP-008_SAMPLE-O-006_later_2027-03-29.jpg</v>
      </c>
      <c r="Q129" s="30" t="str">
        <f aca="false">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30" t="str">
        <f aca="false">IF($B129="","",$B129&amp;"|"&amp;$C129&amp;"|"&amp;$D129&amp;"|"&amp;$O129)</f>
        <v>SAMPLE-CMP-008|SAMPLE-O-006|later|Y</v>
      </c>
      <c r="S129" s="30" t="str">
        <f aca="false">IF($B129="","",$R129&amp;"|"&amp;N($E129))</f>
        <v>SAMPLE-CMP-008|SAMPLE-O-006|later|Y|46475</v>
      </c>
    </row>
    <row r="130" customFormat="false" ht="15" hidden="false" customHeight="false" outlineLevel="0" collapsed="false">
      <c r="A130" s="0" t="s">
        <v>952</v>
      </c>
      <c r="B130" s="0" t="s">
        <v>584</v>
      </c>
      <c r="C130" s="0" t="s">
        <v>692</v>
      </c>
      <c r="D130" s="10" t="s">
        <v>968</v>
      </c>
      <c r="E130" s="11" t="n">
        <v>46469</v>
      </c>
      <c r="F130" s="38" t="n">
        <v>0.541666666666667</v>
      </c>
      <c r="G130" s="10" t="s">
        <v>137</v>
      </c>
      <c r="H130" s="10" t="s">
        <v>1104</v>
      </c>
      <c r="I130" s="11" t="n">
        <v>46469</v>
      </c>
      <c r="J130" s="10" t="s">
        <v>486</v>
      </c>
      <c r="K130" s="10" t="s">
        <v>486</v>
      </c>
      <c r="M130" s="31" t="n">
        <f aca="false">IF($B130="","",IFERROR(IF(INDEX(campaigns!$BG$2:$BG$51,MATCH($B130,campaigns!$A$2:$A$51,0))="","",INDEX(campaigns!$BG$2:$BG$51,MATCH($B130,campaigns!$A$2:$A$51,0))),""))</f>
        <v>46469</v>
      </c>
      <c r="N130" s="30" t="n">
        <f aca="false">IF(OR($B130="",$E130="",$M130=""),"",IF($E130&lt;$M130,0,NETWORKDAYS($M130,$E130,calendar!$A$2:$A$80)))</f>
        <v>1</v>
      </c>
      <c r="O130" s="30" t="str">
        <f aca="false">IF($B130="","",IF(AND($K130="Y",OR($D130="later",$J130="Y")),"Y","N"))</f>
        <v>Y</v>
      </c>
      <c r="P130" s="30" t="str">
        <f aca="false">IF(OR($B130="",$E130=""),"",$B130&amp;"_"&amp;$C130&amp;"_"&amp;$D130&amp;"_"&amp;TEXT($E130,"yyyy-mm-dd")&amp;".jpg")</f>
        <v>SAMPLE-CMP-008_SAMPLE-O-007_placement_2027-03-23.jpg</v>
      </c>
      <c r="Q130" s="30" t="str">
        <f aca="false">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30" t="str">
        <f aca="false">IF($B130="","",$B130&amp;"|"&amp;$C130&amp;"|"&amp;$D130&amp;"|"&amp;$O130)</f>
        <v>SAMPLE-CMP-008|SAMPLE-O-007|placement|Y</v>
      </c>
      <c r="S130" s="30" t="str">
        <f aca="false">IF($B130="","",$R130&amp;"|"&amp;N($E130))</f>
        <v>SAMPLE-CMP-008|SAMPLE-O-007|placement|Y|46469</v>
      </c>
    </row>
    <row r="131" customFormat="false" ht="15" hidden="false" customHeight="false" outlineLevel="0" collapsed="false">
      <c r="A131" s="0" t="s">
        <v>953</v>
      </c>
      <c r="B131" s="0" t="s">
        <v>584</v>
      </c>
      <c r="C131" s="0" t="s">
        <v>692</v>
      </c>
      <c r="D131" s="10" t="s">
        <v>970</v>
      </c>
      <c r="E131" s="11" t="n">
        <v>46475</v>
      </c>
      <c r="F131" s="38" t="n">
        <v>0.625</v>
      </c>
      <c r="G131" s="10" t="s">
        <v>137</v>
      </c>
      <c r="H131" s="10" t="s">
        <v>1105</v>
      </c>
      <c r="I131" s="11" t="n">
        <v>46475</v>
      </c>
      <c r="J131" s="10" t="s">
        <v>486</v>
      </c>
      <c r="K131" s="10" t="s">
        <v>486</v>
      </c>
      <c r="M131" s="31" t="n">
        <f aca="false">IF($B131="","",IFERROR(IF(INDEX(campaigns!$BG$2:$BG$51,MATCH($B131,campaigns!$A$2:$A$51,0))="","",INDEX(campaigns!$BG$2:$BG$51,MATCH($B131,campaigns!$A$2:$A$51,0))),""))</f>
        <v>46469</v>
      </c>
      <c r="N131" s="30" t="n">
        <f aca="false">IF(OR($B131="",$E131="",$M131=""),"",IF($E131&lt;$M131,0,NETWORKDAYS($M131,$E131,calendar!$A$2:$A$80)))</f>
        <v>5</v>
      </c>
      <c r="O131" s="30" t="str">
        <f aca="false">IF($B131="","",IF(AND($K131="Y",OR($D131="later",$J131="Y")),"Y","N"))</f>
        <v>Y</v>
      </c>
      <c r="P131" s="30" t="str">
        <f aca="false">IF(OR($B131="",$E131=""),"",$B131&amp;"_"&amp;$C131&amp;"_"&amp;$D131&amp;"_"&amp;TEXT($E131,"yyyy-mm-dd")&amp;".jpg")</f>
        <v>SAMPLE-CMP-008_SAMPLE-O-007_later_2027-03-29.jpg</v>
      </c>
      <c r="Q131" s="30" t="str">
        <f aca="false">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30" t="str">
        <f aca="false">IF($B131="","",$B131&amp;"|"&amp;$C131&amp;"|"&amp;$D131&amp;"|"&amp;$O131)</f>
        <v>SAMPLE-CMP-008|SAMPLE-O-007|later|Y</v>
      </c>
      <c r="S131" s="30" t="str">
        <f aca="false">IF($B131="","",$R131&amp;"|"&amp;N($E131))</f>
        <v>SAMPLE-CMP-008|SAMPLE-O-007|later|Y|46475</v>
      </c>
    </row>
    <row r="132" customFormat="false" ht="15" hidden="false" customHeight="false" outlineLevel="0" collapsed="false">
      <c r="A132" s="0" t="s">
        <v>954</v>
      </c>
      <c r="B132" s="0" t="s">
        <v>584</v>
      </c>
      <c r="C132" s="0" t="s">
        <v>696</v>
      </c>
      <c r="D132" s="10" t="s">
        <v>968</v>
      </c>
      <c r="E132" s="11" t="n">
        <v>46469</v>
      </c>
      <c r="F132" s="38" t="n">
        <v>0.444444444444444</v>
      </c>
      <c r="G132" s="10" t="s">
        <v>338</v>
      </c>
      <c r="H132" s="10" t="s">
        <v>1106</v>
      </c>
      <c r="I132" s="11" t="n">
        <v>46469</v>
      </c>
      <c r="J132" s="10" t="s">
        <v>486</v>
      </c>
      <c r="K132" s="10" t="s">
        <v>486</v>
      </c>
      <c r="M132" s="31" t="n">
        <f aca="false">IF($B132="","",IFERROR(IF(INDEX(campaigns!$BG$2:$BG$51,MATCH($B132,campaigns!$A$2:$A$51,0))="","",INDEX(campaigns!$BG$2:$BG$51,MATCH($B132,campaigns!$A$2:$A$51,0))),""))</f>
        <v>46469</v>
      </c>
      <c r="N132" s="30" t="n">
        <f aca="false">IF(OR($B132="",$E132="",$M132=""),"",IF($E132&lt;$M132,0,NETWORKDAYS($M132,$E132,calendar!$A$2:$A$80)))</f>
        <v>1</v>
      </c>
      <c r="O132" s="30" t="str">
        <f aca="false">IF($B132="","",IF(AND($K132="Y",OR($D132="later",$J132="Y")),"Y","N"))</f>
        <v>Y</v>
      </c>
      <c r="P132" s="30" t="str">
        <f aca="false">IF(OR($B132="",$E132=""),"",$B132&amp;"_"&amp;$C132&amp;"_"&amp;$D132&amp;"_"&amp;TEXT($E132,"yyyy-mm-dd")&amp;".jpg")</f>
        <v>SAMPLE-CMP-008_SAMPLE-O-009_placement_2027-03-23.jpg</v>
      </c>
      <c r="Q132" s="30" t="str">
        <f aca="false">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30" t="str">
        <f aca="false">IF($B132="","",$B132&amp;"|"&amp;$C132&amp;"|"&amp;$D132&amp;"|"&amp;$O132)</f>
        <v>SAMPLE-CMP-008|SAMPLE-O-009|placement|Y</v>
      </c>
      <c r="S132" s="30" t="str">
        <f aca="false">IF($B132="","",$R132&amp;"|"&amp;N($E132))</f>
        <v>SAMPLE-CMP-008|SAMPLE-O-009|placement|Y|46469</v>
      </c>
    </row>
    <row r="133" customFormat="false" ht="15" hidden="false" customHeight="false" outlineLevel="0" collapsed="false">
      <c r="A133" s="0" t="s">
        <v>955</v>
      </c>
      <c r="B133" s="0" t="s">
        <v>584</v>
      </c>
      <c r="C133" s="0" t="s">
        <v>696</v>
      </c>
      <c r="D133" s="10" t="s">
        <v>970</v>
      </c>
      <c r="E133" s="11" t="n">
        <v>46475</v>
      </c>
      <c r="F133" s="38" t="n">
        <v>0.625</v>
      </c>
      <c r="G133" s="10" t="s">
        <v>137</v>
      </c>
      <c r="H133" s="10" t="s">
        <v>1107</v>
      </c>
      <c r="I133" s="11" t="n">
        <v>46475</v>
      </c>
      <c r="J133" s="10" t="s">
        <v>486</v>
      </c>
      <c r="K133" s="10" t="s">
        <v>486</v>
      </c>
      <c r="M133" s="31" t="n">
        <f aca="false">IF($B133="","",IFERROR(IF(INDEX(campaigns!$BG$2:$BG$51,MATCH($B133,campaigns!$A$2:$A$51,0))="","",INDEX(campaigns!$BG$2:$BG$51,MATCH($B133,campaigns!$A$2:$A$51,0))),""))</f>
        <v>46469</v>
      </c>
      <c r="N133" s="30" t="n">
        <f aca="false">IF(OR($B133="",$E133="",$M133=""),"",IF($E133&lt;$M133,0,NETWORKDAYS($M133,$E133,calendar!$A$2:$A$80)))</f>
        <v>5</v>
      </c>
      <c r="O133" s="30" t="str">
        <f aca="false">IF($B133="","",IF(AND($K133="Y",OR($D133="later",$J133="Y")),"Y","N"))</f>
        <v>Y</v>
      </c>
      <c r="P133" s="30" t="str">
        <f aca="false">IF(OR($B133="",$E133=""),"",$B133&amp;"_"&amp;$C133&amp;"_"&amp;$D133&amp;"_"&amp;TEXT($E133,"yyyy-mm-dd")&amp;".jpg")</f>
        <v>SAMPLE-CMP-008_SAMPLE-O-009_later_2027-03-29.jpg</v>
      </c>
      <c r="Q133" s="30" t="str">
        <f aca="false">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30" t="str">
        <f aca="false">IF($B133="","",$B133&amp;"|"&amp;$C133&amp;"|"&amp;$D133&amp;"|"&amp;$O133)</f>
        <v>SAMPLE-CMP-008|SAMPLE-O-009|later|Y</v>
      </c>
      <c r="S133" s="30" t="str">
        <f aca="false">IF($B133="","",$R133&amp;"|"&amp;N($E133))</f>
        <v>SAMPLE-CMP-008|SAMPLE-O-009|later|Y|46475</v>
      </c>
    </row>
    <row r="134" customFormat="false" ht="15" hidden="false" customHeight="false" outlineLevel="0" collapsed="false">
      <c r="A134" s="0" t="s">
        <v>956</v>
      </c>
      <c r="B134" s="0" t="s">
        <v>584</v>
      </c>
      <c r="C134" s="0" t="s">
        <v>698</v>
      </c>
      <c r="D134" s="10" t="s">
        <v>968</v>
      </c>
      <c r="E134" s="11" t="n">
        <v>46469</v>
      </c>
      <c r="F134" s="38" t="n">
        <v>0.541666666666667</v>
      </c>
      <c r="G134" s="10" t="s">
        <v>137</v>
      </c>
      <c r="H134" s="10" t="s">
        <v>1108</v>
      </c>
      <c r="I134" s="11" t="n">
        <v>46469</v>
      </c>
      <c r="J134" s="10" t="s">
        <v>486</v>
      </c>
      <c r="K134" s="10" t="s">
        <v>486</v>
      </c>
      <c r="M134" s="31" t="n">
        <f aca="false">IF($B134="","",IFERROR(IF(INDEX(campaigns!$BG$2:$BG$51,MATCH($B134,campaigns!$A$2:$A$51,0))="","",INDEX(campaigns!$BG$2:$BG$51,MATCH($B134,campaigns!$A$2:$A$51,0))),""))</f>
        <v>46469</v>
      </c>
      <c r="N134" s="30" t="n">
        <f aca="false">IF(OR($B134="",$E134="",$M134=""),"",IF($E134&lt;$M134,0,NETWORKDAYS($M134,$E134,calendar!$A$2:$A$80)))</f>
        <v>1</v>
      </c>
      <c r="O134" s="30" t="str">
        <f aca="false">IF($B134="","",IF(AND($K134="Y",OR($D134="later",$J134="Y")),"Y","N"))</f>
        <v>Y</v>
      </c>
      <c r="P134" s="30" t="str">
        <f aca="false">IF(OR($B134="",$E134=""),"",$B134&amp;"_"&amp;$C134&amp;"_"&amp;$D134&amp;"_"&amp;TEXT($E134,"yyyy-mm-dd")&amp;".jpg")</f>
        <v>SAMPLE-CMP-008_SAMPLE-O-010_placement_2027-03-23.jpg</v>
      </c>
      <c r="Q134" s="30" t="str">
        <f aca="false">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30" t="str">
        <f aca="false">IF($B134="","",$B134&amp;"|"&amp;$C134&amp;"|"&amp;$D134&amp;"|"&amp;$O134)</f>
        <v>SAMPLE-CMP-008|SAMPLE-O-010|placement|Y</v>
      </c>
      <c r="S134" s="30" t="str">
        <f aca="false">IF($B134="","",$R134&amp;"|"&amp;N($E134))</f>
        <v>SAMPLE-CMP-008|SAMPLE-O-010|placement|Y|46469</v>
      </c>
    </row>
    <row r="135" customFormat="false" ht="15" hidden="false" customHeight="false" outlineLevel="0" collapsed="false">
      <c r="A135" s="0" t="s">
        <v>957</v>
      </c>
      <c r="B135" s="0" t="s">
        <v>584</v>
      </c>
      <c r="C135" s="0" t="s">
        <v>698</v>
      </c>
      <c r="D135" s="10" t="s">
        <v>970</v>
      </c>
      <c r="E135" s="11" t="n">
        <v>46475</v>
      </c>
      <c r="F135" s="38" t="n">
        <v>0.625</v>
      </c>
      <c r="G135" s="10" t="s">
        <v>137</v>
      </c>
      <c r="H135" s="10" t="s">
        <v>1109</v>
      </c>
      <c r="I135" s="11" t="n">
        <v>46475</v>
      </c>
      <c r="J135" s="10" t="s">
        <v>486</v>
      </c>
      <c r="K135" s="10" t="s">
        <v>486</v>
      </c>
      <c r="M135" s="31" t="n">
        <f aca="false">IF($B135="","",IFERROR(IF(INDEX(campaigns!$BG$2:$BG$51,MATCH($B135,campaigns!$A$2:$A$51,0))="","",INDEX(campaigns!$BG$2:$BG$51,MATCH($B135,campaigns!$A$2:$A$51,0))),""))</f>
        <v>46469</v>
      </c>
      <c r="N135" s="30" t="n">
        <f aca="false">IF(OR($B135="",$E135="",$M135=""),"",IF($E135&lt;$M135,0,NETWORKDAYS($M135,$E135,calendar!$A$2:$A$80)))</f>
        <v>5</v>
      </c>
      <c r="O135" s="30" t="str">
        <f aca="false">IF($B135="","",IF(AND($K135="Y",OR($D135="later",$J135="Y")),"Y","N"))</f>
        <v>Y</v>
      </c>
      <c r="P135" s="30" t="str">
        <f aca="false">IF(OR($B135="",$E135=""),"",$B135&amp;"_"&amp;$C135&amp;"_"&amp;$D135&amp;"_"&amp;TEXT($E135,"yyyy-mm-dd")&amp;".jpg")</f>
        <v>SAMPLE-CMP-008_SAMPLE-O-010_later_2027-03-29.jpg</v>
      </c>
      <c r="Q135" s="30" t="str">
        <f aca="false">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30" t="str">
        <f aca="false">IF($B135="","",$B135&amp;"|"&amp;$C135&amp;"|"&amp;$D135&amp;"|"&amp;$O135)</f>
        <v>SAMPLE-CMP-008|SAMPLE-O-010|later|Y</v>
      </c>
      <c r="S135" s="30" t="str">
        <f aca="false">IF($B135="","",$R135&amp;"|"&amp;N($E135))</f>
        <v>SAMPLE-CMP-008|SAMPLE-O-010|later|Y|46475</v>
      </c>
    </row>
    <row r="136" customFormat="false" ht="15" hidden="false" customHeight="false" outlineLevel="0" collapsed="false">
      <c r="D136" s="10"/>
      <c r="E136" s="11"/>
      <c r="F136" s="38"/>
      <c r="G136" s="10"/>
      <c r="I136" s="11"/>
      <c r="J136" s="10"/>
      <c r="K136" s="10"/>
      <c r="M136" s="31" t="str">
        <f aca="false">IF($B136="","",IFERROR(IF(INDEX(campaigns!$BG$2:$BG$51,MATCH($B136,campaigns!$A$2:$A$51,0))="","",INDEX(campaigns!$BG$2:$BG$51,MATCH($B136,campaigns!$A$2:$A$51,0))),""))</f>
        <v/>
      </c>
      <c r="N136" s="30" t="str">
        <f aca="false">IF(OR($B136="",$E136="",$M136=""),"",IF($E136&lt;$M136,0,NETWORKDAYS($M136,$E136,calendar!$A$2:$A$80)))</f>
        <v/>
      </c>
      <c r="O136" s="30" t="str">
        <f aca="false">IF($B136="","",IF(AND($K136="Y",OR($D136="later",$J136="Y")),"Y","N"))</f>
        <v/>
      </c>
      <c r="P136" s="30" t="str">
        <f aca="false">IF(OR($B136="",$E136=""),"",$B136&amp;"_"&amp;$C136&amp;"_"&amp;$D136&amp;"_"&amp;TEXT($E136,"yyyy-mm-dd")&amp;".jpg")</f>
        <v/>
      </c>
      <c r="Q136" s="30" t="str">
        <f aca="false">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30" t="str">
        <f aca="false">IF($B136="","",$B136&amp;"|"&amp;$C136&amp;"|"&amp;$D136&amp;"|"&amp;$O136)</f>
        <v/>
      </c>
      <c r="S136" s="30" t="str">
        <f aca="false">IF($B136="","",$R136&amp;"|"&amp;N($E136))</f>
        <v/>
      </c>
    </row>
    <row r="137" customFormat="false" ht="15" hidden="false" customHeight="false" outlineLevel="0" collapsed="false">
      <c r="D137" s="10"/>
      <c r="E137" s="11"/>
      <c r="F137" s="38"/>
      <c r="G137" s="10"/>
      <c r="I137" s="11"/>
      <c r="J137" s="10"/>
      <c r="K137" s="10"/>
      <c r="M137" s="31" t="str">
        <f aca="false">IF($B137="","",IFERROR(IF(INDEX(campaigns!$BG$2:$BG$51,MATCH($B137,campaigns!$A$2:$A$51,0))="","",INDEX(campaigns!$BG$2:$BG$51,MATCH($B137,campaigns!$A$2:$A$51,0))),""))</f>
        <v/>
      </c>
      <c r="N137" s="30" t="str">
        <f aca="false">IF(OR($B137="",$E137="",$M137=""),"",IF($E137&lt;$M137,0,NETWORKDAYS($M137,$E137,calendar!$A$2:$A$80)))</f>
        <v/>
      </c>
      <c r="O137" s="30" t="str">
        <f aca="false">IF($B137="","",IF(AND($K137="Y",OR($D137="later",$J137="Y")),"Y","N"))</f>
        <v/>
      </c>
      <c r="P137" s="30" t="str">
        <f aca="false">IF(OR($B137="",$E137=""),"",$B137&amp;"_"&amp;$C137&amp;"_"&amp;$D137&amp;"_"&amp;TEXT($E137,"yyyy-mm-dd")&amp;".jpg")</f>
        <v/>
      </c>
      <c r="Q137" s="30" t="str">
        <f aca="false">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30" t="str">
        <f aca="false">IF($B137="","",$B137&amp;"|"&amp;$C137&amp;"|"&amp;$D137&amp;"|"&amp;$O137)</f>
        <v/>
      </c>
      <c r="S137" s="30" t="str">
        <f aca="false">IF($B137="","",$R137&amp;"|"&amp;N($E137))</f>
        <v/>
      </c>
    </row>
    <row r="138" customFormat="false" ht="15" hidden="false" customHeight="false" outlineLevel="0" collapsed="false">
      <c r="D138" s="10"/>
      <c r="E138" s="11"/>
      <c r="F138" s="38"/>
      <c r="G138" s="10"/>
      <c r="I138" s="11"/>
      <c r="J138" s="10"/>
      <c r="K138" s="10"/>
      <c r="M138" s="31" t="str">
        <f aca="false">IF($B138="","",IFERROR(IF(INDEX(campaigns!$BG$2:$BG$51,MATCH($B138,campaigns!$A$2:$A$51,0))="","",INDEX(campaigns!$BG$2:$BG$51,MATCH($B138,campaigns!$A$2:$A$51,0))),""))</f>
        <v/>
      </c>
      <c r="N138" s="30" t="str">
        <f aca="false">IF(OR($B138="",$E138="",$M138=""),"",IF($E138&lt;$M138,0,NETWORKDAYS($M138,$E138,calendar!$A$2:$A$80)))</f>
        <v/>
      </c>
      <c r="O138" s="30" t="str">
        <f aca="false">IF($B138="","",IF(AND($K138="Y",OR($D138="later",$J138="Y")),"Y","N"))</f>
        <v/>
      </c>
      <c r="P138" s="30" t="str">
        <f aca="false">IF(OR($B138="",$E138=""),"",$B138&amp;"_"&amp;$C138&amp;"_"&amp;$D138&amp;"_"&amp;TEXT($E138,"yyyy-mm-dd")&amp;".jpg")</f>
        <v/>
      </c>
      <c r="Q138" s="30" t="str">
        <f aca="false">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30" t="str">
        <f aca="false">IF($B138="","",$B138&amp;"|"&amp;$C138&amp;"|"&amp;$D138&amp;"|"&amp;$O138)</f>
        <v/>
      </c>
      <c r="S138" s="30" t="str">
        <f aca="false">IF($B138="","",$R138&amp;"|"&amp;N($E138))</f>
        <v/>
      </c>
    </row>
    <row r="139" customFormat="false" ht="15" hidden="false" customHeight="false" outlineLevel="0" collapsed="false">
      <c r="D139" s="10"/>
      <c r="E139" s="11"/>
      <c r="F139" s="38"/>
      <c r="G139" s="10"/>
      <c r="I139" s="11"/>
      <c r="J139" s="10"/>
      <c r="K139" s="10"/>
      <c r="M139" s="31" t="str">
        <f aca="false">IF($B139="","",IFERROR(IF(INDEX(campaigns!$BG$2:$BG$51,MATCH($B139,campaigns!$A$2:$A$51,0))="","",INDEX(campaigns!$BG$2:$BG$51,MATCH($B139,campaigns!$A$2:$A$51,0))),""))</f>
        <v/>
      </c>
      <c r="N139" s="30" t="str">
        <f aca="false">IF(OR($B139="",$E139="",$M139=""),"",IF($E139&lt;$M139,0,NETWORKDAYS($M139,$E139,calendar!$A$2:$A$80)))</f>
        <v/>
      </c>
      <c r="O139" s="30" t="str">
        <f aca="false">IF($B139="","",IF(AND($K139="Y",OR($D139="later",$J139="Y")),"Y","N"))</f>
        <v/>
      </c>
      <c r="P139" s="30" t="str">
        <f aca="false">IF(OR($B139="",$E139=""),"",$B139&amp;"_"&amp;$C139&amp;"_"&amp;$D139&amp;"_"&amp;TEXT($E139,"yyyy-mm-dd")&amp;".jpg")</f>
        <v/>
      </c>
      <c r="Q139" s="30" t="str">
        <f aca="false">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30" t="str">
        <f aca="false">IF($B139="","",$B139&amp;"|"&amp;$C139&amp;"|"&amp;$D139&amp;"|"&amp;$O139)</f>
        <v/>
      </c>
      <c r="S139" s="30" t="str">
        <f aca="false">IF($B139="","",$R139&amp;"|"&amp;N($E139))</f>
        <v/>
      </c>
    </row>
    <row r="140" customFormat="false" ht="15" hidden="false" customHeight="false" outlineLevel="0" collapsed="false">
      <c r="D140" s="10"/>
      <c r="E140" s="11"/>
      <c r="F140" s="38"/>
      <c r="G140" s="10"/>
      <c r="I140" s="11"/>
      <c r="J140" s="10"/>
      <c r="K140" s="10"/>
      <c r="M140" s="31" t="str">
        <f aca="false">IF($B140="","",IFERROR(IF(INDEX(campaigns!$BG$2:$BG$51,MATCH($B140,campaigns!$A$2:$A$51,0))="","",INDEX(campaigns!$BG$2:$BG$51,MATCH($B140,campaigns!$A$2:$A$51,0))),""))</f>
        <v/>
      </c>
      <c r="N140" s="30" t="str">
        <f aca="false">IF(OR($B140="",$E140="",$M140=""),"",IF($E140&lt;$M140,0,NETWORKDAYS($M140,$E140,calendar!$A$2:$A$80)))</f>
        <v/>
      </c>
      <c r="O140" s="30" t="str">
        <f aca="false">IF($B140="","",IF(AND($K140="Y",OR($D140="later",$J140="Y")),"Y","N"))</f>
        <v/>
      </c>
      <c r="P140" s="30" t="str">
        <f aca="false">IF(OR($B140="",$E140=""),"",$B140&amp;"_"&amp;$C140&amp;"_"&amp;$D140&amp;"_"&amp;TEXT($E140,"yyyy-mm-dd")&amp;".jpg")</f>
        <v/>
      </c>
      <c r="Q140" s="30" t="str">
        <f aca="false">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30" t="str">
        <f aca="false">IF($B140="","",$B140&amp;"|"&amp;$C140&amp;"|"&amp;$D140&amp;"|"&amp;$O140)</f>
        <v/>
      </c>
      <c r="S140" s="30" t="str">
        <f aca="false">IF($B140="","",$R140&amp;"|"&amp;N($E140))</f>
        <v/>
      </c>
    </row>
    <row r="141" customFormat="false" ht="15" hidden="false" customHeight="false" outlineLevel="0" collapsed="false">
      <c r="D141" s="10"/>
      <c r="E141" s="11"/>
      <c r="F141" s="38"/>
      <c r="G141" s="10"/>
      <c r="I141" s="11"/>
      <c r="J141" s="10"/>
      <c r="K141" s="10"/>
      <c r="M141" s="31" t="str">
        <f aca="false">IF($B141="","",IFERROR(IF(INDEX(campaigns!$BG$2:$BG$51,MATCH($B141,campaigns!$A$2:$A$51,0))="","",INDEX(campaigns!$BG$2:$BG$51,MATCH($B141,campaigns!$A$2:$A$51,0))),""))</f>
        <v/>
      </c>
      <c r="N141" s="30" t="str">
        <f aca="false">IF(OR($B141="",$E141="",$M141=""),"",IF($E141&lt;$M141,0,NETWORKDAYS($M141,$E141,calendar!$A$2:$A$80)))</f>
        <v/>
      </c>
      <c r="O141" s="30" t="str">
        <f aca="false">IF($B141="","",IF(AND($K141="Y",OR($D141="later",$J141="Y")),"Y","N"))</f>
        <v/>
      </c>
      <c r="P141" s="30" t="str">
        <f aca="false">IF(OR($B141="",$E141=""),"",$B141&amp;"_"&amp;$C141&amp;"_"&amp;$D141&amp;"_"&amp;TEXT($E141,"yyyy-mm-dd")&amp;".jpg")</f>
        <v/>
      </c>
      <c r="Q141" s="30" t="str">
        <f aca="false">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30" t="str">
        <f aca="false">IF($B141="","",$B141&amp;"|"&amp;$C141&amp;"|"&amp;$D141&amp;"|"&amp;$O141)</f>
        <v/>
      </c>
      <c r="S141" s="30" t="str">
        <f aca="false">IF($B141="","",$R141&amp;"|"&amp;N($E141))</f>
        <v/>
      </c>
    </row>
    <row r="142" customFormat="false" ht="15" hidden="false" customHeight="false" outlineLevel="0" collapsed="false">
      <c r="D142" s="10"/>
      <c r="E142" s="11"/>
      <c r="F142" s="38"/>
      <c r="G142" s="10"/>
      <c r="I142" s="11"/>
      <c r="J142" s="10"/>
      <c r="K142" s="10"/>
      <c r="M142" s="31" t="str">
        <f aca="false">IF($B142="","",IFERROR(IF(INDEX(campaigns!$BG$2:$BG$51,MATCH($B142,campaigns!$A$2:$A$51,0))="","",INDEX(campaigns!$BG$2:$BG$51,MATCH($B142,campaigns!$A$2:$A$51,0))),""))</f>
        <v/>
      </c>
      <c r="N142" s="30" t="str">
        <f aca="false">IF(OR($B142="",$E142="",$M142=""),"",IF($E142&lt;$M142,0,NETWORKDAYS($M142,$E142,calendar!$A$2:$A$80)))</f>
        <v/>
      </c>
      <c r="O142" s="30" t="str">
        <f aca="false">IF($B142="","",IF(AND($K142="Y",OR($D142="later",$J142="Y")),"Y","N"))</f>
        <v/>
      </c>
      <c r="P142" s="30" t="str">
        <f aca="false">IF(OR($B142="",$E142=""),"",$B142&amp;"_"&amp;$C142&amp;"_"&amp;$D142&amp;"_"&amp;TEXT($E142,"yyyy-mm-dd")&amp;".jpg")</f>
        <v/>
      </c>
      <c r="Q142" s="30" t="str">
        <f aca="false">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30" t="str">
        <f aca="false">IF($B142="","",$B142&amp;"|"&amp;$C142&amp;"|"&amp;$D142&amp;"|"&amp;$O142)</f>
        <v/>
      </c>
      <c r="S142" s="30" t="str">
        <f aca="false">IF($B142="","",$R142&amp;"|"&amp;N($E142))</f>
        <v/>
      </c>
    </row>
    <row r="143" customFormat="false" ht="15" hidden="false" customHeight="false" outlineLevel="0" collapsed="false">
      <c r="D143" s="10"/>
      <c r="E143" s="11"/>
      <c r="F143" s="38"/>
      <c r="G143" s="10"/>
      <c r="I143" s="11"/>
      <c r="J143" s="10"/>
      <c r="K143" s="10"/>
      <c r="M143" s="31" t="str">
        <f aca="false">IF($B143="","",IFERROR(IF(INDEX(campaigns!$BG$2:$BG$51,MATCH($B143,campaigns!$A$2:$A$51,0))="","",INDEX(campaigns!$BG$2:$BG$51,MATCH($B143,campaigns!$A$2:$A$51,0))),""))</f>
        <v/>
      </c>
      <c r="N143" s="30" t="str">
        <f aca="false">IF(OR($B143="",$E143="",$M143=""),"",IF($E143&lt;$M143,0,NETWORKDAYS($M143,$E143,calendar!$A$2:$A$80)))</f>
        <v/>
      </c>
      <c r="O143" s="30" t="str">
        <f aca="false">IF($B143="","",IF(AND($K143="Y",OR($D143="later",$J143="Y")),"Y","N"))</f>
        <v/>
      </c>
      <c r="P143" s="30" t="str">
        <f aca="false">IF(OR($B143="",$E143=""),"",$B143&amp;"_"&amp;$C143&amp;"_"&amp;$D143&amp;"_"&amp;TEXT($E143,"yyyy-mm-dd")&amp;".jpg")</f>
        <v/>
      </c>
      <c r="Q143" s="30" t="str">
        <f aca="false">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30" t="str">
        <f aca="false">IF($B143="","",$B143&amp;"|"&amp;$C143&amp;"|"&amp;$D143&amp;"|"&amp;$O143)</f>
        <v/>
      </c>
      <c r="S143" s="30" t="str">
        <f aca="false">IF($B143="","",$R143&amp;"|"&amp;N($E143))</f>
        <v/>
      </c>
    </row>
    <row r="144" customFormat="false" ht="15" hidden="false" customHeight="false" outlineLevel="0" collapsed="false">
      <c r="D144" s="10"/>
      <c r="E144" s="11"/>
      <c r="F144" s="38"/>
      <c r="G144" s="10"/>
      <c r="I144" s="11"/>
      <c r="J144" s="10"/>
      <c r="K144" s="10"/>
      <c r="M144" s="31" t="str">
        <f aca="false">IF($B144="","",IFERROR(IF(INDEX(campaigns!$BG$2:$BG$51,MATCH($B144,campaigns!$A$2:$A$51,0))="","",INDEX(campaigns!$BG$2:$BG$51,MATCH($B144,campaigns!$A$2:$A$51,0))),""))</f>
        <v/>
      </c>
      <c r="N144" s="30" t="str">
        <f aca="false">IF(OR($B144="",$E144="",$M144=""),"",IF($E144&lt;$M144,0,NETWORKDAYS($M144,$E144,calendar!$A$2:$A$80)))</f>
        <v/>
      </c>
      <c r="O144" s="30" t="str">
        <f aca="false">IF($B144="","",IF(AND($K144="Y",OR($D144="later",$J144="Y")),"Y","N"))</f>
        <v/>
      </c>
      <c r="P144" s="30" t="str">
        <f aca="false">IF(OR($B144="",$E144=""),"",$B144&amp;"_"&amp;$C144&amp;"_"&amp;$D144&amp;"_"&amp;TEXT($E144,"yyyy-mm-dd")&amp;".jpg")</f>
        <v/>
      </c>
      <c r="Q144" s="30" t="str">
        <f aca="false">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30" t="str">
        <f aca="false">IF($B144="","",$B144&amp;"|"&amp;$C144&amp;"|"&amp;$D144&amp;"|"&amp;$O144)</f>
        <v/>
      </c>
      <c r="S144" s="30" t="str">
        <f aca="false">IF($B144="","",$R144&amp;"|"&amp;N($E144))</f>
        <v/>
      </c>
    </row>
    <row r="145" customFormat="false" ht="15" hidden="false" customHeight="false" outlineLevel="0" collapsed="false">
      <c r="D145" s="10"/>
      <c r="E145" s="11"/>
      <c r="F145" s="38"/>
      <c r="G145" s="10"/>
      <c r="I145" s="11"/>
      <c r="J145" s="10"/>
      <c r="K145" s="10"/>
      <c r="M145" s="31" t="str">
        <f aca="false">IF($B145="","",IFERROR(IF(INDEX(campaigns!$BG$2:$BG$51,MATCH($B145,campaigns!$A$2:$A$51,0))="","",INDEX(campaigns!$BG$2:$BG$51,MATCH($B145,campaigns!$A$2:$A$51,0))),""))</f>
        <v/>
      </c>
      <c r="N145" s="30" t="str">
        <f aca="false">IF(OR($B145="",$E145="",$M145=""),"",IF($E145&lt;$M145,0,NETWORKDAYS($M145,$E145,calendar!$A$2:$A$80)))</f>
        <v/>
      </c>
      <c r="O145" s="30" t="str">
        <f aca="false">IF($B145="","",IF(AND($K145="Y",OR($D145="later",$J145="Y")),"Y","N"))</f>
        <v/>
      </c>
      <c r="P145" s="30" t="str">
        <f aca="false">IF(OR($B145="",$E145=""),"",$B145&amp;"_"&amp;$C145&amp;"_"&amp;$D145&amp;"_"&amp;TEXT($E145,"yyyy-mm-dd")&amp;".jpg")</f>
        <v/>
      </c>
      <c r="Q145" s="30" t="str">
        <f aca="false">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30" t="str">
        <f aca="false">IF($B145="","",$B145&amp;"|"&amp;$C145&amp;"|"&amp;$D145&amp;"|"&amp;$O145)</f>
        <v/>
      </c>
      <c r="S145" s="30" t="str">
        <f aca="false">IF($B145="","",$R145&amp;"|"&amp;N($E145))</f>
        <v/>
      </c>
    </row>
    <row r="146" customFormat="false" ht="15" hidden="false" customHeight="false" outlineLevel="0" collapsed="false">
      <c r="D146" s="10"/>
      <c r="E146" s="11"/>
      <c r="F146" s="38"/>
      <c r="G146" s="10"/>
      <c r="I146" s="11"/>
      <c r="J146" s="10"/>
      <c r="K146" s="10"/>
      <c r="M146" s="31" t="str">
        <f aca="false">IF($B146="","",IFERROR(IF(INDEX(campaigns!$BG$2:$BG$51,MATCH($B146,campaigns!$A$2:$A$51,0))="","",INDEX(campaigns!$BG$2:$BG$51,MATCH($B146,campaigns!$A$2:$A$51,0))),""))</f>
        <v/>
      </c>
      <c r="N146" s="30" t="str">
        <f aca="false">IF(OR($B146="",$E146="",$M146=""),"",IF($E146&lt;$M146,0,NETWORKDAYS($M146,$E146,calendar!$A$2:$A$80)))</f>
        <v/>
      </c>
      <c r="O146" s="30" t="str">
        <f aca="false">IF($B146="","",IF(AND($K146="Y",OR($D146="later",$J146="Y")),"Y","N"))</f>
        <v/>
      </c>
      <c r="P146" s="30" t="str">
        <f aca="false">IF(OR($B146="",$E146=""),"",$B146&amp;"_"&amp;$C146&amp;"_"&amp;$D146&amp;"_"&amp;TEXT($E146,"yyyy-mm-dd")&amp;".jpg")</f>
        <v/>
      </c>
      <c r="Q146" s="30" t="str">
        <f aca="false">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30" t="str">
        <f aca="false">IF($B146="","",$B146&amp;"|"&amp;$C146&amp;"|"&amp;$D146&amp;"|"&amp;$O146)</f>
        <v/>
      </c>
      <c r="S146" s="30" t="str">
        <f aca="false">IF($B146="","",$R146&amp;"|"&amp;N($E146))</f>
        <v/>
      </c>
    </row>
    <row r="147" customFormat="false" ht="15" hidden="false" customHeight="false" outlineLevel="0" collapsed="false">
      <c r="D147" s="10"/>
      <c r="E147" s="11"/>
      <c r="F147" s="38"/>
      <c r="G147" s="10"/>
      <c r="I147" s="11"/>
      <c r="J147" s="10"/>
      <c r="K147" s="10"/>
      <c r="M147" s="31" t="str">
        <f aca="false">IF($B147="","",IFERROR(IF(INDEX(campaigns!$BG$2:$BG$51,MATCH($B147,campaigns!$A$2:$A$51,0))="","",INDEX(campaigns!$BG$2:$BG$51,MATCH($B147,campaigns!$A$2:$A$51,0))),""))</f>
        <v/>
      </c>
      <c r="N147" s="30" t="str">
        <f aca="false">IF(OR($B147="",$E147="",$M147=""),"",IF($E147&lt;$M147,0,NETWORKDAYS($M147,$E147,calendar!$A$2:$A$80)))</f>
        <v/>
      </c>
      <c r="O147" s="30" t="str">
        <f aca="false">IF($B147="","",IF(AND($K147="Y",OR($D147="later",$J147="Y")),"Y","N"))</f>
        <v/>
      </c>
      <c r="P147" s="30" t="str">
        <f aca="false">IF(OR($B147="",$E147=""),"",$B147&amp;"_"&amp;$C147&amp;"_"&amp;$D147&amp;"_"&amp;TEXT($E147,"yyyy-mm-dd")&amp;".jpg")</f>
        <v/>
      </c>
      <c r="Q147" s="30" t="str">
        <f aca="false">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30" t="str">
        <f aca="false">IF($B147="","",$B147&amp;"|"&amp;$C147&amp;"|"&amp;$D147&amp;"|"&amp;$O147)</f>
        <v/>
      </c>
      <c r="S147" s="30" t="str">
        <f aca="false">IF($B147="","",$R147&amp;"|"&amp;N($E147))</f>
        <v/>
      </c>
    </row>
    <row r="148" customFormat="false" ht="15" hidden="false" customHeight="false" outlineLevel="0" collapsed="false">
      <c r="D148" s="10"/>
      <c r="E148" s="11"/>
      <c r="F148" s="38"/>
      <c r="G148" s="10"/>
      <c r="I148" s="11"/>
      <c r="J148" s="10"/>
      <c r="K148" s="10"/>
      <c r="M148" s="31" t="str">
        <f aca="false">IF($B148="","",IFERROR(IF(INDEX(campaigns!$BG$2:$BG$51,MATCH($B148,campaigns!$A$2:$A$51,0))="","",INDEX(campaigns!$BG$2:$BG$51,MATCH($B148,campaigns!$A$2:$A$51,0))),""))</f>
        <v/>
      </c>
      <c r="N148" s="30" t="str">
        <f aca="false">IF(OR($B148="",$E148="",$M148=""),"",IF($E148&lt;$M148,0,NETWORKDAYS($M148,$E148,calendar!$A$2:$A$80)))</f>
        <v/>
      </c>
      <c r="O148" s="30" t="str">
        <f aca="false">IF($B148="","",IF(AND($K148="Y",OR($D148="later",$J148="Y")),"Y","N"))</f>
        <v/>
      </c>
      <c r="P148" s="30" t="str">
        <f aca="false">IF(OR($B148="",$E148=""),"",$B148&amp;"_"&amp;$C148&amp;"_"&amp;$D148&amp;"_"&amp;TEXT($E148,"yyyy-mm-dd")&amp;".jpg")</f>
        <v/>
      </c>
      <c r="Q148" s="30" t="str">
        <f aca="false">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30" t="str">
        <f aca="false">IF($B148="","",$B148&amp;"|"&amp;$C148&amp;"|"&amp;$D148&amp;"|"&amp;$O148)</f>
        <v/>
      </c>
      <c r="S148" s="30" t="str">
        <f aca="false">IF($B148="","",$R148&amp;"|"&amp;N($E148))</f>
        <v/>
      </c>
    </row>
    <row r="149" customFormat="false" ht="15" hidden="false" customHeight="false" outlineLevel="0" collapsed="false">
      <c r="D149" s="10"/>
      <c r="E149" s="11"/>
      <c r="F149" s="38"/>
      <c r="G149" s="10"/>
      <c r="I149" s="11"/>
      <c r="J149" s="10"/>
      <c r="K149" s="10"/>
      <c r="M149" s="31" t="str">
        <f aca="false">IF($B149="","",IFERROR(IF(INDEX(campaigns!$BG$2:$BG$51,MATCH($B149,campaigns!$A$2:$A$51,0))="","",INDEX(campaigns!$BG$2:$BG$51,MATCH($B149,campaigns!$A$2:$A$51,0))),""))</f>
        <v/>
      </c>
      <c r="N149" s="30" t="str">
        <f aca="false">IF(OR($B149="",$E149="",$M149=""),"",IF($E149&lt;$M149,0,NETWORKDAYS($M149,$E149,calendar!$A$2:$A$80)))</f>
        <v/>
      </c>
      <c r="O149" s="30" t="str">
        <f aca="false">IF($B149="","",IF(AND($K149="Y",OR($D149="later",$J149="Y")),"Y","N"))</f>
        <v/>
      </c>
      <c r="P149" s="30" t="str">
        <f aca="false">IF(OR($B149="",$E149=""),"",$B149&amp;"_"&amp;$C149&amp;"_"&amp;$D149&amp;"_"&amp;TEXT($E149,"yyyy-mm-dd")&amp;".jpg")</f>
        <v/>
      </c>
      <c r="Q149" s="30" t="str">
        <f aca="false">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30" t="str">
        <f aca="false">IF($B149="","",$B149&amp;"|"&amp;$C149&amp;"|"&amp;$D149&amp;"|"&amp;$O149)</f>
        <v/>
      </c>
      <c r="S149" s="30" t="str">
        <f aca="false">IF($B149="","",$R149&amp;"|"&amp;N($E149))</f>
        <v/>
      </c>
    </row>
    <row r="150" customFormat="false" ht="15" hidden="false" customHeight="false" outlineLevel="0" collapsed="false">
      <c r="D150" s="10"/>
      <c r="E150" s="11"/>
      <c r="F150" s="38"/>
      <c r="G150" s="10"/>
      <c r="I150" s="11"/>
      <c r="J150" s="10"/>
      <c r="K150" s="10"/>
      <c r="M150" s="31" t="str">
        <f aca="false">IF($B150="","",IFERROR(IF(INDEX(campaigns!$BG$2:$BG$51,MATCH($B150,campaigns!$A$2:$A$51,0))="","",INDEX(campaigns!$BG$2:$BG$51,MATCH($B150,campaigns!$A$2:$A$51,0))),""))</f>
        <v/>
      </c>
      <c r="N150" s="30" t="str">
        <f aca="false">IF(OR($B150="",$E150="",$M150=""),"",IF($E150&lt;$M150,0,NETWORKDAYS($M150,$E150,calendar!$A$2:$A$80)))</f>
        <v/>
      </c>
      <c r="O150" s="30" t="str">
        <f aca="false">IF($B150="","",IF(AND($K150="Y",OR($D150="later",$J150="Y")),"Y","N"))</f>
        <v/>
      </c>
      <c r="P150" s="30" t="str">
        <f aca="false">IF(OR($B150="",$E150=""),"",$B150&amp;"_"&amp;$C150&amp;"_"&amp;$D150&amp;"_"&amp;TEXT($E150,"yyyy-mm-dd")&amp;".jpg")</f>
        <v/>
      </c>
      <c r="Q150" s="30" t="str">
        <f aca="false">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30" t="str">
        <f aca="false">IF($B150="","",$B150&amp;"|"&amp;$C150&amp;"|"&amp;$D150&amp;"|"&amp;$O150)</f>
        <v/>
      </c>
      <c r="S150" s="30" t="str">
        <f aca="false">IF($B150="","",$R150&amp;"|"&amp;N($E150))</f>
        <v/>
      </c>
    </row>
    <row r="151" customFormat="false" ht="15" hidden="false" customHeight="false" outlineLevel="0" collapsed="false">
      <c r="D151" s="10"/>
      <c r="E151" s="11"/>
      <c r="F151" s="38"/>
      <c r="G151" s="10"/>
      <c r="I151" s="11"/>
      <c r="J151" s="10"/>
      <c r="K151" s="10"/>
      <c r="M151" s="31" t="str">
        <f aca="false">IF($B151="","",IFERROR(IF(INDEX(campaigns!$BG$2:$BG$51,MATCH($B151,campaigns!$A$2:$A$51,0))="","",INDEX(campaigns!$BG$2:$BG$51,MATCH($B151,campaigns!$A$2:$A$51,0))),""))</f>
        <v/>
      </c>
      <c r="N151" s="30" t="str">
        <f aca="false">IF(OR($B151="",$E151="",$M151=""),"",IF($E151&lt;$M151,0,NETWORKDAYS($M151,$E151,calendar!$A$2:$A$80)))</f>
        <v/>
      </c>
      <c r="O151" s="30" t="str">
        <f aca="false">IF($B151="","",IF(AND($K151="Y",OR($D151="later",$J151="Y")),"Y","N"))</f>
        <v/>
      </c>
      <c r="P151" s="30" t="str">
        <f aca="false">IF(OR($B151="",$E151=""),"",$B151&amp;"_"&amp;$C151&amp;"_"&amp;$D151&amp;"_"&amp;TEXT($E151,"yyyy-mm-dd")&amp;".jpg")</f>
        <v/>
      </c>
      <c r="Q151" s="30" t="str">
        <f aca="false">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30" t="str">
        <f aca="false">IF($B151="","",$B151&amp;"|"&amp;$C151&amp;"|"&amp;$D151&amp;"|"&amp;$O151)</f>
        <v/>
      </c>
      <c r="S151" s="30" t="str">
        <f aca="false">IF($B151="","",$R151&amp;"|"&amp;N($E151))</f>
        <v/>
      </c>
    </row>
    <row r="152" customFormat="false" ht="15" hidden="false" customHeight="false" outlineLevel="0" collapsed="false">
      <c r="D152" s="10"/>
      <c r="E152" s="11"/>
      <c r="F152" s="38"/>
      <c r="G152" s="10"/>
      <c r="I152" s="11"/>
      <c r="J152" s="10"/>
      <c r="K152" s="10"/>
      <c r="M152" s="31" t="str">
        <f aca="false">IF($B152="","",IFERROR(IF(INDEX(campaigns!$BG$2:$BG$51,MATCH($B152,campaigns!$A$2:$A$51,0))="","",INDEX(campaigns!$BG$2:$BG$51,MATCH($B152,campaigns!$A$2:$A$51,0))),""))</f>
        <v/>
      </c>
      <c r="N152" s="30" t="str">
        <f aca="false">IF(OR($B152="",$E152="",$M152=""),"",IF($E152&lt;$M152,0,NETWORKDAYS($M152,$E152,calendar!$A$2:$A$80)))</f>
        <v/>
      </c>
      <c r="O152" s="30" t="str">
        <f aca="false">IF($B152="","",IF(AND($K152="Y",OR($D152="later",$J152="Y")),"Y","N"))</f>
        <v/>
      </c>
      <c r="P152" s="30" t="str">
        <f aca="false">IF(OR($B152="",$E152=""),"",$B152&amp;"_"&amp;$C152&amp;"_"&amp;$D152&amp;"_"&amp;TEXT($E152,"yyyy-mm-dd")&amp;".jpg")</f>
        <v/>
      </c>
      <c r="Q152" s="30" t="str">
        <f aca="false">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30" t="str">
        <f aca="false">IF($B152="","",$B152&amp;"|"&amp;$C152&amp;"|"&amp;$D152&amp;"|"&amp;$O152)</f>
        <v/>
      </c>
      <c r="S152" s="30" t="str">
        <f aca="false">IF($B152="","",$R152&amp;"|"&amp;N($E152))</f>
        <v/>
      </c>
    </row>
    <row r="153" customFormat="false" ht="15" hidden="false" customHeight="false" outlineLevel="0" collapsed="false">
      <c r="D153" s="10"/>
      <c r="E153" s="11"/>
      <c r="F153" s="38"/>
      <c r="G153" s="10"/>
      <c r="I153" s="11"/>
      <c r="J153" s="10"/>
      <c r="K153" s="10"/>
      <c r="M153" s="31" t="str">
        <f aca="false">IF($B153="","",IFERROR(IF(INDEX(campaigns!$BG$2:$BG$51,MATCH($B153,campaigns!$A$2:$A$51,0))="","",INDEX(campaigns!$BG$2:$BG$51,MATCH($B153,campaigns!$A$2:$A$51,0))),""))</f>
        <v/>
      </c>
      <c r="N153" s="30" t="str">
        <f aca="false">IF(OR($B153="",$E153="",$M153=""),"",IF($E153&lt;$M153,0,NETWORKDAYS($M153,$E153,calendar!$A$2:$A$80)))</f>
        <v/>
      </c>
      <c r="O153" s="30" t="str">
        <f aca="false">IF($B153="","",IF(AND($K153="Y",OR($D153="later",$J153="Y")),"Y","N"))</f>
        <v/>
      </c>
      <c r="P153" s="30" t="str">
        <f aca="false">IF(OR($B153="",$E153=""),"",$B153&amp;"_"&amp;$C153&amp;"_"&amp;$D153&amp;"_"&amp;TEXT($E153,"yyyy-mm-dd")&amp;".jpg")</f>
        <v/>
      </c>
      <c r="Q153" s="30" t="str">
        <f aca="false">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30" t="str">
        <f aca="false">IF($B153="","",$B153&amp;"|"&amp;$C153&amp;"|"&amp;$D153&amp;"|"&amp;$O153)</f>
        <v/>
      </c>
      <c r="S153" s="30" t="str">
        <f aca="false">IF($B153="","",$R153&amp;"|"&amp;N($E153))</f>
        <v/>
      </c>
    </row>
    <row r="154" customFormat="false" ht="15" hidden="false" customHeight="false" outlineLevel="0" collapsed="false">
      <c r="D154" s="10"/>
      <c r="E154" s="11"/>
      <c r="F154" s="38"/>
      <c r="G154" s="10"/>
      <c r="I154" s="11"/>
      <c r="J154" s="10"/>
      <c r="K154" s="10"/>
      <c r="M154" s="31" t="str">
        <f aca="false">IF($B154="","",IFERROR(IF(INDEX(campaigns!$BG$2:$BG$51,MATCH($B154,campaigns!$A$2:$A$51,0))="","",INDEX(campaigns!$BG$2:$BG$51,MATCH($B154,campaigns!$A$2:$A$51,0))),""))</f>
        <v/>
      </c>
      <c r="N154" s="30" t="str">
        <f aca="false">IF(OR($B154="",$E154="",$M154=""),"",IF($E154&lt;$M154,0,NETWORKDAYS($M154,$E154,calendar!$A$2:$A$80)))</f>
        <v/>
      </c>
      <c r="O154" s="30" t="str">
        <f aca="false">IF($B154="","",IF(AND($K154="Y",OR($D154="later",$J154="Y")),"Y","N"))</f>
        <v/>
      </c>
      <c r="P154" s="30" t="str">
        <f aca="false">IF(OR($B154="",$E154=""),"",$B154&amp;"_"&amp;$C154&amp;"_"&amp;$D154&amp;"_"&amp;TEXT($E154,"yyyy-mm-dd")&amp;".jpg")</f>
        <v/>
      </c>
      <c r="Q154" s="30" t="str">
        <f aca="false">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30" t="str">
        <f aca="false">IF($B154="","",$B154&amp;"|"&amp;$C154&amp;"|"&amp;$D154&amp;"|"&amp;$O154)</f>
        <v/>
      </c>
      <c r="S154" s="30" t="str">
        <f aca="false">IF($B154="","",$R154&amp;"|"&amp;N($E154))</f>
        <v/>
      </c>
    </row>
    <row r="155" customFormat="false" ht="15" hidden="false" customHeight="false" outlineLevel="0" collapsed="false">
      <c r="D155" s="10"/>
      <c r="E155" s="11"/>
      <c r="F155" s="38"/>
      <c r="G155" s="10"/>
      <c r="I155" s="11"/>
      <c r="J155" s="10"/>
      <c r="K155" s="10"/>
      <c r="M155" s="31" t="str">
        <f aca="false">IF($B155="","",IFERROR(IF(INDEX(campaigns!$BG$2:$BG$51,MATCH($B155,campaigns!$A$2:$A$51,0))="","",INDEX(campaigns!$BG$2:$BG$51,MATCH($B155,campaigns!$A$2:$A$51,0))),""))</f>
        <v/>
      </c>
      <c r="N155" s="30" t="str">
        <f aca="false">IF(OR($B155="",$E155="",$M155=""),"",IF($E155&lt;$M155,0,NETWORKDAYS($M155,$E155,calendar!$A$2:$A$80)))</f>
        <v/>
      </c>
      <c r="O155" s="30" t="str">
        <f aca="false">IF($B155="","",IF(AND($K155="Y",OR($D155="later",$J155="Y")),"Y","N"))</f>
        <v/>
      </c>
      <c r="P155" s="30" t="str">
        <f aca="false">IF(OR($B155="",$E155=""),"",$B155&amp;"_"&amp;$C155&amp;"_"&amp;$D155&amp;"_"&amp;TEXT($E155,"yyyy-mm-dd")&amp;".jpg")</f>
        <v/>
      </c>
      <c r="Q155" s="30" t="str">
        <f aca="false">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30" t="str">
        <f aca="false">IF($B155="","",$B155&amp;"|"&amp;$C155&amp;"|"&amp;$D155&amp;"|"&amp;$O155)</f>
        <v/>
      </c>
      <c r="S155" s="30" t="str">
        <f aca="false">IF($B155="","",$R155&amp;"|"&amp;N($E155))</f>
        <v/>
      </c>
    </row>
    <row r="156" customFormat="false" ht="15" hidden="false" customHeight="false" outlineLevel="0" collapsed="false">
      <c r="D156" s="10"/>
      <c r="E156" s="11"/>
      <c r="F156" s="38"/>
      <c r="G156" s="10"/>
      <c r="I156" s="11"/>
      <c r="J156" s="10"/>
      <c r="K156" s="10"/>
      <c r="M156" s="31" t="str">
        <f aca="false">IF($B156="","",IFERROR(IF(INDEX(campaigns!$BG$2:$BG$51,MATCH($B156,campaigns!$A$2:$A$51,0))="","",INDEX(campaigns!$BG$2:$BG$51,MATCH($B156,campaigns!$A$2:$A$51,0))),""))</f>
        <v/>
      </c>
      <c r="N156" s="30" t="str">
        <f aca="false">IF(OR($B156="",$E156="",$M156=""),"",IF($E156&lt;$M156,0,NETWORKDAYS($M156,$E156,calendar!$A$2:$A$80)))</f>
        <v/>
      </c>
      <c r="O156" s="30" t="str">
        <f aca="false">IF($B156="","",IF(AND($K156="Y",OR($D156="later",$J156="Y")),"Y","N"))</f>
        <v/>
      </c>
      <c r="P156" s="30" t="str">
        <f aca="false">IF(OR($B156="",$E156=""),"",$B156&amp;"_"&amp;$C156&amp;"_"&amp;$D156&amp;"_"&amp;TEXT($E156,"yyyy-mm-dd")&amp;".jpg")</f>
        <v/>
      </c>
      <c r="Q156" s="30" t="str">
        <f aca="false">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30" t="str">
        <f aca="false">IF($B156="","",$B156&amp;"|"&amp;$C156&amp;"|"&amp;$D156&amp;"|"&amp;$O156)</f>
        <v/>
      </c>
      <c r="S156" s="30" t="str">
        <f aca="false">IF($B156="","",$R156&amp;"|"&amp;N($E156))</f>
        <v/>
      </c>
    </row>
    <row r="157" customFormat="false" ht="15" hidden="false" customHeight="false" outlineLevel="0" collapsed="false">
      <c r="D157" s="10"/>
      <c r="E157" s="11"/>
      <c r="F157" s="38"/>
      <c r="G157" s="10"/>
      <c r="I157" s="11"/>
      <c r="J157" s="10"/>
      <c r="K157" s="10"/>
      <c r="M157" s="31" t="str">
        <f aca="false">IF($B157="","",IFERROR(IF(INDEX(campaigns!$BG$2:$BG$51,MATCH($B157,campaigns!$A$2:$A$51,0))="","",INDEX(campaigns!$BG$2:$BG$51,MATCH($B157,campaigns!$A$2:$A$51,0))),""))</f>
        <v/>
      </c>
      <c r="N157" s="30" t="str">
        <f aca="false">IF(OR($B157="",$E157="",$M157=""),"",IF($E157&lt;$M157,0,NETWORKDAYS($M157,$E157,calendar!$A$2:$A$80)))</f>
        <v/>
      </c>
      <c r="O157" s="30" t="str">
        <f aca="false">IF($B157="","",IF(AND($K157="Y",OR($D157="later",$J157="Y")),"Y","N"))</f>
        <v/>
      </c>
      <c r="P157" s="30" t="str">
        <f aca="false">IF(OR($B157="",$E157=""),"",$B157&amp;"_"&amp;$C157&amp;"_"&amp;$D157&amp;"_"&amp;TEXT($E157,"yyyy-mm-dd")&amp;".jpg")</f>
        <v/>
      </c>
      <c r="Q157" s="30" t="str">
        <f aca="false">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30" t="str">
        <f aca="false">IF($B157="","",$B157&amp;"|"&amp;$C157&amp;"|"&amp;$D157&amp;"|"&amp;$O157)</f>
        <v/>
      </c>
      <c r="S157" s="30" t="str">
        <f aca="false">IF($B157="","",$R157&amp;"|"&amp;N($E157))</f>
        <v/>
      </c>
    </row>
    <row r="158" customFormat="false" ht="15" hidden="false" customHeight="false" outlineLevel="0" collapsed="false">
      <c r="D158" s="10"/>
      <c r="E158" s="11"/>
      <c r="F158" s="38"/>
      <c r="G158" s="10"/>
      <c r="I158" s="11"/>
      <c r="J158" s="10"/>
      <c r="K158" s="10"/>
      <c r="M158" s="31" t="str">
        <f aca="false">IF($B158="","",IFERROR(IF(INDEX(campaigns!$BG$2:$BG$51,MATCH($B158,campaigns!$A$2:$A$51,0))="","",INDEX(campaigns!$BG$2:$BG$51,MATCH($B158,campaigns!$A$2:$A$51,0))),""))</f>
        <v/>
      </c>
      <c r="N158" s="30" t="str">
        <f aca="false">IF(OR($B158="",$E158="",$M158=""),"",IF($E158&lt;$M158,0,NETWORKDAYS($M158,$E158,calendar!$A$2:$A$80)))</f>
        <v/>
      </c>
      <c r="O158" s="30" t="str">
        <f aca="false">IF($B158="","",IF(AND($K158="Y",OR($D158="later",$J158="Y")),"Y","N"))</f>
        <v/>
      </c>
      <c r="P158" s="30" t="str">
        <f aca="false">IF(OR($B158="",$E158=""),"",$B158&amp;"_"&amp;$C158&amp;"_"&amp;$D158&amp;"_"&amp;TEXT($E158,"yyyy-mm-dd")&amp;".jpg")</f>
        <v/>
      </c>
      <c r="Q158" s="30" t="str">
        <f aca="false">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30" t="str">
        <f aca="false">IF($B158="","",$B158&amp;"|"&amp;$C158&amp;"|"&amp;$D158&amp;"|"&amp;$O158)</f>
        <v/>
      </c>
      <c r="S158" s="30" t="str">
        <f aca="false">IF($B158="","",$R158&amp;"|"&amp;N($E158))</f>
        <v/>
      </c>
    </row>
    <row r="159" customFormat="false" ht="15" hidden="false" customHeight="false" outlineLevel="0" collapsed="false">
      <c r="D159" s="10"/>
      <c r="E159" s="11"/>
      <c r="F159" s="38"/>
      <c r="G159" s="10"/>
      <c r="I159" s="11"/>
      <c r="J159" s="10"/>
      <c r="K159" s="10"/>
      <c r="M159" s="31" t="str">
        <f aca="false">IF($B159="","",IFERROR(IF(INDEX(campaigns!$BG$2:$BG$51,MATCH($B159,campaigns!$A$2:$A$51,0))="","",INDEX(campaigns!$BG$2:$BG$51,MATCH($B159,campaigns!$A$2:$A$51,0))),""))</f>
        <v/>
      </c>
      <c r="N159" s="30" t="str">
        <f aca="false">IF(OR($B159="",$E159="",$M159=""),"",IF($E159&lt;$M159,0,NETWORKDAYS($M159,$E159,calendar!$A$2:$A$80)))</f>
        <v/>
      </c>
      <c r="O159" s="30" t="str">
        <f aca="false">IF($B159="","",IF(AND($K159="Y",OR($D159="later",$J159="Y")),"Y","N"))</f>
        <v/>
      </c>
      <c r="P159" s="30" t="str">
        <f aca="false">IF(OR($B159="",$E159=""),"",$B159&amp;"_"&amp;$C159&amp;"_"&amp;$D159&amp;"_"&amp;TEXT($E159,"yyyy-mm-dd")&amp;".jpg")</f>
        <v/>
      </c>
      <c r="Q159" s="30" t="str">
        <f aca="false">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30" t="str">
        <f aca="false">IF($B159="","",$B159&amp;"|"&amp;$C159&amp;"|"&amp;$D159&amp;"|"&amp;$O159)</f>
        <v/>
      </c>
      <c r="S159" s="30" t="str">
        <f aca="false">IF($B159="","",$R159&amp;"|"&amp;N($E159))</f>
        <v/>
      </c>
    </row>
    <row r="160" customFormat="false" ht="15" hidden="false" customHeight="false" outlineLevel="0" collapsed="false">
      <c r="D160" s="10"/>
      <c r="E160" s="11"/>
      <c r="F160" s="38"/>
      <c r="G160" s="10"/>
      <c r="I160" s="11"/>
      <c r="J160" s="10"/>
      <c r="K160" s="10"/>
      <c r="M160" s="31" t="str">
        <f aca="false">IF($B160="","",IFERROR(IF(INDEX(campaigns!$BG$2:$BG$51,MATCH($B160,campaigns!$A$2:$A$51,0))="","",INDEX(campaigns!$BG$2:$BG$51,MATCH($B160,campaigns!$A$2:$A$51,0))),""))</f>
        <v/>
      </c>
      <c r="N160" s="30" t="str">
        <f aca="false">IF(OR($B160="",$E160="",$M160=""),"",IF($E160&lt;$M160,0,NETWORKDAYS($M160,$E160,calendar!$A$2:$A$80)))</f>
        <v/>
      </c>
      <c r="O160" s="30" t="str">
        <f aca="false">IF($B160="","",IF(AND($K160="Y",OR($D160="later",$J160="Y")),"Y","N"))</f>
        <v/>
      </c>
      <c r="P160" s="30" t="str">
        <f aca="false">IF(OR($B160="",$E160=""),"",$B160&amp;"_"&amp;$C160&amp;"_"&amp;$D160&amp;"_"&amp;TEXT($E160,"yyyy-mm-dd")&amp;".jpg")</f>
        <v/>
      </c>
      <c r="Q160" s="30" t="str">
        <f aca="false">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30" t="str">
        <f aca="false">IF($B160="","",$B160&amp;"|"&amp;$C160&amp;"|"&amp;$D160&amp;"|"&amp;$O160)</f>
        <v/>
      </c>
      <c r="S160" s="30" t="str">
        <f aca="false">IF($B160="","",$R160&amp;"|"&amp;N($E160))</f>
        <v/>
      </c>
    </row>
    <row r="161" customFormat="false" ht="15" hidden="false" customHeight="false" outlineLevel="0" collapsed="false">
      <c r="D161" s="10"/>
      <c r="E161" s="11"/>
      <c r="F161" s="38"/>
      <c r="G161" s="10"/>
      <c r="I161" s="11"/>
      <c r="J161" s="10"/>
      <c r="K161" s="10"/>
      <c r="M161" s="31" t="str">
        <f aca="false">IF($B161="","",IFERROR(IF(INDEX(campaigns!$BG$2:$BG$51,MATCH($B161,campaigns!$A$2:$A$51,0))="","",INDEX(campaigns!$BG$2:$BG$51,MATCH($B161,campaigns!$A$2:$A$51,0))),""))</f>
        <v/>
      </c>
      <c r="N161" s="30" t="str">
        <f aca="false">IF(OR($B161="",$E161="",$M161=""),"",IF($E161&lt;$M161,0,NETWORKDAYS($M161,$E161,calendar!$A$2:$A$80)))</f>
        <v/>
      </c>
      <c r="O161" s="30" t="str">
        <f aca="false">IF($B161="","",IF(AND($K161="Y",OR($D161="later",$J161="Y")),"Y","N"))</f>
        <v/>
      </c>
      <c r="P161" s="30" t="str">
        <f aca="false">IF(OR($B161="",$E161=""),"",$B161&amp;"_"&amp;$C161&amp;"_"&amp;$D161&amp;"_"&amp;TEXT($E161,"yyyy-mm-dd")&amp;".jpg")</f>
        <v/>
      </c>
      <c r="Q161" s="30" t="str">
        <f aca="false">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30" t="str">
        <f aca="false">IF($B161="","",$B161&amp;"|"&amp;$C161&amp;"|"&amp;$D161&amp;"|"&amp;$O161)</f>
        <v/>
      </c>
      <c r="S161" s="30" t="str">
        <f aca="false">IF($B161="","",$R161&amp;"|"&amp;N($E161))</f>
        <v/>
      </c>
    </row>
    <row r="162" customFormat="false" ht="15" hidden="false" customHeight="false" outlineLevel="0" collapsed="false">
      <c r="D162" s="10"/>
      <c r="E162" s="11"/>
      <c r="F162" s="38"/>
      <c r="G162" s="10"/>
      <c r="I162" s="11"/>
      <c r="J162" s="10"/>
      <c r="K162" s="10"/>
      <c r="M162" s="31" t="str">
        <f aca="false">IF($B162="","",IFERROR(IF(INDEX(campaigns!$BG$2:$BG$51,MATCH($B162,campaigns!$A$2:$A$51,0))="","",INDEX(campaigns!$BG$2:$BG$51,MATCH($B162,campaigns!$A$2:$A$51,0))),""))</f>
        <v/>
      </c>
      <c r="N162" s="30" t="str">
        <f aca="false">IF(OR($B162="",$E162="",$M162=""),"",IF($E162&lt;$M162,0,NETWORKDAYS($M162,$E162,calendar!$A$2:$A$80)))</f>
        <v/>
      </c>
      <c r="O162" s="30" t="str">
        <f aca="false">IF($B162="","",IF(AND($K162="Y",OR($D162="later",$J162="Y")),"Y","N"))</f>
        <v/>
      </c>
      <c r="P162" s="30" t="str">
        <f aca="false">IF(OR($B162="",$E162=""),"",$B162&amp;"_"&amp;$C162&amp;"_"&amp;$D162&amp;"_"&amp;TEXT($E162,"yyyy-mm-dd")&amp;".jpg")</f>
        <v/>
      </c>
      <c r="Q162" s="30" t="str">
        <f aca="false">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30" t="str">
        <f aca="false">IF($B162="","",$B162&amp;"|"&amp;$C162&amp;"|"&amp;$D162&amp;"|"&amp;$O162)</f>
        <v/>
      </c>
      <c r="S162" s="30" t="str">
        <f aca="false">IF($B162="","",$R162&amp;"|"&amp;N($E162))</f>
        <v/>
      </c>
    </row>
    <row r="163" customFormat="false" ht="15" hidden="false" customHeight="false" outlineLevel="0" collapsed="false">
      <c r="D163" s="10"/>
      <c r="E163" s="11"/>
      <c r="F163" s="38"/>
      <c r="G163" s="10"/>
      <c r="I163" s="11"/>
      <c r="J163" s="10"/>
      <c r="K163" s="10"/>
      <c r="M163" s="31" t="str">
        <f aca="false">IF($B163="","",IFERROR(IF(INDEX(campaigns!$BG$2:$BG$51,MATCH($B163,campaigns!$A$2:$A$51,0))="","",INDEX(campaigns!$BG$2:$BG$51,MATCH($B163,campaigns!$A$2:$A$51,0))),""))</f>
        <v/>
      </c>
      <c r="N163" s="30" t="str">
        <f aca="false">IF(OR($B163="",$E163="",$M163=""),"",IF($E163&lt;$M163,0,NETWORKDAYS($M163,$E163,calendar!$A$2:$A$80)))</f>
        <v/>
      </c>
      <c r="O163" s="30" t="str">
        <f aca="false">IF($B163="","",IF(AND($K163="Y",OR($D163="later",$J163="Y")),"Y","N"))</f>
        <v/>
      </c>
      <c r="P163" s="30" t="str">
        <f aca="false">IF(OR($B163="",$E163=""),"",$B163&amp;"_"&amp;$C163&amp;"_"&amp;$D163&amp;"_"&amp;TEXT($E163,"yyyy-mm-dd")&amp;".jpg")</f>
        <v/>
      </c>
      <c r="Q163" s="30" t="str">
        <f aca="false">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30" t="str">
        <f aca="false">IF($B163="","",$B163&amp;"|"&amp;$C163&amp;"|"&amp;$D163&amp;"|"&amp;$O163)</f>
        <v/>
      </c>
      <c r="S163" s="30" t="str">
        <f aca="false">IF($B163="","",$R163&amp;"|"&amp;N($E163))</f>
        <v/>
      </c>
    </row>
    <row r="164" customFormat="false" ht="15" hidden="false" customHeight="false" outlineLevel="0" collapsed="false">
      <c r="D164" s="10"/>
      <c r="E164" s="11"/>
      <c r="F164" s="38"/>
      <c r="G164" s="10"/>
      <c r="I164" s="11"/>
      <c r="J164" s="10"/>
      <c r="K164" s="10"/>
      <c r="M164" s="31" t="str">
        <f aca="false">IF($B164="","",IFERROR(IF(INDEX(campaigns!$BG$2:$BG$51,MATCH($B164,campaigns!$A$2:$A$51,0))="","",INDEX(campaigns!$BG$2:$BG$51,MATCH($B164,campaigns!$A$2:$A$51,0))),""))</f>
        <v/>
      </c>
      <c r="N164" s="30" t="str">
        <f aca="false">IF(OR($B164="",$E164="",$M164=""),"",IF($E164&lt;$M164,0,NETWORKDAYS($M164,$E164,calendar!$A$2:$A$80)))</f>
        <v/>
      </c>
      <c r="O164" s="30" t="str">
        <f aca="false">IF($B164="","",IF(AND($K164="Y",OR($D164="later",$J164="Y")),"Y","N"))</f>
        <v/>
      </c>
      <c r="P164" s="30" t="str">
        <f aca="false">IF(OR($B164="",$E164=""),"",$B164&amp;"_"&amp;$C164&amp;"_"&amp;$D164&amp;"_"&amp;TEXT($E164,"yyyy-mm-dd")&amp;".jpg")</f>
        <v/>
      </c>
      <c r="Q164" s="30" t="str">
        <f aca="false">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30" t="str">
        <f aca="false">IF($B164="","",$B164&amp;"|"&amp;$C164&amp;"|"&amp;$D164&amp;"|"&amp;$O164)</f>
        <v/>
      </c>
      <c r="S164" s="30" t="str">
        <f aca="false">IF($B164="","",$R164&amp;"|"&amp;N($E164))</f>
        <v/>
      </c>
    </row>
    <row r="165" customFormat="false" ht="15" hidden="false" customHeight="false" outlineLevel="0" collapsed="false">
      <c r="D165" s="10"/>
      <c r="E165" s="11"/>
      <c r="F165" s="38"/>
      <c r="G165" s="10"/>
      <c r="I165" s="11"/>
      <c r="J165" s="10"/>
      <c r="K165" s="10"/>
      <c r="M165" s="31" t="str">
        <f aca="false">IF($B165="","",IFERROR(IF(INDEX(campaigns!$BG$2:$BG$51,MATCH($B165,campaigns!$A$2:$A$51,0))="","",INDEX(campaigns!$BG$2:$BG$51,MATCH($B165,campaigns!$A$2:$A$51,0))),""))</f>
        <v/>
      </c>
      <c r="N165" s="30" t="str">
        <f aca="false">IF(OR($B165="",$E165="",$M165=""),"",IF($E165&lt;$M165,0,NETWORKDAYS($M165,$E165,calendar!$A$2:$A$80)))</f>
        <v/>
      </c>
      <c r="O165" s="30" t="str">
        <f aca="false">IF($B165="","",IF(AND($K165="Y",OR($D165="later",$J165="Y")),"Y","N"))</f>
        <v/>
      </c>
      <c r="P165" s="30" t="str">
        <f aca="false">IF(OR($B165="",$E165=""),"",$B165&amp;"_"&amp;$C165&amp;"_"&amp;$D165&amp;"_"&amp;TEXT($E165,"yyyy-mm-dd")&amp;".jpg")</f>
        <v/>
      </c>
      <c r="Q165" s="30" t="str">
        <f aca="false">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30" t="str">
        <f aca="false">IF($B165="","",$B165&amp;"|"&amp;$C165&amp;"|"&amp;$D165&amp;"|"&amp;$O165)</f>
        <v/>
      </c>
      <c r="S165" s="30" t="str">
        <f aca="false">IF($B165="","",$R165&amp;"|"&amp;N($E165))</f>
        <v/>
      </c>
    </row>
    <row r="166" customFormat="false" ht="15" hidden="false" customHeight="false" outlineLevel="0" collapsed="false">
      <c r="D166" s="10"/>
      <c r="E166" s="11"/>
      <c r="F166" s="38"/>
      <c r="G166" s="10"/>
      <c r="I166" s="11"/>
      <c r="J166" s="10"/>
      <c r="K166" s="10"/>
      <c r="M166" s="31" t="str">
        <f aca="false">IF($B166="","",IFERROR(IF(INDEX(campaigns!$BG$2:$BG$51,MATCH($B166,campaigns!$A$2:$A$51,0))="","",INDEX(campaigns!$BG$2:$BG$51,MATCH($B166,campaigns!$A$2:$A$51,0))),""))</f>
        <v/>
      </c>
      <c r="N166" s="30" t="str">
        <f aca="false">IF(OR($B166="",$E166="",$M166=""),"",IF($E166&lt;$M166,0,NETWORKDAYS($M166,$E166,calendar!$A$2:$A$80)))</f>
        <v/>
      </c>
      <c r="O166" s="30" t="str">
        <f aca="false">IF($B166="","",IF(AND($K166="Y",OR($D166="later",$J166="Y")),"Y","N"))</f>
        <v/>
      </c>
      <c r="P166" s="30" t="str">
        <f aca="false">IF(OR($B166="",$E166=""),"",$B166&amp;"_"&amp;$C166&amp;"_"&amp;$D166&amp;"_"&amp;TEXT($E166,"yyyy-mm-dd")&amp;".jpg")</f>
        <v/>
      </c>
      <c r="Q166" s="30" t="str">
        <f aca="false">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30" t="str">
        <f aca="false">IF($B166="","",$B166&amp;"|"&amp;$C166&amp;"|"&amp;$D166&amp;"|"&amp;$O166)</f>
        <v/>
      </c>
      <c r="S166" s="30" t="str">
        <f aca="false">IF($B166="","",$R166&amp;"|"&amp;N($E166))</f>
        <v/>
      </c>
    </row>
    <row r="167" customFormat="false" ht="15" hidden="false" customHeight="false" outlineLevel="0" collapsed="false">
      <c r="D167" s="10"/>
      <c r="E167" s="11"/>
      <c r="F167" s="38"/>
      <c r="G167" s="10"/>
      <c r="I167" s="11"/>
      <c r="J167" s="10"/>
      <c r="K167" s="10"/>
      <c r="M167" s="31" t="str">
        <f aca="false">IF($B167="","",IFERROR(IF(INDEX(campaigns!$BG$2:$BG$51,MATCH($B167,campaigns!$A$2:$A$51,0))="","",INDEX(campaigns!$BG$2:$BG$51,MATCH($B167,campaigns!$A$2:$A$51,0))),""))</f>
        <v/>
      </c>
      <c r="N167" s="30" t="str">
        <f aca="false">IF(OR($B167="",$E167="",$M167=""),"",IF($E167&lt;$M167,0,NETWORKDAYS($M167,$E167,calendar!$A$2:$A$80)))</f>
        <v/>
      </c>
      <c r="O167" s="30" t="str">
        <f aca="false">IF($B167="","",IF(AND($K167="Y",OR($D167="later",$J167="Y")),"Y","N"))</f>
        <v/>
      </c>
      <c r="P167" s="30" t="str">
        <f aca="false">IF(OR($B167="",$E167=""),"",$B167&amp;"_"&amp;$C167&amp;"_"&amp;$D167&amp;"_"&amp;TEXT($E167,"yyyy-mm-dd")&amp;".jpg")</f>
        <v/>
      </c>
      <c r="Q167" s="30" t="str">
        <f aca="false">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30" t="str">
        <f aca="false">IF($B167="","",$B167&amp;"|"&amp;$C167&amp;"|"&amp;$D167&amp;"|"&amp;$O167)</f>
        <v/>
      </c>
      <c r="S167" s="30" t="str">
        <f aca="false">IF($B167="","",$R167&amp;"|"&amp;N($E167))</f>
        <v/>
      </c>
    </row>
    <row r="168" customFormat="false" ht="15" hidden="false" customHeight="false" outlineLevel="0" collapsed="false">
      <c r="D168" s="10"/>
      <c r="E168" s="11"/>
      <c r="F168" s="38"/>
      <c r="G168" s="10"/>
      <c r="I168" s="11"/>
      <c r="J168" s="10"/>
      <c r="K168" s="10"/>
      <c r="M168" s="31" t="str">
        <f aca="false">IF($B168="","",IFERROR(IF(INDEX(campaigns!$BG$2:$BG$51,MATCH($B168,campaigns!$A$2:$A$51,0))="","",INDEX(campaigns!$BG$2:$BG$51,MATCH($B168,campaigns!$A$2:$A$51,0))),""))</f>
        <v/>
      </c>
      <c r="N168" s="30" t="str">
        <f aca="false">IF(OR($B168="",$E168="",$M168=""),"",IF($E168&lt;$M168,0,NETWORKDAYS($M168,$E168,calendar!$A$2:$A$80)))</f>
        <v/>
      </c>
      <c r="O168" s="30" t="str">
        <f aca="false">IF($B168="","",IF(AND($K168="Y",OR($D168="later",$J168="Y")),"Y","N"))</f>
        <v/>
      </c>
      <c r="P168" s="30" t="str">
        <f aca="false">IF(OR($B168="",$E168=""),"",$B168&amp;"_"&amp;$C168&amp;"_"&amp;$D168&amp;"_"&amp;TEXT($E168,"yyyy-mm-dd")&amp;".jpg")</f>
        <v/>
      </c>
      <c r="Q168" s="30" t="str">
        <f aca="false">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30" t="str">
        <f aca="false">IF($B168="","",$B168&amp;"|"&amp;$C168&amp;"|"&amp;$D168&amp;"|"&amp;$O168)</f>
        <v/>
      </c>
      <c r="S168" s="30" t="str">
        <f aca="false">IF($B168="","",$R168&amp;"|"&amp;N($E168))</f>
        <v/>
      </c>
    </row>
    <row r="169" customFormat="false" ht="15" hidden="false" customHeight="false" outlineLevel="0" collapsed="false">
      <c r="D169" s="10"/>
      <c r="E169" s="11"/>
      <c r="F169" s="38"/>
      <c r="G169" s="10"/>
      <c r="I169" s="11"/>
      <c r="J169" s="10"/>
      <c r="K169" s="10"/>
      <c r="M169" s="31" t="str">
        <f aca="false">IF($B169="","",IFERROR(IF(INDEX(campaigns!$BG$2:$BG$51,MATCH($B169,campaigns!$A$2:$A$51,0))="","",INDEX(campaigns!$BG$2:$BG$51,MATCH($B169,campaigns!$A$2:$A$51,0))),""))</f>
        <v/>
      </c>
      <c r="N169" s="30" t="str">
        <f aca="false">IF(OR($B169="",$E169="",$M169=""),"",IF($E169&lt;$M169,0,NETWORKDAYS($M169,$E169,calendar!$A$2:$A$80)))</f>
        <v/>
      </c>
      <c r="O169" s="30" t="str">
        <f aca="false">IF($B169="","",IF(AND($K169="Y",OR($D169="later",$J169="Y")),"Y","N"))</f>
        <v/>
      </c>
      <c r="P169" s="30" t="str">
        <f aca="false">IF(OR($B169="",$E169=""),"",$B169&amp;"_"&amp;$C169&amp;"_"&amp;$D169&amp;"_"&amp;TEXT($E169,"yyyy-mm-dd")&amp;".jpg")</f>
        <v/>
      </c>
      <c r="Q169" s="30" t="str">
        <f aca="false">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30" t="str">
        <f aca="false">IF($B169="","",$B169&amp;"|"&amp;$C169&amp;"|"&amp;$D169&amp;"|"&amp;$O169)</f>
        <v/>
      </c>
      <c r="S169" s="30" t="str">
        <f aca="false">IF($B169="","",$R169&amp;"|"&amp;N($E169))</f>
        <v/>
      </c>
    </row>
    <row r="170" customFormat="false" ht="15" hidden="false" customHeight="false" outlineLevel="0" collapsed="false">
      <c r="D170" s="10"/>
      <c r="E170" s="11"/>
      <c r="F170" s="38"/>
      <c r="G170" s="10"/>
      <c r="I170" s="11"/>
      <c r="J170" s="10"/>
      <c r="K170" s="10"/>
      <c r="M170" s="31" t="str">
        <f aca="false">IF($B170="","",IFERROR(IF(INDEX(campaigns!$BG$2:$BG$51,MATCH($B170,campaigns!$A$2:$A$51,0))="","",INDEX(campaigns!$BG$2:$BG$51,MATCH($B170,campaigns!$A$2:$A$51,0))),""))</f>
        <v/>
      </c>
      <c r="N170" s="30" t="str">
        <f aca="false">IF(OR($B170="",$E170="",$M170=""),"",IF($E170&lt;$M170,0,NETWORKDAYS($M170,$E170,calendar!$A$2:$A$80)))</f>
        <v/>
      </c>
      <c r="O170" s="30" t="str">
        <f aca="false">IF($B170="","",IF(AND($K170="Y",OR($D170="later",$J170="Y")),"Y","N"))</f>
        <v/>
      </c>
      <c r="P170" s="30" t="str">
        <f aca="false">IF(OR($B170="",$E170=""),"",$B170&amp;"_"&amp;$C170&amp;"_"&amp;$D170&amp;"_"&amp;TEXT($E170,"yyyy-mm-dd")&amp;".jpg")</f>
        <v/>
      </c>
      <c r="Q170" s="30" t="str">
        <f aca="false">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30" t="str">
        <f aca="false">IF($B170="","",$B170&amp;"|"&amp;$C170&amp;"|"&amp;$D170&amp;"|"&amp;$O170)</f>
        <v/>
      </c>
      <c r="S170" s="30" t="str">
        <f aca="false">IF($B170="","",$R170&amp;"|"&amp;N($E170))</f>
        <v/>
      </c>
    </row>
    <row r="171" customFormat="false" ht="15" hidden="false" customHeight="false" outlineLevel="0" collapsed="false">
      <c r="D171" s="10"/>
      <c r="E171" s="11"/>
      <c r="F171" s="38"/>
      <c r="G171" s="10"/>
      <c r="I171" s="11"/>
      <c r="J171" s="10"/>
      <c r="K171" s="10"/>
      <c r="M171" s="31" t="str">
        <f aca="false">IF($B171="","",IFERROR(IF(INDEX(campaigns!$BG$2:$BG$51,MATCH($B171,campaigns!$A$2:$A$51,0))="","",INDEX(campaigns!$BG$2:$BG$51,MATCH($B171,campaigns!$A$2:$A$51,0))),""))</f>
        <v/>
      </c>
      <c r="N171" s="30" t="str">
        <f aca="false">IF(OR($B171="",$E171="",$M171=""),"",IF($E171&lt;$M171,0,NETWORKDAYS($M171,$E171,calendar!$A$2:$A$80)))</f>
        <v/>
      </c>
      <c r="O171" s="30" t="str">
        <f aca="false">IF($B171="","",IF(AND($K171="Y",OR($D171="later",$J171="Y")),"Y","N"))</f>
        <v/>
      </c>
      <c r="P171" s="30" t="str">
        <f aca="false">IF(OR($B171="",$E171=""),"",$B171&amp;"_"&amp;$C171&amp;"_"&amp;$D171&amp;"_"&amp;TEXT($E171,"yyyy-mm-dd")&amp;".jpg")</f>
        <v/>
      </c>
      <c r="Q171" s="30" t="str">
        <f aca="false">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30" t="str">
        <f aca="false">IF($B171="","",$B171&amp;"|"&amp;$C171&amp;"|"&amp;$D171&amp;"|"&amp;$O171)</f>
        <v/>
      </c>
      <c r="S171" s="30" t="str">
        <f aca="false">IF($B171="","",$R171&amp;"|"&amp;N($E171))</f>
        <v/>
      </c>
    </row>
    <row r="172" customFormat="false" ht="15" hidden="false" customHeight="false" outlineLevel="0" collapsed="false">
      <c r="D172" s="10"/>
      <c r="E172" s="11"/>
      <c r="F172" s="38"/>
      <c r="G172" s="10"/>
      <c r="I172" s="11"/>
      <c r="J172" s="10"/>
      <c r="K172" s="10"/>
      <c r="M172" s="31" t="str">
        <f aca="false">IF($B172="","",IFERROR(IF(INDEX(campaigns!$BG$2:$BG$51,MATCH($B172,campaigns!$A$2:$A$51,0))="","",INDEX(campaigns!$BG$2:$BG$51,MATCH($B172,campaigns!$A$2:$A$51,0))),""))</f>
        <v/>
      </c>
      <c r="N172" s="30" t="str">
        <f aca="false">IF(OR($B172="",$E172="",$M172=""),"",IF($E172&lt;$M172,0,NETWORKDAYS($M172,$E172,calendar!$A$2:$A$80)))</f>
        <v/>
      </c>
      <c r="O172" s="30" t="str">
        <f aca="false">IF($B172="","",IF(AND($K172="Y",OR($D172="later",$J172="Y")),"Y","N"))</f>
        <v/>
      </c>
      <c r="P172" s="30" t="str">
        <f aca="false">IF(OR($B172="",$E172=""),"",$B172&amp;"_"&amp;$C172&amp;"_"&amp;$D172&amp;"_"&amp;TEXT($E172,"yyyy-mm-dd")&amp;".jpg")</f>
        <v/>
      </c>
      <c r="Q172" s="30" t="str">
        <f aca="false">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30" t="str">
        <f aca="false">IF($B172="","",$B172&amp;"|"&amp;$C172&amp;"|"&amp;$D172&amp;"|"&amp;$O172)</f>
        <v/>
      </c>
      <c r="S172" s="30" t="str">
        <f aca="false">IF($B172="","",$R172&amp;"|"&amp;N($E172))</f>
        <v/>
      </c>
    </row>
    <row r="173" customFormat="false" ht="15" hidden="false" customHeight="false" outlineLevel="0" collapsed="false">
      <c r="D173" s="10"/>
      <c r="E173" s="11"/>
      <c r="F173" s="38"/>
      <c r="G173" s="10"/>
      <c r="I173" s="11"/>
      <c r="J173" s="10"/>
      <c r="K173" s="10"/>
      <c r="M173" s="31" t="str">
        <f aca="false">IF($B173="","",IFERROR(IF(INDEX(campaigns!$BG$2:$BG$51,MATCH($B173,campaigns!$A$2:$A$51,0))="","",INDEX(campaigns!$BG$2:$BG$51,MATCH($B173,campaigns!$A$2:$A$51,0))),""))</f>
        <v/>
      </c>
      <c r="N173" s="30" t="str">
        <f aca="false">IF(OR($B173="",$E173="",$M173=""),"",IF($E173&lt;$M173,0,NETWORKDAYS($M173,$E173,calendar!$A$2:$A$80)))</f>
        <v/>
      </c>
      <c r="O173" s="30" t="str">
        <f aca="false">IF($B173="","",IF(AND($K173="Y",OR($D173="later",$J173="Y")),"Y","N"))</f>
        <v/>
      </c>
      <c r="P173" s="30" t="str">
        <f aca="false">IF(OR($B173="",$E173=""),"",$B173&amp;"_"&amp;$C173&amp;"_"&amp;$D173&amp;"_"&amp;TEXT($E173,"yyyy-mm-dd")&amp;".jpg")</f>
        <v/>
      </c>
      <c r="Q173" s="30" t="str">
        <f aca="false">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30" t="str">
        <f aca="false">IF($B173="","",$B173&amp;"|"&amp;$C173&amp;"|"&amp;$D173&amp;"|"&amp;$O173)</f>
        <v/>
      </c>
      <c r="S173" s="30" t="str">
        <f aca="false">IF($B173="","",$R173&amp;"|"&amp;N($E173))</f>
        <v/>
      </c>
    </row>
    <row r="174" customFormat="false" ht="15" hidden="false" customHeight="false" outlineLevel="0" collapsed="false">
      <c r="D174" s="10"/>
      <c r="E174" s="11"/>
      <c r="F174" s="38"/>
      <c r="G174" s="10"/>
      <c r="I174" s="11"/>
      <c r="J174" s="10"/>
      <c r="K174" s="10"/>
      <c r="M174" s="31" t="str">
        <f aca="false">IF($B174="","",IFERROR(IF(INDEX(campaigns!$BG$2:$BG$51,MATCH($B174,campaigns!$A$2:$A$51,0))="","",INDEX(campaigns!$BG$2:$BG$51,MATCH($B174,campaigns!$A$2:$A$51,0))),""))</f>
        <v/>
      </c>
      <c r="N174" s="30" t="str">
        <f aca="false">IF(OR($B174="",$E174="",$M174=""),"",IF($E174&lt;$M174,0,NETWORKDAYS($M174,$E174,calendar!$A$2:$A$80)))</f>
        <v/>
      </c>
      <c r="O174" s="30" t="str">
        <f aca="false">IF($B174="","",IF(AND($K174="Y",OR($D174="later",$J174="Y")),"Y","N"))</f>
        <v/>
      </c>
      <c r="P174" s="30" t="str">
        <f aca="false">IF(OR($B174="",$E174=""),"",$B174&amp;"_"&amp;$C174&amp;"_"&amp;$D174&amp;"_"&amp;TEXT($E174,"yyyy-mm-dd")&amp;".jpg")</f>
        <v/>
      </c>
      <c r="Q174" s="30" t="str">
        <f aca="false">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30" t="str">
        <f aca="false">IF($B174="","",$B174&amp;"|"&amp;$C174&amp;"|"&amp;$D174&amp;"|"&amp;$O174)</f>
        <v/>
      </c>
      <c r="S174" s="30" t="str">
        <f aca="false">IF($B174="","",$R174&amp;"|"&amp;N($E174))</f>
        <v/>
      </c>
    </row>
    <row r="175" customFormat="false" ht="15" hidden="false" customHeight="false" outlineLevel="0" collapsed="false">
      <c r="D175" s="10"/>
      <c r="E175" s="11"/>
      <c r="F175" s="38"/>
      <c r="G175" s="10"/>
      <c r="I175" s="11"/>
      <c r="J175" s="10"/>
      <c r="K175" s="10"/>
      <c r="M175" s="31" t="str">
        <f aca="false">IF($B175="","",IFERROR(IF(INDEX(campaigns!$BG$2:$BG$51,MATCH($B175,campaigns!$A$2:$A$51,0))="","",INDEX(campaigns!$BG$2:$BG$51,MATCH($B175,campaigns!$A$2:$A$51,0))),""))</f>
        <v/>
      </c>
      <c r="N175" s="30" t="str">
        <f aca="false">IF(OR($B175="",$E175="",$M175=""),"",IF($E175&lt;$M175,0,NETWORKDAYS($M175,$E175,calendar!$A$2:$A$80)))</f>
        <v/>
      </c>
      <c r="O175" s="30" t="str">
        <f aca="false">IF($B175="","",IF(AND($K175="Y",OR($D175="later",$J175="Y")),"Y","N"))</f>
        <v/>
      </c>
      <c r="P175" s="30" t="str">
        <f aca="false">IF(OR($B175="",$E175=""),"",$B175&amp;"_"&amp;$C175&amp;"_"&amp;$D175&amp;"_"&amp;TEXT($E175,"yyyy-mm-dd")&amp;".jpg")</f>
        <v/>
      </c>
      <c r="Q175" s="30" t="str">
        <f aca="false">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30" t="str">
        <f aca="false">IF($B175="","",$B175&amp;"|"&amp;$C175&amp;"|"&amp;$D175&amp;"|"&amp;$O175)</f>
        <v/>
      </c>
      <c r="S175" s="30" t="str">
        <f aca="false">IF($B175="","",$R175&amp;"|"&amp;N($E175))</f>
        <v/>
      </c>
    </row>
    <row r="176" customFormat="false" ht="15" hidden="false" customHeight="false" outlineLevel="0" collapsed="false">
      <c r="D176" s="10"/>
      <c r="E176" s="11"/>
      <c r="F176" s="38"/>
      <c r="G176" s="10"/>
      <c r="I176" s="11"/>
      <c r="J176" s="10"/>
      <c r="K176" s="10"/>
      <c r="M176" s="31" t="str">
        <f aca="false">IF($B176="","",IFERROR(IF(INDEX(campaigns!$BG$2:$BG$51,MATCH($B176,campaigns!$A$2:$A$51,0))="","",INDEX(campaigns!$BG$2:$BG$51,MATCH($B176,campaigns!$A$2:$A$51,0))),""))</f>
        <v/>
      </c>
      <c r="N176" s="30" t="str">
        <f aca="false">IF(OR($B176="",$E176="",$M176=""),"",IF($E176&lt;$M176,0,NETWORKDAYS($M176,$E176,calendar!$A$2:$A$80)))</f>
        <v/>
      </c>
      <c r="O176" s="30" t="str">
        <f aca="false">IF($B176="","",IF(AND($K176="Y",OR($D176="later",$J176="Y")),"Y","N"))</f>
        <v/>
      </c>
      <c r="P176" s="30" t="str">
        <f aca="false">IF(OR($B176="",$E176=""),"",$B176&amp;"_"&amp;$C176&amp;"_"&amp;$D176&amp;"_"&amp;TEXT($E176,"yyyy-mm-dd")&amp;".jpg")</f>
        <v/>
      </c>
      <c r="Q176" s="30" t="str">
        <f aca="false">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30" t="str">
        <f aca="false">IF($B176="","",$B176&amp;"|"&amp;$C176&amp;"|"&amp;$D176&amp;"|"&amp;$O176)</f>
        <v/>
      </c>
      <c r="S176" s="30" t="str">
        <f aca="false">IF($B176="","",$R176&amp;"|"&amp;N($E176))</f>
        <v/>
      </c>
    </row>
    <row r="177" customFormat="false" ht="15" hidden="false" customHeight="false" outlineLevel="0" collapsed="false">
      <c r="D177" s="10"/>
      <c r="E177" s="11"/>
      <c r="F177" s="38"/>
      <c r="G177" s="10"/>
      <c r="I177" s="11"/>
      <c r="J177" s="10"/>
      <c r="K177" s="10"/>
      <c r="M177" s="31" t="str">
        <f aca="false">IF($B177="","",IFERROR(IF(INDEX(campaigns!$BG$2:$BG$51,MATCH($B177,campaigns!$A$2:$A$51,0))="","",INDEX(campaigns!$BG$2:$BG$51,MATCH($B177,campaigns!$A$2:$A$51,0))),""))</f>
        <v/>
      </c>
      <c r="N177" s="30" t="str">
        <f aca="false">IF(OR($B177="",$E177="",$M177=""),"",IF($E177&lt;$M177,0,NETWORKDAYS($M177,$E177,calendar!$A$2:$A$80)))</f>
        <v/>
      </c>
      <c r="O177" s="30" t="str">
        <f aca="false">IF($B177="","",IF(AND($K177="Y",OR($D177="later",$J177="Y")),"Y","N"))</f>
        <v/>
      </c>
      <c r="P177" s="30" t="str">
        <f aca="false">IF(OR($B177="",$E177=""),"",$B177&amp;"_"&amp;$C177&amp;"_"&amp;$D177&amp;"_"&amp;TEXT($E177,"yyyy-mm-dd")&amp;".jpg")</f>
        <v/>
      </c>
      <c r="Q177" s="30" t="str">
        <f aca="false">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30" t="str">
        <f aca="false">IF($B177="","",$B177&amp;"|"&amp;$C177&amp;"|"&amp;$D177&amp;"|"&amp;$O177)</f>
        <v/>
      </c>
      <c r="S177" s="30" t="str">
        <f aca="false">IF($B177="","",$R177&amp;"|"&amp;N($E177))</f>
        <v/>
      </c>
    </row>
    <row r="178" customFormat="false" ht="15" hidden="false" customHeight="false" outlineLevel="0" collapsed="false">
      <c r="D178" s="10"/>
      <c r="E178" s="11"/>
      <c r="F178" s="38"/>
      <c r="G178" s="10"/>
      <c r="I178" s="11"/>
      <c r="J178" s="10"/>
      <c r="K178" s="10"/>
      <c r="M178" s="31" t="str">
        <f aca="false">IF($B178="","",IFERROR(IF(INDEX(campaigns!$BG$2:$BG$51,MATCH($B178,campaigns!$A$2:$A$51,0))="","",INDEX(campaigns!$BG$2:$BG$51,MATCH($B178,campaigns!$A$2:$A$51,0))),""))</f>
        <v/>
      </c>
      <c r="N178" s="30" t="str">
        <f aca="false">IF(OR($B178="",$E178="",$M178=""),"",IF($E178&lt;$M178,0,NETWORKDAYS($M178,$E178,calendar!$A$2:$A$80)))</f>
        <v/>
      </c>
      <c r="O178" s="30" t="str">
        <f aca="false">IF($B178="","",IF(AND($K178="Y",OR($D178="later",$J178="Y")),"Y","N"))</f>
        <v/>
      </c>
      <c r="P178" s="30" t="str">
        <f aca="false">IF(OR($B178="",$E178=""),"",$B178&amp;"_"&amp;$C178&amp;"_"&amp;$D178&amp;"_"&amp;TEXT($E178,"yyyy-mm-dd")&amp;".jpg")</f>
        <v/>
      </c>
      <c r="Q178" s="30" t="str">
        <f aca="false">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30" t="str">
        <f aca="false">IF($B178="","",$B178&amp;"|"&amp;$C178&amp;"|"&amp;$D178&amp;"|"&amp;$O178)</f>
        <v/>
      </c>
      <c r="S178" s="30" t="str">
        <f aca="false">IF($B178="","",$R178&amp;"|"&amp;N($E178))</f>
        <v/>
      </c>
    </row>
    <row r="179" customFormat="false" ht="15" hidden="false" customHeight="false" outlineLevel="0" collapsed="false">
      <c r="D179" s="10"/>
      <c r="E179" s="11"/>
      <c r="F179" s="38"/>
      <c r="G179" s="10"/>
      <c r="I179" s="11"/>
      <c r="J179" s="10"/>
      <c r="K179" s="10"/>
      <c r="M179" s="31" t="str">
        <f aca="false">IF($B179="","",IFERROR(IF(INDEX(campaigns!$BG$2:$BG$51,MATCH($B179,campaigns!$A$2:$A$51,0))="","",INDEX(campaigns!$BG$2:$BG$51,MATCH($B179,campaigns!$A$2:$A$51,0))),""))</f>
        <v/>
      </c>
      <c r="N179" s="30" t="str">
        <f aca="false">IF(OR($B179="",$E179="",$M179=""),"",IF($E179&lt;$M179,0,NETWORKDAYS($M179,$E179,calendar!$A$2:$A$80)))</f>
        <v/>
      </c>
      <c r="O179" s="30" t="str">
        <f aca="false">IF($B179="","",IF(AND($K179="Y",OR($D179="later",$J179="Y")),"Y","N"))</f>
        <v/>
      </c>
      <c r="P179" s="30" t="str">
        <f aca="false">IF(OR($B179="",$E179=""),"",$B179&amp;"_"&amp;$C179&amp;"_"&amp;$D179&amp;"_"&amp;TEXT($E179,"yyyy-mm-dd")&amp;".jpg")</f>
        <v/>
      </c>
      <c r="Q179" s="30" t="str">
        <f aca="false">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30" t="str">
        <f aca="false">IF($B179="","",$B179&amp;"|"&amp;$C179&amp;"|"&amp;$D179&amp;"|"&amp;$O179)</f>
        <v/>
      </c>
      <c r="S179" s="30" t="str">
        <f aca="false">IF($B179="","",$R179&amp;"|"&amp;N($E179))</f>
        <v/>
      </c>
    </row>
    <row r="180" customFormat="false" ht="15" hidden="false" customHeight="false" outlineLevel="0" collapsed="false">
      <c r="D180" s="10"/>
      <c r="E180" s="11"/>
      <c r="F180" s="38"/>
      <c r="G180" s="10"/>
      <c r="I180" s="11"/>
      <c r="J180" s="10"/>
      <c r="K180" s="10"/>
      <c r="M180" s="31" t="str">
        <f aca="false">IF($B180="","",IFERROR(IF(INDEX(campaigns!$BG$2:$BG$51,MATCH($B180,campaigns!$A$2:$A$51,0))="","",INDEX(campaigns!$BG$2:$BG$51,MATCH($B180,campaigns!$A$2:$A$51,0))),""))</f>
        <v/>
      </c>
      <c r="N180" s="30" t="str">
        <f aca="false">IF(OR($B180="",$E180="",$M180=""),"",IF($E180&lt;$M180,0,NETWORKDAYS($M180,$E180,calendar!$A$2:$A$80)))</f>
        <v/>
      </c>
      <c r="O180" s="30" t="str">
        <f aca="false">IF($B180="","",IF(AND($K180="Y",OR($D180="later",$J180="Y")),"Y","N"))</f>
        <v/>
      </c>
      <c r="P180" s="30" t="str">
        <f aca="false">IF(OR($B180="",$E180=""),"",$B180&amp;"_"&amp;$C180&amp;"_"&amp;$D180&amp;"_"&amp;TEXT($E180,"yyyy-mm-dd")&amp;".jpg")</f>
        <v/>
      </c>
      <c r="Q180" s="30" t="str">
        <f aca="false">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30" t="str">
        <f aca="false">IF($B180="","",$B180&amp;"|"&amp;$C180&amp;"|"&amp;$D180&amp;"|"&amp;$O180)</f>
        <v/>
      </c>
      <c r="S180" s="30" t="str">
        <f aca="false">IF($B180="","",$R180&amp;"|"&amp;N($E180))</f>
        <v/>
      </c>
    </row>
    <row r="181" customFormat="false" ht="15" hidden="false" customHeight="false" outlineLevel="0" collapsed="false">
      <c r="D181" s="10"/>
      <c r="E181" s="11"/>
      <c r="F181" s="38"/>
      <c r="G181" s="10"/>
      <c r="I181" s="11"/>
      <c r="J181" s="10"/>
      <c r="K181" s="10"/>
      <c r="M181" s="31" t="str">
        <f aca="false">IF($B181="","",IFERROR(IF(INDEX(campaigns!$BG$2:$BG$51,MATCH($B181,campaigns!$A$2:$A$51,0))="","",INDEX(campaigns!$BG$2:$BG$51,MATCH($B181,campaigns!$A$2:$A$51,0))),""))</f>
        <v/>
      </c>
      <c r="N181" s="30" t="str">
        <f aca="false">IF(OR($B181="",$E181="",$M181=""),"",IF($E181&lt;$M181,0,NETWORKDAYS($M181,$E181,calendar!$A$2:$A$80)))</f>
        <v/>
      </c>
      <c r="O181" s="30" t="str">
        <f aca="false">IF($B181="","",IF(AND($K181="Y",OR($D181="later",$J181="Y")),"Y","N"))</f>
        <v/>
      </c>
      <c r="P181" s="30" t="str">
        <f aca="false">IF(OR($B181="",$E181=""),"",$B181&amp;"_"&amp;$C181&amp;"_"&amp;$D181&amp;"_"&amp;TEXT($E181,"yyyy-mm-dd")&amp;".jpg")</f>
        <v/>
      </c>
      <c r="Q181" s="30" t="str">
        <f aca="false">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30" t="str">
        <f aca="false">IF($B181="","",$B181&amp;"|"&amp;$C181&amp;"|"&amp;$D181&amp;"|"&amp;$O181)</f>
        <v/>
      </c>
      <c r="S181" s="30" t="str">
        <f aca="false">IF($B181="","",$R181&amp;"|"&amp;N($E181))</f>
        <v/>
      </c>
    </row>
    <row r="182" customFormat="false" ht="15" hidden="false" customHeight="false" outlineLevel="0" collapsed="false">
      <c r="D182" s="10"/>
      <c r="E182" s="11"/>
      <c r="F182" s="38"/>
      <c r="G182" s="10"/>
      <c r="I182" s="11"/>
      <c r="J182" s="10"/>
      <c r="K182" s="10"/>
      <c r="M182" s="31" t="str">
        <f aca="false">IF($B182="","",IFERROR(IF(INDEX(campaigns!$BG$2:$BG$51,MATCH($B182,campaigns!$A$2:$A$51,0))="","",INDEX(campaigns!$BG$2:$BG$51,MATCH($B182,campaigns!$A$2:$A$51,0))),""))</f>
        <v/>
      </c>
      <c r="N182" s="30" t="str">
        <f aca="false">IF(OR($B182="",$E182="",$M182=""),"",IF($E182&lt;$M182,0,NETWORKDAYS($M182,$E182,calendar!$A$2:$A$80)))</f>
        <v/>
      </c>
      <c r="O182" s="30" t="str">
        <f aca="false">IF($B182="","",IF(AND($K182="Y",OR($D182="later",$J182="Y")),"Y","N"))</f>
        <v/>
      </c>
      <c r="P182" s="30" t="str">
        <f aca="false">IF(OR($B182="",$E182=""),"",$B182&amp;"_"&amp;$C182&amp;"_"&amp;$D182&amp;"_"&amp;TEXT($E182,"yyyy-mm-dd")&amp;".jpg")</f>
        <v/>
      </c>
      <c r="Q182" s="30" t="str">
        <f aca="false">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30" t="str">
        <f aca="false">IF($B182="","",$B182&amp;"|"&amp;$C182&amp;"|"&amp;$D182&amp;"|"&amp;$O182)</f>
        <v/>
      </c>
      <c r="S182" s="30" t="str">
        <f aca="false">IF($B182="","",$R182&amp;"|"&amp;N($E182))</f>
        <v/>
      </c>
    </row>
    <row r="183" customFormat="false" ht="15" hidden="false" customHeight="false" outlineLevel="0" collapsed="false">
      <c r="D183" s="10"/>
      <c r="E183" s="11"/>
      <c r="F183" s="38"/>
      <c r="G183" s="10"/>
      <c r="I183" s="11"/>
      <c r="J183" s="10"/>
      <c r="K183" s="10"/>
      <c r="M183" s="31" t="str">
        <f aca="false">IF($B183="","",IFERROR(IF(INDEX(campaigns!$BG$2:$BG$51,MATCH($B183,campaigns!$A$2:$A$51,0))="","",INDEX(campaigns!$BG$2:$BG$51,MATCH($B183,campaigns!$A$2:$A$51,0))),""))</f>
        <v/>
      </c>
      <c r="N183" s="30" t="str">
        <f aca="false">IF(OR($B183="",$E183="",$M183=""),"",IF($E183&lt;$M183,0,NETWORKDAYS($M183,$E183,calendar!$A$2:$A$80)))</f>
        <v/>
      </c>
      <c r="O183" s="30" t="str">
        <f aca="false">IF($B183="","",IF(AND($K183="Y",OR($D183="later",$J183="Y")),"Y","N"))</f>
        <v/>
      </c>
      <c r="P183" s="30" t="str">
        <f aca="false">IF(OR($B183="",$E183=""),"",$B183&amp;"_"&amp;$C183&amp;"_"&amp;$D183&amp;"_"&amp;TEXT($E183,"yyyy-mm-dd")&amp;".jpg")</f>
        <v/>
      </c>
      <c r="Q183" s="30" t="str">
        <f aca="false">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30" t="str">
        <f aca="false">IF($B183="","",$B183&amp;"|"&amp;$C183&amp;"|"&amp;$D183&amp;"|"&amp;$O183)</f>
        <v/>
      </c>
      <c r="S183" s="30" t="str">
        <f aca="false">IF($B183="","",$R183&amp;"|"&amp;N($E183))</f>
        <v/>
      </c>
    </row>
    <row r="184" customFormat="false" ht="15" hidden="false" customHeight="false" outlineLevel="0" collapsed="false">
      <c r="D184" s="10"/>
      <c r="E184" s="11"/>
      <c r="F184" s="38"/>
      <c r="G184" s="10"/>
      <c r="I184" s="11"/>
      <c r="J184" s="10"/>
      <c r="K184" s="10"/>
      <c r="M184" s="31" t="str">
        <f aca="false">IF($B184="","",IFERROR(IF(INDEX(campaigns!$BG$2:$BG$51,MATCH($B184,campaigns!$A$2:$A$51,0))="","",INDEX(campaigns!$BG$2:$BG$51,MATCH($B184,campaigns!$A$2:$A$51,0))),""))</f>
        <v/>
      </c>
      <c r="N184" s="30" t="str">
        <f aca="false">IF(OR($B184="",$E184="",$M184=""),"",IF($E184&lt;$M184,0,NETWORKDAYS($M184,$E184,calendar!$A$2:$A$80)))</f>
        <v/>
      </c>
      <c r="O184" s="30" t="str">
        <f aca="false">IF($B184="","",IF(AND($K184="Y",OR($D184="later",$J184="Y")),"Y","N"))</f>
        <v/>
      </c>
      <c r="P184" s="30" t="str">
        <f aca="false">IF(OR($B184="",$E184=""),"",$B184&amp;"_"&amp;$C184&amp;"_"&amp;$D184&amp;"_"&amp;TEXT($E184,"yyyy-mm-dd")&amp;".jpg")</f>
        <v/>
      </c>
      <c r="Q184" s="30" t="str">
        <f aca="false">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30" t="str">
        <f aca="false">IF($B184="","",$B184&amp;"|"&amp;$C184&amp;"|"&amp;$D184&amp;"|"&amp;$O184)</f>
        <v/>
      </c>
      <c r="S184" s="30" t="str">
        <f aca="false">IF($B184="","",$R184&amp;"|"&amp;N($E184))</f>
        <v/>
      </c>
    </row>
    <row r="185" customFormat="false" ht="15" hidden="false" customHeight="false" outlineLevel="0" collapsed="false">
      <c r="D185" s="10"/>
      <c r="E185" s="11"/>
      <c r="F185" s="38"/>
      <c r="G185" s="10"/>
      <c r="I185" s="11"/>
      <c r="J185" s="10"/>
      <c r="K185" s="10"/>
      <c r="M185" s="31" t="str">
        <f aca="false">IF($B185="","",IFERROR(IF(INDEX(campaigns!$BG$2:$BG$51,MATCH($B185,campaigns!$A$2:$A$51,0))="","",INDEX(campaigns!$BG$2:$BG$51,MATCH($B185,campaigns!$A$2:$A$51,0))),""))</f>
        <v/>
      </c>
      <c r="N185" s="30" t="str">
        <f aca="false">IF(OR($B185="",$E185="",$M185=""),"",IF($E185&lt;$M185,0,NETWORKDAYS($M185,$E185,calendar!$A$2:$A$80)))</f>
        <v/>
      </c>
      <c r="O185" s="30" t="str">
        <f aca="false">IF($B185="","",IF(AND($K185="Y",OR($D185="later",$J185="Y")),"Y","N"))</f>
        <v/>
      </c>
      <c r="P185" s="30" t="str">
        <f aca="false">IF(OR($B185="",$E185=""),"",$B185&amp;"_"&amp;$C185&amp;"_"&amp;$D185&amp;"_"&amp;TEXT($E185,"yyyy-mm-dd")&amp;".jpg")</f>
        <v/>
      </c>
      <c r="Q185" s="30" t="str">
        <f aca="false">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30" t="str">
        <f aca="false">IF($B185="","",$B185&amp;"|"&amp;$C185&amp;"|"&amp;$D185&amp;"|"&amp;$O185)</f>
        <v/>
      </c>
      <c r="S185" s="30" t="str">
        <f aca="false">IF($B185="","",$R185&amp;"|"&amp;N($E185))</f>
        <v/>
      </c>
    </row>
    <row r="186" customFormat="false" ht="15" hidden="false" customHeight="false" outlineLevel="0" collapsed="false">
      <c r="D186" s="10"/>
      <c r="E186" s="11"/>
      <c r="F186" s="38"/>
      <c r="G186" s="10"/>
      <c r="I186" s="11"/>
      <c r="J186" s="10"/>
      <c r="K186" s="10"/>
      <c r="M186" s="31" t="str">
        <f aca="false">IF($B186="","",IFERROR(IF(INDEX(campaigns!$BG$2:$BG$51,MATCH($B186,campaigns!$A$2:$A$51,0))="","",INDEX(campaigns!$BG$2:$BG$51,MATCH($B186,campaigns!$A$2:$A$51,0))),""))</f>
        <v/>
      </c>
      <c r="N186" s="30" t="str">
        <f aca="false">IF(OR($B186="",$E186="",$M186=""),"",IF($E186&lt;$M186,0,NETWORKDAYS($M186,$E186,calendar!$A$2:$A$80)))</f>
        <v/>
      </c>
      <c r="O186" s="30" t="str">
        <f aca="false">IF($B186="","",IF(AND($K186="Y",OR($D186="later",$J186="Y")),"Y","N"))</f>
        <v/>
      </c>
      <c r="P186" s="30" t="str">
        <f aca="false">IF(OR($B186="",$E186=""),"",$B186&amp;"_"&amp;$C186&amp;"_"&amp;$D186&amp;"_"&amp;TEXT($E186,"yyyy-mm-dd")&amp;".jpg")</f>
        <v/>
      </c>
      <c r="Q186" s="30" t="str">
        <f aca="false">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30" t="str">
        <f aca="false">IF($B186="","",$B186&amp;"|"&amp;$C186&amp;"|"&amp;$D186&amp;"|"&amp;$O186)</f>
        <v/>
      </c>
      <c r="S186" s="30" t="str">
        <f aca="false">IF($B186="","",$R186&amp;"|"&amp;N($E186))</f>
        <v/>
      </c>
    </row>
    <row r="187" customFormat="false" ht="15" hidden="false" customHeight="false" outlineLevel="0" collapsed="false">
      <c r="D187" s="10"/>
      <c r="E187" s="11"/>
      <c r="F187" s="38"/>
      <c r="G187" s="10"/>
      <c r="I187" s="11"/>
      <c r="J187" s="10"/>
      <c r="K187" s="10"/>
      <c r="M187" s="31" t="str">
        <f aca="false">IF($B187="","",IFERROR(IF(INDEX(campaigns!$BG$2:$BG$51,MATCH($B187,campaigns!$A$2:$A$51,0))="","",INDEX(campaigns!$BG$2:$BG$51,MATCH($B187,campaigns!$A$2:$A$51,0))),""))</f>
        <v/>
      </c>
      <c r="N187" s="30" t="str">
        <f aca="false">IF(OR($B187="",$E187="",$M187=""),"",IF($E187&lt;$M187,0,NETWORKDAYS($M187,$E187,calendar!$A$2:$A$80)))</f>
        <v/>
      </c>
      <c r="O187" s="30" t="str">
        <f aca="false">IF($B187="","",IF(AND($K187="Y",OR($D187="later",$J187="Y")),"Y","N"))</f>
        <v/>
      </c>
      <c r="P187" s="30" t="str">
        <f aca="false">IF(OR($B187="",$E187=""),"",$B187&amp;"_"&amp;$C187&amp;"_"&amp;$D187&amp;"_"&amp;TEXT($E187,"yyyy-mm-dd")&amp;".jpg")</f>
        <v/>
      </c>
      <c r="Q187" s="30" t="str">
        <f aca="false">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30" t="str">
        <f aca="false">IF($B187="","",$B187&amp;"|"&amp;$C187&amp;"|"&amp;$D187&amp;"|"&amp;$O187)</f>
        <v/>
      </c>
      <c r="S187" s="30" t="str">
        <f aca="false">IF($B187="","",$R187&amp;"|"&amp;N($E187))</f>
        <v/>
      </c>
    </row>
    <row r="188" customFormat="false" ht="15" hidden="false" customHeight="false" outlineLevel="0" collapsed="false">
      <c r="D188" s="10"/>
      <c r="E188" s="11"/>
      <c r="F188" s="38"/>
      <c r="G188" s="10"/>
      <c r="I188" s="11"/>
      <c r="J188" s="10"/>
      <c r="K188" s="10"/>
      <c r="M188" s="31" t="str">
        <f aca="false">IF($B188="","",IFERROR(IF(INDEX(campaigns!$BG$2:$BG$51,MATCH($B188,campaigns!$A$2:$A$51,0))="","",INDEX(campaigns!$BG$2:$BG$51,MATCH($B188,campaigns!$A$2:$A$51,0))),""))</f>
        <v/>
      </c>
      <c r="N188" s="30" t="str">
        <f aca="false">IF(OR($B188="",$E188="",$M188=""),"",IF($E188&lt;$M188,0,NETWORKDAYS($M188,$E188,calendar!$A$2:$A$80)))</f>
        <v/>
      </c>
      <c r="O188" s="30" t="str">
        <f aca="false">IF($B188="","",IF(AND($K188="Y",OR($D188="later",$J188="Y")),"Y","N"))</f>
        <v/>
      </c>
      <c r="P188" s="30" t="str">
        <f aca="false">IF(OR($B188="",$E188=""),"",$B188&amp;"_"&amp;$C188&amp;"_"&amp;$D188&amp;"_"&amp;TEXT($E188,"yyyy-mm-dd")&amp;".jpg")</f>
        <v/>
      </c>
      <c r="Q188" s="30" t="str">
        <f aca="false">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30" t="str">
        <f aca="false">IF($B188="","",$B188&amp;"|"&amp;$C188&amp;"|"&amp;$D188&amp;"|"&amp;$O188)</f>
        <v/>
      </c>
      <c r="S188" s="30" t="str">
        <f aca="false">IF($B188="","",$R188&amp;"|"&amp;N($E188))</f>
        <v/>
      </c>
    </row>
    <row r="189" customFormat="false" ht="15" hidden="false" customHeight="false" outlineLevel="0" collapsed="false">
      <c r="D189" s="10"/>
      <c r="E189" s="11"/>
      <c r="F189" s="38"/>
      <c r="G189" s="10"/>
      <c r="I189" s="11"/>
      <c r="J189" s="10"/>
      <c r="K189" s="10"/>
      <c r="M189" s="31" t="str">
        <f aca="false">IF($B189="","",IFERROR(IF(INDEX(campaigns!$BG$2:$BG$51,MATCH($B189,campaigns!$A$2:$A$51,0))="","",INDEX(campaigns!$BG$2:$BG$51,MATCH($B189,campaigns!$A$2:$A$51,0))),""))</f>
        <v/>
      </c>
      <c r="N189" s="30" t="str">
        <f aca="false">IF(OR($B189="",$E189="",$M189=""),"",IF($E189&lt;$M189,0,NETWORKDAYS($M189,$E189,calendar!$A$2:$A$80)))</f>
        <v/>
      </c>
      <c r="O189" s="30" t="str">
        <f aca="false">IF($B189="","",IF(AND($K189="Y",OR($D189="later",$J189="Y")),"Y","N"))</f>
        <v/>
      </c>
      <c r="P189" s="30" t="str">
        <f aca="false">IF(OR($B189="",$E189=""),"",$B189&amp;"_"&amp;$C189&amp;"_"&amp;$D189&amp;"_"&amp;TEXT($E189,"yyyy-mm-dd")&amp;".jpg")</f>
        <v/>
      </c>
      <c r="Q189" s="30" t="str">
        <f aca="false">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30" t="str">
        <f aca="false">IF($B189="","",$B189&amp;"|"&amp;$C189&amp;"|"&amp;$D189&amp;"|"&amp;$O189)</f>
        <v/>
      </c>
      <c r="S189" s="30" t="str">
        <f aca="false">IF($B189="","",$R189&amp;"|"&amp;N($E189))</f>
        <v/>
      </c>
    </row>
    <row r="190" customFormat="false" ht="15" hidden="false" customHeight="false" outlineLevel="0" collapsed="false">
      <c r="D190" s="10"/>
      <c r="E190" s="11"/>
      <c r="F190" s="38"/>
      <c r="G190" s="10"/>
      <c r="I190" s="11"/>
      <c r="J190" s="10"/>
      <c r="K190" s="10"/>
      <c r="M190" s="31" t="str">
        <f aca="false">IF($B190="","",IFERROR(IF(INDEX(campaigns!$BG$2:$BG$51,MATCH($B190,campaigns!$A$2:$A$51,0))="","",INDEX(campaigns!$BG$2:$BG$51,MATCH($B190,campaigns!$A$2:$A$51,0))),""))</f>
        <v/>
      </c>
      <c r="N190" s="30" t="str">
        <f aca="false">IF(OR($B190="",$E190="",$M190=""),"",IF($E190&lt;$M190,0,NETWORKDAYS($M190,$E190,calendar!$A$2:$A$80)))</f>
        <v/>
      </c>
      <c r="O190" s="30" t="str">
        <f aca="false">IF($B190="","",IF(AND($K190="Y",OR($D190="later",$J190="Y")),"Y","N"))</f>
        <v/>
      </c>
      <c r="P190" s="30" t="str">
        <f aca="false">IF(OR($B190="",$E190=""),"",$B190&amp;"_"&amp;$C190&amp;"_"&amp;$D190&amp;"_"&amp;TEXT($E190,"yyyy-mm-dd")&amp;".jpg")</f>
        <v/>
      </c>
      <c r="Q190" s="30" t="str">
        <f aca="false">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30" t="str">
        <f aca="false">IF($B190="","",$B190&amp;"|"&amp;$C190&amp;"|"&amp;$D190&amp;"|"&amp;$O190)</f>
        <v/>
      </c>
      <c r="S190" s="30" t="str">
        <f aca="false">IF($B190="","",$R190&amp;"|"&amp;N($E190))</f>
        <v/>
      </c>
    </row>
    <row r="191" customFormat="false" ht="15" hidden="false" customHeight="false" outlineLevel="0" collapsed="false">
      <c r="D191" s="10"/>
      <c r="E191" s="11"/>
      <c r="F191" s="38"/>
      <c r="G191" s="10"/>
      <c r="I191" s="11"/>
      <c r="J191" s="10"/>
      <c r="K191" s="10"/>
      <c r="M191" s="31" t="str">
        <f aca="false">IF($B191="","",IFERROR(IF(INDEX(campaigns!$BG$2:$BG$51,MATCH($B191,campaigns!$A$2:$A$51,0))="","",INDEX(campaigns!$BG$2:$BG$51,MATCH($B191,campaigns!$A$2:$A$51,0))),""))</f>
        <v/>
      </c>
      <c r="N191" s="30" t="str">
        <f aca="false">IF(OR($B191="",$E191="",$M191=""),"",IF($E191&lt;$M191,0,NETWORKDAYS($M191,$E191,calendar!$A$2:$A$80)))</f>
        <v/>
      </c>
      <c r="O191" s="30" t="str">
        <f aca="false">IF($B191="","",IF(AND($K191="Y",OR($D191="later",$J191="Y")),"Y","N"))</f>
        <v/>
      </c>
      <c r="P191" s="30" t="str">
        <f aca="false">IF(OR($B191="",$E191=""),"",$B191&amp;"_"&amp;$C191&amp;"_"&amp;$D191&amp;"_"&amp;TEXT($E191,"yyyy-mm-dd")&amp;".jpg")</f>
        <v/>
      </c>
      <c r="Q191" s="30" t="str">
        <f aca="false">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30" t="str">
        <f aca="false">IF($B191="","",$B191&amp;"|"&amp;$C191&amp;"|"&amp;$D191&amp;"|"&amp;$O191)</f>
        <v/>
      </c>
      <c r="S191" s="30" t="str">
        <f aca="false">IF($B191="","",$R191&amp;"|"&amp;N($E191))</f>
        <v/>
      </c>
    </row>
    <row r="192" customFormat="false" ht="15" hidden="false" customHeight="false" outlineLevel="0" collapsed="false">
      <c r="D192" s="10"/>
      <c r="E192" s="11"/>
      <c r="F192" s="38"/>
      <c r="G192" s="10"/>
      <c r="I192" s="11"/>
      <c r="J192" s="10"/>
      <c r="K192" s="10"/>
      <c r="M192" s="31" t="str">
        <f aca="false">IF($B192="","",IFERROR(IF(INDEX(campaigns!$BG$2:$BG$51,MATCH($B192,campaigns!$A$2:$A$51,0))="","",INDEX(campaigns!$BG$2:$BG$51,MATCH($B192,campaigns!$A$2:$A$51,0))),""))</f>
        <v/>
      </c>
      <c r="N192" s="30" t="str">
        <f aca="false">IF(OR($B192="",$E192="",$M192=""),"",IF($E192&lt;$M192,0,NETWORKDAYS($M192,$E192,calendar!$A$2:$A$80)))</f>
        <v/>
      </c>
      <c r="O192" s="30" t="str">
        <f aca="false">IF($B192="","",IF(AND($K192="Y",OR($D192="later",$J192="Y")),"Y","N"))</f>
        <v/>
      </c>
      <c r="P192" s="30" t="str">
        <f aca="false">IF(OR($B192="",$E192=""),"",$B192&amp;"_"&amp;$C192&amp;"_"&amp;$D192&amp;"_"&amp;TEXT($E192,"yyyy-mm-dd")&amp;".jpg")</f>
        <v/>
      </c>
      <c r="Q192" s="30" t="str">
        <f aca="false">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30" t="str">
        <f aca="false">IF($B192="","",$B192&amp;"|"&amp;$C192&amp;"|"&amp;$D192&amp;"|"&amp;$O192)</f>
        <v/>
      </c>
      <c r="S192" s="30" t="str">
        <f aca="false">IF($B192="","",$R192&amp;"|"&amp;N($E192))</f>
        <v/>
      </c>
    </row>
    <row r="193" customFormat="false" ht="15" hidden="false" customHeight="false" outlineLevel="0" collapsed="false">
      <c r="D193" s="10"/>
      <c r="E193" s="11"/>
      <c r="F193" s="38"/>
      <c r="G193" s="10"/>
      <c r="I193" s="11"/>
      <c r="J193" s="10"/>
      <c r="K193" s="10"/>
      <c r="M193" s="31" t="str">
        <f aca="false">IF($B193="","",IFERROR(IF(INDEX(campaigns!$BG$2:$BG$51,MATCH($B193,campaigns!$A$2:$A$51,0))="","",INDEX(campaigns!$BG$2:$BG$51,MATCH($B193,campaigns!$A$2:$A$51,0))),""))</f>
        <v/>
      </c>
      <c r="N193" s="30" t="str">
        <f aca="false">IF(OR($B193="",$E193="",$M193=""),"",IF($E193&lt;$M193,0,NETWORKDAYS($M193,$E193,calendar!$A$2:$A$80)))</f>
        <v/>
      </c>
      <c r="O193" s="30" t="str">
        <f aca="false">IF($B193="","",IF(AND($K193="Y",OR($D193="later",$J193="Y")),"Y","N"))</f>
        <v/>
      </c>
      <c r="P193" s="30" t="str">
        <f aca="false">IF(OR($B193="",$E193=""),"",$B193&amp;"_"&amp;$C193&amp;"_"&amp;$D193&amp;"_"&amp;TEXT($E193,"yyyy-mm-dd")&amp;".jpg")</f>
        <v/>
      </c>
      <c r="Q193" s="30" t="str">
        <f aca="false">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30" t="str">
        <f aca="false">IF($B193="","",$B193&amp;"|"&amp;$C193&amp;"|"&amp;$D193&amp;"|"&amp;$O193)</f>
        <v/>
      </c>
      <c r="S193" s="30" t="str">
        <f aca="false">IF($B193="","",$R193&amp;"|"&amp;N($E193))</f>
        <v/>
      </c>
    </row>
    <row r="194" customFormat="false" ht="15" hidden="false" customHeight="false" outlineLevel="0" collapsed="false">
      <c r="D194" s="10"/>
      <c r="E194" s="11"/>
      <c r="F194" s="38"/>
      <c r="G194" s="10"/>
      <c r="I194" s="11"/>
      <c r="J194" s="10"/>
      <c r="K194" s="10"/>
      <c r="M194" s="31" t="str">
        <f aca="false">IF($B194="","",IFERROR(IF(INDEX(campaigns!$BG$2:$BG$51,MATCH($B194,campaigns!$A$2:$A$51,0))="","",INDEX(campaigns!$BG$2:$BG$51,MATCH($B194,campaigns!$A$2:$A$51,0))),""))</f>
        <v/>
      </c>
      <c r="N194" s="30" t="str">
        <f aca="false">IF(OR($B194="",$E194="",$M194=""),"",IF($E194&lt;$M194,0,NETWORKDAYS($M194,$E194,calendar!$A$2:$A$80)))</f>
        <v/>
      </c>
      <c r="O194" s="30" t="str">
        <f aca="false">IF($B194="","",IF(AND($K194="Y",OR($D194="later",$J194="Y")),"Y","N"))</f>
        <v/>
      </c>
      <c r="P194" s="30" t="str">
        <f aca="false">IF(OR($B194="",$E194=""),"",$B194&amp;"_"&amp;$C194&amp;"_"&amp;$D194&amp;"_"&amp;TEXT($E194,"yyyy-mm-dd")&amp;".jpg")</f>
        <v/>
      </c>
      <c r="Q194" s="30" t="str">
        <f aca="false">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30" t="str">
        <f aca="false">IF($B194="","",$B194&amp;"|"&amp;$C194&amp;"|"&amp;$D194&amp;"|"&amp;$O194)</f>
        <v/>
      </c>
      <c r="S194" s="30" t="str">
        <f aca="false">IF($B194="","",$R194&amp;"|"&amp;N($E194))</f>
        <v/>
      </c>
    </row>
    <row r="195" customFormat="false" ht="15" hidden="false" customHeight="false" outlineLevel="0" collapsed="false">
      <c r="D195" s="10"/>
      <c r="E195" s="11"/>
      <c r="F195" s="38"/>
      <c r="G195" s="10"/>
      <c r="I195" s="11"/>
      <c r="J195" s="10"/>
      <c r="K195" s="10"/>
      <c r="M195" s="31" t="str">
        <f aca="false">IF($B195="","",IFERROR(IF(INDEX(campaigns!$BG$2:$BG$51,MATCH($B195,campaigns!$A$2:$A$51,0))="","",INDEX(campaigns!$BG$2:$BG$51,MATCH($B195,campaigns!$A$2:$A$51,0))),""))</f>
        <v/>
      </c>
      <c r="N195" s="30" t="str">
        <f aca="false">IF(OR($B195="",$E195="",$M195=""),"",IF($E195&lt;$M195,0,NETWORKDAYS($M195,$E195,calendar!$A$2:$A$80)))</f>
        <v/>
      </c>
      <c r="O195" s="30" t="str">
        <f aca="false">IF($B195="","",IF(AND($K195="Y",OR($D195="later",$J195="Y")),"Y","N"))</f>
        <v/>
      </c>
      <c r="P195" s="30" t="str">
        <f aca="false">IF(OR($B195="",$E195=""),"",$B195&amp;"_"&amp;$C195&amp;"_"&amp;$D195&amp;"_"&amp;TEXT($E195,"yyyy-mm-dd")&amp;".jpg")</f>
        <v/>
      </c>
      <c r="Q195" s="30" t="str">
        <f aca="false">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30" t="str">
        <f aca="false">IF($B195="","",$B195&amp;"|"&amp;$C195&amp;"|"&amp;$D195&amp;"|"&amp;$O195)</f>
        <v/>
      </c>
      <c r="S195" s="30" t="str">
        <f aca="false">IF($B195="","",$R195&amp;"|"&amp;N($E195))</f>
        <v/>
      </c>
    </row>
    <row r="196" customFormat="false" ht="15" hidden="false" customHeight="false" outlineLevel="0" collapsed="false">
      <c r="D196" s="10"/>
      <c r="E196" s="11"/>
      <c r="F196" s="38"/>
      <c r="G196" s="10"/>
      <c r="I196" s="11"/>
      <c r="J196" s="10"/>
      <c r="K196" s="10"/>
      <c r="M196" s="31" t="str">
        <f aca="false">IF($B196="","",IFERROR(IF(INDEX(campaigns!$BG$2:$BG$51,MATCH($B196,campaigns!$A$2:$A$51,0))="","",INDEX(campaigns!$BG$2:$BG$51,MATCH($B196,campaigns!$A$2:$A$51,0))),""))</f>
        <v/>
      </c>
      <c r="N196" s="30" t="str">
        <f aca="false">IF(OR($B196="",$E196="",$M196=""),"",IF($E196&lt;$M196,0,NETWORKDAYS($M196,$E196,calendar!$A$2:$A$80)))</f>
        <v/>
      </c>
      <c r="O196" s="30" t="str">
        <f aca="false">IF($B196="","",IF(AND($K196="Y",OR($D196="later",$J196="Y")),"Y","N"))</f>
        <v/>
      </c>
      <c r="P196" s="30" t="str">
        <f aca="false">IF(OR($B196="",$E196=""),"",$B196&amp;"_"&amp;$C196&amp;"_"&amp;$D196&amp;"_"&amp;TEXT($E196,"yyyy-mm-dd")&amp;".jpg")</f>
        <v/>
      </c>
      <c r="Q196" s="30" t="str">
        <f aca="false">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30" t="str">
        <f aca="false">IF($B196="","",$B196&amp;"|"&amp;$C196&amp;"|"&amp;$D196&amp;"|"&amp;$O196)</f>
        <v/>
      </c>
      <c r="S196" s="30" t="str">
        <f aca="false">IF($B196="","",$R196&amp;"|"&amp;N($E196))</f>
        <v/>
      </c>
    </row>
    <row r="197" customFormat="false" ht="15" hidden="false" customHeight="false" outlineLevel="0" collapsed="false">
      <c r="D197" s="10"/>
      <c r="E197" s="11"/>
      <c r="F197" s="38"/>
      <c r="G197" s="10"/>
      <c r="I197" s="11"/>
      <c r="J197" s="10"/>
      <c r="K197" s="10"/>
      <c r="M197" s="31" t="str">
        <f aca="false">IF($B197="","",IFERROR(IF(INDEX(campaigns!$BG$2:$BG$51,MATCH($B197,campaigns!$A$2:$A$51,0))="","",INDEX(campaigns!$BG$2:$BG$51,MATCH($B197,campaigns!$A$2:$A$51,0))),""))</f>
        <v/>
      </c>
      <c r="N197" s="30" t="str">
        <f aca="false">IF(OR($B197="",$E197="",$M197=""),"",IF($E197&lt;$M197,0,NETWORKDAYS($M197,$E197,calendar!$A$2:$A$80)))</f>
        <v/>
      </c>
      <c r="O197" s="30" t="str">
        <f aca="false">IF($B197="","",IF(AND($K197="Y",OR($D197="later",$J197="Y")),"Y","N"))</f>
        <v/>
      </c>
      <c r="P197" s="30" t="str">
        <f aca="false">IF(OR($B197="",$E197=""),"",$B197&amp;"_"&amp;$C197&amp;"_"&amp;$D197&amp;"_"&amp;TEXT($E197,"yyyy-mm-dd")&amp;".jpg")</f>
        <v/>
      </c>
      <c r="Q197" s="30" t="str">
        <f aca="false">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30" t="str">
        <f aca="false">IF($B197="","",$B197&amp;"|"&amp;$C197&amp;"|"&amp;$D197&amp;"|"&amp;$O197)</f>
        <v/>
      </c>
      <c r="S197" s="30" t="str">
        <f aca="false">IF($B197="","",$R197&amp;"|"&amp;N($E197))</f>
        <v/>
      </c>
    </row>
    <row r="198" customFormat="false" ht="15" hidden="false" customHeight="false" outlineLevel="0" collapsed="false">
      <c r="D198" s="10"/>
      <c r="E198" s="11"/>
      <c r="F198" s="38"/>
      <c r="G198" s="10"/>
      <c r="I198" s="11"/>
      <c r="J198" s="10"/>
      <c r="K198" s="10"/>
      <c r="M198" s="31" t="str">
        <f aca="false">IF($B198="","",IFERROR(IF(INDEX(campaigns!$BG$2:$BG$51,MATCH($B198,campaigns!$A$2:$A$51,0))="","",INDEX(campaigns!$BG$2:$BG$51,MATCH($B198,campaigns!$A$2:$A$51,0))),""))</f>
        <v/>
      </c>
      <c r="N198" s="30" t="str">
        <f aca="false">IF(OR($B198="",$E198="",$M198=""),"",IF($E198&lt;$M198,0,NETWORKDAYS($M198,$E198,calendar!$A$2:$A$80)))</f>
        <v/>
      </c>
      <c r="O198" s="30" t="str">
        <f aca="false">IF($B198="","",IF(AND($K198="Y",OR($D198="later",$J198="Y")),"Y","N"))</f>
        <v/>
      </c>
      <c r="P198" s="30" t="str">
        <f aca="false">IF(OR($B198="",$E198=""),"",$B198&amp;"_"&amp;$C198&amp;"_"&amp;$D198&amp;"_"&amp;TEXT($E198,"yyyy-mm-dd")&amp;".jpg")</f>
        <v/>
      </c>
      <c r="Q198" s="30" t="str">
        <f aca="false">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30" t="str">
        <f aca="false">IF($B198="","",$B198&amp;"|"&amp;$C198&amp;"|"&amp;$D198&amp;"|"&amp;$O198)</f>
        <v/>
      </c>
      <c r="S198" s="30" t="str">
        <f aca="false">IF($B198="","",$R198&amp;"|"&amp;N($E198))</f>
        <v/>
      </c>
    </row>
    <row r="199" customFormat="false" ht="15" hidden="false" customHeight="false" outlineLevel="0" collapsed="false">
      <c r="D199" s="10"/>
      <c r="E199" s="11"/>
      <c r="F199" s="38"/>
      <c r="G199" s="10"/>
      <c r="I199" s="11"/>
      <c r="J199" s="10"/>
      <c r="K199" s="10"/>
      <c r="M199" s="31" t="str">
        <f aca="false">IF($B199="","",IFERROR(IF(INDEX(campaigns!$BG$2:$BG$51,MATCH($B199,campaigns!$A$2:$A$51,0))="","",INDEX(campaigns!$BG$2:$BG$51,MATCH($B199,campaigns!$A$2:$A$51,0))),""))</f>
        <v/>
      </c>
      <c r="N199" s="30" t="str">
        <f aca="false">IF(OR($B199="",$E199="",$M199=""),"",IF($E199&lt;$M199,0,NETWORKDAYS($M199,$E199,calendar!$A$2:$A$80)))</f>
        <v/>
      </c>
      <c r="O199" s="30" t="str">
        <f aca="false">IF($B199="","",IF(AND($K199="Y",OR($D199="later",$J199="Y")),"Y","N"))</f>
        <v/>
      </c>
      <c r="P199" s="30" t="str">
        <f aca="false">IF(OR($B199="",$E199=""),"",$B199&amp;"_"&amp;$C199&amp;"_"&amp;$D199&amp;"_"&amp;TEXT($E199,"yyyy-mm-dd")&amp;".jpg")</f>
        <v/>
      </c>
      <c r="Q199" s="30" t="str">
        <f aca="false">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30" t="str">
        <f aca="false">IF($B199="","",$B199&amp;"|"&amp;$C199&amp;"|"&amp;$D199&amp;"|"&amp;$O199)</f>
        <v/>
      </c>
      <c r="S199" s="30" t="str">
        <f aca="false">IF($B199="","",$R199&amp;"|"&amp;N($E199))</f>
        <v/>
      </c>
    </row>
    <row r="200" customFormat="false" ht="15" hidden="false" customHeight="false" outlineLevel="0" collapsed="false">
      <c r="D200" s="10"/>
      <c r="E200" s="11"/>
      <c r="F200" s="38"/>
      <c r="G200" s="10"/>
      <c r="I200" s="11"/>
      <c r="J200" s="10"/>
      <c r="K200" s="10"/>
      <c r="M200" s="31" t="str">
        <f aca="false">IF($B200="","",IFERROR(IF(INDEX(campaigns!$BG$2:$BG$51,MATCH($B200,campaigns!$A$2:$A$51,0))="","",INDEX(campaigns!$BG$2:$BG$51,MATCH($B200,campaigns!$A$2:$A$51,0))),""))</f>
        <v/>
      </c>
      <c r="N200" s="30" t="str">
        <f aca="false">IF(OR($B200="",$E200="",$M200=""),"",IF($E200&lt;$M200,0,NETWORKDAYS($M200,$E200,calendar!$A$2:$A$80)))</f>
        <v/>
      </c>
      <c r="O200" s="30" t="str">
        <f aca="false">IF($B200="","",IF(AND($K200="Y",OR($D200="later",$J200="Y")),"Y","N"))</f>
        <v/>
      </c>
      <c r="P200" s="30" t="str">
        <f aca="false">IF(OR($B200="",$E200=""),"",$B200&amp;"_"&amp;$C200&amp;"_"&amp;$D200&amp;"_"&amp;TEXT($E200,"yyyy-mm-dd")&amp;".jpg")</f>
        <v/>
      </c>
      <c r="Q200" s="30" t="str">
        <f aca="false">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30" t="str">
        <f aca="false">IF($B200="","",$B200&amp;"|"&amp;$C200&amp;"|"&amp;$D200&amp;"|"&amp;$O200)</f>
        <v/>
      </c>
      <c r="S200" s="30" t="str">
        <f aca="false">IF($B200="","",$R200&amp;"|"&amp;N($E200))</f>
        <v/>
      </c>
    </row>
    <row r="201" customFormat="false" ht="15" hidden="false" customHeight="false" outlineLevel="0" collapsed="false">
      <c r="D201" s="10"/>
      <c r="E201" s="11"/>
      <c r="F201" s="38"/>
      <c r="G201" s="10"/>
      <c r="I201" s="11"/>
      <c r="J201" s="10"/>
      <c r="K201" s="10"/>
      <c r="M201" s="31" t="str">
        <f aca="false">IF($B201="","",IFERROR(IF(INDEX(campaigns!$BG$2:$BG$51,MATCH($B201,campaigns!$A$2:$A$51,0))="","",INDEX(campaigns!$BG$2:$BG$51,MATCH($B201,campaigns!$A$2:$A$51,0))),""))</f>
        <v/>
      </c>
      <c r="N201" s="30" t="str">
        <f aca="false">IF(OR($B201="",$E201="",$M201=""),"",IF($E201&lt;$M201,0,NETWORKDAYS($M201,$E201,calendar!$A$2:$A$80)))</f>
        <v/>
      </c>
      <c r="O201" s="30" t="str">
        <f aca="false">IF($B201="","",IF(AND($K201="Y",OR($D201="later",$J201="Y")),"Y","N"))</f>
        <v/>
      </c>
      <c r="P201" s="30" t="str">
        <f aca="false">IF(OR($B201="",$E201=""),"",$B201&amp;"_"&amp;$C201&amp;"_"&amp;$D201&amp;"_"&amp;TEXT($E201,"yyyy-mm-dd")&amp;".jpg")</f>
        <v/>
      </c>
      <c r="Q201" s="30" t="str">
        <f aca="false">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30" t="str">
        <f aca="false">IF($B201="","",$B201&amp;"|"&amp;$C201&amp;"|"&amp;$D201&amp;"|"&amp;$O201)</f>
        <v/>
      </c>
      <c r="S201" s="30" t="str">
        <f aca="false">IF($B201="","",$R201&amp;"|"&amp;N($E201))</f>
        <v/>
      </c>
    </row>
    <row r="202" customFormat="false" ht="15" hidden="false" customHeight="false" outlineLevel="0" collapsed="false">
      <c r="D202" s="10"/>
      <c r="E202" s="11"/>
      <c r="F202" s="38"/>
      <c r="G202" s="10"/>
      <c r="I202" s="11"/>
      <c r="J202" s="10"/>
      <c r="K202" s="10"/>
      <c r="M202" s="31" t="str">
        <f aca="false">IF($B202="","",IFERROR(IF(INDEX(campaigns!$BG$2:$BG$51,MATCH($B202,campaigns!$A$2:$A$51,0))="","",INDEX(campaigns!$BG$2:$BG$51,MATCH($B202,campaigns!$A$2:$A$51,0))),""))</f>
        <v/>
      </c>
      <c r="N202" s="30" t="str">
        <f aca="false">IF(OR($B202="",$E202="",$M202=""),"",IF($E202&lt;$M202,0,NETWORKDAYS($M202,$E202,calendar!$A$2:$A$80)))</f>
        <v/>
      </c>
      <c r="O202" s="30" t="str">
        <f aca="false">IF($B202="","",IF(AND($K202="Y",OR($D202="later",$J202="Y")),"Y","N"))</f>
        <v/>
      </c>
      <c r="P202" s="30" t="str">
        <f aca="false">IF(OR($B202="",$E202=""),"",$B202&amp;"_"&amp;$C202&amp;"_"&amp;$D202&amp;"_"&amp;TEXT($E202,"yyyy-mm-dd")&amp;".jpg")</f>
        <v/>
      </c>
      <c r="Q202" s="30" t="str">
        <f aca="false">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30" t="str">
        <f aca="false">IF($B202="","",$B202&amp;"|"&amp;$C202&amp;"|"&amp;$D202&amp;"|"&amp;$O202)</f>
        <v/>
      </c>
      <c r="S202" s="30" t="str">
        <f aca="false">IF($B202="","",$R202&amp;"|"&amp;N($E202))</f>
        <v/>
      </c>
    </row>
    <row r="203" customFormat="false" ht="15" hidden="false" customHeight="false" outlineLevel="0" collapsed="false">
      <c r="D203" s="10"/>
      <c r="E203" s="11"/>
      <c r="F203" s="38"/>
      <c r="G203" s="10"/>
      <c r="I203" s="11"/>
      <c r="J203" s="10"/>
      <c r="K203" s="10"/>
      <c r="M203" s="31" t="str">
        <f aca="false">IF($B203="","",IFERROR(IF(INDEX(campaigns!$BG$2:$BG$51,MATCH($B203,campaigns!$A$2:$A$51,0))="","",INDEX(campaigns!$BG$2:$BG$51,MATCH($B203,campaigns!$A$2:$A$51,0))),""))</f>
        <v/>
      </c>
      <c r="N203" s="30" t="str">
        <f aca="false">IF(OR($B203="",$E203="",$M203=""),"",IF($E203&lt;$M203,0,NETWORKDAYS($M203,$E203,calendar!$A$2:$A$80)))</f>
        <v/>
      </c>
      <c r="O203" s="30" t="str">
        <f aca="false">IF($B203="","",IF(AND($K203="Y",OR($D203="later",$J203="Y")),"Y","N"))</f>
        <v/>
      </c>
      <c r="P203" s="30" t="str">
        <f aca="false">IF(OR($B203="",$E203=""),"",$B203&amp;"_"&amp;$C203&amp;"_"&amp;$D203&amp;"_"&amp;TEXT($E203,"yyyy-mm-dd")&amp;".jpg")</f>
        <v/>
      </c>
      <c r="Q203" s="30" t="str">
        <f aca="false">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30" t="str">
        <f aca="false">IF($B203="","",$B203&amp;"|"&amp;$C203&amp;"|"&amp;$D203&amp;"|"&amp;$O203)</f>
        <v/>
      </c>
      <c r="S203" s="30" t="str">
        <f aca="false">IF($B203="","",$R203&amp;"|"&amp;N($E203))</f>
        <v/>
      </c>
    </row>
    <row r="204" customFormat="false" ht="15" hidden="false" customHeight="false" outlineLevel="0" collapsed="false">
      <c r="D204" s="10"/>
      <c r="E204" s="11"/>
      <c r="F204" s="38"/>
      <c r="G204" s="10"/>
      <c r="I204" s="11"/>
      <c r="J204" s="10"/>
      <c r="K204" s="10"/>
      <c r="M204" s="31" t="str">
        <f aca="false">IF($B204="","",IFERROR(IF(INDEX(campaigns!$BG$2:$BG$51,MATCH($B204,campaigns!$A$2:$A$51,0))="","",INDEX(campaigns!$BG$2:$BG$51,MATCH($B204,campaigns!$A$2:$A$51,0))),""))</f>
        <v/>
      </c>
      <c r="N204" s="30" t="str">
        <f aca="false">IF(OR($B204="",$E204="",$M204=""),"",IF($E204&lt;$M204,0,NETWORKDAYS($M204,$E204,calendar!$A$2:$A$80)))</f>
        <v/>
      </c>
      <c r="O204" s="30" t="str">
        <f aca="false">IF($B204="","",IF(AND($K204="Y",OR($D204="later",$J204="Y")),"Y","N"))</f>
        <v/>
      </c>
      <c r="P204" s="30" t="str">
        <f aca="false">IF(OR($B204="",$E204=""),"",$B204&amp;"_"&amp;$C204&amp;"_"&amp;$D204&amp;"_"&amp;TEXT($E204,"yyyy-mm-dd")&amp;".jpg")</f>
        <v/>
      </c>
      <c r="Q204" s="30" t="str">
        <f aca="false">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30" t="str">
        <f aca="false">IF($B204="","",$B204&amp;"|"&amp;$C204&amp;"|"&amp;$D204&amp;"|"&amp;$O204)</f>
        <v/>
      </c>
      <c r="S204" s="30" t="str">
        <f aca="false">IF($B204="","",$R204&amp;"|"&amp;N($E204))</f>
        <v/>
      </c>
    </row>
    <row r="205" customFormat="false" ht="15" hidden="false" customHeight="false" outlineLevel="0" collapsed="false">
      <c r="D205" s="10"/>
      <c r="E205" s="11"/>
      <c r="F205" s="38"/>
      <c r="G205" s="10"/>
      <c r="I205" s="11"/>
      <c r="J205" s="10"/>
      <c r="K205" s="10"/>
      <c r="M205" s="31" t="str">
        <f aca="false">IF($B205="","",IFERROR(IF(INDEX(campaigns!$BG$2:$BG$51,MATCH($B205,campaigns!$A$2:$A$51,0))="","",INDEX(campaigns!$BG$2:$BG$51,MATCH($B205,campaigns!$A$2:$A$51,0))),""))</f>
        <v/>
      </c>
      <c r="N205" s="30" t="str">
        <f aca="false">IF(OR($B205="",$E205="",$M205=""),"",IF($E205&lt;$M205,0,NETWORKDAYS($M205,$E205,calendar!$A$2:$A$80)))</f>
        <v/>
      </c>
      <c r="O205" s="30" t="str">
        <f aca="false">IF($B205="","",IF(AND($K205="Y",OR($D205="later",$J205="Y")),"Y","N"))</f>
        <v/>
      </c>
      <c r="P205" s="30" t="str">
        <f aca="false">IF(OR($B205="",$E205=""),"",$B205&amp;"_"&amp;$C205&amp;"_"&amp;$D205&amp;"_"&amp;TEXT($E205,"yyyy-mm-dd")&amp;".jpg")</f>
        <v/>
      </c>
      <c r="Q205" s="30" t="str">
        <f aca="false">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30" t="str">
        <f aca="false">IF($B205="","",$B205&amp;"|"&amp;$C205&amp;"|"&amp;$D205&amp;"|"&amp;$O205)</f>
        <v/>
      </c>
      <c r="S205" s="30" t="str">
        <f aca="false">IF($B205="","",$R205&amp;"|"&amp;N($E205))</f>
        <v/>
      </c>
    </row>
    <row r="206" customFormat="false" ht="15" hidden="false" customHeight="false" outlineLevel="0" collapsed="false">
      <c r="D206" s="10"/>
      <c r="E206" s="11"/>
      <c r="F206" s="38"/>
      <c r="G206" s="10"/>
      <c r="I206" s="11"/>
      <c r="J206" s="10"/>
      <c r="K206" s="10"/>
      <c r="M206" s="31" t="str">
        <f aca="false">IF($B206="","",IFERROR(IF(INDEX(campaigns!$BG$2:$BG$51,MATCH($B206,campaigns!$A$2:$A$51,0))="","",INDEX(campaigns!$BG$2:$BG$51,MATCH($B206,campaigns!$A$2:$A$51,0))),""))</f>
        <v/>
      </c>
      <c r="N206" s="30" t="str">
        <f aca="false">IF(OR($B206="",$E206="",$M206=""),"",IF($E206&lt;$M206,0,NETWORKDAYS($M206,$E206,calendar!$A$2:$A$80)))</f>
        <v/>
      </c>
      <c r="O206" s="30" t="str">
        <f aca="false">IF($B206="","",IF(AND($K206="Y",OR($D206="later",$J206="Y")),"Y","N"))</f>
        <v/>
      </c>
      <c r="P206" s="30" t="str">
        <f aca="false">IF(OR($B206="",$E206=""),"",$B206&amp;"_"&amp;$C206&amp;"_"&amp;$D206&amp;"_"&amp;TEXT($E206,"yyyy-mm-dd")&amp;".jpg")</f>
        <v/>
      </c>
      <c r="Q206" s="30" t="str">
        <f aca="false">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30" t="str">
        <f aca="false">IF($B206="","",$B206&amp;"|"&amp;$C206&amp;"|"&amp;$D206&amp;"|"&amp;$O206)</f>
        <v/>
      </c>
      <c r="S206" s="30" t="str">
        <f aca="false">IF($B206="","",$R206&amp;"|"&amp;N($E206))</f>
        <v/>
      </c>
    </row>
    <row r="207" customFormat="false" ht="15" hidden="false" customHeight="false" outlineLevel="0" collapsed="false">
      <c r="D207" s="10"/>
      <c r="E207" s="11"/>
      <c r="F207" s="38"/>
      <c r="G207" s="10"/>
      <c r="I207" s="11"/>
      <c r="J207" s="10"/>
      <c r="K207" s="10"/>
      <c r="M207" s="31" t="str">
        <f aca="false">IF($B207="","",IFERROR(IF(INDEX(campaigns!$BG$2:$BG$51,MATCH($B207,campaigns!$A$2:$A$51,0))="","",INDEX(campaigns!$BG$2:$BG$51,MATCH($B207,campaigns!$A$2:$A$51,0))),""))</f>
        <v/>
      </c>
      <c r="N207" s="30" t="str">
        <f aca="false">IF(OR($B207="",$E207="",$M207=""),"",IF($E207&lt;$M207,0,NETWORKDAYS($M207,$E207,calendar!$A$2:$A$80)))</f>
        <v/>
      </c>
      <c r="O207" s="30" t="str">
        <f aca="false">IF($B207="","",IF(AND($K207="Y",OR($D207="later",$J207="Y")),"Y","N"))</f>
        <v/>
      </c>
      <c r="P207" s="30" t="str">
        <f aca="false">IF(OR($B207="",$E207=""),"",$B207&amp;"_"&amp;$C207&amp;"_"&amp;$D207&amp;"_"&amp;TEXT($E207,"yyyy-mm-dd")&amp;".jpg")</f>
        <v/>
      </c>
      <c r="Q207" s="30" t="str">
        <f aca="false">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30" t="str">
        <f aca="false">IF($B207="","",$B207&amp;"|"&amp;$C207&amp;"|"&amp;$D207&amp;"|"&amp;$O207)</f>
        <v/>
      </c>
      <c r="S207" s="30" t="str">
        <f aca="false">IF($B207="","",$R207&amp;"|"&amp;N($E207))</f>
        <v/>
      </c>
    </row>
    <row r="208" customFormat="false" ht="15" hidden="false" customHeight="false" outlineLevel="0" collapsed="false">
      <c r="D208" s="10"/>
      <c r="E208" s="11"/>
      <c r="F208" s="38"/>
      <c r="G208" s="10"/>
      <c r="I208" s="11"/>
      <c r="J208" s="10"/>
      <c r="K208" s="10"/>
      <c r="M208" s="31" t="str">
        <f aca="false">IF($B208="","",IFERROR(IF(INDEX(campaigns!$BG$2:$BG$51,MATCH($B208,campaigns!$A$2:$A$51,0))="","",INDEX(campaigns!$BG$2:$BG$51,MATCH($B208,campaigns!$A$2:$A$51,0))),""))</f>
        <v/>
      </c>
      <c r="N208" s="30" t="str">
        <f aca="false">IF(OR($B208="",$E208="",$M208=""),"",IF($E208&lt;$M208,0,NETWORKDAYS($M208,$E208,calendar!$A$2:$A$80)))</f>
        <v/>
      </c>
      <c r="O208" s="30" t="str">
        <f aca="false">IF($B208="","",IF(AND($K208="Y",OR($D208="later",$J208="Y")),"Y","N"))</f>
        <v/>
      </c>
      <c r="P208" s="30" t="str">
        <f aca="false">IF(OR($B208="",$E208=""),"",$B208&amp;"_"&amp;$C208&amp;"_"&amp;$D208&amp;"_"&amp;TEXT($E208,"yyyy-mm-dd")&amp;".jpg")</f>
        <v/>
      </c>
      <c r="Q208" s="30" t="str">
        <f aca="false">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30" t="str">
        <f aca="false">IF($B208="","",$B208&amp;"|"&amp;$C208&amp;"|"&amp;$D208&amp;"|"&amp;$O208)</f>
        <v/>
      </c>
      <c r="S208" s="30" t="str">
        <f aca="false">IF($B208="","",$R208&amp;"|"&amp;N($E208))</f>
        <v/>
      </c>
    </row>
    <row r="209" customFormat="false" ht="15" hidden="false" customHeight="false" outlineLevel="0" collapsed="false">
      <c r="D209" s="10"/>
      <c r="E209" s="11"/>
      <c r="F209" s="38"/>
      <c r="G209" s="10"/>
      <c r="I209" s="11"/>
      <c r="J209" s="10"/>
      <c r="K209" s="10"/>
      <c r="M209" s="31" t="str">
        <f aca="false">IF($B209="","",IFERROR(IF(INDEX(campaigns!$BG$2:$BG$51,MATCH($B209,campaigns!$A$2:$A$51,0))="","",INDEX(campaigns!$BG$2:$BG$51,MATCH($B209,campaigns!$A$2:$A$51,0))),""))</f>
        <v/>
      </c>
      <c r="N209" s="30" t="str">
        <f aca="false">IF(OR($B209="",$E209="",$M209=""),"",IF($E209&lt;$M209,0,NETWORKDAYS($M209,$E209,calendar!$A$2:$A$80)))</f>
        <v/>
      </c>
      <c r="O209" s="30" t="str">
        <f aca="false">IF($B209="","",IF(AND($K209="Y",OR($D209="later",$J209="Y")),"Y","N"))</f>
        <v/>
      </c>
      <c r="P209" s="30" t="str">
        <f aca="false">IF(OR($B209="",$E209=""),"",$B209&amp;"_"&amp;$C209&amp;"_"&amp;$D209&amp;"_"&amp;TEXT($E209,"yyyy-mm-dd")&amp;".jpg")</f>
        <v/>
      </c>
      <c r="Q209" s="30" t="str">
        <f aca="false">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30" t="str">
        <f aca="false">IF($B209="","",$B209&amp;"|"&amp;$C209&amp;"|"&amp;$D209&amp;"|"&amp;$O209)</f>
        <v/>
      </c>
      <c r="S209" s="30" t="str">
        <f aca="false">IF($B209="","",$R209&amp;"|"&amp;N($E209))</f>
        <v/>
      </c>
    </row>
    <row r="210" customFormat="false" ht="15" hidden="false" customHeight="false" outlineLevel="0" collapsed="false">
      <c r="D210" s="10"/>
      <c r="E210" s="11"/>
      <c r="F210" s="38"/>
      <c r="G210" s="10"/>
      <c r="I210" s="11"/>
      <c r="J210" s="10"/>
      <c r="K210" s="10"/>
      <c r="M210" s="31" t="str">
        <f aca="false">IF($B210="","",IFERROR(IF(INDEX(campaigns!$BG$2:$BG$51,MATCH($B210,campaigns!$A$2:$A$51,0))="","",INDEX(campaigns!$BG$2:$BG$51,MATCH($B210,campaigns!$A$2:$A$51,0))),""))</f>
        <v/>
      </c>
      <c r="N210" s="30" t="str">
        <f aca="false">IF(OR($B210="",$E210="",$M210=""),"",IF($E210&lt;$M210,0,NETWORKDAYS($M210,$E210,calendar!$A$2:$A$80)))</f>
        <v/>
      </c>
      <c r="O210" s="30" t="str">
        <f aca="false">IF($B210="","",IF(AND($K210="Y",OR($D210="later",$J210="Y")),"Y","N"))</f>
        <v/>
      </c>
      <c r="P210" s="30" t="str">
        <f aca="false">IF(OR($B210="",$E210=""),"",$B210&amp;"_"&amp;$C210&amp;"_"&amp;$D210&amp;"_"&amp;TEXT($E210,"yyyy-mm-dd")&amp;".jpg")</f>
        <v/>
      </c>
      <c r="Q210" s="30" t="str">
        <f aca="false">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30" t="str">
        <f aca="false">IF($B210="","",$B210&amp;"|"&amp;$C210&amp;"|"&amp;$D210&amp;"|"&amp;$O210)</f>
        <v/>
      </c>
      <c r="S210" s="30" t="str">
        <f aca="false">IF($B210="","",$R210&amp;"|"&amp;N($E210))</f>
        <v/>
      </c>
    </row>
    <row r="211" customFormat="false" ht="15" hidden="false" customHeight="false" outlineLevel="0" collapsed="false">
      <c r="D211" s="10"/>
      <c r="E211" s="11"/>
      <c r="F211" s="38"/>
      <c r="G211" s="10"/>
      <c r="I211" s="11"/>
      <c r="J211" s="10"/>
      <c r="K211" s="10"/>
      <c r="M211" s="31" t="str">
        <f aca="false">IF($B211="","",IFERROR(IF(INDEX(campaigns!$BG$2:$BG$51,MATCH($B211,campaigns!$A$2:$A$51,0))="","",INDEX(campaigns!$BG$2:$BG$51,MATCH($B211,campaigns!$A$2:$A$51,0))),""))</f>
        <v/>
      </c>
      <c r="N211" s="30" t="str">
        <f aca="false">IF(OR($B211="",$E211="",$M211=""),"",IF($E211&lt;$M211,0,NETWORKDAYS($M211,$E211,calendar!$A$2:$A$80)))</f>
        <v/>
      </c>
      <c r="O211" s="30" t="str">
        <f aca="false">IF($B211="","",IF(AND($K211="Y",OR($D211="later",$J211="Y")),"Y","N"))</f>
        <v/>
      </c>
      <c r="P211" s="30" t="str">
        <f aca="false">IF(OR($B211="",$E211=""),"",$B211&amp;"_"&amp;$C211&amp;"_"&amp;$D211&amp;"_"&amp;TEXT($E211,"yyyy-mm-dd")&amp;".jpg")</f>
        <v/>
      </c>
      <c r="Q211" s="30" t="str">
        <f aca="false">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30" t="str">
        <f aca="false">IF($B211="","",$B211&amp;"|"&amp;$C211&amp;"|"&amp;$D211&amp;"|"&amp;$O211)</f>
        <v/>
      </c>
      <c r="S211" s="30" t="str">
        <f aca="false">IF($B211="","",$R211&amp;"|"&amp;N($E211))</f>
        <v/>
      </c>
    </row>
    <row r="212" customFormat="false" ht="15" hidden="false" customHeight="false" outlineLevel="0" collapsed="false">
      <c r="D212" s="10"/>
      <c r="E212" s="11"/>
      <c r="F212" s="38"/>
      <c r="G212" s="10"/>
      <c r="I212" s="11"/>
      <c r="J212" s="10"/>
      <c r="K212" s="10"/>
      <c r="M212" s="31" t="str">
        <f aca="false">IF($B212="","",IFERROR(IF(INDEX(campaigns!$BG$2:$BG$51,MATCH($B212,campaigns!$A$2:$A$51,0))="","",INDEX(campaigns!$BG$2:$BG$51,MATCH($B212,campaigns!$A$2:$A$51,0))),""))</f>
        <v/>
      </c>
      <c r="N212" s="30" t="str">
        <f aca="false">IF(OR($B212="",$E212="",$M212=""),"",IF($E212&lt;$M212,0,NETWORKDAYS($M212,$E212,calendar!$A$2:$A$80)))</f>
        <v/>
      </c>
      <c r="O212" s="30" t="str">
        <f aca="false">IF($B212="","",IF(AND($K212="Y",OR($D212="later",$J212="Y")),"Y","N"))</f>
        <v/>
      </c>
      <c r="P212" s="30" t="str">
        <f aca="false">IF(OR($B212="",$E212=""),"",$B212&amp;"_"&amp;$C212&amp;"_"&amp;$D212&amp;"_"&amp;TEXT($E212,"yyyy-mm-dd")&amp;".jpg")</f>
        <v/>
      </c>
      <c r="Q212" s="30" t="str">
        <f aca="false">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30" t="str">
        <f aca="false">IF($B212="","",$B212&amp;"|"&amp;$C212&amp;"|"&amp;$D212&amp;"|"&amp;$O212)</f>
        <v/>
      </c>
      <c r="S212" s="30" t="str">
        <f aca="false">IF($B212="","",$R212&amp;"|"&amp;N($E212))</f>
        <v/>
      </c>
    </row>
    <row r="213" customFormat="false" ht="15" hidden="false" customHeight="false" outlineLevel="0" collapsed="false">
      <c r="D213" s="10"/>
      <c r="E213" s="11"/>
      <c r="F213" s="38"/>
      <c r="G213" s="10"/>
      <c r="I213" s="11"/>
      <c r="J213" s="10"/>
      <c r="K213" s="10"/>
      <c r="M213" s="31" t="str">
        <f aca="false">IF($B213="","",IFERROR(IF(INDEX(campaigns!$BG$2:$BG$51,MATCH($B213,campaigns!$A$2:$A$51,0))="","",INDEX(campaigns!$BG$2:$BG$51,MATCH($B213,campaigns!$A$2:$A$51,0))),""))</f>
        <v/>
      </c>
      <c r="N213" s="30" t="str">
        <f aca="false">IF(OR($B213="",$E213="",$M213=""),"",IF($E213&lt;$M213,0,NETWORKDAYS($M213,$E213,calendar!$A$2:$A$80)))</f>
        <v/>
      </c>
      <c r="O213" s="30" t="str">
        <f aca="false">IF($B213="","",IF(AND($K213="Y",OR($D213="later",$J213="Y")),"Y","N"))</f>
        <v/>
      </c>
      <c r="P213" s="30" t="str">
        <f aca="false">IF(OR($B213="",$E213=""),"",$B213&amp;"_"&amp;$C213&amp;"_"&amp;$D213&amp;"_"&amp;TEXT($E213,"yyyy-mm-dd")&amp;".jpg")</f>
        <v/>
      </c>
      <c r="Q213" s="30" t="str">
        <f aca="false">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30" t="str">
        <f aca="false">IF($B213="","",$B213&amp;"|"&amp;$C213&amp;"|"&amp;$D213&amp;"|"&amp;$O213)</f>
        <v/>
      </c>
      <c r="S213" s="30" t="str">
        <f aca="false">IF($B213="","",$R213&amp;"|"&amp;N($E213))</f>
        <v/>
      </c>
    </row>
    <row r="214" customFormat="false" ht="15" hidden="false" customHeight="false" outlineLevel="0" collapsed="false">
      <c r="D214" s="10"/>
      <c r="E214" s="11"/>
      <c r="F214" s="38"/>
      <c r="G214" s="10"/>
      <c r="I214" s="11"/>
      <c r="J214" s="10"/>
      <c r="K214" s="10"/>
      <c r="M214" s="31" t="str">
        <f aca="false">IF($B214="","",IFERROR(IF(INDEX(campaigns!$BG$2:$BG$51,MATCH($B214,campaigns!$A$2:$A$51,0))="","",INDEX(campaigns!$BG$2:$BG$51,MATCH($B214,campaigns!$A$2:$A$51,0))),""))</f>
        <v/>
      </c>
      <c r="N214" s="30" t="str">
        <f aca="false">IF(OR($B214="",$E214="",$M214=""),"",IF($E214&lt;$M214,0,NETWORKDAYS($M214,$E214,calendar!$A$2:$A$80)))</f>
        <v/>
      </c>
      <c r="O214" s="30" t="str">
        <f aca="false">IF($B214="","",IF(AND($K214="Y",OR($D214="later",$J214="Y")),"Y","N"))</f>
        <v/>
      </c>
      <c r="P214" s="30" t="str">
        <f aca="false">IF(OR($B214="",$E214=""),"",$B214&amp;"_"&amp;$C214&amp;"_"&amp;$D214&amp;"_"&amp;TEXT($E214,"yyyy-mm-dd")&amp;".jpg")</f>
        <v/>
      </c>
      <c r="Q214" s="30" t="str">
        <f aca="false">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30" t="str">
        <f aca="false">IF($B214="","",$B214&amp;"|"&amp;$C214&amp;"|"&amp;$D214&amp;"|"&amp;$O214)</f>
        <v/>
      </c>
      <c r="S214" s="30" t="str">
        <f aca="false">IF($B214="","",$R214&amp;"|"&amp;N($E214))</f>
        <v/>
      </c>
    </row>
    <row r="215" customFormat="false" ht="15" hidden="false" customHeight="false" outlineLevel="0" collapsed="false">
      <c r="D215" s="10"/>
      <c r="E215" s="11"/>
      <c r="F215" s="38"/>
      <c r="G215" s="10"/>
      <c r="I215" s="11"/>
      <c r="J215" s="10"/>
      <c r="K215" s="10"/>
      <c r="M215" s="31" t="str">
        <f aca="false">IF($B215="","",IFERROR(IF(INDEX(campaigns!$BG$2:$BG$51,MATCH($B215,campaigns!$A$2:$A$51,0))="","",INDEX(campaigns!$BG$2:$BG$51,MATCH($B215,campaigns!$A$2:$A$51,0))),""))</f>
        <v/>
      </c>
      <c r="N215" s="30" t="str">
        <f aca="false">IF(OR($B215="",$E215="",$M215=""),"",IF($E215&lt;$M215,0,NETWORKDAYS($M215,$E215,calendar!$A$2:$A$80)))</f>
        <v/>
      </c>
      <c r="O215" s="30" t="str">
        <f aca="false">IF($B215="","",IF(AND($K215="Y",OR($D215="later",$J215="Y")),"Y","N"))</f>
        <v/>
      </c>
      <c r="P215" s="30" t="str">
        <f aca="false">IF(OR($B215="",$E215=""),"",$B215&amp;"_"&amp;$C215&amp;"_"&amp;$D215&amp;"_"&amp;TEXT($E215,"yyyy-mm-dd")&amp;".jpg")</f>
        <v/>
      </c>
      <c r="Q215" s="30" t="str">
        <f aca="false">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30" t="str">
        <f aca="false">IF($B215="","",$B215&amp;"|"&amp;$C215&amp;"|"&amp;$D215&amp;"|"&amp;$O215)</f>
        <v/>
      </c>
      <c r="S215" s="30" t="str">
        <f aca="false">IF($B215="","",$R215&amp;"|"&amp;N($E215))</f>
        <v/>
      </c>
    </row>
    <row r="216" customFormat="false" ht="15" hidden="false" customHeight="false" outlineLevel="0" collapsed="false">
      <c r="D216" s="10"/>
      <c r="E216" s="11"/>
      <c r="F216" s="38"/>
      <c r="G216" s="10"/>
      <c r="I216" s="11"/>
      <c r="J216" s="10"/>
      <c r="K216" s="10"/>
      <c r="M216" s="31" t="str">
        <f aca="false">IF($B216="","",IFERROR(IF(INDEX(campaigns!$BG$2:$BG$51,MATCH($B216,campaigns!$A$2:$A$51,0))="","",INDEX(campaigns!$BG$2:$BG$51,MATCH($B216,campaigns!$A$2:$A$51,0))),""))</f>
        <v/>
      </c>
      <c r="N216" s="30" t="str">
        <f aca="false">IF(OR($B216="",$E216="",$M216=""),"",IF($E216&lt;$M216,0,NETWORKDAYS($M216,$E216,calendar!$A$2:$A$80)))</f>
        <v/>
      </c>
      <c r="O216" s="30" t="str">
        <f aca="false">IF($B216="","",IF(AND($K216="Y",OR($D216="later",$J216="Y")),"Y","N"))</f>
        <v/>
      </c>
      <c r="P216" s="30" t="str">
        <f aca="false">IF(OR($B216="",$E216=""),"",$B216&amp;"_"&amp;$C216&amp;"_"&amp;$D216&amp;"_"&amp;TEXT($E216,"yyyy-mm-dd")&amp;".jpg")</f>
        <v/>
      </c>
      <c r="Q216" s="30" t="str">
        <f aca="false">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30" t="str">
        <f aca="false">IF($B216="","",$B216&amp;"|"&amp;$C216&amp;"|"&amp;$D216&amp;"|"&amp;$O216)</f>
        <v/>
      </c>
      <c r="S216" s="30" t="str">
        <f aca="false">IF($B216="","",$R216&amp;"|"&amp;N($E216))</f>
        <v/>
      </c>
    </row>
    <row r="217" customFormat="false" ht="15" hidden="false" customHeight="false" outlineLevel="0" collapsed="false">
      <c r="D217" s="10"/>
      <c r="E217" s="11"/>
      <c r="F217" s="38"/>
      <c r="G217" s="10"/>
      <c r="I217" s="11"/>
      <c r="J217" s="10"/>
      <c r="K217" s="10"/>
      <c r="M217" s="31" t="str">
        <f aca="false">IF($B217="","",IFERROR(IF(INDEX(campaigns!$BG$2:$BG$51,MATCH($B217,campaigns!$A$2:$A$51,0))="","",INDEX(campaigns!$BG$2:$BG$51,MATCH($B217,campaigns!$A$2:$A$51,0))),""))</f>
        <v/>
      </c>
      <c r="N217" s="30" t="str">
        <f aca="false">IF(OR($B217="",$E217="",$M217=""),"",IF($E217&lt;$M217,0,NETWORKDAYS($M217,$E217,calendar!$A$2:$A$80)))</f>
        <v/>
      </c>
      <c r="O217" s="30" t="str">
        <f aca="false">IF($B217="","",IF(AND($K217="Y",OR($D217="later",$J217="Y")),"Y","N"))</f>
        <v/>
      </c>
      <c r="P217" s="30" t="str">
        <f aca="false">IF(OR($B217="",$E217=""),"",$B217&amp;"_"&amp;$C217&amp;"_"&amp;$D217&amp;"_"&amp;TEXT($E217,"yyyy-mm-dd")&amp;".jpg")</f>
        <v/>
      </c>
      <c r="Q217" s="30" t="str">
        <f aca="false">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30" t="str">
        <f aca="false">IF($B217="","",$B217&amp;"|"&amp;$C217&amp;"|"&amp;$D217&amp;"|"&amp;$O217)</f>
        <v/>
      </c>
      <c r="S217" s="30" t="str">
        <f aca="false">IF($B217="","",$R217&amp;"|"&amp;N($E217))</f>
        <v/>
      </c>
    </row>
    <row r="218" customFormat="false" ht="15" hidden="false" customHeight="false" outlineLevel="0" collapsed="false">
      <c r="D218" s="10"/>
      <c r="E218" s="11"/>
      <c r="F218" s="38"/>
      <c r="G218" s="10"/>
      <c r="I218" s="11"/>
      <c r="J218" s="10"/>
      <c r="K218" s="10"/>
      <c r="M218" s="31" t="str">
        <f aca="false">IF($B218="","",IFERROR(IF(INDEX(campaigns!$BG$2:$BG$51,MATCH($B218,campaigns!$A$2:$A$51,0))="","",INDEX(campaigns!$BG$2:$BG$51,MATCH($B218,campaigns!$A$2:$A$51,0))),""))</f>
        <v/>
      </c>
      <c r="N218" s="30" t="str">
        <f aca="false">IF(OR($B218="",$E218="",$M218=""),"",IF($E218&lt;$M218,0,NETWORKDAYS($M218,$E218,calendar!$A$2:$A$80)))</f>
        <v/>
      </c>
      <c r="O218" s="30" t="str">
        <f aca="false">IF($B218="","",IF(AND($K218="Y",OR($D218="later",$J218="Y")),"Y","N"))</f>
        <v/>
      </c>
      <c r="P218" s="30" t="str">
        <f aca="false">IF(OR($B218="",$E218=""),"",$B218&amp;"_"&amp;$C218&amp;"_"&amp;$D218&amp;"_"&amp;TEXT($E218,"yyyy-mm-dd")&amp;".jpg")</f>
        <v/>
      </c>
      <c r="Q218" s="30" t="str">
        <f aca="false">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30" t="str">
        <f aca="false">IF($B218="","",$B218&amp;"|"&amp;$C218&amp;"|"&amp;$D218&amp;"|"&amp;$O218)</f>
        <v/>
      </c>
      <c r="S218" s="30" t="str">
        <f aca="false">IF($B218="","",$R218&amp;"|"&amp;N($E218))</f>
        <v/>
      </c>
    </row>
    <row r="219" customFormat="false" ht="15" hidden="false" customHeight="false" outlineLevel="0" collapsed="false">
      <c r="D219" s="10"/>
      <c r="E219" s="11"/>
      <c r="F219" s="38"/>
      <c r="G219" s="10"/>
      <c r="I219" s="11"/>
      <c r="J219" s="10"/>
      <c r="K219" s="10"/>
      <c r="M219" s="31" t="str">
        <f aca="false">IF($B219="","",IFERROR(IF(INDEX(campaigns!$BG$2:$BG$51,MATCH($B219,campaigns!$A$2:$A$51,0))="","",INDEX(campaigns!$BG$2:$BG$51,MATCH($B219,campaigns!$A$2:$A$51,0))),""))</f>
        <v/>
      </c>
      <c r="N219" s="30" t="str">
        <f aca="false">IF(OR($B219="",$E219="",$M219=""),"",IF($E219&lt;$M219,0,NETWORKDAYS($M219,$E219,calendar!$A$2:$A$80)))</f>
        <v/>
      </c>
      <c r="O219" s="30" t="str">
        <f aca="false">IF($B219="","",IF(AND($K219="Y",OR($D219="later",$J219="Y")),"Y","N"))</f>
        <v/>
      </c>
      <c r="P219" s="30" t="str">
        <f aca="false">IF(OR($B219="",$E219=""),"",$B219&amp;"_"&amp;$C219&amp;"_"&amp;$D219&amp;"_"&amp;TEXT($E219,"yyyy-mm-dd")&amp;".jpg")</f>
        <v/>
      </c>
      <c r="Q219" s="30" t="str">
        <f aca="false">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30" t="str">
        <f aca="false">IF($B219="","",$B219&amp;"|"&amp;$C219&amp;"|"&amp;$D219&amp;"|"&amp;$O219)</f>
        <v/>
      </c>
      <c r="S219" s="30" t="str">
        <f aca="false">IF($B219="","",$R219&amp;"|"&amp;N($E219))</f>
        <v/>
      </c>
    </row>
    <row r="220" customFormat="false" ht="15" hidden="false" customHeight="false" outlineLevel="0" collapsed="false">
      <c r="D220" s="10"/>
      <c r="E220" s="11"/>
      <c r="F220" s="38"/>
      <c r="G220" s="10"/>
      <c r="I220" s="11"/>
      <c r="J220" s="10"/>
      <c r="K220" s="10"/>
      <c r="M220" s="31" t="str">
        <f aca="false">IF($B220="","",IFERROR(IF(INDEX(campaigns!$BG$2:$BG$51,MATCH($B220,campaigns!$A$2:$A$51,0))="","",INDEX(campaigns!$BG$2:$BG$51,MATCH($B220,campaigns!$A$2:$A$51,0))),""))</f>
        <v/>
      </c>
      <c r="N220" s="30" t="str">
        <f aca="false">IF(OR($B220="",$E220="",$M220=""),"",IF($E220&lt;$M220,0,NETWORKDAYS($M220,$E220,calendar!$A$2:$A$80)))</f>
        <v/>
      </c>
      <c r="O220" s="30" t="str">
        <f aca="false">IF($B220="","",IF(AND($K220="Y",OR($D220="later",$J220="Y")),"Y","N"))</f>
        <v/>
      </c>
      <c r="P220" s="30" t="str">
        <f aca="false">IF(OR($B220="",$E220=""),"",$B220&amp;"_"&amp;$C220&amp;"_"&amp;$D220&amp;"_"&amp;TEXT($E220,"yyyy-mm-dd")&amp;".jpg")</f>
        <v/>
      </c>
      <c r="Q220" s="30" t="str">
        <f aca="false">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30" t="str">
        <f aca="false">IF($B220="","",$B220&amp;"|"&amp;$C220&amp;"|"&amp;$D220&amp;"|"&amp;$O220)</f>
        <v/>
      </c>
      <c r="S220" s="30" t="str">
        <f aca="false">IF($B220="","",$R220&amp;"|"&amp;N($E220))</f>
        <v/>
      </c>
    </row>
    <row r="221" customFormat="false" ht="15" hidden="false" customHeight="false" outlineLevel="0" collapsed="false">
      <c r="D221" s="10"/>
      <c r="E221" s="11"/>
      <c r="F221" s="38"/>
      <c r="G221" s="10"/>
      <c r="I221" s="11"/>
      <c r="J221" s="10"/>
      <c r="K221" s="10"/>
      <c r="M221" s="31" t="str">
        <f aca="false">IF($B221="","",IFERROR(IF(INDEX(campaigns!$BG$2:$BG$51,MATCH($B221,campaigns!$A$2:$A$51,0))="","",INDEX(campaigns!$BG$2:$BG$51,MATCH($B221,campaigns!$A$2:$A$51,0))),""))</f>
        <v/>
      </c>
      <c r="N221" s="30" t="str">
        <f aca="false">IF(OR($B221="",$E221="",$M221=""),"",IF($E221&lt;$M221,0,NETWORKDAYS($M221,$E221,calendar!$A$2:$A$80)))</f>
        <v/>
      </c>
      <c r="O221" s="30" t="str">
        <f aca="false">IF($B221="","",IF(AND($K221="Y",OR($D221="later",$J221="Y")),"Y","N"))</f>
        <v/>
      </c>
      <c r="P221" s="30" t="str">
        <f aca="false">IF(OR($B221="",$E221=""),"",$B221&amp;"_"&amp;$C221&amp;"_"&amp;$D221&amp;"_"&amp;TEXT($E221,"yyyy-mm-dd")&amp;".jpg")</f>
        <v/>
      </c>
      <c r="Q221" s="30" t="str">
        <f aca="false">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30" t="str">
        <f aca="false">IF($B221="","",$B221&amp;"|"&amp;$C221&amp;"|"&amp;$D221&amp;"|"&amp;$O221)</f>
        <v/>
      </c>
      <c r="S221" s="30" t="str">
        <f aca="false">IF($B221="","",$R221&amp;"|"&amp;N($E221))</f>
        <v/>
      </c>
    </row>
    <row r="222" customFormat="false" ht="15" hidden="false" customHeight="false" outlineLevel="0" collapsed="false">
      <c r="D222" s="10"/>
      <c r="E222" s="11"/>
      <c r="F222" s="38"/>
      <c r="G222" s="10"/>
      <c r="I222" s="11"/>
      <c r="J222" s="10"/>
      <c r="K222" s="10"/>
      <c r="M222" s="31" t="str">
        <f aca="false">IF($B222="","",IFERROR(IF(INDEX(campaigns!$BG$2:$BG$51,MATCH($B222,campaigns!$A$2:$A$51,0))="","",INDEX(campaigns!$BG$2:$BG$51,MATCH($B222,campaigns!$A$2:$A$51,0))),""))</f>
        <v/>
      </c>
      <c r="N222" s="30" t="str">
        <f aca="false">IF(OR($B222="",$E222="",$M222=""),"",IF($E222&lt;$M222,0,NETWORKDAYS($M222,$E222,calendar!$A$2:$A$80)))</f>
        <v/>
      </c>
      <c r="O222" s="30" t="str">
        <f aca="false">IF($B222="","",IF(AND($K222="Y",OR($D222="later",$J222="Y")),"Y","N"))</f>
        <v/>
      </c>
      <c r="P222" s="30" t="str">
        <f aca="false">IF(OR($B222="",$E222=""),"",$B222&amp;"_"&amp;$C222&amp;"_"&amp;$D222&amp;"_"&amp;TEXT($E222,"yyyy-mm-dd")&amp;".jpg")</f>
        <v/>
      </c>
      <c r="Q222" s="30" t="str">
        <f aca="false">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30" t="str">
        <f aca="false">IF($B222="","",$B222&amp;"|"&amp;$C222&amp;"|"&amp;$D222&amp;"|"&amp;$O222)</f>
        <v/>
      </c>
      <c r="S222" s="30" t="str">
        <f aca="false">IF($B222="","",$R222&amp;"|"&amp;N($E222))</f>
        <v/>
      </c>
    </row>
    <row r="223" customFormat="false" ht="15" hidden="false" customHeight="false" outlineLevel="0" collapsed="false">
      <c r="D223" s="10"/>
      <c r="E223" s="11"/>
      <c r="F223" s="38"/>
      <c r="G223" s="10"/>
      <c r="I223" s="11"/>
      <c r="J223" s="10"/>
      <c r="K223" s="10"/>
      <c r="M223" s="31" t="str">
        <f aca="false">IF($B223="","",IFERROR(IF(INDEX(campaigns!$BG$2:$BG$51,MATCH($B223,campaigns!$A$2:$A$51,0))="","",INDEX(campaigns!$BG$2:$BG$51,MATCH($B223,campaigns!$A$2:$A$51,0))),""))</f>
        <v/>
      </c>
      <c r="N223" s="30" t="str">
        <f aca="false">IF(OR($B223="",$E223="",$M223=""),"",IF($E223&lt;$M223,0,NETWORKDAYS($M223,$E223,calendar!$A$2:$A$80)))</f>
        <v/>
      </c>
      <c r="O223" s="30" t="str">
        <f aca="false">IF($B223="","",IF(AND($K223="Y",OR($D223="later",$J223="Y")),"Y","N"))</f>
        <v/>
      </c>
      <c r="P223" s="30" t="str">
        <f aca="false">IF(OR($B223="",$E223=""),"",$B223&amp;"_"&amp;$C223&amp;"_"&amp;$D223&amp;"_"&amp;TEXT($E223,"yyyy-mm-dd")&amp;".jpg")</f>
        <v/>
      </c>
      <c r="Q223" s="30" t="str">
        <f aca="false">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30" t="str">
        <f aca="false">IF($B223="","",$B223&amp;"|"&amp;$C223&amp;"|"&amp;$D223&amp;"|"&amp;$O223)</f>
        <v/>
      </c>
      <c r="S223" s="30" t="str">
        <f aca="false">IF($B223="","",$R223&amp;"|"&amp;N($E223))</f>
        <v/>
      </c>
    </row>
    <row r="224" customFormat="false" ht="15" hidden="false" customHeight="false" outlineLevel="0" collapsed="false">
      <c r="D224" s="10"/>
      <c r="E224" s="11"/>
      <c r="F224" s="38"/>
      <c r="G224" s="10"/>
      <c r="I224" s="11"/>
      <c r="J224" s="10"/>
      <c r="K224" s="10"/>
      <c r="M224" s="31" t="str">
        <f aca="false">IF($B224="","",IFERROR(IF(INDEX(campaigns!$BG$2:$BG$51,MATCH($B224,campaigns!$A$2:$A$51,0))="","",INDEX(campaigns!$BG$2:$BG$51,MATCH($B224,campaigns!$A$2:$A$51,0))),""))</f>
        <v/>
      </c>
      <c r="N224" s="30" t="str">
        <f aca="false">IF(OR($B224="",$E224="",$M224=""),"",IF($E224&lt;$M224,0,NETWORKDAYS($M224,$E224,calendar!$A$2:$A$80)))</f>
        <v/>
      </c>
      <c r="O224" s="30" t="str">
        <f aca="false">IF($B224="","",IF(AND($K224="Y",OR($D224="later",$J224="Y")),"Y","N"))</f>
        <v/>
      </c>
      <c r="P224" s="30" t="str">
        <f aca="false">IF(OR($B224="",$E224=""),"",$B224&amp;"_"&amp;$C224&amp;"_"&amp;$D224&amp;"_"&amp;TEXT($E224,"yyyy-mm-dd")&amp;".jpg")</f>
        <v/>
      </c>
      <c r="Q224" s="30" t="str">
        <f aca="false">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30" t="str">
        <f aca="false">IF($B224="","",$B224&amp;"|"&amp;$C224&amp;"|"&amp;$D224&amp;"|"&amp;$O224)</f>
        <v/>
      </c>
      <c r="S224" s="30" t="str">
        <f aca="false">IF($B224="","",$R224&amp;"|"&amp;N($E224))</f>
        <v/>
      </c>
    </row>
    <row r="225" customFormat="false" ht="15" hidden="false" customHeight="false" outlineLevel="0" collapsed="false">
      <c r="D225" s="10"/>
      <c r="E225" s="11"/>
      <c r="F225" s="38"/>
      <c r="G225" s="10"/>
      <c r="I225" s="11"/>
      <c r="J225" s="10"/>
      <c r="K225" s="10"/>
      <c r="M225" s="31" t="str">
        <f aca="false">IF($B225="","",IFERROR(IF(INDEX(campaigns!$BG$2:$BG$51,MATCH($B225,campaigns!$A$2:$A$51,0))="","",INDEX(campaigns!$BG$2:$BG$51,MATCH($B225,campaigns!$A$2:$A$51,0))),""))</f>
        <v/>
      </c>
      <c r="N225" s="30" t="str">
        <f aca="false">IF(OR($B225="",$E225="",$M225=""),"",IF($E225&lt;$M225,0,NETWORKDAYS($M225,$E225,calendar!$A$2:$A$80)))</f>
        <v/>
      </c>
      <c r="O225" s="30" t="str">
        <f aca="false">IF($B225="","",IF(AND($K225="Y",OR($D225="later",$J225="Y")),"Y","N"))</f>
        <v/>
      </c>
      <c r="P225" s="30" t="str">
        <f aca="false">IF(OR($B225="",$E225=""),"",$B225&amp;"_"&amp;$C225&amp;"_"&amp;$D225&amp;"_"&amp;TEXT($E225,"yyyy-mm-dd")&amp;".jpg")</f>
        <v/>
      </c>
      <c r="Q225" s="30" t="str">
        <f aca="false">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30" t="str">
        <f aca="false">IF($B225="","",$B225&amp;"|"&amp;$C225&amp;"|"&amp;$D225&amp;"|"&amp;$O225)</f>
        <v/>
      </c>
      <c r="S225" s="30" t="str">
        <f aca="false">IF($B225="","",$R225&amp;"|"&amp;N($E225))</f>
        <v/>
      </c>
    </row>
    <row r="226" customFormat="false" ht="15" hidden="false" customHeight="false" outlineLevel="0" collapsed="false">
      <c r="D226" s="10"/>
      <c r="E226" s="11"/>
      <c r="F226" s="38"/>
      <c r="G226" s="10"/>
      <c r="I226" s="11"/>
      <c r="J226" s="10"/>
      <c r="K226" s="10"/>
      <c r="M226" s="31" t="str">
        <f aca="false">IF($B226="","",IFERROR(IF(INDEX(campaigns!$BG$2:$BG$51,MATCH($B226,campaigns!$A$2:$A$51,0))="","",INDEX(campaigns!$BG$2:$BG$51,MATCH($B226,campaigns!$A$2:$A$51,0))),""))</f>
        <v/>
      </c>
      <c r="N226" s="30" t="str">
        <f aca="false">IF(OR($B226="",$E226="",$M226=""),"",IF($E226&lt;$M226,0,NETWORKDAYS($M226,$E226,calendar!$A$2:$A$80)))</f>
        <v/>
      </c>
      <c r="O226" s="30" t="str">
        <f aca="false">IF($B226="","",IF(AND($K226="Y",OR($D226="later",$J226="Y")),"Y","N"))</f>
        <v/>
      </c>
      <c r="P226" s="30" t="str">
        <f aca="false">IF(OR($B226="",$E226=""),"",$B226&amp;"_"&amp;$C226&amp;"_"&amp;$D226&amp;"_"&amp;TEXT($E226,"yyyy-mm-dd")&amp;".jpg")</f>
        <v/>
      </c>
      <c r="Q226" s="30" t="str">
        <f aca="false">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30" t="str">
        <f aca="false">IF($B226="","",$B226&amp;"|"&amp;$C226&amp;"|"&amp;$D226&amp;"|"&amp;$O226)</f>
        <v/>
      </c>
      <c r="S226" s="30" t="str">
        <f aca="false">IF($B226="","",$R226&amp;"|"&amp;N($E226))</f>
        <v/>
      </c>
    </row>
    <row r="227" customFormat="false" ht="15" hidden="false" customHeight="false" outlineLevel="0" collapsed="false">
      <c r="D227" s="10"/>
      <c r="E227" s="11"/>
      <c r="F227" s="38"/>
      <c r="G227" s="10"/>
      <c r="I227" s="11"/>
      <c r="J227" s="10"/>
      <c r="K227" s="10"/>
      <c r="M227" s="31" t="str">
        <f aca="false">IF($B227="","",IFERROR(IF(INDEX(campaigns!$BG$2:$BG$51,MATCH($B227,campaigns!$A$2:$A$51,0))="","",INDEX(campaigns!$BG$2:$BG$51,MATCH($B227,campaigns!$A$2:$A$51,0))),""))</f>
        <v/>
      </c>
      <c r="N227" s="30" t="str">
        <f aca="false">IF(OR($B227="",$E227="",$M227=""),"",IF($E227&lt;$M227,0,NETWORKDAYS($M227,$E227,calendar!$A$2:$A$80)))</f>
        <v/>
      </c>
      <c r="O227" s="30" t="str">
        <f aca="false">IF($B227="","",IF(AND($K227="Y",OR($D227="later",$J227="Y")),"Y","N"))</f>
        <v/>
      </c>
      <c r="P227" s="30" t="str">
        <f aca="false">IF(OR($B227="",$E227=""),"",$B227&amp;"_"&amp;$C227&amp;"_"&amp;$D227&amp;"_"&amp;TEXT($E227,"yyyy-mm-dd")&amp;".jpg")</f>
        <v/>
      </c>
      <c r="Q227" s="30" t="str">
        <f aca="false">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30" t="str">
        <f aca="false">IF($B227="","",$B227&amp;"|"&amp;$C227&amp;"|"&amp;$D227&amp;"|"&amp;$O227)</f>
        <v/>
      </c>
      <c r="S227" s="30" t="str">
        <f aca="false">IF($B227="","",$R227&amp;"|"&amp;N($E227))</f>
        <v/>
      </c>
    </row>
    <row r="228" customFormat="false" ht="15" hidden="false" customHeight="false" outlineLevel="0" collapsed="false">
      <c r="D228" s="10"/>
      <c r="E228" s="11"/>
      <c r="F228" s="38"/>
      <c r="G228" s="10"/>
      <c r="I228" s="11"/>
      <c r="J228" s="10"/>
      <c r="K228" s="10"/>
      <c r="M228" s="31" t="str">
        <f aca="false">IF($B228="","",IFERROR(IF(INDEX(campaigns!$BG$2:$BG$51,MATCH($B228,campaigns!$A$2:$A$51,0))="","",INDEX(campaigns!$BG$2:$BG$51,MATCH($B228,campaigns!$A$2:$A$51,0))),""))</f>
        <v/>
      </c>
      <c r="N228" s="30" t="str">
        <f aca="false">IF(OR($B228="",$E228="",$M228=""),"",IF($E228&lt;$M228,0,NETWORKDAYS($M228,$E228,calendar!$A$2:$A$80)))</f>
        <v/>
      </c>
      <c r="O228" s="30" t="str">
        <f aca="false">IF($B228="","",IF(AND($K228="Y",OR($D228="later",$J228="Y")),"Y","N"))</f>
        <v/>
      </c>
      <c r="P228" s="30" t="str">
        <f aca="false">IF(OR($B228="",$E228=""),"",$B228&amp;"_"&amp;$C228&amp;"_"&amp;$D228&amp;"_"&amp;TEXT($E228,"yyyy-mm-dd")&amp;".jpg")</f>
        <v/>
      </c>
      <c r="Q228" s="30" t="str">
        <f aca="false">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30" t="str">
        <f aca="false">IF($B228="","",$B228&amp;"|"&amp;$C228&amp;"|"&amp;$D228&amp;"|"&amp;$O228)</f>
        <v/>
      </c>
      <c r="S228" s="30" t="str">
        <f aca="false">IF($B228="","",$R228&amp;"|"&amp;N($E228))</f>
        <v/>
      </c>
    </row>
    <row r="229" customFormat="false" ht="15" hidden="false" customHeight="false" outlineLevel="0" collapsed="false">
      <c r="D229" s="10"/>
      <c r="E229" s="11"/>
      <c r="F229" s="38"/>
      <c r="G229" s="10"/>
      <c r="I229" s="11"/>
      <c r="J229" s="10"/>
      <c r="K229" s="10"/>
      <c r="M229" s="31" t="str">
        <f aca="false">IF($B229="","",IFERROR(IF(INDEX(campaigns!$BG$2:$BG$51,MATCH($B229,campaigns!$A$2:$A$51,0))="","",INDEX(campaigns!$BG$2:$BG$51,MATCH($B229,campaigns!$A$2:$A$51,0))),""))</f>
        <v/>
      </c>
      <c r="N229" s="30" t="str">
        <f aca="false">IF(OR($B229="",$E229="",$M229=""),"",IF($E229&lt;$M229,0,NETWORKDAYS($M229,$E229,calendar!$A$2:$A$80)))</f>
        <v/>
      </c>
      <c r="O229" s="30" t="str">
        <f aca="false">IF($B229="","",IF(AND($K229="Y",OR($D229="later",$J229="Y")),"Y","N"))</f>
        <v/>
      </c>
      <c r="P229" s="30" t="str">
        <f aca="false">IF(OR($B229="",$E229=""),"",$B229&amp;"_"&amp;$C229&amp;"_"&amp;$D229&amp;"_"&amp;TEXT($E229,"yyyy-mm-dd")&amp;".jpg")</f>
        <v/>
      </c>
      <c r="Q229" s="30" t="str">
        <f aca="false">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30" t="str">
        <f aca="false">IF($B229="","",$B229&amp;"|"&amp;$C229&amp;"|"&amp;$D229&amp;"|"&amp;$O229)</f>
        <v/>
      </c>
      <c r="S229" s="30" t="str">
        <f aca="false">IF($B229="","",$R229&amp;"|"&amp;N($E229))</f>
        <v/>
      </c>
    </row>
    <row r="230" customFormat="false" ht="15" hidden="false" customHeight="false" outlineLevel="0" collapsed="false">
      <c r="D230" s="10"/>
      <c r="E230" s="11"/>
      <c r="F230" s="38"/>
      <c r="G230" s="10"/>
      <c r="I230" s="11"/>
      <c r="J230" s="10"/>
      <c r="K230" s="10"/>
      <c r="M230" s="31" t="str">
        <f aca="false">IF($B230="","",IFERROR(IF(INDEX(campaigns!$BG$2:$BG$51,MATCH($B230,campaigns!$A$2:$A$51,0))="","",INDEX(campaigns!$BG$2:$BG$51,MATCH($B230,campaigns!$A$2:$A$51,0))),""))</f>
        <v/>
      </c>
      <c r="N230" s="30" t="str">
        <f aca="false">IF(OR($B230="",$E230="",$M230=""),"",IF($E230&lt;$M230,0,NETWORKDAYS($M230,$E230,calendar!$A$2:$A$80)))</f>
        <v/>
      </c>
      <c r="O230" s="30" t="str">
        <f aca="false">IF($B230="","",IF(AND($K230="Y",OR($D230="later",$J230="Y")),"Y","N"))</f>
        <v/>
      </c>
      <c r="P230" s="30" t="str">
        <f aca="false">IF(OR($B230="",$E230=""),"",$B230&amp;"_"&amp;$C230&amp;"_"&amp;$D230&amp;"_"&amp;TEXT($E230,"yyyy-mm-dd")&amp;".jpg")</f>
        <v/>
      </c>
      <c r="Q230" s="30" t="str">
        <f aca="false">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30" t="str">
        <f aca="false">IF($B230="","",$B230&amp;"|"&amp;$C230&amp;"|"&amp;$D230&amp;"|"&amp;$O230)</f>
        <v/>
      </c>
      <c r="S230" s="30" t="str">
        <f aca="false">IF($B230="","",$R230&amp;"|"&amp;N($E230))</f>
        <v/>
      </c>
    </row>
    <row r="231" customFormat="false" ht="15" hidden="false" customHeight="false" outlineLevel="0" collapsed="false">
      <c r="D231" s="10"/>
      <c r="E231" s="11"/>
      <c r="F231" s="38"/>
      <c r="G231" s="10"/>
      <c r="I231" s="11"/>
      <c r="J231" s="10"/>
      <c r="K231" s="10"/>
      <c r="M231" s="31" t="str">
        <f aca="false">IF($B231="","",IFERROR(IF(INDEX(campaigns!$BG$2:$BG$51,MATCH($B231,campaigns!$A$2:$A$51,0))="","",INDEX(campaigns!$BG$2:$BG$51,MATCH($B231,campaigns!$A$2:$A$51,0))),""))</f>
        <v/>
      </c>
      <c r="N231" s="30" t="str">
        <f aca="false">IF(OR($B231="",$E231="",$M231=""),"",IF($E231&lt;$M231,0,NETWORKDAYS($M231,$E231,calendar!$A$2:$A$80)))</f>
        <v/>
      </c>
      <c r="O231" s="30" t="str">
        <f aca="false">IF($B231="","",IF(AND($K231="Y",OR($D231="later",$J231="Y")),"Y","N"))</f>
        <v/>
      </c>
      <c r="P231" s="30" t="str">
        <f aca="false">IF(OR($B231="",$E231=""),"",$B231&amp;"_"&amp;$C231&amp;"_"&amp;$D231&amp;"_"&amp;TEXT($E231,"yyyy-mm-dd")&amp;".jpg")</f>
        <v/>
      </c>
      <c r="Q231" s="30" t="str">
        <f aca="false">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30" t="str">
        <f aca="false">IF($B231="","",$B231&amp;"|"&amp;$C231&amp;"|"&amp;$D231&amp;"|"&amp;$O231)</f>
        <v/>
      </c>
      <c r="S231" s="30" t="str">
        <f aca="false">IF($B231="","",$R231&amp;"|"&amp;N($E231))</f>
        <v/>
      </c>
    </row>
    <row r="232" customFormat="false" ht="15" hidden="false" customHeight="false" outlineLevel="0" collapsed="false">
      <c r="D232" s="10"/>
      <c r="E232" s="11"/>
      <c r="F232" s="38"/>
      <c r="G232" s="10"/>
      <c r="I232" s="11"/>
      <c r="J232" s="10"/>
      <c r="K232" s="10"/>
      <c r="M232" s="31" t="str">
        <f aca="false">IF($B232="","",IFERROR(IF(INDEX(campaigns!$BG$2:$BG$51,MATCH($B232,campaigns!$A$2:$A$51,0))="","",INDEX(campaigns!$BG$2:$BG$51,MATCH($B232,campaigns!$A$2:$A$51,0))),""))</f>
        <v/>
      </c>
      <c r="N232" s="30" t="str">
        <f aca="false">IF(OR($B232="",$E232="",$M232=""),"",IF($E232&lt;$M232,0,NETWORKDAYS($M232,$E232,calendar!$A$2:$A$80)))</f>
        <v/>
      </c>
      <c r="O232" s="30" t="str">
        <f aca="false">IF($B232="","",IF(AND($K232="Y",OR($D232="later",$J232="Y")),"Y","N"))</f>
        <v/>
      </c>
      <c r="P232" s="30" t="str">
        <f aca="false">IF(OR($B232="",$E232=""),"",$B232&amp;"_"&amp;$C232&amp;"_"&amp;$D232&amp;"_"&amp;TEXT($E232,"yyyy-mm-dd")&amp;".jpg")</f>
        <v/>
      </c>
      <c r="Q232" s="30" t="str">
        <f aca="false">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30" t="str">
        <f aca="false">IF($B232="","",$B232&amp;"|"&amp;$C232&amp;"|"&amp;$D232&amp;"|"&amp;$O232)</f>
        <v/>
      </c>
      <c r="S232" s="30" t="str">
        <f aca="false">IF($B232="","",$R232&amp;"|"&amp;N($E232))</f>
        <v/>
      </c>
    </row>
    <row r="233" customFormat="false" ht="15" hidden="false" customHeight="false" outlineLevel="0" collapsed="false">
      <c r="D233" s="10"/>
      <c r="E233" s="11"/>
      <c r="F233" s="38"/>
      <c r="G233" s="10"/>
      <c r="I233" s="11"/>
      <c r="J233" s="10"/>
      <c r="K233" s="10"/>
      <c r="M233" s="31" t="str">
        <f aca="false">IF($B233="","",IFERROR(IF(INDEX(campaigns!$BG$2:$BG$51,MATCH($B233,campaigns!$A$2:$A$51,0))="","",INDEX(campaigns!$BG$2:$BG$51,MATCH($B233,campaigns!$A$2:$A$51,0))),""))</f>
        <v/>
      </c>
      <c r="N233" s="30" t="str">
        <f aca="false">IF(OR($B233="",$E233="",$M233=""),"",IF($E233&lt;$M233,0,NETWORKDAYS($M233,$E233,calendar!$A$2:$A$80)))</f>
        <v/>
      </c>
      <c r="O233" s="30" t="str">
        <f aca="false">IF($B233="","",IF(AND($K233="Y",OR($D233="later",$J233="Y")),"Y","N"))</f>
        <v/>
      </c>
      <c r="P233" s="30" t="str">
        <f aca="false">IF(OR($B233="",$E233=""),"",$B233&amp;"_"&amp;$C233&amp;"_"&amp;$D233&amp;"_"&amp;TEXT($E233,"yyyy-mm-dd")&amp;".jpg")</f>
        <v/>
      </c>
      <c r="Q233" s="30" t="str">
        <f aca="false">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30" t="str">
        <f aca="false">IF($B233="","",$B233&amp;"|"&amp;$C233&amp;"|"&amp;$D233&amp;"|"&amp;$O233)</f>
        <v/>
      </c>
      <c r="S233" s="30" t="str">
        <f aca="false">IF($B233="","",$R233&amp;"|"&amp;N($E233))</f>
        <v/>
      </c>
    </row>
    <row r="234" customFormat="false" ht="15" hidden="false" customHeight="false" outlineLevel="0" collapsed="false">
      <c r="D234" s="10"/>
      <c r="E234" s="11"/>
      <c r="F234" s="38"/>
      <c r="G234" s="10"/>
      <c r="I234" s="11"/>
      <c r="J234" s="10"/>
      <c r="K234" s="10"/>
      <c r="M234" s="31" t="str">
        <f aca="false">IF($B234="","",IFERROR(IF(INDEX(campaigns!$BG$2:$BG$51,MATCH($B234,campaigns!$A$2:$A$51,0))="","",INDEX(campaigns!$BG$2:$BG$51,MATCH($B234,campaigns!$A$2:$A$51,0))),""))</f>
        <v/>
      </c>
      <c r="N234" s="30" t="str">
        <f aca="false">IF(OR($B234="",$E234="",$M234=""),"",IF($E234&lt;$M234,0,NETWORKDAYS($M234,$E234,calendar!$A$2:$A$80)))</f>
        <v/>
      </c>
      <c r="O234" s="30" t="str">
        <f aca="false">IF($B234="","",IF(AND($K234="Y",OR($D234="later",$J234="Y")),"Y","N"))</f>
        <v/>
      </c>
      <c r="P234" s="30" t="str">
        <f aca="false">IF(OR($B234="",$E234=""),"",$B234&amp;"_"&amp;$C234&amp;"_"&amp;$D234&amp;"_"&amp;TEXT($E234,"yyyy-mm-dd")&amp;".jpg")</f>
        <v/>
      </c>
      <c r="Q234" s="30" t="str">
        <f aca="false">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30" t="str">
        <f aca="false">IF($B234="","",$B234&amp;"|"&amp;$C234&amp;"|"&amp;$D234&amp;"|"&amp;$O234)</f>
        <v/>
      </c>
      <c r="S234" s="30" t="str">
        <f aca="false">IF($B234="","",$R234&amp;"|"&amp;N($E234))</f>
        <v/>
      </c>
    </row>
    <row r="235" customFormat="false" ht="15" hidden="false" customHeight="false" outlineLevel="0" collapsed="false">
      <c r="D235" s="10"/>
      <c r="E235" s="11"/>
      <c r="F235" s="38"/>
      <c r="G235" s="10"/>
      <c r="I235" s="11"/>
      <c r="J235" s="10"/>
      <c r="K235" s="10"/>
      <c r="M235" s="31" t="str">
        <f aca="false">IF($B235="","",IFERROR(IF(INDEX(campaigns!$BG$2:$BG$51,MATCH($B235,campaigns!$A$2:$A$51,0))="","",INDEX(campaigns!$BG$2:$BG$51,MATCH($B235,campaigns!$A$2:$A$51,0))),""))</f>
        <v/>
      </c>
      <c r="N235" s="30" t="str">
        <f aca="false">IF(OR($B235="",$E235="",$M235=""),"",IF($E235&lt;$M235,0,NETWORKDAYS($M235,$E235,calendar!$A$2:$A$80)))</f>
        <v/>
      </c>
      <c r="O235" s="30" t="str">
        <f aca="false">IF($B235="","",IF(AND($K235="Y",OR($D235="later",$J235="Y")),"Y","N"))</f>
        <v/>
      </c>
      <c r="P235" s="30" t="str">
        <f aca="false">IF(OR($B235="",$E235=""),"",$B235&amp;"_"&amp;$C235&amp;"_"&amp;$D235&amp;"_"&amp;TEXT($E235,"yyyy-mm-dd")&amp;".jpg")</f>
        <v/>
      </c>
      <c r="Q235" s="30" t="str">
        <f aca="false">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30" t="str">
        <f aca="false">IF($B235="","",$B235&amp;"|"&amp;$C235&amp;"|"&amp;$D235&amp;"|"&amp;$O235)</f>
        <v/>
      </c>
      <c r="S235" s="30" t="str">
        <f aca="false">IF($B235="","",$R235&amp;"|"&amp;N($E235))</f>
        <v/>
      </c>
    </row>
    <row r="236" customFormat="false" ht="15" hidden="false" customHeight="false" outlineLevel="0" collapsed="false">
      <c r="D236" s="10"/>
      <c r="E236" s="11"/>
      <c r="F236" s="38"/>
      <c r="G236" s="10"/>
      <c r="I236" s="11"/>
      <c r="J236" s="10"/>
      <c r="K236" s="10"/>
      <c r="M236" s="31" t="str">
        <f aca="false">IF($B236="","",IFERROR(IF(INDEX(campaigns!$BG$2:$BG$51,MATCH($B236,campaigns!$A$2:$A$51,0))="","",INDEX(campaigns!$BG$2:$BG$51,MATCH($B236,campaigns!$A$2:$A$51,0))),""))</f>
        <v/>
      </c>
      <c r="N236" s="30" t="str">
        <f aca="false">IF(OR($B236="",$E236="",$M236=""),"",IF($E236&lt;$M236,0,NETWORKDAYS($M236,$E236,calendar!$A$2:$A$80)))</f>
        <v/>
      </c>
      <c r="O236" s="30" t="str">
        <f aca="false">IF($B236="","",IF(AND($K236="Y",OR($D236="later",$J236="Y")),"Y","N"))</f>
        <v/>
      </c>
      <c r="P236" s="30" t="str">
        <f aca="false">IF(OR($B236="",$E236=""),"",$B236&amp;"_"&amp;$C236&amp;"_"&amp;$D236&amp;"_"&amp;TEXT($E236,"yyyy-mm-dd")&amp;".jpg")</f>
        <v/>
      </c>
      <c r="Q236" s="30" t="str">
        <f aca="false">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30" t="str">
        <f aca="false">IF($B236="","",$B236&amp;"|"&amp;$C236&amp;"|"&amp;$D236&amp;"|"&amp;$O236)</f>
        <v/>
      </c>
      <c r="S236" s="30" t="str">
        <f aca="false">IF($B236="","",$R236&amp;"|"&amp;N($E236))</f>
        <v/>
      </c>
    </row>
    <row r="237" customFormat="false" ht="15" hidden="false" customHeight="false" outlineLevel="0" collapsed="false">
      <c r="D237" s="10"/>
      <c r="E237" s="11"/>
      <c r="F237" s="38"/>
      <c r="G237" s="10"/>
      <c r="I237" s="11"/>
      <c r="J237" s="10"/>
      <c r="K237" s="10"/>
      <c r="M237" s="31" t="str">
        <f aca="false">IF($B237="","",IFERROR(IF(INDEX(campaigns!$BG$2:$BG$51,MATCH($B237,campaigns!$A$2:$A$51,0))="","",INDEX(campaigns!$BG$2:$BG$51,MATCH($B237,campaigns!$A$2:$A$51,0))),""))</f>
        <v/>
      </c>
      <c r="N237" s="30" t="str">
        <f aca="false">IF(OR($B237="",$E237="",$M237=""),"",IF($E237&lt;$M237,0,NETWORKDAYS($M237,$E237,calendar!$A$2:$A$80)))</f>
        <v/>
      </c>
      <c r="O237" s="30" t="str">
        <f aca="false">IF($B237="","",IF(AND($K237="Y",OR($D237="later",$J237="Y")),"Y","N"))</f>
        <v/>
      </c>
      <c r="P237" s="30" t="str">
        <f aca="false">IF(OR($B237="",$E237=""),"",$B237&amp;"_"&amp;$C237&amp;"_"&amp;$D237&amp;"_"&amp;TEXT($E237,"yyyy-mm-dd")&amp;".jpg")</f>
        <v/>
      </c>
      <c r="Q237" s="30" t="str">
        <f aca="false">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30" t="str">
        <f aca="false">IF($B237="","",$B237&amp;"|"&amp;$C237&amp;"|"&amp;$D237&amp;"|"&amp;$O237)</f>
        <v/>
      </c>
      <c r="S237" s="30" t="str">
        <f aca="false">IF($B237="","",$R237&amp;"|"&amp;N($E237))</f>
        <v/>
      </c>
    </row>
    <row r="238" customFormat="false" ht="15" hidden="false" customHeight="false" outlineLevel="0" collapsed="false">
      <c r="D238" s="10"/>
      <c r="E238" s="11"/>
      <c r="F238" s="38"/>
      <c r="G238" s="10"/>
      <c r="I238" s="11"/>
      <c r="J238" s="10"/>
      <c r="K238" s="10"/>
      <c r="M238" s="31" t="str">
        <f aca="false">IF($B238="","",IFERROR(IF(INDEX(campaigns!$BG$2:$BG$51,MATCH($B238,campaigns!$A$2:$A$51,0))="","",INDEX(campaigns!$BG$2:$BG$51,MATCH($B238,campaigns!$A$2:$A$51,0))),""))</f>
        <v/>
      </c>
      <c r="N238" s="30" t="str">
        <f aca="false">IF(OR($B238="",$E238="",$M238=""),"",IF($E238&lt;$M238,0,NETWORKDAYS($M238,$E238,calendar!$A$2:$A$80)))</f>
        <v/>
      </c>
      <c r="O238" s="30" t="str">
        <f aca="false">IF($B238="","",IF(AND($K238="Y",OR($D238="later",$J238="Y")),"Y","N"))</f>
        <v/>
      </c>
      <c r="P238" s="30" t="str">
        <f aca="false">IF(OR($B238="",$E238=""),"",$B238&amp;"_"&amp;$C238&amp;"_"&amp;$D238&amp;"_"&amp;TEXT($E238,"yyyy-mm-dd")&amp;".jpg")</f>
        <v/>
      </c>
      <c r="Q238" s="30" t="str">
        <f aca="false">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30" t="str">
        <f aca="false">IF($B238="","",$B238&amp;"|"&amp;$C238&amp;"|"&amp;$D238&amp;"|"&amp;$O238)</f>
        <v/>
      </c>
      <c r="S238" s="30" t="str">
        <f aca="false">IF($B238="","",$R238&amp;"|"&amp;N($E238))</f>
        <v/>
      </c>
    </row>
    <row r="239" customFormat="false" ht="15" hidden="false" customHeight="false" outlineLevel="0" collapsed="false">
      <c r="D239" s="10"/>
      <c r="E239" s="11"/>
      <c r="F239" s="38"/>
      <c r="G239" s="10"/>
      <c r="I239" s="11"/>
      <c r="J239" s="10"/>
      <c r="K239" s="10"/>
      <c r="M239" s="31" t="str">
        <f aca="false">IF($B239="","",IFERROR(IF(INDEX(campaigns!$BG$2:$BG$51,MATCH($B239,campaigns!$A$2:$A$51,0))="","",INDEX(campaigns!$BG$2:$BG$51,MATCH($B239,campaigns!$A$2:$A$51,0))),""))</f>
        <v/>
      </c>
      <c r="N239" s="30" t="str">
        <f aca="false">IF(OR($B239="",$E239="",$M239=""),"",IF($E239&lt;$M239,0,NETWORKDAYS($M239,$E239,calendar!$A$2:$A$80)))</f>
        <v/>
      </c>
      <c r="O239" s="30" t="str">
        <f aca="false">IF($B239="","",IF(AND($K239="Y",OR($D239="later",$J239="Y")),"Y","N"))</f>
        <v/>
      </c>
      <c r="P239" s="30" t="str">
        <f aca="false">IF(OR($B239="",$E239=""),"",$B239&amp;"_"&amp;$C239&amp;"_"&amp;$D239&amp;"_"&amp;TEXT($E239,"yyyy-mm-dd")&amp;".jpg")</f>
        <v/>
      </c>
      <c r="Q239" s="30" t="str">
        <f aca="false">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30" t="str">
        <f aca="false">IF($B239="","",$B239&amp;"|"&amp;$C239&amp;"|"&amp;$D239&amp;"|"&amp;$O239)</f>
        <v/>
      </c>
      <c r="S239" s="30" t="str">
        <f aca="false">IF($B239="","",$R239&amp;"|"&amp;N($E239))</f>
        <v/>
      </c>
    </row>
    <row r="240" customFormat="false" ht="15" hidden="false" customHeight="false" outlineLevel="0" collapsed="false">
      <c r="D240" s="10"/>
      <c r="E240" s="11"/>
      <c r="F240" s="38"/>
      <c r="G240" s="10"/>
      <c r="I240" s="11"/>
      <c r="J240" s="10"/>
      <c r="K240" s="10"/>
      <c r="M240" s="31" t="str">
        <f aca="false">IF($B240="","",IFERROR(IF(INDEX(campaigns!$BG$2:$BG$51,MATCH($B240,campaigns!$A$2:$A$51,0))="","",INDEX(campaigns!$BG$2:$BG$51,MATCH($B240,campaigns!$A$2:$A$51,0))),""))</f>
        <v/>
      </c>
      <c r="N240" s="30" t="str">
        <f aca="false">IF(OR($B240="",$E240="",$M240=""),"",IF($E240&lt;$M240,0,NETWORKDAYS($M240,$E240,calendar!$A$2:$A$80)))</f>
        <v/>
      </c>
      <c r="O240" s="30" t="str">
        <f aca="false">IF($B240="","",IF(AND($K240="Y",OR($D240="later",$J240="Y")),"Y","N"))</f>
        <v/>
      </c>
      <c r="P240" s="30" t="str">
        <f aca="false">IF(OR($B240="",$E240=""),"",$B240&amp;"_"&amp;$C240&amp;"_"&amp;$D240&amp;"_"&amp;TEXT($E240,"yyyy-mm-dd")&amp;".jpg")</f>
        <v/>
      </c>
      <c r="Q240" s="30" t="str">
        <f aca="false">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30" t="str">
        <f aca="false">IF($B240="","",$B240&amp;"|"&amp;$C240&amp;"|"&amp;$D240&amp;"|"&amp;$O240)</f>
        <v/>
      </c>
      <c r="S240" s="30" t="str">
        <f aca="false">IF($B240="","",$R240&amp;"|"&amp;N($E240))</f>
        <v/>
      </c>
    </row>
    <row r="241" customFormat="false" ht="15" hidden="false" customHeight="false" outlineLevel="0" collapsed="false">
      <c r="D241" s="10"/>
      <c r="E241" s="11"/>
      <c r="F241" s="38"/>
      <c r="G241" s="10"/>
      <c r="I241" s="11"/>
      <c r="J241" s="10"/>
      <c r="K241" s="10"/>
      <c r="M241" s="31" t="str">
        <f aca="false">IF($B241="","",IFERROR(IF(INDEX(campaigns!$BG$2:$BG$51,MATCH($B241,campaigns!$A$2:$A$51,0))="","",INDEX(campaigns!$BG$2:$BG$51,MATCH($B241,campaigns!$A$2:$A$51,0))),""))</f>
        <v/>
      </c>
      <c r="N241" s="30" t="str">
        <f aca="false">IF(OR($B241="",$E241="",$M241=""),"",IF($E241&lt;$M241,0,NETWORKDAYS($M241,$E241,calendar!$A$2:$A$80)))</f>
        <v/>
      </c>
      <c r="O241" s="30" t="str">
        <f aca="false">IF($B241="","",IF(AND($K241="Y",OR($D241="later",$J241="Y")),"Y","N"))</f>
        <v/>
      </c>
      <c r="P241" s="30" t="str">
        <f aca="false">IF(OR($B241="",$E241=""),"",$B241&amp;"_"&amp;$C241&amp;"_"&amp;$D241&amp;"_"&amp;TEXT($E241,"yyyy-mm-dd")&amp;".jpg")</f>
        <v/>
      </c>
      <c r="Q241" s="30" t="str">
        <f aca="false">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30" t="str">
        <f aca="false">IF($B241="","",$B241&amp;"|"&amp;$C241&amp;"|"&amp;$D241&amp;"|"&amp;$O241)</f>
        <v/>
      </c>
      <c r="S241" s="30" t="str">
        <f aca="false">IF($B241="","",$R241&amp;"|"&amp;N($E241))</f>
        <v/>
      </c>
    </row>
    <row r="242" customFormat="false" ht="15" hidden="false" customHeight="false" outlineLevel="0" collapsed="false">
      <c r="D242" s="10"/>
      <c r="E242" s="11"/>
      <c r="F242" s="38"/>
      <c r="G242" s="10"/>
      <c r="I242" s="11"/>
      <c r="J242" s="10"/>
      <c r="K242" s="10"/>
      <c r="M242" s="31" t="str">
        <f aca="false">IF($B242="","",IFERROR(IF(INDEX(campaigns!$BG$2:$BG$51,MATCH($B242,campaigns!$A$2:$A$51,0))="","",INDEX(campaigns!$BG$2:$BG$51,MATCH($B242,campaigns!$A$2:$A$51,0))),""))</f>
        <v/>
      </c>
      <c r="N242" s="30" t="str">
        <f aca="false">IF(OR($B242="",$E242="",$M242=""),"",IF($E242&lt;$M242,0,NETWORKDAYS($M242,$E242,calendar!$A$2:$A$80)))</f>
        <v/>
      </c>
      <c r="O242" s="30" t="str">
        <f aca="false">IF($B242="","",IF(AND($K242="Y",OR($D242="later",$J242="Y")),"Y","N"))</f>
        <v/>
      </c>
      <c r="P242" s="30" t="str">
        <f aca="false">IF(OR($B242="",$E242=""),"",$B242&amp;"_"&amp;$C242&amp;"_"&amp;$D242&amp;"_"&amp;TEXT($E242,"yyyy-mm-dd")&amp;".jpg")</f>
        <v/>
      </c>
      <c r="Q242" s="30" t="str">
        <f aca="false">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30" t="str">
        <f aca="false">IF($B242="","",$B242&amp;"|"&amp;$C242&amp;"|"&amp;$D242&amp;"|"&amp;$O242)</f>
        <v/>
      </c>
      <c r="S242" s="30" t="str">
        <f aca="false">IF($B242="","",$R242&amp;"|"&amp;N($E242))</f>
        <v/>
      </c>
    </row>
    <row r="243" customFormat="false" ht="15" hidden="false" customHeight="false" outlineLevel="0" collapsed="false">
      <c r="D243" s="10"/>
      <c r="E243" s="11"/>
      <c r="F243" s="38"/>
      <c r="G243" s="10"/>
      <c r="I243" s="11"/>
      <c r="J243" s="10"/>
      <c r="K243" s="10"/>
      <c r="M243" s="31" t="str">
        <f aca="false">IF($B243="","",IFERROR(IF(INDEX(campaigns!$BG$2:$BG$51,MATCH($B243,campaigns!$A$2:$A$51,0))="","",INDEX(campaigns!$BG$2:$BG$51,MATCH($B243,campaigns!$A$2:$A$51,0))),""))</f>
        <v/>
      </c>
      <c r="N243" s="30" t="str">
        <f aca="false">IF(OR($B243="",$E243="",$M243=""),"",IF($E243&lt;$M243,0,NETWORKDAYS($M243,$E243,calendar!$A$2:$A$80)))</f>
        <v/>
      </c>
      <c r="O243" s="30" t="str">
        <f aca="false">IF($B243="","",IF(AND($K243="Y",OR($D243="later",$J243="Y")),"Y","N"))</f>
        <v/>
      </c>
      <c r="P243" s="30" t="str">
        <f aca="false">IF(OR($B243="",$E243=""),"",$B243&amp;"_"&amp;$C243&amp;"_"&amp;$D243&amp;"_"&amp;TEXT($E243,"yyyy-mm-dd")&amp;".jpg")</f>
        <v/>
      </c>
      <c r="Q243" s="30" t="str">
        <f aca="false">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30" t="str">
        <f aca="false">IF($B243="","",$B243&amp;"|"&amp;$C243&amp;"|"&amp;$D243&amp;"|"&amp;$O243)</f>
        <v/>
      </c>
      <c r="S243" s="30" t="str">
        <f aca="false">IF($B243="","",$R243&amp;"|"&amp;N($E243))</f>
        <v/>
      </c>
    </row>
    <row r="244" customFormat="false" ht="15" hidden="false" customHeight="false" outlineLevel="0" collapsed="false">
      <c r="D244" s="10"/>
      <c r="E244" s="11"/>
      <c r="F244" s="38"/>
      <c r="G244" s="10"/>
      <c r="I244" s="11"/>
      <c r="J244" s="10"/>
      <c r="K244" s="10"/>
      <c r="M244" s="31" t="str">
        <f aca="false">IF($B244="","",IFERROR(IF(INDEX(campaigns!$BG$2:$BG$51,MATCH($B244,campaigns!$A$2:$A$51,0))="","",INDEX(campaigns!$BG$2:$BG$51,MATCH($B244,campaigns!$A$2:$A$51,0))),""))</f>
        <v/>
      </c>
      <c r="N244" s="30" t="str">
        <f aca="false">IF(OR($B244="",$E244="",$M244=""),"",IF($E244&lt;$M244,0,NETWORKDAYS($M244,$E244,calendar!$A$2:$A$80)))</f>
        <v/>
      </c>
      <c r="O244" s="30" t="str">
        <f aca="false">IF($B244="","",IF(AND($K244="Y",OR($D244="later",$J244="Y")),"Y","N"))</f>
        <v/>
      </c>
      <c r="P244" s="30" t="str">
        <f aca="false">IF(OR($B244="",$E244=""),"",$B244&amp;"_"&amp;$C244&amp;"_"&amp;$D244&amp;"_"&amp;TEXT($E244,"yyyy-mm-dd")&amp;".jpg")</f>
        <v/>
      </c>
      <c r="Q244" s="30" t="str">
        <f aca="false">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30" t="str">
        <f aca="false">IF($B244="","",$B244&amp;"|"&amp;$C244&amp;"|"&amp;$D244&amp;"|"&amp;$O244)</f>
        <v/>
      </c>
      <c r="S244" s="30" t="str">
        <f aca="false">IF($B244="","",$R244&amp;"|"&amp;N($E244))</f>
        <v/>
      </c>
    </row>
    <row r="245" customFormat="false" ht="15" hidden="false" customHeight="false" outlineLevel="0" collapsed="false">
      <c r="D245" s="10"/>
      <c r="E245" s="11"/>
      <c r="F245" s="38"/>
      <c r="G245" s="10"/>
      <c r="I245" s="11"/>
      <c r="J245" s="10"/>
      <c r="K245" s="10"/>
      <c r="M245" s="31" t="str">
        <f aca="false">IF($B245="","",IFERROR(IF(INDEX(campaigns!$BG$2:$BG$51,MATCH($B245,campaigns!$A$2:$A$51,0))="","",INDEX(campaigns!$BG$2:$BG$51,MATCH($B245,campaigns!$A$2:$A$51,0))),""))</f>
        <v/>
      </c>
      <c r="N245" s="30" t="str">
        <f aca="false">IF(OR($B245="",$E245="",$M245=""),"",IF($E245&lt;$M245,0,NETWORKDAYS($M245,$E245,calendar!$A$2:$A$80)))</f>
        <v/>
      </c>
      <c r="O245" s="30" t="str">
        <f aca="false">IF($B245="","",IF(AND($K245="Y",OR($D245="later",$J245="Y")),"Y","N"))</f>
        <v/>
      </c>
      <c r="P245" s="30" t="str">
        <f aca="false">IF(OR($B245="",$E245=""),"",$B245&amp;"_"&amp;$C245&amp;"_"&amp;$D245&amp;"_"&amp;TEXT($E245,"yyyy-mm-dd")&amp;".jpg")</f>
        <v/>
      </c>
      <c r="Q245" s="30" t="str">
        <f aca="false">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30" t="str">
        <f aca="false">IF($B245="","",$B245&amp;"|"&amp;$C245&amp;"|"&amp;$D245&amp;"|"&amp;$O245)</f>
        <v/>
      </c>
      <c r="S245" s="30" t="str">
        <f aca="false">IF($B245="","",$R245&amp;"|"&amp;N($E245))</f>
        <v/>
      </c>
    </row>
    <row r="246" customFormat="false" ht="15" hidden="false" customHeight="false" outlineLevel="0" collapsed="false">
      <c r="D246" s="10"/>
      <c r="E246" s="11"/>
      <c r="F246" s="38"/>
      <c r="G246" s="10"/>
      <c r="I246" s="11"/>
      <c r="J246" s="10"/>
      <c r="K246" s="10"/>
      <c r="M246" s="31" t="str">
        <f aca="false">IF($B246="","",IFERROR(IF(INDEX(campaigns!$BG$2:$BG$51,MATCH($B246,campaigns!$A$2:$A$51,0))="","",INDEX(campaigns!$BG$2:$BG$51,MATCH($B246,campaigns!$A$2:$A$51,0))),""))</f>
        <v/>
      </c>
      <c r="N246" s="30" t="str">
        <f aca="false">IF(OR($B246="",$E246="",$M246=""),"",IF($E246&lt;$M246,0,NETWORKDAYS($M246,$E246,calendar!$A$2:$A$80)))</f>
        <v/>
      </c>
      <c r="O246" s="30" t="str">
        <f aca="false">IF($B246="","",IF(AND($K246="Y",OR($D246="later",$J246="Y")),"Y","N"))</f>
        <v/>
      </c>
      <c r="P246" s="30" t="str">
        <f aca="false">IF(OR($B246="",$E246=""),"",$B246&amp;"_"&amp;$C246&amp;"_"&amp;$D246&amp;"_"&amp;TEXT($E246,"yyyy-mm-dd")&amp;".jpg")</f>
        <v/>
      </c>
      <c r="Q246" s="30" t="str">
        <f aca="false">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30" t="str">
        <f aca="false">IF($B246="","",$B246&amp;"|"&amp;$C246&amp;"|"&amp;$D246&amp;"|"&amp;$O246)</f>
        <v/>
      </c>
      <c r="S246" s="30" t="str">
        <f aca="false">IF($B246="","",$R246&amp;"|"&amp;N($E246))</f>
        <v/>
      </c>
    </row>
    <row r="247" customFormat="false" ht="15" hidden="false" customHeight="false" outlineLevel="0" collapsed="false">
      <c r="D247" s="10"/>
      <c r="E247" s="11"/>
      <c r="F247" s="38"/>
      <c r="G247" s="10"/>
      <c r="I247" s="11"/>
      <c r="J247" s="10"/>
      <c r="K247" s="10"/>
      <c r="M247" s="31" t="str">
        <f aca="false">IF($B247="","",IFERROR(IF(INDEX(campaigns!$BG$2:$BG$51,MATCH($B247,campaigns!$A$2:$A$51,0))="","",INDEX(campaigns!$BG$2:$BG$51,MATCH($B247,campaigns!$A$2:$A$51,0))),""))</f>
        <v/>
      </c>
      <c r="N247" s="30" t="str">
        <f aca="false">IF(OR($B247="",$E247="",$M247=""),"",IF($E247&lt;$M247,0,NETWORKDAYS($M247,$E247,calendar!$A$2:$A$80)))</f>
        <v/>
      </c>
      <c r="O247" s="30" t="str">
        <f aca="false">IF($B247="","",IF(AND($K247="Y",OR($D247="later",$J247="Y")),"Y","N"))</f>
        <v/>
      </c>
      <c r="P247" s="30" t="str">
        <f aca="false">IF(OR($B247="",$E247=""),"",$B247&amp;"_"&amp;$C247&amp;"_"&amp;$D247&amp;"_"&amp;TEXT($E247,"yyyy-mm-dd")&amp;".jpg")</f>
        <v/>
      </c>
      <c r="Q247" s="30" t="str">
        <f aca="false">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30" t="str">
        <f aca="false">IF($B247="","",$B247&amp;"|"&amp;$C247&amp;"|"&amp;$D247&amp;"|"&amp;$O247)</f>
        <v/>
      </c>
      <c r="S247" s="30" t="str">
        <f aca="false">IF($B247="","",$R247&amp;"|"&amp;N($E247))</f>
        <v/>
      </c>
    </row>
    <row r="248" customFormat="false" ht="15" hidden="false" customHeight="false" outlineLevel="0" collapsed="false">
      <c r="D248" s="10"/>
      <c r="E248" s="11"/>
      <c r="F248" s="38"/>
      <c r="G248" s="10"/>
      <c r="I248" s="11"/>
      <c r="J248" s="10"/>
      <c r="K248" s="10"/>
      <c r="M248" s="31" t="str">
        <f aca="false">IF($B248="","",IFERROR(IF(INDEX(campaigns!$BG$2:$BG$51,MATCH($B248,campaigns!$A$2:$A$51,0))="","",INDEX(campaigns!$BG$2:$BG$51,MATCH($B248,campaigns!$A$2:$A$51,0))),""))</f>
        <v/>
      </c>
      <c r="N248" s="30" t="str">
        <f aca="false">IF(OR($B248="",$E248="",$M248=""),"",IF($E248&lt;$M248,0,NETWORKDAYS($M248,$E248,calendar!$A$2:$A$80)))</f>
        <v/>
      </c>
      <c r="O248" s="30" t="str">
        <f aca="false">IF($B248="","",IF(AND($K248="Y",OR($D248="later",$J248="Y")),"Y","N"))</f>
        <v/>
      </c>
      <c r="P248" s="30" t="str">
        <f aca="false">IF(OR($B248="",$E248=""),"",$B248&amp;"_"&amp;$C248&amp;"_"&amp;$D248&amp;"_"&amp;TEXT($E248,"yyyy-mm-dd")&amp;".jpg")</f>
        <v/>
      </c>
      <c r="Q248" s="30" t="str">
        <f aca="false">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30" t="str">
        <f aca="false">IF($B248="","",$B248&amp;"|"&amp;$C248&amp;"|"&amp;$D248&amp;"|"&amp;$O248)</f>
        <v/>
      </c>
      <c r="S248" s="30" t="str">
        <f aca="false">IF($B248="","",$R248&amp;"|"&amp;N($E248))</f>
        <v/>
      </c>
    </row>
    <row r="249" customFormat="false" ht="15" hidden="false" customHeight="false" outlineLevel="0" collapsed="false">
      <c r="D249" s="10"/>
      <c r="E249" s="11"/>
      <c r="F249" s="38"/>
      <c r="G249" s="10"/>
      <c r="I249" s="11"/>
      <c r="J249" s="10"/>
      <c r="K249" s="10"/>
      <c r="M249" s="31" t="str">
        <f aca="false">IF($B249="","",IFERROR(IF(INDEX(campaigns!$BG$2:$BG$51,MATCH($B249,campaigns!$A$2:$A$51,0))="","",INDEX(campaigns!$BG$2:$BG$51,MATCH($B249,campaigns!$A$2:$A$51,0))),""))</f>
        <v/>
      </c>
      <c r="N249" s="30" t="str">
        <f aca="false">IF(OR($B249="",$E249="",$M249=""),"",IF($E249&lt;$M249,0,NETWORKDAYS($M249,$E249,calendar!$A$2:$A$80)))</f>
        <v/>
      </c>
      <c r="O249" s="30" t="str">
        <f aca="false">IF($B249="","",IF(AND($K249="Y",OR($D249="later",$J249="Y")),"Y","N"))</f>
        <v/>
      </c>
      <c r="P249" s="30" t="str">
        <f aca="false">IF(OR($B249="",$E249=""),"",$B249&amp;"_"&amp;$C249&amp;"_"&amp;$D249&amp;"_"&amp;TEXT($E249,"yyyy-mm-dd")&amp;".jpg")</f>
        <v/>
      </c>
      <c r="Q249" s="30" t="str">
        <f aca="false">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30" t="str">
        <f aca="false">IF($B249="","",$B249&amp;"|"&amp;$C249&amp;"|"&amp;$D249&amp;"|"&amp;$O249)</f>
        <v/>
      </c>
      <c r="S249" s="30" t="str">
        <f aca="false">IF($B249="","",$R249&amp;"|"&amp;N($E249))</f>
        <v/>
      </c>
    </row>
    <row r="250" customFormat="false" ht="15" hidden="false" customHeight="false" outlineLevel="0" collapsed="false">
      <c r="D250" s="10"/>
      <c r="E250" s="11"/>
      <c r="F250" s="38"/>
      <c r="G250" s="10"/>
      <c r="I250" s="11"/>
      <c r="J250" s="10"/>
      <c r="K250" s="10"/>
      <c r="M250" s="31" t="str">
        <f aca="false">IF($B250="","",IFERROR(IF(INDEX(campaigns!$BG$2:$BG$51,MATCH($B250,campaigns!$A$2:$A$51,0))="","",INDEX(campaigns!$BG$2:$BG$51,MATCH($B250,campaigns!$A$2:$A$51,0))),""))</f>
        <v/>
      </c>
      <c r="N250" s="30" t="str">
        <f aca="false">IF(OR($B250="",$E250="",$M250=""),"",IF($E250&lt;$M250,0,NETWORKDAYS($M250,$E250,calendar!$A$2:$A$80)))</f>
        <v/>
      </c>
      <c r="O250" s="30" t="str">
        <f aca="false">IF($B250="","",IF(AND($K250="Y",OR($D250="later",$J250="Y")),"Y","N"))</f>
        <v/>
      </c>
      <c r="P250" s="30" t="str">
        <f aca="false">IF(OR($B250="",$E250=""),"",$B250&amp;"_"&amp;$C250&amp;"_"&amp;$D250&amp;"_"&amp;TEXT($E250,"yyyy-mm-dd")&amp;".jpg")</f>
        <v/>
      </c>
      <c r="Q250" s="30" t="str">
        <f aca="false">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30" t="str">
        <f aca="false">IF($B250="","",$B250&amp;"|"&amp;$C250&amp;"|"&amp;$D250&amp;"|"&amp;$O250)</f>
        <v/>
      </c>
      <c r="S250" s="30" t="str">
        <f aca="false">IF($B250="","",$R250&amp;"|"&amp;N($E250))</f>
        <v/>
      </c>
    </row>
    <row r="251" customFormat="false" ht="15" hidden="false" customHeight="false" outlineLevel="0" collapsed="false">
      <c r="D251" s="10"/>
      <c r="E251" s="11"/>
      <c r="F251" s="38"/>
      <c r="G251" s="10"/>
      <c r="I251" s="11"/>
      <c r="J251" s="10"/>
      <c r="K251" s="10"/>
      <c r="M251" s="31" t="str">
        <f aca="false">IF($B251="","",IFERROR(IF(INDEX(campaigns!$BG$2:$BG$51,MATCH($B251,campaigns!$A$2:$A$51,0))="","",INDEX(campaigns!$BG$2:$BG$51,MATCH($B251,campaigns!$A$2:$A$51,0))),""))</f>
        <v/>
      </c>
      <c r="N251" s="30" t="str">
        <f aca="false">IF(OR($B251="",$E251="",$M251=""),"",IF($E251&lt;$M251,0,NETWORKDAYS($M251,$E251,calendar!$A$2:$A$80)))</f>
        <v/>
      </c>
      <c r="O251" s="30" t="str">
        <f aca="false">IF($B251="","",IF(AND($K251="Y",OR($D251="later",$J251="Y")),"Y","N"))</f>
        <v/>
      </c>
      <c r="P251" s="30" t="str">
        <f aca="false">IF(OR($B251="",$E251=""),"",$B251&amp;"_"&amp;$C251&amp;"_"&amp;$D251&amp;"_"&amp;TEXT($E251,"yyyy-mm-dd")&amp;".jpg")</f>
        <v/>
      </c>
      <c r="Q251" s="30" t="str">
        <f aca="false">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30" t="str">
        <f aca="false">IF($B251="","",$B251&amp;"|"&amp;$C251&amp;"|"&amp;$D251&amp;"|"&amp;$O251)</f>
        <v/>
      </c>
      <c r="S251" s="30" t="str">
        <f aca="false">IF($B251="","",$R251&amp;"|"&amp;N($E251))</f>
        <v/>
      </c>
    </row>
    <row r="252" customFormat="false" ht="15" hidden="false" customHeight="false" outlineLevel="0" collapsed="false">
      <c r="D252" s="10"/>
      <c r="E252" s="11"/>
      <c r="F252" s="38"/>
      <c r="G252" s="10"/>
      <c r="I252" s="11"/>
      <c r="J252" s="10"/>
      <c r="K252" s="10"/>
      <c r="M252" s="31" t="str">
        <f aca="false">IF($B252="","",IFERROR(IF(INDEX(campaigns!$BG$2:$BG$51,MATCH($B252,campaigns!$A$2:$A$51,0))="","",INDEX(campaigns!$BG$2:$BG$51,MATCH($B252,campaigns!$A$2:$A$51,0))),""))</f>
        <v/>
      </c>
      <c r="N252" s="30" t="str">
        <f aca="false">IF(OR($B252="",$E252="",$M252=""),"",IF($E252&lt;$M252,0,NETWORKDAYS($M252,$E252,calendar!$A$2:$A$80)))</f>
        <v/>
      </c>
      <c r="O252" s="30" t="str">
        <f aca="false">IF($B252="","",IF(AND($K252="Y",OR($D252="later",$J252="Y")),"Y","N"))</f>
        <v/>
      </c>
      <c r="P252" s="30" t="str">
        <f aca="false">IF(OR($B252="",$E252=""),"",$B252&amp;"_"&amp;$C252&amp;"_"&amp;$D252&amp;"_"&amp;TEXT($E252,"yyyy-mm-dd")&amp;".jpg")</f>
        <v/>
      </c>
      <c r="Q252" s="30" t="str">
        <f aca="false">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30" t="str">
        <f aca="false">IF($B252="","",$B252&amp;"|"&amp;$C252&amp;"|"&amp;$D252&amp;"|"&amp;$O252)</f>
        <v/>
      </c>
      <c r="S252" s="30" t="str">
        <f aca="false">IF($B252="","",$R252&amp;"|"&amp;N($E252))</f>
        <v/>
      </c>
    </row>
    <row r="253" customFormat="false" ht="15" hidden="false" customHeight="false" outlineLevel="0" collapsed="false">
      <c r="D253" s="10"/>
      <c r="E253" s="11"/>
      <c r="F253" s="38"/>
      <c r="G253" s="10"/>
      <c r="I253" s="11"/>
      <c r="J253" s="10"/>
      <c r="K253" s="10"/>
      <c r="M253" s="31" t="str">
        <f aca="false">IF($B253="","",IFERROR(IF(INDEX(campaigns!$BG$2:$BG$51,MATCH($B253,campaigns!$A$2:$A$51,0))="","",INDEX(campaigns!$BG$2:$BG$51,MATCH($B253,campaigns!$A$2:$A$51,0))),""))</f>
        <v/>
      </c>
      <c r="N253" s="30" t="str">
        <f aca="false">IF(OR($B253="",$E253="",$M253=""),"",IF($E253&lt;$M253,0,NETWORKDAYS($M253,$E253,calendar!$A$2:$A$80)))</f>
        <v/>
      </c>
      <c r="O253" s="30" t="str">
        <f aca="false">IF($B253="","",IF(AND($K253="Y",OR($D253="later",$J253="Y")),"Y","N"))</f>
        <v/>
      </c>
      <c r="P253" s="30" t="str">
        <f aca="false">IF(OR($B253="",$E253=""),"",$B253&amp;"_"&amp;$C253&amp;"_"&amp;$D253&amp;"_"&amp;TEXT($E253,"yyyy-mm-dd")&amp;".jpg")</f>
        <v/>
      </c>
      <c r="Q253" s="30" t="str">
        <f aca="false">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30" t="str">
        <f aca="false">IF($B253="","",$B253&amp;"|"&amp;$C253&amp;"|"&amp;$D253&amp;"|"&amp;$O253)</f>
        <v/>
      </c>
      <c r="S253" s="30" t="str">
        <f aca="false">IF($B253="","",$R253&amp;"|"&amp;N($E253))</f>
        <v/>
      </c>
    </row>
    <row r="254" customFormat="false" ht="15" hidden="false" customHeight="false" outlineLevel="0" collapsed="false">
      <c r="D254" s="10"/>
      <c r="E254" s="11"/>
      <c r="F254" s="38"/>
      <c r="G254" s="10"/>
      <c r="I254" s="11"/>
      <c r="J254" s="10"/>
      <c r="K254" s="10"/>
      <c r="M254" s="31" t="str">
        <f aca="false">IF($B254="","",IFERROR(IF(INDEX(campaigns!$BG$2:$BG$51,MATCH($B254,campaigns!$A$2:$A$51,0))="","",INDEX(campaigns!$BG$2:$BG$51,MATCH($B254,campaigns!$A$2:$A$51,0))),""))</f>
        <v/>
      </c>
      <c r="N254" s="30" t="str">
        <f aca="false">IF(OR($B254="",$E254="",$M254=""),"",IF($E254&lt;$M254,0,NETWORKDAYS($M254,$E254,calendar!$A$2:$A$80)))</f>
        <v/>
      </c>
      <c r="O254" s="30" t="str">
        <f aca="false">IF($B254="","",IF(AND($K254="Y",OR($D254="later",$J254="Y")),"Y","N"))</f>
        <v/>
      </c>
      <c r="P254" s="30" t="str">
        <f aca="false">IF(OR($B254="",$E254=""),"",$B254&amp;"_"&amp;$C254&amp;"_"&amp;$D254&amp;"_"&amp;TEXT($E254,"yyyy-mm-dd")&amp;".jpg")</f>
        <v/>
      </c>
      <c r="Q254" s="30" t="str">
        <f aca="false">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30" t="str">
        <f aca="false">IF($B254="","",$B254&amp;"|"&amp;$C254&amp;"|"&amp;$D254&amp;"|"&amp;$O254)</f>
        <v/>
      </c>
      <c r="S254" s="30" t="str">
        <f aca="false">IF($B254="","",$R254&amp;"|"&amp;N($E254))</f>
        <v/>
      </c>
    </row>
    <row r="255" customFormat="false" ht="15" hidden="false" customHeight="false" outlineLevel="0" collapsed="false">
      <c r="D255" s="10"/>
      <c r="E255" s="11"/>
      <c r="F255" s="38"/>
      <c r="G255" s="10"/>
      <c r="I255" s="11"/>
      <c r="J255" s="10"/>
      <c r="K255" s="10"/>
      <c r="M255" s="31" t="str">
        <f aca="false">IF($B255="","",IFERROR(IF(INDEX(campaigns!$BG$2:$BG$51,MATCH($B255,campaigns!$A$2:$A$51,0))="","",INDEX(campaigns!$BG$2:$BG$51,MATCH($B255,campaigns!$A$2:$A$51,0))),""))</f>
        <v/>
      </c>
      <c r="N255" s="30" t="str">
        <f aca="false">IF(OR($B255="",$E255="",$M255=""),"",IF($E255&lt;$M255,0,NETWORKDAYS($M255,$E255,calendar!$A$2:$A$80)))</f>
        <v/>
      </c>
      <c r="O255" s="30" t="str">
        <f aca="false">IF($B255="","",IF(AND($K255="Y",OR($D255="later",$J255="Y")),"Y","N"))</f>
        <v/>
      </c>
      <c r="P255" s="30" t="str">
        <f aca="false">IF(OR($B255="",$E255=""),"",$B255&amp;"_"&amp;$C255&amp;"_"&amp;$D255&amp;"_"&amp;TEXT($E255,"yyyy-mm-dd")&amp;".jpg")</f>
        <v/>
      </c>
      <c r="Q255" s="30" t="str">
        <f aca="false">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30" t="str">
        <f aca="false">IF($B255="","",$B255&amp;"|"&amp;$C255&amp;"|"&amp;$D255&amp;"|"&amp;$O255)</f>
        <v/>
      </c>
      <c r="S255" s="30" t="str">
        <f aca="false">IF($B255="","",$R255&amp;"|"&amp;N($E255))</f>
        <v/>
      </c>
    </row>
    <row r="256" customFormat="false" ht="15" hidden="false" customHeight="false" outlineLevel="0" collapsed="false">
      <c r="D256" s="10"/>
      <c r="E256" s="11"/>
      <c r="F256" s="38"/>
      <c r="G256" s="10"/>
      <c r="I256" s="11"/>
      <c r="J256" s="10"/>
      <c r="K256" s="10"/>
      <c r="M256" s="31" t="str">
        <f aca="false">IF($B256="","",IFERROR(IF(INDEX(campaigns!$BG$2:$BG$51,MATCH($B256,campaigns!$A$2:$A$51,0))="","",INDEX(campaigns!$BG$2:$BG$51,MATCH($B256,campaigns!$A$2:$A$51,0))),""))</f>
        <v/>
      </c>
      <c r="N256" s="30" t="str">
        <f aca="false">IF(OR($B256="",$E256="",$M256=""),"",IF($E256&lt;$M256,0,NETWORKDAYS($M256,$E256,calendar!$A$2:$A$80)))</f>
        <v/>
      </c>
      <c r="O256" s="30" t="str">
        <f aca="false">IF($B256="","",IF(AND($K256="Y",OR($D256="later",$J256="Y")),"Y","N"))</f>
        <v/>
      </c>
      <c r="P256" s="30" t="str">
        <f aca="false">IF(OR($B256="",$E256=""),"",$B256&amp;"_"&amp;$C256&amp;"_"&amp;$D256&amp;"_"&amp;TEXT($E256,"yyyy-mm-dd")&amp;".jpg")</f>
        <v/>
      </c>
      <c r="Q256" s="30" t="str">
        <f aca="false">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30" t="str">
        <f aca="false">IF($B256="","",$B256&amp;"|"&amp;$C256&amp;"|"&amp;$D256&amp;"|"&amp;$O256)</f>
        <v/>
      </c>
      <c r="S256" s="30" t="str">
        <f aca="false">IF($B256="","",$R256&amp;"|"&amp;N($E256))</f>
        <v/>
      </c>
    </row>
    <row r="257" customFormat="false" ht="15" hidden="false" customHeight="false" outlineLevel="0" collapsed="false">
      <c r="D257" s="10"/>
      <c r="E257" s="11"/>
      <c r="F257" s="38"/>
      <c r="G257" s="10"/>
      <c r="I257" s="11"/>
      <c r="J257" s="10"/>
      <c r="K257" s="10"/>
      <c r="M257" s="31" t="str">
        <f aca="false">IF($B257="","",IFERROR(IF(INDEX(campaigns!$BG$2:$BG$51,MATCH($B257,campaigns!$A$2:$A$51,0))="","",INDEX(campaigns!$BG$2:$BG$51,MATCH($B257,campaigns!$A$2:$A$51,0))),""))</f>
        <v/>
      </c>
      <c r="N257" s="30" t="str">
        <f aca="false">IF(OR($B257="",$E257="",$M257=""),"",IF($E257&lt;$M257,0,NETWORKDAYS($M257,$E257,calendar!$A$2:$A$80)))</f>
        <v/>
      </c>
      <c r="O257" s="30" t="str">
        <f aca="false">IF($B257="","",IF(AND($K257="Y",OR($D257="later",$J257="Y")),"Y","N"))</f>
        <v/>
      </c>
      <c r="P257" s="30" t="str">
        <f aca="false">IF(OR($B257="",$E257=""),"",$B257&amp;"_"&amp;$C257&amp;"_"&amp;$D257&amp;"_"&amp;TEXT($E257,"yyyy-mm-dd")&amp;".jpg")</f>
        <v/>
      </c>
      <c r="Q257" s="30" t="str">
        <f aca="false">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30" t="str">
        <f aca="false">IF($B257="","",$B257&amp;"|"&amp;$C257&amp;"|"&amp;$D257&amp;"|"&amp;$O257)</f>
        <v/>
      </c>
      <c r="S257" s="30" t="str">
        <f aca="false">IF($B257="","",$R257&amp;"|"&amp;N($E257))</f>
        <v/>
      </c>
    </row>
    <row r="258" customFormat="false" ht="15" hidden="false" customHeight="false" outlineLevel="0" collapsed="false">
      <c r="D258" s="10"/>
      <c r="E258" s="11"/>
      <c r="F258" s="38"/>
      <c r="G258" s="10"/>
      <c r="I258" s="11"/>
      <c r="J258" s="10"/>
      <c r="K258" s="10"/>
      <c r="M258" s="31" t="str">
        <f aca="false">IF($B258="","",IFERROR(IF(INDEX(campaigns!$BG$2:$BG$51,MATCH($B258,campaigns!$A$2:$A$51,0))="","",INDEX(campaigns!$BG$2:$BG$51,MATCH($B258,campaigns!$A$2:$A$51,0))),""))</f>
        <v/>
      </c>
      <c r="N258" s="30" t="str">
        <f aca="false">IF(OR($B258="",$E258="",$M258=""),"",IF($E258&lt;$M258,0,NETWORKDAYS($M258,$E258,calendar!$A$2:$A$80)))</f>
        <v/>
      </c>
      <c r="O258" s="30" t="str">
        <f aca="false">IF($B258="","",IF(AND($K258="Y",OR($D258="later",$J258="Y")),"Y","N"))</f>
        <v/>
      </c>
      <c r="P258" s="30" t="str">
        <f aca="false">IF(OR($B258="",$E258=""),"",$B258&amp;"_"&amp;$C258&amp;"_"&amp;$D258&amp;"_"&amp;TEXT($E258,"yyyy-mm-dd")&amp;".jpg")</f>
        <v/>
      </c>
      <c r="Q258" s="30" t="str">
        <f aca="false">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30" t="str">
        <f aca="false">IF($B258="","",$B258&amp;"|"&amp;$C258&amp;"|"&amp;$D258&amp;"|"&amp;$O258)</f>
        <v/>
      </c>
      <c r="S258" s="30" t="str">
        <f aca="false">IF($B258="","",$R258&amp;"|"&amp;N($E258))</f>
        <v/>
      </c>
    </row>
    <row r="259" customFormat="false" ht="15" hidden="false" customHeight="false" outlineLevel="0" collapsed="false">
      <c r="D259" s="10"/>
      <c r="E259" s="11"/>
      <c r="F259" s="38"/>
      <c r="G259" s="10"/>
      <c r="I259" s="11"/>
      <c r="J259" s="10"/>
      <c r="K259" s="10"/>
      <c r="M259" s="31" t="str">
        <f aca="false">IF($B259="","",IFERROR(IF(INDEX(campaigns!$BG$2:$BG$51,MATCH($B259,campaigns!$A$2:$A$51,0))="","",INDEX(campaigns!$BG$2:$BG$51,MATCH($B259,campaigns!$A$2:$A$51,0))),""))</f>
        <v/>
      </c>
      <c r="N259" s="30" t="str">
        <f aca="false">IF(OR($B259="",$E259="",$M259=""),"",IF($E259&lt;$M259,0,NETWORKDAYS($M259,$E259,calendar!$A$2:$A$80)))</f>
        <v/>
      </c>
      <c r="O259" s="30" t="str">
        <f aca="false">IF($B259="","",IF(AND($K259="Y",OR($D259="later",$J259="Y")),"Y","N"))</f>
        <v/>
      </c>
      <c r="P259" s="30" t="str">
        <f aca="false">IF(OR($B259="",$E259=""),"",$B259&amp;"_"&amp;$C259&amp;"_"&amp;$D259&amp;"_"&amp;TEXT($E259,"yyyy-mm-dd")&amp;".jpg")</f>
        <v/>
      </c>
      <c r="Q259" s="30" t="str">
        <f aca="false">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30" t="str">
        <f aca="false">IF($B259="","",$B259&amp;"|"&amp;$C259&amp;"|"&amp;$D259&amp;"|"&amp;$O259)</f>
        <v/>
      </c>
      <c r="S259" s="30" t="str">
        <f aca="false">IF($B259="","",$R259&amp;"|"&amp;N($E259))</f>
        <v/>
      </c>
    </row>
    <row r="260" customFormat="false" ht="15" hidden="false" customHeight="false" outlineLevel="0" collapsed="false">
      <c r="D260" s="10"/>
      <c r="E260" s="11"/>
      <c r="F260" s="38"/>
      <c r="G260" s="10"/>
      <c r="I260" s="11"/>
      <c r="J260" s="10"/>
      <c r="K260" s="10"/>
      <c r="M260" s="31" t="str">
        <f aca="false">IF($B260="","",IFERROR(IF(INDEX(campaigns!$BG$2:$BG$51,MATCH($B260,campaigns!$A$2:$A$51,0))="","",INDEX(campaigns!$BG$2:$BG$51,MATCH($B260,campaigns!$A$2:$A$51,0))),""))</f>
        <v/>
      </c>
      <c r="N260" s="30" t="str">
        <f aca="false">IF(OR($B260="",$E260="",$M260=""),"",IF($E260&lt;$M260,0,NETWORKDAYS($M260,$E260,calendar!$A$2:$A$80)))</f>
        <v/>
      </c>
      <c r="O260" s="30" t="str">
        <f aca="false">IF($B260="","",IF(AND($K260="Y",OR($D260="later",$J260="Y")),"Y","N"))</f>
        <v/>
      </c>
      <c r="P260" s="30" t="str">
        <f aca="false">IF(OR($B260="",$E260=""),"",$B260&amp;"_"&amp;$C260&amp;"_"&amp;$D260&amp;"_"&amp;TEXT($E260,"yyyy-mm-dd")&amp;".jpg")</f>
        <v/>
      </c>
      <c r="Q260" s="30" t="str">
        <f aca="false">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30" t="str">
        <f aca="false">IF($B260="","",$B260&amp;"|"&amp;$C260&amp;"|"&amp;$D260&amp;"|"&amp;$O260)</f>
        <v/>
      </c>
      <c r="S260" s="30" t="str">
        <f aca="false">IF($B260="","",$R260&amp;"|"&amp;N($E260))</f>
        <v/>
      </c>
    </row>
    <row r="261" customFormat="false" ht="15" hidden="false" customHeight="false" outlineLevel="0" collapsed="false">
      <c r="D261" s="10"/>
      <c r="E261" s="11"/>
      <c r="F261" s="38"/>
      <c r="G261" s="10"/>
      <c r="I261" s="11"/>
      <c r="J261" s="10"/>
      <c r="K261" s="10"/>
      <c r="M261" s="31" t="str">
        <f aca="false">IF($B261="","",IFERROR(IF(INDEX(campaigns!$BG$2:$BG$51,MATCH($B261,campaigns!$A$2:$A$51,0))="","",INDEX(campaigns!$BG$2:$BG$51,MATCH($B261,campaigns!$A$2:$A$51,0))),""))</f>
        <v/>
      </c>
      <c r="N261" s="30" t="str">
        <f aca="false">IF(OR($B261="",$E261="",$M261=""),"",IF($E261&lt;$M261,0,NETWORKDAYS($M261,$E261,calendar!$A$2:$A$80)))</f>
        <v/>
      </c>
      <c r="O261" s="30" t="str">
        <f aca="false">IF($B261="","",IF(AND($K261="Y",OR($D261="later",$J261="Y")),"Y","N"))</f>
        <v/>
      </c>
      <c r="P261" s="30" t="str">
        <f aca="false">IF(OR($B261="",$E261=""),"",$B261&amp;"_"&amp;$C261&amp;"_"&amp;$D261&amp;"_"&amp;TEXT($E261,"yyyy-mm-dd")&amp;".jpg")</f>
        <v/>
      </c>
      <c r="Q261" s="30" t="str">
        <f aca="false">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30" t="str">
        <f aca="false">IF($B261="","",$B261&amp;"|"&amp;$C261&amp;"|"&amp;$D261&amp;"|"&amp;$O261)</f>
        <v/>
      </c>
      <c r="S261" s="30" t="str">
        <f aca="false">IF($B261="","",$R261&amp;"|"&amp;N($E261))</f>
        <v/>
      </c>
    </row>
    <row r="262" customFormat="false" ht="15" hidden="false" customHeight="false" outlineLevel="0" collapsed="false">
      <c r="D262" s="10"/>
      <c r="E262" s="11"/>
      <c r="F262" s="38"/>
      <c r="G262" s="10"/>
      <c r="I262" s="11"/>
      <c r="J262" s="10"/>
      <c r="K262" s="10"/>
      <c r="M262" s="31" t="str">
        <f aca="false">IF($B262="","",IFERROR(IF(INDEX(campaigns!$BG$2:$BG$51,MATCH($B262,campaigns!$A$2:$A$51,0))="","",INDEX(campaigns!$BG$2:$BG$51,MATCH($B262,campaigns!$A$2:$A$51,0))),""))</f>
        <v/>
      </c>
      <c r="N262" s="30" t="str">
        <f aca="false">IF(OR($B262="",$E262="",$M262=""),"",IF($E262&lt;$M262,0,NETWORKDAYS($M262,$E262,calendar!$A$2:$A$80)))</f>
        <v/>
      </c>
      <c r="O262" s="30" t="str">
        <f aca="false">IF($B262="","",IF(AND($K262="Y",OR($D262="later",$J262="Y")),"Y","N"))</f>
        <v/>
      </c>
      <c r="P262" s="30" t="str">
        <f aca="false">IF(OR($B262="",$E262=""),"",$B262&amp;"_"&amp;$C262&amp;"_"&amp;$D262&amp;"_"&amp;TEXT($E262,"yyyy-mm-dd")&amp;".jpg")</f>
        <v/>
      </c>
      <c r="Q262" s="30" t="str">
        <f aca="false">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30" t="str">
        <f aca="false">IF($B262="","",$B262&amp;"|"&amp;$C262&amp;"|"&amp;$D262&amp;"|"&amp;$O262)</f>
        <v/>
      </c>
      <c r="S262" s="30" t="str">
        <f aca="false">IF($B262="","",$R262&amp;"|"&amp;N($E262))</f>
        <v/>
      </c>
    </row>
    <row r="263" customFormat="false" ht="15" hidden="false" customHeight="false" outlineLevel="0" collapsed="false">
      <c r="D263" s="10"/>
      <c r="E263" s="11"/>
      <c r="F263" s="38"/>
      <c r="G263" s="10"/>
      <c r="I263" s="11"/>
      <c r="J263" s="10"/>
      <c r="K263" s="10"/>
      <c r="M263" s="31" t="str">
        <f aca="false">IF($B263="","",IFERROR(IF(INDEX(campaigns!$BG$2:$BG$51,MATCH($B263,campaigns!$A$2:$A$51,0))="","",INDEX(campaigns!$BG$2:$BG$51,MATCH($B263,campaigns!$A$2:$A$51,0))),""))</f>
        <v/>
      </c>
      <c r="N263" s="30" t="str">
        <f aca="false">IF(OR($B263="",$E263="",$M263=""),"",IF($E263&lt;$M263,0,NETWORKDAYS($M263,$E263,calendar!$A$2:$A$80)))</f>
        <v/>
      </c>
      <c r="O263" s="30" t="str">
        <f aca="false">IF($B263="","",IF(AND($K263="Y",OR($D263="later",$J263="Y")),"Y","N"))</f>
        <v/>
      </c>
      <c r="P263" s="30" t="str">
        <f aca="false">IF(OR($B263="",$E263=""),"",$B263&amp;"_"&amp;$C263&amp;"_"&amp;$D263&amp;"_"&amp;TEXT($E263,"yyyy-mm-dd")&amp;".jpg")</f>
        <v/>
      </c>
      <c r="Q263" s="30" t="str">
        <f aca="false">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30" t="str">
        <f aca="false">IF($B263="","",$B263&amp;"|"&amp;$C263&amp;"|"&amp;$D263&amp;"|"&amp;$O263)</f>
        <v/>
      </c>
      <c r="S263" s="30" t="str">
        <f aca="false">IF($B263="","",$R263&amp;"|"&amp;N($E263))</f>
        <v/>
      </c>
    </row>
    <row r="264" customFormat="false" ht="15" hidden="false" customHeight="false" outlineLevel="0" collapsed="false">
      <c r="D264" s="10"/>
      <c r="E264" s="11"/>
      <c r="F264" s="38"/>
      <c r="G264" s="10"/>
      <c r="I264" s="11"/>
      <c r="J264" s="10"/>
      <c r="K264" s="10"/>
      <c r="M264" s="31" t="str">
        <f aca="false">IF($B264="","",IFERROR(IF(INDEX(campaigns!$BG$2:$BG$51,MATCH($B264,campaigns!$A$2:$A$51,0))="","",INDEX(campaigns!$BG$2:$BG$51,MATCH($B264,campaigns!$A$2:$A$51,0))),""))</f>
        <v/>
      </c>
      <c r="N264" s="30" t="str">
        <f aca="false">IF(OR($B264="",$E264="",$M264=""),"",IF($E264&lt;$M264,0,NETWORKDAYS($M264,$E264,calendar!$A$2:$A$80)))</f>
        <v/>
      </c>
      <c r="O264" s="30" t="str">
        <f aca="false">IF($B264="","",IF(AND($K264="Y",OR($D264="later",$J264="Y")),"Y","N"))</f>
        <v/>
      </c>
      <c r="P264" s="30" t="str">
        <f aca="false">IF(OR($B264="",$E264=""),"",$B264&amp;"_"&amp;$C264&amp;"_"&amp;$D264&amp;"_"&amp;TEXT($E264,"yyyy-mm-dd")&amp;".jpg")</f>
        <v/>
      </c>
      <c r="Q264" s="30" t="str">
        <f aca="false">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30" t="str">
        <f aca="false">IF($B264="","",$B264&amp;"|"&amp;$C264&amp;"|"&amp;$D264&amp;"|"&amp;$O264)</f>
        <v/>
      </c>
      <c r="S264" s="30" t="str">
        <f aca="false">IF($B264="","",$R264&amp;"|"&amp;N($E264))</f>
        <v/>
      </c>
    </row>
    <row r="265" customFormat="false" ht="15" hidden="false" customHeight="false" outlineLevel="0" collapsed="false">
      <c r="D265" s="10"/>
      <c r="E265" s="11"/>
      <c r="F265" s="38"/>
      <c r="G265" s="10"/>
      <c r="I265" s="11"/>
      <c r="J265" s="10"/>
      <c r="K265" s="10"/>
      <c r="M265" s="31" t="str">
        <f aca="false">IF($B265="","",IFERROR(IF(INDEX(campaigns!$BG$2:$BG$51,MATCH($B265,campaigns!$A$2:$A$51,0))="","",INDEX(campaigns!$BG$2:$BG$51,MATCH($B265,campaigns!$A$2:$A$51,0))),""))</f>
        <v/>
      </c>
      <c r="N265" s="30" t="str">
        <f aca="false">IF(OR($B265="",$E265="",$M265=""),"",IF($E265&lt;$M265,0,NETWORKDAYS($M265,$E265,calendar!$A$2:$A$80)))</f>
        <v/>
      </c>
      <c r="O265" s="30" t="str">
        <f aca="false">IF($B265="","",IF(AND($K265="Y",OR($D265="later",$J265="Y")),"Y","N"))</f>
        <v/>
      </c>
      <c r="P265" s="30" t="str">
        <f aca="false">IF(OR($B265="",$E265=""),"",$B265&amp;"_"&amp;$C265&amp;"_"&amp;$D265&amp;"_"&amp;TEXT($E265,"yyyy-mm-dd")&amp;".jpg")</f>
        <v/>
      </c>
      <c r="Q265" s="30" t="str">
        <f aca="false">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30" t="str">
        <f aca="false">IF($B265="","",$B265&amp;"|"&amp;$C265&amp;"|"&amp;$D265&amp;"|"&amp;$O265)</f>
        <v/>
      </c>
      <c r="S265" s="30" t="str">
        <f aca="false">IF($B265="","",$R265&amp;"|"&amp;N($E265))</f>
        <v/>
      </c>
    </row>
    <row r="266" customFormat="false" ht="15" hidden="false" customHeight="false" outlineLevel="0" collapsed="false">
      <c r="D266" s="10"/>
      <c r="E266" s="11"/>
      <c r="F266" s="38"/>
      <c r="G266" s="10"/>
      <c r="I266" s="11"/>
      <c r="J266" s="10"/>
      <c r="K266" s="10"/>
      <c r="M266" s="31" t="str">
        <f aca="false">IF($B266="","",IFERROR(IF(INDEX(campaigns!$BG$2:$BG$51,MATCH($B266,campaigns!$A$2:$A$51,0))="","",INDEX(campaigns!$BG$2:$BG$51,MATCH($B266,campaigns!$A$2:$A$51,0))),""))</f>
        <v/>
      </c>
      <c r="N266" s="30" t="str">
        <f aca="false">IF(OR($B266="",$E266="",$M266=""),"",IF($E266&lt;$M266,0,NETWORKDAYS($M266,$E266,calendar!$A$2:$A$80)))</f>
        <v/>
      </c>
      <c r="O266" s="30" t="str">
        <f aca="false">IF($B266="","",IF(AND($K266="Y",OR($D266="later",$J266="Y")),"Y","N"))</f>
        <v/>
      </c>
      <c r="P266" s="30" t="str">
        <f aca="false">IF(OR($B266="",$E266=""),"",$B266&amp;"_"&amp;$C266&amp;"_"&amp;$D266&amp;"_"&amp;TEXT($E266,"yyyy-mm-dd")&amp;".jpg")</f>
        <v/>
      </c>
      <c r="Q266" s="30" t="str">
        <f aca="false">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30" t="str">
        <f aca="false">IF($B266="","",$B266&amp;"|"&amp;$C266&amp;"|"&amp;$D266&amp;"|"&amp;$O266)</f>
        <v/>
      </c>
      <c r="S266" s="30" t="str">
        <f aca="false">IF($B266="","",$R266&amp;"|"&amp;N($E266))</f>
        <v/>
      </c>
    </row>
    <row r="267" customFormat="false" ht="15" hidden="false" customHeight="false" outlineLevel="0" collapsed="false">
      <c r="D267" s="10"/>
      <c r="E267" s="11"/>
      <c r="F267" s="38"/>
      <c r="G267" s="10"/>
      <c r="I267" s="11"/>
      <c r="J267" s="10"/>
      <c r="K267" s="10"/>
      <c r="M267" s="31" t="str">
        <f aca="false">IF($B267="","",IFERROR(IF(INDEX(campaigns!$BG$2:$BG$51,MATCH($B267,campaigns!$A$2:$A$51,0))="","",INDEX(campaigns!$BG$2:$BG$51,MATCH($B267,campaigns!$A$2:$A$51,0))),""))</f>
        <v/>
      </c>
      <c r="N267" s="30" t="str">
        <f aca="false">IF(OR($B267="",$E267="",$M267=""),"",IF($E267&lt;$M267,0,NETWORKDAYS($M267,$E267,calendar!$A$2:$A$80)))</f>
        <v/>
      </c>
      <c r="O267" s="30" t="str">
        <f aca="false">IF($B267="","",IF(AND($K267="Y",OR($D267="later",$J267="Y")),"Y","N"))</f>
        <v/>
      </c>
      <c r="P267" s="30" t="str">
        <f aca="false">IF(OR($B267="",$E267=""),"",$B267&amp;"_"&amp;$C267&amp;"_"&amp;$D267&amp;"_"&amp;TEXT($E267,"yyyy-mm-dd")&amp;".jpg")</f>
        <v/>
      </c>
      <c r="Q267" s="30" t="str">
        <f aca="false">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30" t="str">
        <f aca="false">IF($B267="","",$B267&amp;"|"&amp;$C267&amp;"|"&amp;$D267&amp;"|"&amp;$O267)</f>
        <v/>
      </c>
      <c r="S267" s="30" t="str">
        <f aca="false">IF($B267="","",$R267&amp;"|"&amp;N($E267))</f>
        <v/>
      </c>
    </row>
    <row r="268" customFormat="false" ht="15" hidden="false" customHeight="false" outlineLevel="0" collapsed="false">
      <c r="D268" s="10"/>
      <c r="E268" s="11"/>
      <c r="F268" s="38"/>
      <c r="G268" s="10"/>
      <c r="I268" s="11"/>
      <c r="J268" s="10"/>
      <c r="K268" s="10"/>
      <c r="M268" s="31" t="str">
        <f aca="false">IF($B268="","",IFERROR(IF(INDEX(campaigns!$BG$2:$BG$51,MATCH($B268,campaigns!$A$2:$A$51,0))="","",INDEX(campaigns!$BG$2:$BG$51,MATCH($B268,campaigns!$A$2:$A$51,0))),""))</f>
        <v/>
      </c>
      <c r="N268" s="30" t="str">
        <f aca="false">IF(OR($B268="",$E268="",$M268=""),"",IF($E268&lt;$M268,0,NETWORKDAYS($M268,$E268,calendar!$A$2:$A$80)))</f>
        <v/>
      </c>
      <c r="O268" s="30" t="str">
        <f aca="false">IF($B268="","",IF(AND($K268="Y",OR($D268="later",$J268="Y")),"Y","N"))</f>
        <v/>
      </c>
      <c r="P268" s="30" t="str">
        <f aca="false">IF(OR($B268="",$E268=""),"",$B268&amp;"_"&amp;$C268&amp;"_"&amp;$D268&amp;"_"&amp;TEXT($E268,"yyyy-mm-dd")&amp;".jpg")</f>
        <v/>
      </c>
      <c r="Q268" s="30" t="str">
        <f aca="false">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30" t="str">
        <f aca="false">IF($B268="","",$B268&amp;"|"&amp;$C268&amp;"|"&amp;$D268&amp;"|"&amp;$O268)</f>
        <v/>
      </c>
      <c r="S268" s="30" t="str">
        <f aca="false">IF($B268="","",$R268&amp;"|"&amp;N($E268))</f>
        <v/>
      </c>
    </row>
    <row r="269" customFormat="false" ht="15" hidden="false" customHeight="false" outlineLevel="0" collapsed="false">
      <c r="D269" s="10"/>
      <c r="E269" s="11"/>
      <c r="F269" s="38"/>
      <c r="G269" s="10"/>
      <c r="I269" s="11"/>
      <c r="J269" s="10"/>
      <c r="K269" s="10"/>
      <c r="M269" s="31" t="str">
        <f aca="false">IF($B269="","",IFERROR(IF(INDEX(campaigns!$BG$2:$BG$51,MATCH($B269,campaigns!$A$2:$A$51,0))="","",INDEX(campaigns!$BG$2:$BG$51,MATCH($B269,campaigns!$A$2:$A$51,0))),""))</f>
        <v/>
      </c>
      <c r="N269" s="30" t="str">
        <f aca="false">IF(OR($B269="",$E269="",$M269=""),"",IF($E269&lt;$M269,0,NETWORKDAYS($M269,$E269,calendar!$A$2:$A$80)))</f>
        <v/>
      </c>
      <c r="O269" s="30" t="str">
        <f aca="false">IF($B269="","",IF(AND($K269="Y",OR($D269="later",$J269="Y")),"Y","N"))</f>
        <v/>
      </c>
      <c r="P269" s="30" t="str">
        <f aca="false">IF(OR($B269="",$E269=""),"",$B269&amp;"_"&amp;$C269&amp;"_"&amp;$D269&amp;"_"&amp;TEXT($E269,"yyyy-mm-dd")&amp;".jpg")</f>
        <v/>
      </c>
      <c r="Q269" s="30" t="str">
        <f aca="false">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30" t="str">
        <f aca="false">IF($B269="","",$B269&amp;"|"&amp;$C269&amp;"|"&amp;$D269&amp;"|"&amp;$O269)</f>
        <v/>
      </c>
      <c r="S269" s="30" t="str">
        <f aca="false">IF($B269="","",$R269&amp;"|"&amp;N($E269))</f>
        <v/>
      </c>
    </row>
    <row r="270" customFormat="false" ht="15" hidden="false" customHeight="false" outlineLevel="0" collapsed="false">
      <c r="D270" s="10"/>
      <c r="E270" s="11"/>
      <c r="F270" s="38"/>
      <c r="G270" s="10"/>
      <c r="I270" s="11"/>
      <c r="J270" s="10"/>
      <c r="K270" s="10"/>
      <c r="M270" s="31" t="str">
        <f aca="false">IF($B270="","",IFERROR(IF(INDEX(campaigns!$BG$2:$BG$51,MATCH($B270,campaigns!$A$2:$A$51,0))="","",INDEX(campaigns!$BG$2:$BG$51,MATCH($B270,campaigns!$A$2:$A$51,0))),""))</f>
        <v/>
      </c>
      <c r="N270" s="30" t="str">
        <f aca="false">IF(OR($B270="",$E270="",$M270=""),"",IF($E270&lt;$M270,0,NETWORKDAYS($M270,$E270,calendar!$A$2:$A$80)))</f>
        <v/>
      </c>
      <c r="O270" s="30" t="str">
        <f aca="false">IF($B270="","",IF(AND($K270="Y",OR($D270="later",$J270="Y")),"Y","N"))</f>
        <v/>
      </c>
      <c r="P270" s="30" t="str">
        <f aca="false">IF(OR($B270="",$E270=""),"",$B270&amp;"_"&amp;$C270&amp;"_"&amp;$D270&amp;"_"&amp;TEXT($E270,"yyyy-mm-dd")&amp;".jpg")</f>
        <v/>
      </c>
      <c r="Q270" s="30" t="str">
        <f aca="false">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30" t="str">
        <f aca="false">IF($B270="","",$B270&amp;"|"&amp;$C270&amp;"|"&amp;$D270&amp;"|"&amp;$O270)</f>
        <v/>
      </c>
      <c r="S270" s="30" t="str">
        <f aca="false">IF($B270="","",$R270&amp;"|"&amp;N($E270))</f>
        <v/>
      </c>
    </row>
    <row r="271" customFormat="false" ht="15" hidden="false" customHeight="false" outlineLevel="0" collapsed="false">
      <c r="D271" s="10"/>
      <c r="E271" s="11"/>
      <c r="F271" s="38"/>
      <c r="G271" s="10"/>
      <c r="I271" s="11"/>
      <c r="J271" s="10"/>
      <c r="K271" s="10"/>
      <c r="M271" s="31" t="str">
        <f aca="false">IF($B271="","",IFERROR(IF(INDEX(campaigns!$BG$2:$BG$51,MATCH($B271,campaigns!$A$2:$A$51,0))="","",INDEX(campaigns!$BG$2:$BG$51,MATCH($B271,campaigns!$A$2:$A$51,0))),""))</f>
        <v/>
      </c>
      <c r="N271" s="30" t="str">
        <f aca="false">IF(OR($B271="",$E271="",$M271=""),"",IF($E271&lt;$M271,0,NETWORKDAYS($M271,$E271,calendar!$A$2:$A$80)))</f>
        <v/>
      </c>
      <c r="O271" s="30" t="str">
        <f aca="false">IF($B271="","",IF(AND($K271="Y",OR($D271="later",$J271="Y")),"Y","N"))</f>
        <v/>
      </c>
      <c r="P271" s="30" t="str">
        <f aca="false">IF(OR($B271="",$E271=""),"",$B271&amp;"_"&amp;$C271&amp;"_"&amp;$D271&amp;"_"&amp;TEXT($E271,"yyyy-mm-dd")&amp;".jpg")</f>
        <v/>
      </c>
      <c r="Q271" s="30" t="str">
        <f aca="false">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30" t="str">
        <f aca="false">IF($B271="","",$B271&amp;"|"&amp;$C271&amp;"|"&amp;$D271&amp;"|"&amp;$O271)</f>
        <v/>
      </c>
      <c r="S271" s="30" t="str">
        <f aca="false">IF($B271="","",$R271&amp;"|"&amp;N($E271))</f>
        <v/>
      </c>
    </row>
    <row r="272" customFormat="false" ht="15" hidden="false" customHeight="false" outlineLevel="0" collapsed="false">
      <c r="D272" s="10"/>
      <c r="E272" s="11"/>
      <c r="F272" s="38"/>
      <c r="G272" s="10"/>
      <c r="I272" s="11"/>
      <c r="J272" s="10"/>
      <c r="K272" s="10"/>
      <c r="M272" s="31" t="str">
        <f aca="false">IF($B272="","",IFERROR(IF(INDEX(campaigns!$BG$2:$BG$51,MATCH($B272,campaigns!$A$2:$A$51,0))="","",INDEX(campaigns!$BG$2:$BG$51,MATCH($B272,campaigns!$A$2:$A$51,0))),""))</f>
        <v/>
      </c>
      <c r="N272" s="30" t="str">
        <f aca="false">IF(OR($B272="",$E272="",$M272=""),"",IF($E272&lt;$M272,0,NETWORKDAYS($M272,$E272,calendar!$A$2:$A$80)))</f>
        <v/>
      </c>
      <c r="O272" s="30" t="str">
        <f aca="false">IF($B272="","",IF(AND($K272="Y",OR($D272="later",$J272="Y")),"Y","N"))</f>
        <v/>
      </c>
      <c r="P272" s="30" t="str">
        <f aca="false">IF(OR($B272="",$E272=""),"",$B272&amp;"_"&amp;$C272&amp;"_"&amp;$D272&amp;"_"&amp;TEXT($E272,"yyyy-mm-dd")&amp;".jpg")</f>
        <v/>
      </c>
      <c r="Q272" s="30" t="str">
        <f aca="false">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30" t="str">
        <f aca="false">IF($B272="","",$B272&amp;"|"&amp;$C272&amp;"|"&amp;$D272&amp;"|"&amp;$O272)</f>
        <v/>
      </c>
      <c r="S272" s="30" t="str">
        <f aca="false">IF($B272="","",$R272&amp;"|"&amp;N($E272))</f>
        <v/>
      </c>
    </row>
    <row r="273" customFormat="false" ht="15" hidden="false" customHeight="false" outlineLevel="0" collapsed="false">
      <c r="D273" s="10"/>
      <c r="E273" s="11"/>
      <c r="F273" s="38"/>
      <c r="G273" s="10"/>
      <c r="I273" s="11"/>
      <c r="J273" s="10"/>
      <c r="K273" s="10"/>
      <c r="M273" s="31" t="str">
        <f aca="false">IF($B273="","",IFERROR(IF(INDEX(campaigns!$BG$2:$BG$51,MATCH($B273,campaigns!$A$2:$A$51,0))="","",INDEX(campaigns!$BG$2:$BG$51,MATCH($B273,campaigns!$A$2:$A$51,0))),""))</f>
        <v/>
      </c>
      <c r="N273" s="30" t="str">
        <f aca="false">IF(OR($B273="",$E273="",$M273=""),"",IF($E273&lt;$M273,0,NETWORKDAYS($M273,$E273,calendar!$A$2:$A$80)))</f>
        <v/>
      </c>
      <c r="O273" s="30" t="str">
        <f aca="false">IF($B273="","",IF(AND($K273="Y",OR($D273="later",$J273="Y")),"Y","N"))</f>
        <v/>
      </c>
      <c r="P273" s="30" t="str">
        <f aca="false">IF(OR($B273="",$E273=""),"",$B273&amp;"_"&amp;$C273&amp;"_"&amp;$D273&amp;"_"&amp;TEXT($E273,"yyyy-mm-dd")&amp;".jpg")</f>
        <v/>
      </c>
      <c r="Q273" s="30" t="str">
        <f aca="false">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30" t="str">
        <f aca="false">IF($B273="","",$B273&amp;"|"&amp;$C273&amp;"|"&amp;$D273&amp;"|"&amp;$O273)</f>
        <v/>
      </c>
      <c r="S273" s="30" t="str">
        <f aca="false">IF($B273="","",$R273&amp;"|"&amp;N($E273))</f>
        <v/>
      </c>
    </row>
    <row r="274" customFormat="false" ht="15" hidden="false" customHeight="false" outlineLevel="0" collapsed="false">
      <c r="D274" s="10"/>
      <c r="E274" s="11"/>
      <c r="F274" s="38"/>
      <c r="G274" s="10"/>
      <c r="I274" s="11"/>
      <c r="J274" s="10"/>
      <c r="K274" s="10"/>
      <c r="M274" s="31" t="str">
        <f aca="false">IF($B274="","",IFERROR(IF(INDEX(campaigns!$BG$2:$BG$51,MATCH($B274,campaigns!$A$2:$A$51,0))="","",INDEX(campaigns!$BG$2:$BG$51,MATCH($B274,campaigns!$A$2:$A$51,0))),""))</f>
        <v/>
      </c>
      <c r="N274" s="30" t="str">
        <f aca="false">IF(OR($B274="",$E274="",$M274=""),"",IF($E274&lt;$M274,0,NETWORKDAYS($M274,$E274,calendar!$A$2:$A$80)))</f>
        <v/>
      </c>
      <c r="O274" s="30" t="str">
        <f aca="false">IF($B274="","",IF(AND($K274="Y",OR($D274="later",$J274="Y")),"Y","N"))</f>
        <v/>
      </c>
      <c r="P274" s="30" t="str">
        <f aca="false">IF(OR($B274="",$E274=""),"",$B274&amp;"_"&amp;$C274&amp;"_"&amp;$D274&amp;"_"&amp;TEXT($E274,"yyyy-mm-dd")&amp;".jpg")</f>
        <v/>
      </c>
      <c r="Q274" s="30" t="str">
        <f aca="false">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30" t="str">
        <f aca="false">IF($B274="","",$B274&amp;"|"&amp;$C274&amp;"|"&amp;$D274&amp;"|"&amp;$O274)</f>
        <v/>
      </c>
      <c r="S274" s="30" t="str">
        <f aca="false">IF($B274="","",$R274&amp;"|"&amp;N($E274))</f>
        <v/>
      </c>
    </row>
    <row r="275" customFormat="false" ht="15" hidden="false" customHeight="false" outlineLevel="0" collapsed="false">
      <c r="D275" s="10"/>
      <c r="E275" s="11"/>
      <c r="F275" s="38"/>
      <c r="G275" s="10"/>
      <c r="I275" s="11"/>
      <c r="J275" s="10"/>
      <c r="K275" s="10"/>
      <c r="M275" s="31" t="str">
        <f aca="false">IF($B275="","",IFERROR(IF(INDEX(campaigns!$BG$2:$BG$51,MATCH($B275,campaigns!$A$2:$A$51,0))="","",INDEX(campaigns!$BG$2:$BG$51,MATCH($B275,campaigns!$A$2:$A$51,0))),""))</f>
        <v/>
      </c>
      <c r="N275" s="30" t="str">
        <f aca="false">IF(OR($B275="",$E275="",$M275=""),"",IF($E275&lt;$M275,0,NETWORKDAYS($M275,$E275,calendar!$A$2:$A$80)))</f>
        <v/>
      </c>
      <c r="O275" s="30" t="str">
        <f aca="false">IF($B275="","",IF(AND($K275="Y",OR($D275="later",$J275="Y")),"Y","N"))</f>
        <v/>
      </c>
      <c r="P275" s="30" t="str">
        <f aca="false">IF(OR($B275="",$E275=""),"",$B275&amp;"_"&amp;$C275&amp;"_"&amp;$D275&amp;"_"&amp;TEXT($E275,"yyyy-mm-dd")&amp;".jpg")</f>
        <v/>
      </c>
      <c r="Q275" s="30" t="str">
        <f aca="false">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30" t="str">
        <f aca="false">IF($B275="","",$B275&amp;"|"&amp;$C275&amp;"|"&amp;$D275&amp;"|"&amp;$O275)</f>
        <v/>
      </c>
      <c r="S275" s="30" t="str">
        <f aca="false">IF($B275="","",$R275&amp;"|"&amp;N($E275))</f>
        <v/>
      </c>
    </row>
    <row r="276" customFormat="false" ht="15" hidden="false" customHeight="false" outlineLevel="0" collapsed="false">
      <c r="D276" s="10"/>
      <c r="E276" s="11"/>
      <c r="F276" s="38"/>
      <c r="G276" s="10"/>
      <c r="I276" s="11"/>
      <c r="J276" s="10"/>
      <c r="K276" s="10"/>
      <c r="M276" s="31" t="str">
        <f aca="false">IF($B276="","",IFERROR(IF(INDEX(campaigns!$BG$2:$BG$51,MATCH($B276,campaigns!$A$2:$A$51,0))="","",INDEX(campaigns!$BG$2:$BG$51,MATCH($B276,campaigns!$A$2:$A$51,0))),""))</f>
        <v/>
      </c>
      <c r="N276" s="30" t="str">
        <f aca="false">IF(OR($B276="",$E276="",$M276=""),"",IF($E276&lt;$M276,0,NETWORKDAYS($M276,$E276,calendar!$A$2:$A$80)))</f>
        <v/>
      </c>
      <c r="O276" s="30" t="str">
        <f aca="false">IF($B276="","",IF(AND($K276="Y",OR($D276="later",$J276="Y")),"Y","N"))</f>
        <v/>
      </c>
      <c r="P276" s="30" t="str">
        <f aca="false">IF(OR($B276="",$E276=""),"",$B276&amp;"_"&amp;$C276&amp;"_"&amp;$D276&amp;"_"&amp;TEXT($E276,"yyyy-mm-dd")&amp;".jpg")</f>
        <v/>
      </c>
      <c r="Q276" s="30" t="str">
        <f aca="false">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30" t="str">
        <f aca="false">IF($B276="","",$B276&amp;"|"&amp;$C276&amp;"|"&amp;$D276&amp;"|"&amp;$O276)</f>
        <v/>
      </c>
      <c r="S276" s="30" t="str">
        <f aca="false">IF($B276="","",$R276&amp;"|"&amp;N($E276))</f>
        <v/>
      </c>
    </row>
    <row r="277" customFormat="false" ht="15" hidden="false" customHeight="false" outlineLevel="0" collapsed="false">
      <c r="D277" s="10"/>
      <c r="E277" s="11"/>
      <c r="F277" s="38"/>
      <c r="G277" s="10"/>
      <c r="I277" s="11"/>
      <c r="J277" s="10"/>
      <c r="K277" s="10"/>
      <c r="M277" s="31" t="str">
        <f aca="false">IF($B277="","",IFERROR(IF(INDEX(campaigns!$BG$2:$BG$51,MATCH($B277,campaigns!$A$2:$A$51,0))="","",INDEX(campaigns!$BG$2:$BG$51,MATCH($B277,campaigns!$A$2:$A$51,0))),""))</f>
        <v/>
      </c>
      <c r="N277" s="30" t="str">
        <f aca="false">IF(OR($B277="",$E277="",$M277=""),"",IF($E277&lt;$M277,0,NETWORKDAYS($M277,$E277,calendar!$A$2:$A$80)))</f>
        <v/>
      </c>
      <c r="O277" s="30" t="str">
        <f aca="false">IF($B277="","",IF(AND($K277="Y",OR($D277="later",$J277="Y")),"Y","N"))</f>
        <v/>
      </c>
      <c r="P277" s="30" t="str">
        <f aca="false">IF(OR($B277="",$E277=""),"",$B277&amp;"_"&amp;$C277&amp;"_"&amp;$D277&amp;"_"&amp;TEXT($E277,"yyyy-mm-dd")&amp;".jpg")</f>
        <v/>
      </c>
      <c r="Q277" s="30" t="str">
        <f aca="false">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30" t="str">
        <f aca="false">IF($B277="","",$B277&amp;"|"&amp;$C277&amp;"|"&amp;$D277&amp;"|"&amp;$O277)</f>
        <v/>
      </c>
      <c r="S277" s="30" t="str">
        <f aca="false">IF($B277="","",$R277&amp;"|"&amp;N($E277))</f>
        <v/>
      </c>
    </row>
    <row r="278" customFormat="false" ht="15" hidden="false" customHeight="false" outlineLevel="0" collapsed="false">
      <c r="D278" s="10"/>
      <c r="E278" s="11"/>
      <c r="F278" s="38"/>
      <c r="G278" s="10"/>
      <c r="I278" s="11"/>
      <c r="J278" s="10"/>
      <c r="K278" s="10"/>
      <c r="M278" s="31" t="str">
        <f aca="false">IF($B278="","",IFERROR(IF(INDEX(campaigns!$BG$2:$BG$51,MATCH($B278,campaigns!$A$2:$A$51,0))="","",INDEX(campaigns!$BG$2:$BG$51,MATCH($B278,campaigns!$A$2:$A$51,0))),""))</f>
        <v/>
      </c>
      <c r="N278" s="30" t="str">
        <f aca="false">IF(OR($B278="",$E278="",$M278=""),"",IF($E278&lt;$M278,0,NETWORKDAYS($M278,$E278,calendar!$A$2:$A$80)))</f>
        <v/>
      </c>
      <c r="O278" s="30" t="str">
        <f aca="false">IF($B278="","",IF(AND($K278="Y",OR($D278="later",$J278="Y")),"Y","N"))</f>
        <v/>
      </c>
      <c r="P278" s="30" t="str">
        <f aca="false">IF(OR($B278="",$E278=""),"",$B278&amp;"_"&amp;$C278&amp;"_"&amp;$D278&amp;"_"&amp;TEXT($E278,"yyyy-mm-dd")&amp;".jpg")</f>
        <v/>
      </c>
      <c r="Q278" s="30" t="str">
        <f aca="false">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30" t="str">
        <f aca="false">IF($B278="","",$B278&amp;"|"&amp;$C278&amp;"|"&amp;$D278&amp;"|"&amp;$O278)</f>
        <v/>
      </c>
      <c r="S278" s="30" t="str">
        <f aca="false">IF($B278="","",$R278&amp;"|"&amp;N($E278))</f>
        <v/>
      </c>
    </row>
    <row r="279" customFormat="false" ht="15" hidden="false" customHeight="false" outlineLevel="0" collapsed="false">
      <c r="D279" s="10"/>
      <c r="E279" s="11"/>
      <c r="F279" s="38"/>
      <c r="G279" s="10"/>
      <c r="I279" s="11"/>
      <c r="J279" s="10"/>
      <c r="K279" s="10"/>
      <c r="M279" s="31" t="str">
        <f aca="false">IF($B279="","",IFERROR(IF(INDEX(campaigns!$BG$2:$BG$51,MATCH($B279,campaigns!$A$2:$A$51,0))="","",INDEX(campaigns!$BG$2:$BG$51,MATCH($B279,campaigns!$A$2:$A$51,0))),""))</f>
        <v/>
      </c>
      <c r="N279" s="30" t="str">
        <f aca="false">IF(OR($B279="",$E279="",$M279=""),"",IF($E279&lt;$M279,0,NETWORKDAYS($M279,$E279,calendar!$A$2:$A$80)))</f>
        <v/>
      </c>
      <c r="O279" s="30" t="str">
        <f aca="false">IF($B279="","",IF(AND($K279="Y",OR($D279="later",$J279="Y")),"Y","N"))</f>
        <v/>
      </c>
      <c r="P279" s="30" t="str">
        <f aca="false">IF(OR($B279="",$E279=""),"",$B279&amp;"_"&amp;$C279&amp;"_"&amp;$D279&amp;"_"&amp;TEXT($E279,"yyyy-mm-dd")&amp;".jpg")</f>
        <v/>
      </c>
      <c r="Q279" s="30" t="str">
        <f aca="false">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30" t="str">
        <f aca="false">IF($B279="","",$B279&amp;"|"&amp;$C279&amp;"|"&amp;$D279&amp;"|"&amp;$O279)</f>
        <v/>
      </c>
      <c r="S279" s="30" t="str">
        <f aca="false">IF($B279="","",$R279&amp;"|"&amp;N($E279))</f>
        <v/>
      </c>
    </row>
    <row r="280" customFormat="false" ht="15" hidden="false" customHeight="false" outlineLevel="0" collapsed="false">
      <c r="D280" s="10"/>
      <c r="E280" s="11"/>
      <c r="F280" s="38"/>
      <c r="G280" s="10"/>
      <c r="I280" s="11"/>
      <c r="J280" s="10"/>
      <c r="K280" s="10"/>
      <c r="M280" s="31" t="str">
        <f aca="false">IF($B280="","",IFERROR(IF(INDEX(campaigns!$BG$2:$BG$51,MATCH($B280,campaigns!$A$2:$A$51,0))="","",INDEX(campaigns!$BG$2:$BG$51,MATCH($B280,campaigns!$A$2:$A$51,0))),""))</f>
        <v/>
      </c>
      <c r="N280" s="30" t="str">
        <f aca="false">IF(OR($B280="",$E280="",$M280=""),"",IF($E280&lt;$M280,0,NETWORKDAYS($M280,$E280,calendar!$A$2:$A$80)))</f>
        <v/>
      </c>
      <c r="O280" s="30" t="str">
        <f aca="false">IF($B280="","",IF(AND($K280="Y",OR($D280="later",$J280="Y")),"Y","N"))</f>
        <v/>
      </c>
      <c r="P280" s="30" t="str">
        <f aca="false">IF(OR($B280="",$E280=""),"",$B280&amp;"_"&amp;$C280&amp;"_"&amp;$D280&amp;"_"&amp;TEXT($E280,"yyyy-mm-dd")&amp;".jpg")</f>
        <v/>
      </c>
      <c r="Q280" s="30" t="str">
        <f aca="false">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30" t="str">
        <f aca="false">IF($B280="","",$B280&amp;"|"&amp;$C280&amp;"|"&amp;$D280&amp;"|"&amp;$O280)</f>
        <v/>
      </c>
      <c r="S280" s="30" t="str">
        <f aca="false">IF($B280="","",$R280&amp;"|"&amp;N($E280))</f>
        <v/>
      </c>
    </row>
    <row r="281" customFormat="false" ht="15" hidden="false" customHeight="false" outlineLevel="0" collapsed="false">
      <c r="D281" s="10"/>
      <c r="E281" s="11"/>
      <c r="F281" s="38"/>
      <c r="G281" s="10"/>
      <c r="I281" s="11"/>
      <c r="J281" s="10"/>
      <c r="K281" s="10"/>
      <c r="M281" s="31" t="str">
        <f aca="false">IF($B281="","",IFERROR(IF(INDEX(campaigns!$BG$2:$BG$51,MATCH($B281,campaigns!$A$2:$A$51,0))="","",INDEX(campaigns!$BG$2:$BG$51,MATCH($B281,campaigns!$A$2:$A$51,0))),""))</f>
        <v/>
      </c>
      <c r="N281" s="30" t="str">
        <f aca="false">IF(OR($B281="",$E281="",$M281=""),"",IF($E281&lt;$M281,0,NETWORKDAYS($M281,$E281,calendar!$A$2:$A$80)))</f>
        <v/>
      </c>
      <c r="O281" s="30" t="str">
        <f aca="false">IF($B281="","",IF(AND($K281="Y",OR($D281="later",$J281="Y")),"Y","N"))</f>
        <v/>
      </c>
      <c r="P281" s="30" t="str">
        <f aca="false">IF(OR($B281="",$E281=""),"",$B281&amp;"_"&amp;$C281&amp;"_"&amp;$D281&amp;"_"&amp;TEXT($E281,"yyyy-mm-dd")&amp;".jpg")</f>
        <v/>
      </c>
      <c r="Q281" s="30" t="str">
        <f aca="false">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30" t="str">
        <f aca="false">IF($B281="","",$B281&amp;"|"&amp;$C281&amp;"|"&amp;$D281&amp;"|"&amp;$O281)</f>
        <v/>
      </c>
      <c r="S281" s="30" t="str">
        <f aca="false">IF($B281="","",$R281&amp;"|"&amp;N($E281))</f>
        <v/>
      </c>
    </row>
    <row r="282" customFormat="false" ht="15" hidden="false" customHeight="false" outlineLevel="0" collapsed="false">
      <c r="D282" s="10"/>
      <c r="E282" s="11"/>
      <c r="F282" s="38"/>
      <c r="G282" s="10"/>
      <c r="I282" s="11"/>
      <c r="J282" s="10"/>
      <c r="K282" s="10"/>
      <c r="M282" s="31" t="str">
        <f aca="false">IF($B282="","",IFERROR(IF(INDEX(campaigns!$BG$2:$BG$51,MATCH($B282,campaigns!$A$2:$A$51,0))="","",INDEX(campaigns!$BG$2:$BG$51,MATCH($B282,campaigns!$A$2:$A$51,0))),""))</f>
        <v/>
      </c>
      <c r="N282" s="30" t="str">
        <f aca="false">IF(OR($B282="",$E282="",$M282=""),"",IF($E282&lt;$M282,0,NETWORKDAYS($M282,$E282,calendar!$A$2:$A$80)))</f>
        <v/>
      </c>
      <c r="O282" s="30" t="str">
        <f aca="false">IF($B282="","",IF(AND($K282="Y",OR($D282="later",$J282="Y")),"Y","N"))</f>
        <v/>
      </c>
      <c r="P282" s="30" t="str">
        <f aca="false">IF(OR($B282="",$E282=""),"",$B282&amp;"_"&amp;$C282&amp;"_"&amp;$D282&amp;"_"&amp;TEXT($E282,"yyyy-mm-dd")&amp;".jpg")</f>
        <v/>
      </c>
      <c r="Q282" s="30" t="str">
        <f aca="false">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30" t="str">
        <f aca="false">IF($B282="","",$B282&amp;"|"&amp;$C282&amp;"|"&amp;$D282&amp;"|"&amp;$O282)</f>
        <v/>
      </c>
      <c r="S282" s="30" t="str">
        <f aca="false">IF($B282="","",$R282&amp;"|"&amp;N($E282))</f>
        <v/>
      </c>
    </row>
    <row r="283" customFormat="false" ht="15" hidden="false" customHeight="false" outlineLevel="0" collapsed="false">
      <c r="D283" s="10"/>
      <c r="E283" s="11"/>
      <c r="F283" s="38"/>
      <c r="G283" s="10"/>
      <c r="I283" s="11"/>
      <c r="J283" s="10"/>
      <c r="K283" s="10"/>
      <c r="M283" s="31" t="str">
        <f aca="false">IF($B283="","",IFERROR(IF(INDEX(campaigns!$BG$2:$BG$51,MATCH($B283,campaigns!$A$2:$A$51,0))="","",INDEX(campaigns!$BG$2:$BG$51,MATCH($B283,campaigns!$A$2:$A$51,0))),""))</f>
        <v/>
      </c>
      <c r="N283" s="30" t="str">
        <f aca="false">IF(OR($B283="",$E283="",$M283=""),"",IF($E283&lt;$M283,0,NETWORKDAYS($M283,$E283,calendar!$A$2:$A$80)))</f>
        <v/>
      </c>
      <c r="O283" s="30" t="str">
        <f aca="false">IF($B283="","",IF(AND($K283="Y",OR($D283="later",$J283="Y")),"Y","N"))</f>
        <v/>
      </c>
      <c r="P283" s="30" t="str">
        <f aca="false">IF(OR($B283="",$E283=""),"",$B283&amp;"_"&amp;$C283&amp;"_"&amp;$D283&amp;"_"&amp;TEXT($E283,"yyyy-mm-dd")&amp;".jpg")</f>
        <v/>
      </c>
      <c r="Q283" s="30" t="str">
        <f aca="false">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30" t="str">
        <f aca="false">IF($B283="","",$B283&amp;"|"&amp;$C283&amp;"|"&amp;$D283&amp;"|"&amp;$O283)</f>
        <v/>
      </c>
      <c r="S283" s="30" t="str">
        <f aca="false">IF($B283="","",$R283&amp;"|"&amp;N($E283))</f>
        <v/>
      </c>
    </row>
    <row r="284" customFormat="false" ht="15" hidden="false" customHeight="false" outlineLevel="0" collapsed="false">
      <c r="D284" s="10"/>
      <c r="E284" s="11"/>
      <c r="F284" s="38"/>
      <c r="G284" s="10"/>
      <c r="I284" s="11"/>
      <c r="J284" s="10"/>
      <c r="K284" s="10"/>
      <c r="M284" s="31" t="str">
        <f aca="false">IF($B284="","",IFERROR(IF(INDEX(campaigns!$BG$2:$BG$51,MATCH($B284,campaigns!$A$2:$A$51,0))="","",INDEX(campaigns!$BG$2:$BG$51,MATCH($B284,campaigns!$A$2:$A$51,0))),""))</f>
        <v/>
      </c>
      <c r="N284" s="30" t="str">
        <f aca="false">IF(OR($B284="",$E284="",$M284=""),"",IF($E284&lt;$M284,0,NETWORKDAYS($M284,$E284,calendar!$A$2:$A$80)))</f>
        <v/>
      </c>
      <c r="O284" s="30" t="str">
        <f aca="false">IF($B284="","",IF(AND($K284="Y",OR($D284="later",$J284="Y")),"Y","N"))</f>
        <v/>
      </c>
      <c r="P284" s="30" t="str">
        <f aca="false">IF(OR($B284="",$E284=""),"",$B284&amp;"_"&amp;$C284&amp;"_"&amp;$D284&amp;"_"&amp;TEXT($E284,"yyyy-mm-dd")&amp;".jpg")</f>
        <v/>
      </c>
      <c r="Q284" s="30" t="str">
        <f aca="false">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30" t="str">
        <f aca="false">IF($B284="","",$B284&amp;"|"&amp;$C284&amp;"|"&amp;$D284&amp;"|"&amp;$O284)</f>
        <v/>
      </c>
      <c r="S284" s="30" t="str">
        <f aca="false">IF($B284="","",$R284&amp;"|"&amp;N($E284))</f>
        <v/>
      </c>
    </row>
    <row r="285" customFormat="false" ht="15" hidden="false" customHeight="false" outlineLevel="0" collapsed="false">
      <c r="D285" s="10"/>
      <c r="E285" s="11"/>
      <c r="F285" s="38"/>
      <c r="G285" s="10"/>
      <c r="I285" s="11"/>
      <c r="J285" s="10"/>
      <c r="K285" s="10"/>
      <c r="M285" s="31" t="str">
        <f aca="false">IF($B285="","",IFERROR(IF(INDEX(campaigns!$BG$2:$BG$51,MATCH($B285,campaigns!$A$2:$A$51,0))="","",INDEX(campaigns!$BG$2:$BG$51,MATCH($B285,campaigns!$A$2:$A$51,0))),""))</f>
        <v/>
      </c>
      <c r="N285" s="30" t="str">
        <f aca="false">IF(OR($B285="",$E285="",$M285=""),"",IF($E285&lt;$M285,0,NETWORKDAYS($M285,$E285,calendar!$A$2:$A$80)))</f>
        <v/>
      </c>
      <c r="O285" s="30" t="str">
        <f aca="false">IF($B285="","",IF(AND($K285="Y",OR($D285="later",$J285="Y")),"Y","N"))</f>
        <v/>
      </c>
      <c r="P285" s="30" t="str">
        <f aca="false">IF(OR($B285="",$E285=""),"",$B285&amp;"_"&amp;$C285&amp;"_"&amp;$D285&amp;"_"&amp;TEXT($E285,"yyyy-mm-dd")&amp;".jpg")</f>
        <v/>
      </c>
      <c r="Q285" s="30" t="str">
        <f aca="false">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30" t="str">
        <f aca="false">IF($B285="","",$B285&amp;"|"&amp;$C285&amp;"|"&amp;$D285&amp;"|"&amp;$O285)</f>
        <v/>
      </c>
      <c r="S285" s="30" t="str">
        <f aca="false">IF($B285="","",$R285&amp;"|"&amp;N($E285))</f>
        <v/>
      </c>
    </row>
    <row r="286" customFormat="false" ht="15" hidden="false" customHeight="false" outlineLevel="0" collapsed="false">
      <c r="D286" s="10"/>
      <c r="E286" s="11"/>
      <c r="F286" s="38"/>
      <c r="G286" s="10"/>
      <c r="I286" s="11"/>
      <c r="J286" s="10"/>
      <c r="K286" s="10"/>
      <c r="M286" s="31" t="str">
        <f aca="false">IF($B286="","",IFERROR(IF(INDEX(campaigns!$BG$2:$BG$51,MATCH($B286,campaigns!$A$2:$A$51,0))="","",INDEX(campaigns!$BG$2:$BG$51,MATCH($B286,campaigns!$A$2:$A$51,0))),""))</f>
        <v/>
      </c>
      <c r="N286" s="30" t="str">
        <f aca="false">IF(OR($B286="",$E286="",$M286=""),"",IF($E286&lt;$M286,0,NETWORKDAYS($M286,$E286,calendar!$A$2:$A$80)))</f>
        <v/>
      </c>
      <c r="O286" s="30" t="str">
        <f aca="false">IF($B286="","",IF(AND($K286="Y",OR($D286="later",$J286="Y")),"Y","N"))</f>
        <v/>
      </c>
      <c r="P286" s="30" t="str">
        <f aca="false">IF(OR($B286="",$E286=""),"",$B286&amp;"_"&amp;$C286&amp;"_"&amp;$D286&amp;"_"&amp;TEXT($E286,"yyyy-mm-dd")&amp;".jpg")</f>
        <v/>
      </c>
      <c r="Q286" s="30" t="str">
        <f aca="false">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30" t="str">
        <f aca="false">IF($B286="","",$B286&amp;"|"&amp;$C286&amp;"|"&amp;$D286&amp;"|"&amp;$O286)</f>
        <v/>
      </c>
      <c r="S286" s="30" t="str">
        <f aca="false">IF($B286="","",$R286&amp;"|"&amp;N($E286))</f>
        <v/>
      </c>
    </row>
    <row r="287" customFormat="false" ht="15" hidden="false" customHeight="false" outlineLevel="0" collapsed="false">
      <c r="D287" s="10"/>
      <c r="E287" s="11"/>
      <c r="F287" s="38"/>
      <c r="G287" s="10"/>
      <c r="I287" s="11"/>
      <c r="J287" s="10"/>
      <c r="K287" s="10"/>
      <c r="M287" s="31" t="str">
        <f aca="false">IF($B287="","",IFERROR(IF(INDEX(campaigns!$BG$2:$BG$51,MATCH($B287,campaigns!$A$2:$A$51,0))="","",INDEX(campaigns!$BG$2:$BG$51,MATCH($B287,campaigns!$A$2:$A$51,0))),""))</f>
        <v/>
      </c>
      <c r="N287" s="30" t="str">
        <f aca="false">IF(OR($B287="",$E287="",$M287=""),"",IF($E287&lt;$M287,0,NETWORKDAYS($M287,$E287,calendar!$A$2:$A$80)))</f>
        <v/>
      </c>
      <c r="O287" s="30" t="str">
        <f aca="false">IF($B287="","",IF(AND($K287="Y",OR($D287="later",$J287="Y")),"Y","N"))</f>
        <v/>
      </c>
      <c r="P287" s="30" t="str">
        <f aca="false">IF(OR($B287="",$E287=""),"",$B287&amp;"_"&amp;$C287&amp;"_"&amp;$D287&amp;"_"&amp;TEXT($E287,"yyyy-mm-dd")&amp;".jpg")</f>
        <v/>
      </c>
      <c r="Q287" s="30" t="str">
        <f aca="false">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30" t="str">
        <f aca="false">IF($B287="","",$B287&amp;"|"&amp;$C287&amp;"|"&amp;$D287&amp;"|"&amp;$O287)</f>
        <v/>
      </c>
      <c r="S287" s="30" t="str">
        <f aca="false">IF($B287="","",$R287&amp;"|"&amp;N($E287))</f>
        <v/>
      </c>
    </row>
    <row r="288" customFormat="false" ht="15" hidden="false" customHeight="false" outlineLevel="0" collapsed="false">
      <c r="D288" s="10"/>
      <c r="E288" s="11"/>
      <c r="F288" s="38"/>
      <c r="G288" s="10"/>
      <c r="I288" s="11"/>
      <c r="J288" s="10"/>
      <c r="K288" s="10"/>
      <c r="M288" s="31" t="str">
        <f aca="false">IF($B288="","",IFERROR(IF(INDEX(campaigns!$BG$2:$BG$51,MATCH($B288,campaigns!$A$2:$A$51,0))="","",INDEX(campaigns!$BG$2:$BG$51,MATCH($B288,campaigns!$A$2:$A$51,0))),""))</f>
        <v/>
      </c>
      <c r="N288" s="30" t="str">
        <f aca="false">IF(OR($B288="",$E288="",$M288=""),"",IF($E288&lt;$M288,0,NETWORKDAYS($M288,$E288,calendar!$A$2:$A$80)))</f>
        <v/>
      </c>
      <c r="O288" s="30" t="str">
        <f aca="false">IF($B288="","",IF(AND($K288="Y",OR($D288="later",$J288="Y")),"Y","N"))</f>
        <v/>
      </c>
      <c r="P288" s="30" t="str">
        <f aca="false">IF(OR($B288="",$E288=""),"",$B288&amp;"_"&amp;$C288&amp;"_"&amp;$D288&amp;"_"&amp;TEXT($E288,"yyyy-mm-dd")&amp;".jpg")</f>
        <v/>
      </c>
      <c r="Q288" s="30" t="str">
        <f aca="false">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30" t="str">
        <f aca="false">IF($B288="","",$B288&amp;"|"&amp;$C288&amp;"|"&amp;$D288&amp;"|"&amp;$O288)</f>
        <v/>
      </c>
      <c r="S288" s="30" t="str">
        <f aca="false">IF($B288="","",$R288&amp;"|"&amp;N($E288))</f>
        <v/>
      </c>
    </row>
    <row r="289" customFormat="false" ht="15" hidden="false" customHeight="false" outlineLevel="0" collapsed="false">
      <c r="D289" s="10"/>
      <c r="E289" s="11"/>
      <c r="F289" s="38"/>
      <c r="G289" s="10"/>
      <c r="I289" s="11"/>
      <c r="J289" s="10"/>
      <c r="K289" s="10"/>
      <c r="M289" s="31" t="str">
        <f aca="false">IF($B289="","",IFERROR(IF(INDEX(campaigns!$BG$2:$BG$51,MATCH($B289,campaigns!$A$2:$A$51,0))="","",INDEX(campaigns!$BG$2:$BG$51,MATCH($B289,campaigns!$A$2:$A$51,0))),""))</f>
        <v/>
      </c>
      <c r="N289" s="30" t="str">
        <f aca="false">IF(OR($B289="",$E289="",$M289=""),"",IF($E289&lt;$M289,0,NETWORKDAYS($M289,$E289,calendar!$A$2:$A$80)))</f>
        <v/>
      </c>
      <c r="O289" s="30" t="str">
        <f aca="false">IF($B289="","",IF(AND($K289="Y",OR($D289="later",$J289="Y")),"Y","N"))</f>
        <v/>
      </c>
      <c r="P289" s="30" t="str">
        <f aca="false">IF(OR($B289="",$E289=""),"",$B289&amp;"_"&amp;$C289&amp;"_"&amp;$D289&amp;"_"&amp;TEXT($E289,"yyyy-mm-dd")&amp;".jpg")</f>
        <v/>
      </c>
      <c r="Q289" s="30" t="str">
        <f aca="false">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30" t="str">
        <f aca="false">IF($B289="","",$B289&amp;"|"&amp;$C289&amp;"|"&amp;$D289&amp;"|"&amp;$O289)</f>
        <v/>
      </c>
      <c r="S289" s="30" t="str">
        <f aca="false">IF($B289="","",$R289&amp;"|"&amp;N($E289))</f>
        <v/>
      </c>
    </row>
    <row r="290" customFormat="false" ht="15" hidden="false" customHeight="false" outlineLevel="0" collapsed="false">
      <c r="D290" s="10"/>
      <c r="E290" s="11"/>
      <c r="F290" s="38"/>
      <c r="G290" s="10"/>
      <c r="I290" s="11"/>
      <c r="J290" s="10"/>
      <c r="K290" s="10"/>
      <c r="M290" s="31" t="str">
        <f aca="false">IF($B290="","",IFERROR(IF(INDEX(campaigns!$BG$2:$BG$51,MATCH($B290,campaigns!$A$2:$A$51,0))="","",INDEX(campaigns!$BG$2:$BG$51,MATCH($B290,campaigns!$A$2:$A$51,0))),""))</f>
        <v/>
      </c>
      <c r="N290" s="30" t="str">
        <f aca="false">IF(OR($B290="",$E290="",$M290=""),"",IF($E290&lt;$M290,0,NETWORKDAYS($M290,$E290,calendar!$A$2:$A$80)))</f>
        <v/>
      </c>
      <c r="O290" s="30" t="str">
        <f aca="false">IF($B290="","",IF(AND($K290="Y",OR($D290="later",$J290="Y")),"Y","N"))</f>
        <v/>
      </c>
      <c r="P290" s="30" t="str">
        <f aca="false">IF(OR($B290="",$E290=""),"",$B290&amp;"_"&amp;$C290&amp;"_"&amp;$D290&amp;"_"&amp;TEXT($E290,"yyyy-mm-dd")&amp;".jpg")</f>
        <v/>
      </c>
      <c r="Q290" s="30" t="str">
        <f aca="false">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30" t="str">
        <f aca="false">IF($B290="","",$B290&amp;"|"&amp;$C290&amp;"|"&amp;$D290&amp;"|"&amp;$O290)</f>
        <v/>
      </c>
      <c r="S290" s="30" t="str">
        <f aca="false">IF($B290="","",$R290&amp;"|"&amp;N($E290))</f>
        <v/>
      </c>
    </row>
    <row r="291" customFormat="false" ht="15" hidden="false" customHeight="false" outlineLevel="0" collapsed="false">
      <c r="D291" s="10"/>
      <c r="E291" s="11"/>
      <c r="F291" s="38"/>
      <c r="G291" s="10"/>
      <c r="I291" s="11"/>
      <c r="J291" s="10"/>
      <c r="K291" s="10"/>
      <c r="M291" s="31" t="str">
        <f aca="false">IF($B291="","",IFERROR(IF(INDEX(campaigns!$BG$2:$BG$51,MATCH($B291,campaigns!$A$2:$A$51,0))="","",INDEX(campaigns!$BG$2:$BG$51,MATCH($B291,campaigns!$A$2:$A$51,0))),""))</f>
        <v/>
      </c>
      <c r="N291" s="30" t="str">
        <f aca="false">IF(OR($B291="",$E291="",$M291=""),"",IF($E291&lt;$M291,0,NETWORKDAYS($M291,$E291,calendar!$A$2:$A$80)))</f>
        <v/>
      </c>
      <c r="O291" s="30" t="str">
        <f aca="false">IF($B291="","",IF(AND($K291="Y",OR($D291="later",$J291="Y")),"Y","N"))</f>
        <v/>
      </c>
      <c r="P291" s="30" t="str">
        <f aca="false">IF(OR($B291="",$E291=""),"",$B291&amp;"_"&amp;$C291&amp;"_"&amp;$D291&amp;"_"&amp;TEXT($E291,"yyyy-mm-dd")&amp;".jpg")</f>
        <v/>
      </c>
      <c r="Q291" s="30" t="str">
        <f aca="false">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30" t="str">
        <f aca="false">IF($B291="","",$B291&amp;"|"&amp;$C291&amp;"|"&amp;$D291&amp;"|"&amp;$O291)</f>
        <v/>
      </c>
      <c r="S291" s="30" t="str">
        <f aca="false">IF($B291="","",$R291&amp;"|"&amp;N($E291))</f>
        <v/>
      </c>
    </row>
    <row r="292" customFormat="false" ht="15" hidden="false" customHeight="false" outlineLevel="0" collapsed="false">
      <c r="D292" s="10"/>
      <c r="E292" s="11"/>
      <c r="F292" s="38"/>
      <c r="G292" s="10"/>
      <c r="I292" s="11"/>
      <c r="J292" s="10"/>
      <c r="K292" s="10"/>
      <c r="M292" s="31" t="str">
        <f aca="false">IF($B292="","",IFERROR(IF(INDEX(campaigns!$BG$2:$BG$51,MATCH($B292,campaigns!$A$2:$A$51,0))="","",INDEX(campaigns!$BG$2:$BG$51,MATCH($B292,campaigns!$A$2:$A$51,0))),""))</f>
        <v/>
      </c>
      <c r="N292" s="30" t="str">
        <f aca="false">IF(OR($B292="",$E292="",$M292=""),"",IF($E292&lt;$M292,0,NETWORKDAYS($M292,$E292,calendar!$A$2:$A$80)))</f>
        <v/>
      </c>
      <c r="O292" s="30" t="str">
        <f aca="false">IF($B292="","",IF(AND($K292="Y",OR($D292="later",$J292="Y")),"Y","N"))</f>
        <v/>
      </c>
      <c r="P292" s="30" t="str">
        <f aca="false">IF(OR($B292="",$E292=""),"",$B292&amp;"_"&amp;$C292&amp;"_"&amp;$D292&amp;"_"&amp;TEXT($E292,"yyyy-mm-dd")&amp;".jpg")</f>
        <v/>
      </c>
      <c r="Q292" s="30" t="str">
        <f aca="false">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30" t="str">
        <f aca="false">IF($B292="","",$B292&amp;"|"&amp;$C292&amp;"|"&amp;$D292&amp;"|"&amp;$O292)</f>
        <v/>
      </c>
      <c r="S292" s="30" t="str">
        <f aca="false">IF($B292="","",$R292&amp;"|"&amp;N($E292))</f>
        <v/>
      </c>
    </row>
    <row r="293" customFormat="false" ht="15" hidden="false" customHeight="false" outlineLevel="0" collapsed="false">
      <c r="D293" s="10"/>
      <c r="E293" s="11"/>
      <c r="F293" s="38"/>
      <c r="G293" s="10"/>
      <c r="I293" s="11"/>
      <c r="J293" s="10"/>
      <c r="K293" s="10"/>
      <c r="M293" s="31" t="str">
        <f aca="false">IF($B293="","",IFERROR(IF(INDEX(campaigns!$BG$2:$BG$51,MATCH($B293,campaigns!$A$2:$A$51,0))="","",INDEX(campaigns!$BG$2:$BG$51,MATCH($B293,campaigns!$A$2:$A$51,0))),""))</f>
        <v/>
      </c>
      <c r="N293" s="30" t="str">
        <f aca="false">IF(OR($B293="",$E293="",$M293=""),"",IF($E293&lt;$M293,0,NETWORKDAYS($M293,$E293,calendar!$A$2:$A$80)))</f>
        <v/>
      </c>
      <c r="O293" s="30" t="str">
        <f aca="false">IF($B293="","",IF(AND($K293="Y",OR($D293="later",$J293="Y")),"Y","N"))</f>
        <v/>
      </c>
      <c r="P293" s="30" t="str">
        <f aca="false">IF(OR($B293="",$E293=""),"",$B293&amp;"_"&amp;$C293&amp;"_"&amp;$D293&amp;"_"&amp;TEXT($E293,"yyyy-mm-dd")&amp;".jpg")</f>
        <v/>
      </c>
      <c r="Q293" s="30" t="str">
        <f aca="false">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30" t="str">
        <f aca="false">IF($B293="","",$B293&amp;"|"&amp;$C293&amp;"|"&amp;$D293&amp;"|"&amp;$O293)</f>
        <v/>
      </c>
      <c r="S293" s="30" t="str">
        <f aca="false">IF($B293="","",$R293&amp;"|"&amp;N($E293))</f>
        <v/>
      </c>
    </row>
    <row r="294" customFormat="false" ht="15" hidden="false" customHeight="false" outlineLevel="0" collapsed="false">
      <c r="D294" s="10"/>
      <c r="E294" s="11"/>
      <c r="F294" s="38"/>
      <c r="G294" s="10"/>
      <c r="I294" s="11"/>
      <c r="J294" s="10"/>
      <c r="K294" s="10"/>
      <c r="M294" s="31" t="str">
        <f aca="false">IF($B294="","",IFERROR(IF(INDEX(campaigns!$BG$2:$BG$51,MATCH($B294,campaigns!$A$2:$A$51,0))="","",INDEX(campaigns!$BG$2:$BG$51,MATCH($B294,campaigns!$A$2:$A$51,0))),""))</f>
        <v/>
      </c>
      <c r="N294" s="30" t="str">
        <f aca="false">IF(OR($B294="",$E294="",$M294=""),"",IF($E294&lt;$M294,0,NETWORKDAYS($M294,$E294,calendar!$A$2:$A$80)))</f>
        <v/>
      </c>
      <c r="O294" s="30" t="str">
        <f aca="false">IF($B294="","",IF(AND($K294="Y",OR($D294="later",$J294="Y")),"Y","N"))</f>
        <v/>
      </c>
      <c r="P294" s="30" t="str">
        <f aca="false">IF(OR($B294="",$E294=""),"",$B294&amp;"_"&amp;$C294&amp;"_"&amp;$D294&amp;"_"&amp;TEXT($E294,"yyyy-mm-dd")&amp;".jpg")</f>
        <v/>
      </c>
      <c r="Q294" s="30" t="str">
        <f aca="false">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30" t="str">
        <f aca="false">IF($B294="","",$B294&amp;"|"&amp;$C294&amp;"|"&amp;$D294&amp;"|"&amp;$O294)</f>
        <v/>
      </c>
      <c r="S294" s="30" t="str">
        <f aca="false">IF($B294="","",$R294&amp;"|"&amp;N($E294))</f>
        <v/>
      </c>
    </row>
    <row r="295" customFormat="false" ht="15" hidden="false" customHeight="false" outlineLevel="0" collapsed="false">
      <c r="D295" s="10"/>
      <c r="E295" s="11"/>
      <c r="F295" s="38"/>
      <c r="G295" s="10"/>
      <c r="I295" s="11"/>
      <c r="J295" s="10"/>
      <c r="K295" s="10"/>
      <c r="M295" s="31" t="str">
        <f aca="false">IF($B295="","",IFERROR(IF(INDEX(campaigns!$BG$2:$BG$51,MATCH($B295,campaigns!$A$2:$A$51,0))="","",INDEX(campaigns!$BG$2:$BG$51,MATCH($B295,campaigns!$A$2:$A$51,0))),""))</f>
        <v/>
      </c>
      <c r="N295" s="30" t="str">
        <f aca="false">IF(OR($B295="",$E295="",$M295=""),"",IF($E295&lt;$M295,0,NETWORKDAYS($M295,$E295,calendar!$A$2:$A$80)))</f>
        <v/>
      </c>
      <c r="O295" s="30" t="str">
        <f aca="false">IF($B295="","",IF(AND($K295="Y",OR($D295="later",$J295="Y")),"Y","N"))</f>
        <v/>
      </c>
      <c r="P295" s="30" t="str">
        <f aca="false">IF(OR($B295="",$E295=""),"",$B295&amp;"_"&amp;$C295&amp;"_"&amp;$D295&amp;"_"&amp;TEXT($E295,"yyyy-mm-dd")&amp;".jpg")</f>
        <v/>
      </c>
      <c r="Q295" s="30" t="str">
        <f aca="false">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30" t="str">
        <f aca="false">IF($B295="","",$B295&amp;"|"&amp;$C295&amp;"|"&amp;$D295&amp;"|"&amp;$O295)</f>
        <v/>
      </c>
      <c r="S295" s="30" t="str">
        <f aca="false">IF($B295="","",$R295&amp;"|"&amp;N($E295))</f>
        <v/>
      </c>
    </row>
    <row r="296" customFormat="false" ht="15" hidden="false" customHeight="false" outlineLevel="0" collapsed="false">
      <c r="D296" s="10"/>
      <c r="E296" s="11"/>
      <c r="F296" s="38"/>
      <c r="G296" s="10"/>
      <c r="I296" s="11"/>
      <c r="J296" s="10"/>
      <c r="K296" s="10"/>
      <c r="M296" s="31" t="str">
        <f aca="false">IF($B296="","",IFERROR(IF(INDEX(campaigns!$BG$2:$BG$51,MATCH($B296,campaigns!$A$2:$A$51,0))="","",INDEX(campaigns!$BG$2:$BG$51,MATCH($B296,campaigns!$A$2:$A$51,0))),""))</f>
        <v/>
      </c>
      <c r="N296" s="30" t="str">
        <f aca="false">IF(OR($B296="",$E296="",$M296=""),"",IF($E296&lt;$M296,0,NETWORKDAYS($M296,$E296,calendar!$A$2:$A$80)))</f>
        <v/>
      </c>
      <c r="O296" s="30" t="str">
        <f aca="false">IF($B296="","",IF(AND($K296="Y",OR($D296="later",$J296="Y")),"Y","N"))</f>
        <v/>
      </c>
      <c r="P296" s="30" t="str">
        <f aca="false">IF(OR($B296="",$E296=""),"",$B296&amp;"_"&amp;$C296&amp;"_"&amp;$D296&amp;"_"&amp;TEXT($E296,"yyyy-mm-dd")&amp;".jpg")</f>
        <v/>
      </c>
      <c r="Q296" s="30" t="str">
        <f aca="false">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30" t="str">
        <f aca="false">IF($B296="","",$B296&amp;"|"&amp;$C296&amp;"|"&amp;$D296&amp;"|"&amp;$O296)</f>
        <v/>
      </c>
      <c r="S296" s="30" t="str">
        <f aca="false">IF($B296="","",$R296&amp;"|"&amp;N($E296))</f>
        <v/>
      </c>
    </row>
    <row r="297" customFormat="false" ht="15" hidden="false" customHeight="false" outlineLevel="0" collapsed="false">
      <c r="D297" s="10"/>
      <c r="E297" s="11"/>
      <c r="F297" s="38"/>
      <c r="G297" s="10"/>
      <c r="I297" s="11"/>
      <c r="J297" s="10"/>
      <c r="K297" s="10"/>
      <c r="M297" s="31" t="str">
        <f aca="false">IF($B297="","",IFERROR(IF(INDEX(campaigns!$BG$2:$BG$51,MATCH($B297,campaigns!$A$2:$A$51,0))="","",INDEX(campaigns!$BG$2:$BG$51,MATCH($B297,campaigns!$A$2:$A$51,0))),""))</f>
        <v/>
      </c>
      <c r="N297" s="30" t="str">
        <f aca="false">IF(OR($B297="",$E297="",$M297=""),"",IF($E297&lt;$M297,0,NETWORKDAYS($M297,$E297,calendar!$A$2:$A$80)))</f>
        <v/>
      </c>
      <c r="O297" s="30" t="str">
        <f aca="false">IF($B297="","",IF(AND($K297="Y",OR($D297="later",$J297="Y")),"Y","N"))</f>
        <v/>
      </c>
      <c r="P297" s="30" t="str">
        <f aca="false">IF(OR($B297="",$E297=""),"",$B297&amp;"_"&amp;$C297&amp;"_"&amp;$D297&amp;"_"&amp;TEXT($E297,"yyyy-mm-dd")&amp;".jpg")</f>
        <v/>
      </c>
      <c r="Q297" s="30" t="str">
        <f aca="false">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30" t="str">
        <f aca="false">IF($B297="","",$B297&amp;"|"&amp;$C297&amp;"|"&amp;$D297&amp;"|"&amp;$O297)</f>
        <v/>
      </c>
      <c r="S297" s="30" t="str">
        <f aca="false">IF($B297="","",$R297&amp;"|"&amp;N($E297))</f>
        <v/>
      </c>
    </row>
    <row r="298" customFormat="false" ht="15" hidden="false" customHeight="false" outlineLevel="0" collapsed="false">
      <c r="D298" s="10"/>
      <c r="E298" s="11"/>
      <c r="F298" s="38"/>
      <c r="G298" s="10"/>
      <c r="I298" s="11"/>
      <c r="J298" s="10"/>
      <c r="K298" s="10"/>
      <c r="M298" s="31" t="str">
        <f aca="false">IF($B298="","",IFERROR(IF(INDEX(campaigns!$BG$2:$BG$51,MATCH($B298,campaigns!$A$2:$A$51,0))="","",INDEX(campaigns!$BG$2:$BG$51,MATCH($B298,campaigns!$A$2:$A$51,0))),""))</f>
        <v/>
      </c>
      <c r="N298" s="30" t="str">
        <f aca="false">IF(OR($B298="",$E298="",$M298=""),"",IF($E298&lt;$M298,0,NETWORKDAYS($M298,$E298,calendar!$A$2:$A$80)))</f>
        <v/>
      </c>
      <c r="O298" s="30" t="str">
        <f aca="false">IF($B298="","",IF(AND($K298="Y",OR($D298="later",$J298="Y")),"Y","N"))</f>
        <v/>
      </c>
      <c r="P298" s="30" t="str">
        <f aca="false">IF(OR($B298="",$E298=""),"",$B298&amp;"_"&amp;$C298&amp;"_"&amp;$D298&amp;"_"&amp;TEXT($E298,"yyyy-mm-dd")&amp;".jpg")</f>
        <v/>
      </c>
      <c r="Q298" s="30" t="str">
        <f aca="false">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30" t="str">
        <f aca="false">IF($B298="","",$B298&amp;"|"&amp;$C298&amp;"|"&amp;$D298&amp;"|"&amp;$O298)</f>
        <v/>
      </c>
      <c r="S298" s="30" t="str">
        <f aca="false">IF($B298="","",$R298&amp;"|"&amp;N($E298))</f>
        <v/>
      </c>
    </row>
    <row r="299" customFormat="false" ht="15" hidden="false" customHeight="false" outlineLevel="0" collapsed="false">
      <c r="D299" s="10"/>
      <c r="E299" s="11"/>
      <c r="F299" s="38"/>
      <c r="G299" s="10"/>
      <c r="I299" s="11"/>
      <c r="J299" s="10"/>
      <c r="K299" s="10"/>
      <c r="M299" s="31" t="str">
        <f aca="false">IF($B299="","",IFERROR(IF(INDEX(campaigns!$BG$2:$BG$51,MATCH($B299,campaigns!$A$2:$A$51,0))="","",INDEX(campaigns!$BG$2:$BG$51,MATCH($B299,campaigns!$A$2:$A$51,0))),""))</f>
        <v/>
      </c>
      <c r="N299" s="30" t="str">
        <f aca="false">IF(OR($B299="",$E299="",$M299=""),"",IF($E299&lt;$M299,0,NETWORKDAYS($M299,$E299,calendar!$A$2:$A$80)))</f>
        <v/>
      </c>
      <c r="O299" s="30" t="str">
        <f aca="false">IF($B299="","",IF(AND($K299="Y",OR($D299="later",$J299="Y")),"Y","N"))</f>
        <v/>
      </c>
      <c r="P299" s="30" t="str">
        <f aca="false">IF(OR($B299="",$E299=""),"",$B299&amp;"_"&amp;$C299&amp;"_"&amp;$D299&amp;"_"&amp;TEXT($E299,"yyyy-mm-dd")&amp;".jpg")</f>
        <v/>
      </c>
      <c r="Q299" s="30" t="str">
        <f aca="false">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30" t="str">
        <f aca="false">IF($B299="","",$B299&amp;"|"&amp;$C299&amp;"|"&amp;$D299&amp;"|"&amp;$O299)</f>
        <v/>
      </c>
      <c r="S299" s="30" t="str">
        <f aca="false">IF($B299="","",$R299&amp;"|"&amp;N($E299))</f>
        <v/>
      </c>
    </row>
    <row r="300" customFormat="false" ht="15" hidden="false" customHeight="false" outlineLevel="0" collapsed="false">
      <c r="D300" s="10"/>
      <c r="E300" s="11"/>
      <c r="F300" s="38"/>
      <c r="G300" s="10"/>
      <c r="I300" s="11"/>
      <c r="J300" s="10"/>
      <c r="K300" s="10"/>
      <c r="M300" s="31" t="str">
        <f aca="false">IF($B300="","",IFERROR(IF(INDEX(campaigns!$BG$2:$BG$51,MATCH($B300,campaigns!$A$2:$A$51,0))="","",INDEX(campaigns!$BG$2:$BG$51,MATCH($B300,campaigns!$A$2:$A$51,0))),""))</f>
        <v/>
      </c>
      <c r="N300" s="30" t="str">
        <f aca="false">IF(OR($B300="",$E300="",$M300=""),"",IF($E300&lt;$M300,0,NETWORKDAYS($M300,$E300,calendar!$A$2:$A$80)))</f>
        <v/>
      </c>
      <c r="O300" s="30" t="str">
        <f aca="false">IF($B300="","",IF(AND($K300="Y",OR($D300="later",$J300="Y")),"Y","N"))</f>
        <v/>
      </c>
      <c r="P300" s="30" t="str">
        <f aca="false">IF(OR($B300="",$E300=""),"",$B300&amp;"_"&amp;$C300&amp;"_"&amp;$D300&amp;"_"&amp;TEXT($E300,"yyyy-mm-dd")&amp;".jpg")</f>
        <v/>
      </c>
      <c r="Q300" s="30" t="str">
        <f aca="false">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30" t="str">
        <f aca="false">IF($B300="","",$B300&amp;"|"&amp;$C300&amp;"|"&amp;$D300&amp;"|"&amp;$O300)</f>
        <v/>
      </c>
      <c r="S300" s="30" t="str">
        <f aca="false">IF($B300="","",$R300&amp;"|"&amp;N($E300))</f>
        <v/>
      </c>
    </row>
    <row r="301" customFormat="false" ht="15" hidden="false" customHeight="false" outlineLevel="0" collapsed="false">
      <c r="D301" s="10"/>
      <c r="E301" s="11"/>
      <c r="F301" s="38"/>
      <c r="G301" s="10"/>
      <c r="I301" s="11"/>
      <c r="J301" s="10"/>
      <c r="K301" s="10"/>
      <c r="M301" s="31" t="str">
        <f aca="false">IF($B301="","",IFERROR(IF(INDEX(campaigns!$BG$2:$BG$51,MATCH($B301,campaigns!$A$2:$A$51,0))="","",INDEX(campaigns!$BG$2:$BG$51,MATCH($B301,campaigns!$A$2:$A$51,0))),""))</f>
        <v/>
      </c>
      <c r="N301" s="30" t="str">
        <f aca="false">IF(OR($B301="",$E301="",$M301=""),"",IF($E301&lt;$M301,0,NETWORKDAYS($M301,$E301,calendar!$A$2:$A$80)))</f>
        <v/>
      </c>
      <c r="O301" s="30" t="str">
        <f aca="false">IF($B301="","",IF(AND($K301="Y",OR($D301="later",$J301="Y")),"Y","N"))</f>
        <v/>
      </c>
      <c r="P301" s="30" t="str">
        <f aca="false">IF(OR($B301="",$E301=""),"",$B301&amp;"_"&amp;$C301&amp;"_"&amp;$D301&amp;"_"&amp;TEXT($E301,"yyyy-mm-dd")&amp;".jpg")</f>
        <v/>
      </c>
      <c r="Q301" s="30" t="str">
        <f aca="false">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30" t="str">
        <f aca="false">IF($B301="","",$B301&amp;"|"&amp;$C301&amp;"|"&amp;$D301&amp;"|"&amp;$O301)</f>
        <v/>
      </c>
      <c r="S301" s="30" t="str">
        <f aca="false">IF($B301="","",$R301&amp;"|"&amp;N($E301))</f>
        <v/>
      </c>
    </row>
    <row r="302" customFormat="false" ht="15" hidden="false" customHeight="false" outlineLevel="0" collapsed="false">
      <c r="D302" s="10"/>
      <c r="E302" s="11"/>
      <c r="F302" s="38"/>
      <c r="G302" s="10"/>
      <c r="I302" s="11"/>
      <c r="J302" s="10"/>
      <c r="K302" s="10"/>
      <c r="M302" s="31" t="str">
        <f aca="false">IF($B302="","",IFERROR(IF(INDEX(campaigns!$BG$2:$BG$51,MATCH($B302,campaigns!$A$2:$A$51,0))="","",INDEX(campaigns!$BG$2:$BG$51,MATCH($B302,campaigns!$A$2:$A$51,0))),""))</f>
        <v/>
      </c>
      <c r="N302" s="30" t="str">
        <f aca="false">IF(OR($B302="",$E302="",$M302=""),"",IF($E302&lt;$M302,0,NETWORKDAYS($M302,$E302,calendar!$A$2:$A$80)))</f>
        <v/>
      </c>
      <c r="O302" s="30" t="str">
        <f aca="false">IF($B302="","",IF(AND($K302="Y",OR($D302="later",$J302="Y")),"Y","N"))</f>
        <v/>
      </c>
      <c r="P302" s="30" t="str">
        <f aca="false">IF(OR($B302="",$E302=""),"",$B302&amp;"_"&amp;$C302&amp;"_"&amp;$D302&amp;"_"&amp;TEXT($E302,"yyyy-mm-dd")&amp;".jpg")</f>
        <v/>
      </c>
      <c r="Q302" s="30" t="str">
        <f aca="false">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30" t="str">
        <f aca="false">IF($B302="","",$B302&amp;"|"&amp;$C302&amp;"|"&amp;$D302&amp;"|"&amp;$O302)</f>
        <v/>
      </c>
      <c r="S302" s="30" t="str">
        <f aca="false">IF($B302="","",$R302&amp;"|"&amp;N($E302))</f>
        <v/>
      </c>
    </row>
    <row r="303" customFormat="false" ht="15" hidden="false" customHeight="false" outlineLevel="0" collapsed="false">
      <c r="D303" s="10"/>
      <c r="E303" s="11"/>
      <c r="F303" s="38"/>
      <c r="G303" s="10"/>
      <c r="I303" s="11"/>
      <c r="J303" s="10"/>
      <c r="K303" s="10"/>
      <c r="M303" s="31" t="str">
        <f aca="false">IF($B303="","",IFERROR(IF(INDEX(campaigns!$BG$2:$BG$51,MATCH($B303,campaigns!$A$2:$A$51,0))="","",INDEX(campaigns!$BG$2:$BG$51,MATCH($B303,campaigns!$A$2:$A$51,0))),""))</f>
        <v/>
      </c>
      <c r="N303" s="30" t="str">
        <f aca="false">IF(OR($B303="",$E303="",$M303=""),"",IF($E303&lt;$M303,0,NETWORKDAYS($M303,$E303,calendar!$A$2:$A$80)))</f>
        <v/>
      </c>
      <c r="O303" s="30" t="str">
        <f aca="false">IF($B303="","",IF(AND($K303="Y",OR($D303="later",$J303="Y")),"Y","N"))</f>
        <v/>
      </c>
      <c r="P303" s="30" t="str">
        <f aca="false">IF(OR($B303="",$E303=""),"",$B303&amp;"_"&amp;$C303&amp;"_"&amp;$D303&amp;"_"&amp;TEXT($E303,"yyyy-mm-dd")&amp;".jpg")</f>
        <v/>
      </c>
      <c r="Q303" s="30" t="str">
        <f aca="false">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30" t="str">
        <f aca="false">IF($B303="","",$B303&amp;"|"&amp;$C303&amp;"|"&amp;$D303&amp;"|"&amp;$O303)</f>
        <v/>
      </c>
      <c r="S303" s="30" t="str">
        <f aca="false">IF($B303="","",$R303&amp;"|"&amp;N($E303))</f>
        <v/>
      </c>
    </row>
    <row r="304" customFormat="false" ht="15" hidden="false" customHeight="false" outlineLevel="0" collapsed="false">
      <c r="D304" s="10"/>
      <c r="E304" s="11"/>
      <c r="F304" s="38"/>
      <c r="G304" s="10"/>
      <c r="I304" s="11"/>
      <c r="J304" s="10"/>
      <c r="K304" s="10"/>
      <c r="M304" s="31" t="str">
        <f aca="false">IF($B304="","",IFERROR(IF(INDEX(campaigns!$BG$2:$BG$51,MATCH($B304,campaigns!$A$2:$A$51,0))="","",INDEX(campaigns!$BG$2:$BG$51,MATCH($B304,campaigns!$A$2:$A$51,0))),""))</f>
        <v/>
      </c>
      <c r="N304" s="30" t="str">
        <f aca="false">IF(OR($B304="",$E304="",$M304=""),"",IF($E304&lt;$M304,0,NETWORKDAYS($M304,$E304,calendar!$A$2:$A$80)))</f>
        <v/>
      </c>
      <c r="O304" s="30" t="str">
        <f aca="false">IF($B304="","",IF(AND($K304="Y",OR($D304="later",$J304="Y")),"Y","N"))</f>
        <v/>
      </c>
      <c r="P304" s="30" t="str">
        <f aca="false">IF(OR($B304="",$E304=""),"",$B304&amp;"_"&amp;$C304&amp;"_"&amp;$D304&amp;"_"&amp;TEXT($E304,"yyyy-mm-dd")&amp;".jpg")</f>
        <v/>
      </c>
      <c r="Q304" s="30" t="str">
        <f aca="false">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30" t="str">
        <f aca="false">IF($B304="","",$B304&amp;"|"&amp;$C304&amp;"|"&amp;$D304&amp;"|"&amp;$O304)</f>
        <v/>
      </c>
      <c r="S304" s="30" t="str">
        <f aca="false">IF($B304="","",$R304&amp;"|"&amp;N($E304))</f>
        <v/>
      </c>
    </row>
    <row r="305" customFormat="false" ht="15" hidden="false" customHeight="false" outlineLevel="0" collapsed="false">
      <c r="D305" s="10"/>
      <c r="E305" s="11"/>
      <c r="F305" s="38"/>
      <c r="G305" s="10"/>
      <c r="I305" s="11"/>
      <c r="J305" s="10"/>
      <c r="K305" s="10"/>
      <c r="M305" s="31" t="str">
        <f aca="false">IF($B305="","",IFERROR(IF(INDEX(campaigns!$BG$2:$BG$51,MATCH($B305,campaigns!$A$2:$A$51,0))="","",INDEX(campaigns!$BG$2:$BG$51,MATCH($B305,campaigns!$A$2:$A$51,0))),""))</f>
        <v/>
      </c>
      <c r="N305" s="30" t="str">
        <f aca="false">IF(OR($B305="",$E305="",$M305=""),"",IF($E305&lt;$M305,0,NETWORKDAYS($M305,$E305,calendar!$A$2:$A$80)))</f>
        <v/>
      </c>
      <c r="O305" s="30" t="str">
        <f aca="false">IF($B305="","",IF(AND($K305="Y",OR($D305="later",$J305="Y")),"Y","N"))</f>
        <v/>
      </c>
      <c r="P305" s="30" t="str">
        <f aca="false">IF(OR($B305="",$E305=""),"",$B305&amp;"_"&amp;$C305&amp;"_"&amp;$D305&amp;"_"&amp;TEXT($E305,"yyyy-mm-dd")&amp;".jpg")</f>
        <v/>
      </c>
      <c r="Q305" s="30" t="str">
        <f aca="false">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30" t="str">
        <f aca="false">IF($B305="","",$B305&amp;"|"&amp;$C305&amp;"|"&amp;$D305&amp;"|"&amp;$O305)</f>
        <v/>
      </c>
      <c r="S305" s="30" t="str">
        <f aca="false">IF($B305="","",$R305&amp;"|"&amp;N($E305))</f>
        <v/>
      </c>
    </row>
    <row r="306" customFormat="false" ht="15" hidden="false" customHeight="false" outlineLevel="0" collapsed="false">
      <c r="D306" s="10"/>
      <c r="E306" s="11"/>
      <c r="F306" s="38"/>
      <c r="G306" s="10"/>
      <c r="I306" s="11"/>
      <c r="J306" s="10"/>
      <c r="K306" s="10"/>
      <c r="M306" s="31" t="str">
        <f aca="false">IF($B306="","",IFERROR(IF(INDEX(campaigns!$BG$2:$BG$51,MATCH($B306,campaigns!$A$2:$A$51,0))="","",INDEX(campaigns!$BG$2:$BG$51,MATCH($B306,campaigns!$A$2:$A$51,0))),""))</f>
        <v/>
      </c>
      <c r="N306" s="30" t="str">
        <f aca="false">IF(OR($B306="",$E306="",$M306=""),"",IF($E306&lt;$M306,0,NETWORKDAYS($M306,$E306,calendar!$A$2:$A$80)))</f>
        <v/>
      </c>
      <c r="O306" s="30" t="str">
        <f aca="false">IF($B306="","",IF(AND($K306="Y",OR($D306="later",$J306="Y")),"Y","N"))</f>
        <v/>
      </c>
      <c r="P306" s="30" t="str">
        <f aca="false">IF(OR($B306="",$E306=""),"",$B306&amp;"_"&amp;$C306&amp;"_"&amp;$D306&amp;"_"&amp;TEXT($E306,"yyyy-mm-dd")&amp;".jpg")</f>
        <v/>
      </c>
      <c r="Q306" s="30" t="str">
        <f aca="false">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30" t="str">
        <f aca="false">IF($B306="","",$B306&amp;"|"&amp;$C306&amp;"|"&amp;$D306&amp;"|"&amp;$O306)</f>
        <v/>
      </c>
      <c r="S306" s="30" t="str">
        <f aca="false">IF($B306="","",$R306&amp;"|"&amp;N($E306))</f>
        <v/>
      </c>
    </row>
    <row r="307" customFormat="false" ht="15" hidden="false" customHeight="false" outlineLevel="0" collapsed="false">
      <c r="D307" s="10"/>
      <c r="E307" s="11"/>
      <c r="F307" s="38"/>
      <c r="G307" s="10"/>
      <c r="I307" s="11"/>
      <c r="J307" s="10"/>
      <c r="K307" s="10"/>
      <c r="M307" s="31" t="str">
        <f aca="false">IF($B307="","",IFERROR(IF(INDEX(campaigns!$BG$2:$BG$51,MATCH($B307,campaigns!$A$2:$A$51,0))="","",INDEX(campaigns!$BG$2:$BG$51,MATCH($B307,campaigns!$A$2:$A$51,0))),""))</f>
        <v/>
      </c>
      <c r="N307" s="30" t="str">
        <f aca="false">IF(OR($B307="",$E307="",$M307=""),"",IF($E307&lt;$M307,0,NETWORKDAYS($M307,$E307,calendar!$A$2:$A$80)))</f>
        <v/>
      </c>
      <c r="O307" s="30" t="str">
        <f aca="false">IF($B307="","",IF(AND($K307="Y",OR($D307="later",$J307="Y")),"Y","N"))</f>
        <v/>
      </c>
      <c r="P307" s="30" t="str">
        <f aca="false">IF(OR($B307="",$E307=""),"",$B307&amp;"_"&amp;$C307&amp;"_"&amp;$D307&amp;"_"&amp;TEXT($E307,"yyyy-mm-dd")&amp;".jpg")</f>
        <v/>
      </c>
      <c r="Q307" s="30" t="str">
        <f aca="false">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30" t="str">
        <f aca="false">IF($B307="","",$B307&amp;"|"&amp;$C307&amp;"|"&amp;$D307&amp;"|"&amp;$O307)</f>
        <v/>
      </c>
      <c r="S307" s="30" t="str">
        <f aca="false">IF($B307="","",$R307&amp;"|"&amp;N($E307))</f>
        <v/>
      </c>
    </row>
    <row r="308" customFormat="false" ht="15" hidden="false" customHeight="false" outlineLevel="0" collapsed="false">
      <c r="D308" s="10"/>
      <c r="E308" s="11"/>
      <c r="F308" s="38"/>
      <c r="G308" s="10"/>
      <c r="I308" s="11"/>
      <c r="J308" s="10"/>
      <c r="K308" s="10"/>
      <c r="M308" s="31" t="str">
        <f aca="false">IF($B308="","",IFERROR(IF(INDEX(campaigns!$BG$2:$BG$51,MATCH($B308,campaigns!$A$2:$A$51,0))="","",INDEX(campaigns!$BG$2:$BG$51,MATCH($B308,campaigns!$A$2:$A$51,0))),""))</f>
        <v/>
      </c>
      <c r="N308" s="30" t="str">
        <f aca="false">IF(OR($B308="",$E308="",$M308=""),"",IF($E308&lt;$M308,0,NETWORKDAYS($M308,$E308,calendar!$A$2:$A$80)))</f>
        <v/>
      </c>
      <c r="O308" s="30" t="str">
        <f aca="false">IF($B308="","",IF(AND($K308="Y",OR($D308="later",$J308="Y")),"Y","N"))</f>
        <v/>
      </c>
      <c r="P308" s="30" t="str">
        <f aca="false">IF(OR($B308="",$E308=""),"",$B308&amp;"_"&amp;$C308&amp;"_"&amp;$D308&amp;"_"&amp;TEXT($E308,"yyyy-mm-dd")&amp;".jpg")</f>
        <v/>
      </c>
      <c r="Q308" s="30" t="str">
        <f aca="false">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30" t="str">
        <f aca="false">IF($B308="","",$B308&amp;"|"&amp;$C308&amp;"|"&amp;$D308&amp;"|"&amp;$O308)</f>
        <v/>
      </c>
      <c r="S308" s="30" t="str">
        <f aca="false">IF($B308="","",$R308&amp;"|"&amp;N($E308))</f>
        <v/>
      </c>
    </row>
    <row r="309" customFormat="false" ht="15" hidden="false" customHeight="false" outlineLevel="0" collapsed="false">
      <c r="D309" s="10"/>
      <c r="E309" s="11"/>
      <c r="F309" s="38"/>
      <c r="G309" s="10"/>
      <c r="I309" s="11"/>
      <c r="J309" s="10"/>
      <c r="K309" s="10"/>
      <c r="M309" s="31" t="str">
        <f aca="false">IF($B309="","",IFERROR(IF(INDEX(campaigns!$BG$2:$BG$51,MATCH($B309,campaigns!$A$2:$A$51,0))="","",INDEX(campaigns!$BG$2:$BG$51,MATCH($B309,campaigns!$A$2:$A$51,0))),""))</f>
        <v/>
      </c>
      <c r="N309" s="30" t="str">
        <f aca="false">IF(OR($B309="",$E309="",$M309=""),"",IF($E309&lt;$M309,0,NETWORKDAYS($M309,$E309,calendar!$A$2:$A$80)))</f>
        <v/>
      </c>
      <c r="O309" s="30" t="str">
        <f aca="false">IF($B309="","",IF(AND($K309="Y",OR($D309="later",$J309="Y")),"Y","N"))</f>
        <v/>
      </c>
      <c r="P309" s="30" t="str">
        <f aca="false">IF(OR($B309="",$E309=""),"",$B309&amp;"_"&amp;$C309&amp;"_"&amp;$D309&amp;"_"&amp;TEXT($E309,"yyyy-mm-dd")&amp;".jpg")</f>
        <v/>
      </c>
      <c r="Q309" s="30" t="str">
        <f aca="false">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30" t="str">
        <f aca="false">IF($B309="","",$B309&amp;"|"&amp;$C309&amp;"|"&amp;$D309&amp;"|"&amp;$O309)</f>
        <v/>
      </c>
      <c r="S309" s="30" t="str">
        <f aca="false">IF($B309="","",$R309&amp;"|"&amp;N($E309))</f>
        <v/>
      </c>
    </row>
    <row r="310" customFormat="false" ht="15" hidden="false" customHeight="false" outlineLevel="0" collapsed="false">
      <c r="D310" s="10"/>
      <c r="E310" s="11"/>
      <c r="F310" s="38"/>
      <c r="G310" s="10"/>
      <c r="I310" s="11"/>
      <c r="J310" s="10"/>
      <c r="K310" s="10"/>
      <c r="M310" s="31" t="str">
        <f aca="false">IF($B310="","",IFERROR(IF(INDEX(campaigns!$BG$2:$BG$51,MATCH($B310,campaigns!$A$2:$A$51,0))="","",INDEX(campaigns!$BG$2:$BG$51,MATCH($B310,campaigns!$A$2:$A$51,0))),""))</f>
        <v/>
      </c>
      <c r="N310" s="30" t="str">
        <f aca="false">IF(OR($B310="",$E310="",$M310=""),"",IF($E310&lt;$M310,0,NETWORKDAYS($M310,$E310,calendar!$A$2:$A$80)))</f>
        <v/>
      </c>
      <c r="O310" s="30" t="str">
        <f aca="false">IF($B310="","",IF(AND($K310="Y",OR($D310="later",$J310="Y")),"Y","N"))</f>
        <v/>
      </c>
      <c r="P310" s="30" t="str">
        <f aca="false">IF(OR($B310="",$E310=""),"",$B310&amp;"_"&amp;$C310&amp;"_"&amp;$D310&amp;"_"&amp;TEXT($E310,"yyyy-mm-dd")&amp;".jpg")</f>
        <v/>
      </c>
      <c r="Q310" s="30" t="str">
        <f aca="false">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30" t="str">
        <f aca="false">IF($B310="","",$B310&amp;"|"&amp;$C310&amp;"|"&amp;$D310&amp;"|"&amp;$O310)</f>
        <v/>
      </c>
      <c r="S310" s="30" t="str">
        <f aca="false">IF($B310="","",$R310&amp;"|"&amp;N($E310))</f>
        <v/>
      </c>
    </row>
    <row r="311" customFormat="false" ht="15" hidden="false" customHeight="false" outlineLevel="0" collapsed="false">
      <c r="D311" s="10"/>
      <c r="E311" s="11"/>
      <c r="F311" s="38"/>
      <c r="G311" s="10"/>
      <c r="I311" s="11"/>
      <c r="J311" s="10"/>
      <c r="K311" s="10"/>
      <c r="M311" s="31" t="str">
        <f aca="false">IF($B311="","",IFERROR(IF(INDEX(campaigns!$BG$2:$BG$51,MATCH($B311,campaigns!$A$2:$A$51,0))="","",INDEX(campaigns!$BG$2:$BG$51,MATCH($B311,campaigns!$A$2:$A$51,0))),""))</f>
        <v/>
      </c>
      <c r="N311" s="30" t="str">
        <f aca="false">IF(OR($B311="",$E311="",$M311=""),"",IF($E311&lt;$M311,0,NETWORKDAYS($M311,$E311,calendar!$A$2:$A$80)))</f>
        <v/>
      </c>
      <c r="O311" s="30" t="str">
        <f aca="false">IF($B311="","",IF(AND($K311="Y",OR($D311="later",$J311="Y")),"Y","N"))</f>
        <v/>
      </c>
      <c r="P311" s="30" t="str">
        <f aca="false">IF(OR($B311="",$E311=""),"",$B311&amp;"_"&amp;$C311&amp;"_"&amp;$D311&amp;"_"&amp;TEXT($E311,"yyyy-mm-dd")&amp;".jpg")</f>
        <v/>
      </c>
      <c r="Q311" s="30" t="str">
        <f aca="false">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30" t="str">
        <f aca="false">IF($B311="","",$B311&amp;"|"&amp;$C311&amp;"|"&amp;$D311&amp;"|"&amp;$O311)</f>
        <v/>
      </c>
      <c r="S311" s="30" t="str">
        <f aca="false">IF($B311="","",$R311&amp;"|"&amp;N($E311))</f>
        <v/>
      </c>
    </row>
    <row r="312" customFormat="false" ht="15" hidden="false" customHeight="false" outlineLevel="0" collapsed="false">
      <c r="D312" s="10"/>
      <c r="E312" s="11"/>
      <c r="F312" s="38"/>
      <c r="G312" s="10"/>
      <c r="I312" s="11"/>
      <c r="J312" s="10"/>
      <c r="K312" s="10"/>
      <c r="M312" s="31" t="str">
        <f aca="false">IF($B312="","",IFERROR(IF(INDEX(campaigns!$BG$2:$BG$51,MATCH($B312,campaigns!$A$2:$A$51,0))="","",INDEX(campaigns!$BG$2:$BG$51,MATCH($B312,campaigns!$A$2:$A$51,0))),""))</f>
        <v/>
      </c>
      <c r="N312" s="30" t="str">
        <f aca="false">IF(OR($B312="",$E312="",$M312=""),"",IF($E312&lt;$M312,0,NETWORKDAYS($M312,$E312,calendar!$A$2:$A$80)))</f>
        <v/>
      </c>
      <c r="O312" s="30" t="str">
        <f aca="false">IF($B312="","",IF(AND($K312="Y",OR($D312="later",$J312="Y")),"Y","N"))</f>
        <v/>
      </c>
      <c r="P312" s="30" t="str">
        <f aca="false">IF(OR($B312="",$E312=""),"",$B312&amp;"_"&amp;$C312&amp;"_"&amp;$D312&amp;"_"&amp;TEXT($E312,"yyyy-mm-dd")&amp;".jpg")</f>
        <v/>
      </c>
      <c r="Q312" s="30" t="str">
        <f aca="false">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30" t="str">
        <f aca="false">IF($B312="","",$B312&amp;"|"&amp;$C312&amp;"|"&amp;$D312&amp;"|"&amp;$O312)</f>
        <v/>
      </c>
      <c r="S312" s="30" t="str">
        <f aca="false">IF($B312="","",$R312&amp;"|"&amp;N($E312))</f>
        <v/>
      </c>
    </row>
    <row r="313" customFormat="false" ht="15" hidden="false" customHeight="false" outlineLevel="0" collapsed="false">
      <c r="D313" s="10"/>
      <c r="E313" s="11"/>
      <c r="F313" s="38"/>
      <c r="G313" s="10"/>
      <c r="I313" s="11"/>
      <c r="J313" s="10"/>
      <c r="K313" s="10"/>
      <c r="M313" s="31" t="str">
        <f aca="false">IF($B313="","",IFERROR(IF(INDEX(campaigns!$BG$2:$BG$51,MATCH($B313,campaigns!$A$2:$A$51,0))="","",INDEX(campaigns!$BG$2:$BG$51,MATCH($B313,campaigns!$A$2:$A$51,0))),""))</f>
        <v/>
      </c>
      <c r="N313" s="30" t="str">
        <f aca="false">IF(OR($B313="",$E313="",$M313=""),"",IF($E313&lt;$M313,0,NETWORKDAYS($M313,$E313,calendar!$A$2:$A$80)))</f>
        <v/>
      </c>
      <c r="O313" s="30" t="str">
        <f aca="false">IF($B313="","",IF(AND($K313="Y",OR($D313="later",$J313="Y")),"Y","N"))</f>
        <v/>
      </c>
      <c r="P313" s="30" t="str">
        <f aca="false">IF(OR($B313="",$E313=""),"",$B313&amp;"_"&amp;$C313&amp;"_"&amp;$D313&amp;"_"&amp;TEXT($E313,"yyyy-mm-dd")&amp;".jpg")</f>
        <v/>
      </c>
      <c r="Q313" s="30" t="str">
        <f aca="false">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30" t="str">
        <f aca="false">IF($B313="","",$B313&amp;"|"&amp;$C313&amp;"|"&amp;$D313&amp;"|"&amp;$O313)</f>
        <v/>
      </c>
      <c r="S313" s="30" t="str">
        <f aca="false">IF($B313="","",$R313&amp;"|"&amp;N($E313))</f>
        <v/>
      </c>
    </row>
    <row r="314" customFormat="false" ht="15" hidden="false" customHeight="false" outlineLevel="0" collapsed="false">
      <c r="D314" s="10"/>
      <c r="E314" s="11"/>
      <c r="F314" s="38"/>
      <c r="G314" s="10"/>
      <c r="I314" s="11"/>
      <c r="J314" s="10"/>
      <c r="K314" s="10"/>
      <c r="M314" s="31" t="str">
        <f aca="false">IF($B314="","",IFERROR(IF(INDEX(campaigns!$BG$2:$BG$51,MATCH($B314,campaigns!$A$2:$A$51,0))="","",INDEX(campaigns!$BG$2:$BG$51,MATCH($B314,campaigns!$A$2:$A$51,0))),""))</f>
        <v/>
      </c>
      <c r="N314" s="30" t="str">
        <f aca="false">IF(OR($B314="",$E314="",$M314=""),"",IF($E314&lt;$M314,0,NETWORKDAYS($M314,$E314,calendar!$A$2:$A$80)))</f>
        <v/>
      </c>
      <c r="O314" s="30" t="str">
        <f aca="false">IF($B314="","",IF(AND($K314="Y",OR($D314="later",$J314="Y")),"Y","N"))</f>
        <v/>
      </c>
      <c r="P314" s="30" t="str">
        <f aca="false">IF(OR($B314="",$E314=""),"",$B314&amp;"_"&amp;$C314&amp;"_"&amp;$D314&amp;"_"&amp;TEXT($E314,"yyyy-mm-dd")&amp;".jpg")</f>
        <v/>
      </c>
      <c r="Q314" s="30" t="str">
        <f aca="false">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30" t="str">
        <f aca="false">IF($B314="","",$B314&amp;"|"&amp;$C314&amp;"|"&amp;$D314&amp;"|"&amp;$O314)</f>
        <v/>
      </c>
      <c r="S314" s="30" t="str">
        <f aca="false">IF($B314="","",$R314&amp;"|"&amp;N($E314))</f>
        <v/>
      </c>
    </row>
    <row r="315" customFormat="false" ht="15" hidden="false" customHeight="false" outlineLevel="0" collapsed="false">
      <c r="D315" s="10"/>
      <c r="E315" s="11"/>
      <c r="F315" s="38"/>
      <c r="G315" s="10"/>
      <c r="I315" s="11"/>
      <c r="J315" s="10"/>
      <c r="K315" s="10"/>
      <c r="M315" s="31" t="str">
        <f aca="false">IF($B315="","",IFERROR(IF(INDEX(campaigns!$BG$2:$BG$51,MATCH($B315,campaigns!$A$2:$A$51,0))="","",INDEX(campaigns!$BG$2:$BG$51,MATCH($B315,campaigns!$A$2:$A$51,0))),""))</f>
        <v/>
      </c>
      <c r="N315" s="30" t="str">
        <f aca="false">IF(OR($B315="",$E315="",$M315=""),"",IF($E315&lt;$M315,0,NETWORKDAYS($M315,$E315,calendar!$A$2:$A$80)))</f>
        <v/>
      </c>
      <c r="O315" s="30" t="str">
        <f aca="false">IF($B315="","",IF(AND($K315="Y",OR($D315="later",$J315="Y")),"Y","N"))</f>
        <v/>
      </c>
      <c r="P315" s="30" t="str">
        <f aca="false">IF(OR($B315="",$E315=""),"",$B315&amp;"_"&amp;$C315&amp;"_"&amp;$D315&amp;"_"&amp;TEXT($E315,"yyyy-mm-dd")&amp;".jpg")</f>
        <v/>
      </c>
      <c r="Q315" s="30" t="str">
        <f aca="false">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30" t="str">
        <f aca="false">IF($B315="","",$B315&amp;"|"&amp;$C315&amp;"|"&amp;$D315&amp;"|"&amp;$O315)</f>
        <v/>
      </c>
      <c r="S315" s="30" t="str">
        <f aca="false">IF($B315="","",$R315&amp;"|"&amp;N($E315))</f>
        <v/>
      </c>
    </row>
    <row r="316" customFormat="false" ht="15" hidden="false" customHeight="false" outlineLevel="0" collapsed="false">
      <c r="D316" s="10"/>
      <c r="E316" s="11"/>
      <c r="F316" s="38"/>
      <c r="G316" s="10"/>
      <c r="I316" s="11"/>
      <c r="J316" s="10"/>
      <c r="K316" s="10"/>
      <c r="M316" s="31" t="str">
        <f aca="false">IF($B316="","",IFERROR(IF(INDEX(campaigns!$BG$2:$BG$51,MATCH($B316,campaigns!$A$2:$A$51,0))="","",INDEX(campaigns!$BG$2:$BG$51,MATCH($B316,campaigns!$A$2:$A$51,0))),""))</f>
        <v/>
      </c>
      <c r="N316" s="30" t="str">
        <f aca="false">IF(OR($B316="",$E316="",$M316=""),"",IF($E316&lt;$M316,0,NETWORKDAYS($M316,$E316,calendar!$A$2:$A$80)))</f>
        <v/>
      </c>
      <c r="O316" s="30" t="str">
        <f aca="false">IF($B316="","",IF(AND($K316="Y",OR($D316="later",$J316="Y")),"Y","N"))</f>
        <v/>
      </c>
      <c r="P316" s="30" t="str">
        <f aca="false">IF(OR($B316="",$E316=""),"",$B316&amp;"_"&amp;$C316&amp;"_"&amp;$D316&amp;"_"&amp;TEXT($E316,"yyyy-mm-dd")&amp;".jpg")</f>
        <v/>
      </c>
      <c r="Q316" s="30" t="str">
        <f aca="false">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30" t="str">
        <f aca="false">IF($B316="","",$B316&amp;"|"&amp;$C316&amp;"|"&amp;$D316&amp;"|"&amp;$O316)</f>
        <v/>
      </c>
      <c r="S316" s="30" t="str">
        <f aca="false">IF($B316="","",$R316&amp;"|"&amp;N($E316))</f>
        <v/>
      </c>
    </row>
    <row r="317" customFormat="false" ht="15" hidden="false" customHeight="false" outlineLevel="0" collapsed="false">
      <c r="D317" s="10"/>
      <c r="E317" s="11"/>
      <c r="F317" s="38"/>
      <c r="G317" s="10"/>
      <c r="I317" s="11"/>
      <c r="J317" s="10"/>
      <c r="K317" s="10"/>
      <c r="M317" s="31" t="str">
        <f aca="false">IF($B317="","",IFERROR(IF(INDEX(campaigns!$BG$2:$BG$51,MATCH($B317,campaigns!$A$2:$A$51,0))="","",INDEX(campaigns!$BG$2:$BG$51,MATCH($B317,campaigns!$A$2:$A$51,0))),""))</f>
        <v/>
      </c>
      <c r="N317" s="30" t="str">
        <f aca="false">IF(OR($B317="",$E317="",$M317=""),"",IF($E317&lt;$M317,0,NETWORKDAYS($M317,$E317,calendar!$A$2:$A$80)))</f>
        <v/>
      </c>
      <c r="O317" s="30" t="str">
        <f aca="false">IF($B317="","",IF(AND($K317="Y",OR($D317="later",$J317="Y")),"Y","N"))</f>
        <v/>
      </c>
      <c r="P317" s="30" t="str">
        <f aca="false">IF(OR($B317="",$E317=""),"",$B317&amp;"_"&amp;$C317&amp;"_"&amp;$D317&amp;"_"&amp;TEXT($E317,"yyyy-mm-dd")&amp;".jpg")</f>
        <v/>
      </c>
      <c r="Q317" s="30" t="str">
        <f aca="false">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30" t="str">
        <f aca="false">IF($B317="","",$B317&amp;"|"&amp;$C317&amp;"|"&amp;$D317&amp;"|"&amp;$O317)</f>
        <v/>
      </c>
      <c r="S317" s="30" t="str">
        <f aca="false">IF($B317="","",$R317&amp;"|"&amp;N($E317))</f>
        <v/>
      </c>
    </row>
    <row r="318" customFormat="false" ht="15" hidden="false" customHeight="false" outlineLevel="0" collapsed="false">
      <c r="D318" s="10"/>
      <c r="E318" s="11"/>
      <c r="F318" s="38"/>
      <c r="G318" s="10"/>
      <c r="I318" s="11"/>
      <c r="J318" s="10"/>
      <c r="K318" s="10"/>
      <c r="M318" s="31" t="str">
        <f aca="false">IF($B318="","",IFERROR(IF(INDEX(campaigns!$BG$2:$BG$51,MATCH($B318,campaigns!$A$2:$A$51,0))="","",INDEX(campaigns!$BG$2:$BG$51,MATCH($B318,campaigns!$A$2:$A$51,0))),""))</f>
        <v/>
      </c>
      <c r="N318" s="30" t="str">
        <f aca="false">IF(OR($B318="",$E318="",$M318=""),"",IF($E318&lt;$M318,0,NETWORKDAYS($M318,$E318,calendar!$A$2:$A$80)))</f>
        <v/>
      </c>
      <c r="O318" s="30" t="str">
        <f aca="false">IF($B318="","",IF(AND($K318="Y",OR($D318="later",$J318="Y")),"Y","N"))</f>
        <v/>
      </c>
      <c r="P318" s="30" t="str">
        <f aca="false">IF(OR($B318="",$E318=""),"",$B318&amp;"_"&amp;$C318&amp;"_"&amp;$D318&amp;"_"&amp;TEXT($E318,"yyyy-mm-dd")&amp;".jpg")</f>
        <v/>
      </c>
      <c r="Q318" s="30" t="str">
        <f aca="false">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30" t="str">
        <f aca="false">IF($B318="","",$B318&amp;"|"&amp;$C318&amp;"|"&amp;$D318&amp;"|"&amp;$O318)</f>
        <v/>
      </c>
      <c r="S318" s="30" t="str">
        <f aca="false">IF($B318="","",$R318&amp;"|"&amp;N($E318))</f>
        <v/>
      </c>
    </row>
    <row r="319" customFormat="false" ht="15" hidden="false" customHeight="false" outlineLevel="0" collapsed="false">
      <c r="D319" s="10"/>
      <c r="E319" s="11"/>
      <c r="F319" s="38"/>
      <c r="G319" s="10"/>
      <c r="I319" s="11"/>
      <c r="J319" s="10"/>
      <c r="K319" s="10"/>
      <c r="M319" s="31" t="str">
        <f aca="false">IF($B319="","",IFERROR(IF(INDEX(campaigns!$BG$2:$BG$51,MATCH($B319,campaigns!$A$2:$A$51,0))="","",INDEX(campaigns!$BG$2:$BG$51,MATCH($B319,campaigns!$A$2:$A$51,0))),""))</f>
        <v/>
      </c>
      <c r="N319" s="30" t="str">
        <f aca="false">IF(OR($B319="",$E319="",$M319=""),"",IF($E319&lt;$M319,0,NETWORKDAYS($M319,$E319,calendar!$A$2:$A$80)))</f>
        <v/>
      </c>
      <c r="O319" s="30" t="str">
        <f aca="false">IF($B319="","",IF(AND($K319="Y",OR($D319="later",$J319="Y")),"Y","N"))</f>
        <v/>
      </c>
      <c r="P319" s="30" t="str">
        <f aca="false">IF(OR($B319="",$E319=""),"",$B319&amp;"_"&amp;$C319&amp;"_"&amp;$D319&amp;"_"&amp;TEXT($E319,"yyyy-mm-dd")&amp;".jpg")</f>
        <v/>
      </c>
      <c r="Q319" s="30" t="str">
        <f aca="false">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30" t="str">
        <f aca="false">IF($B319="","",$B319&amp;"|"&amp;$C319&amp;"|"&amp;$D319&amp;"|"&amp;$O319)</f>
        <v/>
      </c>
      <c r="S319" s="30" t="str">
        <f aca="false">IF($B319="","",$R319&amp;"|"&amp;N($E319))</f>
        <v/>
      </c>
    </row>
    <row r="320" customFormat="false" ht="15" hidden="false" customHeight="false" outlineLevel="0" collapsed="false">
      <c r="D320" s="10"/>
      <c r="E320" s="11"/>
      <c r="F320" s="38"/>
      <c r="G320" s="10"/>
      <c r="I320" s="11"/>
      <c r="J320" s="10"/>
      <c r="K320" s="10"/>
      <c r="M320" s="31" t="str">
        <f aca="false">IF($B320="","",IFERROR(IF(INDEX(campaigns!$BG$2:$BG$51,MATCH($B320,campaigns!$A$2:$A$51,0))="","",INDEX(campaigns!$BG$2:$BG$51,MATCH($B320,campaigns!$A$2:$A$51,0))),""))</f>
        <v/>
      </c>
      <c r="N320" s="30" t="str">
        <f aca="false">IF(OR($B320="",$E320="",$M320=""),"",IF($E320&lt;$M320,0,NETWORKDAYS($M320,$E320,calendar!$A$2:$A$80)))</f>
        <v/>
      </c>
      <c r="O320" s="30" t="str">
        <f aca="false">IF($B320="","",IF(AND($K320="Y",OR($D320="later",$J320="Y")),"Y","N"))</f>
        <v/>
      </c>
      <c r="P320" s="30" t="str">
        <f aca="false">IF(OR($B320="",$E320=""),"",$B320&amp;"_"&amp;$C320&amp;"_"&amp;$D320&amp;"_"&amp;TEXT($E320,"yyyy-mm-dd")&amp;".jpg")</f>
        <v/>
      </c>
      <c r="Q320" s="30" t="str">
        <f aca="false">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30" t="str">
        <f aca="false">IF($B320="","",$B320&amp;"|"&amp;$C320&amp;"|"&amp;$D320&amp;"|"&amp;$O320)</f>
        <v/>
      </c>
      <c r="S320" s="30" t="str">
        <f aca="false">IF($B320="","",$R320&amp;"|"&amp;N($E320))</f>
        <v/>
      </c>
    </row>
    <row r="321" customFormat="false" ht="15" hidden="false" customHeight="false" outlineLevel="0" collapsed="false">
      <c r="D321" s="10"/>
      <c r="E321" s="11"/>
      <c r="F321" s="38"/>
      <c r="G321" s="10"/>
      <c r="I321" s="11"/>
      <c r="J321" s="10"/>
      <c r="K321" s="10"/>
      <c r="M321" s="31" t="str">
        <f aca="false">IF($B321="","",IFERROR(IF(INDEX(campaigns!$BG$2:$BG$51,MATCH($B321,campaigns!$A$2:$A$51,0))="","",INDEX(campaigns!$BG$2:$BG$51,MATCH($B321,campaigns!$A$2:$A$51,0))),""))</f>
        <v/>
      </c>
      <c r="N321" s="30" t="str">
        <f aca="false">IF(OR($B321="",$E321="",$M321=""),"",IF($E321&lt;$M321,0,NETWORKDAYS($M321,$E321,calendar!$A$2:$A$80)))</f>
        <v/>
      </c>
      <c r="O321" s="30" t="str">
        <f aca="false">IF($B321="","",IF(AND($K321="Y",OR($D321="later",$J321="Y")),"Y","N"))</f>
        <v/>
      </c>
      <c r="P321" s="30" t="str">
        <f aca="false">IF(OR($B321="",$E321=""),"",$B321&amp;"_"&amp;$C321&amp;"_"&amp;$D321&amp;"_"&amp;TEXT($E321,"yyyy-mm-dd")&amp;".jpg")</f>
        <v/>
      </c>
      <c r="Q321" s="30" t="str">
        <f aca="false">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30" t="str">
        <f aca="false">IF($B321="","",$B321&amp;"|"&amp;$C321&amp;"|"&amp;$D321&amp;"|"&amp;$O321)</f>
        <v/>
      </c>
      <c r="S321" s="30" t="str">
        <f aca="false">IF($B321="","",$R321&amp;"|"&amp;N($E321))</f>
        <v/>
      </c>
    </row>
    <row r="322" customFormat="false" ht="15" hidden="false" customHeight="false" outlineLevel="0" collapsed="false">
      <c r="D322" s="10"/>
      <c r="E322" s="11"/>
      <c r="F322" s="38"/>
      <c r="G322" s="10"/>
      <c r="I322" s="11"/>
      <c r="J322" s="10"/>
      <c r="K322" s="10"/>
      <c r="M322" s="31" t="str">
        <f aca="false">IF($B322="","",IFERROR(IF(INDEX(campaigns!$BG$2:$BG$51,MATCH($B322,campaigns!$A$2:$A$51,0))="","",INDEX(campaigns!$BG$2:$BG$51,MATCH($B322,campaigns!$A$2:$A$51,0))),""))</f>
        <v/>
      </c>
      <c r="N322" s="30" t="str">
        <f aca="false">IF(OR($B322="",$E322="",$M322=""),"",IF($E322&lt;$M322,0,NETWORKDAYS($M322,$E322,calendar!$A$2:$A$80)))</f>
        <v/>
      </c>
      <c r="O322" s="30" t="str">
        <f aca="false">IF($B322="","",IF(AND($K322="Y",OR($D322="later",$J322="Y")),"Y","N"))</f>
        <v/>
      </c>
      <c r="P322" s="30" t="str">
        <f aca="false">IF(OR($B322="",$E322=""),"",$B322&amp;"_"&amp;$C322&amp;"_"&amp;$D322&amp;"_"&amp;TEXT($E322,"yyyy-mm-dd")&amp;".jpg")</f>
        <v/>
      </c>
      <c r="Q322" s="30" t="str">
        <f aca="false">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30" t="str">
        <f aca="false">IF($B322="","",$B322&amp;"|"&amp;$C322&amp;"|"&amp;$D322&amp;"|"&amp;$O322)</f>
        <v/>
      </c>
      <c r="S322" s="30" t="str">
        <f aca="false">IF($B322="","",$R322&amp;"|"&amp;N($E322))</f>
        <v/>
      </c>
    </row>
    <row r="323" customFormat="false" ht="15" hidden="false" customHeight="false" outlineLevel="0" collapsed="false">
      <c r="D323" s="10"/>
      <c r="E323" s="11"/>
      <c r="F323" s="38"/>
      <c r="G323" s="10"/>
      <c r="I323" s="11"/>
      <c r="J323" s="10"/>
      <c r="K323" s="10"/>
      <c r="M323" s="31" t="str">
        <f aca="false">IF($B323="","",IFERROR(IF(INDEX(campaigns!$BG$2:$BG$51,MATCH($B323,campaigns!$A$2:$A$51,0))="","",INDEX(campaigns!$BG$2:$BG$51,MATCH($B323,campaigns!$A$2:$A$51,0))),""))</f>
        <v/>
      </c>
      <c r="N323" s="30" t="str">
        <f aca="false">IF(OR($B323="",$E323="",$M323=""),"",IF($E323&lt;$M323,0,NETWORKDAYS($M323,$E323,calendar!$A$2:$A$80)))</f>
        <v/>
      </c>
      <c r="O323" s="30" t="str">
        <f aca="false">IF($B323="","",IF(AND($K323="Y",OR($D323="later",$J323="Y")),"Y","N"))</f>
        <v/>
      </c>
      <c r="P323" s="30" t="str">
        <f aca="false">IF(OR($B323="",$E323=""),"",$B323&amp;"_"&amp;$C323&amp;"_"&amp;$D323&amp;"_"&amp;TEXT($E323,"yyyy-mm-dd")&amp;".jpg")</f>
        <v/>
      </c>
      <c r="Q323" s="30" t="str">
        <f aca="false">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30" t="str">
        <f aca="false">IF($B323="","",$B323&amp;"|"&amp;$C323&amp;"|"&amp;$D323&amp;"|"&amp;$O323)</f>
        <v/>
      </c>
      <c r="S323" s="30" t="str">
        <f aca="false">IF($B323="","",$R323&amp;"|"&amp;N($E323))</f>
        <v/>
      </c>
    </row>
    <row r="324" customFormat="false" ht="15" hidden="false" customHeight="false" outlineLevel="0" collapsed="false">
      <c r="D324" s="10"/>
      <c r="E324" s="11"/>
      <c r="F324" s="38"/>
      <c r="G324" s="10"/>
      <c r="I324" s="11"/>
      <c r="J324" s="10"/>
      <c r="K324" s="10"/>
      <c r="M324" s="31" t="str">
        <f aca="false">IF($B324="","",IFERROR(IF(INDEX(campaigns!$BG$2:$BG$51,MATCH($B324,campaigns!$A$2:$A$51,0))="","",INDEX(campaigns!$BG$2:$BG$51,MATCH($B324,campaigns!$A$2:$A$51,0))),""))</f>
        <v/>
      </c>
      <c r="N324" s="30" t="str">
        <f aca="false">IF(OR($B324="",$E324="",$M324=""),"",IF($E324&lt;$M324,0,NETWORKDAYS($M324,$E324,calendar!$A$2:$A$80)))</f>
        <v/>
      </c>
      <c r="O324" s="30" t="str">
        <f aca="false">IF($B324="","",IF(AND($K324="Y",OR($D324="later",$J324="Y")),"Y","N"))</f>
        <v/>
      </c>
      <c r="P324" s="30" t="str">
        <f aca="false">IF(OR($B324="",$E324=""),"",$B324&amp;"_"&amp;$C324&amp;"_"&amp;$D324&amp;"_"&amp;TEXT($E324,"yyyy-mm-dd")&amp;".jpg")</f>
        <v/>
      </c>
      <c r="Q324" s="30" t="str">
        <f aca="false">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30" t="str">
        <f aca="false">IF($B324="","",$B324&amp;"|"&amp;$C324&amp;"|"&amp;$D324&amp;"|"&amp;$O324)</f>
        <v/>
      </c>
      <c r="S324" s="30" t="str">
        <f aca="false">IF($B324="","",$R324&amp;"|"&amp;N($E324))</f>
        <v/>
      </c>
    </row>
    <row r="325" customFormat="false" ht="15" hidden="false" customHeight="false" outlineLevel="0" collapsed="false">
      <c r="D325" s="10"/>
      <c r="E325" s="11"/>
      <c r="F325" s="38"/>
      <c r="G325" s="10"/>
      <c r="I325" s="11"/>
      <c r="J325" s="10"/>
      <c r="K325" s="10"/>
      <c r="M325" s="31" t="str">
        <f aca="false">IF($B325="","",IFERROR(IF(INDEX(campaigns!$BG$2:$BG$51,MATCH($B325,campaigns!$A$2:$A$51,0))="","",INDEX(campaigns!$BG$2:$BG$51,MATCH($B325,campaigns!$A$2:$A$51,0))),""))</f>
        <v/>
      </c>
      <c r="N325" s="30" t="str">
        <f aca="false">IF(OR($B325="",$E325="",$M325=""),"",IF($E325&lt;$M325,0,NETWORKDAYS($M325,$E325,calendar!$A$2:$A$80)))</f>
        <v/>
      </c>
      <c r="O325" s="30" t="str">
        <f aca="false">IF($B325="","",IF(AND($K325="Y",OR($D325="later",$J325="Y")),"Y","N"))</f>
        <v/>
      </c>
      <c r="P325" s="30" t="str">
        <f aca="false">IF(OR($B325="",$E325=""),"",$B325&amp;"_"&amp;$C325&amp;"_"&amp;$D325&amp;"_"&amp;TEXT($E325,"yyyy-mm-dd")&amp;".jpg")</f>
        <v/>
      </c>
      <c r="Q325" s="30" t="str">
        <f aca="false">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30" t="str">
        <f aca="false">IF($B325="","",$B325&amp;"|"&amp;$C325&amp;"|"&amp;$D325&amp;"|"&amp;$O325)</f>
        <v/>
      </c>
      <c r="S325" s="30" t="str">
        <f aca="false">IF($B325="","",$R325&amp;"|"&amp;N($E325))</f>
        <v/>
      </c>
    </row>
    <row r="326" customFormat="false" ht="15" hidden="false" customHeight="false" outlineLevel="0" collapsed="false">
      <c r="D326" s="10"/>
      <c r="E326" s="11"/>
      <c r="F326" s="38"/>
      <c r="G326" s="10"/>
      <c r="I326" s="11"/>
      <c r="J326" s="10"/>
      <c r="K326" s="10"/>
      <c r="M326" s="31" t="str">
        <f aca="false">IF($B326="","",IFERROR(IF(INDEX(campaigns!$BG$2:$BG$51,MATCH($B326,campaigns!$A$2:$A$51,0))="","",INDEX(campaigns!$BG$2:$BG$51,MATCH($B326,campaigns!$A$2:$A$51,0))),""))</f>
        <v/>
      </c>
      <c r="N326" s="30" t="str">
        <f aca="false">IF(OR($B326="",$E326="",$M326=""),"",IF($E326&lt;$M326,0,NETWORKDAYS($M326,$E326,calendar!$A$2:$A$80)))</f>
        <v/>
      </c>
      <c r="O326" s="30" t="str">
        <f aca="false">IF($B326="","",IF(AND($K326="Y",OR($D326="later",$J326="Y")),"Y","N"))</f>
        <v/>
      </c>
      <c r="P326" s="30" t="str">
        <f aca="false">IF(OR($B326="",$E326=""),"",$B326&amp;"_"&amp;$C326&amp;"_"&amp;$D326&amp;"_"&amp;TEXT($E326,"yyyy-mm-dd")&amp;".jpg")</f>
        <v/>
      </c>
      <c r="Q326" s="30" t="str">
        <f aca="false">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30" t="str">
        <f aca="false">IF($B326="","",$B326&amp;"|"&amp;$C326&amp;"|"&amp;$D326&amp;"|"&amp;$O326)</f>
        <v/>
      </c>
      <c r="S326" s="30" t="str">
        <f aca="false">IF($B326="","",$R326&amp;"|"&amp;N($E326))</f>
        <v/>
      </c>
    </row>
    <row r="327" customFormat="false" ht="15" hidden="false" customHeight="false" outlineLevel="0" collapsed="false">
      <c r="D327" s="10"/>
      <c r="E327" s="11"/>
      <c r="F327" s="38"/>
      <c r="G327" s="10"/>
      <c r="I327" s="11"/>
      <c r="J327" s="10"/>
      <c r="K327" s="10"/>
      <c r="M327" s="31" t="str">
        <f aca="false">IF($B327="","",IFERROR(IF(INDEX(campaigns!$BG$2:$BG$51,MATCH($B327,campaigns!$A$2:$A$51,0))="","",INDEX(campaigns!$BG$2:$BG$51,MATCH($B327,campaigns!$A$2:$A$51,0))),""))</f>
        <v/>
      </c>
      <c r="N327" s="30" t="str">
        <f aca="false">IF(OR($B327="",$E327="",$M327=""),"",IF($E327&lt;$M327,0,NETWORKDAYS($M327,$E327,calendar!$A$2:$A$80)))</f>
        <v/>
      </c>
      <c r="O327" s="30" t="str">
        <f aca="false">IF($B327="","",IF(AND($K327="Y",OR($D327="later",$J327="Y")),"Y","N"))</f>
        <v/>
      </c>
      <c r="P327" s="30" t="str">
        <f aca="false">IF(OR($B327="",$E327=""),"",$B327&amp;"_"&amp;$C327&amp;"_"&amp;$D327&amp;"_"&amp;TEXT($E327,"yyyy-mm-dd")&amp;".jpg")</f>
        <v/>
      </c>
      <c r="Q327" s="30" t="str">
        <f aca="false">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30" t="str">
        <f aca="false">IF($B327="","",$B327&amp;"|"&amp;$C327&amp;"|"&amp;$D327&amp;"|"&amp;$O327)</f>
        <v/>
      </c>
      <c r="S327" s="30" t="str">
        <f aca="false">IF($B327="","",$R327&amp;"|"&amp;N($E327))</f>
        <v/>
      </c>
    </row>
    <row r="328" customFormat="false" ht="15" hidden="false" customHeight="false" outlineLevel="0" collapsed="false">
      <c r="D328" s="10"/>
      <c r="E328" s="11"/>
      <c r="F328" s="38"/>
      <c r="G328" s="10"/>
      <c r="I328" s="11"/>
      <c r="J328" s="10"/>
      <c r="K328" s="10"/>
      <c r="M328" s="31" t="str">
        <f aca="false">IF($B328="","",IFERROR(IF(INDEX(campaigns!$BG$2:$BG$51,MATCH($B328,campaigns!$A$2:$A$51,0))="","",INDEX(campaigns!$BG$2:$BG$51,MATCH($B328,campaigns!$A$2:$A$51,0))),""))</f>
        <v/>
      </c>
      <c r="N328" s="30" t="str">
        <f aca="false">IF(OR($B328="",$E328="",$M328=""),"",IF($E328&lt;$M328,0,NETWORKDAYS($M328,$E328,calendar!$A$2:$A$80)))</f>
        <v/>
      </c>
      <c r="O328" s="30" t="str">
        <f aca="false">IF($B328="","",IF(AND($K328="Y",OR($D328="later",$J328="Y")),"Y","N"))</f>
        <v/>
      </c>
      <c r="P328" s="30" t="str">
        <f aca="false">IF(OR($B328="",$E328=""),"",$B328&amp;"_"&amp;$C328&amp;"_"&amp;$D328&amp;"_"&amp;TEXT($E328,"yyyy-mm-dd")&amp;".jpg")</f>
        <v/>
      </c>
      <c r="Q328" s="30" t="str">
        <f aca="false">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30" t="str">
        <f aca="false">IF($B328="","",$B328&amp;"|"&amp;$C328&amp;"|"&amp;$D328&amp;"|"&amp;$O328)</f>
        <v/>
      </c>
      <c r="S328" s="30" t="str">
        <f aca="false">IF($B328="","",$R328&amp;"|"&amp;N($E328))</f>
        <v/>
      </c>
    </row>
    <row r="329" customFormat="false" ht="15" hidden="false" customHeight="false" outlineLevel="0" collapsed="false">
      <c r="D329" s="10"/>
      <c r="E329" s="11"/>
      <c r="F329" s="38"/>
      <c r="G329" s="10"/>
      <c r="I329" s="11"/>
      <c r="J329" s="10"/>
      <c r="K329" s="10"/>
      <c r="M329" s="31" t="str">
        <f aca="false">IF($B329="","",IFERROR(IF(INDEX(campaigns!$BG$2:$BG$51,MATCH($B329,campaigns!$A$2:$A$51,0))="","",INDEX(campaigns!$BG$2:$BG$51,MATCH($B329,campaigns!$A$2:$A$51,0))),""))</f>
        <v/>
      </c>
      <c r="N329" s="30" t="str">
        <f aca="false">IF(OR($B329="",$E329="",$M329=""),"",IF($E329&lt;$M329,0,NETWORKDAYS($M329,$E329,calendar!$A$2:$A$80)))</f>
        <v/>
      </c>
      <c r="O329" s="30" t="str">
        <f aca="false">IF($B329="","",IF(AND($K329="Y",OR($D329="later",$J329="Y")),"Y","N"))</f>
        <v/>
      </c>
      <c r="P329" s="30" t="str">
        <f aca="false">IF(OR($B329="",$E329=""),"",$B329&amp;"_"&amp;$C329&amp;"_"&amp;$D329&amp;"_"&amp;TEXT($E329,"yyyy-mm-dd")&amp;".jpg")</f>
        <v/>
      </c>
      <c r="Q329" s="30" t="str">
        <f aca="false">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30" t="str">
        <f aca="false">IF($B329="","",$B329&amp;"|"&amp;$C329&amp;"|"&amp;$D329&amp;"|"&amp;$O329)</f>
        <v/>
      </c>
      <c r="S329" s="30" t="str">
        <f aca="false">IF($B329="","",$R329&amp;"|"&amp;N($E329))</f>
        <v/>
      </c>
    </row>
    <row r="330" customFormat="false" ht="15" hidden="false" customHeight="false" outlineLevel="0" collapsed="false">
      <c r="D330" s="10"/>
      <c r="E330" s="11"/>
      <c r="F330" s="38"/>
      <c r="G330" s="10"/>
      <c r="I330" s="11"/>
      <c r="J330" s="10"/>
      <c r="K330" s="10"/>
      <c r="M330" s="31" t="str">
        <f aca="false">IF($B330="","",IFERROR(IF(INDEX(campaigns!$BG$2:$BG$51,MATCH($B330,campaigns!$A$2:$A$51,0))="","",INDEX(campaigns!$BG$2:$BG$51,MATCH($B330,campaigns!$A$2:$A$51,0))),""))</f>
        <v/>
      </c>
      <c r="N330" s="30" t="str">
        <f aca="false">IF(OR($B330="",$E330="",$M330=""),"",IF($E330&lt;$M330,0,NETWORKDAYS($M330,$E330,calendar!$A$2:$A$80)))</f>
        <v/>
      </c>
      <c r="O330" s="30" t="str">
        <f aca="false">IF($B330="","",IF(AND($K330="Y",OR($D330="later",$J330="Y")),"Y","N"))</f>
        <v/>
      </c>
      <c r="P330" s="30" t="str">
        <f aca="false">IF(OR($B330="",$E330=""),"",$B330&amp;"_"&amp;$C330&amp;"_"&amp;$D330&amp;"_"&amp;TEXT($E330,"yyyy-mm-dd")&amp;".jpg")</f>
        <v/>
      </c>
      <c r="Q330" s="30" t="str">
        <f aca="false">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30" t="str">
        <f aca="false">IF($B330="","",$B330&amp;"|"&amp;$C330&amp;"|"&amp;$D330&amp;"|"&amp;$O330)</f>
        <v/>
      </c>
      <c r="S330" s="30" t="str">
        <f aca="false">IF($B330="","",$R330&amp;"|"&amp;N($E330))</f>
        <v/>
      </c>
    </row>
    <row r="331" customFormat="false" ht="15" hidden="false" customHeight="false" outlineLevel="0" collapsed="false">
      <c r="D331" s="10"/>
      <c r="E331" s="11"/>
      <c r="F331" s="38"/>
      <c r="G331" s="10"/>
      <c r="I331" s="11"/>
      <c r="J331" s="10"/>
      <c r="K331" s="10"/>
      <c r="M331" s="31" t="str">
        <f aca="false">IF($B331="","",IFERROR(IF(INDEX(campaigns!$BG$2:$BG$51,MATCH($B331,campaigns!$A$2:$A$51,0))="","",INDEX(campaigns!$BG$2:$BG$51,MATCH($B331,campaigns!$A$2:$A$51,0))),""))</f>
        <v/>
      </c>
      <c r="N331" s="30" t="str">
        <f aca="false">IF(OR($B331="",$E331="",$M331=""),"",IF($E331&lt;$M331,0,NETWORKDAYS($M331,$E331,calendar!$A$2:$A$80)))</f>
        <v/>
      </c>
      <c r="O331" s="30" t="str">
        <f aca="false">IF($B331="","",IF(AND($K331="Y",OR($D331="later",$J331="Y")),"Y","N"))</f>
        <v/>
      </c>
      <c r="P331" s="30" t="str">
        <f aca="false">IF(OR($B331="",$E331=""),"",$B331&amp;"_"&amp;$C331&amp;"_"&amp;$D331&amp;"_"&amp;TEXT($E331,"yyyy-mm-dd")&amp;".jpg")</f>
        <v/>
      </c>
      <c r="Q331" s="30" t="str">
        <f aca="false">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30" t="str">
        <f aca="false">IF($B331="","",$B331&amp;"|"&amp;$C331&amp;"|"&amp;$D331&amp;"|"&amp;$O331)</f>
        <v/>
      </c>
      <c r="S331" s="30" t="str">
        <f aca="false">IF($B331="","",$R331&amp;"|"&amp;N($E331))</f>
        <v/>
      </c>
    </row>
    <row r="332" customFormat="false" ht="15" hidden="false" customHeight="false" outlineLevel="0" collapsed="false">
      <c r="D332" s="10"/>
      <c r="E332" s="11"/>
      <c r="F332" s="38"/>
      <c r="G332" s="10"/>
      <c r="I332" s="11"/>
      <c r="J332" s="10"/>
      <c r="K332" s="10"/>
      <c r="M332" s="31" t="str">
        <f aca="false">IF($B332="","",IFERROR(IF(INDEX(campaigns!$BG$2:$BG$51,MATCH($B332,campaigns!$A$2:$A$51,0))="","",INDEX(campaigns!$BG$2:$BG$51,MATCH($B332,campaigns!$A$2:$A$51,0))),""))</f>
        <v/>
      </c>
      <c r="N332" s="30" t="str">
        <f aca="false">IF(OR($B332="",$E332="",$M332=""),"",IF($E332&lt;$M332,0,NETWORKDAYS($M332,$E332,calendar!$A$2:$A$80)))</f>
        <v/>
      </c>
      <c r="O332" s="30" t="str">
        <f aca="false">IF($B332="","",IF(AND($K332="Y",OR($D332="later",$J332="Y")),"Y","N"))</f>
        <v/>
      </c>
      <c r="P332" s="30" t="str">
        <f aca="false">IF(OR($B332="",$E332=""),"",$B332&amp;"_"&amp;$C332&amp;"_"&amp;$D332&amp;"_"&amp;TEXT($E332,"yyyy-mm-dd")&amp;".jpg")</f>
        <v/>
      </c>
      <c r="Q332" s="30" t="str">
        <f aca="false">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30" t="str">
        <f aca="false">IF($B332="","",$B332&amp;"|"&amp;$C332&amp;"|"&amp;$D332&amp;"|"&amp;$O332)</f>
        <v/>
      </c>
      <c r="S332" s="30" t="str">
        <f aca="false">IF($B332="","",$R332&amp;"|"&amp;N($E332))</f>
        <v/>
      </c>
    </row>
    <row r="333" customFormat="false" ht="15" hidden="false" customHeight="false" outlineLevel="0" collapsed="false">
      <c r="D333" s="10"/>
      <c r="E333" s="11"/>
      <c r="F333" s="38"/>
      <c r="G333" s="10"/>
      <c r="I333" s="11"/>
      <c r="J333" s="10"/>
      <c r="K333" s="10"/>
      <c r="M333" s="31" t="str">
        <f aca="false">IF($B333="","",IFERROR(IF(INDEX(campaigns!$BG$2:$BG$51,MATCH($B333,campaigns!$A$2:$A$51,0))="","",INDEX(campaigns!$BG$2:$BG$51,MATCH($B333,campaigns!$A$2:$A$51,0))),""))</f>
        <v/>
      </c>
      <c r="N333" s="30" t="str">
        <f aca="false">IF(OR($B333="",$E333="",$M333=""),"",IF($E333&lt;$M333,0,NETWORKDAYS($M333,$E333,calendar!$A$2:$A$80)))</f>
        <v/>
      </c>
      <c r="O333" s="30" t="str">
        <f aca="false">IF($B333="","",IF(AND($K333="Y",OR($D333="later",$J333="Y")),"Y","N"))</f>
        <v/>
      </c>
      <c r="P333" s="30" t="str">
        <f aca="false">IF(OR($B333="",$E333=""),"",$B333&amp;"_"&amp;$C333&amp;"_"&amp;$D333&amp;"_"&amp;TEXT($E333,"yyyy-mm-dd")&amp;".jpg")</f>
        <v/>
      </c>
      <c r="Q333" s="30" t="str">
        <f aca="false">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30" t="str">
        <f aca="false">IF($B333="","",$B333&amp;"|"&amp;$C333&amp;"|"&amp;$D333&amp;"|"&amp;$O333)</f>
        <v/>
      </c>
      <c r="S333" s="30" t="str">
        <f aca="false">IF($B333="","",$R333&amp;"|"&amp;N($E333))</f>
        <v/>
      </c>
    </row>
    <row r="334" customFormat="false" ht="15" hidden="false" customHeight="false" outlineLevel="0" collapsed="false">
      <c r="D334" s="10"/>
      <c r="E334" s="11"/>
      <c r="F334" s="38"/>
      <c r="G334" s="10"/>
      <c r="I334" s="11"/>
      <c r="J334" s="10"/>
      <c r="K334" s="10"/>
      <c r="M334" s="31" t="str">
        <f aca="false">IF($B334="","",IFERROR(IF(INDEX(campaigns!$BG$2:$BG$51,MATCH($B334,campaigns!$A$2:$A$51,0))="","",INDEX(campaigns!$BG$2:$BG$51,MATCH($B334,campaigns!$A$2:$A$51,0))),""))</f>
        <v/>
      </c>
      <c r="N334" s="30" t="str">
        <f aca="false">IF(OR($B334="",$E334="",$M334=""),"",IF($E334&lt;$M334,0,NETWORKDAYS($M334,$E334,calendar!$A$2:$A$80)))</f>
        <v/>
      </c>
      <c r="O334" s="30" t="str">
        <f aca="false">IF($B334="","",IF(AND($K334="Y",OR($D334="later",$J334="Y")),"Y","N"))</f>
        <v/>
      </c>
      <c r="P334" s="30" t="str">
        <f aca="false">IF(OR($B334="",$E334=""),"",$B334&amp;"_"&amp;$C334&amp;"_"&amp;$D334&amp;"_"&amp;TEXT($E334,"yyyy-mm-dd")&amp;".jpg")</f>
        <v/>
      </c>
      <c r="Q334" s="30" t="str">
        <f aca="false">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30" t="str">
        <f aca="false">IF($B334="","",$B334&amp;"|"&amp;$C334&amp;"|"&amp;$D334&amp;"|"&amp;$O334)</f>
        <v/>
      </c>
      <c r="S334" s="30" t="str">
        <f aca="false">IF($B334="","",$R334&amp;"|"&amp;N($E334))</f>
        <v/>
      </c>
    </row>
    <row r="335" customFormat="false" ht="15" hidden="false" customHeight="false" outlineLevel="0" collapsed="false">
      <c r="D335" s="10"/>
      <c r="E335" s="11"/>
      <c r="F335" s="38"/>
      <c r="G335" s="10"/>
      <c r="I335" s="11"/>
      <c r="J335" s="10"/>
      <c r="K335" s="10"/>
      <c r="M335" s="31" t="str">
        <f aca="false">IF($B335="","",IFERROR(IF(INDEX(campaigns!$BG$2:$BG$51,MATCH($B335,campaigns!$A$2:$A$51,0))="","",INDEX(campaigns!$BG$2:$BG$51,MATCH($B335,campaigns!$A$2:$A$51,0))),""))</f>
        <v/>
      </c>
      <c r="N335" s="30" t="str">
        <f aca="false">IF(OR($B335="",$E335="",$M335=""),"",IF($E335&lt;$M335,0,NETWORKDAYS($M335,$E335,calendar!$A$2:$A$80)))</f>
        <v/>
      </c>
      <c r="O335" s="30" t="str">
        <f aca="false">IF($B335="","",IF(AND($K335="Y",OR($D335="later",$J335="Y")),"Y","N"))</f>
        <v/>
      </c>
      <c r="P335" s="30" t="str">
        <f aca="false">IF(OR($B335="",$E335=""),"",$B335&amp;"_"&amp;$C335&amp;"_"&amp;$D335&amp;"_"&amp;TEXT($E335,"yyyy-mm-dd")&amp;".jpg")</f>
        <v/>
      </c>
      <c r="Q335" s="30" t="str">
        <f aca="false">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30" t="str">
        <f aca="false">IF($B335="","",$B335&amp;"|"&amp;$C335&amp;"|"&amp;$D335&amp;"|"&amp;$O335)</f>
        <v/>
      </c>
      <c r="S335" s="30" t="str">
        <f aca="false">IF($B335="","",$R335&amp;"|"&amp;N($E335))</f>
        <v/>
      </c>
    </row>
    <row r="336" customFormat="false" ht="15" hidden="false" customHeight="false" outlineLevel="0" collapsed="false">
      <c r="D336" s="10"/>
      <c r="E336" s="11"/>
      <c r="F336" s="38"/>
      <c r="G336" s="10"/>
      <c r="I336" s="11"/>
      <c r="J336" s="10"/>
      <c r="K336" s="10"/>
      <c r="M336" s="31" t="str">
        <f aca="false">IF($B336="","",IFERROR(IF(INDEX(campaigns!$BG$2:$BG$51,MATCH($B336,campaigns!$A$2:$A$51,0))="","",INDEX(campaigns!$BG$2:$BG$51,MATCH($B336,campaigns!$A$2:$A$51,0))),""))</f>
        <v/>
      </c>
      <c r="N336" s="30" t="str">
        <f aca="false">IF(OR($B336="",$E336="",$M336=""),"",IF($E336&lt;$M336,0,NETWORKDAYS($M336,$E336,calendar!$A$2:$A$80)))</f>
        <v/>
      </c>
      <c r="O336" s="30" t="str">
        <f aca="false">IF($B336="","",IF(AND($K336="Y",OR($D336="later",$J336="Y")),"Y","N"))</f>
        <v/>
      </c>
      <c r="P336" s="30" t="str">
        <f aca="false">IF(OR($B336="",$E336=""),"",$B336&amp;"_"&amp;$C336&amp;"_"&amp;$D336&amp;"_"&amp;TEXT($E336,"yyyy-mm-dd")&amp;".jpg")</f>
        <v/>
      </c>
      <c r="Q336" s="30" t="str">
        <f aca="false">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30" t="str">
        <f aca="false">IF($B336="","",$B336&amp;"|"&amp;$C336&amp;"|"&amp;$D336&amp;"|"&amp;$O336)</f>
        <v/>
      </c>
      <c r="S336" s="30" t="str">
        <f aca="false">IF($B336="","",$R336&amp;"|"&amp;N($E336))</f>
        <v/>
      </c>
    </row>
    <row r="337" customFormat="false" ht="15" hidden="false" customHeight="false" outlineLevel="0" collapsed="false">
      <c r="D337" s="10"/>
      <c r="E337" s="11"/>
      <c r="F337" s="38"/>
      <c r="G337" s="10"/>
      <c r="I337" s="11"/>
      <c r="J337" s="10"/>
      <c r="K337" s="10"/>
      <c r="M337" s="31" t="str">
        <f aca="false">IF($B337="","",IFERROR(IF(INDEX(campaigns!$BG$2:$BG$51,MATCH($B337,campaigns!$A$2:$A$51,0))="","",INDEX(campaigns!$BG$2:$BG$51,MATCH($B337,campaigns!$A$2:$A$51,0))),""))</f>
        <v/>
      </c>
      <c r="N337" s="30" t="str">
        <f aca="false">IF(OR($B337="",$E337="",$M337=""),"",IF($E337&lt;$M337,0,NETWORKDAYS($M337,$E337,calendar!$A$2:$A$80)))</f>
        <v/>
      </c>
      <c r="O337" s="30" t="str">
        <f aca="false">IF($B337="","",IF(AND($K337="Y",OR($D337="later",$J337="Y")),"Y","N"))</f>
        <v/>
      </c>
      <c r="P337" s="30" t="str">
        <f aca="false">IF(OR($B337="",$E337=""),"",$B337&amp;"_"&amp;$C337&amp;"_"&amp;$D337&amp;"_"&amp;TEXT($E337,"yyyy-mm-dd")&amp;".jpg")</f>
        <v/>
      </c>
      <c r="Q337" s="30" t="str">
        <f aca="false">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30" t="str">
        <f aca="false">IF($B337="","",$B337&amp;"|"&amp;$C337&amp;"|"&amp;$D337&amp;"|"&amp;$O337)</f>
        <v/>
      </c>
      <c r="S337" s="30" t="str">
        <f aca="false">IF($B337="","",$R337&amp;"|"&amp;N($E337))</f>
        <v/>
      </c>
    </row>
    <row r="338" customFormat="false" ht="15" hidden="false" customHeight="false" outlineLevel="0" collapsed="false">
      <c r="D338" s="10"/>
      <c r="E338" s="11"/>
      <c r="F338" s="38"/>
      <c r="G338" s="10"/>
      <c r="I338" s="11"/>
      <c r="J338" s="10"/>
      <c r="K338" s="10"/>
      <c r="M338" s="31" t="str">
        <f aca="false">IF($B338="","",IFERROR(IF(INDEX(campaigns!$BG$2:$BG$51,MATCH($B338,campaigns!$A$2:$A$51,0))="","",INDEX(campaigns!$BG$2:$BG$51,MATCH($B338,campaigns!$A$2:$A$51,0))),""))</f>
        <v/>
      </c>
      <c r="N338" s="30" t="str">
        <f aca="false">IF(OR($B338="",$E338="",$M338=""),"",IF($E338&lt;$M338,0,NETWORKDAYS($M338,$E338,calendar!$A$2:$A$80)))</f>
        <v/>
      </c>
      <c r="O338" s="30" t="str">
        <f aca="false">IF($B338="","",IF(AND($K338="Y",OR($D338="later",$J338="Y")),"Y","N"))</f>
        <v/>
      </c>
      <c r="P338" s="30" t="str">
        <f aca="false">IF(OR($B338="",$E338=""),"",$B338&amp;"_"&amp;$C338&amp;"_"&amp;$D338&amp;"_"&amp;TEXT($E338,"yyyy-mm-dd")&amp;".jpg")</f>
        <v/>
      </c>
      <c r="Q338" s="30" t="str">
        <f aca="false">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30" t="str">
        <f aca="false">IF($B338="","",$B338&amp;"|"&amp;$C338&amp;"|"&amp;$D338&amp;"|"&amp;$O338)</f>
        <v/>
      </c>
      <c r="S338" s="30" t="str">
        <f aca="false">IF($B338="","",$R338&amp;"|"&amp;N($E338))</f>
        <v/>
      </c>
    </row>
    <row r="339" customFormat="false" ht="15" hidden="false" customHeight="false" outlineLevel="0" collapsed="false">
      <c r="D339" s="10"/>
      <c r="E339" s="11"/>
      <c r="F339" s="38"/>
      <c r="G339" s="10"/>
      <c r="I339" s="11"/>
      <c r="J339" s="10"/>
      <c r="K339" s="10"/>
      <c r="M339" s="31" t="str">
        <f aca="false">IF($B339="","",IFERROR(IF(INDEX(campaigns!$BG$2:$BG$51,MATCH($B339,campaigns!$A$2:$A$51,0))="","",INDEX(campaigns!$BG$2:$BG$51,MATCH($B339,campaigns!$A$2:$A$51,0))),""))</f>
        <v/>
      </c>
      <c r="N339" s="30" t="str">
        <f aca="false">IF(OR($B339="",$E339="",$M339=""),"",IF($E339&lt;$M339,0,NETWORKDAYS($M339,$E339,calendar!$A$2:$A$80)))</f>
        <v/>
      </c>
      <c r="O339" s="30" t="str">
        <f aca="false">IF($B339="","",IF(AND($K339="Y",OR($D339="later",$J339="Y")),"Y","N"))</f>
        <v/>
      </c>
      <c r="P339" s="30" t="str">
        <f aca="false">IF(OR($B339="",$E339=""),"",$B339&amp;"_"&amp;$C339&amp;"_"&amp;$D339&amp;"_"&amp;TEXT($E339,"yyyy-mm-dd")&amp;".jpg")</f>
        <v/>
      </c>
      <c r="Q339" s="30" t="str">
        <f aca="false">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30" t="str">
        <f aca="false">IF($B339="","",$B339&amp;"|"&amp;$C339&amp;"|"&amp;$D339&amp;"|"&amp;$O339)</f>
        <v/>
      </c>
      <c r="S339" s="30" t="str">
        <f aca="false">IF($B339="","",$R339&amp;"|"&amp;N($E339))</f>
        <v/>
      </c>
    </row>
    <row r="340" customFormat="false" ht="15" hidden="false" customHeight="false" outlineLevel="0" collapsed="false">
      <c r="D340" s="10"/>
      <c r="E340" s="11"/>
      <c r="F340" s="38"/>
      <c r="G340" s="10"/>
      <c r="I340" s="11"/>
      <c r="J340" s="10"/>
      <c r="K340" s="10"/>
      <c r="M340" s="31" t="str">
        <f aca="false">IF($B340="","",IFERROR(IF(INDEX(campaigns!$BG$2:$BG$51,MATCH($B340,campaigns!$A$2:$A$51,0))="","",INDEX(campaigns!$BG$2:$BG$51,MATCH($B340,campaigns!$A$2:$A$51,0))),""))</f>
        <v/>
      </c>
      <c r="N340" s="30" t="str">
        <f aca="false">IF(OR($B340="",$E340="",$M340=""),"",IF($E340&lt;$M340,0,NETWORKDAYS($M340,$E340,calendar!$A$2:$A$80)))</f>
        <v/>
      </c>
      <c r="O340" s="30" t="str">
        <f aca="false">IF($B340="","",IF(AND($K340="Y",OR($D340="later",$J340="Y")),"Y","N"))</f>
        <v/>
      </c>
      <c r="P340" s="30" t="str">
        <f aca="false">IF(OR($B340="",$E340=""),"",$B340&amp;"_"&amp;$C340&amp;"_"&amp;$D340&amp;"_"&amp;TEXT($E340,"yyyy-mm-dd")&amp;".jpg")</f>
        <v/>
      </c>
      <c r="Q340" s="30" t="str">
        <f aca="false">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30" t="str">
        <f aca="false">IF($B340="","",$B340&amp;"|"&amp;$C340&amp;"|"&amp;$D340&amp;"|"&amp;$O340)</f>
        <v/>
      </c>
      <c r="S340" s="30" t="str">
        <f aca="false">IF($B340="","",$R340&amp;"|"&amp;N($E340))</f>
        <v/>
      </c>
    </row>
    <row r="341" customFormat="false" ht="15" hidden="false" customHeight="false" outlineLevel="0" collapsed="false">
      <c r="D341" s="10"/>
      <c r="E341" s="11"/>
      <c r="F341" s="38"/>
      <c r="G341" s="10"/>
      <c r="I341" s="11"/>
      <c r="J341" s="10"/>
      <c r="K341" s="10"/>
      <c r="M341" s="31" t="str">
        <f aca="false">IF($B341="","",IFERROR(IF(INDEX(campaigns!$BG$2:$BG$51,MATCH($B341,campaigns!$A$2:$A$51,0))="","",INDEX(campaigns!$BG$2:$BG$51,MATCH($B341,campaigns!$A$2:$A$51,0))),""))</f>
        <v/>
      </c>
      <c r="N341" s="30" t="str">
        <f aca="false">IF(OR($B341="",$E341="",$M341=""),"",IF($E341&lt;$M341,0,NETWORKDAYS($M341,$E341,calendar!$A$2:$A$80)))</f>
        <v/>
      </c>
      <c r="O341" s="30" t="str">
        <f aca="false">IF($B341="","",IF(AND($K341="Y",OR($D341="later",$J341="Y")),"Y","N"))</f>
        <v/>
      </c>
      <c r="P341" s="30" t="str">
        <f aca="false">IF(OR($B341="",$E341=""),"",$B341&amp;"_"&amp;$C341&amp;"_"&amp;$D341&amp;"_"&amp;TEXT($E341,"yyyy-mm-dd")&amp;".jpg")</f>
        <v/>
      </c>
      <c r="Q341" s="30" t="str">
        <f aca="false">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30" t="str">
        <f aca="false">IF($B341="","",$B341&amp;"|"&amp;$C341&amp;"|"&amp;$D341&amp;"|"&amp;$O341)</f>
        <v/>
      </c>
      <c r="S341" s="30" t="str">
        <f aca="false">IF($B341="","",$R341&amp;"|"&amp;N($E341))</f>
        <v/>
      </c>
    </row>
    <row r="342" customFormat="false" ht="15" hidden="false" customHeight="false" outlineLevel="0" collapsed="false">
      <c r="D342" s="10"/>
      <c r="E342" s="11"/>
      <c r="F342" s="38"/>
      <c r="G342" s="10"/>
      <c r="I342" s="11"/>
      <c r="J342" s="10"/>
      <c r="K342" s="10"/>
      <c r="M342" s="31" t="str">
        <f aca="false">IF($B342="","",IFERROR(IF(INDEX(campaigns!$BG$2:$BG$51,MATCH($B342,campaigns!$A$2:$A$51,0))="","",INDEX(campaigns!$BG$2:$BG$51,MATCH($B342,campaigns!$A$2:$A$51,0))),""))</f>
        <v/>
      </c>
      <c r="N342" s="30" t="str">
        <f aca="false">IF(OR($B342="",$E342="",$M342=""),"",IF($E342&lt;$M342,0,NETWORKDAYS($M342,$E342,calendar!$A$2:$A$80)))</f>
        <v/>
      </c>
      <c r="O342" s="30" t="str">
        <f aca="false">IF($B342="","",IF(AND($K342="Y",OR($D342="later",$J342="Y")),"Y","N"))</f>
        <v/>
      </c>
      <c r="P342" s="30" t="str">
        <f aca="false">IF(OR($B342="",$E342=""),"",$B342&amp;"_"&amp;$C342&amp;"_"&amp;$D342&amp;"_"&amp;TEXT($E342,"yyyy-mm-dd")&amp;".jpg")</f>
        <v/>
      </c>
      <c r="Q342" s="30" t="str">
        <f aca="false">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30" t="str">
        <f aca="false">IF($B342="","",$B342&amp;"|"&amp;$C342&amp;"|"&amp;$D342&amp;"|"&amp;$O342)</f>
        <v/>
      </c>
      <c r="S342" s="30" t="str">
        <f aca="false">IF($B342="","",$R342&amp;"|"&amp;N($E342))</f>
        <v/>
      </c>
    </row>
    <row r="343" customFormat="false" ht="15" hidden="false" customHeight="false" outlineLevel="0" collapsed="false">
      <c r="D343" s="10"/>
      <c r="E343" s="11"/>
      <c r="F343" s="38"/>
      <c r="G343" s="10"/>
      <c r="I343" s="11"/>
      <c r="J343" s="10"/>
      <c r="K343" s="10"/>
      <c r="M343" s="31" t="str">
        <f aca="false">IF($B343="","",IFERROR(IF(INDEX(campaigns!$BG$2:$BG$51,MATCH($B343,campaigns!$A$2:$A$51,0))="","",INDEX(campaigns!$BG$2:$BG$51,MATCH($B343,campaigns!$A$2:$A$51,0))),""))</f>
        <v/>
      </c>
      <c r="N343" s="30" t="str">
        <f aca="false">IF(OR($B343="",$E343="",$M343=""),"",IF($E343&lt;$M343,0,NETWORKDAYS($M343,$E343,calendar!$A$2:$A$80)))</f>
        <v/>
      </c>
      <c r="O343" s="30" t="str">
        <f aca="false">IF($B343="","",IF(AND($K343="Y",OR($D343="later",$J343="Y")),"Y","N"))</f>
        <v/>
      </c>
      <c r="P343" s="30" t="str">
        <f aca="false">IF(OR($B343="",$E343=""),"",$B343&amp;"_"&amp;$C343&amp;"_"&amp;$D343&amp;"_"&amp;TEXT($E343,"yyyy-mm-dd")&amp;".jpg")</f>
        <v/>
      </c>
      <c r="Q343" s="30" t="str">
        <f aca="false">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30" t="str">
        <f aca="false">IF($B343="","",$B343&amp;"|"&amp;$C343&amp;"|"&amp;$D343&amp;"|"&amp;$O343)</f>
        <v/>
      </c>
      <c r="S343" s="30" t="str">
        <f aca="false">IF($B343="","",$R343&amp;"|"&amp;N($E343))</f>
        <v/>
      </c>
    </row>
    <row r="344" customFormat="false" ht="15" hidden="false" customHeight="false" outlineLevel="0" collapsed="false">
      <c r="D344" s="10"/>
      <c r="E344" s="11"/>
      <c r="F344" s="38"/>
      <c r="G344" s="10"/>
      <c r="I344" s="11"/>
      <c r="J344" s="10"/>
      <c r="K344" s="10"/>
      <c r="M344" s="31" t="str">
        <f aca="false">IF($B344="","",IFERROR(IF(INDEX(campaigns!$BG$2:$BG$51,MATCH($B344,campaigns!$A$2:$A$51,0))="","",INDEX(campaigns!$BG$2:$BG$51,MATCH($B344,campaigns!$A$2:$A$51,0))),""))</f>
        <v/>
      </c>
      <c r="N344" s="30" t="str">
        <f aca="false">IF(OR($B344="",$E344="",$M344=""),"",IF($E344&lt;$M344,0,NETWORKDAYS($M344,$E344,calendar!$A$2:$A$80)))</f>
        <v/>
      </c>
      <c r="O344" s="30" t="str">
        <f aca="false">IF($B344="","",IF(AND($K344="Y",OR($D344="later",$J344="Y")),"Y","N"))</f>
        <v/>
      </c>
      <c r="P344" s="30" t="str">
        <f aca="false">IF(OR($B344="",$E344=""),"",$B344&amp;"_"&amp;$C344&amp;"_"&amp;$D344&amp;"_"&amp;TEXT($E344,"yyyy-mm-dd")&amp;".jpg")</f>
        <v/>
      </c>
      <c r="Q344" s="30" t="str">
        <f aca="false">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30" t="str">
        <f aca="false">IF($B344="","",$B344&amp;"|"&amp;$C344&amp;"|"&amp;$D344&amp;"|"&amp;$O344)</f>
        <v/>
      </c>
      <c r="S344" s="30" t="str">
        <f aca="false">IF($B344="","",$R344&amp;"|"&amp;N($E344))</f>
        <v/>
      </c>
    </row>
    <row r="345" customFormat="false" ht="15" hidden="false" customHeight="false" outlineLevel="0" collapsed="false">
      <c r="D345" s="10"/>
      <c r="E345" s="11"/>
      <c r="F345" s="38"/>
      <c r="G345" s="10"/>
      <c r="I345" s="11"/>
      <c r="J345" s="10"/>
      <c r="K345" s="10"/>
      <c r="M345" s="31" t="str">
        <f aca="false">IF($B345="","",IFERROR(IF(INDEX(campaigns!$BG$2:$BG$51,MATCH($B345,campaigns!$A$2:$A$51,0))="","",INDEX(campaigns!$BG$2:$BG$51,MATCH($B345,campaigns!$A$2:$A$51,0))),""))</f>
        <v/>
      </c>
      <c r="N345" s="30" t="str">
        <f aca="false">IF(OR($B345="",$E345="",$M345=""),"",IF($E345&lt;$M345,0,NETWORKDAYS($M345,$E345,calendar!$A$2:$A$80)))</f>
        <v/>
      </c>
      <c r="O345" s="30" t="str">
        <f aca="false">IF($B345="","",IF(AND($K345="Y",OR($D345="later",$J345="Y")),"Y","N"))</f>
        <v/>
      </c>
      <c r="P345" s="30" t="str">
        <f aca="false">IF(OR($B345="",$E345=""),"",$B345&amp;"_"&amp;$C345&amp;"_"&amp;$D345&amp;"_"&amp;TEXT($E345,"yyyy-mm-dd")&amp;".jpg")</f>
        <v/>
      </c>
      <c r="Q345" s="30" t="str">
        <f aca="false">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30" t="str">
        <f aca="false">IF($B345="","",$B345&amp;"|"&amp;$C345&amp;"|"&amp;$D345&amp;"|"&amp;$O345)</f>
        <v/>
      </c>
      <c r="S345" s="30" t="str">
        <f aca="false">IF($B345="","",$R345&amp;"|"&amp;N($E345))</f>
        <v/>
      </c>
    </row>
    <row r="346" customFormat="false" ht="15" hidden="false" customHeight="false" outlineLevel="0" collapsed="false">
      <c r="D346" s="10"/>
      <c r="E346" s="11"/>
      <c r="F346" s="38"/>
      <c r="G346" s="10"/>
      <c r="I346" s="11"/>
      <c r="J346" s="10"/>
      <c r="K346" s="10"/>
      <c r="M346" s="31" t="str">
        <f aca="false">IF($B346="","",IFERROR(IF(INDEX(campaigns!$BG$2:$BG$51,MATCH($B346,campaigns!$A$2:$A$51,0))="","",INDEX(campaigns!$BG$2:$BG$51,MATCH($B346,campaigns!$A$2:$A$51,0))),""))</f>
        <v/>
      </c>
      <c r="N346" s="30" t="str">
        <f aca="false">IF(OR($B346="",$E346="",$M346=""),"",IF($E346&lt;$M346,0,NETWORKDAYS($M346,$E346,calendar!$A$2:$A$80)))</f>
        <v/>
      </c>
      <c r="O346" s="30" t="str">
        <f aca="false">IF($B346="","",IF(AND($K346="Y",OR($D346="later",$J346="Y")),"Y","N"))</f>
        <v/>
      </c>
      <c r="P346" s="30" t="str">
        <f aca="false">IF(OR($B346="",$E346=""),"",$B346&amp;"_"&amp;$C346&amp;"_"&amp;$D346&amp;"_"&amp;TEXT($E346,"yyyy-mm-dd")&amp;".jpg")</f>
        <v/>
      </c>
      <c r="Q346" s="30" t="str">
        <f aca="false">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30" t="str">
        <f aca="false">IF($B346="","",$B346&amp;"|"&amp;$C346&amp;"|"&amp;$D346&amp;"|"&amp;$O346)</f>
        <v/>
      </c>
      <c r="S346" s="30" t="str">
        <f aca="false">IF($B346="","",$R346&amp;"|"&amp;N($E346))</f>
        <v/>
      </c>
    </row>
    <row r="347" customFormat="false" ht="15" hidden="false" customHeight="false" outlineLevel="0" collapsed="false">
      <c r="D347" s="10"/>
      <c r="E347" s="11"/>
      <c r="F347" s="38"/>
      <c r="G347" s="10"/>
      <c r="I347" s="11"/>
      <c r="J347" s="10"/>
      <c r="K347" s="10"/>
      <c r="M347" s="31" t="str">
        <f aca="false">IF($B347="","",IFERROR(IF(INDEX(campaigns!$BG$2:$BG$51,MATCH($B347,campaigns!$A$2:$A$51,0))="","",INDEX(campaigns!$BG$2:$BG$51,MATCH($B347,campaigns!$A$2:$A$51,0))),""))</f>
        <v/>
      </c>
      <c r="N347" s="30" t="str">
        <f aca="false">IF(OR($B347="",$E347="",$M347=""),"",IF($E347&lt;$M347,0,NETWORKDAYS($M347,$E347,calendar!$A$2:$A$80)))</f>
        <v/>
      </c>
      <c r="O347" s="30" t="str">
        <f aca="false">IF($B347="","",IF(AND($K347="Y",OR($D347="later",$J347="Y")),"Y","N"))</f>
        <v/>
      </c>
      <c r="P347" s="30" t="str">
        <f aca="false">IF(OR($B347="",$E347=""),"",$B347&amp;"_"&amp;$C347&amp;"_"&amp;$D347&amp;"_"&amp;TEXT($E347,"yyyy-mm-dd")&amp;".jpg")</f>
        <v/>
      </c>
      <c r="Q347" s="30" t="str">
        <f aca="false">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30" t="str">
        <f aca="false">IF($B347="","",$B347&amp;"|"&amp;$C347&amp;"|"&amp;$D347&amp;"|"&amp;$O347)</f>
        <v/>
      </c>
      <c r="S347" s="30" t="str">
        <f aca="false">IF($B347="","",$R347&amp;"|"&amp;N($E347))</f>
        <v/>
      </c>
    </row>
    <row r="348" customFormat="false" ht="15" hidden="false" customHeight="false" outlineLevel="0" collapsed="false">
      <c r="D348" s="10"/>
      <c r="E348" s="11"/>
      <c r="F348" s="38"/>
      <c r="G348" s="10"/>
      <c r="I348" s="11"/>
      <c r="J348" s="10"/>
      <c r="K348" s="10"/>
      <c r="M348" s="31" t="str">
        <f aca="false">IF($B348="","",IFERROR(IF(INDEX(campaigns!$BG$2:$BG$51,MATCH($B348,campaigns!$A$2:$A$51,0))="","",INDEX(campaigns!$BG$2:$BG$51,MATCH($B348,campaigns!$A$2:$A$51,0))),""))</f>
        <v/>
      </c>
      <c r="N348" s="30" t="str">
        <f aca="false">IF(OR($B348="",$E348="",$M348=""),"",IF($E348&lt;$M348,0,NETWORKDAYS($M348,$E348,calendar!$A$2:$A$80)))</f>
        <v/>
      </c>
      <c r="O348" s="30" t="str">
        <f aca="false">IF($B348="","",IF(AND($K348="Y",OR($D348="later",$J348="Y")),"Y","N"))</f>
        <v/>
      </c>
      <c r="P348" s="30" t="str">
        <f aca="false">IF(OR($B348="",$E348=""),"",$B348&amp;"_"&amp;$C348&amp;"_"&amp;$D348&amp;"_"&amp;TEXT($E348,"yyyy-mm-dd")&amp;".jpg")</f>
        <v/>
      </c>
      <c r="Q348" s="30" t="str">
        <f aca="false">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30" t="str">
        <f aca="false">IF($B348="","",$B348&amp;"|"&amp;$C348&amp;"|"&amp;$D348&amp;"|"&amp;$O348)</f>
        <v/>
      </c>
      <c r="S348" s="30" t="str">
        <f aca="false">IF($B348="","",$R348&amp;"|"&amp;N($E348))</f>
        <v/>
      </c>
    </row>
    <row r="349" customFormat="false" ht="15" hidden="false" customHeight="false" outlineLevel="0" collapsed="false">
      <c r="D349" s="10"/>
      <c r="E349" s="11"/>
      <c r="F349" s="38"/>
      <c r="G349" s="10"/>
      <c r="I349" s="11"/>
      <c r="J349" s="10"/>
      <c r="K349" s="10"/>
      <c r="M349" s="31" t="str">
        <f aca="false">IF($B349="","",IFERROR(IF(INDEX(campaigns!$BG$2:$BG$51,MATCH($B349,campaigns!$A$2:$A$51,0))="","",INDEX(campaigns!$BG$2:$BG$51,MATCH($B349,campaigns!$A$2:$A$51,0))),""))</f>
        <v/>
      </c>
      <c r="N349" s="30" t="str">
        <f aca="false">IF(OR($B349="",$E349="",$M349=""),"",IF($E349&lt;$M349,0,NETWORKDAYS($M349,$E349,calendar!$A$2:$A$80)))</f>
        <v/>
      </c>
      <c r="O349" s="30" t="str">
        <f aca="false">IF($B349="","",IF(AND($K349="Y",OR($D349="later",$J349="Y")),"Y","N"))</f>
        <v/>
      </c>
      <c r="P349" s="30" t="str">
        <f aca="false">IF(OR($B349="",$E349=""),"",$B349&amp;"_"&amp;$C349&amp;"_"&amp;$D349&amp;"_"&amp;TEXT($E349,"yyyy-mm-dd")&amp;".jpg")</f>
        <v/>
      </c>
      <c r="Q349" s="30" t="str">
        <f aca="false">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30" t="str">
        <f aca="false">IF($B349="","",$B349&amp;"|"&amp;$C349&amp;"|"&amp;$D349&amp;"|"&amp;$O349)</f>
        <v/>
      </c>
      <c r="S349" s="30" t="str">
        <f aca="false">IF($B349="","",$R349&amp;"|"&amp;N($E349))</f>
        <v/>
      </c>
    </row>
    <row r="350" customFormat="false" ht="15" hidden="false" customHeight="false" outlineLevel="0" collapsed="false">
      <c r="D350" s="10"/>
      <c r="E350" s="11"/>
      <c r="F350" s="38"/>
      <c r="G350" s="10"/>
      <c r="I350" s="11"/>
      <c r="J350" s="10"/>
      <c r="K350" s="10"/>
      <c r="M350" s="31" t="str">
        <f aca="false">IF($B350="","",IFERROR(IF(INDEX(campaigns!$BG$2:$BG$51,MATCH($B350,campaigns!$A$2:$A$51,0))="","",INDEX(campaigns!$BG$2:$BG$51,MATCH($B350,campaigns!$A$2:$A$51,0))),""))</f>
        <v/>
      </c>
      <c r="N350" s="30" t="str">
        <f aca="false">IF(OR($B350="",$E350="",$M350=""),"",IF($E350&lt;$M350,0,NETWORKDAYS($M350,$E350,calendar!$A$2:$A$80)))</f>
        <v/>
      </c>
      <c r="O350" s="30" t="str">
        <f aca="false">IF($B350="","",IF(AND($K350="Y",OR($D350="later",$J350="Y")),"Y","N"))</f>
        <v/>
      </c>
      <c r="P350" s="30" t="str">
        <f aca="false">IF(OR($B350="",$E350=""),"",$B350&amp;"_"&amp;$C350&amp;"_"&amp;$D350&amp;"_"&amp;TEXT($E350,"yyyy-mm-dd")&amp;".jpg")</f>
        <v/>
      </c>
      <c r="Q350" s="30" t="str">
        <f aca="false">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30" t="str">
        <f aca="false">IF($B350="","",$B350&amp;"|"&amp;$C350&amp;"|"&amp;$D350&amp;"|"&amp;$O350)</f>
        <v/>
      </c>
      <c r="S350" s="30" t="str">
        <f aca="false">IF($B350="","",$R350&amp;"|"&amp;N($E350))</f>
        <v/>
      </c>
    </row>
    <row r="351" customFormat="false" ht="15" hidden="false" customHeight="false" outlineLevel="0" collapsed="false">
      <c r="D351" s="10"/>
      <c r="E351" s="11"/>
      <c r="F351" s="38"/>
      <c r="G351" s="10"/>
      <c r="I351" s="11"/>
      <c r="J351" s="10"/>
      <c r="K351" s="10"/>
      <c r="M351" s="31" t="str">
        <f aca="false">IF($B351="","",IFERROR(IF(INDEX(campaigns!$BG$2:$BG$51,MATCH($B351,campaigns!$A$2:$A$51,0))="","",INDEX(campaigns!$BG$2:$BG$51,MATCH($B351,campaigns!$A$2:$A$51,0))),""))</f>
        <v/>
      </c>
      <c r="N351" s="30" t="str">
        <f aca="false">IF(OR($B351="",$E351="",$M351=""),"",IF($E351&lt;$M351,0,NETWORKDAYS($M351,$E351,calendar!$A$2:$A$80)))</f>
        <v/>
      </c>
      <c r="O351" s="30" t="str">
        <f aca="false">IF($B351="","",IF(AND($K351="Y",OR($D351="later",$J351="Y")),"Y","N"))</f>
        <v/>
      </c>
      <c r="P351" s="30" t="str">
        <f aca="false">IF(OR($B351="",$E351=""),"",$B351&amp;"_"&amp;$C351&amp;"_"&amp;$D351&amp;"_"&amp;TEXT($E351,"yyyy-mm-dd")&amp;".jpg")</f>
        <v/>
      </c>
      <c r="Q351" s="30" t="str">
        <f aca="false">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30" t="str">
        <f aca="false">IF($B351="","",$B351&amp;"|"&amp;$C351&amp;"|"&amp;$D351&amp;"|"&amp;$O351)</f>
        <v/>
      </c>
      <c r="S351" s="30" t="str">
        <f aca="false">IF($B351="","",$R351&amp;"|"&amp;N($E351))</f>
        <v/>
      </c>
    </row>
    <row r="352" customFormat="false" ht="15" hidden="false" customHeight="false" outlineLevel="0" collapsed="false">
      <c r="D352" s="10"/>
      <c r="E352" s="11"/>
      <c r="F352" s="38"/>
      <c r="G352" s="10"/>
      <c r="I352" s="11"/>
      <c r="J352" s="10"/>
      <c r="K352" s="10"/>
      <c r="M352" s="31" t="str">
        <f aca="false">IF($B352="","",IFERROR(IF(INDEX(campaigns!$BG$2:$BG$51,MATCH($B352,campaigns!$A$2:$A$51,0))="","",INDEX(campaigns!$BG$2:$BG$51,MATCH($B352,campaigns!$A$2:$A$51,0))),""))</f>
        <v/>
      </c>
      <c r="N352" s="30" t="str">
        <f aca="false">IF(OR($B352="",$E352="",$M352=""),"",IF($E352&lt;$M352,0,NETWORKDAYS($M352,$E352,calendar!$A$2:$A$80)))</f>
        <v/>
      </c>
      <c r="O352" s="30" t="str">
        <f aca="false">IF($B352="","",IF(AND($K352="Y",OR($D352="later",$J352="Y")),"Y","N"))</f>
        <v/>
      </c>
      <c r="P352" s="30" t="str">
        <f aca="false">IF(OR($B352="",$E352=""),"",$B352&amp;"_"&amp;$C352&amp;"_"&amp;$D352&amp;"_"&amp;TEXT($E352,"yyyy-mm-dd")&amp;".jpg")</f>
        <v/>
      </c>
      <c r="Q352" s="30" t="str">
        <f aca="false">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30" t="str">
        <f aca="false">IF($B352="","",$B352&amp;"|"&amp;$C352&amp;"|"&amp;$D352&amp;"|"&amp;$O352)</f>
        <v/>
      </c>
      <c r="S352" s="30" t="str">
        <f aca="false">IF($B352="","",$R352&amp;"|"&amp;N($E352))</f>
        <v/>
      </c>
    </row>
    <row r="353" customFormat="false" ht="15" hidden="false" customHeight="false" outlineLevel="0" collapsed="false">
      <c r="D353" s="10"/>
      <c r="E353" s="11"/>
      <c r="F353" s="38"/>
      <c r="G353" s="10"/>
      <c r="I353" s="11"/>
      <c r="J353" s="10"/>
      <c r="K353" s="10"/>
      <c r="M353" s="31" t="str">
        <f aca="false">IF($B353="","",IFERROR(IF(INDEX(campaigns!$BG$2:$BG$51,MATCH($B353,campaigns!$A$2:$A$51,0))="","",INDEX(campaigns!$BG$2:$BG$51,MATCH($B353,campaigns!$A$2:$A$51,0))),""))</f>
        <v/>
      </c>
      <c r="N353" s="30" t="str">
        <f aca="false">IF(OR($B353="",$E353="",$M353=""),"",IF($E353&lt;$M353,0,NETWORKDAYS($M353,$E353,calendar!$A$2:$A$80)))</f>
        <v/>
      </c>
      <c r="O353" s="30" t="str">
        <f aca="false">IF($B353="","",IF(AND($K353="Y",OR($D353="later",$J353="Y")),"Y","N"))</f>
        <v/>
      </c>
      <c r="P353" s="30" t="str">
        <f aca="false">IF(OR($B353="",$E353=""),"",$B353&amp;"_"&amp;$C353&amp;"_"&amp;$D353&amp;"_"&amp;TEXT($E353,"yyyy-mm-dd")&amp;".jpg")</f>
        <v/>
      </c>
      <c r="Q353" s="30" t="str">
        <f aca="false">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30" t="str">
        <f aca="false">IF($B353="","",$B353&amp;"|"&amp;$C353&amp;"|"&amp;$D353&amp;"|"&amp;$O353)</f>
        <v/>
      </c>
      <c r="S353" s="30" t="str">
        <f aca="false">IF($B353="","",$R353&amp;"|"&amp;N($E353))</f>
        <v/>
      </c>
    </row>
    <row r="354" customFormat="false" ht="15" hidden="false" customHeight="false" outlineLevel="0" collapsed="false">
      <c r="D354" s="10"/>
      <c r="E354" s="11"/>
      <c r="F354" s="38"/>
      <c r="G354" s="10"/>
      <c r="I354" s="11"/>
      <c r="J354" s="10"/>
      <c r="K354" s="10"/>
      <c r="M354" s="31" t="str">
        <f aca="false">IF($B354="","",IFERROR(IF(INDEX(campaigns!$BG$2:$BG$51,MATCH($B354,campaigns!$A$2:$A$51,0))="","",INDEX(campaigns!$BG$2:$BG$51,MATCH($B354,campaigns!$A$2:$A$51,0))),""))</f>
        <v/>
      </c>
      <c r="N354" s="30" t="str">
        <f aca="false">IF(OR($B354="",$E354="",$M354=""),"",IF($E354&lt;$M354,0,NETWORKDAYS($M354,$E354,calendar!$A$2:$A$80)))</f>
        <v/>
      </c>
      <c r="O354" s="30" t="str">
        <f aca="false">IF($B354="","",IF(AND($K354="Y",OR($D354="later",$J354="Y")),"Y","N"))</f>
        <v/>
      </c>
      <c r="P354" s="30" t="str">
        <f aca="false">IF(OR($B354="",$E354=""),"",$B354&amp;"_"&amp;$C354&amp;"_"&amp;$D354&amp;"_"&amp;TEXT($E354,"yyyy-mm-dd")&amp;".jpg")</f>
        <v/>
      </c>
      <c r="Q354" s="30" t="str">
        <f aca="false">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30" t="str">
        <f aca="false">IF($B354="","",$B354&amp;"|"&amp;$C354&amp;"|"&amp;$D354&amp;"|"&amp;$O354)</f>
        <v/>
      </c>
      <c r="S354" s="30" t="str">
        <f aca="false">IF($B354="","",$R354&amp;"|"&amp;N($E354))</f>
        <v/>
      </c>
    </row>
    <row r="355" customFormat="false" ht="15" hidden="false" customHeight="false" outlineLevel="0" collapsed="false">
      <c r="D355" s="10"/>
      <c r="E355" s="11"/>
      <c r="F355" s="38"/>
      <c r="G355" s="10"/>
      <c r="I355" s="11"/>
      <c r="J355" s="10"/>
      <c r="K355" s="10"/>
      <c r="M355" s="31" t="str">
        <f aca="false">IF($B355="","",IFERROR(IF(INDEX(campaigns!$BG$2:$BG$51,MATCH($B355,campaigns!$A$2:$A$51,0))="","",INDEX(campaigns!$BG$2:$BG$51,MATCH($B355,campaigns!$A$2:$A$51,0))),""))</f>
        <v/>
      </c>
      <c r="N355" s="30" t="str">
        <f aca="false">IF(OR($B355="",$E355="",$M355=""),"",IF($E355&lt;$M355,0,NETWORKDAYS($M355,$E355,calendar!$A$2:$A$80)))</f>
        <v/>
      </c>
      <c r="O355" s="30" t="str">
        <f aca="false">IF($B355="","",IF(AND($K355="Y",OR($D355="later",$J355="Y")),"Y","N"))</f>
        <v/>
      </c>
      <c r="P355" s="30" t="str">
        <f aca="false">IF(OR($B355="",$E355=""),"",$B355&amp;"_"&amp;$C355&amp;"_"&amp;$D355&amp;"_"&amp;TEXT($E355,"yyyy-mm-dd")&amp;".jpg")</f>
        <v/>
      </c>
      <c r="Q355" s="30" t="str">
        <f aca="false">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30" t="str">
        <f aca="false">IF($B355="","",$B355&amp;"|"&amp;$C355&amp;"|"&amp;$D355&amp;"|"&amp;$O355)</f>
        <v/>
      </c>
      <c r="S355" s="30" t="str">
        <f aca="false">IF($B355="","",$R355&amp;"|"&amp;N($E355))</f>
        <v/>
      </c>
    </row>
    <row r="356" customFormat="false" ht="15" hidden="false" customHeight="false" outlineLevel="0" collapsed="false">
      <c r="D356" s="10"/>
      <c r="E356" s="11"/>
      <c r="F356" s="38"/>
      <c r="G356" s="10"/>
      <c r="I356" s="11"/>
      <c r="J356" s="10"/>
      <c r="K356" s="10"/>
      <c r="M356" s="31" t="str">
        <f aca="false">IF($B356="","",IFERROR(IF(INDEX(campaigns!$BG$2:$BG$51,MATCH($B356,campaigns!$A$2:$A$51,0))="","",INDEX(campaigns!$BG$2:$BG$51,MATCH($B356,campaigns!$A$2:$A$51,0))),""))</f>
        <v/>
      </c>
      <c r="N356" s="30" t="str">
        <f aca="false">IF(OR($B356="",$E356="",$M356=""),"",IF($E356&lt;$M356,0,NETWORKDAYS($M356,$E356,calendar!$A$2:$A$80)))</f>
        <v/>
      </c>
      <c r="O356" s="30" t="str">
        <f aca="false">IF($B356="","",IF(AND($K356="Y",OR($D356="later",$J356="Y")),"Y","N"))</f>
        <v/>
      </c>
      <c r="P356" s="30" t="str">
        <f aca="false">IF(OR($B356="",$E356=""),"",$B356&amp;"_"&amp;$C356&amp;"_"&amp;$D356&amp;"_"&amp;TEXT($E356,"yyyy-mm-dd")&amp;".jpg")</f>
        <v/>
      </c>
      <c r="Q356" s="30" t="str">
        <f aca="false">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30" t="str">
        <f aca="false">IF($B356="","",$B356&amp;"|"&amp;$C356&amp;"|"&amp;$D356&amp;"|"&amp;$O356)</f>
        <v/>
      </c>
      <c r="S356" s="30" t="str">
        <f aca="false">IF($B356="","",$R356&amp;"|"&amp;N($E356))</f>
        <v/>
      </c>
    </row>
    <row r="357" customFormat="false" ht="15" hidden="false" customHeight="false" outlineLevel="0" collapsed="false">
      <c r="D357" s="10"/>
      <c r="E357" s="11"/>
      <c r="F357" s="38"/>
      <c r="G357" s="10"/>
      <c r="I357" s="11"/>
      <c r="J357" s="10"/>
      <c r="K357" s="10"/>
      <c r="M357" s="31" t="str">
        <f aca="false">IF($B357="","",IFERROR(IF(INDEX(campaigns!$BG$2:$BG$51,MATCH($B357,campaigns!$A$2:$A$51,0))="","",INDEX(campaigns!$BG$2:$BG$51,MATCH($B357,campaigns!$A$2:$A$51,0))),""))</f>
        <v/>
      </c>
      <c r="N357" s="30" t="str">
        <f aca="false">IF(OR($B357="",$E357="",$M357=""),"",IF($E357&lt;$M357,0,NETWORKDAYS($M357,$E357,calendar!$A$2:$A$80)))</f>
        <v/>
      </c>
      <c r="O357" s="30" t="str">
        <f aca="false">IF($B357="","",IF(AND($K357="Y",OR($D357="later",$J357="Y")),"Y","N"))</f>
        <v/>
      </c>
      <c r="P357" s="30" t="str">
        <f aca="false">IF(OR($B357="",$E357=""),"",$B357&amp;"_"&amp;$C357&amp;"_"&amp;$D357&amp;"_"&amp;TEXT($E357,"yyyy-mm-dd")&amp;".jpg")</f>
        <v/>
      </c>
      <c r="Q357" s="30" t="str">
        <f aca="false">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30" t="str">
        <f aca="false">IF($B357="","",$B357&amp;"|"&amp;$C357&amp;"|"&amp;$D357&amp;"|"&amp;$O357)</f>
        <v/>
      </c>
      <c r="S357" s="30" t="str">
        <f aca="false">IF($B357="","",$R357&amp;"|"&amp;N($E357))</f>
        <v/>
      </c>
    </row>
    <row r="358" customFormat="false" ht="15" hidden="false" customHeight="false" outlineLevel="0" collapsed="false">
      <c r="D358" s="10"/>
      <c r="E358" s="11"/>
      <c r="F358" s="38"/>
      <c r="G358" s="10"/>
      <c r="I358" s="11"/>
      <c r="J358" s="10"/>
      <c r="K358" s="10"/>
      <c r="M358" s="31" t="str">
        <f aca="false">IF($B358="","",IFERROR(IF(INDEX(campaigns!$BG$2:$BG$51,MATCH($B358,campaigns!$A$2:$A$51,0))="","",INDEX(campaigns!$BG$2:$BG$51,MATCH($B358,campaigns!$A$2:$A$51,0))),""))</f>
        <v/>
      </c>
      <c r="N358" s="30" t="str">
        <f aca="false">IF(OR($B358="",$E358="",$M358=""),"",IF($E358&lt;$M358,0,NETWORKDAYS($M358,$E358,calendar!$A$2:$A$80)))</f>
        <v/>
      </c>
      <c r="O358" s="30" t="str">
        <f aca="false">IF($B358="","",IF(AND($K358="Y",OR($D358="later",$J358="Y")),"Y","N"))</f>
        <v/>
      </c>
      <c r="P358" s="30" t="str">
        <f aca="false">IF(OR($B358="",$E358=""),"",$B358&amp;"_"&amp;$C358&amp;"_"&amp;$D358&amp;"_"&amp;TEXT($E358,"yyyy-mm-dd")&amp;".jpg")</f>
        <v/>
      </c>
      <c r="Q358" s="30" t="str">
        <f aca="false">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30" t="str">
        <f aca="false">IF($B358="","",$B358&amp;"|"&amp;$C358&amp;"|"&amp;$D358&amp;"|"&amp;$O358)</f>
        <v/>
      </c>
      <c r="S358" s="30" t="str">
        <f aca="false">IF($B358="","",$R358&amp;"|"&amp;N($E358))</f>
        <v/>
      </c>
    </row>
    <row r="359" customFormat="false" ht="15" hidden="false" customHeight="false" outlineLevel="0" collapsed="false">
      <c r="D359" s="10"/>
      <c r="E359" s="11"/>
      <c r="F359" s="38"/>
      <c r="G359" s="10"/>
      <c r="I359" s="11"/>
      <c r="J359" s="10"/>
      <c r="K359" s="10"/>
      <c r="M359" s="31" t="str">
        <f aca="false">IF($B359="","",IFERROR(IF(INDEX(campaigns!$BG$2:$BG$51,MATCH($B359,campaigns!$A$2:$A$51,0))="","",INDEX(campaigns!$BG$2:$BG$51,MATCH($B359,campaigns!$A$2:$A$51,0))),""))</f>
        <v/>
      </c>
      <c r="N359" s="30" t="str">
        <f aca="false">IF(OR($B359="",$E359="",$M359=""),"",IF($E359&lt;$M359,0,NETWORKDAYS($M359,$E359,calendar!$A$2:$A$80)))</f>
        <v/>
      </c>
      <c r="O359" s="30" t="str">
        <f aca="false">IF($B359="","",IF(AND($K359="Y",OR($D359="later",$J359="Y")),"Y","N"))</f>
        <v/>
      </c>
      <c r="P359" s="30" t="str">
        <f aca="false">IF(OR($B359="",$E359=""),"",$B359&amp;"_"&amp;$C359&amp;"_"&amp;$D359&amp;"_"&amp;TEXT($E359,"yyyy-mm-dd")&amp;".jpg")</f>
        <v/>
      </c>
      <c r="Q359" s="30" t="str">
        <f aca="false">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30" t="str">
        <f aca="false">IF($B359="","",$B359&amp;"|"&amp;$C359&amp;"|"&amp;$D359&amp;"|"&amp;$O359)</f>
        <v/>
      </c>
      <c r="S359" s="30" t="str">
        <f aca="false">IF($B359="","",$R359&amp;"|"&amp;N($E359))</f>
        <v/>
      </c>
    </row>
    <row r="360" customFormat="false" ht="15" hidden="false" customHeight="false" outlineLevel="0" collapsed="false">
      <c r="D360" s="10"/>
      <c r="E360" s="11"/>
      <c r="F360" s="38"/>
      <c r="G360" s="10"/>
      <c r="I360" s="11"/>
      <c r="J360" s="10"/>
      <c r="K360" s="10"/>
      <c r="M360" s="31" t="str">
        <f aca="false">IF($B360="","",IFERROR(IF(INDEX(campaigns!$BG$2:$BG$51,MATCH($B360,campaigns!$A$2:$A$51,0))="","",INDEX(campaigns!$BG$2:$BG$51,MATCH($B360,campaigns!$A$2:$A$51,0))),""))</f>
        <v/>
      </c>
      <c r="N360" s="30" t="str">
        <f aca="false">IF(OR($B360="",$E360="",$M360=""),"",IF($E360&lt;$M360,0,NETWORKDAYS($M360,$E360,calendar!$A$2:$A$80)))</f>
        <v/>
      </c>
      <c r="O360" s="30" t="str">
        <f aca="false">IF($B360="","",IF(AND($K360="Y",OR($D360="later",$J360="Y")),"Y","N"))</f>
        <v/>
      </c>
      <c r="P360" s="30" t="str">
        <f aca="false">IF(OR($B360="",$E360=""),"",$B360&amp;"_"&amp;$C360&amp;"_"&amp;$D360&amp;"_"&amp;TEXT($E360,"yyyy-mm-dd")&amp;".jpg")</f>
        <v/>
      </c>
      <c r="Q360" s="30" t="str">
        <f aca="false">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30" t="str">
        <f aca="false">IF($B360="","",$B360&amp;"|"&amp;$C360&amp;"|"&amp;$D360&amp;"|"&amp;$O360)</f>
        <v/>
      </c>
      <c r="S360" s="30" t="str">
        <f aca="false">IF($B360="","",$R360&amp;"|"&amp;N($E360))</f>
        <v/>
      </c>
    </row>
    <row r="361" customFormat="false" ht="15" hidden="false" customHeight="false" outlineLevel="0" collapsed="false">
      <c r="D361" s="10"/>
      <c r="E361" s="11"/>
      <c r="F361" s="38"/>
      <c r="G361" s="10"/>
      <c r="I361" s="11"/>
      <c r="J361" s="10"/>
      <c r="K361" s="10"/>
      <c r="M361" s="31" t="str">
        <f aca="false">IF($B361="","",IFERROR(IF(INDEX(campaigns!$BG$2:$BG$51,MATCH($B361,campaigns!$A$2:$A$51,0))="","",INDEX(campaigns!$BG$2:$BG$51,MATCH($B361,campaigns!$A$2:$A$51,0))),""))</f>
        <v/>
      </c>
      <c r="N361" s="30" t="str">
        <f aca="false">IF(OR($B361="",$E361="",$M361=""),"",IF($E361&lt;$M361,0,NETWORKDAYS($M361,$E361,calendar!$A$2:$A$80)))</f>
        <v/>
      </c>
      <c r="O361" s="30" t="str">
        <f aca="false">IF($B361="","",IF(AND($K361="Y",OR($D361="later",$J361="Y")),"Y","N"))</f>
        <v/>
      </c>
      <c r="P361" s="30" t="str">
        <f aca="false">IF(OR($B361="",$E361=""),"",$B361&amp;"_"&amp;$C361&amp;"_"&amp;$D361&amp;"_"&amp;TEXT($E361,"yyyy-mm-dd")&amp;".jpg")</f>
        <v/>
      </c>
      <c r="Q361" s="30" t="str">
        <f aca="false">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30" t="str">
        <f aca="false">IF($B361="","",$B361&amp;"|"&amp;$C361&amp;"|"&amp;$D361&amp;"|"&amp;$O361)</f>
        <v/>
      </c>
      <c r="S361" s="30" t="str">
        <f aca="false">IF($B361="","",$R361&amp;"|"&amp;N($E361))</f>
        <v/>
      </c>
    </row>
    <row r="362" customFormat="false" ht="15" hidden="false" customHeight="false" outlineLevel="0" collapsed="false">
      <c r="D362" s="10"/>
      <c r="E362" s="11"/>
      <c r="F362" s="38"/>
      <c r="G362" s="10"/>
      <c r="I362" s="11"/>
      <c r="J362" s="10"/>
      <c r="K362" s="10"/>
      <c r="M362" s="31" t="str">
        <f aca="false">IF($B362="","",IFERROR(IF(INDEX(campaigns!$BG$2:$BG$51,MATCH($B362,campaigns!$A$2:$A$51,0))="","",INDEX(campaigns!$BG$2:$BG$51,MATCH($B362,campaigns!$A$2:$A$51,0))),""))</f>
        <v/>
      </c>
      <c r="N362" s="30" t="str">
        <f aca="false">IF(OR($B362="",$E362="",$M362=""),"",IF($E362&lt;$M362,0,NETWORKDAYS($M362,$E362,calendar!$A$2:$A$80)))</f>
        <v/>
      </c>
      <c r="O362" s="30" t="str">
        <f aca="false">IF($B362="","",IF(AND($K362="Y",OR($D362="later",$J362="Y")),"Y","N"))</f>
        <v/>
      </c>
      <c r="P362" s="30" t="str">
        <f aca="false">IF(OR($B362="",$E362=""),"",$B362&amp;"_"&amp;$C362&amp;"_"&amp;$D362&amp;"_"&amp;TEXT($E362,"yyyy-mm-dd")&amp;".jpg")</f>
        <v/>
      </c>
      <c r="Q362" s="30" t="str">
        <f aca="false">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30" t="str">
        <f aca="false">IF($B362="","",$B362&amp;"|"&amp;$C362&amp;"|"&amp;$D362&amp;"|"&amp;$O362)</f>
        <v/>
      </c>
      <c r="S362" s="30" t="str">
        <f aca="false">IF($B362="","",$R362&amp;"|"&amp;N($E362))</f>
        <v/>
      </c>
    </row>
    <row r="363" customFormat="false" ht="15" hidden="false" customHeight="false" outlineLevel="0" collapsed="false">
      <c r="D363" s="10"/>
      <c r="E363" s="11"/>
      <c r="F363" s="38"/>
      <c r="G363" s="10"/>
      <c r="I363" s="11"/>
      <c r="J363" s="10"/>
      <c r="K363" s="10"/>
      <c r="M363" s="31" t="str">
        <f aca="false">IF($B363="","",IFERROR(IF(INDEX(campaigns!$BG$2:$BG$51,MATCH($B363,campaigns!$A$2:$A$51,0))="","",INDEX(campaigns!$BG$2:$BG$51,MATCH($B363,campaigns!$A$2:$A$51,0))),""))</f>
        <v/>
      </c>
      <c r="N363" s="30" t="str">
        <f aca="false">IF(OR($B363="",$E363="",$M363=""),"",IF($E363&lt;$M363,0,NETWORKDAYS($M363,$E363,calendar!$A$2:$A$80)))</f>
        <v/>
      </c>
      <c r="O363" s="30" t="str">
        <f aca="false">IF($B363="","",IF(AND($K363="Y",OR($D363="later",$J363="Y")),"Y","N"))</f>
        <v/>
      </c>
      <c r="P363" s="30" t="str">
        <f aca="false">IF(OR($B363="",$E363=""),"",$B363&amp;"_"&amp;$C363&amp;"_"&amp;$D363&amp;"_"&amp;TEXT($E363,"yyyy-mm-dd")&amp;".jpg")</f>
        <v/>
      </c>
      <c r="Q363" s="30" t="str">
        <f aca="false">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30" t="str">
        <f aca="false">IF($B363="","",$B363&amp;"|"&amp;$C363&amp;"|"&amp;$D363&amp;"|"&amp;$O363)</f>
        <v/>
      </c>
      <c r="S363" s="30" t="str">
        <f aca="false">IF($B363="","",$R363&amp;"|"&amp;N($E363))</f>
        <v/>
      </c>
    </row>
    <row r="364" customFormat="false" ht="15" hidden="false" customHeight="false" outlineLevel="0" collapsed="false">
      <c r="D364" s="10"/>
      <c r="E364" s="11"/>
      <c r="F364" s="38"/>
      <c r="G364" s="10"/>
      <c r="I364" s="11"/>
      <c r="J364" s="10"/>
      <c r="K364" s="10"/>
      <c r="M364" s="31" t="str">
        <f aca="false">IF($B364="","",IFERROR(IF(INDEX(campaigns!$BG$2:$BG$51,MATCH($B364,campaigns!$A$2:$A$51,0))="","",INDEX(campaigns!$BG$2:$BG$51,MATCH($B364,campaigns!$A$2:$A$51,0))),""))</f>
        <v/>
      </c>
      <c r="N364" s="30" t="str">
        <f aca="false">IF(OR($B364="",$E364="",$M364=""),"",IF($E364&lt;$M364,0,NETWORKDAYS($M364,$E364,calendar!$A$2:$A$80)))</f>
        <v/>
      </c>
      <c r="O364" s="30" t="str">
        <f aca="false">IF($B364="","",IF(AND($K364="Y",OR($D364="later",$J364="Y")),"Y","N"))</f>
        <v/>
      </c>
      <c r="P364" s="30" t="str">
        <f aca="false">IF(OR($B364="",$E364=""),"",$B364&amp;"_"&amp;$C364&amp;"_"&amp;$D364&amp;"_"&amp;TEXT($E364,"yyyy-mm-dd")&amp;".jpg")</f>
        <v/>
      </c>
      <c r="Q364" s="30" t="str">
        <f aca="false">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30" t="str">
        <f aca="false">IF($B364="","",$B364&amp;"|"&amp;$C364&amp;"|"&amp;$D364&amp;"|"&amp;$O364)</f>
        <v/>
      </c>
      <c r="S364" s="30" t="str">
        <f aca="false">IF($B364="","",$R364&amp;"|"&amp;N($E364))</f>
        <v/>
      </c>
    </row>
    <row r="365" customFormat="false" ht="15" hidden="false" customHeight="false" outlineLevel="0" collapsed="false">
      <c r="D365" s="10"/>
      <c r="E365" s="11"/>
      <c r="F365" s="38"/>
      <c r="G365" s="10"/>
      <c r="I365" s="11"/>
      <c r="J365" s="10"/>
      <c r="K365" s="10"/>
      <c r="M365" s="31" t="str">
        <f aca="false">IF($B365="","",IFERROR(IF(INDEX(campaigns!$BG$2:$BG$51,MATCH($B365,campaigns!$A$2:$A$51,0))="","",INDEX(campaigns!$BG$2:$BG$51,MATCH($B365,campaigns!$A$2:$A$51,0))),""))</f>
        <v/>
      </c>
      <c r="N365" s="30" t="str">
        <f aca="false">IF(OR($B365="",$E365="",$M365=""),"",IF($E365&lt;$M365,0,NETWORKDAYS($M365,$E365,calendar!$A$2:$A$80)))</f>
        <v/>
      </c>
      <c r="O365" s="30" t="str">
        <f aca="false">IF($B365="","",IF(AND($K365="Y",OR($D365="later",$J365="Y")),"Y","N"))</f>
        <v/>
      </c>
      <c r="P365" s="30" t="str">
        <f aca="false">IF(OR($B365="",$E365=""),"",$B365&amp;"_"&amp;$C365&amp;"_"&amp;$D365&amp;"_"&amp;TEXT($E365,"yyyy-mm-dd")&amp;".jpg")</f>
        <v/>
      </c>
      <c r="Q365" s="30" t="str">
        <f aca="false">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30" t="str">
        <f aca="false">IF($B365="","",$B365&amp;"|"&amp;$C365&amp;"|"&amp;$D365&amp;"|"&amp;$O365)</f>
        <v/>
      </c>
      <c r="S365" s="30" t="str">
        <f aca="false">IF($B365="","",$R365&amp;"|"&amp;N($E365))</f>
        <v/>
      </c>
    </row>
    <row r="366" customFormat="false" ht="15" hidden="false" customHeight="false" outlineLevel="0" collapsed="false">
      <c r="D366" s="10"/>
      <c r="E366" s="11"/>
      <c r="F366" s="38"/>
      <c r="G366" s="10"/>
      <c r="I366" s="11"/>
      <c r="J366" s="10"/>
      <c r="K366" s="10"/>
      <c r="M366" s="31" t="str">
        <f aca="false">IF($B366="","",IFERROR(IF(INDEX(campaigns!$BG$2:$BG$51,MATCH($B366,campaigns!$A$2:$A$51,0))="","",INDEX(campaigns!$BG$2:$BG$51,MATCH($B366,campaigns!$A$2:$A$51,0))),""))</f>
        <v/>
      </c>
      <c r="N366" s="30" t="str">
        <f aca="false">IF(OR($B366="",$E366="",$M366=""),"",IF($E366&lt;$M366,0,NETWORKDAYS($M366,$E366,calendar!$A$2:$A$80)))</f>
        <v/>
      </c>
      <c r="O366" s="30" t="str">
        <f aca="false">IF($B366="","",IF(AND($K366="Y",OR($D366="later",$J366="Y")),"Y","N"))</f>
        <v/>
      </c>
      <c r="P366" s="30" t="str">
        <f aca="false">IF(OR($B366="",$E366=""),"",$B366&amp;"_"&amp;$C366&amp;"_"&amp;$D366&amp;"_"&amp;TEXT($E366,"yyyy-mm-dd")&amp;".jpg")</f>
        <v/>
      </c>
      <c r="Q366" s="30" t="str">
        <f aca="false">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30" t="str">
        <f aca="false">IF($B366="","",$B366&amp;"|"&amp;$C366&amp;"|"&amp;$D366&amp;"|"&amp;$O366)</f>
        <v/>
      </c>
      <c r="S366" s="30" t="str">
        <f aca="false">IF($B366="","",$R366&amp;"|"&amp;N($E366))</f>
        <v/>
      </c>
    </row>
    <row r="367" customFormat="false" ht="15" hidden="false" customHeight="false" outlineLevel="0" collapsed="false">
      <c r="D367" s="10"/>
      <c r="E367" s="11"/>
      <c r="F367" s="38"/>
      <c r="G367" s="10"/>
      <c r="I367" s="11"/>
      <c r="J367" s="10"/>
      <c r="K367" s="10"/>
      <c r="M367" s="31" t="str">
        <f aca="false">IF($B367="","",IFERROR(IF(INDEX(campaigns!$BG$2:$BG$51,MATCH($B367,campaigns!$A$2:$A$51,0))="","",INDEX(campaigns!$BG$2:$BG$51,MATCH($B367,campaigns!$A$2:$A$51,0))),""))</f>
        <v/>
      </c>
      <c r="N367" s="30" t="str">
        <f aca="false">IF(OR($B367="",$E367="",$M367=""),"",IF($E367&lt;$M367,0,NETWORKDAYS($M367,$E367,calendar!$A$2:$A$80)))</f>
        <v/>
      </c>
      <c r="O367" s="30" t="str">
        <f aca="false">IF($B367="","",IF(AND($K367="Y",OR($D367="later",$J367="Y")),"Y","N"))</f>
        <v/>
      </c>
      <c r="P367" s="30" t="str">
        <f aca="false">IF(OR($B367="",$E367=""),"",$B367&amp;"_"&amp;$C367&amp;"_"&amp;$D367&amp;"_"&amp;TEXT($E367,"yyyy-mm-dd")&amp;".jpg")</f>
        <v/>
      </c>
      <c r="Q367" s="30" t="str">
        <f aca="false">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30" t="str">
        <f aca="false">IF($B367="","",$B367&amp;"|"&amp;$C367&amp;"|"&amp;$D367&amp;"|"&amp;$O367)</f>
        <v/>
      </c>
      <c r="S367" s="30" t="str">
        <f aca="false">IF($B367="","",$R367&amp;"|"&amp;N($E367))</f>
        <v/>
      </c>
    </row>
    <row r="368" customFormat="false" ht="15" hidden="false" customHeight="false" outlineLevel="0" collapsed="false">
      <c r="D368" s="10"/>
      <c r="E368" s="11"/>
      <c r="F368" s="38"/>
      <c r="G368" s="10"/>
      <c r="I368" s="11"/>
      <c r="J368" s="10"/>
      <c r="K368" s="10"/>
      <c r="M368" s="31" t="str">
        <f aca="false">IF($B368="","",IFERROR(IF(INDEX(campaigns!$BG$2:$BG$51,MATCH($B368,campaigns!$A$2:$A$51,0))="","",INDEX(campaigns!$BG$2:$BG$51,MATCH($B368,campaigns!$A$2:$A$51,0))),""))</f>
        <v/>
      </c>
      <c r="N368" s="30" t="str">
        <f aca="false">IF(OR($B368="",$E368="",$M368=""),"",IF($E368&lt;$M368,0,NETWORKDAYS($M368,$E368,calendar!$A$2:$A$80)))</f>
        <v/>
      </c>
      <c r="O368" s="30" t="str">
        <f aca="false">IF($B368="","",IF(AND($K368="Y",OR($D368="later",$J368="Y")),"Y","N"))</f>
        <v/>
      </c>
      <c r="P368" s="30" t="str">
        <f aca="false">IF(OR($B368="",$E368=""),"",$B368&amp;"_"&amp;$C368&amp;"_"&amp;$D368&amp;"_"&amp;TEXT($E368,"yyyy-mm-dd")&amp;".jpg")</f>
        <v/>
      </c>
      <c r="Q368" s="30" t="str">
        <f aca="false">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30" t="str">
        <f aca="false">IF($B368="","",$B368&amp;"|"&amp;$C368&amp;"|"&amp;$D368&amp;"|"&amp;$O368)</f>
        <v/>
      </c>
      <c r="S368" s="30" t="str">
        <f aca="false">IF($B368="","",$R368&amp;"|"&amp;N($E368))</f>
        <v/>
      </c>
    </row>
    <row r="369" customFormat="false" ht="15" hidden="false" customHeight="false" outlineLevel="0" collapsed="false">
      <c r="D369" s="10"/>
      <c r="E369" s="11"/>
      <c r="F369" s="38"/>
      <c r="G369" s="10"/>
      <c r="I369" s="11"/>
      <c r="J369" s="10"/>
      <c r="K369" s="10"/>
      <c r="M369" s="31" t="str">
        <f aca="false">IF($B369="","",IFERROR(IF(INDEX(campaigns!$BG$2:$BG$51,MATCH($B369,campaigns!$A$2:$A$51,0))="","",INDEX(campaigns!$BG$2:$BG$51,MATCH($B369,campaigns!$A$2:$A$51,0))),""))</f>
        <v/>
      </c>
      <c r="N369" s="30" t="str">
        <f aca="false">IF(OR($B369="",$E369="",$M369=""),"",IF($E369&lt;$M369,0,NETWORKDAYS($M369,$E369,calendar!$A$2:$A$80)))</f>
        <v/>
      </c>
      <c r="O369" s="30" t="str">
        <f aca="false">IF($B369="","",IF(AND($K369="Y",OR($D369="later",$J369="Y")),"Y","N"))</f>
        <v/>
      </c>
      <c r="P369" s="30" t="str">
        <f aca="false">IF(OR($B369="",$E369=""),"",$B369&amp;"_"&amp;$C369&amp;"_"&amp;$D369&amp;"_"&amp;TEXT($E369,"yyyy-mm-dd")&amp;".jpg")</f>
        <v/>
      </c>
      <c r="Q369" s="30" t="str">
        <f aca="false">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30" t="str">
        <f aca="false">IF($B369="","",$B369&amp;"|"&amp;$C369&amp;"|"&amp;$D369&amp;"|"&amp;$O369)</f>
        <v/>
      </c>
      <c r="S369" s="30" t="str">
        <f aca="false">IF($B369="","",$R369&amp;"|"&amp;N($E369))</f>
        <v/>
      </c>
    </row>
    <row r="370" customFormat="false" ht="15" hidden="false" customHeight="false" outlineLevel="0" collapsed="false">
      <c r="D370" s="10"/>
      <c r="E370" s="11"/>
      <c r="F370" s="38"/>
      <c r="G370" s="10"/>
      <c r="I370" s="11"/>
      <c r="J370" s="10"/>
      <c r="K370" s="10"/>
      <c r="M370" s="31" t="str">
        <f aca="false">IF($B370="","",IFERROR(IF(INDEX(campaigns!$BG$2:$BG$51,MATCH($B370,campaigns!$A$2:$A$51,0))="","",INDEX(campaigns!$BG$2:$BG$51,MATCH($B370,campaigns!$A$2:$A$51,0))),""))</f>
        <v/>
      </c>
      <c r="N370" s="30" t="str">
        <f aca="false">IF(OR($B370="",$E370="",$M370=""),"",IF($E370&lt;$M370,0,NETWORKDAYS($M370,$E370,calendar!$A$2:$A$80)))</f>
        <v/>
      </c>
      <c r="O370" s="30" t="str">
        <f aca="false">IF($B370="","",IF(AND($K370="Y",OR($D370="later",$J370="Y")),"Y","N"))</f>
        <v/>
      </c>
      <c r="P370" s="30" t="str">
        <f aca="false">IF(OR($B370="",$E370=""),"",$B370&amp;"_"&amp;$C370&amp;"_"&amp;$D370&amp;"_"&amp;TEXT($E370,"yyyy-mm-dd")&amp;".jpg")</f>
        <v/>
      </c>
      <c r="Q370" s="30" t="str">
        <f aca="false">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30" t="str">
        <f aca="false">IF($B370="","",$B370&amp;"|"&amp;$C370&amp;"|"&amp;$D370&amp;"|"&amp;$O370)</f>
        <v/>
      </c>
      <c r="S370" s="30" t="str">
        <f aca="false">IF($B370="","",$R370&amp;"|"&amp;N($E370))</f>
        <v/>
      </c>
    </row>
    <row r="371" customFormat="false" ht="15" hidden="false" customHeight="false" outlineLevel="0" collapsed="false">
      <c r="D371" s="10"/>
      <c r="E371" s="11"/>
      <c r="F371" s="38"/>
      <c r="G371" s="10"/>
      <c r="I371" s="11"/>
      <c r="J371" s="10"/>
      <c r="K371" s="10"/>
      <c r="M371" s="31" t="str">
        <f aca="false">IF($B371="","",IFERROR(IF(INDEX(campaigns!$BG$2:$BG$51,MATCH($B371,campaigns!$A$2:$A$51,0))="","",INDEX(campaigns!$BG$2:$BG$51,MATCH($B371,campaigns!$A$2:$A$51,0))),""))</f>
        <v/>
      </c>
      <c r="N371" s="30" t="str">
        <f aca="false">IF(OR($B371="",$E371="",$M371=""),"",IF($E371&lt;$M371,0,NETWORKDAYS($M371,$E371,calendar!$A$2:$A$80)))</f>
        <v/>
      </c>
      <c r="O371" s="30" t="str">
        <f aca="false">IF($B371="","",IF(AND($K371="Y",OR($D371="later",$J371="Y")),"Y","N"))</f>
        <v/>
      </c>
      <c r="P371" s="30" t="str">
        <f aca="false">IF(OR($B371="",$E371=""),"",$B371&amp;"_"&amp;$C371&amp;"_"&amp;$D371&amp;"_"&amp;TEXT($E371,"yyyy-mm-dd")&amp;".jpg")</f>
        <v/>
      </c>
      <c r="Q371" s="30" t="str">
        <f aca="false">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30" t="str">
        <f aca="false">IF($B371="","",$B371&amp;"|"&amp;$C371&amp;"|"&amp;$D371&amp;"|"&amp;$O371)</f>
        <v/>
      </c>
      <c r="S371" s="30" t="str">
        <f aca="false">IF($B371="","",$R371&amp;"|"&amp;N($E371))</f>
        <v/>
      </c>
    </row>
    <row r="372" customFormat="false" ht="15" hidden="false" customHeight="false" outlineLevel="0" collapsed="false">
      <c r="D372" s="10"/>
      <c r="E372" s="11"/>
      <c r="F372" s="38"/>
      <c r="G372" s="10"/>
      <c r="I372" s="11"/>
      <c r="J372" s="10"/>
      <c r="K372" s="10"/>
      <c r="M372" s="31" t="str">
        <f aca="false">IF($B372="","",IFERROR(IF(INDEX(campaigns!$BG$2:$BG$51,MATCH($B372,campaigns!$A$2:$A$51,0))="","",INDEX(campaigns!$BG$2:$BG$51,MATCH($B372,campaigns!$A$2:$A$51,0))),""))</f>
        <v/>
      </c>
      <c r="N372" s="30" t="str">
        <f aca="false">IF(OR($B372="",$E372="",$M372=""),"",IF($E372&lt;$M372,0,NETWORKDAYS($M372,$E372,calendar!$A$2:$A$80)))</f>
        <v/>
      </c>
      <c r="O372" s="30" t="str">
        <f aca="false">IF($B372="","",IF(AND($K372="Y",OR($D372="later",$J372="Y")),"Y","N"))</f>
        <v/>
      </c>
      <c r="P372" s="30" t="str">
        <f aca="false">IF(OR($B372="",$E372=""),"",$B372&amp;"_"&amp;$C372&amp;"_"&amp;$D372&amp;"_"&amp;TEXT($E372,"yyyy-mm-dd")&amp;".jpg")</f>
        <v/>
      </c>
      <c r="Q372" s="30" t="str">
        <f aca="false">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30" t="str">
        <f aca="false">IF($B372="","",$B372&amp;"|"&amp;$C372&amp;"|"&amp;$D372&amp;"|"&amp;$O372)</f>
        <v/>
      </c>
      <c r="S372" s="30" t="str">
        <f aca="false">IF($B372="","",$R372&amp;"|"&amp;N($E372))</f>
        <v/>
      </c>
    </row>
    <row r="373" customFormat="false" ht="15" hidden="false" customHeight="false" outlineLevel="0" collapsed="false">
      <c r="D373" s="10"/>
      <c r="E373" s="11"/>
      <c r="F373" s="38"/>
      <c r="G373" s="10"/>
      <c r="I373" s="11"/>
      <c r="J373" s="10"/>
      <c r="K373" s="10"/>
      <c r="M373" s="31" t="str">
        <f aca="false">IF($B373="","",IFERROR(IF(INDEX(campaigns!$BG$2:$BG$51,MATCH($B373,campaigns!$A$2:$A$51,0))="","",INDEX(campaigns!$BG$2:$BG$51,MATCH($B373,campaigns!$A$2:$A$51,0))),""))</f>
        <v/>
      </c>
      <c r="N373" s="30" t="str">
        <f aca="false">IF(OR($B373="",$E373="",$M373=""),"",IF($E373&lt;$M373,0,NETWORKDAYS($M373,$E373,calendar!$A$2:$A$80)))</f>
        <v/>
      </c>
      <c r="O373" s="30" t="str">
        <f aca="false">IF($B373="","",IF(AND($K373="Y",OR($D373="later",$J373="Y")),"Y","N"))</f>
        <v/>
      </c>
      <c r="P373" s="30" t="str">
        <f aca="false">IF(OR($B373="",$E373=""),"",$B373&amp;"_"&amp;$C373&amp;"_"&amp;$D373&amp;"_"&amp;TEXT($E373,"yyyy-mm-dd")&amp;".jpg")</f>
        <v/>
      </c>
      <c r="Q373" s="30" t="str">
        <f aca="false">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30" t="str">
        <f aca="false">IF($B373="","",$B373&amp;"|"&amp;$C373&amp;"|"&amp;$D373&amp;"|"&amp;$O373)</f>
        <v/>
      </c>
      <c r="S373" s="30" t="str">
        <f aca="false">IF($B373="","",$R373&amp;"|"&amp;N($E373))</f>
        <v/>
      </c>
    </row>
    <row r="374" customFormat="false" ht="15" hidden="false" customHeight="false" outlineLevel="0" collapsed="false">
      <c r="D374" s="10"/>
      <c r="E374" s="11"/>
      <c r="F374" s="38"/>
      <c r="G374" s="10"/>
      <c r="I374" s="11"/>
      <c r="J374" s="10"/>
      <c r="K374" s="10"/>
      <c r="M374" s="31" t="str">
        <f aca="false">IF($B374="","",IFERROR(IF(INDEX(campaigns!$BG$2:$BG$51,MATCH($B374,campaigns!$A$2:$A$51,0))="","",INDEX(campaigns!$BG$2:$BG$51,MATCH($B374,campaigns!$A$2:$A$51,0))),""))</f>
        <v/>
      </c>
      <c r="N374" s="30" t="str">
        <f aca="false">IF(OR($B374="",$E374="",$M374=""),"",IF($E374&lt;$M374,0,NETWORKDAYS($M374,$E374,calendar!$A$2:$A$80)))</f>
        <v/>
      </c>
      <c r="O374" s="30" t="str">
        <f aca="false">IF($B374="","",IF(AND($K374="Y",OR($D374="later",$J374="Y")),"Y","N"))</f>
        <v/>
      </c>
      <c r="P374" s="30" t="str">
        <f aca="false">IF(OR($B374="",$E374=""),"",$B374&amp;"_"&amp;$C374&amp;"_"&amp;$D374&amp;"_"&amp;TEXT($E374,"yyyy-mm-dd")&amp;".jpg")</f>
        <v/>
      </c>
      <c r="Q374" s="30" t="str">
        <f aca="false">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30" t="str">
        <f aca="false">IF($B374="","",$B374&amp;"|"&amp;$C374&amp;"|"&amp;$D374&amp;"|"&amp;$O374)</f>
        <v/>
      </c>
      <c r="S374" s="30" t="str">
        <f aca="false">IF($B374="","",$R374&amp;"|"&amp;N($E374))</f>
        <v/>
      </c>
    </row>
    <row r="375" customFormat="false" ht="15" hidden="false" customHeight="false" outlineLevel="0" collapsed="false">
      <c r="D375" s="10"/>
      <c r="E375" s="11"/>
      <c r="F375" s="38"/>
      <c r="G375" s="10"/>
      <c r="I375" s="11"/>
      <c r="J375" s="10"/>
      <c r="K375" s="10"/>
      <c r="M375" s="31" t="str">
        <f aca="false">IF($B375="","",IFERROR(IF(INDEX(campaigns!$BG$2:$BG$51,MATCH($B375,campaigns!$A$2:$A$51,0))="","",INDEX(campaigns!$BG$2:$BG$51,MATCH($B375,campaigns!$A$2:$A$51,0))),""))</f>
        <v/>
      </c>
      <c r="N375" s="30" t="str">
        <f aca="false">IF(OR($B375="",$E375="",$M375=""),"",IF($E375&lt;$M375,0,NETWORKDAYS($M375,$E375,calendar!$A$2:$A$80)))</f>
        <v/>
      </c>
      <c r="O375" s="30" t="str">
        <f aca="false">IF($B375="","",IF(AND($K375="Y",OR($D375="later",$J375="Y")),"Y","N"))</f>
        <v/>
      </c>
      <c r="P375" s="30" t="str">
        <f aca="false">IF(OR($B375="",$E375=""),"",$B375&amp;"_"&amp;$C375&amp;"_"&amp;$D375&amp;"_"&amp;TEXT($E375,"yyyy-mm-dd")&amp;".jpg")</f>
        <v/>
      </c>
      <c r="Q375" s="30" t="str">
        <f aca="false">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30" t="str">
        <f aca="false">IF($B375="","",$B375&amp;"|"&amp;$C375&amp;"|"&amp;$D375&amp;"|"&amp;$O375)</f>
        <v/>
      </c>
      <c r="S375" s="30" t="str">
        <f aca="false">IF($B375="","",$R375&amp;"|"&amp;N($E375))</f>
        <v/>
      </c>
    </row>
    <row r="376" customFormat="false" ht="15" hidden="false" customHeight="false" outlineLevel="0" collapsed="false">
      <c r="D376" s="10"/>
      <c r="E376" s="11"/>
      <c r="F376" s="38"/>
      <c r="G376" s="10"/>
      <c r="I376" s="11"/>
      <c r="J376" s="10"/>
      <c r="K376" s="10"/>
      <c r="M376" s="31" t="str">
        <f aca="false">IF($B376="","",IFERROR(IF(INDEX(campaigns!$BG$2:$BG$51,MATCH($B376,campaigns!$A$2:$A$51,0))="","",INDEX(campaigns!$BG$2:$BG$51,MATCH($B376,campaigns!$A$2:$A$51,0))),""))</f>
        <v/>
      </c>
      <c r="N376" s="30" t="str">
        <f aca="false">IF(OR($B376="",$E376="",$M376=""),"",IF($E376&lt;$M376,0,NETWORKDAYS($M376,$E376,calendar!$A$2:$A$80)))</f>
        <v/>
      </c>
      <c r="O376" s="30" t="str">
        <f aca="false">IF($B376="","",IF(AND($K376="Y",OR($D376="later",$J376="Y")),"Y","N"))</f>
        <v/>
      </c>
      <c r="P376" s="30" t="str">
        <f aca="false">IF(OR($B376="",$E376=""),"",$B376&amp;"_"&amp;$C376&amp;"_"&amp;$D376&amp;"_"&amp;TEXT($E376,"yyyy-mm-dd")&amp;".jpg")</f>
        <v/>
      </c>
      <c r="Q376" s="30" t="str">
        <f aca="false">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30" t="str">
        <f aca="false">IF($B376="","",$B376&amp;"|"&amp;$C376&amp;"|"&amp;$D376&amp;"|"&amp;$O376)</f>
        <v/>
      </c>
      <c r="S376" s="30" t="str">
        <f aca="false">IF($B376="","",$R376&amp;"|"&amp;N($E376))</f>
        <v/>
      </c>
    </row>
    <row r="377" customFormat="false" ht="15" hidden="false" customHeight="false" outlineLevel="0" collapsed="false">
      <c r="D377" s="10"/>
      <c r="E377" s="11"/>
      <c r="F377" s="38"/>
      <c r="G377" s="10"/>
      <c r="I377" s="11"/>
      <c r="J377" s="10"/>
      <c r="K377" s="10"/>
      <c r="M377" s="31" t="str">
        <f aca="false">IF($B377="","",IFERROR(IF(INDEX(campaigns!$BG$2:$BG$51,MATCH($B377,campaigns!$A$2:$A$51,0))="","",INDEX(campaigns!$BG$2:$BG$51,MATCH($B377,campaigns!$A$2:$A$51,0))),""))</f>
        <v/>
      </c>
      <c r="N377" s="30" t="str">
        <f aca="false">IF(OR($B377="",$E377="",$M377=""),"",IF($E377&lt;$M377,0,NETWORKDAYS($M377,$E377,calendar!$A$2:$A$80)))</f>
        <v/>
      </c>
      <c r="O377" s="30" t="str">
        <f aca="false">IF($B377="","",IF(AND($K377="Y",OR($D377="later",$J377="Y")),"Y","N"))</f>
        <v/>
      </c>
      <c r="P377" s="30" t="str">
        <f aca="false">IF(OR($B377="",$E377=""),"",$B377&amp;"_"&amp;$C377&amp;"_"&amp;$D377&amp;"_"&amp;TEXT($E377,"yyyy-mm-dd")&amp;".jpg")</f>
        <v/>
      </c>
      <c r="Q377" s="30" t="str">
        <f aca="false">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30" t="str">
        <f aca="false">IF($B377="","",$B377&amp;"|"&amp;$C377&amp;"|"&amp;$D377&amp;"|"&amp;$O377)</f>
        <v/>
      </c>
      <c r="S377" s="30" t="str">
        <f aca="false">IF($B377="","",$R377&amp;"|"&amp;N($E377))</f>
        <v/>
      </c>
    </row>
    <row r="378" customFormat="false" ht="15" hidden="false" customHeight="false" outlineLevel="0" collapsed="false">
      <c r="D378" s="10"/>
      <c r="E378" s="11"/>
      <c r="F378" s="38"/>
      <c r="G378" s="10"/>
      <c r="I378" s="11"/>
      <c r="J378" s="10"/>
      <c r="K378" s="10"/>
      <c r="M378" s="31" t="str">
        <f aca="false">IF($B378="","",IFERROR(IF(INDEX(campaigns!$BG$2:$BG$51,MATCH($B378,campaigns!$A$2:$A$51,0))="","",INDEX(campaigns!$BG$2:$BG$51,MATCH($B378,campaigns!$A$2:$A$51,0))),""))</f>
        <v/>
      </c>
      <c r="N378" s="30" t="str">
        <f aca="false">IF(OR($B378="",$E378="",$M378=""),"",IF($E378&lt;$M378,0,NETWORKDAYS($M378,$E378,calendar!$A$2:$A$80)))</f>
        <v/>
      </c>
      <c r="O378" s="30" t="str">
        <f aca="false">IF($B378="","",IF(AND($K378="Y",OR($D378="later",$J378="Y")),"Y","N"))</f>
        <v/>
      </c>
      <c r="P378" s="30" t="str">
        <f aca="false">IF(OR($B378="",$E378=""),"",$B378&amp;"_"&amp;$C378&amp;"_"&amp;$D378&amp;"_"&amp;TEXT($E378,"yyyy-mm-dd")&amp;".jpg")</f>
        <v/>
      </c>
      <c r="Q378" s="30" t="str">
        <f aca="false">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30" t="str">
        <f aca="false">IF($B378="","",$B378&amp;"|"&amp;$C378&amp;"|"&amp;$D378&amp;"|"&amp;$O378)</f>
        <v/>
      </c>
      <c r="S378" s="30" t="str">
        <f aca="false">IF($B378="","",$R378&amp;"|"&amp;N($E378))</f>
        <v/>
      </c>
    </row>
    <row r="379" customFormat="false" ht="15" hidden="false" customHeight="false" outlineLevel="0" collapsed="false">
      <c r="D379" s="10"/>
      <c r="E379" s="11"/>
      <c r="F379" s="38"/>
      <c r="G379" s="10"/>
      <c r="I379" s="11"/>
      <c r="J379" s="10"/>
      <c r="K379" s="10"/>
      <c r="M379" s="31" t="str">
        <f aca="false">IF($B379="","",IFERROR(IF(INDEX(campaigns!$BG$2:$BG$51,MATCH($B379,campaigns!$A$2:$A$51,0))="","",INDEX(campaigns!$BG$2:$BG$51,MATCH($B379,campaigns!$A$2:$A$51,0))),""))</f>
        <v/>
      </c>
      <c r="N379" s="30" t="str">
        <f aca="false">IF(OR($B379="",$E379="",$M379=""),"",IF($E379&lt;$M379,0,NETWORKDAYS($M379,$E379,calendar!$A$2:$A$80)))</f>
        <v/>
      </c>
      <c r="O379" s="30" t="str">
        <f aca="false">IF($B379="","",IF(AND($K379="Y",OR($D379="later",$J379="Y")),"Y","N"))</f>
        <v/>
      </c>
      <c r="P379" s="30" t="str">
        <f aca="false">IF(OR($B379="",$E379=""),"",$B379&amp;"_"&amp;$C379&amp;"_"&amp;$D379&amp;"_"&amp;TEXT($E379,"yyyy-mm-dd")&amp;".jpg")</f>
        <v/>
      </c>
      <c r="Q379" s="30" t="str">
        <f aca="false">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30" t="str">
        <f aca="false">IF($B379="","",$B379&amp;"|"&amp;$C379&amp;"|"&amp;$D379&amp;"|"&amp;$O379)</f>
        <v/>
      </c>
      <c r="S379" s="30" t="str">
        <f aca="false">IF($B379="","",$R379&amp;"|"&amp;N($E379))</f>
        <v/>
      </c>
    </row>
    <row r="380" customFormat="false" ht="15" hidden="false" customHeight="false" outlineLevel="0" collapsed="false">
      <c r="D380" s="10"/>
      <c r="E380" s="11"/>
      <c r="F380" s="38"/>
      <c r="G380" s="10"/>
      <c r="I380" s="11"/>
      <c r="J380" s="10"/>
      <c r="K380" s="10"/>
      <c r="M380" s="31" t="str">
        <f aca="false">IF($B380="","",IFERROR(IF(INDEX(campaigns!$BG$2:$BG$51,MATCH($B380,campaigns!$A$2:$A$51,0))="","",INDEX(campaigns!$BG$2:$BG$51,MATCH($B380,campaigns!$A$2:$A$51,0))),""))</f>
        <v/>
      </c>
      <c r="N380" s="30" t="str">
        <f aca="false">IF(OR($B380="",$E380="",$M380=""),"",IF($E380&lt;$M380,0,NETWORKDAYS($M380,$E380,calendar!$A$2:$A$80)))</f>
        <v/>
      </c>
      <c r="O380" s="30" t="str">
        <f aca="false">IF($B380="","",IF(AND($K380="Y",OR($D380="later",$J380="Y")),"Y","N"))</f>
        <v/>
      </c>
      <c r="P380" s="30" t="str">
        <f aca="false">IF(OR($B380="",$E380=""),"",$B380&amp;"_"&amp;$C380&amp;"_"&amp;$D380&amp;"_"&amp;TEXT($E380,"yyyy-mm-dd")&amp;".jpg")</f>
        <v/>
      </c>
      <c r="Q380" s="30" t="str">
        <f aca="false">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30" t="str">
        <f aca="false">IF($B380="","",$B380&amp;"|"&amp;$C380&amp;"|"&amp;$D380&amp;"|"&amp;$O380)</f>
        <v/>
      </c>
      <c r="S380" s="30" t="str">
        <f aca="false">IF($B380="","",$R380&amp;"|"&amp;N($E380))</f>
        <v/>
      </c>
    </row>
    <row r="381" customFormat="false" ht="15" hidden="false" customHeight="false" outlineLevel="0" collapsed="false">
      <c r="D381" s="10"/>
      <c r="E381" s="11"/>
      <c r="F381" s="38"/>
      <c r="G381" s="10"/>
      <c r="I381" s="11"/>
      <c r="J381" s="10"/>
      <c r="K381" s="10"/>
      <c r="M381" s="31" t="str">
        <f aca="false">IF($B381="","",IFERROR(IF(INDEX(campaigns!$BG$2:$BG$51,MATCH($B381,campaigns!$A$2:$A$51,0))="","",INDEX(campaigns!$BG$2:$BG$51,MATCH($B381,campaigns!$A$2:$A$51,0))),""))</f>
        <v/>
      </c>
      <c r="N381" s="30" t="str">
        <f aca="false">IF(OR($B381="",$E381="",$M381=""),"",IF($E381&lt;$M381,0,NETWORKDAYS($M381,$E381,calendar!$A$2:$A$80)))</f>
        <v/>
      </c>
      <c r="O381" s="30" t="str">
        <f aca="false">IF($B381="","",IF(AND($K381="Y",OR($D381="later",$J381="Y")),"Y","N"))</f>
        <v/>
      </c>
      <c r="P381" s="30" t="str">
        <f aca="false">IF(OR($B381="",$E381=""),"",$B381&amp;"_"&amp;$C381&amp;"_"&amp;$D381&amp;"_"&amp;TEXT($E381,"yyyy-mm-dd")&amp;".jpg")</f>
        <v/>
      </c>
      <c r="Q381" s="30" t="str">
        <f aca="false">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30" t="str">
        <f aca="false">IF($B381="","",$B381&amp;"|"&amp;$C381&amp;"|"&amp;$D381&amp;"|"&amp;$O381)</f>
        <v/>
      </c>
      <c r="S381" s="30" t="str">
        <f aca="false">IF($B381="","",$R381&amp;"|"&amp;N($E381))</f>
        <v/>
      </c>
    </row>
    <row r="382" customFormat="false" ht="15" hidden="false" customHeight="false" outlineLevel="0" collapsed="false">
      <c r="D382" s="10"/>
      <c r="E382" s="11"/>
      <c r="F382" s="38"/>
      <c r="G382" s="10"/>
      <c r="I382" s="11"/>
      <c r="J382" s="10"/>
      <c r="K382" s="10"/>
      <c r="M382" s="31" t="str">
        <f aca="false">IF($B382="","",IFERROR(IF(INDEX(campaigns!$BG$2:$BG$51,MATCH($B382,campaigns!$A$2:$A$51,0))="","",INDEX(campaigns!$BG$2:$BG$51,MATCH($B382,campaigns!$A$2:$A$51,0))),""))</f>
        <v/>
      </c>
      <c r="N382" s="30" t="str">
        <f aca="false">IF(OR($B382="",$E382="",$M382=""),"",IF($E382&lt;$M382,0,NETWORKDAYS($M382,$E382,calendar!$A$2:$A$80)))</f>
        <v/>
      </c>
      <c r="O382" s="30" t="str">
        <f aca="false">IF($B382="","",IF(AND($K382="Y",OR($D382="later",$J382="Y")),"Y","N"))</f>
        <v/>
      </c>
      <c r="P382" s="30" t="str">
        <f aca="false">IF(OR($B382="",$E382=""),"",$B382&amp;"_"&amp;$C382&amp;"_"&amp;$D382&amp;"_"&amp;TEXT($E382,"yyyy-mm-dd")&amp;".jpg")</f>
        <v/>
      </c>
      <c r="Q382" s="30" t="str">
        <f aca="false">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30" t="str">
        <f aca="false">IF($B382="","",$B382&amp;"|"&amp;$C382&amp;"|"&amp;$D382&amp;"|"&amp;$O382)</f>
        <v/>
      </c>
      <c r="S382" s="30" t="str">
        <f aca="false">IF($B382="","",$R382&amp;"|"&amp;N($E382))</f>
        <v/>
      </c>
    </row>
    <row r="383" customFormat="false" ht="15" hidden="false" customHeight="false" outlineLevel="0" collapsed="false">
      <c r="D383" s="10"/>
      <c r="E383" s="11"/>
      <c r="F383" s="38"/>
      <c r="G383" s="10"/>
      <c r="I383" s="11"/>
      <c r="J383" s="10"/>
      <c r="K383" s="10"/>
      <c r="M383" s="31" t="str">
        <f aca="false">IF($B383="","",IFERROR(IF(INDEX(campaigns!$BG$2:$BG$51,MATCH($B383,campaigns!$A$2:$A$51,0))="","",INDEX(campaigns!$BG$2:$BG$51,MATCH($B383,campaigns!$A$2:$A$51,0))),""))</f>
        <v/>
      </c>
      <c r="N383" s="30" t="str">
        <f aca="false">IF(OR($B383="",$E383="",$M383=""),"",IF($E383&lt;$M383,0,NETWORKDAYS($M383,$E383,calendar!$A$2:$A$80)))</f>
        <v/>
      </c>
      <c r="O383" s="30" t="str">
        <f aca="false">IF($B383="","",IF(AND($K383="Y",OR($D383="later",$J383="Y")),"Y","N"))</f>
        <v/>
      </c>
      <c r="P383" s="30" t="str">
        <f aca="false">IF(OR($B383="",$E383=""),"",$B383&amp;"_"&amp;$C383&amp;"_"&amp;$D383&amp;"_"&amp;TEXT($E383,"yyyy-mm-dd")&amp;".jpg")</f>
        <v/>
      </c>
      <c r="Q383" s="30" t="str">
        <f aca="false">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30" t="str">
        <f aca="false">IF($B383="","",$B383&amp;"|"&amp;$C383&amp;"|"&amp;$D383&amp;"|"&amp;$O383)</f>
        <v/>
      </c>
      <c r="S383" s="30" t="str">
        <f aca="false">IF($B383="","",$R383&amp;"|"&amp;N($E383))</f>
        <v/>
      </c>
    </row>
    <row r="384" customFormat="false" ht="15" hidden="false" customHeight="false" outlineLevel="0" collapsed="false">
      <c r="D384" s="10"/>
      <c r="E384" s="11"/>
      <c r="F384" s="38"/>
      <c r="G384" s="10"/>
      <c r="I384" s="11"/>
      <c r="J384" s="10"/>
      <c r="K384" s="10"/>
      <c r="M384" s="31" t="str">
        <f aca="false">IF($B384="","",IFERROR(IF(INDEX(campaigns!$BG$2:$BG$51,MATCH($B384,campaigns!$A$2:$A$51,0))="","",INDEX(campaigns!$BG$2:$BG$51,MATCH($B384,campaigns!$A$2:$A$51,0))),""))</f>
        <v/>
      </c>
      <c r="N384" s="30" t="str">
        <f aca="false">IF(OR($B384="",$E384="",$M384=""),"",IF($E384&lt;$M384,0,NETWORKDAYS($M384,$E384,calendar!$A$2:$A$80)))</f>
        <v/>
      </c>
      <c r="O384" s="30" t="str">
        <f aca="false">IF($B384="","",IF(AND($K384="Y",OR($D384="later",$J384="Y")),"Y","N"))</f>
        <v/>
      </c>
      <c r="P384" s="30" t="str">
        <f aca="false">IF(OR($B384="",$E384=""),"",$B384&amp;"_"&amp;$C384&amp;"_"&amp;$D384&amp;"_"&amp;TEXT($E384,"yyyy-mm-dd")&amp;".jpg")</f>
        <v/>
      </c>
      <c r="Q384" s="30" t="str">
        <f aca="false">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30" t="str">
        <f aca="false">IF($B384="","",$B384&amp;"|"&amp;$C384&amp;"|"&amp;$D384&amp;"|"&amp;$O384)</f>
        <v/>
      </c>
      <c r="S384" s="30" t="str">
        <f aca="false">IF($B384="","",$R384&amp;"|"&amp;N($E384))</f>
        <v/>
      </c>
    </row>
    <row r="385" customFormat="false" ht="15" hidden="false" customHeight="false" outlineLevel="0" collapsed="false">
      <c r="D385" s="10"/>
      <c r="E385" s="11"/>
      <c r="F385" s="38"/>
      <c r="G385" s="10"/>
      <c r="I385" s="11"/>
      <c r="J385" s="10"/>
      <c r="K385" s="10"/>
      <c r="M385" s="31" t="str">
        <f aca="false">IF($B385="","",IFERROR(IF(INDEX(campaigns!$BG$2:$BG$51,MATCH($B385,campaigns!$A$2:$A$51,0))="","",INDEX(campaigns!$BG$2:$BG$51,MATCH($B385,campaigns!$A$2:$A$51,0))),""))</f>
        <v/>
      </c>
      <c r="N385" s="30" t="str">
        <f aca="false">IF(OR($B385="",$E385="",$M385=""),"",IF($E385&lt;$M385,0,NETWORKDAYS($M385,$E385,calendar!$A$2:$A$80)))</f>
        <v/>
      </c>
      <c r="O385" s="30" t="str">
        <f aca="false">IF($B385="","",IF(AND($K385="Y",OR($D385="later",$J385="Y")),"Y","N"))</f>
        <v/>
      </c>
      <c r="P385" s="30" t="str">
        <f aca="false">IF(OR($B385="",$E385=""),"",$B385&amp;"_"&amp;$C385&amp;"_"&amp;$D385&amp;"_"&amp;TEXT($E385,"yyyy-mm-dd")&amp;".jpg")</f>
        <v/>
      </c>
      <c r="Q385" s="30" t="str">
        <f aca="false">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30" t="str">
        <f aca="false">IF($B385="","",$B385&amp;"|"&amp;$C385&amp;"|"&amp;$D385&amp;"|"&amp;$O385)</f>
        <v/>
      </c>
      <c r="S385" s="30" t="str">
        <f aca="false">IF($B385="","",$R385&amp;"|"&amp;N($E385))</f>
        <v/>
      </c>
    </row>
    <row r="386" customFormat="false" ht="15" hidden="false" customHeight="false" outlineLevel="0" collapsed="false">
      <c r="D386" s="10"/>
      <c r="E386" s="11"/>
      <c r="F386" s="38"/>
      <c r="G386" s="10"/>
      <c r="I386" s="11"/>
      <c r="J386" s="10"/>
      <c r="K386" s="10"/>
      <c r="M386" s="31" t="str">
        <f aca="false">IF($B386="","",IFERROR(IF(INDEX(campaigns!$BG$2:$BG$51,MATCH($B386,campaigns!$A$2:$A$51,0))="","",INDEX(campaigns!$BG$2:$BG$51,MATCH($B386,campaigns!$A$2:$A$51,0))),""))</f>
        <v/>
      </c>
      <c r="N386" s="30" t="str">
        <f aca="false">IF(OR($B386="",$E386="",$M386=""),"",IF($E386&lt;$M386,0,NETWORKDAYS($M386,$E386,calendar!$A$2:$A$80)))</f>
        <v/>
      </c>
      <c r="O386" s="30" t="str">
        <f aca="false">IF($B386="","",IF(AND($K386="Y",OR($D386="later",$J386="Y")),"Y","N"))</f>
        <v/>
      </c>
      <c r="P386" s="30" t="str">
        <f aca="false">IF(OR($B386="",$E386=""),"",$B386&amp;"_"&amp;$C386&amp;"_"&amp;$D386&amp;"_"&amp;TEXT($E386,"yyyy-mm-dd")&amp;".jpg")</f>
        <v/>
      </c>
      <c r="Q386" s="30" t="str">
        <f aca="false">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30" t="str">
        <f aca="false">IF($B386="","",$B386&amp;"|"&amp;$C386&amp;"|"&amp;$D386&amp;"|"&amp;$O386)</f>
        <v/>
      </c>
      <c r="S386" s="30" t="str">
        <f aca="false">IF($B386="","",$R386&amp;"|"&amp;N($E386))</f>
        <v/>
      </c>
    </row>
    <row r="387" customFormat="false" ht="15" hidden="false" customHeight="false" outlineLevel="0" collapsed="false">
      <c r="D387" s="10"/>
      <c r="E387" s="11"/>
      <c r="F387" s="38"/>
      <c r="G387" s="10"/>
      <c r="I387" s="11"/>
      <c r="J387" s="10"/>
      <c r="K387" s="10"/>
      <c r="M387" s="31" t="str">
        <f aca="false">IF($B387="","",IFERROR(IF(INDEX(campaigns!$BG$2:$BG$51,MATCH($B387,campaigns!$A$2:$A$51,0))="","",INDEX(campaigns!$BG$2:$BG$51,MATCH($B387,campaigns!$A$2:$A$51,0))),""))</f>
        <v/>
      </c>
      <c r="N387" s="30" t="str">
        <f aca="false">IF(OR($B387="",$E387="",$M387=""),"",IF($E387&lt;$M387,0,NETWORKDAYS($M387,$E387,calendar!$A$2:$A$80)))</f>
        <v/>
      </c>
      <c r="O387" s="30" t="str">
        <f aca="false">IF($B387="","",IF(AND($K387="Y",OR($D387="later",$J387="Y")),"Y","N"))</f>
        <v/>
      </c>
      <c r="P387" s="30" t="str">
        <f aca="false">IF(OR($B387="",$E387=""),"",$B387&amp;"_"&amp;$C387&amp;"_"&amp;$D387&amp;"_"&amp;TEXT($E387,"yyyy-mm-dd")&amp;".jpg")</f>
        <v/>
      </c>
      <c r="Q387" s="30" t="str">
        <f aca="false">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30" t="str">
        <f aca="false">IF($B387="","",$B387&amp;"|"&amp;$C387&amp;"|"&amp;$D387&amp;"|"&amp;$O387)</f>
        <v/>
      </c>
      <c r="S387" s="30" t="str">
        <f aca="false">IF($B387="","",$R387&amp;"|"&amp;N($E387))</f>
        <v/>
      </c>
    </row>
    <row r="388" customFormat="false" ht="15" hidden="false" customHeight="false" outlineLevel="0" collapsed="false">
      <c r="D388" s="10"/>
      <c r="E388" s="11"/>
      <c r="F388" s="38"/>
      <c r="G388" s="10"/>
      <c r="I388" s="11"/>
      <c r="J388" s="10"/>
      <c r="K388" s="10"/>
      <c r="M388" s="31" t="str">
        <f aca="false">IF($B388="","",IFERROR(IF(INDEX(campaigns!$BG$2:$BG$51,MATCH($B388,campaigns!$A$2:$A$51,0))="","",INDEX(campaigns!$BG$2:$BG$51,MATCH($B388,campaigns!$A$2:$A$51,0))),""))</f>
        <v/>
      </c>
      <c r="N388" s="30" t="str">
        <f aca="false">IF(OR($B388="",$E388="",$M388=""),"",IF($E388&lt;$M388,0,NETWORKDAYS($M388,$E388,calendar!$A$2:$A$80)))</f>
        <v/>
      </c>
      <c r="O388" s="30" t="str">
        <f aca="false">IF($B388="","",IF(AND($K388="Y",OR($D388="later",$J388="Y")),"Y","N"))</f>
        <v/>
      </c>
      <c r="P388" s="30" t="str">
        <f aca="false">IF(OR($B388="",$E388=""),"",$B388&amp;"_"&amp;$C388&amp;"_"&amp;$D388&amp;"_"&amp;TEXT($E388,"yyyy-mm-dd")&amp;".jpg")</f>
        <v/>
      </c>
      <c r="Q388" s="30" t="str">
        <f aca="false">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30" t="str">
        <f aca="false">IF($B388="","",$B388&amp;"|"&amp;$C388&amp;"|"&amp;$D388&amp;"|"&amp;$O388)</f>
        <v/>
      </c>
      <c r="S388" s="30" t="str">
        <f aca="false">IF($B388="","",$R388&amp;"|"&amp;N($E388))</f>
        <v/>
      </c>
    </row>
    <row r="389" customFormat="false" ht="15" hidden="false" customHeight="false" outlineLevel="0" collapsed="false">
      <c r="D389" s="10"/>
      <c r="E389" s="11"/>
      <c r="F389" s="38"/>
      <c r="G389" s="10"/>
      <c r="I389" s="11"/>
      <c r="J389" s="10"/>
      <c r="K389" s="10"/>
      <c r="M389" s="31" t="str">
        <f aca="false">IF($B389="","",IFERROR(IF(INDEX(campaigns!$BG$2:$BG$51,MATCH($B389,campaigns!$A$2:$A$51,0))="","",INDEX(campaigns!$BG$2:$BG$51,MATCH($B389,campaigns!$A$2:$A$51,0))),""))</f>
        <v/>
      </c>
      <c r="N389" s="30" t="str">
        <f aca="false">IF(OR($B389="",$E389="",$M389=""),"",IF($E389&lt;$M389,0,NETWORKDAYS($M389,$E389,calendar!$A$2:$A$80)))</f>
        <v/>
      </c>
      <c r="O389" s="30" t="str">
        <f aca="false">IF($B389="","",IF(AND($K389="Y",OR($D389="later",$J389="Y")),"Y","N"))</f>
        <v/>
      </c>
      <c r="P389" s="30" t="str">
        <f aca="false">IF(OR($B389="",$E389=""),"",$B389&amp;"_"&amp;$C389&amp;"_"&amp;$D389&amp;"_"&amp;TEXT($E389,"yyyy-mm-dd")&amp;".jpg")</f>
        <v/>
      </c>
      <c r="Q389" s="30" t="str">
        <f aca="false">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30" t="str">
        <f aca="false">IF($B389="","",$B389&amp;"|"&amp;$C389&amp;"|"&amp;$D389&amp;"|"&amp;$O389)</f>
        <v/>
      </c>
      <c r="S389" s="30" t="str">
        <f aca="false">IF($B389="","",$R389&amp;"|"&amp;N($E389))</f>
        <v/>
      </c>
    </row>
    <row r="390" customFormat="false" ht="15" hidden="false" customHeight="false" outlineLevel="0" collapsed="false">
      <c r="D390" s="10"/>
      <c r="E390" s="11"/>
      <c r="F390" s="38"/>
      <c r="G390" s="10"/>
      <c r="I390" s="11"/>
      <c r="J390" s="10"/>
      <c r="K390" s="10"/>
      <c r="M390" s="31" t="str">
        <f aca="false">IF($B390="","",IFERROR(IF(INDEX(campaigns!$BG$2:$BG$51,MATCH($B390,campaigns!$A$2:$A$51,0))="","",INDEX(campaigns!$BG$2:$BG$51,MATCH($B390,campaigns!$A$2:$A$51,0))),""))</f>
        <v/>
      </c>
      <c r="N390" s="30" t="str">
        <f aca="false">IF(OR($B390="",$E390="",$M390=""),"",IF($E390&lt;$M390,0,NETWORKDAYS($M390,$E390,calendar!$A$2:$A$80)))</f>
        <v/>
      </c>
      <c r="O390" s="30" t="str">
        <f aca="false">IF($B390="","",IF(AND($K390="Y",OR($D390="later",$J390="Y")),"Y","N"))</f>
        <v/>
      </c>
      <c r="P390" s="30" t="str">
        <f aca="false">IF(OR($B390="",$E390=""),"",$B390&amp;"_"&amp;$C390&amp;"_"&amp;$D390&amp;"_"&amp;TEXT($E390,"yyyy-mm-dd")&amp;".jpg")</f>
        <v/>
      </c>
      <c r="Q390" s="30" t="str">
        <f aca="false">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30" t="str">
        <f aca="false">IF($B390="","",$B390&amp;"|"&amp;$C390&amp;"|"&amp;$D390&amp;"|"&amp;$O390)</f>
        <v/>
      </c>
      <c r="S390" s="30" t="str">
        <f aca="false">IF($B390="","",$R390&amp;"|"&amp;N($E390))</f>
        <v/>
      </c>
    </row>
    <row r="391" customFormat="false" ht="15" hidden="false" customHeight="false" outlineLevel="0" collapsed="false">
      <c r="D391" s="10"/>
      <c r="E391" s="11"/>
      <c r="F391" s="38"/>
      <c r="G391" s="10"/>
      <c r="I391" s="11"/>
      <c r="J391" s="10"/>
      <c r="K391" s="10"/>
      <c r="M391" s="31" t="str">
        <f aca="false">IF($B391="","",IFERROR(IF(INDEX(campaigns!$BG$2:$BG$51,MATCH($B391,campaigns!$A$2:$A$51,0))="","",INDEX(campaigns!$BG$2:$BG$51,MATCH($B391,campaigns!$A$2:$A$51,0))),""))</f>
        <v/>
      </c>
      <c r="N391" s="30" t="str">
        <f aca="false">IF(OR($B391="",$E391="",$M391=""),"",IF($E391&lt;$M391,0,NETWORKDAYS($M391,$E391,calendar!$A$2:$A$80)))</f>
        <v/>
      </c>
      <c r="O391" s="30" t="str">
        <f aca="false">IF($B391="","",IF(AND($K391="Y",OR($D391="later",$J391="Y")),"Y","N"))</f>
        <v/>
      </c>
      <c r="P391" s="30" t="str">
        <f aca="false">IF(OR($B391="",$E391=""),"",$B391&amp;"_"&amp;$C391&amp;"_"&amp;$D391&amp;"_"&amp;TEXT($E391,"yyyy-mm-dd")&amp;".jpg")</f>
        <v/>
      </c>
      <c r="Q391" s="30" t="str">
        <f aca="false">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30" t="str">
        <f aca="false">IF($B391="","",$B391&amp;"|"&amp;$C391&amp;"|"&amp;$D391&amp;"|"&amp;$O391)</f>
        <v/>
      </c>
      <c r="S391" s="30" t="str">
        <f aca="false">IF($B391="","",$R391&amp;"|"&amp;N($E391))</f>
        <v/>
      </c>
    </row>
    <row r="392" customFormat="false" ht="15" hidden="false" customHeight="false" outlineLevel="0" collapsed="false">
      <c r="D392" s="10"/>
      <c r="E392" s="11"/>
      <c r="F392" s="38"/>
      <c r="G392" s="10"/>
      <c r="I392" s="11"/>
      <c r="J392" s="10"/>
      <c r="K392" s="10"/>
      <c r="M392" s="31" t="str">
        <f aca="false">IF($B392="","",IFERROR(IF(INDEX(campaigns!$BG$2:$BG$51,MATCH($B392,campaigns!$A$2:$A$51,0))="","",INDEX(campaigns!$BG$2:$BG$51,MATCH($B392,campaigns!$A$2:$A$51,0))),""))</f>
        <v/>
      </c>
      <c r="N392" s="30" t="str">
        <f aca="false">IF(OR($B392="",$E392="",$M392=""),"",IF($E392&lt;$M392,0,NETWORKDAYS($M392,$E392,calendar!$A$2:$A$80)))</f>
        <v/>
      </c>
      <c r="O392" s="30" t="str">
        <f aca="false">IF($B392="","",IF(AND($K392="Y",OR($D392="later",$J392="Y")),"Y","N"))</f>
        <v/>
      </c>
      <c r="P392" s="30" t="str">
        <f aca="false">IF(OR($B392="",$E392=""),"",$B392&amp;"_"&amp;$C392&amp;"_"&amp;$D392&amp;"_"&amp;TEXT($E392,"yyyy-mm-dd")&amp;".jpg")</f>
        <v/>
      </c>
      <c r="Q392" s="30" t="str">
        <f aca="false">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30" t="str">
        <f aca="false">IF($B392="","",$B392&amp;"|"&amp;$C392&amp;"|"&amp;$D392&amp;"|"&amp;$O392)</f>
        <v/>
      </c>
      <c r="S392" s="30" t="str">
        <f aca="false">IF($B392="","",$R392&amp;"|"&amp;N($E392))</f>
        <v/>
      </c>
    </row>
    <row r="393" customFormat="false" ht="15" hidden="false" customHeight="false" outlineLevel="0" collapsed="false">
      <c r="D393" s="10"/>
      <c r="E393" s="11"/>
      <c r="F393" s="38"/>
      <c r="G393" s="10"/>
      <c r="I393" s="11"/>
      <c r="J393" s="10"/>
      <c r="K393" s="10"/>
      <c r="M393" s="31" t="str">
        <f aca="false">IF($B393="","",IFERROR(IF(INDEX(campaigns!$BG$2:$BG$51,MATCH($B393,campaigns!$A$2:$A$51,0))="","",INDEX(campaigns!$BG$2:$BG$51,MATCH($B393,campaigns!$A$2:$A$51,0))),""))</f>
        <v/>
      </c>
      <c r="N393" s="30" t="str">
        <f aca="false">IF(OR($B393="",$E393="",$M393=""),"",IF($E393&lt;$M393,0,NETWORKDAYS($M393,$E393,calendar!$A$2:$A$80)))</f>
        <v/>
      </c>
      <c r="O393" s="30" t="str">
        <f aca="false">IF($B393="","",IF(AND($K393="Y",OR($D393="later",$J393="Y")),"Y","N"))</f>
        <v/>
      </c>
      <c r="P393" s="30" t="str">
        <f aca="false">IF(OR($B393="",$E393=""),"",$B393&amp;"_"&amp;$C393&amp;"_"&amp;$D393&amp;"_"&amp;TEXT($E393,"yyyy-mm-dd")&amp;".jpg")</f>
        <v/>
      </c>
      <c r="Q393" s="30" t="str">
        <f aca="false">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30" t="str">
        <f aca="false">IF($B393="","",$B393&amp;"|"&amp;$C393&amp;"|"&amp;$D393&amp;"|"&amp;$O393)</f>
        <v/>
      </c>
      <c r="S393" s="30" t="str">
        <f aca="false">IF($B393="","",$R393&amp;"|"&amp;N($E393))</f>
        <v/>
      </c>
    </row>
    <row r="394" customFormat="false" ht="15" hidden="false" customHeight="false" outlineLevel="0" collapsed="false">
      <c r="D394" s="10"/>
      <c r="E394" s="11"/>
      <c r="F394" s="38"/>
      <c r="G394" s="10"/>
      <c r="I394" s="11"/>
      <c r="J394" s="10"/>
      <c r="K394" s="10"/>
      <c r="M394" s="31" t="str">
        <f aca="false">IF($B394="","",IFERROR(IF(INDEX(campaigns!$BG$2:$BG$51,MATCH($B394,campaigns!$A$2:$A$51,0))="","",INDEX(campaigns!$BG$2:$BG$51,MATCH($B394,campaigns!$A$2:$A$51,0))),""))</f>
        <v/>
      </c>
      <c r="N394" s="30" t="str">
        <f aca="false">IF(OR($B394="",$E394="",$M394=""),"",IF($E394&lt;$M394,0,NETWORKDAYS($M394,$E394,calendar!$A$2:$A$80)))</f>
        <v/>
      </c>
      <c r="O394" s="30" t="str">
        <f aca="false">IF($B394="","",IF(AND($K394="Y",OR($D394="later",$J394="Y")),"Y","N"))</f>
        <v/>
      </c>
      <c r="P394" s="30" t="str">
        <f aca="false">IF(OR($B394="",$E394=""),"",$B394&amp;"_"&amp;$C394&amp;"_"&amp;$D394&amp;"_"&amp;TEXT($E394,"yyyy-mm-dd")&amp;".jpg")</f>
        <v/>
      </c>
      <c r="Q394" s="30" t="str">
        <f aca="false">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30" t="str">
        <f aca="false">IF($B394="","",$B394&amp;"|"&amp;$C394&amp;"|"&amp;$D394&amp;"|"&amp;$O394)</f>
        <v/>
      </c>
      <c r="S394" s="30" t="str">
        <f aca="false">IF($B394="","",$R394&amp;"|"&amp;N($E394))</f>
        <v/>
      </c>
    </row>
    <row r="395" customFormat="false" ht="15" hidden="false" customHeight="false" outlineLevel="0" collapsed="false">
      <c r="D395" s="10"/>
      <c r="E395" s="11"/>
      <c r="F395" s="38"/>
      <c r="G395" s="10"/>
      <c r="I395" s="11"/>
      <c r="J395" s="10"/>
      <c r="K395" s="10"/>
      <c r="M395" s="31" t="str">
        <f aca="false">IF($B395="","",IFERROR(IF(INDEX(campaigns!$BG$2:$BG$51,MATCH($B395,campaigns!$A$2:$A$51,0))="","",INDEX(campaigns!$BG$2:$BG$51,MATCH($B395,campaigns!$A$2:$A$51,0))),""))</f>
        <v/>
      </c>
      <c r="N395" s="30" t="str">
        <f aca="false">IF(OR($B395="",$E395="",$M395=""),"",IF($E395&lt;$M395,0,NETWORKDAYS($M395,$E395,calendar!$A$2:$A$80)))</f>
        <v/>
      </c>
      <c r="O395" s="30" t="str">
        <f aca="false">IF($B395="","",IF(AND($K395="Y",OR($D395="later",$J395="Y")),"Y","N"))</f>
        <v/>
      </c>
      <c r="P395" s="30" t="str">
        <f aca="false">IF(OR($B395="",$E395=""),"",$B395&amp;"_"&amp;$C395&amp;"_"&amp;$D395&amp;"_"&amp;TEXT($E395,"yyyy-mm-dd")&amp;".jpg")</f>
        <v/>
      </c>
      <c r="Q395" s="30" t="str">
        <f aca="false">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30" t="str">
        <f aca="false">IF($B395="","",$B395&amp;"|"&amp;$C395&amp;"|"&amp;$D395&amp;"|"&amp;$O395)</f>
        <v/>
      </c>
      <c r="S395" s="30" t="str">
        <f aca="false">IF($B395="","",$R395&amp;"|"&amp;N($E395))</f>
        <v/>
      </c>
    </row>
    <row r="396" customFormat="false" ht="15" hidden="false" customHeight="false" outlineLevel="0" collapsed="false">
      <c r="D396" s="10"/>
      <c r="E396" s="11"/>
      <c r="F396" s="38"/>
      <c r="G396" s="10"/>
      <c r="I396" s="11"/>
      <c r="J396" s="10"/>
      <c r="K396" s="10"/>
      <c r="M396" s="31" t="str">
        <f aca="false">IF($B396="","",IFERROR(IF(INDEX(campaigns!$BG$2:$BG$51,MATCH($B396,campaigns!$A$2:$A$51,0))="","",INDEX(campaigns!$BG$2:$BG$51,MATCH($B396,campaigns!$A$2:$A$51,0))),""))</f>
        <v/>
      </c>
      <c r="N396" s="30" t="str">
        <f aca="false">IF(OR($B396="",$E396="",$M396=""),"",IF($E396&lt;$M396,0,NETWORKDAYS($M396,$E396,calendar!$A$2:$A$80)))</f>
        <v/>
      </c>
      <c r="O396" s="30" t="str">
        <f aca="false">IF($B396="","",IF(AND($K396="Y",OR($D396="later",$J396="Y")),"Y","N"))</f>
        <v/>
      </c>
      <c r="P396" s="30" t="str">
        <f aca="false">IF(OR($B396="",$E396=""),"",$B396&amp;"_"&amp;$C396&amp;"_"&amp;$D396&amp;"_"&amp;TEXT($E396,"yyyy-mm-dd")&amp;".jpg")</f>
        <v/>
      </c>
      <c r="Q396" s="30" t="str">
        <f aca="false">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30" t="str">
        <f aca="false">IF($B396="","",$B396&amp;"|"&amp;$C396&amp;"|"&amp;$D396&amp;"|"&amp;$O396)</f>
        <v/>
      </c>
      <c r="S396" s="30" t="str">
        <f aca="false">IF($B396="","",$R396&amp;"|"&amp;N($E396))</f>
        <v/>
      </c>
    </row>
    <row r="397" customFormat="false" ht="15" hidden="false" customHeight="false" outlineLevel="0" collapsed="false">
      <c r="D397" s="10"/>
      <c r="E397" s="11"/>
      <c r="F397" s="38"/>
      <c r="G397" s="10"/>
      <c r="I397" s="11"/>
      <c r="J397" s="10"/>
      <c r="K397" s="10"/>
      <c r="M397" s="31" t="str">
        <f aca="false">IF($B397="","",IFERROR(IF(INDEX(campaigns!$BG$2:$BG$51,MATCH($B397,campaigns!$A$2:$A$51,0))="","",INDEX(campaigns!$BG$2:$BG$51,MATCH($B397,campaigns!$A$2:$A$51,0))),""))</f>
        <v/>
      </c>
      <c r="N397" s="30" t="str">
        <f aca="false">IF(OR($B397="",$E397="",$M397=""),"",IF($E397&lt;$M397,0,NETWORKDAYS($M397,$E397,calendar!$A$2:$A$80)))</f>
        <v/>
      </c>
      <c r="O397" s="30" t="str">
        <f aca="false">IF($B397="","",IF(AND($K397="Y",OR($D397="later",$J397="Y")),"Y","N"))</f>
        <v/>
      </c>
      <c r="P397" s="30" t="str">
        <f aca="false">IF(OR($B397="",$E397=""),"",$B397&amp;"_"&amp;$C397&amp;"_"&amp;$D397&amp;"_"&amp;TEXT($E397,"yyyy-mm-dd")&amp;".jpg")</f>
        <v/>
      </c>
      <c r="Q397" s="30" t="str">
        <f aca="false">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30" t="str">
        <f aca="false">IF($B397="","",$B397&amp;"|"&amp;$C397&amp;"|"&amp;$D397&amp;"|"&amp;$O397)</f>
        <v/>
      </c>
      <c r="S397" s="30" t="str">
        <f aca="false">IF($B397="","",$R397&amp;"|"&amp;N($E397))</f>
        <v/>
      </c>
    </row>
    <row r="398" customFormat="false" ht="15" hidden="false" customHeight="false" outlineLevel="0" collapsed="false">
      <c r="D398" s="10"/>
      <c r="E398" s="11"/>
      <c r="F398" s="38"/>
      <c r="G398" s="10"/>
      <c r="I398" s="11"/>
      <c r="J398" s="10"/>
      <c r="K398" s="10"/>
      <c r="M398" s="31" t="str">
        <f aca="false">IF($B398="","",IFERROR(IF(INDEX(campaigns!$BG$2:$BG$51,MATCH($B398,campaigns!$A$2:$A$51,0))="","",INDEX(campaigns!$BG$2:$BG$51,MATCH($B398,campaigns!$A$2:$A$51,0))),""))</f>
        <v/>
      </c>
      <c r="N398" s="30" t="str">
        <f aca="false">IF(OR($B398="",$E398="",$M398=""),"",IF($E398&lt;$M398,0,NETWORKDAYS($M398,$E398,calendar!$A$2:$A$80)))</f>
        <v/>
      </c>
      <c r="O398" s="30" t="str">
        <f aca="false">IF($B398="","",IF(AND($K398="Y",OR($D398="later",$J398="Y")),"Y","N"))</f>
        <v/>
      </c>
      <c r="P398" s="30" t="str">
        <f aca="false">IF(OR($B398="",$E398=""),"",$B398&amp;"_"&amp;$C398&amp;"_"&amp;$D398&amp;"_"&amp;TEXT($E398,"yyyy-mm-dd")&amp;".jpg")</f>
        <v/>
      </c>
      <c r="Q398" s="30" t="str">
        <f aca="false">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30" t="str">
        <f aca="false">IF($B398="","",$B398&amp;"|"&amp;$C398&amp;"|"&amp;$D398&amp;"|"&amp;$O398)</f>
        <v/>
      </c>
      <c r="S398" s="30" t="str">
        <f aca="false">IF($B398="","",$R398&amp;"|"&amp;N($E398))</f>
        <v/>
      </c>
    </row>
    <row r="399" customFormat="false" ht="15" hidden="false" customHeight="false" outlineLevel="0" collapsed="false">
      <c r="D399" s="10"/>
      <c r="E399" s="11"/>
      <c r="F399" s="38"/>
      <c r="G399" s="10"/>
      <c r="I399" s="11"/>
      <c r="J399" s="10"/>
      <c r="K399" s="10"/>
      <c r="M399" s="31" t="str">
        <f aca="false">IF($B399="","",IFERROR(IF(INDEX(campaigns!$BG$2:$BG$51,MATCH($B399,campaigns!$A$2:$A$51,0))="","",INDEX(campaigns!$BG$2:$BG$51,MATCH($B399,campaigns!$A$2:$A$51,0))),""))</f>
        <v/>
      </c>
      <c r="N399" s="30" t="str">
        <f aca="false">IF(OR($B399="",$E399="",$M399=""),"",IF($E399&lt;$M399,0,NETWORKDAYS($M399,$E399,calendar!$A$2:$A$80)))</f>
        <v/>
      </c>
      <c r="O399" s="30" t="str">
        <f aca="false">IF($B399="","",IF(AND($K399="Y",OR($D399="later",$J399="Y")),"Y","N"))</f>
        <v/>
      </c>
      <c r="P399" s="30" t="str">
        <f aca="false">IF(OR($B399="",$E399=""),"",$B399&amp;"_"&amp;$C399&amp;"_"&amp;$D399&amp;"_"&amp;TEXT($E399,"yyyy-mm-dd")&amp;".jpg")</f>
        <v/>
      </c>
      <c r="Q399" s="30" t="str">
        <f aca="false">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30" t="str">
        <f aca="false">IF($B399="","",$B399&amp;"|"&amp;$C399&amp;"|"&amp;$D399&amp;"|"&amp;$O399)</f>
        <v/>
      </c>
      <c r="S399" s="30" t="str">
        <f aca="false">IF($B399="","",$R399&amp;"|"&amp;N($E399))</f>
        <v/>
      </c>
    </row>
    <row r="400" customFormat="false" ht="15" hidden="false" customHeight="false" outlineLevel="0" collapsed="false">
      <c r="D400" s="10"/>
      <c r="E400" s="11"/>
      <c r="F400" s="38"/>
      <c r="G400" s="10"/>
      <c r="I400" s="11"/>
      <c r="J400" s="10"/>
      <c r="K400" s="10"/>
      <c r="M400" s="31" t="str">
        <f aca="false">IF($B400="","",IFERROR(IF(INDEX(campaigns!$BG$2:$BG$51,MATCH($B400,campaigns!$A$2:$A$51,0))="","",INDEX(campaigns!$BG$2:$BG$51,MATCH($B400,campaigns!$A$2:$A$51,0))),""))</f>
        <v/>
      </c>
      <c r="N400" s="30" t="str">
        <f aca="false">IF(OR($B400="",$E400="",$M400=""),"",IF($E400&lt;$M400,0,NETWORKDAYS($M400,$E400,calendar!$A$2:$A$80)))</f>
        <v/>
      </c>
      <c r="O400" s="30" t="str">
        <f aca="false">IF($B400="","",IF(AND($K400="Y",OR($D400="later",$J400="Y")),"Y","N"))</f>
        <v/>
      </c>
      <c r="P400" s="30" t="str">
        <f aca="false">IF(OR($B400="",$E400=""),"",$B400&amp;"_"&amp;$C400&amp;"_"&amp;$D400&amp;"_"&amp;TEXT($E400,"yyyy-mm-dd")&amp;".jpg")</f>
        <v/>
      </c>
      <c r="Q400" s="30" t="str">
        <f aca="false">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30" t="str">
        <f aca="false">IF($B400="","",$B400&amp;"|"&amp;$C400&amp;"|"&amp;$D400&amp;"|"&amp;$O400)</f>
        <v/>
      </c>
      <c r="S400" s="30" t="str">
        <f aca="false">IF($B400="","",$R400&amp;"|"&amp;N($E400))</f>
        <v/>
      </c>
    </row>
    <row r="401" customFormat="false" ht="15" hidden="false" customHeight="false" outlineLevel="0" collapsed="false">
      <c r="D401" s="10"/>
      <c r="E401" s="11"/>
      <c r="F401" s="38"/>
      <c r="G401" s="10"/>
      <c r="I401" s="11"/>
      <c r="J401" s="10"/>
      <c r="K401" s="10"/>
      <c r="M401" s="31" t="str">
        <f aca="false">IF($B401="","",IFERROR(IF(INDEX(campaigns!$BG$2:$BG$51,MATCH($B401,campaigns!$A$2:$A$51,0))="","",INDEX(campaigns!$BG$2:$BG$51,MATCH($B401,campaigns!$A$2:$A$51,0))),""))</f>
        <v/>
      </c>
      <c r="N401" s="30" t="str">
        <f aca="false">IF(OR($B401="",$E401="",$M401=""),"",IF($E401&lt;$M401,0,NETWORKDAYS($M401,$E401,calendar!$A$2:$A$80)))</f>
        <v/>
      </c>
      <c r="O401" s="30" t="str">
        <f aca="false">IF($B401="","",IF(AND($K401="Y",OR($D401="later",$J401="Y")),"Y","N"))</f>
        <v/>
      </c>
      <c r="P401" s="30" t="str">
        <f aca="false">IF(OR($B401="",$E401=""),"",$B401&amp;"_"&amp;$C401&amp;"_"&amp;$D401&amp;"_"&amp;TEXT($E401,"yyyy-mm-dd")&amp;".jpg")</f>
        <v/>
      </c>
      <c r="Q401" s="30" t="str">
        <f aca="false">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30" t="str">
        <f aca="false">IF($B401="","",$B401&amp;"|"&amp;$C401&amp;"|"&amp;$D401&amp;"|"&amp;$O401)</f>
        <v/>
      </c>
      <c r="S401" s="30" t="str">
        <f aca="false">IF($B401="","",$R401&amp;"|"&amp;N($E401))</f>
        <v/>
      </c>
    </row>
    <row r="402" customFormat="false" ht="15" hidden="false" customHeight="false" outlineLevel="0" collapsed="false">
      <c r="D402" s="10"/>
      <c r="E402" s="11"/>
      <c r="F402" s="38"/>
      <c r="G402" s="10"/>
      <c r="I402" s="11"/>
      <c r="J402" s="10"/>
      <c r="K402" s="10"/>
      <c r="M402" s="31" t="str">
        <f aca="false">IF($B402="","",IFERROR(IF(INDEX(campaigns!$BG$2:$BG$51,MATCH($B402,campaigns!$A$2:$A$51,0))="","",INDEX(campaigns!$BG$2:$BG$51,MATCH($B402,campaigns!$A$2:$A$51,0))),""))</f>
        <v/>
      </c>
      <c r="N402" s="30" t="str">
        <f aca="false">IF(OR($B402="",$E402="",$M402=""),"",IF($E402&lt;$M402,0,NETWORKDAYS($M402,$E402,calendar!$A$2:$A$80)))</f>
        <v/>
      </c>
      <c r="O402" s="30" t="str">
        <f aca="false">IF($B402="","",IF(AND($K402="Y",OR($D402="later",$J402="Y")),"Y","N"))</f>
        <v/>
      </c>
      <c r="P402" s="30" t="str">
        <f aca="false">IF(OR($B402="",$E402=""),"",$B402&amp;"_"&amp;$C402&amp;"_"&amp;$D402&amp;"_"&amp;TEXT($E402,"yyyy-mm-dd")&amp;".jpg")</f>
        <v/>
      </c>
      <c r="Q402" s="30" t="str">
        <f aca="false">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30" t="str">
        <f aca="false">IF($B402="","",$B402&amp;"|"&amp;$C402&amp;"|"&amp;$D402&amp;"|"&amp;$O402)</f>
        <v/>
      </c>
      <c r="S402" s="30" t="str">
        <f aca="false">IF($B402="","",$R402&amp;"|"&amp;N($E402))</f>
        <v/>
      </c>
    </row>
    <row r="403" customFormat="false" ht="15" hidden="false" customHeight="false" outlineLevel="0" collapsed="false">
      <c r="D403" s="10"/>
      <c r="E403" s="11"/>
      <c r="F403" s="38"/>
      <c r="G403" s="10"/>
      <c r="I403" s="11"/>
      <c r="J403" s="10"/>
      <c r="K403" s="10"/>
      <c r="M403" s="31" t="str">
        <f aca="false">IF($B403="","",IFERROR(IF(INDEX(campaigns!$BG$2:$BG$51,MATCH($B403,campaigns!$A$2:$A$51,0))="","",INDEX(campaigns!$BG$2:$BG$51,MATCH($B403,campaigns!$A$2:$A$51,0))),""))</f>
        <v/>
      </c>
      <c r="N403" s="30" t="str">
        <f aca="false">IF(OR($B403="",$E403="",$M403=""),"",IF($E403&lt;$M403,0,NETWORKDAYS($M403,$E403,calendar!$A$2:$A$80)))</f>
        <v/>
      </c>
      <c r="O403" s="30" t="str">
        <f aca="false">IF($B403="","",IF(AND($K403="Y",OR($D403="later",$J403="Y")),"Y","N"))</f>
        <v/>
      </c>
      <c r="P403" s="30" t="str">
        <f aca="false">IF(OR($B403="",$E403=""),"",$B403&amp;"_"&amp;$C403&amp;"_"&amp;$D403&amp;"_"&amp;TEXT($E403,"yyyy-mm-dd")&amp;".jpg")</f>
        <v/>
      </c>
      <c r="Q403" s="30" t="str">
        <f aca="false">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30" t="str">
        <f aca="false">IF($B403="","",$B403&amp;"|"&amp;$C403&amp;"|"&amp;$D403&amp;"|"&amp;$O403)</f>
        <v/>
      </c>
      <c r="S403" s="30" t="str">
        <f aca="false">IF($B403="","",$R403&amp;"|"&amp;N($E403))</f>
        <v/>
      </c>
    </row>
    <row r="404" customFormat="false" ht="15" hidden="false" customHeight="false" outlineLevel="0" collapsed="false">
      <c r="D404" s="10"/>
      <c r="E404" s="11"/>
      <c r="F404" s="38"/>
      <c r="G404" s="10"/>
      <c r="I404" s="11"/>
      <c r="J404" s="10"/>
      <c r="K404" s="10"/>
      <c r="M404" s="31" t="str">
        <f aca="false">IF($B404="","",IFERROR(IF(INDEX(campaigns!$BG$2:$BG$51,MATCH($B404,campaigns!$A$2:$A$51,0))="","",INDEX(campaigns!$BG$2:$BG$51,MATCH($B404,campaigns!$A$2:$A$51,0))),""))</f>
        <v/>
      </c>
      <c r="N404" s="30" t="str">
        <f aca="false">IF(OR($B404="",$E404="",$M404=""),"",IF($E404&lt;$M404,0,NETWORKDAYS($M404,$E404,calendar!$A$2:$A$80)))</f>
        <v/>
      </c>
      <c r="O404" s="30" t="str">
        <f aca="false">IF($B404="","",IF(AND($K404="Y",OR($D404="later",$J404="Y")),"Y","N"))</f>
        <v/>
      </c>
      <c r="P404" s="30" t="str">
        <f aca="false">IF(OR($B404="",$E404=""),"",$B404&amp;"_"&amp;$C404&amp;"_"&amp;$D404&amp;"_"&amp;TEXT($E404,"yyyy-mm-dd")&amp;".jpg")</f>
        <v/>
      </c>
      <c r="Q404" s="30" t="str">
        <f aca="false">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30" t="str">
        <f aca="false">IF($B404="","",$B404&amp;"|"&amp;$C404&amp;"|"&amp;$D404&amp;"|"&amp;$O404)</f>
        <v/>
      </c>
      <c r="S404" s="30" t="str">
        <f aca="false">IF($B404="","",$R404&amp;"|"&amp;N($E404))</f>
        <v/>
      </c>
    </row>
    <row r="405" customFormat="false" ht="15" hidden="false" customHeight="false" outlineLevel="0" collapsed="false">
      <c r="D405" s="10"/>
      <c r="E405" s="11"/>
      <c r="F405" s="38"/>
      <c r="G405" s="10"/>
      <c r="I405" s="11"/>
      <c r="J405" s="10"/>
      <c r="K405" s="10"/>
      <c r="M405" s="31" t="str">
        <f aca="false">IF($B405="","",IFERROR(IF(INDEX(campaigns!$BG$2:$BG$51,MATCH($B405,campaigns!$A$2:$A$51,0))="","",INDEX(campaigns!$BG$2:$BG$51,MATCH($B405,campaigns!$A$2:$A$51,0))),""))</f>
        <v/>
      </c>
      <c r="N405" s="30" t="str">
        <f aca="false">IF(OR($B405="",$E405="",$M405=""),"",IF($E405&lt;$M405,0,NETWORKDAYS($M405,$E405,calendar!$A$2:$A$80)))</f>
        <v/>
      </c>
      <c r="O405" s="30" t="str">
        <f aca="false">IF($B405="","",IF(AND($K405="Y",OR($D405="later",$J405="Y")),"Y","N"))</f>
        <v/>
      </c>
      <c r="P405" s="30" t="str">
        <f aca="false">IF(OR($B405="",$E405=""),"",$B405&amp;"_"&amp;$C405&amp;"_"&amp;$D405&amp;"_"&amp;TEXT($E405,"yyyy-mm-dd")&amp;".jpg")</f>
        <v/>
      </c>
      <c r="Q405" s="30" t="str">
        <f aca="false">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30" t="str">
        <f aca="false">IF($B405="","",$B405&amp;"|"&amp;$C405&amp;"|"&amp;$D405&amp;"|"&amp;$O405)</f>
        <v/>
      </c>
      <c r="S405" s="30" t="str">
        <f aca="false">IF($B405="","",$R405&amp;"|"&amp;N($E405))</f>
        <v/>
      </c>
    </row>
    <row r="406" customFormat="false" ht="15" hidden="false" customHeight="false" outlineLevel="0" collapsed="false">
      <c r="D406" s="10"/>
      <c r="E406" s="11"/>
      <c r="F406" s="38"/>
      <c r="G406" s="10"/>
      <c r="I406" s="11"/>
      <c r="J406" s="10"/>
      <c r="K406" s="10"/>
      <c r="M406" s="31" t="str">
        <f aca="false">IF($B406="","",IFERROR(IF(INDEX(campaigns!$BG$2:$BG$51,MATCH($B406,campaigns!$A$2:$A$51,0))="","",INDEX(campaigns!$BG$2:$BG$51,MATCH($B406,campaigns!$A$2:$A$51,0))),""))</f>
        <v/>
      </c>
      <c r="N406" s="30" t="str">
        <f aca="false">IF(OR($B406="",$E406="",$M406=""),"",IF($E406&lt;$M406,0,NETWORKDAYS($M406,$E406,calendar!$A$2:$A$80)))</f>
        <v/>
      </c>
      <c r="O406" s="30" t="str">
        <f aca="false">IF($B406="","",IF(AND($K406="Y",OR($D406="later",$J406="Y")),"Y","N"))</f>
        <v/>
      </c>
      <c r="P406" s="30" t="str">
        <f aca="false">IF(OR($B406="",$E406=""),"",$B406&amp;"_"&amp;$C406&amp;"_"&amp;$D406&amp;"_"&amp;TEXT($E406,"yyyy-mm-dd")&amp;".jpg")</f>
        <v/>
      </c>
      <c r="Q406" s="30" t="str">
        <f aca="false">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30" t="str">
        <f aca="false">IF($B406="","",$B406&amp;"|"&amp;$C406&amp;"|"&amp;$D406&amp;"|"&amp;$O406)</f>
        <v/>
      </c>
      <c r="S406" s="30" t="str">
        <f aca="false">IF($B406="","",$R406&amp;"|"&amp;N($E406))</f>
        <v/>
      </c>
    </row>
    <row r="407" customFormat="false" ht="15" hidden="false" customHeight="false" outlineLevel="0" collapsed="false">
      <c r="D407" s="10"/>
      <c r="E407" s="11"/>
      <c r="F407" s="38"/>
      <c r="G407" s="10"/>
      <c r="I407" s="11"/>
      <c r="J407" s="10"/>
      <c r="K407" s="10"/>
      <c r="M407" s="31" t="str">
        <f aca="false">IF($B407="","",IFERROR(IF(INDEX(campaigns!$BG$2:$BG$51,MATCH($B407,campaigns!$A$2:$A$51,0))="","",INDEX(campaigns!$BG$2:$BG$51,MATCH($B407,campaigns!$A$2:$A$51,0))),""))</f>
        <v/>
      </c>
      <c r="N407" s="30" t="str">
        <f aca="false">IF(OR($B407="",$E407="",$M407=""),"",IF($E407&lt;$M407,0,NETWORKDAYS($M407,$E407,calendar!$A$2:$A$80)))</f>
        <v/>
      </c>
      <c r="O407" s="30" t="str">
        <f aca="false">IF($B407="","",IF(AND($K407="Y",OR($D407="later",$J407="Y")),"Y","N"))</f>
        <v/>
      </c>
      <c r="P407" s="30" t="str">
        <f aca="false">IF(OR($B407="",$E407=""),"",$B407&amp;"_"&amp;$C407&amp;"_"&amp;$D407&amp;"_"&amp;TEXT($E407,"yyyy-mm-dd")&amp;".jpg")</f>
        <v/>
      </c>
      <c r="Q407" s="30" t="str">
        <f aca="false">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30" t="str">
        <f aca="false">IF($B407="","",$B407&amp;"|"&amp;$C407&amp;"|"&amp;$D407&amp;"|"&amp;$O407)</f>
        <v/>
      </c>
      <c r="S407" s="30" t="str">
        <f aca="false">IF($B407="","",$R407&amp;"|"&amp;N($E407))</f>
        <v/>
      </c>
    </row>
    <row r="408" customFormat="false" ht="15" hidden="false" customHeight="false" outlineLevel="0" collapsed="false">
      <c r="D408" s="10"/>
      <c r="E408" s="11"/>
      <c r="F408" s="38"/>
      <c r="G408" s="10"/>
      <c r="I408" s="11"/>
      <c r="J408" s="10"/>
      <c r="K408" s="10"/>
      <c r="M408" s="31" t="str">
        <f aca="false">IF($B408="","",IFERROR(IF(INDEX(campaigns!$BG$2:$BG$51,MATCH($B408,campaigns!$A$2:$A$51,0))="","",INDEX(campaigns!$BG$2:$BG$51,MATCH($B408,campaigns!$A$2:$A$51,0))),""))</f>
        <v/>
      </c>
      <c r="N408" s="30" t="str">
        <f aca="false">IF(OR($B408="",$E408="",$M408=""),"",IF($E408&lt;$M408,0,NETWORKDAYS($M408,$E408,calendar!$A$2:$A$80)))</f>
        <v/>
      </c>
      <c r="O408" s="30" t="str">
        <f aca="false">IF($B408="","",IF(AND($K408="Y",OR($D408="later",$J408="Y")),"Y","N"))</f>
        <v/>
      </c>
      <c r="P408" s="30" t="str">
        <f aca="false">IF(OR($B408="",$E408=""),"",$B408&amp;"_"&amp;$C408&amp;"_"&amp;$D408&amp;"_"&amp;TEXT($E408,"yyyy-mm-dd")&amp;".jpg")</f>
        <v/>
      </c>
      <c r="Q408" s="30" t="str">
        <f aca="false">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30" t="str">
        <f aca="false">IF($B408="","",$B408&amp;"|"&amp;$C408&amp;"|"&amp;$D408&amp;"|"&amp;$O408)</f>
        <v/>
      </c>
      <c r="S408" s="30" t="str">
        <f aca="false">IF($B408="","",$R408&amp;"|"&amp;N($E408))</f>
        <v/>
      </c>
    </row>
    <row r="409" customFormat="false" ht="15" hidden="false" customHeight="false" outlineLevel="0" collapsed="false">
      <c r="D409" s="10"/>
      <c r="E409" s="11"/>
      <c r="F409" s="38"/>
      <c r="G409" s="10"/>
      <c r="I409" s="11"/>
      <c r="J409" s="10"/>
      <c r="K409" s="10"/>
      <c r="M409" s="31" t="str">
        <f aca="false">IF($B409="","",IFERROR(IF(INDEX(campaigns!$BG$2:$BG$51,MATCH($B409,campaigns!$A$2:$A$51,0))="","",INDEX(campaigns!$BG$2:$BG$51,MATCH($B409,campaigns!$A$2:$A$51,0))),""))</f>
        <v/>
      </c>
      <c r="N409" s="30" t="str">
        <f aca="false">IF(OR($B409="",$E409="",$M409=""),"",IF($E409&lt;$M409,0,NETWORKDAYS($M409,$E409,calendar!$A$2:$A$80)))</f>
        <v/>
      </c>
      <c r="O409" s="30" t="str">
        <f aca="false">IF($B409="","",IF(AND($K409="Y",OR($D409="later",$J409="Y")),"Y","N"))</f>
        <v/>
      </c>
      <c r="P409" s="30" t="str">
        <f aca="false">IF(OR($B409="",$E409=""),"",$B409&amp;"_"&amp;$C409&amp;"_"&amp;$D409&amp;"_"&amp;TEXT($E409,"yyyy-mm-dd")&amp;".jpg")</f>
        <v/>
      </c>
      <c r="Q409" s="30" t="str">
        <f aca="false">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30" t="str">
        <f aca="false">IF($B409="","",$B409&amp;"|"&amp;$C409&amp;"|"&amp;$D409&amp;"|"&amp;$O409)</f>
        <v/>
      </c>
      <c r="S409" s="30" t="str">
        <f aca="false">IF($B409="","",$R409&amp;"|"&amp;N($E409))</f>
        <v/>
      </c>
    </row>
    <row r="410" customFormat="false" ht="15" hidden="false" customHeight="false" outlineLevel="0" collapsed="false">
      <c r="D410" s="10"/>
      <c r="E410" s="11"/>
      <c r="F410" s="38"/>
      <c r="G410" s="10"/>
      <c r="I410" s="11"/>
      <c r="J410" s="10"/>
      <c r="K410" s="10"/>
      <c r="M410" s="31" t="str">
        <f aca="false">IF($B410="","",IFERROR(IF(INDEX(campaigns!$BG$2:$BG$51,MATCH($B410,campaigns!$A$2:$A$51,0))="","",INDEX(campaigns!$BG$2:$BG$51,MATCH($B410,campaigns!$A$2:$A$51,0))),""))</f>
        <v/>
      </c>
      <c r="N410" s="30" t="str">
        <f aca="false">IF(OR($B410="",$E410="",$M410=""),"",IF($E410&lt;$M410,0,NETWORKDAYS($M410,$E410,calendar!$A$2:$A$80)))</f>
        <v/>
      </c>
      <c r="O410" s="30" t="str">
        <f aca="false">IF($B410="","",IF(AND($K410="Y",OR($D410="later",$J410="Y")),"Y","N"))</f>
        <v/>
      </c>
      <c r="P410" s="30" t="str">
        <f aca="false">IF(OR($B410="",$E410=""),"",$B410&amp;"_"&amp;$C410&amp;"_"&amp;$D410&amp;"_"&amp;TEXT($E410,"yyyy-mm-dd")&amp;".jpg")</f>
        <v/>
      </c>
      <c r="Q410" s="30" t="str">
        <f aca="false">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30" t="str">
        <f aca="false">IF($B410="","",$B410&amp;"|"&amp;$C410&amp;"|"&amp;$D410&amp;"|"&amp;$O410)</f>
        <v/>
      </c>
      <c r="S410" s="30" t="str">
        <f aca="false">IF($B410="","",$R410&amp;"|"&amp;N($E410))</f>
        <v/>
      </c>
    </row>
    <row r="411" customFormat="false" ht="15" hidden="false" customHeight="false" outlineLevel="0" collapsed="false">
      <c r="D411" s="10"/>
      <c r="E411" s="11"/>
      <c r="F411" s="38"/>
      <c r="G411" s="10"/>
      <c r="I411" s="11"/>
      <c r="J411" s="10"/>
      <c r="K411" s="10"/>
      <c r="M411" s="31" t="str">
        <f aca="false">IF($B411="","",IFERROR(IF(INDEX(campaigns!$BG$2:$BG$51,MATCH($B411,campaigns!$A$2:$A$51,0))="","",INDEX(campaigns!$BG$2:$BG$51,MATCH($B411,campaigns!$A$2:$A$51,0))),""))</f>
        <v/>
      </c>
      <c r="N411" s="30" t="str">
        <f aca="false">IF(OR($B411="",$E411="",$M411=""),"",IF($E411&lt;$M411,0,NETWORKDAYS($M411,$E411,calendar!$A$2:$A$80)))</f>
        <v/>
      </c>
      <c r="O411" s="30" t="str">
        <f aca="false">IF($B411="","",IF(AND($K411="Y",OR($D411="later",$J411="Y")),"Y","N"))</f>
        <v/>
      </c>
      <c r="P411" s="30" t="str">
        <f aca="false">IF(OR($B411="",$E411=""),"",$B411&amp;"_"&amp;$C411&amp;"_"&amp;$D411&amp;"_"&amp;TEXT($E411,"yyyy-mm-dd")&amp;".jpg")</f>
        <v/>
      </c>
      <c r="Q411" s="30" t="str">
        <f aca="false">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30" t="str">
        <f aca="false">IF($B411="","",$B411&amp;"|"&amp;$C411&amp;"|"&amp;$D411&amp;"|"&amp;$O411)</f>
        <v/>
      </c>
      <c r="S411" s="30" t="str">
        <f aca="false">IF($B411="","",$R411&amp;"|"&amp;N($E411))</f>
        <v/>
      </c>
    </row>
    <row r="412" customFormat="false" ht="15" hidden="false" customHeight="false" outlineLevel="0" collapsed="false">
      <c r="D412" s="10"/>
      <c r="E412" s="11"/>
      <c r="F412" s="38"/>
      <c r="G412" s="10"/>
      <c r="I412" s="11"/>
      <c r="J412" s="10"/>
      <c r="K412" s="10"/>
      <c r="M412" s="31" t="str">
        <f aca="false">IF($B412="","",IFERROR(IF(INDEX(campaigns!$BG$2:$BG$51,MATCH($B412,campaigns!$A$2:$A$51,0))="","",INDEX(campaigns!$BG$2:$BG$51,MATCH($B412,campaigns!$A$2:$A$51,0))),""))</f>
        <v/>
      </c>
      <c r="N412" s="30" t="str">
        <f aca="false">IF(OR($B412="",$E412="",$M412=""),"",IF($E412&lt;$M412,0,NETWORKDAYS($M412,$E412,calendar!$A$2:$A$80)))</f>
        <v/>
      </c>
      <c r="O412" s="30" t="str">
        <f aca="false">IF($B412="","",IF(AND($K412="Y",OR($D412="later",$J412="Y")),"Y","N"))</f>
        <v/>
      </c>
      <c r="P412" s="30" t="str">
        <f aca="false">IF(OR($B412="",$E412=""),"",$B412&amp;"_"&amp;$C412&amp;"_"&amp;$D412&amp;"_"&amp;TEXT($E412,"yyyy-mm-dd")&amp;".jpg")</f>
        <v/>
      </c>
      <c r="Q412" s="30" t="str">
        <f aca="false">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30" t="str">
        <f aca="false">IF($B412="","",$B412&amp;"|"&amp;$C412&amp;"|"&amp;$D412&amp;"|"&amp;$O412)</f>
        <v/>
      </c>
      <c r="S412" s="30" t="str">
        <f aca="false">IF($B412="","",$R412&amp;"|"&amp;N($E412))</f>
        <v/>
      </c>
    </row>
    <row r="413" customFormat="false" ht="15" hidden="false" customHeight="false" outlineLevel="0" collapsed="false">
      <c r="D413" s="10"/>
      <c r="E413" s="11"/>
      <c r="F413" s="38"/>
      <c r="G413" s="10"/>
      <c r="I413" s="11"/>
      <c r="J413" s="10"/>
      <c r="K413" s="10"/>
      <c r="M413" s="31" t="str">
        <f aca="false">IF($B413="","",IFERROR(IF(INDEX(campaigns!$BG$2:$BG$51,MATCH($B413,campaigns!$A$2:$A$51,0))="","",INDEX(campaigns!$BG$2:$BG$51,MATCH($B413,campaigns!$A$2:$A$51,0))),""))</f>
        <v/>
      </c>
      <c r="N413" s="30" t="str">
        <f aca="false">IF(OR($B413="",$E413="",$M413=""),"",IF($E413&lt;$M413,0,NETWORKDAYS($M413,$E413,calendar!$A$2:$A$80)))</f>
        <v/>
      </c>
      <c r="O413" s="30" t="str">
        <f aca="false">IF($B413="","",IF(AND($K413="Y",OR($D413="later",$J413="Y")),"Y","N"))</f>
        <v/>
      </c>
      <c r="P413" s="30" t="str">
        <f aca="false">IF(OR($B413="",$E413=""),"",$B413&amp;"_"&amp;$C413&amp;"_"&amp;$D413&amp;"_"&amp;TEXT($E413,"yyyy-mm-dd")&amp;".jpg")</f>
        <v/>
      </c>
      <c r="Q413" s="30" t="str">
        <f aca="false">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30" t="str">
        <f aca="false">IF($B413="","",$B413&amp;"|"&amp;$C413&amp;"|"&amp;$D413&amp;"|"&amp;$O413)</f>
        <v/>
      </c>
      <c r="S413" s="30" t="str">
        <f aca="false">IF($B413="","",$R413&amp;"|"&amp;N($E413))</f>
        <v/>
      </c>
    </row>
    <row r="414" customFormat="false" ht="15" hidden="false" customHeight="false" outlineLevel="0" collapsed="false">
      <c r="D414" s="10"/>
      <c r="E414" s="11"/>
      <c r="F414" s="38"/>
      <c r="G414" s="10"/>
      <c r="I414" s="11"/>
      <c r="J414" s="10"/>
      <c r="K414" s="10"/>
      <c r="M414" s="31" t="str">
        <f aca="false">IF($B414="","",IFERROR(IF(INDEX(campaigns!$BG$2:$BG$51,MATCH($B414,campaigns!$A$2:$A$51,0))="","",INDEX(campaigns!$BG$2:$BG$51,MATCH($B414,campaigns!$A$2:$A$51,0))),""))</f>
        <v/>
      </c>
      <c r="N414" s="30" t="str">
        <f aca="false">IF(OR($B414="",$E414="",$M414=""),"",IF($E414&lt;$M414,0,NETWORKDAYS($M414,$E414,calendar!$A$2:$A$80)))</f>
        <v/>
      </c>
      <c r="O414" s="30" t="str">
        <f aca="false">IF($B414="","",IF(AND($K414="Y",OR($D414="later",$J414="Y")),"Y","N"))</f>
        <v/>
      </c>
      <c r="P414" s="30" t="str">
        <f aca="false">IF(OR($B414="",$E414=""),"",$B414&amp;"_"&amp;$C414&amp;"_"&amp;$D414&amp;"_"&amp;TEXT($E414,"yyyy-mm-dd")&amp;".jpg")</f>
        <v/>
      </c>
      <c r="Q414" s="30" t="str">
        <f aca="false">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30" t="str">
        <f aca="false">IF($B414="","",$B414&amp;"|"&amp;$C414&amp;"|"&amp;$D414&amp;"|"&amp;$O414)</f>
        <v/>
      </c>
      <c r="S414" s="30" t="str">
        <f aca="false">IF($B414="","",$R414&amp;"|"&amp;N($E414))</f>
        <v/>
      </c>
    </row>
    <row r="415" customFormat="false" ht="15" hidden="false" customHeight="false" outlineLevel="0" collapsed="false">
      <c r="D415" s="10"/>
      <c r="E415" s="11"/>
      <c r="F415" s="38"/>
      <c r="G415" s="10"/>
      <c r="I415" s="11"/>
      <c r="J415" s="10"/>
      <c r="K415" s="10"/>
      <c r="M415" s="31" t="str">
        <f aca="false">IF($B415="","",IFERROR(IF(INDEX(campaigns!$BG$2:$BG$51,MATCH($B415,campaigns!$A$2:$A$51,0))="","",INDEX(campaigns!$BG$2:$BG$51,MATCH($B415,campaigns!$A$2:$A$51,0))),""))</f>
        <v/>
      </c>
      <c r="N415" s="30" t="str">
        <f aca="false">IF(OR($B415="",$E415="",$M415=""),"",IF($E415&lt;$M415,0,NETWORKDAYS($M415,$E415,calendar!$A$2:$A$80)))</f>
        <v/>
      </c>
      <c r="O415" s="30" t="str">
        <f aca="false">IF($B415="","",IF(AND($K415="Y",OR($D415="later",$J415="Y")),"Y","N"))</f>
        <v/>
      </c>
      <c r="P415" s="30" t="str">
        <f aca="false">IF(OR($B415="",$E415=""),"",$B415&amp;"_"&amp;$C415&amp;"_"&amp;$D415&amp;"_"&amp;TEXT($E415,"yyyy-mm-dd")&amp;".jpg")</f>
        <v/>
      </c>
      <c r="Q415" s="30" t="str">
        <f aca="false">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30" t="str">
        <f aca="false">IF($B415="","",$B415&amp;"|"&amp;$C415&amp;"|"&amp;$D415&amp;"|"&amp;$O415)</f>
        <v/>
      </c>
      <c r="S415" s="30" t="str">
        <f aca="false">IF($B415="","",$R415&amp;"|"&amp;N($E415))</f>
        <v/>
      </c>
    </row>
    <row r="416" customFormat="false" ht="15" hidden="false" customHeight="false" outlineLevel="0" collapsed="false">
      <c r="D416" s="10"/>
      <c r="E416" s="11"/>
      <c r="F416" s="38"/>
      <c r="G416" s="10"/>
      <c r="I416" s="11"/>
      <c r="J416" s="10"/>
      <c r="K416" s="10"/>
      <c r="M416" s="31" t="str">
        <f aca="false">IF($B416="","",IFERROR(IF(INDEX(campaigns!$BG$2:$BG$51,MATCH($B416,campaigns!$A$2:$A$51,0))="","",INDEX(campaigns!$BG$2:$BG$51,MATCH($B416,campaigns!$A$2:$A$51,0))),""))</f>
        <v/>
      </c>
      <c r="N416" s="30" t="str">
        <f aca="false">IF(OR($B416="",$E416="",$M416=""),"",IF($E416&lt;$M416,0,NETWORKDAYS($M416,$E416,calendar!$A$2:$A$80)))</f>
        <v/>
      </c>
      <c r="O416" s="30" t="str">
        <f aca="false">IF($B416="","",IF(AND($K416="Y",OR($D416="later",$J416="Y")),"Y","N"))</f>
        <v/>
      </c>
      <c r="P416" s="30" t="str">
        <f aca="false">IF(OR($B416="",$E416=""),"",$B416&amp;"_"&amp;$C416&amp;"_"&amp;$D416&amp;"_"&amp;TEXT($E416,"yyyy-mm-dd")&amp;".jpg")</f>
        <v/>
      </c>
      <c r="Q416" s="30" t="str">
        <f aca="false">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30" t="str">
        <f aca="false">IF($B416="","",$B416&amp;"|"&amp;$C416&amp;"|"&amp;$D416&amp;"|"&amp;$O416)</f>
        <v/>
      </c>
      <c r="S416" s="30" t="str">
        <f aca="false">IF($B416="","",$R416&amp;"|"&amp;N($E416))</f>
        <v/>
      </c>
    </row>
    <row r="417" customFormat="false" ht="15" hidden="false" customHeight="false" outlineLevel="0" collapsed="false">
      <c r="D417" s="10"/>
      <c r="E417" s="11"/>
      <c r="F417" s="38"/>
      <c r="G417" s="10"/>
      <c r="I417" s="11"/>
      <c r="J417" s="10"/>
      <c r="K417" s="10"/>
      <c r="M417" s="31" t="str">
        <f aca="false">IF($B417="","",IFERROR(IF(INDEX(campaigns!$BG$2:$BG$51,MATCH($B417,campaigns!$A$2:$A$51,0))="","",INDEX(campaigns!$BG$2:$BG$51,MATCH($B417,campaigns!$A$2:$A$51,0))),""))</f>
        <v/>
      </c>
      <c r="N417" s="30" t="str">
        <f aca="false">IF(OR($B417="",$E417="",$M417=""),"",IF($E417&lt;$M417,0,NETWORKDAYS($M417,$E417,calendar!$A$2:$A$80)))</f>
        <v/>
      </c>
      <c r="O417" s="30" t="str">
        <f aca="false">IF($B417="","",IF(AND($K417="Y",OR($D417="later",$J417="Y")),"Y","N"))</f>
        <v/>
      </c>
      <c r="P417" s="30" t="str">
        <f aca="false">IF(OR($B417="",$E417=""),"",$B417&amp;"_"&amp;$C417&amp;"_"&amp;$D417&amp;"_"&amp;TEXT($E417,"yyyy-mm-dd")&amp;".jpg")</f>
        <v/>
      </c>
      <c r="Q417" s="30" t="str">
        <f aca="false">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30" t="str">
        <f aca="false">IF($B417="","",$B417&amp;"|"&amp;$C417&amp;"|"&amp;$D417&amp;"|"&amp;$O417)</f>
        <v/>
      </c>
      <c r="S417" s="30" t="str">
        <f aca="false">IF($B417="","",$R417&amp;"|"&amp;N($E417))</f>
        <v/>
      </c>
    </row>
    <row r="418" customFormat="false" ht="15" hidden="false" customHeight="false" outlineLevel="0" collapsed="false">
      <c r="D418" s="10"/>
      <c r="E418" s="11"/>
      <c r="F418" s="38"/>
      <c r="G418" s="10"/>
      <c r="I418" s="11"/>
      <c r="J418" s="10"/>
      <c r="K418" s="10"/>
      <c r="M418" s="31" t="str">
        <f aca="false">IF($B418="","",IFERROR(IF(INDEX(campaigns!$BG$2:$BG$51,MATCH($B418,campaigns!$A$2:$A$51,0))="","",INDEX(campaigns!$BG$2:$BG$51,MATCH($B418,campaigns!$A$2:$A$51,0))),""))</f>
        <v/>
      </c>
      <c r="N418" s="30" t="str">
        <f aca="false">IF(OR($B418="",$E418="",$M418=""),"",IF($E418&lt;$M418,0,NETWORKDAYS($M418,$E418,calendar!$A$2:$A$80)))</f>
        <v/>
      </c>
      <c r="O418" s="30" t="str">
        <f aca="false">IF($B418="","",IF(AND($K418="Y",OR($D418="later",$J418="Y")),"Y","N"))</f>
        <v/>
      </c>
      <c r="P418" s="30" t="str">
        <f aca="false">IF(OR($B418="",$E418=""),"",$B418&amp;"_"&amp;$C418&amp;"_"&amp;$D418&amp;"_"&amp;TEXT($E418,"yyyy-mm-dd")&amp;".jpg")</f>
        <v/>
      </c>
      <c r="Q418" s="30" t="str">
        <f aca="false">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30" t="str">
        <f aca="false">IF($B418="","",$B418&amp;"|"&amp;$C418&amp;"|"&amp;$D418&amp;"|"&amp;$O418)</f>
        <v/>
      </c>
      <c r="S418" s="30" t="str">
        <f aca="false">IF($B418="","",$R418&amp;"|"&amp;N($E418))</f>
        <v/>
      </c>
    </row>
    <row r="419" customFormat="false" ht="15" hidden="false" customHeight="false" outlineLevel="0" collapsed="false">
      <c r="D419" s="10"/>
      <c r="E419" s="11"/>
      <c r="F419" s="38"/>
      <c r="G419" s="10"/>
      <c r="I419" s="11"/>
      <c r="J419" s="10"/>
      <c r="K419" s="10"/>
      <c r="M419" s="31" t="str">
        <f aca="false">IF($B419="","",IFERROR(IF(INDEX(campaigns!$BG$2:$BG$51,MATCH($B419,campaigns!$A$2:$A$51,0))="","",INDEX(campaigns!$BG$2:$BG$51,MATCH($B419,campaigns!$A$2:$A$51,0))),""))</f>
        <v/>
      </c>
      <c r="N419" s="30" t="str">
        <f aca="false">IF(OR($B419="",$E419="",$M419=""),"",IF($E419&lt;$M419,0,NETWORKDAYS($M419,$E419,calendar!$A$2:$A$80)))</f>
        <v/>
      </c>
      <c r="O419" s="30" t="str">
        <f aca="false">IF($B419="","",IF(AND($K419="Y",OR($D419="later",$J419="Y")),"Y","N"))</f>
        <v/>
      </c>
      <c r="P419" s="30" t="str">
        <f aca="false">IF(OR($B419="",$E419=""),"",$B419&amp;"_"&amp;$C419&amp;"_"&amp;$D419&amp;"_"&amp;TEXT($E419,"yyyy-mm-dd")&amp;".jpg")</f>
        <v/>
      </c>
      <c r="Q419" s="30" t="str">
        <f aca="false">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30" t="str">
        <f aca="false">IF($B419="","",$B419&amp;"|"&amp;$C419&amp;"|"&amp;$D419&amp;"|"&amp;$O419)</f>
        <v/>
      </c>
      <c r="S419" s="30" t="str">
        <f aca="false">IF($B419="","",$R419&amp;"|"&amp;N($E419))</f>
        <v/>
      </c>
    </row>
    <row r="420" customFormat="false" ht="15" hidden="false" customHeight="false" outlineLevel="0" collapsed="false">
      <c r="D420" s="10"/>
      <c r="E420" s="11"/>
      <c r="F420" s="38"/>
      <c r="G420" s="10"/>
      <c r="I420" s="11"/>
      <c r="J420" s="10"/>
      <c r="K420" s="10"/>
      <c r="M420" s="31" t="str">
        <f aca="false">IF($B420="","",IFERROR(IF(INDEX(campaigns!$BG$2:$BG$51,MATCH($B420,campaigns!$A$2:$A$51,0))="","",INDEX(campaigns!$BG$2:$BG$51,MATCH($B420,campaigns!$A$2:$A$51,0))),""))</f>
        <v/>
      </c>
      <c r="N420" s="30" t="str">
        <f aca="false">IF(OR($B420="",$E420="",$M420=""),"",IF($E420&lt;$M420,0,NETWORKDAYS($M420,$E420,calendar!$A$2:$A$80)))</f>
        <v/>
      </c>
      <c r="O420" s="30" t="str">
        <f aca="false">IF($B420="","",IF(AND($K420="Y",OR($D420="later",$J420="Y")),"Y","N"))</f>
        <v/>
      </c>
      <c r="P420" s="30" t="str">
        <f aca="false">IF(OR($B420="",$E420=""),"",$B420&amp;"_"&amp;$C420&amp;"_"&amp;$D420&amp;"_"&amp;TEXT($E420,"yyyy-mm-dd")&amp;".jpg")</f>
        <v/>
      </c>
      <c r="Q420" s="30" t="str">
        <f aca="false">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30" t="str">
        <f aca="false">IF($B420="","",$B420&amp;"|"&amp;$C420&amp;"|"&amp;$D420&amp;"|"&amp;$O420)</f>
        <v/>
      </c>
      <c r="S420" s="30" t="str">
        <f aca="false">IF($B420="","",$R420&amp;"|"&amp;N($E420))</f>
        <v/>
      </c>
    </row>
    <row r="421" customFormat="false" ht="15" hidden="false" customHeight="false" outlineLevel="0" collapsed="false">
      <c r="D421" s="10"/>
      <c r="E421" s="11"/>
      <c r="F421" s="38"/>
      <c r="G421" s="10"/>
      <c r="I421" s="11"/>
      <c r="J421" s="10"/>
      <c r="K421" s="10"/>
      <c r="M421" s="31" t="str">
        <f aca="false">IF($B421="","",IFERROR(IF(INDEX(campaigns!$BG$2:$BG$51,MATCH($B421,campaigns!$A$2:$A$51,0))="","",INDEX(campaigns!$BG$2:$BG$51,MATCH($B421,campaigns!$A$2:$A$51,0))),""))</f>
        <v/>
      </c>
      <c r="N421" s="30" t="str">
        <f aca="false">IF(OR($B421="",$E421="",$M421=""),"",IF($E421&lt;$M421,0,NETWORKDAYS($M421,$E421,calendar!$A$2:$A$80)))</f>
        <v/>
      </c>
      <c r="O421" s="30" t="str">
        <f aca="false">IF($B421="","",IF(AND($K421="Y",OR($D421="later",$J421="Y")),"Y","N"))</f>
        <v/>
      </c>
      <c r="P421" s="30" t="str">
        <f aca="false">IF(OR($B421="",$E421=""),"",$B421&amp;"_"&amp;$C421&amp;"_"&amp;$D421&amp;"_"&amp;TEXT($E421,"yyyy-mm-dd")&amp;".jpg")</f>
        <v/>
      </c>
      <c r="Q421" s="30" t="str">
        <f aca="false">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30" t="str">
        <f aca="false">IF($B421="","",$B421&amp;"|"&amp;$C421&amp;"|"&amp;$D421&amp;"|"&amp;$O421)</f>
        <v/>
      </c>
      <c r="S421" s="30" t="str">
        <f aca="false">IF($B421="","",$R421&amp;"|"&amp;N($E421))</f>
        <v/>
      </c>
    </row>
    <row r="422" customFormat="false" ht="15" hidden="false" customHeight="false" outlineLevel="0" collapsed="false">
      <c r="D422" s="10"/>
      <c r="E422" s="11"/>
      <c r="F422" s="38"/>
      <c r="G422" s="10"/>
      <c r="I422" s="11"/>
      <c r="J422" s="10"/>
      <c r="K422" s="10"/>
      <c r="M422" s="31" t="str">
        <f aca="false">IF($B422="","",IFERROR(IF(INDEX(campaigns!$BG$2:$BG$51,MATCH($B422,campaigns!$A$2:$A$51,0))="","",INDEX(campaigns!$BG$2:$BG$51,MATCH($B422,campaigns!$A$2:$A$51,0))),""))</f>
        <v/>
      </c>
      <c r="N422" s="30" t="str">
        <f aca="false">IF(OR($B422="",$E422="",$M422=""),"",IF($E422&lt;$M422,0,NETWORKDAYS($M422,$E422,calendar!$A$2:$A$80)))</f>
        <v/>
      </c>
      <c r="O422" s="30" t="str">
        <f aca="false">IF($B422="","",IF(AND($K422="Y",OR($D422="later",$J422="Y")),"Y","N"))</f>
        <v/>
      </c>
      <c r="P422" s="30" t="str">
        <f aca="false">IF(OR($B422="",$E422=""),"",$B422&amp;"_"&amp;$C422&amp;"_"&amp;$D422&amp;"_"&amp;TEXT($E422,"yyyy-mm-dd")&amp;".jpg")</f>
        <v/>
      </c>
      <c r="Q422" s="30" t="str">
        <f aca="false">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30" t="str">
        <f aca="false">IF($B422="","",$B422&amp;"|"&amp;$C422&amp;"|"&amp;$D422&amp;"|"&amp;$O422)</f>
        <v/>
      </c>
      <c r="S422" s="30" t="str">
        <f aca="false">IF($B422="","",$R422&amp;"|"&amp;N($E422))</f>
        <v/>
      </c>
    </row>
    <row r="423" customFormat="false" ht="15" hidden="false" customHeight="false" outlineLevel="0" collapsed="false">
      <c r="D423" s="10"/>
      <c r="E423" s="11"/>
      <c r="F423" s="38"/>
      <c r="G423" s="10"/>
      <c r="I423" s="11"/>
      <c r="J423" s="10"/>
      <c r="K423" s="10"/>
      <c r="M423" s="31" t="str">
        <f aca="false">IF($B423="","",IFERROR(IF(INDEX(campaigns!$BG$2:$BG$51,MATCH($B423,campaigns!$A$2:$A$51,0))="","",INDEX(campaigns!$BG$2:$BG$51,MATCH($B423,campaigns!$A$2:$A$51,0))),""))</f>
        <v/>
      </c>
      <c r="N423" s="30" t="str">
        <f aca="false">IF(OR($B423="",$E423="",$M423=""),"",IF($E423&lt;$M423,0,NETWORKDAYS($M423,$E423,calendar!$A$2:$A$80)))</f>
        <v/>
      </c>
      <c r="O423" s="30" t="str">
        <f aca="false">IF($B423="","",IF(AND($K423="Y",OR($D423="later",$J423="Y")),"Y","N"))</f>
        <v/>
      </c>
      <c r="P423" s="30" t="str">
        <f aca="false">IF(OR($B423="",$E423=""),"",$B423&amp;"_"&amp;$C423&amp;"_"&amp;$D423&amp;"_"&amp;TEXT($E423,"yyyy-mm-dd")&amp;".jpg")</f>
        <v/>
      </c>
      <c r="Q423" s="30" t="str">
        <f aca="false">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30" t="str">
        <f aca="false">IF($B423="","",$B423&amp;"|"&amp;$C423&amp;"|"&amp;$D423&amp;"|"&amp;$O423)</f>
        <v/>
      </c>
      <c r="S423" s="30" t="str">
        <f aca="false">IF($B423="","",$R423&amp;"|"&amp;N($E423))</f>
        <v/>
      </c>
    </row>
    <row r="424" customFormat="false" ht="15" hidden="false" customHeight="false" outlineLevel="0" collapsed="false">
      <c r="D424" s="10"/>
      <c r="E424" s="11"/>
      <c r="F424" s="38"/>
      <c r="G424" s="10"/>
      <c r="I424" s="11"/>
      <c r="J424" s="10"/>
      <c r="K424" s="10"/>
      <c r="M424" s="31" t="str">
        <f aca="false">IF($B424="","",IFERROR(IF(INDEX(campaigns!$BG$2:$BG$51,MATCH($B424,campaigns!$A$2:$A$51,0))="","",INDEX(campaigns!$BG$2:$BG$51,MATCH($B424,campaigns!$A$2:$A$51,0))),""))</f>
        <v/>
      </c>
      <c r="N424" s="30" t="str">
        <f aca="false">IF(OR($B424="",$E424="",$M424=""),"",IF($E424&lt;$M424,0,NETWORKDAYS($M424,$E424,calendar!$A$2:$A$80)))</f>
        <v/>
      </c>
      <c r="O424" s="30" t="str">
        <f aca="false">IF($B424="","",IF(AND($K424="Y",OR($D424="later",$J424="Y")),"Y","N"))</f>
        <v/>
      </c>
      <c r="P424" s="30" t="str">
        <f aca="false">IF(OR($B424="",$E424=""),"",$B424&amp;"_"&amp;$C424&amp;"_"&amp;$D424&amp;"_"&amp;TEXT($E424,"yyyy-mm-dd")&amp;".jpg")</f>
        <v/>
      </c>
      <c r="Q424" s="30" t="str">
        <f aca="false">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30" t="str">
        <f aca="false">IF($B424="","",$B424&amp;"|"&amp;$C424&amp;"|"&amp;$D424&amp;"|"&amp;$O424)</f>
        <v/>
      </c>
      <c r="S424" s="30" t="str">
        <f aca="false">IF($B424="","",$R424&amp;"|"&amp;N($E424))</f>
        <v/>
      </c>
    </row>
    <row r="425" customFormat="false" ht="15" hidden="false" customHeight="false" outlineLevel="0" collapsed="false">
      <c r="D425" s="10"/>
      <c r="E425" s="11"/>
      <c r="F425" s="38"/>
      <c r="G425" s="10"/>
      <c r="I425" s="11"/>
      <c r="J425" s="10"/>
      <c r="K425" s="10"/>
      <c r="M425" s="31" t="str">
        <f aca="false">IF($B425="","",IFERROR(IF(INDEX(campaigns!$BG$2:$BG$51,MATCH($B425,campaigns!$A$2:$A$51,0))="","",INDEX(campaigns!$BG$2:$BG$51,MATCH($B425,campaigns!$A$2:$A$51,0))),""))</f>
        <v/>
      </c>
      <c r="N425" s="30" t="str">
        <f aca="false">IF(OR($B425="",$E425="",$M425=""),"",IF($E425&lt;$M425,0,NETWORKDAYS($M425,$E425,calendar!$A$2:$A$80)))</f>
        <v/>
      </c>
      <c r="O425" s="30" t="str">
        <f aca="false">IF($B425="","",IF(AND($K425="Y",OR($D425="later",$J425="Y")),"Y","N"))</f>
        <v/>
      </c>
      <c r="P425" s="30" t="str">
        <f aca="false">IF(OR($B425="",$E425=""),"",$B425&amp;"_"&amp;$C425&amp;"_"&amp;$D425&amp;"_"&amp;TEXT($E425,"yyyy-mm-dd")&amp;".jpg")</f>
        <v/>
      </c>
      <c r="Q425" s="30" t="str">
        <f aca="false">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30" t="str">
        <f aca="false">IF($B425="","",$B425&amp;"|"&amp;$C425&amp;"|"&amp;$D425&amp;"|"&amp;$O425)</f>
        <v/>
      </c>
      <c r="S425" s="30" t="str">
        <f aca="false">IF($B425="","",$R425&amp;"|"&amp;N($E425))</f>
        <v/>
      </c>
    </row>
    <row r="426" customFormat="false" ht="15" hidden="false" customHeight="false" outlineLevel="0" collapsed="false">
      <c r="D426" s="10"/>
      <c r="E426" s="11"/>
      <c r="F426" s="38"/>
      <c r="G426" s="10"/>
      <c r="I426" s="11"/>
      <c r="J426" s="10"/>
      <c r="K426" s="10"/>
      <c r="M426" s="31" t="str">
        <f aca="false">IF($B426="","",IFERROR(IF(INDEX(campaigns!$BG$2:$BG$51,MATCH($B426,campaigns!$A$2:$A$51,0))="","",INDEX(campaigns!$BG$2:$BG$51,MATCH($B426,campaigns!$A$2:$A$51,0))),""))</f>
        <v/>
      </c>
      <c r="N426" s="30" t="str">
        <f aca="false">IF(OR($B426="",$E426="",$M426=""),"",IF($E426&lt;$M426,0,NETWORKDAYS($M426,$E426,calendar!$A$2:$A$80)))</f>
        <v/>
      </c>
      <c r="O426" s="30" t="str">
        <f aca="false">IF($B426="","",IF(AND($K426="Y",OR($D426="later",$J426="Y")),"Y","N"))</f>
        <v/>
      </c>
      <c r="P426" s="30" t="str">
        <f aca="false">IF(OR($B426="",$E426=""),"",$B426&amp;"_"&amp;$C426&amp;"_"&amp;$D426&amp;"_"&amp;TEXT($E426,"yyyy-mm-dd")&amp;".jpg")</f>
        <v/>
      </c>
      <c r="Q426" s="30" t="str">
        <f aca="false">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30" t="str">
        <f aca="false">IF($B426="","",$B426&amp;"|"&amp;$C426&amp;"|"&amp;$D426&amp;"|"&amp;$O426)</f>
        <v/>
      </c>
      <c r="S426" s="30" t="str">
        <f aca="false">IF($B426="","",$R426&amp;"|"&amp;N($E426))</f>
        <v/>
      </c>
    </row>
    <row r="427" customFormat="false" ht="15" hidden="false" customHeight="false" outlineLevel="0" collapsed="false">
      <c r="D427" s="10"/>
      <c r="E427" s="11"/>
      <c r="F427" s="38"/>
      <c r="G427" s="10"/>
      <c r="I427" s="11"/>
      <c r="J427" s="10"/>
      <c r="K427" s="10"/>
      <c r="M427" s="31" t="str">
        <f aca="false">IF($B427="","",IFERROR(IF(INDEX(campaigns!$BG$2:$BG$51,MATCH($B427,campaigns!$A$2:$A$51,0))="","",INDEX(campaigns!$BG$2:$BG$51,MATCH($B427,campaigns!$A$2:$A$51,0))),""))</f>
        <v/>
      </c>
      <c r="N427" s="30" t="str">
        <f aca="false">IF(OR($B427="",$E427="",$M427=""),"",IF($E427&lt;$M427,0,NETWORKDAYS($M427,$E427,calendar!$A$2:$A$80)))</f>
        <v/>
      </c>
      <c r="O427" s="30" t="str">
        <f aca="false">IF($B427="","",IF(AND($K427="Y",OR($D427="later",$J427="Y")),"Y","N"))</f>
        <v/>
      </c>
      <c r="P427" s="30" t="str">
        <f aca="false">IF(OR($B427="",$E427=""),"",$B427&amp;"_"&amp;$C427&amp;"_"&amp;$D427&amp;"_"&amp;TEXT($E427,"yyyy-mm-dd")&amp;".jpg")</f>
        <v/>
      </c>
      <c r="Q427" s="30" t="str">
        <f aca="false">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30" t="str">
        <f aca="false">IF($B427="","",$B427&amp;"|"&amp;$C427&amp;"|"&amp;$D427&amp;"|"&amp;$O427)</f>
        <v/>
      </c>
      <c r="S427" s="30" t="str">
        <f aca="false">IF($B427="","",$R427&amp;"|"&amp;N($E427))</f>
        <v/>
      </c>
    </row>
    <row r="428" customFormat="false" ht="15" hidden="false" customHeight="false" outlineLevel="0" collapsed="false">
      <c r="D428" s="10"/>
      <c r="E428" s="11"/>
      <c r="F428" s="38"/>
      <c r="G428" s="10"/>
      <c r="I428" s="11"/>
      <c r="J428" s="10"/>
      <c r="K428" s="10"/>
      <c r="M428" s="31" t="str">
        <f aca="false">IF($B428="","",IFERROR(IF(INDEX(campaigns!$BG$2:$BG$51,MATCH($B428,campaigns!$A$2:$A$51,0))="","",INDEX(campaigns!$BG$2:$BG$51,MATCH($B428,campaigns!$A$2:$A$51,0))),""))</f>
        <v/>
      </c>
      <c r="N428" s="30" t="str">
        <f aca="false">IF(OR($B428="",$E428="",$M428=""),"",IF($E428&lt;$M428,0,NETWORKDAYS($M428,$E428,calendar!$A$2:$A$80)))</f>
        <v/>
      </c>
      <c r="O428" s="30" t="str">
        <f aca="false">IF($B428="","",IF(AND($K428="Y",OR($D428="later",$J428="Y")),"Y","N"))</f>
        <v/>
      </c>
      <c r="P428" s="30" t="str">
        <f aca="false">IF(OR($B428="",$E428=""),"",$B428&amp;"_"&amp;$C428&amp;"_"&amp;$D428&amp;"_"&amp;TEXT($E428,"yyyy-mm-dd")&amp;".jpg")</f>
        <v/>
      </c>
      <c r="Q428" s="30" t="str">
        <f aca="false">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30" t="str">
        <f aca="false">IF($B428="","",$B428&amp;"|"&amp;$C428&amp;"|"&amp;$D428&amp;"|"&amp;$O428)</f>
        <v/>
      </c>
      <c r="S428" s="30" t="str">
        <f aca="false">IF($B428="","",$R428&amp;"|"&amp;N($E428))</f>
        <v/>
      </c>
    </row>
    <row r="429" customFormat="false" ht="15" hidden="false" customHeight="false" outlineLevel="0" collapsed="false">
      <c r="D429" s="10"/>
      <c r="E429" s="11"/>
      <c r="F429" s="38"/>
      <c r="G429" s="10"/>
      <c r="I429" s="11"/>
      <c r="J429" s="10"/>
      <c r="K429" s="10"/>
      <c r="M429" s="31" t="str">
        <f aca="false">IF($B429="","",IFERROR(IF(INDEX(campaigns!$BG$2:$BG$51,MATCH($B429,campaigns!$A$2:$A$51,0))="","",INDEX(campaigns!$BG$2:$BG$51,MATCH($B429,campaigns!$A$2:$A$51,0))),""))</f>
        <v/>
      </c>
      <c r="N429" s="30" t="str">
        <f aca="false">IF(OR($B429="",$E429="",$M429=""),"",IF($E429&lt;$M429,0,NETWORKDAYS($M429,$E429,calendar!$A$2:$A$80)))</f>
        <v/>
      </c>
      <c r="O429" s="30" t="str">
        <f aca="false">IF($B429="","",IF(AND($K429="Y",OR($D429="later",$J429="Y")),"Y","N"))</f>
        <v/>
      </c>
      <c r="P429" s="30" t="str">
        <f aca="false">IF(OR($B429="",$E429=""),"",$B429&amp;"_"&amp;$C429&amp;"_"&amp;$D429&amp;"_"&amp;TEXT($E429,"yyyy-mm-dd")&amp;".jpg")</f>
        <v/>
      </c>
      <c r="Q429" s="30" t="str">
        <f aca="false">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30" t="str">
        <f aca="false">IF($B429="","",$B429&amp;"|"&amp;$C429&amp;"|"&amp;$D429&amp;"|"&amp;$O429)</f>
        <v/>
      </c>
      <c r="S429" s="30" t="str">
        <f aca="false">IF($B429="","",$R429&amp;"|"&amp;N($E429))</f>
        <v/>
      </c>
    </row>
    <row r="430" customFormat="false" ht="15" hidden="false" customHeight="false" outlineLevel="0" collapsed="false">
      <c r="D430" s="10"/>
      <c r="E430" s="11"/>
      <c r="F430" s="38"/>
      <c r="G430" s="10"/>
      <c r="I430" s="11"/>
      <c r="J430" s="10"/>
      <c r="K430" s="10"/>
      <c r="M430" s="31" t="str">
        <f aca="false">IF($B430="","",IFERROR(IF(INDEX(campaigns!$BG$2:$BG$51,MATCH($B430,campaigns!$A$2:$A$51,0))="","",INDEX(campaigns!$BG$2:$BG$51,MATCH($B430,campaigns!$A$2:$A$51,0))),""))</f>
        <v/>
      </c>
      <c r="N430" s="30" t="str">
        <f aca="false">IF(OR($B430="",$E430="",$M430=""),"",IF($E430&lt;$M430,0,NETWORKDAYS($M430,$E430,calendar!$A$2:$A$80)))</f>
        <v/>
      </c>
      <c r="O430" s="30" t="str">
        <f aca="false">IF($B430="","",IF(AND($K430="Y",OR($D430="later",$J430="Y")),"Y","N"))</f>
        <v/>
      </c>
      <c r="P430" s="30" t="str">
        <f aca="false">IF(OR($B430="",$E430=""),"",$B430&amp;"_"&amp;$C430&amp;"_"&amp;$D430&amp;"_"&amp;TEXT($E430,"yyyy-mm-dd")&amp;".jpg")</f>
        <v/>
      </c>
      <c r="Q430" s="30" t="str">
        <f aca="false">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30" t="str">
        <f aca="false">IF($B430="","",$B430&amp;"|"&amp;$C430&amp;"|"&amp;$D430&amp;"|"&amp;$O430)</f>
        <v/>
      </c>
      <c r="S430" s="30" t="str">
        <f aca="false">IF($B430="","",$R430&amp;"|"&amp;N($E430))</f>
        <v/>
      </c>
    </row>
    <row r="431" customFormat="false" ht="15" hidden="false" customHeight="false" outlineLevel="0" collapsed="false">
      <c r="D431" s="10"/>
      <c r="E431" s="11"/>
      <c r="F431" s="38"/>
      <c r="G431" s="10"/>
      <c r="I431" s="11"/>
      <c r="J431" s="10"/>
      <c r="K431" s="10"/>
      <c r="M431" s="31" t="str">
        <f aca="false">IF($B431="","",IFERROR(IF(INDEX(campaigns!$BG$2:$BG$51,MATCH($B431,campaigns!$A$2:$A$51,0))="","",INDEX(campaigns!$BG$2:$BG$51,MATCH($B431,campaigns!$A$2:$A$51,0))),""))</f>
        <v/>
      </c>
      <c r="N431" s="30" t="str">
        <f aca="false">IF(OR($B431="",$E431="",$M431=""),"",IF($E431&lt;$M431,0,NETWORKDAYS($M431,$E431,calendar!$A$2:$A$80)))</f>
        <v/>
      </c>
      <c r="O431" s="30" t="str">
        <f aca="false">IF($B431="","",IF(AND($K431="Y",OR($D431="later",$J431="Y")),"Y","N"))</f>
        <v/>
      </c>
      <c r="P431" s="30" t="str">
        <f aca="false">IF(OR($B431="",$E431=""),"",$B431&amp;"_"&amp;$C431&amp;"_"&amp;$D431&amp;"_"&amp;TEXT($E431,"yyyy-mm-dd")&amp;".jpg")</f>
        <v/>
      </c>
      <c r="Q431" s="30" t="str">
        <f aca="false">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30" t="str">
        <f aca="false">IF($B431="","",$B431&amp;"|"&amp;$C431&amp;"|"&amp;$D431&amp;"|"&amp;$O431)</f>
        <v/>
      </c>
      <c r="S431" s="30" t="str">
        <f aca="false">IF($B431="","",$R431&amp;"|"&amp;N($E431))</f>
        <v/>
      </c>
    </row>
    <row r="432" customFormat="false" ht="15" hidden="false" customHeight="false" outlineLevel="0" collapsed="false">
      <c r="D432" s="10"/>
      <c r="E432" s="11"/>
      <c r="F432" s="38"/>
      <c r="G432" s="10"/>
      <c r="I432" s="11"/>
      <c r="J432" s="10"/>
      <c r="K432" s="10"/>
      <c r="M432" s="31" t="str">
        <f aca="false">IF($B432="","",IFERROR(IF(INDEX(campaigns!$BG$2:$BG$51,MATCH($B432,campaigns!$A$2:$A$51,0))="","",INDEX(campaigns!$BG$2:$BG$51,MATCH($B432,campaigns!$A$2:$A$51,0))),""))</f>
        <v/>
      </c>
      <c r="N432" s="30" t="str">
        <f aca="false">IF(OR($B432="",$E432="",$M432=""),"",IF($E432&lt;$M432,0,NETWORKDAYS($M432,$E432,calendar!$A$2:$A$80)))</f>
        <v/>
      </c>
      <c r="O432" s="30" t="str">
        <f aca="false">IF($B432="","",IF(AND($K432="Y",OR($D432="later",$J432="Y")),"Y","N"))</f>
        <v/>
      </c>
      <c r="P432" s="30" t="str">
        <f aca="false">IF(OR($B432="",$E432=""),"",$B432&amp;"_"&amp;$C432&amp;"_"&amp;$D432&amp;"_"&amp;TEXT($E432,"yyyy-mm-dd")&amp;".jpg")</f>
        <v/>
      </c>
      <c r="Q432" s="30" t="str">
        <f aca="false">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30" t="str">
        <f aca="false">IF($B432="","",$B432&amp;"|"&amp;$C432&amp;"|"&amp;$D432&amp;"|"&amp;$O432)</f>
        <v/>
      </c>
      <c r="S432" s="30" t="str">
        <f aca="false">IF($B432="","",$R432&amp;"|"&amp;N($E432))</f>
        <v/>
      </c>
    </row>
    <row r="433" customFormat="false" ht="15" hidden="false" customHeight="false" outlineLevel="0" collapsed="false">
      <c r="D433" s="10"/>
      <c r="E433" s="11"/>
      <c r="F433" s="38"/>
      <c r="G433" s="10"/>
      <c r="I433" s="11"/>
      <c r="J433" s="10"/>
      <c r="K433" s="10"/>
      <c r="M433" s="31" t="str">
        <f aca="false">IF($B433="","",IFERROR(IF(INDEX(campaigns!$BG$2:$BG$51,MATCH($B433,campaigns!$A$2:$A$51,0))="","",INDEX(campaigns!$BG$2:$BG$51,MATCH($B433,campaigns!$A$2:$A$51,0))),""))</f>
        <v/>
      </c>
      <c r="N433" s="30" t="str">
        <f aca="false">IF(OR($B433="",$E433="",$M433=""),"",IF($E433&lt;$M433,0,NETWORKDAYS($M433,$E433,calendar!$A$2:$A$80)))</f>
        <v/>
      </c>
      <c r="O433" s="30" t="str">
        <f aca="false">IF($B433="","",IF(AND($K433="Y",OR($D433="later",$J433="Y")),"Y","N"))</f>
        <v/>
      </c>
      <c r="P433" s="30" t="str">
        <f aca="false">IF(OR($B433="",$E433=""),"",$B433&amp;"_"&amp;$C433&amp;"_"&amp;$D433&amp;"_"&amp;TEXT($E433,"yyyy-mm-dd")&amp;".jpg")</f>
        <v/>
      </c>
      <c r="Q433" s="30" t="str">
        <f aca="false">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30" t="str">
        <f aca="false">IF($B433="","",$B433&amp;"|"&amp;$C433&amp;"|"&amp;$D433&amp;"|"&amp;$O433)</f>
        <v/>
      </c>
      <c r="S433" s="30" t="str">
        <f aca="false">IF($B433="","",$R433&amp;"|"&amp;N($E433))</f>
        <v/>
      </c>
    </row>
    <row r="434" customFormat="false" ht="15" hidden="false" customHeight="false" outlineLevel="0" collapsed="false">
      <c r="D434" s="10"/>
      <c r="E434" s="11"/>
      <c r="F434" s="38"/>
      <c r="G434" s="10"/>
      <c r="I434" s="11"/>
      <c r="J434" s="10"/>
      <c r="K434" s="10"/>
      <c r="M434" s="31" t="str">
        <f aca="false">IF($B434="","",IFERROR(IF(INDEX(campaigns!$BG$2:$BG$51,MATCH($B434,campaigns!$A$2:$A$51,0))="","",INDEX(campaigns!$BG$2:$BG$51,MATCH($B434,campaigns!$A$2:$A$51,0))),""))</f>
        <v/>
      </c>
      <c r="N434" s="30" t="str">
        <f aca="false">IF(OR($B434="",$E434="",$M434=""),"",IF($E434&lt;$M434,0,NETWORKDAYS($M434,$E434,calendar!$A$2:$A$80)))</f>
        <v/>
      </c>
      <c r="O434" s="30" t="str">
        <f aca="false">IF($B434="","",IF(AND($K434="Y",OR($D434="later",$J434="Y")),"Y","N"))</f>
        <v/>
      </c>
      <c r="P434" s="30" t="str">
        <f aca="false">IF(OR($B434="",$E434=""),"",$B434&amp;"_"&amp;$C434&amp;"_"&amp;$D434&amp;"_"&amp;TEXT($E434,"yyyy-mm-dd")&amp;".jpg")</f>
        <v/>
      </c>
      <c r="Q434" s="30" t="str">
        <f aca="false">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30" t="str">
        <f aca="false">IF($B434="","",$B434&amp;"|"&amp;$C434&amp;"|"&amp;$D434&amp;"|"&amp;$O434)</f>
        <v/>
      </c>
      <c r="S434" s="30" t="str">
        <f aca="false">IF($B434="","",$R434&amp;"|"&amp;N($E434))</f>
        <v/>
      </c>
    </row>
    <row r="435" customFormat="false" ht="15" hidden="false" customHeight="false" outlineLevel="0" collapsed="false">
      <c r="D435" s="10"/>
      <c r="E435" s="11"/>
      <c r="F435" s="38"/>
      <c r="G435" s="10"/>
      <c r="I435" s="11"/>
      <c r="J435" s="10"/>
      <c r="K435" s="10"/>
      <c r="M435" s="31" t="str">
        <f aca="false">IF($B435="","",IFERROR(IF(INDEX(campaigns!$BG$2:$BG$51,MATCH($B435,campaigns!$A$2:$A$51,0))="","",INDEX(campaigns!$BG$2:$BG$51,MATCH($B435,campaigns!$A$2:$A$51,0))),""))</f>
        <v/>
      </c>
      <c r="N435" s="30" t="str">
        <f aca="false">IF(OR($B435="",$E435="",$M435=""),"",IF($E435&lt;$M435,0,NETWORKDAYS($M435,$E435,calendar!$A$2:$A$80)))</f>
        <v/>
      </c>
      <c r="O435" s="30" t="str">
        <f aca="false">IF($B435="","",IF(AND($K435="Y",OR($D435="later",$J435="Y")),"Y","N"))</f>
        <v/>
      </c>
      <c r="P435" s="30" t="str">
        <f aca="false">IF(OR($B435="",$E435=""),"",$B435&amp;"_"&amp;$C435&amp;"_"&amp;$D435&amp;"_"&amp;TEXT($E435,"yyyy-mm-dd")&amp;".jpg")</f>
        <v/>
      </c>
      <c r="Q435" s="30" t="str">
        <f aca="false">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30" t="str">
        <f aca="false">IF($B435="","",$B435&amp;"|"&amp;$C435&amp;"|"&amp;$D435&amp;"|"&amp;$O435)</f>
        <v/>
      </c>
      <c r="S435" s="30" t="str">
        <f aca="false">IF($B435="","",$R435&amp;"|"&amp;N($E435))</f>
        <v/>
      </c>
    </row>
    <row r="436" customFormat="false" ht="15" hidden="false" customHeight="false" outlineLevel="0" collapsed="false">
      <c r="D436" s="10"/>
      <c r="E436" s="11"/>
      <c r="F436" s="38"/>
      <c r="G436" s="10"/>
      <c r="I436" s="11"/>
      <c r="J436" s="10"/>
      <c r="K436" s="10"/>
      <c r="M436" s="31" t="str">
        <f aca="false">IF($B436="","",IFERROR(IF(INDEX(campaigns!$BG$2:$BG$51,MATCH($B436,campaigns!$A$2:$A$51,0))="","",INDEX(campaigns!$BG$2:$BG$51,MATCH($B436,campaigns!$A$2:$A$51,0))),""))</f>
        <v/>
      </c>
      <c r="N436" s="30" t="str">
        <f aca="false">IF(OR($B436="",$E436="",$M436=""),"",IF($E436&lt;$M436,0,NETWORKDAYS($M436,$E436,calendar!$A$2:$A$80)))</f>
        <v/>
      </c>
      <c r="O436" s="30" t="str">
        <f aca="false">IF($B436="","",IF(AND($K436="Y",OR($D436="later",$J436="Y")),"Y","N"))</f>
        <v/>
      </c>
      <c r="P436" s="30" t="str">
        <f aca="false">IF(OR($B436="",$E436=""),"",$B436&amp;"_"&amp;$C436&amp;"_"&amp;$D436&amp;"_"&amp;TEXT($E436,"yyyy-mm-dd")&amp;".jpg")</f>
        <v/>
      </c>
      <c r="Q436" s="30" t="str">
        <f aca="false">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30" t="str">
        <f aca="false">IF($B436="","",$B436&amp;"|"&amp;$C436&amp;"|"&amp;$D436&amp;"|"&amp;$O436)</f>
        <v/>
      </c>
      <c r="S436" s="30" t="str">
        <f aca="false">IF($B436="","",$R436&amp;"|"&amp;N($E436))</f>
        <v/>
      </c>
    </row>
    <row r="437" customFormat="false" ht="15" hidden="false" customHeight="false" outlineLevel="0" collapsed="false">
      <c r="D437" s="10"/>
      <c r="E437" s="11"/>
      <c r="F437" s="38"/>
      <c r="G437" s="10"/>
      <c r="I437" s="11"/>
      <c r="J437" s="10"/>
      <c r="K437" s="10"/>
      <c r="M437" s="31" t="str">
        <f aca="false">IF($B437="","",IFERROR(IF(INDEX(campaigns!$BG$2:$BG$51,MATCH($B437,campaigns!$A$2:$A$51,0))="","",INDEX(campaigns!$BG$2:$BG$51,MATCH($B437,campaigns!$A$2:$A$51,0))),""))</f>
        <v/>
      </c>
      <c r="N437" s="30" t="str">
        <f aca="false">IF(OR($B437="",$E437="",$M437=""),"",IF($E437&lt;$M437,0,NETWORKDAYS($M437,$E437,calendar!$A$2:$A$80)))</f>
        <v/>
      </c>
      <c r="O437" s="30" t="str">
        <f aca="false">IF($B437="","",IF(AND($K437="Y",OR($D437="later",$J437="Y")),"Y","N"))</f>
        <v/>
      </c>
      <c r="P437" s="30" t="str">
        <f aca="false">IF(OR($B437="",$E437=""),"",$B437&amp;"_"&amp;$C437&amp;"_"&amp;$D437&amp;"_"&amp;TEXT($E437,"yyyy-mm-dd")&amp;".jpg")</f>
        <v/>
      </c>
      <c r="Q437" s="30" t="str">
        <f aca="false">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30" t="str">
        <f aca="false">IF($B437="","",$B437&amp;"|"&amp;$C437&amp;"|"&amp;$D437&amp;"|"&amp;$O437)</f>
        <v/>
      </c>
      <c r="S437" s="30" t="str">
        <f aca="false">IF($B437="","",$R437&amp;"|"&amp;N($E437))</f>
        <v/>
      </c>
    </row>
    <row r="438" customFormat="false" ht="15" hidden="false" customHeight="false" outlineLevel="0" collapsed="false">
      <c r="D438" s="10"/>
      <c r="E438" s="11"/>
      <c r="F438" s="38"/>
      <c r="G438" s="10"/>
      <c r="I438" s="11"/>
      <c r="J438" s="10"/>
      <c r="K438" s="10"/>
      <c r="M438" s="31" t="str">
        <f aca="false">IF($B438="","",IFERROR(IF(INDEX(campaigns!$BG$2:$BG$51,MATCH($B438,campaigns!$A$2:$A$51,0))="","",INDEX(campaigns!$BG$2:$BG$51,MATCH($B438,campaigns!$A$2:$A$51,0))),""))</f>
        <v/>
      </c>
      <c r="N438" s="30" t="str">
        <f aca="false">IF(OR($B438="",$E438="",$M438=""),"",IF($E438&lt;$M438,0,NETWORKDAYS($M438,$E438,calendar!$A$2:$A$80)))</f>
        <v/>
      </c>
      <c r="O438" s="30" t="str">
        <f aca="false">IF($B438="","",IF(AND($K438="Y",OR($D438="later",$J438="Y")),"Y","N"))</f>
        <v/>
      </c>
      <c r="P438" s="30" t="str">
        <f aca="false">IF(OR($B438="",$E438=""),"",$B438&amp;"_"&amp;$C438&amp;"_"&amp;$D438&amp;"_"&amp;TEXT($E438,"yyyy-mm-dd")&amp;".jpg")</f>
        <v/>
      </c>
      <c r="Q438" s="30" t="str">
        <f aca="false">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30" t="str">
        <f aca="false">IF($B438="","",$B438&amp;"|"&amp;$C438&amp;"|"&amp;$D438&amp;"|"&amp;$O438)</f>
        <v/>
      </c>
      <c r="S438" s="30" t="str">
        <f aca="false">IF($B438="","",$R438&amp;"|"&amp;N($E438))</f>
        <v/>
      </c>
    </row>
    <row r="439" customFormat="false" ht="15" hidden="false" customHeight="false" outlineLevel="0" collapsed="false">
      <c r="D439" s="10"/>
      <c r="E439" s="11"/>
      <c r="F439" s="38"/>
      <c r="G439" s="10"/>
      <c r="I439" s="11"/>
      <c r="J439" s="10"/>
      <c r="K439" s="10"/>
      <c r="M439" s="31" t="str">
        <f aca="false">IF($B439="","",IFERROR(IF(INDEX(campaigns!$BG$2:$BG$51,MATCH($B439,campaigns!$A$2:$A$51,0))="","",INDEX(campaigns!$BG$2:$BG$51,MATCH($B439,campaigns!$A$2:$A$51,0))),""))</f>
        <v/>
      </c>
      <c r="N439" s="30" t="str">
        <f aca="false">IF(OR($B439="",$E439="",$M439=""),"",IF($E439&lt;$M439,0,NETWORKDAYS($M439,$E439,calendar!$A$2:$A$80)))</f>
        <v/>
      </c>
      <c r="O439" s="30" t="str">
        <f aca="false">IF($B439="","",IF(AND($K439="Y",OR($D439="later",$J439="Y")),"Y","N"))</f>
        <v/>
      </c>
      <c r="P439" s="30" t="str">
        <f aca="false">IF(OR($B439="",$E439=""),"",$B439&amp;"_"&amp;$C439&amp;"_"&amp;$D439&amp;"_"&amp;TEXT($E439,"yyyy-mm-dd")&amp;".jpg")</f>
        <v/>
      </c>
      <c r="Q439" s="30" t="str">
        <f aca="false">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30" t="str">
        <f aca="false">IF($B439="","",$B439&amp;"|"&amp;$C439&amp;"|"&amp;$D439&amp;"|"&amp;$O439)</f>
        <v/>
      </c>
      <c r="S439" s="30" t="str">
        <f aca="false">IF($B439="","",$R439&amp;"|"&amp;N($E439))</f>
        <v/>
      </c>
    </row>
    <row r="440" customFormat="false" ht="15" hidden="false" customHeight="false" outlineLevel="0" collapsed="false">
      <c r="D440" s="10"/>
      <c r="E440" s="11"/>
      <c r="F440" s="38"/>
      <c r="G440" s="10"/>
      <c r="I440" s="11"/>
      <c r="J440" s="10"/>
      <c r="K440" s="10"/>
      <c r="M440" s="31" t="str">
        <f aca="false">IF($B440="","",IFERROR(IF(INDEX(campaigns!$BG$2:$BG$51,MATCH($B440,campaigns!$A$2:$A$51,0))="","",INDEX(campaigns!$BG$2:$BG$51,MATCH($B440,campaigns!$A$2:$A$51,0))),""))</f>
        <v/>
      </c>
      <c r="N440" s="30" t="str">
        <f aca="false">IF(OR($B440="",$E440="",$M440=""),"",IF($E440&lt;$M440,0,NETWORKDAYS($M440,$E440,calendar!$A$2:$A$80)))</f>
        <v/>
      </c>
      <c r="O440" s="30" t="str">
        <f aca="false">IF($B440="","",IF(AND($K440="Y",OR($D440="later",$J440="Y")),"Y","N"))</f>
        <v/>
      </c>
      <c r="P440" s="30" t="str">
        <f aca="false">IF(OR($B440="",$E440=""),"",$B440&amp;"_"&amp;$C440&amp;"_"&amp;$D440&amp;"_"&amp;TEXT($E440,"yyyy-mm-dd")&amp;".jpg")</f>
        <v/>
      </c>
      <c r="Q440" s="30" t="str">
        <f aca="false">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30" t="str">
        <f aca="false">IF($B440="","",$B440&amp;"|"&amp;$C440&amp;"|"&amp;$D440&amp;"|"&amp;$O440)</f>
        <v/>
      </c>
      <c r="S440" s="30" t="str">
        <f aca="false">IF($B440="","",$R440&amp;"|"&amp;N($E440))</f>
        <v/>
      </c>
    </row>
    <row r="441" customFormat="false" ht="15" hidden="false" customHeight="false" outlineLevel="0" collapsed="false">
      <c r="D441" s="10"/>
      <c r="E441" s="11"/>
      <c r="F441" s="38"/>
      <c r="G441" s="10"/>
      <c r="I441" s="11"/>
      <c r="J441" s="10"/>
      <c r="K441" s="10"/>
      <c r="M441" s="31" t="str">
        <f aca="false">IF($B441="","",IFERROR(IF(INDEX(campaigns!$BG$2:$BG$51,MATCH($B441,campaigns!$A$2:$A$51,0))="","",INDEX(campaigns!$BG$2:$BG$51,MATCH($B441,campaigns!$A$2:$A$51,0))),""))</f>
        <v/>
      </c>
      <c r="N441" s="30" t="str">
        <f aca="false">IF(OR($B441="",$E441="",$M441=""),"",IF($E441&lt;$M441,0,NETWORKDAYS($M441,$E441,calendar!$A$2:$A$80)))</f>
        <v/>
      </c>
      <c r="O441" s="30" t="str">
        <f aca="false">IF($B441="","",IF(AND($K441="Y",OR($D441="later",$J441="Y")),"Y","N"))</f>
        <v/>
      </c>
      <c r="P441" s="30" t="str">
        <f aca="false">IF(OR($B441="",$E441=""),"",$B441&amp;"_"&amp;$C441&amp;"_"&amp;$D441&amp;"_"&amp;TEXT($E441,"yyyy-mm-dd")&amp;".jpg")</f>
        <v/>
      </c>
      <c r="Q441" s="30" t="str">
        <f aca="false">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30" t="str">
        <f aca="false">IF($B441="","",$B441&amp;"|"&amp;$C441&amp;"|"&amp;$D441&amp;"|"&amp;$O441)</f>
        <v/>
      </c>
      <c r="S441" s="30" t="str">
        <f aca="false">IF($B441="","",$R441&amp;"|"&amp;N($E441))</f>
        <v/>
      </c>
    </row>
    <row r="442" customFormat="false" ht="15" hidden="false" customHeight="false" outlineLevel="0" collapsed="false">
      <c r="D442" s="10"/>
      <c r="E442" s="11"/>
      <c r="F442" s="38"/>
      <c r="G442" s="10"/>
      <c r="I442" s="11"/>
      <c r="J442" s="10"/>
      <c r="K442" s="10"/>
      <c r="M442" s="31" t="str">
        <f aca="false">IF($B442="","",IFERROR(IF(INDEX(campaigns!$BG$2:$BG$51,MATCH($B442,campaigns!$A$2:$A$51,0))="","",INDEX(campaigns!$BG$2:$BG$51,MATCH($B442,campaigns!$A$2:$A$51,0))),""))</f>
        <v/>
      </c>
      <c r="N442" s="30" t="str">
        <f aca="false">IF(OR($B442="",$E442="",$M442=""),"",IF($E442&lt;$M442,0,NETWORKDAYS($M442,$E442,calendar!$A$2:$A$80)))</f>
        <v/>
      </c>
      <c r="O442" s="30" t="str">
        <f aca="false">IF($B442="","",IF(AND($K442="Y",OR($D442="later",$J442="Y")),"Y","N"))</f>
        <v/>
      </c>
      <c r="P442" s="30" t="str">
        <f aca="false">IF(OR($B442="",$E442=""),"",$B442&amp;"_"&amp;$C442&amp;"_"&amp;$D442&amp;"_"&amp;TEXT($E442,"yyyy-mm-dd")&amp;".jpg")</f>
        <v/>
      </c>
      <c r="Q442" s="30" t="str">
        <f aca="false">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30" t="str">
        <f aca="false">IF($B442="","",$B442&amp;"|"&amp;$C442&amp;"|"&amp;$D442&amp;"|"&amp;$O442)</f>
        <v/>
      </c>
      <c r="S442" s="30" t="str">
        <f aca="false">IF($B442="","",$R442&amp;"|"&amp;N($E442))</f>
        <v/>
      </c>
    </row>
    <row r="443" customFormat="false" ht="15" hidden="false" customHeight="false" outlineLevel="0" collapsed="false">
      <c r="D443" s="10"/>
      <c r="E443" s="11"/>
      <c r="F443" s="38"/>
      <c r="G443" s="10"/>
      <c r="I443" s="11"/>
      <c r="J443" s="10"/>
      <c r="K443" s="10"/>
      <c r="M443" s="31" t="str">
        <f aca="false">IF($B443="","",IFERROR(IF(INDEX(campaigns!$BG$2:$BG$51,MATCH($B443,campaigns!$A$2:$A$51,0))="","",INDEX(campaigns!$BG$2:$BG$51,MATCH($B443,campaigns!$A$2:$A$51,0))),""))</f>
        <v/>
      </c>
      <c r="N443" s="30" t="str">
        <f aca="false">IF(OR($B443="",$E443="",$M443=""),"",IF($E443&lt;$M443,0,NETWORKDAYS($M443,$E443,calendar!$A$2:$A$80)))</f>
        <v/>
      </c>
      <c r="O443" s="30" t="str">
        <f aca="false">IF($B443="","",IF(AND($K443="Y",OR($D443="later",$J443="Y")),"Y","N"))</f>
        <v/>
      </c>
      <c r="P443" s="30" t="str">
        <f aca="false">IF(OR($B443="",$E443=""),"",$B443&amp;"_"&amp;$C443&amp;"_"&amp;$D443&amp;"_"&amp;TEXT($E443,"yyyy-mm-dd")&amp;".jpg")</f>
        <v/>
      </c>
      <c r="Q443" s="30" t="str">
        <f aca="false">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30" t="str">
        <f aca="false">IF($B443="","",$B443&amp;"|"&amp;$C443&amp;"|"&amp;$D443&amp;"|"&amp;$O443)</f>
        <v/>
      </c>
      <c r="S443" s="30" t="str">
        <f aca="false">IF($B443="","",$R443&amp;"|"&amp;N($E443))</f>
        <v/>
      </c>
    </row>
    <row r="444" customFormat="false" ht="15" hidden="false" customHeight="false" outlineLevel="0" collapsed="false">
      <c r="D444" s="10"/>
      <c r="E444" s="11"/>
      <c r="F444" s="38"/>
      <c r="G444" s="10"/>
      <c r="I444" s="11"/>
      <c r="J444" s="10"/>
      <c r="K444" s="10"/>
      <c r="M444" s="31" t="str">
        <f aca="false">IF($B444="","",IFERROR(IF(INDEX(campaigns!$BG$2:$BG$51,MATCH($B444,campaigns!$A$2:$A$51,0))="","",INDEX(campaigns!$BG$2:$BG$51,MATCH($B444,campaigns!$A$2:$A$51,0))),""))</f>
        <v/>
      </c>
      <c r="N444" s="30" t="str">
        <f aca="false">IF(OR($B444="",$E444="",$M444=""),"",IF($E444&lt;$M444,0,NETWORKDAYS($M444,$E444,calendar!$A$2:$A$80)))</f>
        <v/>
      </c>
      <c r="O444" s="30" t="str">
        <f aca="false">IF($B444="","",IF(AND($K444="Y",OR($D444="later",$J444="Y")),"Y","N"))</f>
        <v/>
      </c>
      <c r="P444" s="30" t="str">
        <f aca="false">IF(OR($B444="",$E444=""),"",$B444&amp;"_"&amp;$C444&amp;"_"&amp;$D444&amp;"_"&amp;TEXT($E444,"yyyy-mm-dd")&amp;".jpg")</f>
        <v/>
      </c>
      <c r="Q444" s="30" t="str">
        <f aca="false">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30" t="str">
        <f aca="false">IF($B444="","",$B444&amp;"|"&amp;$C444&amp;"|"&amp;$D444&amp;"|"&amp;$O444)</f>
        <v/>
      </c>
      <c r="S444" s="30" t="str">
        <f aca="false">IF($B444="","",$R444&amp;"|"&amp;N($E444))</f>
        <v/>
      </c>
    </row>
    <row r="445" customFormat="false" ht="15" hidden="false" customHeight="false" outlineLevel="0" collapsed="false">
      <c r="D445" s="10"/>
      <c r="E445" s="11"/>
      <c r="F445" s="38"/>
      <c r="G445" s="10"/>
      <c r="I445" s="11"/>
      <c r="J445" s="10"/>
      <c r="K445" s="10"/>
      <c r="M445" s="31" t="str">
        <f aca="false">IF($B445="","",IFERROR(IF(INDEX(campaigns!$BG$2:$BG$51,MATCH($B445,campaigns!$A$2:$A$51,0))="","",INDEX(campaigns!$BG$2:$BG$51,MATCH($B445,campaigns!$A$2:$A$51,0))),""))</f>
        <v/>
      </c>
      <c r="N445" s="30" t="str">
        <f aca="false">IF(OR($B445="",$E445="",$M445=""),"",IF($E445&lt;$M445,0,NETWORKDAYS($M445,$E445,calendar!$A$2:$A$80)))</f>
        <v/>
      </c>
      <c r="O445" s="30" t="str">
        <f aca="false">IF($B445="","",IF(AND($K445="Y",OR($D445="later",$J445="Y")),"Y","N"))</f>
        <v/>
      </c>
      <c r="P445" s="30" t="str">
        <f aca="false">IF(OR($B445="",$E445=""),"",$B445&amp;"_"&amp;$C445&amp;"_"&amp;$D445&amp;"_"&amp;TEXT($E445,"yyyy-mm-dd")&amp;".jpg")</f>
        <v/>
      </c>
      <c r="Q445" s="30" t="str">
        <f aca="false">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30" t="str">
        <f aca="false">IF($B445="","",$B445&amp;"|"&amp;$C445&amp;"|"&amp;$D445&amp;"|"&amp;$O445)</f>
        <v/>
      </c>
      <c r="S445" s="30" t="str">
        <f aca="false">IF($B445="","",$R445&amp;"|"&amp;N($E445))</f>
        <v/>
      </c>
    </row>
    <row r="446" customFormat="false" ht="15" hidden="false" customHeight="false" outlineLevel="0" collapsed="false">
      <c r="D446" s="10"/>
      <c r="E446" s="11"/>
      <c r="F446" s="38"/>
      <c r="G446" s="10"/>
      <c r="I446" s="11"/>
      <c r="J446" s="10"/>
      <c r="K446" s="10"/>
      <c r="M446" s="31" t="str">
        <f aca="false">IF($B446="","",IFERROR(IF(INDEX(campaigns!$BG$2:$BG$51,MATCH($B446,campaigns!$A$2:$A$51,0))="","",INDEX(campaigns!$BG$2:$BG$51,MATCH($B446,campaigns!$A$2:$A$51,0))),""))</f>
        <v/>
      </c>
      <c r="N446" s="30" t="str">
        <f aca="false">IF(OR($B446="",$E446="",$M446=""),"",IF($E446&lt;$M446,0,NETWORKDAYS($M446,$E446,calendar!$A$2:$A$80)))</f>
        <v/>
      </c>
      <c r="O446" s="30" t="str">
        <f aca="false">IF($B446="","",IF(AND($K446="Y",OR($D446="later",$J446="Y")),"Y","N"))</f>
        <v/>
      </c>
      <c r="P446" s="30" t="str">
        <f aca="false">IF(OR($B446="",$E446=""),"",$B446&amp;"_"&amp;$C446&amp;"_"&amp;$D446&amp;"_"&amp;TEXT($E446,"yyyy-mm-dd")&amp;".jpg")</f>
        <v/>
      </c>
      <c r="Q446" s="30" t="str">
        <f aca="false">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30" t="str">
        <f aca="false">IF($B446="","",$B446&amp;"|"&amp;$C446&amp;"|"&amp;$D446&amp;"|"&amp;$O446)</f>
        <v/>
      </c>
      <c r="S446" s="30" t="str">
        <f aca="false">IF($B446="","",$R446&amp;"|"&amp;N($E446))</f>
        <v/>
      </c>
    </row>
    <row r="447" customFormat="false" ht="15" hidden="false" customHeight="false" outlineLevel="0" collapsed="false">
      <c r="D447" s="10"/>
      <c r="E447" s="11"/>
      <c r="F447" s="38"/>
      <c r="G447" s="10"/>
      <c r="I447" s="11"/>
      <c r="J447" s="10"/>
      <c r="K447" s="10"/>
      <c r="M447" s="31" t="str">
        <f aca="false">IF($B447="","",IFERROR(IF(INDEX(campaigns!$BG$2:$BG$51,MATCH($B447,campaigns!$A$2:$A$51,0))="","",INDEX(campaigns!$BG$2:$BG$51,MATCH($B447,campaigns!$A$2:$A$51,0))),""))</f>
        <v/>
      </c>
      <c r="N447" s="30" t="str">
        <f aca="false">IF(OR($B447="",$E447="",$M447=""),"",IF($E447&lt;$M447,0,NETWORKDAYS($M447,$E447,calendar!$A$2:$A$80)))</f>
        <v/>
      </c>
      <c r="O447" s="30" t="str">
        <f aca="false">IF($B447="","",IF(AND($K447="Y",OR($D447="later",$J447="Y")),"Y","N"))</f>
        <v/>
      </c>
      <c r="P447" s="30" t="str">
        <f aca="false">IF(OR($B447="",$E447=""),"",$B447&amp;"_"&amp;$C447&amp;"_"&amp;$D447&amp;"_"&amp;TEXT($E447,"yyyy-mm-dd")&amp;".jpg")</f>
        <v/>
      </c>
      <c r="Q447" s="30" t="str">
        <f aca="false">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30" t="str">
        <f aca="false">IF($B447="","",$B447&amp;"|"&amp;$C447&amp;"|"&amp;$D447&amp;"|"&amp;$O447)</f>
        <v/>
      </c>
      <c r="S447" s="30" t="str">
        <f aca="false">IF($B447="","",$R447&amp;"|"&amp;N($E447))</f>
        <v/>
      </c>
    </row>
    <row r="448" customFormat="false" ht="15" hidden="false" customHeight="false" outlineLevel="0" collapsed="false">
      <c r="D448" s="10"/>
      <c r="E448" s="11"/>
      <c r="F448" s="38"/>
      <c r="G448" s="10"/>
      <c r="I448" s="11"/>
      <c r="J448" s="10"/>
      <c r="K448" s="10"/>
      <c r="M448" s="31" t="str">
        <f aca="false">IF($B448="","",IFERROR(IF(INDEX(campaigns!$BG$2:$BG$51,MATCH($B448,campaigns!$A$2:$A$51,0))="","",INDEX(campaigns!$BG$2:$BG$51,MATCH($B448,campaigns!$A$2:$A$51,0))),""))</f>
        <v/>
      </c>
      <c r="N448" s="30" t="str">
        <f aca="false">IF(OR($B448="",$E448="",$M448=""),"",IF($E448&lt;$M448,0,NETWORKDAYS($M448,$E448,calendar!$A$2:$A$80)))</f>
        <v/>
      </c>
      <c r="O448" s="30" t="str">
        <f aca="false">IF($B448="","",IF(AND($K448="Y",OR($D448="later",$J448="Y")),"Y","N"))</f>
        <v/>
      </c>
      <c r="P448" s="30" t="str">
        <f aca="false">IF(OR($B448="",$E448=""),"",$B448&amp;"_"&amp;$C448&amp;"_"&amp;$D448&amp;"_"&amp;TEXT($E448,"yyyy-mm-dd")&amp;".jpg")</f>
        <v/>
      </c>
      <c r="Q448" s="30" t="str">
        <f aca="false">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30" t="str">
        <f aca="false">IF($B448="","",$B448&amp;"|"&amp;$C448&amp;"|"&amp;$D448&amp;"|"&amp;$O448)</f>
        <v/>
      </c>
      <c r="S448" s="30" t="str">
        <f aca="false">IF($B448="","",$R448&amp;"|"&amp;N($E448))</f>
        <v/>
      </c>
    </row>
    <row r="449" customFormat="false" ht="15" hidden="false" customHeight="false" outlineLevel="0" collapsed="false">
      <c r="D449" s="10"/>
      <c r="E449" s="11"/>
      <c r="F449" s="38"/>
      <c r="G449" s="10"/>
      <c r="I449" s="11"/>
      <c r="J449" s="10"/>
      <c r="K449" s="10"/>
      <c r="M449" s="31" t="str">
        <f aca="false">IF($B449="","",IFERROR(IF(INDEX(campaigns!$BG$2:$BG$51,MATCH($B449,campaigns!$A$2:$A$51,0))="","",INDEX(campaigns!$BG$2:$BG$51,MATCH($B449,campaigns!$A$2:$A$51,0))),""))</f>
        <v/>
      </c>
      <c r="N449" s="30" t="str">
        <f aca="false">IF(OR($B449="",$E449="",$M449=""),"",IF($E449&lt;$M449,0,NETWORKDAYS($M449,$E449,calendar!$A$2:$A$80)))</f>
        <v/>
      </c>
      <c r="O449" s="30" t="str">
        <f aca="false">IF($B449="","",IF(AND($K449="Y",OR($D449="later",$J449="Y")),"Y","N"))</f>
        <v/>
      </c>
      <c r="P449" s="30" t="str">
        <f aca="false">IF(OR($B449="",$E449=""),"",$B449&amp;"_"&amp;$C449&amp;"_"&amp;$D449&amp;"_"&amp;TEXT($E449,"yyyy-mm-dd")&amp;".jpg")</f>
        <v/>
      </c>
      <c r="Q449" s="30" t="str">
        <f aca="false">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30" t="str">
        <f aca="false">IF($B449="","",$B449&amp;"|"&amp;$C449&amp;"|"&amp;$D449&amp;"|"&amp;$O449)</f>
        <v/>
      </c>
      <c r="S449" s="30" t="str">
        <f aca="false">IF($B449="","",$R449&amp;"|"&amp;N($E449))</f>
        <v/>
      </c>
    </row>
    <row r="450" customFormat="false" ht="15" hidden="false" customHeight="false" outlineLevel="0" collapsed="false">
      <c r="D450" s="10"/>
      <c r="E450" s="11"/>
      <c r="F450" s="38"/>
      <c r="G450" s="10"/>
      <c r="I450" s="11"/>
      <c r="J450" s="10"/>
      <c r="K450" s="10"/>
      <c r="M450" s="31" t="str">
        <f aca="false">IF($B450="","",IFERROR(IF(INDEX(campaigns!$BG$2:$BG$51,MATCH($B450,campaigns!$A$2:$A$51,0))="","",INDEX(campaigns!$BG$2:$BG$51,MATCH($B450,campaigns!$A$2:$A$51,0))),""))</f>
        <v/>
      </c>
      <c r="N450" s="30" t="str">
        <f aca="false">IF(OR($B450="",$E450="",$M450=""),"",IF($E450&lt;$M450,0,NETWORKDAYS($M450,$E450,calendar!$A$2:$A$80)))</f>
        <v/>
      </c>
      <c r="O450" s="30" t="str">
        <f aca="false">IF($B450="","",IF(AND($K450="Y",OR($D450="later",$J450="Y")),"Y","N"))</f>
        <v/>
      </c>
      <c r="P450" s="30" t="str">
        <f aca="false">IF(OR($B450="",$E450=""),"",$B450&amp;"_"&amp;$C450&amp;"_"&amp;$D450&amp;"_"&amp;TEXT($E450,"yyyy-mm-dd")&amp;".jpg")</f>
        <v/>
      </c>
      <c r="Q450" s="30" t="str">
        <f aca="false">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30" t="str">
        <f aca="false">IF($B450="","",$B450&amp;"|"&amp;$C450&amp;"|"&amp;$D450&amp;"|"&amp;$O450)</f>
        <v/>
      </c>
      <c r="S450" s="30" t="str">
        <f aca="false">IF($B450="","",$R450&amp;"|"&amp;N($E450))</f>
        <v/>
      </c>
    </row>
    <row r="451" customFormat="false" ht="15" hidden="false" customHeight="false" outlineLevel="0" collapsed="false">
      <c r="D451" s="10"/>
      <c r="E451" s="11"/>
      <c r="F451" s="38"/>
      <c r="G451" s="10"/>
      <c r="I451" s="11"/>
      <c r="J451" s="10"/>
      <c r="K451" s="10"/>
      <c r="M451" s="31" t="str">
        <f aca="false">IF($B451="","",IFERROR(IF(INDEX(campaigns!$BG$2:$BG$51,MATCH($B451,campaigns!$A$2:$A$51,0))="","",INDEX(campaigns!$BG$2:$BG$51,MATCH($B451,campaigns!$A$2:$A$51,0))),""))</f>
        <v/>
      </c>
      <c r="N451" s="30" t="str">
        <f aca="false">IF(OR($B451="",$E451="",$M451=""),"",IF($E451&lt;$M451,0,NETWORKDAYS($M451,$E451,calendar!$A$2:$A$80)))</f>
        <v/>
      </c>
      <c r="O451" s="30" t="str">
        <f aca="false">IF($B451="","",IF(AND($K451="Y",OR($D451="later",$J451="Y")),"Y","N"))</f>
        <v/>
      </c>
      <c r="P451" s="30" t="str">
        <f aca="false">IF(OR($B451="",$E451=""),"",$B451&amp;"_"&amp;$C451&amp;"_"&amp;$D451&amp;"_"&amp;TEXT($E451,"yyyy-mm-dd")&amp;".jpg")</f>
        <v/>
      </c>
      <c r="Q451" s="30" t="str">
        <f aca="false">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30" t="str">
        <f aca="false">IF($B451="","",$B451&amp;"|"&amp;$C451&amp;"|"&amp;$D451&amp;"|"&amp;$O451)</f>
        <v/>
      </c>
      <c r="S451" s="30" t="str">
        <f aca="false">IF($B451="","",$R451&amp;"|"&amp;N($E451))</f>
        <v/>
      </c>
    </row>
    <row r="452" customFormat="false" ht="15" hidden="false" customHeight="false" outlineLevel="0" collapsed="false">
      <c r="D452" s="10"/>
      <c r="E452" s="11"/>
      <c r="F452" s="38"/>
      <c r="G452" s="10"/>
      <c r="I452" s="11"/>
      <c r="J452" s="10"/>
      <c r="K452" s="10"/>
      <c r="M452" s="31" t="str">
        <f aca="false">IF($B452="","",IFERROR(IF(INDEX(campaigns!$BG$2:$BG$51,MATCH($B452,campaigns!$A$2:$A$51,0))="","",INDEX(campaigns!$BG$2:$BG$51,MATCH($B452,campaigns!$A$2:$A$51,0))),""))</f>
        <v/>
      </c>
      <c r="N452" s="30" t="str">
        <f aca="false">IF(OR($B452="",$E452="",$M452=""),"",IF($E452&lt;$M452,0,NETWORKDAYS($M452,$E452,calendar!$A$2:$A$80)))</f>
        <v/>
      </c>
      <c r="O452" s="30" t="str">
        <f aca="false">IF($B452="","",IF(AND($K452="Y",OR($D452="later",$J452="Y")),"Y","N"))</f>
        <v/>
      </c>
      <c r="P452" s="30" t="str">
        <f aca="false">IF(OR($B452="",$E452=""),"",$B452&amp;"_"&amp;$C452&amp;"_"&amp;$D452&amp;"_"&amp;TEXT($E452,"yyyy-mm-dd")&amp;".jpg")</f>
        <v/>
      </c>
      <c r="Q452" s="30" t="str">
        <f aca="false">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30" t="str">
        <f aca="false">IF($B452="","",$B452&amp;"|"&amp;$C452&amp;"|"&amp;$D452&amp;"|"&amp;$O452)</f>
        <v/>
      </c>
      <c r="S452" s="30" t="str">
        <f aca="false">IF($B452="","",$R452&amp;"|"&amp;N($E452))</f>
        <v/>
      </c>
    </row>
    <row r="453" customFormat="false" ht="15" hidden="false" customHeight="false" outlineLevel="0" collapsed="false">
      <c r="D453" s="10"/>
      <c r="E453" s="11"/>
      <c r="F453" s="38"/>
      <c r="G453" s="10"/>
      <c r="I453" s="11"/>
      <c r="J453" s="10"/>
      <c r="K453" s="10"/>
      <c r="M453" s="31" t="str">
        <f aca="false">IF($B453="","",IFERROR(IF(INDEX(campaigns!$BG$2:$BG$51,MATCH($B453,campaigns!$A$2:$A$51,0))="","",INDEX(campaigns!$BG$2:$BG$51,MATCH($B453,campaigns!$A$2:$A$51,0))),""))</f>
        <v/>
      </c>
      <c r="N453" s="30" t="str">
        <f aca="false">IF(OR($B453="",$E453="",$M453=""),"",IF($E453&lt;$M453,0,NETWORKDAYS($M453,$E453,calendar!$A$2:$A$80)))</f>
        <v/>
      </c>
      <c r="O453" s="30" t="str">
        <f aca="false">IF($B453="","",IF(AND($K453="Y",OR($D453="later",$J453="Y")),"Y","N"))</f>
        <v/>
      </c>
      <c r="P453" s="30" t="str">
        <f aca="false">IF(OR($B453="",$E453=""),"",$B453&amp;"_"&amp;$C453&amp;"_"&amp;$D453&amp;"_"&amp;TEXT($E453,"yyyy-mm-dd")&amp;".jpg")</f>
        <v/>
      </c>
      <c r="Q453" s="30" t="str">
        <f aca="false">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30" t="str">
        <f aca="false">IF($B453="","",$B453&amp;"|"&amp;$C453&amp;"|"&amp;$D453&amp;"|"&amp;$O453)</f>
        <v/>
      </c>
      <c r="S453" s="30" t="str">
        <f aca="false">IF($B453="","",$R453&amp;"|"&amp;N($E453))</f>
        <v/>
      </c>
    </row>
    <row r="454" customFormat="false" ht="15" hidden="false" customHeight="false" outlineLevel="0" collapsed="false">
      <c r="D454" s="10"/>
      <c r="E454" s="11"/>
      <c r="F454" s="38"/>
      <c r="G454" s="10"/>
      <c r="I454" s="11"/>
      <c r="J454" s="10"/>
      <c r="K454" s="10"/>
      <c r="M454" s="31" t="str">
        <f aca="false">IF($B454="","",IFERROR(IF(INDEX(campaigns!$BG$2:$BG$51,MATCH($B454,campaigns!$A$2:$A$51,0))="","",INDEX(campaigns!$BG$2:$BG$51,MATCH($B454,campaigns!$A$2:$A$51,0))),""))</f>
        <v/>
      </c>
      <c r="N454" s="30" t="str">
        <f aca="false">IF(OR($B454="",$E454="",$M454=""),"",IF($E454&lt;$M454,0,NETWORKDAYS($M454,$E454,calendar!$A$2:$A$80)))</f>
        <v/>
      </c>
      <c r="O454" s="30" t="str">
        <f aca="false">IF($B454="","",IF(AND($K454="Y",OR($D454="later",$J454="Y")),"Y","N"))</f>
        <v/>
      </c>
      <c r="P454" s="30" t="str">
        <f aca="false">IF(OR($B454="",$E454=""),"",$B454&amp;"_"&amp;$C454&amp;"_"&amp;$D454&amp;"_"&amp;TEXT($E454,"yyyy-mm-dd")&amp;".jpg")</f>
        <v/>
      </c>
      <c r="Q454" s="30" t="str">
        <f aca="false">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30" t="str">
        <f aca="false">IF($B454="","",$B454&amp;"|"&amp;$C454&amp;"|"&amp;$D454&amp;"|"&amp;$O454)</f>
        <v/>
      </c>
      <c r="S454" s="30" t="str">
        <f aca="false">IF($B454="","",$R454&amp;"|"&amp;N($E454))</f>
        <v/>
      </c>
    </row>
    <row r="455" customFormat="false" ht="15" hidden="false" customHeight="false" outlineLevel="0" collapsed="false">
      <c r="D455" s="10"/>
      <c r="E455" s="11"/>
      <c r="F455" s="38"/>
      <c r="G455" s="10"/>
      <c r="I455" s="11"/>
      <c r="J455" s="10"/>
      <c r="K455" s="10"/>
      <c r="M455" s="31" t="str">
        <f aca="false">IF($B455="","",IFERROR(IF(INDEX(campaigns!$BG$2:$BG$51,MATCH($B455,campaigns!$A$2:$A$51,0))="","",INDEX(campaigns!$BG$2:$BG$51,MATCH($B455,campaigns!$A$2:$A$51,0))),""))</f>
        <v/>
      </c>
      <c r="N455" s="30" t="str">
        <f aca="false">IF(OR($B455="",$E455="",$M455=""),"",IF($E455&lt;$M455,0,NETWORKDAYS($M455,$E455,calendar!$A$2:$A$80)))</f>
        <v/>
      </c>
      <c r="O455" s="30" t="str">
        <f aca="false">IF($B455="","",IF(AND($K455="Y",OR($D455="later",$J455="Y")),"Y","N"))</f>
        <v/>
      </c>
      <c r="P455" s="30" t="str">
        <f aca="false">IF(OR($B455="",$E455=""),"",$B455&amp;"_"&amp;$C455&amp;"_"&amp;$D455&amp;"_"&amp;TEXT($E455,"yyyy-mm-dd")&amp;".jpg")</f>
        <v/>
      </c>
      <c r="Q455" s="30" t="str">
        <f aca="false">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30" t="str">
        <f aca="false">IF($B455="","",$B455&amp;"|"&amp;$C455&amp;"|"&amp;$D455&amp;"|"&amp;$O455)</f>
        <v/>
      </c>
      <c r="S455" s="30" t="str">
        <f aca="false">IF($B455="","",$R455&amp;"|"&amp;N($E455))</f>
        <v/>
      </c>
    </row>
    <row r="456" customFormat="false" ht="15" hidden="false" customHeight="false" outlineLevel="0" collapsed="false">
      <c r="D456" s="10"/>
      <c r="E456" s="11"/>
      <c r="F456" s="38"/>
      <c r="G456" s="10"/>
      <c r="I456" s="11"/>
      <c r="J456" s="10"/>
      <c r="K456" s="10"/>
      <c r="M456" s="31" t="str">
        <f aca="false">IF($B456="","",IFERROR(IF(INDEX(campaigns!$BG$2:$BG$51,MATCH($B456,campaigns!$A$2:$A$51,0))="","",INDEX(campaigns!$BG$2:$BG$51,MATCH($B456,campaigns!$A$2:$A$51,0))),""))</f>
        <v/>
      </c>
      <c r="N456" s="30" t="str">
        <f aca="false">IF(OR($B456="",$E456="",$M456=""),"",IF($E456&lt;$M456,0,NETWORKDAYS($M456,$E456,calendar!$A$2:$A$80)))</f>
        <v/>
      </c>
      <c r="O456" s="30" t="str">
        <f aca="false">IF($B456="","",IF(AND($K456="Y",OR($D456="later",$J456="Y")),"Y","N"))</f>
        <v/>
      </c>
      <c r="P456" s="30" t="str">
        <f aca="false">IF(OR($B456="",$E456=""),"",$B456&amp;"_"&amp;$C456&amp;"_"&amp;$D456&amp;"_"&amp;TEXT($E456,"yyyy-mm-dd")&amp;".jpg")</f>
        <v/>
      </c>
      <c r="Q456" s="30" t="str">
        <f aca="false">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30" t="str">
        <f aca="false">IF($B456="","",$B456&amp;"|"&amp;$C456&amp;"|"&amp;$D456&amp;"|"&amp;$O456)</f>
        <v/>
      </c>
      <c r="S456" s="30" t="str">
        <f aca="false">IF($B456="","",$R456&amp;"|"&amp;N($E456))</f>
        <v/>
      </c>
    </row>
    <row r="457" customFormat="false" ht="15" hidden="false" customHeight="false" outlineLevel="0" collapsed="false">
      <c r="D457" s="10"/>
      <c r="E457" s="11"/>
      <c r="F457" s="38"/>
      <c r="G457" s="10"/>
      <c r="I457" s="11"/>
      <c r="J457" s="10"/>
      <c r="K457" s="10"/>
      <c r="M457" s="31" t="str">
        <f aca="false">IF($B457="","",IFERROR(IF(INDEX(campaigns!$BG$2:$BG$51,MATCH($B457,campaigns!$A$2:$A$51,0))="","",INDEX(campaigns!$BG$2:$BG$51,MATCH($B457,campaigns!$A$2:$A$51,0))),""))</f>
        <v/>
      </c>
      <c r="N457" s="30" t="str">
        <f aca="false">IF(OR($B457="",$E457="",$M457=""),"",IF($E457&lt;$M457,0,NETWORKDAYS($M457,$E457,calendar!$A$2:$A$80)))</f>
        <v/>
      </c>
      <c r="O457" s="30" t="str">
        <f aca="false">IF($B457="","",IF(AND($K457="Y",OR($D457="later",$J457="Y")),"Y","N"))</f>
        <v/>
      </c>
      <c r="P457" s="30" t="str">
        <f aca="false">IF(OR($B457="",$E457=""),"",$B457&amp;"_"&amp;$C457&amp;"_"&amp;$D457&amp;"_"&amp;TEXT($E457,"yyyy-mm-dd")&amp;".jpg")</f>
        <v/>
      </c>
      <c r="Q457" s="30" t="str">
        <f aca="false">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30" t="str">
        <f aca="false">IF($B457="","",$B457&amp;"|"&amp;$C457&amp;"|"&amp;$D457&amp;"|"&amp;$O457)</f>
        <v/>
      </c>
      <c r="S457" s="30" t="str">
        <f aca="false">IF($B457="","",$R457&amp;"|"&amp;N($E457))</f>
        <v/>
      </c>
    </row>
    <row r="458" customFormat="false" ht="15" hidden="false" customHeight="false" outlineLevel="0" collapsed="false">
      <c r="D458" s="10"/>
      <c r="E458" s="11"/>
      <c r="F458" s="38"/>
      <c r="G458" s="10"/>
      <c r="I458" s="11"/>
      <c r="J458" s="10"/>
      <c r="K458" s="10"/>
      <c r="M458" s="31" t="str">
        <f aca="false">IF($B458="","",IFERROR(IF(INDEX(campaigns!$BG$2:$BG$51,MATCH($B458,campaigns!$A$2:$A$51,0))="","",INDEX(campaigns!$BG$2:$BG$51,MATCH($B458,campaigns!$A$2:$A$51,0))),""))</f>
        <v/>
      </c>
      <c r="N458" s="30" t="str">
        <f aca="false">IF(OR($B458="",$E458="",$M458=""),"",IF($E458&lt;$M458,0,NETWORKDAYS($M458,$E458,calendar!$A$2:$A$80)))</f>
        <v/>
      </c>
      <c r="O458" s="30" t="str">
        <f aca="false">IF($B458="","",IF(AND($K458="Y",OR($D458="later",$J458="Y")),"Y","N"))</f>
        <v/>
      </c>
      <c r="P458" s="30" t="str">
        <f aca="false">IF(OR($B458="",$E458=""),"",$B458&amp;"_"&amp;$C458&amp;"_"&amp;$D458&amp;"_"&amp;TEXT($E458,"yyyy-mm-dd")&amp;".jpg")</f>
        <v/>
      </c>
      <c r="Q458" s="30" t="str">
        <f aca="false">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30" t="str">
        <f aca="false">IF($B458="","",$B458&amp;"|"&amp;$C458&amp;"|"&amp;$D458&amp;"|"&amp;$O458)</f>
        <v/>
      </c>
      <c r="S458" s="30" t="str">
        <f aca="false">IF($B458="","",$R458&amp;"|"&amp;N($E458))</f>
        <v/>
      </c>
    </row>
    <row r="459" customFormat="false" ht="15" hidden="false" customHeight="false" outlineLevel="0" collapsed="false">
      <c r="D459" s="10"/>
      <c r="E459" s="11"/>
      <c r="F459" s="38"/>
      <c r="G459" s="10"/>
      <c r="I459" s="11"/>
      <c r="J459" s="10"/>
      <c r="K459" s="10"/>
      <c r="M459" s="31" t="str">
        <f aca="false">IF($B459="","",IFERROR(IF(INDEX(campaigns!$BG$2:$BG$51,MATCH($B459,campaigns!$A$2:$A$51,0))="","",INDEX(campaigns!$BG$2:$BG$51,MATCH($B459,campaigns!$A$2:$A$51,0))),""))</f>
        <v/>
      </c>
      <c r="N459" s="30" t="str">
        <f aca="false">IF(OR($B459="",$E459="",$M459=""),"",IF($E459&lt;$M459,0,NETWORKDAYS($M459,$E459,calendar!$A$2:$A$80)))</f>
        <v/>
      </c>
      <c r="O459" s="30" t="str">
        <f aca="false">IF($B459="","",IF(AND($K459="Y",OR($D459="later",$J459="Y")),"Y","N"))</f>
        <v/>
      </c>
      <c r="P459" s="30" t="str">
        <f aca="false">IF(OR($B459="",$E459=""),"",$B459&amp;"_"&amp;$C459&amp;"_"&amp;$D459&amp;"_"&amp;TEXT($E459,"yyyy-mm-dd")&amp;".jpg")</f>
        <v/>
      </c>
      <c r="Q459" s="30" t="str">
        <f aca="false">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30" t="str">
        <f aca="false">IF($B459="","",$B459&amp;"|"&amp;$C459&amp;"|"&amp;$D459&amp;"|"&amp;$O459)</f>
        <v/>
      </c>
      <c r="S459" s="30" t="str">
        <f aca="false">IF($B459="","",$R459&amp;"|"&amp;N($E459))</f>
        <v/>
      </c>
    </row>
    <row r="460" customFormat="false" ht="15" hidden="false" customHeight="false" outlineLevel="0" collapsed="false">
      <c r="D460" s="10"/>
      <c r="E460" s="11"/>
      <c r="F460" s="38"/>
      <c r="G460" s="10"/>
      <c r="I460" s="11"/>
      <c r="J460" s="10"/>
      <c r="K460" s="10"/>
      <c r="M460" s="31" t="str">
        <f aca="false">IF($B460="","",IFERROR(IF(INDEX(campaigns!$BG$2:$BG$51,MATCH($B460,campaigns!$A$2:$A$51,0))="","",INDEX(campaigns!$BG$2:$BG$51,MATCH($B460,campaigns!$A$2:$A$51,0))),""))</f>
        <v/>
      </c>
      <c r="N460" s="30" t="str">
        <f aca="false">IF(OR($B460="",$E460="",$M460=""),"",IF($E460&lt;$M460,0,NETWORKDAYS($M460,$E460,calendar!$A$2:$A$80)))</f>
        <v/>
      </c>
      <c r="O460" s="30" t="str">
        <f aca="false">IF($B460="","",IF(AND($K460="Y",OR($D460="later",$J460="Y")),"Y","N"))</f>
        <v/>
      </c>
      <c r="P460" s="30" t="str">
        <f aca="false">IF(OR($B460="",$E460=""),"",$B460&amp;"_"&amp;$C460&amp;"_"&amp;$D460&amp;"_"&amp;TEXT($E460,"yyyy-mm-dd")&amp;".jpg")</f>
        <v/>
      </c>
      <c r="Q460" s="30" t="str">
        <f aca="false">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30" t="str">
        <f aca="false">IF($B460="","",$B460&amp;"|"&amp;$C460&amp;"|"&amp;$D460&amp;"|"&amp;$O460)</f>
        <v/>
      </c>
      <c r="S460" s="30" t="str">
        <f aca="false">IF($B460="","",$R460&amp;"|"&amp;N($E460))</f>
        <v/>
      </c>
    </row>
    <row r="461" customFormat="false" ht="15" hidden="false" customHeight="false" outlineLevel="0" collapsed="false">
      <c r="D461" s="10"/>
      <c r="E461" s="11"/>
      <c r="F461" s="38"/>
      <c r="G461" s="10"/>
      <c r="I461" s="11"/>
      <c r="J461" s="10"/>
      <c r="K461" s="10"/>
      <c r="M461" s="31" t="str">
        <f aca="false">IF($B461="","",IFERROR(IF(INDEX(campaigns!$BG$2:$BG$51,MATCH($B461,campaigns!$A$2:$A$51,0))="","",INDEX(campaigns!$BG$2:$BG$51,MATCH($B461,campaigns!$A$2:$A$51,0))),""))</f>
        <v/>
      </c>
      <c r="N461" s="30" t="str">
        <f aca="false">IF(OR($B461="",$E461="",$M461=""),"",IF($E461&lt;$M461,0,NETWORKDAYS($M461,$E461,calendar!$A$2:$A$80)))</f>
        <v/>
      </c>
      <c r="O461" s="30" t="str">
        <f aca="false">IF($B461="","",IF(AND($K461="Y",OR($D461="later",$J461="Y")),"Y","N"))</f>
        <v/>
      </c>
      <c r="P461" s="30" t="str">
        <f aca="false">IF(OR($B461="",$E461=""),"",$B461&amp;"_"&amp;$C461&amp;"_"&amp;$D461&amp;"_"&amp;TEXT($E461,"yyyy-mm-dd")&amp;".jpg")</f>
        <v/>
      </c>
      <c r="Q461" s="30" t="str">
        <f aca="false">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30" t="str">
        <f aca="false">IF($B461="","",$B461&amp;"|"&amp;$C461&amp;"|"&amp;$D461&amp;"|"&amp;$O461)</f>
        <v/>
      </c>
      <c r="S461" s="30" t="str">
        <f aca="false">IF($B461="","",$R461&amp;"|"&amp;N($E461))</f>
        <v/>
      </c>
    </row>
    <row r="462" customFormat="false" ht="15" hidden="false" customHeight="false" outlineLevel="0" collapsed="false">
      <c r="D462" s="10"/>
      <c r="E462" s="11"/>
      <c r="F462" s="38"/>
      <c r="G462" s="10"/>
      <c r="I462" s="11"/>
      <c r="J462" s="10"/>
      <c r="K462" s="10"/>
      <c r="M462" s="31" t="str">
        <f aca="false">IF($B462="","",IFERROR(IF(INDEX(campaigns!$BG$2:$BG$51,MATCH($B462,campaigns!$A$2:$A$51,0))="","",INDEX(campaigns!$BG$2:$BG$51,MATCH($B462,campaigns!$A$2:$A$51,0))),""))</f>
        <v/>
      </c>
      <c r="N462" s="30" t="str">
        <f aca="false">IF(OR($B462="",$E462="",$M462=""),"",IF($E462&lt;$M462,0,NETWORKDAYS($M462,$E462,calendar!$A$2:$A$80)))</f>
        <v/>
      </c>
      <c r="O462" s="30" t="str">
        <f aca="false">IF($B462="","",IF(AND($K462="Y",OR($D462="later",$J462="Y")),"Y","N"))</f>
        <v/>
      </c>
      <c r="P462" s="30" t="str">
        <f aca="false">IF(OR($B462="",$E462=""),"",$B462&amp;"_"&amp;$C462&amp;"_"&amp;$D462&amp;"_"&amp;TEXT($E462,"yyyy-mm-dd")&amp;".jpg")</f>
        <v/>
      </c>
      <c r="Q462" s="30" t="str">
        <f aca="false">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30" t="str">
        <f aca="false">IF($B462="","",$B462&amp;"|"&amp;$C462&amp;"|"&amp;$D462&amp;"|"&amp;$O462)</f>
        <v/>
      </c>
      <c r="S462" s="30" t="str">
        <f aca="false">IF($B462="","",$R462&amp;"|"&amp;N($E462))</f>
        <v/>
      </c>
    </row>
    <row r="463" customFormat="false" ht="15" hidden="false" customHeight="false" outlineLevel="0" collapsed="false">
      <c r="D463" s="10"/>
      <c r="E463" s="11"/>
      <c r="F463" s="38"/>
      <c r="G463" s="10"/>
      <c r="I463" s="11"/>
      <c r="J463" s="10"/>
      <c r="K463" s="10"/>
      <c r="M463" s="31" t="str">
        <f aca="false">IF($B463="","",IFERROR(IF(INDEX(campaigns!$BG$2:$BG$51,MATCH($B463,campaigns!$A$2:$A$51,0))="","",INDEX(campaigns!$BG$2:$BG$51,MATCH($B463,campaigns!$A$2:$A$51,0))),""))</f>
        <v/>
      </c>
      <c r="N463" s="30" t="str">
        <f aca="false">IF(OR($B463="",$E463="",$M463=""),"",IF($E463&lt;$M463,0,NETWORKDAYS($M463,$E463,calendar!$A$2:$A$80)))</f>
        <v/>
      </c>
      <c r="O463" s="30" t="str">
        <f aca="false">IF($B463="","",IF(AND($K463="Y",OR($D463="later",$J463="Y")),"Y","N"))</f>
        <v/>
      </c>
      <c r="P463" s="30" t="str">
        <f aca="false">IF(OR($B463="",$E463=""),"",$B463&amp;"_"&amp;$C463&amp;"_"&amp;$D463&amp;"_"&amp;TEXT($E463,"yyyy-mm-dd")&amp;".jpg")</f>
        <v/>
      </c>
      <c r="Q463" s="30" t="str">
        <f aca="false">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30" t="str">
        <f aca="false">IF($B463="","",$B463&amp;"|"&amp;$C463&amp;"|"&amp;$D463&amp;"|"&amp;$O463)</f>
        <v/>
      </c>
      <c r="S463" s="30" t="str">
        <f aca="false">IF($B463="","",$R463&amp;"|"&amp;N($E463))</f>
        <v/>
      </c>
    </row>
    <row r="464" customFormat="false" ht="15" hidden="false" customHeight="false" outlineLevel="0" collapsed="false">
      <c r="D464" s="10"/>
      <c r="E464" s="11"/>
      <c r="F464" s="38"/>
      <c r="G464" s="10"/>
      <c r="I464" s="11"/>
      <c r="J464" s="10"/>
      <c r="K464" s="10"/>
      <c r="M464" s="31" t="str">
        <f aca="false">IF($B464="","",IFERROR(IF(INDEX(campaigns!$BG$2:$BG$51,MATCH($B464,campaigns!$A$2:$A$51,0))="","",INDEX(campaigns!$BG$2:$BG$51,MATCH($B464,campaigns!$A$2:$A$51,0))),""))</f>
        <v/>
      </c>
      <c r="N464" s="30" t="str">
        <f aca="false">IF(OR($B464="",$E464="",$M464=""),"",IF($E464&lt;$M464,0,NETWORKDAYS($M464,$E464,calendar!$A$2:$A$80)))</f>
        <v/>
      </c>
      <c r="O464" s="30" t="str">
        <f aca="false">IF($B464="","",IF(AND($K464="Y",OR($D464="later",$J464="Y")),"Y","N"))</f>
        <v/>
      </c>
      <c r="P464" s="30" t="str">
        <f aca="false">IF(OR($B464="",$E464=""),"",$B464&amp;"_"&amp;$C464&amp;"_"&amp;$D464&amp;"_"&amp;TEXT($E464,"yyyy-mm-dd")&amp;".jpg")</f>
        <v/>
      </c>
      <c r="Q464" s="30" t="str">
        <f aca="false">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30" t="str">
        <f aca="false">IF($B464="","",$B464&amp;"|"&amp;$C464&amp;"|"&amp;$D464&amp;"|"&amp;$O464)</f>
        <v/>
      </c>
      <c r="S464" s="30" t="str">
        <f aca="false">IF($B464="","",$R464&amp;"|"&amp;N($E464))</f>
        <v/>
      </c>
    </row>
    <row r="465" customFormat="false" ht="15" hidden="false" customHeight="false" outlineLevel="0" collapsed="false">
      <c r="D465" s="10"/>
      <c r="E465" s="11"/>
      <c r="F465" s="38"/>
      <c r="G465" s="10"/>
      <c r="I465" s="11"/>
      <c r="J465" s="10"/>
      <c r="K465" s="10"/>
      <c r="M465" s="31" t="str">
        <f aca="false">IF($B465="","",IFERROR(IF(INDEX(campaigns!$BG$2:$BG$51,MATCH($B465,campaigns!$A$2:$A$51,0))="","",INDEX(campaigns!$BG$2:$BG$51,MATCH($B465,campaigns!$A$2:$A$51,0))),""))</f>
        <v/>
      </c>
      <c r="N465" s="30" t="str">
        <f aca="false">IF(OR($B465="",$E465="",$M465=""),"",IF($E465&lt;$M465,0,NETWORKDAYS($M465,$E465,calendar!$A$2:$A$80)))</f>
        <v/>
      </c>
      <c r="O465" s="30" t="str">
        <f aca="false">IF($B465="","",IF(AND($K465="Y",OR($D465="later",$J465="Y")),"Y","N"))</f>
        <v/>
      </c>
      <c r="P465" s="30" t="str">
        <f aca="false">IF(OR($B465="",$E465=""),"",$B465&amp;"_"&amp;$C465&amp;"_"&amp;$D465&amp;"_"&amp;TEXT($E465,"yyyy-mm-dd")&amp;".jpg")</f>
        <v/>
      </c>
      <c r="Q465" s="30" t="str">
        <f aca="false">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30" t="str">
        <f aca="false">IF($B465="","",$B465&amp;"|"&amp;$C465&amp;"|"&amp;$D465&amp;"|"&amp;$O465)</f>
        <v/>
      </c>
      <c r="S465" s="30" t="str">
        <f aca="false">IF($B465="","",$R465&amp;"|"&amp;N($E465))</f>
        <v/>
      </c>
    </row>
    <row r="466" customFormat="false" ht="15" hidden="false" customHeight="false" outlineLevel="0" collapsed="false">
      <c r="D466" s="10"/>
      <c r="E466" s="11"/>
      <c r="F466" s="38"/>
      <c r="G466" s="10"/>
      <c r="I466" s="11"/>
      <c r="J466" s="10"/>
      <c r="K466" s="10"/>
      <c r="M466" s="31" t="str">
        <f aca="false">IF($B466="","",IFERROR(IF(INDEX(campaigns!$BG$2:$BG$51,MATCH($B466,campaigns!$A$2:$A$51,0))="","",INDEX(campaigns!$BG$2:$BG$51,MATCH($B466,campaigns!$A$2:$A$51,0))),""))</f>
        <v/>
      </c>
      <c r="N466" s="30" t="str">
        <f aca="false">IF(OR($B466="",$E466="",$M466=""),"",IF($E466&lt;$M466,0,NETWORKDAYS($M466,$E466,calendar!$A$2:$A$80)))</f>
        <v/>
      </c>
      <c r="O466" s="30" t="str">
        <f aca="false">IF($B466="","",IF(AND($K466="Y",OR($D466="later",$J466="Y")),"Y","N"))</f>
        <v/>
      </c>
      <c r="P466" s="30" t="str">
        <f aca="false">IF(OR($B466="",$E466=""),"",$B466&amp;"_"&amp;$C466&amp;"_"&amp;$D466&amp;"_"&amp;TEXT($E466,"yyyy-mm-dd")&amp;".jpg")</f>
        <v/>
      </c>
      <c r="Q466" s="30" t="str">
        <f aca="false">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30" t="str">
        <f aca="false">IF($B466="","",$B466&amp;"|"&amp;$C466&amp;"|"&amp;$D466&amp;"|"&amp;$O466)</f>
        <v/>
      </c>
      <c r="S466" s="30" t="str">
        <f aca="false">IF($B466="","",$R466&amp;"|"&amp;N($E466))</f>
        <v/>
      </c>
    </row>
    <row r="467" customFormat="false" ht="15" hidden="false" customHeight="false" outlineLevel="0" collapsed="false">
      <c r="D467" s="10"/>
      <c r="E467" s="11"/>
      <c r="F467" s="38"/>
      <c r="G467" s="10"/>
      <c r="I467" s="11"/>
      <c r="J467" s="10"/>
      <c r="K467" s="10"/>
      <c r="M467" s="31" t="str">
        <f aca="false">IF($B467="","",IFERROR(IF(INDEX(campaigns!$BG$2:$BG$51,MATCH($B467,campaigns!$A$2:$A$51,0))="","",INDEX(campaigns!$BG$2:$BG$51,MATCH($B467,campaigns!$A$2:$A$51,0))),""))</f>
        <v/>
      </c>
      <c r="N467" s="30" t="str">
        <f aca="false">IF(OR($B467="",$E467="",$M467=""),"",IF($E467&lt;$M467,0,NETWORKDAYS($M467,$E467,calendar!$A$2:$A$80)))</f>
        <v/>
      </c>
      <c r="O467" s="30" t="str">
        <f aca="false">IF($B467="","",IF(AND($K467="Y",OR($D467="later",$J467="Y")),"Y","N"))</f>
        <v/>
      </c>
      <c r="P467" s="30" t="str">
        <f aca="false">IF(OR($B467="",$E467=""),"",$B467&amp;"_"&amp;$C467&amp;"_"&amp;$D467&amp;"_"&amp;TEXT($E467,"yyyy-mm-dd")&amp;".jpg")</f>
        <v/>
      </c>
      <c r="Q467" s="30" t="str">
        <f aca="false">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30" t="str">
        <f aca="false">IF($B467="","",$B467&amp;"|"&amp;$C467&amp;"|"&amp;$D467&amp;"|"&amp;$O467)</f>
        <v/>
      </c>
      <c r="S467" s="30" t="str">
        <f aca="false">IF($B467="","",$R467&amp;"|"&amp;N($E467))</f>
        <v/>
      </c>
    </row>
    <row r="468" customFormat="false" ht="15" hidden="false" customHeight="false" outlineLevel="0" collapsed="false">
      <c r="D468" s="10"/>
      <c r="E468" s="11"/>
      <c r="F468" s="38"/>
      <c r="G468" s="10"/>
      <c r="I468" s="11"/>
      <c r="J468" s="10"/>
      <c r="K468" s="10"/>
      <c r="M468" s="31" t="str">
        <f aca="false">IF($B468="","",IFERROR(IF(INDEX(campaigns!$BG$2:$BG$51,MATCH($B468,campaigns!$A$2:$A$51,0))="","",INDEX(campaigns!$BG$2:$BG$51,MATCH($B468,campaigns!$A$2:$A$51,0))),""))</f>
        <v/>
      </c>
      <c r="N468" s="30" t="str">
        <f aca="false">IF(OR($B468="",$E468="",$M468=""),"",IF($E468&lt;$M468,0,NETWORKDAYS($M468,$E468,calendar!$A$2:$A$80)))</f>
        <v/>
      </c>
      <c r="O468" s="30" t="str">
        <f aca="false">IF($B468="","",IF(AND($K468="Y",OR($D468="later",$J468="Y")),"Y","N"))</f>
        <v/>
      </c>
      <c r="P468" s="30" t="str">
        <f aca="false">IF(OR($B468="",$E468=""),"",$B468&amp;"_"&amp;$C468&amp;"_"&amp;$D468&amp;"_"&amp;TEXT($E468,"yyyy-mm-dd")&amp;".jpg")</f>
        <v/>
      </c>
      <c r="Q468" s="30" t="str">
        <f aca="false">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30" t="str">
        <f aca="false">IF($B468="","",$B468&amp;"|"&amp;$C468&amp;"|"&amp;$D468&amp;"|"&amp;$O468)</f>
        <v/>
      </c>
      <c r="S468" s="30" t="str">
        <f aca="false">IF($B468="","",$R468&amp;"|"&amp;N($E468))</f>
        <v/>
      </c>
    </row>
    <row r="469" customFormat="false" ht="15" hidden="false" customHeight="false" outlineLevel="0" collapsed="false">
      <c r="D469" s="10"/>
      <c r="E469" s="11"/>
      <c r="F469" s="38"/>
      <c r="G469" s="10"/>
      <c r="I469" s="11"/>
      <c r="J469" s="10"/>
      <c r="K469" s="10"/>
      <c r="M469" s="31" t="str">
        <f aca="false">IF($B469="","",IFERROR(IF(INDEX(campaigns!$BG$2:$BG$51,MATCH($B469,campaigns!$A$2:$A$51,0))="","",INDEX(campaigns!$BG$2:$BG$51,MATCH($B469,campaigns!$A$2:$A$51,0))),""))</f>
        <v/>
      </c>
      <c r="N469" s="30" t="str">
        <f aca="false">IF(OR($B469="",$E469="",$M469=""),"",IF($E469&lt;$M469,0,NETWORKDAYS($M469,$E469,calendar!$A$2:$A$80)))</f>
        <v/>
      </c>
      <c r="O469" s="30" t="str">
        <f aca="false">IF($B469="","",IF(AND($K469="Y",OR($D469="later",$J469="Y")),"Y","N"))</f>
        <v/>
      </c>
      <c r="P469" s="30" t="str">
        <f aca="false">IF(OR($B469="",$E469=""),"",$B469&amp;"_"&amp;$C469&amp;"_"&amp;$D469&amp;"_"&amp;TEXT($E469,"yyyy-mm-dd")&amp;".jpg")</f>
        <v/>
      </c>
      <c r="Q469" s="30" t="str">
        <f aca="false">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30" t="str">
        <f aca="false">IF($B469="","",$B469&amp;"|"&amp;$C469&amp;"|"&amp;$D469&amp;"|"&amp;$O469)</f>
        <v/>
      </c>
      <c r="S469" s="30" t="str">
        <f aca="false">IF($B469="","",$R469&amp;"|"&amp;N($E469))</f>
        <v/>
      </c>
    </row>
    <row r="470" customFormat="false" ht="15" hidden="false" customHeight="false" outlineLevel="0" collapsed="false">
      <c r="D470" s="10"/>
      <c r="E470" s="11"/>
      <c r="F470" s="38"/>
      <c r="G470" s="10"/>
      <c r="I470" s="11"/>
      <c r="J470" s="10"/>
      <c r="K470" s="10"/>
      <c r="M470" s="31" t="str">
        <f aca="false">IF($B470="","",IFERROR(IF(INDEX(campaigns!$BG$2:$BG$51,MATCH($B470,campaigns!$A$2:$A$51,0))="","",INDEX(campaigns!$BG$2:$BG$51,MATCH($B470,campaigns!$A$2:$A$51,0))),""))</f>
        <v/>
      </c>
      <c r="N470" s="30" t="str">
        <f aca="false">IF(OR($B470="",$E470="",$M470=""),"",IF($E470&lt;$M470,0,NETWORKDAYS($M470,$E470,calendar!$A$2:$A$80)))</f>
        <v/>
      </c>
      <c r="O470" s="30" t="str">
        <f aca="false">IF($B470="","",IF(AND($K470="Y",OR($D470="later",$J470="Y")),"Y","N"))</f>
        <v/>
      </c>
      <c r="P470" s="30" t="str">
        <f aca="false">IF(OR($B470="",$E470=""),"",$B470&amp;"_"&amp;$C470&amp;"_"&amp;$D470&amp;"_"&amp;TEXT($E470,"yyyy-mm-dd")&amp;".jpg")</f>
        <v/>
      </c>
      <c r="Q470" s="30" t="str">
        <f aca="false">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30" t="str">
        <f aca="false">IF($B470="","",$B470&amp;"|"&amp;$C470&amp;"|"&amp;$D470&amp;"|"&amp;$O470)</f>
        <v/>
      </c>
      <c r="S470" s="30" t="str">
        <f aca="false">IF($B470="","",$R470&amp;"|"&amp;N($E470))</f>
        <v/>
      </c>
    </row>
    <row r="471" customFormat="false" ht="15" hidden="false" customHeight="false" outlineLevel="0" collapsed="false">
      <c r="D471" s="10"/>
      <c r="E471" s="11"/>
      <c r="F471" s="38"/>
      <c r="G471" s="10"/>
      <c r="I471" s="11"/>
      <c r="J471" s="10"/>
      <c r="K471" s="10"/>
      <c r="M471" s="31" t="str">
        <f aca="false">IF($B471="","",IFERROR(IF(INDEX(campaigns!$BG$2:$BG$51,MATCH($B471,campaigns!$A$2:$A$51,0))="","",INDEX(campaigns!$BG$2:$BG$51,MATCH($B471,campaigns!$A$2:$A$51,0))),""))</f>
        <v/>
      </c>
      <c r="N471" s="30" t="str">
        <f aca="false">IF(OR($B471="",$E471="",$M471=""),"",IF($E471&lt;$M471,0,NETWORKDAYS($M471,$E471,calendar!$A$2:$A$80)))</f>
        <v/>
      </c>
      <c r="O471" s="30" t="str">
        <f aca="false">IF($B471="","",IF(AND($K471="Y",OR($D471="later",$J471="Y")),"Y","N"))</f>
        <v/>
      </c>
      <c r="P471" s="30" t="str">
        <f aca="false">IF(OR($B471="",$E471=""),"",$B471&amp;"_"&amp;$C471&amp;"_"&amp;$D471&amp;"_"&amp;TEXT($E471,"yyyy-mm-dd")&amp;".jpg")</f>
        <v/>
      </c>
      <c r="Q471" s="30" t="str">
        <f aca="false">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30" t="str">
        <f aca="false">IF($B471="","",$B471&amp;"|"&amp;$C471&amp;"|"&amp;$D471&amp;"|"&amp;$O471)</f>
        <v/>
      </c>
      <c r="S471" s="30" t="str">
        <f aca="false">IF($B471="","",$R471&amp;"|"&amp;N($E471))</f>
        <v/>
      </c>
    </row>
    <row r="472" customFormat="false" ht="15" hidden="false" customHeight="false" outlineLevel="0" collapsed="false">
      <c r="D472" s="10"/>
      <c r="E472" s="11"/>
      <c r="F472" s="38"/>
      <c r="G472" s="10"/>
      <c r="I472" s="11"/>
      <c r="J472" s="10"/>
      <c r="K472" s="10"/>
      <c r="M472" s="31" t="str">
        <f aca="false">IF($B472="","",IFERROR(IF(INDEX(campaigns!$BG$2:$BG$51,MATCH($B472,campaigns!$A$2:$A$51,0))="","",INDEX(campaigns!$BG$2:$BG$51,MATCH($B472,campaigns!$A$2:$A$51,0))),""))</f>
        <v/>
      </c>
      <c r="N472" s="30" t="str">
        <f aca="false">IF(OR($B472="",$E472="",$M472=""),"",IF($E472&lt;$M472,0,NETWORKDAYS($M472,$E472,calendar!$A$2:$A$80)))</f>
        <v/>
      </c>
      <c r="O472" s="30" t="str">
        <f aca="false">IF($B472="","",IF(AND($K472="Y",OR($D472="later",$J472="Y")),"Y","N"))</f>
        <v/>
      </c>
      <c r="P472" s="30" t="str">
        <f aca="false">IF(OR($B472="",$E472=""),"",$B472&amp;"_"&amp;$C472&amp;"_"&amp;$D472&amp;"_"&amp;TEXT($E472,"yyyy-mm-dd")&amp;".jpg")</f>
        <v/>
      </c>
      <c r="Q472" s="30" t="str">
        <f aca="false">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30" t="str">
        <f aca="false">IF($B472="","",$B472&amp;"|"&amp;$C472&amp;"|"&amp;$D472&amp;"|"&amp;$O472)</f>
        <v/>
      </c>
      <c r="S472" s="30" t="str">
        <f aca="false">IF($B472="","",$R472&amp;"|"&amp;N($E472))</f>
        <v/>
      </c>
    </row>
    <row r="473" customFormat="false" ht="15" hidden="false" customHeight="false" outlineLevel="0" collapsed="false">
      <c r="D473" s="10"/>
      <c r="E473" s="11"/>
      <c r="F473" s="38"/>
      <c r="G473" s="10"/>
      <c r="I473" s="11"/>
      <c r="J473" s="10"/>
      <c r="K473" s="10"/>
      <c r="M473" s="31" t="str">
        <f aca="false">IF($B473="","",IFERROR(IF(INDEX(campaigns!$BG$2:$BG$51,MATCH($B473,campaigns!$A$2:$A$51,0))="","",INDEX(campaigns!$BG$2:$BG$51,MATCH($B473,campaigns!$A$2:$A$51,0))),""))</f>
        <v/>
      </c>
      <c r="N473" s="30" t="str">
        <f aca="false">IF(OR($B473="",$E473="",$M473=""),"",IF($E473&lt;$M473,0,NETWORKDAYS($M473,$E473,calendar!$A$2:$A$80)))</f>
        <v/>
      </c>
      <c r="O473" s="30" t="str">
        <f aca="false">IF($B473="","",IF(AND($K473="Y",OR($D473="later",$J473="Y")),"Y","N"))</f>
        <v/>
      </c>
      <c r="P473" s="30" t="str">
        <f aca="false">IF(OR($B473="",$E473=""),"",$B473&amp;"_"&amp;$C473&amp;"_"&amp;$D473&amp;"_"&amp;TEXT($E473,"yyyy-mm-dd")&amp;".jpg")</f>
        <v/>
      </c>
      <c r="Q473" s="30" t="str">
        <f aca="false">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30" t="str">
        <f aca="false">IF($B473="","",$B473&amp;"|"&amp;$C473&amp;"|"&amp;$D473&amp;"|"&amp;$O473)</f>
        <v/>
      </c>
      <c r="S473" s="30" t="str">
        <f aca="false">IF($B473="","",$R473&amp;"|"&amp;N($E473))</f>
        <v/>
      </c>
    </row>
    <row r="474" customFormat="false" ht="15" hidden="false" customHeight="false" outlineLevel="0" collapsed="false">
      <c r="D474" s="10"/>
      <c r="E474" s="11"/>
      <c r="F474" s="38"/>
      <c r="G474" s="10"/>
      <c r="I474" s="11"/>
      <c r="J474" s="10"/>
      <c r="K474" s="10"/>
      <c r="M474" s="31" t="str">
        <f aca="false">IF($B474="","",IFERROR(IF(INDEX(campaigns!$BG$2:$BG$51,MATCH($B474,campaigns!$A$2:$A$51,0))="","",INDEX(campaigns!$BG$2:$BG$51,MATCH($B474,campaigns!$A$2:$A$51,0))),""))</f>
        <v/>
      </c>
      <c r="N474" s="30" t="str">
        <f aca="false">IF(OR($B474="",$E474="",$M474=""),"",IF($E474&lt;$M474,0,NETWORKDAYS($M474,$E474,calendar!$A$2:$A$80)))</f>
        <v/>
      </c>
      <c r="O474" s="30" t="str">
        <f aca="false">IF($B474="","",IF(AND($K474="Y",OR($D474="later",$J474="Y")),"Y","N"))</f>
        <v/>
      </c>
      <c r="P474" s="30" t="str">
        <f aca="false">IF(OR($B474="",$E474=""),"",$B474&amp;"_"&amp;$C474&amp;"_"&amp;$D474&amp;"_"&amp;TEXT($E474,"yyyy-mm-dd")&amp;".jpg")</f>
        <v/>
      </c>
      <c r="Q474" s="30" t="str">
        <f aca="false">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30" t="str">
        <f aca="false">IF($B474="","",$B474&amp;"|"&amp;$C474&amp;"|"&amp;$D474&amp;"|"&amp;$O474)</f>
        <v/>
      </c>
      <c r="S474" s="30" t="str">
        <f aca="false">IF($B474="","",$R474&amp;"|"&amp;N($E474))</f>
        <v/>
      </c>
    </row>
    <row r="475" customFormat="false" ht="15" hidden="false" customHeight="false" outlineLevel="0" collapsed="false">
      <c r="D475" s="10"/>
      <c r="E475" s="11"/>
      <c r="F475" s="38"/>
      <c r="G475" s="10"/>
      <c r="I475" s="11"/>
      <c r="J475" s="10"/>
      <c r="K475" s="10"/>
      <c r="M475" s="31" t="str">
        <f aca="false">IF($B475="","",IFERROR(IF(INDEX(campaigns!$BG$2:$BG$51,MATCH($B475,campaigns!$A$2:$A$51,0))="","",INDEX(campaigns!$BG$2:$BG$51,MATCH($B475,campaigns!$A$2:$A$51,0))),""))</f>
        <v/>
      </c>
      <c r="N475" s="30" t="str">
        <f aca="false">IF(OR($B475="",$E475="",$M475=""),"",IF($E475&lt;$M475,0,NETWORKDAYS($M475,$E475,calendar!$A$2:$A$80)))</f>
        <v/>
      </c>
      <c r="O475" s="30" t="str">
        <f aca="false">IF($B475="","",IF(AND($K475="Y",OR($D475="later",$J475="Y")),"Y","N"))</f>
        <v/>
      </c>
      <c r="P475" s="30" t="str">
        <f aca="false">IF(OR($B475="",$E475=""),"",$B475&amp;"_"&amp;$C475&amp;"_"&amp;$D475&amp;"_"&amp;TEXT($E475,"yyyy-mm-dd")&amp;".jpg")</f>
        <v/>
      </c>
      <c r="Q475" s="30" t="str">
        <f aca="false">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30" t="str">
        <f aca="false">IF($B475="","",$B475&amp;"|"&amp;$C475&amp;"|"&amp;$D475&amp;"|"&amp;$O475)</f>
        <v/>
      </c>
      <c r="S475" s="30" t="str">
        <f aca="false">IF($B475="","",$R475&amp;"|"&amp;N($E475))</f>
        <v/>
      </c>
    </row>
    <row r="476" customFormat="false" ht="15" hidden="false" customHeight="false" outlineLevel="0" collapsed="false">
      <c r="D476" s="10"/>
      <c r="E476" s="11"/>
      <c r="F476" s="38"/>
      <c r="G476" s="10"/>
      <c r="I476" s="11"/>
      <c r="J476" s="10"/>
      <c r="K476" s="10"/>
      <c r="M476" s="31" t="str">
        <f aca="false">IF($B476="","",IFERROR(IF(INDEX(campaigns!$BG$2:$BG$51,MATCH($B476,campaigns!$A$2:$A$51,0))="","",INDEX(campaigns!$BG$2:$BG$51,MATCH($B476,campaigns!$A$2:$A$51,0))),""))</f>
        <v/>
      </c>
      <c r="N476" s="30" t="str">
        <f aca="false">IF(OR($B476="",$E476="",$M476=""),"",IF($E476&lt;$M476,0,NETWORKDAYS($M476,$E476,calendar!$A$2:$A$80)))</f>
        <v/>
      </c>
      <c r="O476" s="30" t="str">
        <f aca="false">IF($B476="","",IF(AND($K476="Y",OR($D476="later",$J476="Y")),"Y","N"))</f>
        <v/>
      </c>
      <c r="P476" s="30" t="str">
        <f aca="false">IF(OR($B476="",$E476=""),"",$B476&amp;"_"&amp;$C476&amp;"_"&amp;$D476&amp;"_"&amp;TEXT($E476,"yyyy-mm-dd")&amp;".jpg")</f>
        <v/>
      </c>
      <c r="Q476" s="30" t="str">
        <f aca="false">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30" t="str">
        <f aca="false">IF($B476="","",$B476&amp;"|"&amp;$C476&amp;"|"&amp;$D476&amp;"|"&amp;$O476)</f>
        <v/>
      </c>
      <c r="S476" s="30" t="str">
        <f aca="false">IF($B476="","",$R476&amp;"|"&amp;N($E476))</f>
        <v/>
      </c>
    </row>
    <row r="477" customFormat="false" ht="15" hidden="false" customHeight="false" outlineLevel="0" collapsed="false">
      <c r="D477" s="10"/>
      <c r="E477" s="11"/>
      <c r="F477" s="38"/>
      <c r="G477" s="10"/>
      <c r="I477" s="11"/>
      <c r="J477" s="10"/>
      <c r="K477" s="10"/>
      <c r="M477" s="31" t="str">
        <f aca="false">IF($B477="","",IFERROR(IF(INDEX(campaigns!$BG$2:$BG$51,MATCH($B477,campaigns!$A$2:$A$51,0))="","",INDEX(campaigns!$BG$2:$BG$51,MATCH($B477,campaigns!$A$2:$A$51,0))),""))</f>
        <v/>
      </c>
      <c r="N477" s="30" t="str">
        <f aca="false">IF(OR($B477="",$E477="",$M477=""),"",IF($E477&lt;$M477,0,NETWORKDAYS($M477,$E477,calendar!$A$2:$A$80)))</f>
        <v/>
      </c>
      <c r="O477" s="30" t="str">
        <f aca="false">IF($B477="","",IF(AND($K477="Y",OR($D477="later",$J477="Y")),"Y","N"))</f>
        <v/>
      </c>
      <c r="P477" s="30" t="str">
        <f aca="false">IF(OR($B477="",$E477=""),"",$B477&amp;"_"&amp;$C477&amp;"_"&amp;$D477&amp;"_"&amp;TEXT($E477,"yyyy-mm-dd")&amp;".jpg")</f>
        <v/>
      </c>
      <c r="Q477" s="30" t="str">
        <f aca="false">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30" t="str">
        <f aca="false">IF($B477="","",$B477&amp;"|"&amp;$C477&amp;"|"&amp;$D477&amp;"|"&amp;$O477)</f>
        <v/>
      </c>
      <c r="S477" s="30" t="str">
        <f aca="false">IF($B477="","",$R477&amp;"|"&amp;N($E477))</f>
        <v/>
      </c>
    </row>
    <row r="478" customFormat="false" ht="15" hidden="false" customHeight="false" outlineLevel="0" collapsed="false">
      <c r="D478" s="10"/>
      <c r="E478" s="11"/>
      <c r="F478" s="38"/>
      <c r="G478" s="10"/>
      <c r="I478" s="11"/>
      <c r="J478" s="10"/>
      <c r="K478" s="10"/>
      <c r="M478" s="31" t="str">
        <f aca="false">IF($B478="","",IFERROR(IF(INDEX(campaigns!$BG$2:$BG$51,MATCH($B478,campaigns!$A$2:$A$51,0))="","",INDEX(campaigns!$BG$2:$BG$51,MATCH($B478,campaigns!$A$2:$A$51,0))),""))</f>
        <v/>
      </c>
      <c r="N478" s="30" t="str">
        <f aca="false">IF(OR($B478="",$E478="",$M478=""),"",IF($E478&lt;$M478,0,NETWORKDAYS($M478,$E478,calendar!$A$2:$A$80)))</f>
        <v/>
      </c>
      <c r="O478" s="30" t="str">
        <f aca="false">IF($B478="","",IF(AND($K478="Y",OR($D478="later",$J478="Y")),"Y","N"))</f>
        <v/>
      </c>
      <c r="P478" s="30" t="str">
        <f aca="false">IF(OR($B478="",$E478=""),"",$B478&amp;"_"&amp;$C478&amp;"_"&amp;$D478&amp;"_"&amp;TEXT($E478,"yyyy-mm-dd")&amp;".jpg")</f>
        <v/>
      </c>
      <c r="Q478" s="30" t="str">
        <f aca="false">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30" t="str">
        <f aca="false">IF($B478="","",$B478&amp;"|"&amp;$C478&amp;"|"&amp;$D478&amp;"|"&amp;$O478)</f>
        <v/>
      </c>
      <c r="S478" s="30" t="str">
        <f aca="false">IF($B478="","",$R478&amp;"|"&amp;N($E478))</f>
        <v/>
      </c>
    </row>
    <row r="479" customFormat="false" ht="15" hidden="false" customHeight="false" outlineLevel="0" collapsed="false">
      <c r="D479" s="10"/>
      <c r="E479" s="11"/>
      <c r="F479" s="38"/>
      <c r="G479" s="10"/>
      <c r="I479" s="11"/>
      <c r="J479" s="10"/>
      <c r="K479" s="10"/>
      <c r="M479" s="31" t="str">
        <f aca="false">IF($B479="","",IFERROR(IF(INDEX(campaigns!$BG$2:$BG$51,MATCH($B479,campaigns!$A$2:$A$51,0))="","",INDEX(campaigns!$BG$2:$BG$51,MATCH($B479,campaigns!$A$2:$A$51,0))),""))</f>
        <v/>
      </c>
      <c r="N479" s="30" t="str">
        <f aca="false">IF(OR($B479="",$E479="",$M479=""),"",IF($E479&lt;$M479,0,NETWORKDAYS($M479,$E479,calendar!$A$2:$A$80)))</f>
        <v/>
      </c>
      <c r="O479" s="30" t="str">
        <f aca="false">IF($B479="","",IF(AND($K479="Y",OR($D479="later",$J479="Y")),"Y","N"))</f>
        <v/>
      </c>
      <c r="P479" s="30" t="str">
        <f aca="false">IF(OR($B479="",$E479=""),"",$B479&amp;"_"&amp;$C479&amp;"_"&amp;$D479&amp;"_"&amp;TEXT($E479,"yyyy-mm-dd")&amp;".jpg")</f>
        <v/>
      </c>
      <c r="Q479" s="30" t="str">
        <f aca="false">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30" t="str">
        <f aca="false">IF($B479="","",$B479&amp;"|"&amp;$C479&amp;"|"&amp;$D479&amp;"|"&amp;$O479)</f>
        <v/>
      </c>
      <c r="S479" s="30" t="str">
        <f aca="false">IF($B479="","",$R479&amp;"|"&amp;N($E479))</f>
        <v/>
      </c>
    </row>
    <row r="480" customFormat="false" ht="15" hidden="false" customHeight="false" outlineLevel="0" collapsed="false">
      <c r="D480" s="10"/>
      <c r="E480" s="11"/>
      <c r="F480" s="38"/>
      <c r="G480" s="10"/>
      <c r="I480" s="11"/>
      <c r="J480" s="10"/>
      <c r="K480" s="10"/>
      <c r="M480" s="31" t="str">
        <f aca="false">IF($B480="","",IFERROR(IF(INDEX(campaigns!$BG$2:$BG$51,MATCH($B480,campaigns!$A$2:$A$51,0))="","",INDEX(campaigns!$BG$2:$BG$51,MATCH($B480,campaigns!$A$2:$A$51,0))),""))</f>
        <v/>
      </c>
      <c r="N480" s="30" t="str">
        <f aca="false">IF(OR($B480="",$E480="",$M480=""),"",IF($E480&lt;$M480,0,NETWORKDAYS($M480,$E480,calendar!$A$2:$A$80)))</f>
        <v/>
      </c>
      <c r="O480" s="30" t="str">
        <f aca="false">IF($B480="","",IF(AND($K480="Y",OR($D480="later",$J480="Y")),"Y","N"))</f>
        <v/>
      </c>
      <c r="P480" s="30" t="str">
        <f aca="false">IF(OR($B480="",$E480=""),"",$B480&amp;"_"&amp;$C480&amp;"_"&amp;$D480&amp;"_"&amp;TEXT($E480,"yyyy-mm-dd")&amp;".jpg")</f>
        <v/>
      </c>
      <c r="Q480" s="30" t="str">
        <f aca="false">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30" t="str">
        <f aca="false">IF($B480="","",$B480&amp;"|"&amp;$C480&amp;"|"&amp;$D480&amp;"|"&amp;$O480)</f>
        <v/>
      </c>
      <c r="S480" s="30" t="str">
        <f aca="false">IF($B480="","",$R480&amp;"|"&amp;N($E480))</f>
        <v/>
      </c>
    </row>
    <row r="481" customFormat="false" ht="15" hidden="false" customHeight="false" outlineLevel="0" collapsed="false">
      <c r="D481" s="10"/>
      <c r="E481" s="11"/>
      <c r="F481" s="38"/>
      <c r="G481" s="10"/>
      <c r="I481" s="11"/>
      <c r="J481" s="10"/>
      <c r="K481" s="10"/>
      <c r="M481" s="31" t="str">
        <f aca="false">IF($B481="","",IFERROR(IF(INDEX(campaigns!$BG$2:$BG$51,MATCH($B481,campaigns!$A$2:$A$51,0))="","",INDEX(campaigns!$BG$2:$BG$51,MATCH($B481,campaigns!$A$2:$A$51,0))),""))</f>
        <v/>
      </c>
      <c r="N481" s="30" t="str">
        <f aca="false">IF(OR($B481="",$E481="",$M481=""),"",IF($E481&lt;$M481,0,NETWORKDAYS($M481,$E481,calendar!$A$2:$A$80)))</f>
        <v/>
      </c>
      <c r="O481" s="30" t="str">
        <f aca="false">IF($B481="","",IF(AND($K481="Y",OR($D481="later",$J481="Y")),"Y","N"))</f>
        <v/>
      </c>
      <c r="P481" s="30" t="str">
        <f aca="false">IF(OR($B481="",$E481=""),"",$B481&amp;"_"&amp;$C481&amp;"_"&amp;$D481&amp;"_"&amp;TEXT($E481,"yyyy-mm-dd")&amp;".jpg")</f>
        <v/>
      </c>
      <c r="Q481" s="30" t="str">
        <f aca="false">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30" t="str">
        <f aca="false">IF($B481="","",$B481&amp;"|"&amp;$C481&amp;"|"&amp;$D481&amp;"|"&amp;$O481)</f>
        <v/>
      </c>
      <c r="S481" s="30" t="str">
        <f aca="false">IF($B481="","",$R481&amp;"|"&amp;N($E481))</f>
        <v/>
      </c>
    </row>
    <row r="482" customFormat="false" ht="15" hidden="false" customHeight="false" outlineLevel="0" collapsed="false">
      <c r="D482" s="10"/>
      <c r="E482" s="11"/>
      <c r="F482" s="38"/>
      <c r="G482" s="10"/>
      <c r="I482" s="11"/>
      <c r="J482" s="10"/>
      <c r="K482" s="10"/>
      <c r="M482" s="31" t="str">
        <f aca="false">IF($B482="","",IFERROR(IF(INDEX(campaigns!$BG$2:$BG$51,MATCH($B482,campaigns!$A$2:$A$51,0))="","",INDEX(campaigns!$BG$2:$BG$51,MATCH($B482,campaigns!$A$2:$A$51,0))),""))</f>
        <v/>
      </c>
      <c r="N482" s="30" t="str">
        <f aca="false">IF(OR($B482="",$E482="",$M482=""),"",IF($E482&lt;$M482,0,NETWORKDAYS($M482,$E482,calendar!$A$2:$A$80)))</f>
        <v/>
      </c>
      <c r="O482" s="30" t="str">
        <f aca="false">IF($B482="","",IF(AND($K482="Y",OR($D482="later",$J482="Y")),"Y","N"))</f>
        <v/>
      </c>
      <c r="P482" s="30" t="str">
        <f aca="false">IF(OR($B482="",$E482=""),"",$B482&amp;"_"&amp;$C482&amp;"_"&amp;$D482&amp;"_"&amp;TEXT($E482,"yyyy-mm-dd")&amp;".jpg")</f>
        <v/>
      </c>
      <c r="Q482" s="30" t="str">
        <f aca="false">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30" t="str">
        <f aca="false">IF($B482="","",$B482&amp;"|"&amp;$C482&amp;"|"&amp;$D482&amp;"|"&amp;$O482)</f>
        <v/>
      </c>
      <c r="S482" s="30" t="str">
        <f aca="false">IF($B482="","",$R482&amp;"|"&amp;N($E482))</f>
        <v/>
      </c>
    </row>
    <row r="483" customFormat="false" ht="15" hidden="false" customHeight="false" outlineLevel="0" collapsed="false">
      <c r="D483" s="10"/>
      <c r="E483" s="11"/>
      <c r="F483" s="38"/>
      <c r="G483" s="10"/>
      <c r="I483" s="11"/>
      <c r="J483" s="10"/>
      <c r="K483" s="10"/>
      <c r="M483" s="31" t="str">
        <f aca="false">IF($B483="","",IFERROR(IF(INDEX(campaigns!$BG$2:$BG$51,MATCH($B483,campaigns!$A$2:$A$51,0))="","",INDEX(campaigns!$BG$2:$BG$51,MATCH($B483,campaigns!$A$2:$A$51,0))),""))</f>
        <v/>
      </c>
      <c r="N483" s="30" t="str">
        <f aca="false">IF(OR($B483="",$E483="",$M483=""),"",IF($E483&lt;$M483,0,NETWORKDAYS($M483,$E483,calendar!$A$2:$A$80)))</f>
        <v/>
      </c>
      <c r="O483" s="30" t="str">
        <f aca="false">IF($B483="","",IF(AND($K483="Y",OR($D483="later",$J483="Y")),"Y","N"))</f>
        <v/>
      </c>
      <c r="P483" s="30" t="str">
        <f aca="false">IF(OR($B483="",$E483=""),"",$B483&amp;"_"&amp;$C483&amp;"_"&amp;$D483&amp;"_"&amp;TEXT($E483,"yyyy-mm-dd")&amp;".jpg")</f>
        <v/>
      </c>
      <c r="Q483" s="30" t="str">
        <f aca="false">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30" t="str">
        <f aca="false">IF($B483="","",$B483&amp;"|"&amp;$C483&amp;"|"&amp;$D483&amp;"|"&amp;$O483)</f>
        <v/>
      </c>
      <c r="S483" s="30" t="str">
        <f aca="false">IF($B483="","",$R483&amp;"|"&amp;N($E483))</f>
        <v/>
      </c>
    </row>
    <row r="484" customFormat="false" ht="15" hidden="false" customHeight="false" outlineLevel="0" collapsed="false">
      <c r="D484" s="10"/>
      <c r="E484" s="11"/>
      <c r="F484" s="38"/>
      <c r="G484" s="10"/>
      <c r="I484" s="11"/>
      <c r="J484" s="10"/>
      <c r="K484" s="10"/>
      <c r="M484" s="31" t="str">
        <f aca="false">IF($B484="","",IFERROR(IF(INDEX(campaigns!$BG$2:$BG$51,MATCH($B484,campaigns!$A$2:$A$51,0))="","",INDEX(campaigns!$BG$2:$BG$51,MATCH($B484,campaigns!$A$2:$A$51,0))),""))</f>
        <v/>
      </c>
      <c r="N484" s="30" t="str">
        <f aca="false">IF(OR($B484="",$E484="",$M484=""),"",IF($E484&lt;$M484,0,NETWORKDAYS($M484,$E484,calendar!$A$2:$A$80)))</f>
        <v/>
      </c>
      <c r="O484" s="30" t="str">
        <f aca="false">IF($B484="","",IF(AND($K484="Y",OR($D484="later",$J484="Y")),"Y","N"))</f>
        <v/>
      </c>
      <c r="P484" s="30" t="str">
        <f aca="false">IF(OR($B484="",$E484=""),"",$B484&amp;"_"&amp;$C484&amp;"_"&amp;$D484&amp;"_"&amp;TEXT($E484,"yyyy-mm-dd")&amp;".jpg")</f>
        <v/>
      </c>
      <c r="Q484" s="30" t="str">
        <f aca="false">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30" t="str">
        <f aca="false">IF($B484="","",$B484&amp;"|"&amp;$C484&amp;"|"&amp;$D484&amp;"|"&amp;$O484)</f>
        <v/>
      </c>
      <c r="S484" s="30" t="str">
        <f aca="false">IF($B484="","",$R484&amp;"|"&amp;N($E484))</f>
        <v/>
      </c>
    </row>
    <row r="485" customFormat="false" ht="15" hidden="false" customHeight="false" outlineLevel="0" collapsed="false">
      <c r="D485" s="10"/>
      <c r="E485" s="11"/>
      <c r="F485" s="38"/>
      <c r="G485" s="10"/>
      <c r="I485" s="11"/>
      <c r="J485" s="10"/>
      <c r="K485" s="10"/>
      <c r="M485" s="31" t="str">
        <f aca="false">IF($B485="","",IFERROR(IF(INDEX(campaigns!$BG$2:$BG$51,MATCH($B485,campaigns!$A$2:$A$51,0))="","",INDEX(campaigns!$BG$2:$BG$51,MATCH($B485,campaigns!$A$2:$A$51,0))),""))</f>
        <v/>
      </c>
      <c r="N485" s="30" t="str">
        <f aca="false">IF(OR($B485="",$E485="",$M485=""),"",IF($E485&lt;$M485,0,NETWORKDAYS($M485,$E485,calendar!$A$2:$A$80)))</f>
        <v/>
      </c>
      <c r="O485" s="30" t="str">
        <f aca="false">IF($B485="","",IF(AND($K485="Y",OR($D485="later",$J485="Y")),"Y","N"))</f>
        <v/>
      </c>
      <c r="P485" s="30" t="str">
        <f aca="false">IF(OR($B485="",$E485=""),"",$B485&amp;"_"&amp;$C485&amp;"_"&amp;$D485&amp;"_"&amp;TEXT($E485,"yyyy-mm-dd")&amp;".jpg")</f>
        <v/>
      </c>
      <c r="Q485" s="30" t="str">
        <f aca="false">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30" t="str">
        <f aca="false">IF($B485="","",$B485&amp;"|"&amp;$C485&amp;"|"&amp;$D485&amp;"|"&amp;$O485)</f>
        <v/>
      </c>
      <c r="S485" s="30" t="str">
        <f aca="false">IF($B485="","",$R485&amp;"|"&amp;N($E485))</f>
        <v/>
      </c>
    </row>
    <row r="486" customFormat="false" ht="15" hidden="false" customHeight="false" outlineLevel="0" collapsed="false">
      <c r="D486" s="10"/>
      <c r="E486" s="11"/>
      <c r="F486" s="38"/>
      <c r="G486" s="10"/>
      <c r="I486" s="11"/>
      <c r="J486" s="10"/>
      <c r="K486" s="10"/>
      <c r="M486" s="31" t="str">
        <f aca="false">IF($B486="","",IFERROR(IF(INDEX(campaigns!$BG$2:$BG$51,MATCH($B486,campaigns!$A$2:$A$51,0))="","",INDEX(campaigns!$BG$2:$BG$51,MATCH($B486,campaigns!$A$2:$A$51,0))),""))</f>
        <v/>
      </c>
      <c r="N486" s="30" t="str">
        <f aca="false">IF(OR($B486="",$E486="",$M486=""),"",IF($E486&lt;$M486,0,NETWORKDAYS($M486,$E486,calendar!$A$2:$A$80)))</f>
        <v/>
      </c>
      <c r="O486" s="30" t="str">
        <f aca="false">IF($B486="","",IF(AND($K486="Y",OR($D486="later",$J486="Y")),"Y","N"))</f>
        <v/>
      </c>
      <c r="P486" s="30" t="str">
        <f aca="false">IF(OR($B486="",$E486=""),"",$B486&amp;"_"&amp;$C486&amp;"_"&amp;$D486&amp;"_"&amp;TEXT($E486,"yyyy-mm-dd")&amp;".jpg")</f>
        <v/>
      </c>
      <c r="Q486" s="30" t="str">
        <f aca="false">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30" t="str">
        <f aca="false">IF($B486="","",$B486&amp;"|"&amp;$C486&amp;"|"&amp;$D486&amp;"|"&amp;$O486)</f>
        <v/>
      </c>
      <c r="S486" s="30" t="str">
        <f aca="false">IF($B486="","",$R486&amp;"|"&amp;N($E486))</f>
        <v/>
      </c>
    </row>
    <row r="487" customFormat="false" ht="15" hidden="false" customHeight="false" outlineLevel="0" collapsed="false">
      <c r="D487" s="10"/>
      <c r="E487" s="11"/>
      <c r="F487" s="38"/>
      <c r="G487" s="10"/>
      <c r="I487" s="11"/>
      <c r="J487" s="10"/>
      <c r="K487" s="10"/>
      <c r="M487" s="31" t="str">
        <f aca="false">IF($B487="","",IFERROR(IF(INDEX(campaigns!$BG$2:$BG$51,MATCH($B487,campaigns!$A$2:$A$51,0))="","",INDEX(campaigns!$BG$2:$BG$51,MATCH($B487,campaigns!$A$2:$A$51,0))),""))</f>
        <v/>
      </c>
      <c r="N487" s="30" t="str">
        <f aca="false">IF(OR($B487="",$E487="",$M487=""),"",IF($E487&lt;$M487,0,NETWORKDAYS($M487,$E487,calendar!$A$2:$A$80)))</f>
        <v/>
      </c>
      <c r="O487" s="30" t="str">
        <f aca="false">IF($B487="","",IF(AND($K487="Y",OR($D487="later",$J487="Y")),"Y","N"))</f>
        <v/>
      </c>
      <c r="P487" s="30" t="str">
        <f aca="false">IF(OR($B487="",$E487=""),"",$B487&amp;"_"&amp;$C487&amp;"_"&amp;$D487&amp;"_"&amp;TEXT($E487,"yyyy-mm-dd")&amp;".jpg")</f>
        <v/>
      </c>
      <c r="Q487" s="30" t="str">
        <f aca="false">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30" t="str">
        <f aca="false">IF($B487="","",$B487&amp;"|"&amp;$C487&amp;"|"&amp;$D487&amp;"|"&amp;$O487)</f>
        <v/>
      </c>
      <c r="S487" s="30" t="str">
        <f aca="false">IF($B487="","",$R487&amp;"|"&amp;N($E487))</f>
        <v/>
      </c>
    </row>
    <row r="488" customFormat="false" ht="15" hidden="false" customHeight="false" outlineLevel="0" collapsed="false">
      <c r="D488" s="10"/>
      <c r="E488" s="11"/>
      <c r="F488" s="38"/>
      <c r="G488" s="10"/>
      <c r="I488" s="11"/>
      <c r="J488" s="10"/>
      <c r="K488" s="10"/>
      <c r="M488" s="31" t="str">
        <f aca="false">IF($B488="","",IFERROR(IF(INDEX(campaigns!$BG$2:$BG$51,MATCH($B488,campaigns!$A$2:$A$51,0))="","",INDEX(campaigns!$BG$2:$BG$51,MATCH($B488,campaigns!$A$2:$A$51,0))),""))</f>
        <v/>
      </c>
      <c r="N488" s="30" t="str">
        <f aca="false">IF(OR($B488="",$E488="",$M488=""),"",IF($E488&lt;$M488,0,NETWORKDAYS($M488,$E488,calendar!$A$2:$A$80)))</f>
        <v/>
      </c>
      <c r="O488" s="30" t="str">
        <f aca="false">IF($B488="","",IF(AND($K488="Y",OR($D488="later",$J488="Y")),"Y","N"))</f>
        <v/>
      </c>
      <c r="P488" s="30" t="str">
        <f aca="false">IF(OR($B488="",$E488=""),"",$B488&amp;"_"&amp;$C488&amp;"_"&amp;$D488&amp;"_"&amp;TEXT($E488,"yyyy-mm-dd")&amp;".jpg")</f>
        <v/>
      </c>
      <c r="Q488" s="30" t="str">
        <f aca="false">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30" t="str">
        <f aca="false">IF($B488="","",$B488&amp;"|"&amp;$C488&amp;"|"&amp;$D488&amp;"|"&amp;$O488)</f>
        <v/>
      </c>
      <c r="S488" s="30" t="str">
        <f aca="false">IF($B488="","",$R488&amp;"|"&amp;N($E488))</f>
        <v/>
      </c>
    </row>
    <row r="489" customFormat="false" ht="15" hidden="false" customHeight="false" outlineLevel="0" collapsed="false">
      <c r="D489" s="10"/>
      <c r="E489" s="11"/>
      <c r="F489" s="38"/>
      <c r="G489" s="10"/>
      <c r="I489" s="11"/>
      <c r="J489" s="10"/>
      <c r="K489" s="10"/>
      <c r="M489" s="31" t="str">
        <f aca="false">IF($B489="","",IFERROR(IF(INDEX(campaigns!$BG$2:$BG$51,MATCH($B489,campaigns!$A$2:$A$51,0))="","",INDEX(campaigns!$BG$2:$BG$51,MATCH($B489,campaigns!$A$2:$A$51,0))),""))</f>
        <v/>
      </c>
      <c r="N489" s="30" t="str">
        <f aca="false">IF(OR($B489="",$E489="",$M489=""),"",IF($E489&lt;$M489,0,NETWORKDAYS($M489,$E489,calendar!$A$2:$A$80)))</f>
        <v/>
      </c>
      <c r="O489" s="30" t="str">
        <f aca="false">IF($B489="","",IF(AND($K489="Y",OR($D489="later",$J489="Y")),"Y","N"))</f>
        <v/>
      </c>
      <c r="P489" s="30" t="str">
        <f aca="false">IF(OR($B489="",$E489=""),"",$B489&amp;"_"&amp;$C489&amp;"_"&amp;$D489&amp;"_"&amp;TEXT($E489,"yyyy-mm-dd")&amp;".jpg")</f>
        <v/>
      </c>
      <c r="Q489" s="30" t="str">
        <f aca="false">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30" t="str">
        <f aca="false">IF($B489="","",$B489&amp;"|"&amp;$C489&amp;"|"&amp;$D489&amp;"|"&amp;$O489)</f>
        <v/>
      </c>
      <c r="S489" s="30" t="str">
        <f aca="false">IF($B489="","",$R489&amp;"|"&amp;N($E489))</f>
        <v/>
      </c>
    </row>
    <row r="490" customFormat="false" ht="15" hidden="false" customHeight="false" outlineLevel="0" collapsed="false">
      <c r="D490" s="10"/>
      <c r="E490" s="11"/>
      <c r="F490" s="38"/>
      <c r="G490" s="10"/>
      <c r="I490" s="11"/>
      <c r="J490" s="10"/>
      <c r="K490" s="10"/>
      <c r="M490" s="31" t="str">
        <f aca="false">IF($B490="","",IFERROR(IF(INDEX(campaigns!$BG$2:$BG$51,MATCH($B490,campaigns!$A$2:$A$51,0))="","",INDEX(campaigns!$BG$2:$BG$51,MATCH($B490,campaigns!$A$2:$A$51,0))),""))</f>
        <v/>
      </c>
      <c r="N490" s="30" t="str">
        <f aca="false">IF(OR($B490="",$E490="",$M490=""),"",IF($E490&lt;$M490,0,NETWORKDAYS($M490,$E490,calendar!$A$2:$A$80)))</f>
        <v/>
      </c>
      <c r="O490" s="30" t="str">
        <f aca="false">IF($B490="","",IF(AND($K490="Y",OR($D490="later",$J490="Y")),"Y","N"))</f>
        <v/>
      </c>
      <c r="P490" s="30" t="str">
        <f aca="false">IF(OR($B490="",$E490=""),"",$B490&amp;"_"&amp;$C490&amp;"_"&amp;$D490&amp;"_"&amp;TEXT($E490,"yyyy-mm-dd")&amp;".jpg")</f>
        <v/>
      </c>
      <c r="Q490" s="30" t="str">
        <f aca="false">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30" t="str">
        <f aca="false">IF($B490="","",$B490&amp;"|"&amp;$C490&amp;"|"&amp;$D490&amp;"|"&amp;$O490)</f>
        <v/>
      </c>
      <c r="S490" s="30" t="str">
        <f aca="false">IF($B490="","",$R490&amp;"|"&amp;N($E490))</f>
        <v/>
      </c>
    </row>
    <row r="491" customFormat="false" ht="15" hidden="false" customHeight="false" outlineLevel="0" collapsed="false">
      <c r="D491" s="10"/>
      <c r="E491" s="11"/>
      <c r="F491" s="38"/>
      <c r="G491" s="10"/>
      <c r="I491" s="11"/>
      <c r="J491" s="10"/>
      <c r="K491" s="10"/>
      <c r="M491" s="31" t="str">
        <f aca="false">IF($B491="","",IFERROR(IF(INDEX(campaigns!$BG$2:$BG$51,MATCH($B491,campaigns!$A$2:$A$51,0))="","",INDEX(campaigns!$BG$2:$BG$51,MATCH($B491,campaigns!$A$2:$A$51,0))),""))</f>
        <v/>
      </c>
      <c r="N491" s="30" t="str">
        <f aca="false">IF(OR($B491="",$E491="",$M491=""),"",IF($E491&lt;$M491,0,NETWORKDAYS($M491,$E491,calendar!$A$2:$A$80)))</f>
        <v/>
      </c>
      <c r="O491" s="30" t="str">
        <f aca="false">IF($B491="","",IF(AND($K491="Y",OR($D491="later",$J491="Y")),"Y","N"))</f>
        <v/>
      </c>
      <c r="P491" s="30" t="str">
        <f aca="false">IF(OR($B491="",$E491=""),"",$B491&amp;"_"&amp;$C491&amp;"_"&amp;$D491&amp;"_"&amp;TEXT($E491,"yyyy-mm-dd")&amp;".jpg")</f>
        <v/>
      </c>
      <c r="Q491" s="30" t="str">
        <f aca="false">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30" t="str">
        <f aca="false">IF($B491="","",$B491&amp;"|"&amp;$C491&amp;"|"&amp;$D491&amp;"|"&amp;$O491)</f>
        <v/>
      </c>
      <c r="S491" s="30" t="str">
        <f aca="false">IF($B491="","",$R491&amp;"|"&amp;N($E491))</f>
        <v/>
      </c>
    </row>
    <row r="492" customFormat="false" ht="15" hidden="false" customHeight="false" outlineLevel="0" collapsed="false">
      <c r="D492" s="10"/>
      <c r="E492" s="11"/>
      <c r="F492" s="38"/>
      <c r="G492" s="10"/>
      <c r="I492" s="11"/>
      <c r="J492" s="10"/>
      <c r="K492" s="10"/>
      <c r="M492" s="31" t="str">
        <f aca="false">IF($B492="","",IFERROR(IF(INDEX(campaigns!$BG$2:$BG$51,MATCH($B492,campaigns!$A$2:$A$51,0))="","",INDEX(campaigns!$BG$2:$BG$51,MATCH($B492,campaigns!$A$2:$A$51,0))),""))</f>
        <v/>
      </c>
      <c r="N492" s="30" t="str">
        <f aca="false">IF(OR($B492="",$E492="",$M492=""),"",IF($E492&lt;$M492,0,NETWORKDAYS($M492,$E492,calendar!$A$2:$A$80)))</f>
        <v/>
      </c>
      <c r="O492" s="30" t="str">
        <f aca="false">IF($B492="","",IF(AND($K492="Y",OR($D492="later",$J492="Y")),"Y","N"))</f>
        <v/>
      </c>
      <c r="P492" s="30" t="str">
        <f aca="false">IF(OR($B492="",$E492=""),"",$B492&amp;"_"&amp;$C492&amp;"_"&amp;$D492&amp;"_"&amp;TEXT($E492,"yyyy-mm-dd")&amp;".jpg")</f>
        <v/>
      </c>
      <c r="Q492" s="30" t="str">
        <f aca="false">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30" t="str">
        <f aca="false">IF($B492="","",$B492&amp;"|"&amp;$C492&amp;"|"&amp;$D492&amp;"|"&amp;$O492)</f>
        <v/>
      </c>
      <c r="S492" s="30" t="str">
        <f aca="false">IF($B492="","",$R492&amp;"|"&amp;N($E492))</f>
        <v/>
      </c>
    </row>
    <row r="493" customFormat="false" ht="15" hidden="false" customHeight="false" outlineLevel="0" collapsed="false">
      <c r="D493" s="10"/>
      <c r="E493" s="11"/>
      <c r="F493" s="38"/>
      <c r="G493" s="10"/>
      <c r="I493" s="11"/>
      <c r="J493" s="10"/>
      <c r="K493" s="10"/>
      <c r="M493" s="31" t="str">
        <f aca="false">IF($B493="","",IFERROR(IF(INDEX(campaigns!$BG$2:$BG$51,MATCH($B493,campaigns!$A$2:$A$51,0))="","",INDEX(campaigns!$BG$2:$BG$51,MATCH($B493,campaigns!$A$2:$A$51,0))),""))</f>
        <v/>
      </c>
      <c r="N493" s="30" t="str">
        <f aca="false">IF(OR($B493="",$E493="",$M493=""),"",IF($E493&lt;$M493,0,NETWORKDAYS($M493,$E493,calendar!$A$2:$A$80)))</f>
        <v/>
      </c>
      <c r="O493" s="30" t="str">
        <f aca="false">IF($B493="","",IF(AND($K493="Y",OR($D493="later",$J493="Y")),"Y","N"))</f>
        <v/>
      </c>
      <c r="P493" s="30" t="str">
        <f aca="false">IF(OR($B493="",$E493=""),"",$B493&amp;"_"&amp;$C493&amp;"_"&amp;$D493&amp;"_"&amp;TEXT($E493,"yyyy-mm-dd")&amp;".jpg")</f>
        <v/>
      </c>
      <c r="Q493" s="30" t="str">
        <f aca="false">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30" t="str">
        <f aca="false">IF($B493="","",$B493&amp;"|"&amp;$C493&amp;"|"&amp;$D493&amp;"|"&amp;$O493)</f>
        <v/>
      </c>
      <c r="S493" s="30" t="str">
        <f aca="false">IF($B493="","",$R493&amp;"|"&amp;N($E493))</f>
        <v/>
      </c>
    </row>
    <row r="494" customFormat="false" ht="15" hidden="false" customHeight="false" outlineLevel="0" collapsed="false">
      <c r="D494" s="10"/>
      <c r="E494" s="11"/>
      <c r="F494" s="38"/>
      <c r="G494" s="10"/>
      <c r="I494" s="11"/>
      <c r="J494" s="10"/>
      <c r="K494" s="10"/>
      <c r="M494" s="31" t="str">
        <f aca="false">IF($B494="","",IFERROR(IF(INDEX(campaigns!$BG$2:$BG$51,MATCH($B494,campaigns!$A$2:$A$51,0))="","",INDEX(campaigns!$BG$2:$BG$51,MATCH($B494,campaigns!$A$2:$A$51,0))),""))</f>
        <v/>
      </c>
      <c r="N494" s="30" t="str">
        <f aca="false">IF(OR($B494="",$E494="",$M494=""),"",IF($E494&lt;$M494,0,NETWORKDAYS($M494,$E494,calendar!$A$2:$A$80)))</f>
        <v/>
      </c>
      <c r="O494" s="30" t="str">
        <f aca="false">IF($B494="","",IF(AND($K494="Y",OR($D494="later",$J494="Y")),"Y","N"))</f>
        <v/>
      </c>
      <c r="P494" s="30" t="str">
        <f aca="false">IF(OR($B494="",$E494=""),"",$B494&amp;"_"&amp;$C494&amp;"_"&amp;$D494&amp;"_"&amp;TEXT($E494,"yyyy-mm-dd")&amp;".jpg")</f>
        <v/>
      </c>
      <c r="Q494" s="30" t="str">
        <f aca="false">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30" t="str">
        <f aca="false">IF($B494="","",$B494&amp;"|"&amp;$C494&amp;"|"&amp;$D494&amp;"|"&amp;$O494)</f>
        <v/>
      </c>
      <c r="S494" s="30" t="str">
        <f aca="false">IF($B494="","",$R494&amp;"|"&amp;N($E494))</f>
        <v/>
      </c>
    </row>
    <row r="495" customFormat="false" ht="15" hidden="false" customHeight="false" outlineLevel="0" collapsed="false">
      <c r="D495" s="10"/>
      <c r="E495" s="11"/>
      <c r="F495" s="38"/>
      <c r="G495" s="10"/>
      <c r="I495" s="11"/>
      <c r="J495" s="10"/>
      <c r="K495" s="10"/>
      <c r="M495" s="31" t="str">
        <f aca="false">IF($B495="","",IFERROR(IF(INDEX(campaigns!$BG$2:$BG$51,MATCH($B495,campaigns!$A$2:$A$51,0))="","",INDEX(campaigns!$BG$2:$BG$51,MATCH($B495,campaigns!$A$2:$A$51,0))),""))</f>
        <v/>
      </c>
      <c r="N495" s="30" t="str">
        <f aca="false">IF(OR($B495="",$E495="",$M495=""),"",IF($E495&lt;$M495,0,NETWORKDAYS($M495,$E495,calendar!$A$2:$A$80)))</f>
        <v/>
      </c>
      <c r="O495" s="30" t="str">
        <f aca="false">IF($B495="","",IF(AND($K495="Y",OR($D495="later",$J495="Y")),"Y","N"))</f>
        <v/>
      </c>
      <c r="P495" s="30" t="str">
        <f aca="false">IF(OR($B495="",$E495=""),"",$B495&amp;"_"&amp;$C495&amp;"_"&amp;$D495&amp;"_"&amp;TEXT($E495,"yyyy-mm-dd")&amp;".jpg")</f>
        <v/>
      </c>
      <c r="Q495" s="30" t="str">
        <f aca="false">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30" t="str">
        <f aca="false">IF($B495="","",$B495&amp;"|"&amp;$C495&amp;"|"&amp;$D495&amp;"|"&amp;$O495)</f>
        <v/>
      </c>
      <c r="S495" s="30" t="str">
        <f aca="false">IF($B495="","",$R495&amp;"|"&amp;N($E495))</f>
        <v/>
      </c>
    </row>
    <row r="496" customFormat="false" ht="15" hidden="false" customHeight="false" outlineLevel="0" collapsed="false">
      <c r="D496" s="10"/>
      <c r="E496" s="11"/>
      <c r="F496" s="38"/>
      <c r="G496" s="10"/>
      <c r="I496" s="11"/>
      <c r="J496" s="10"/>
      <c r="K496" s="10"/>
      <c r="M496" s="31" t="str">
        <f aca="false">IF($B496="","",IFERROR(IF(INDEX(campaigns!$BG$2:$BG$51,MATCH($B496,campaigns!$A$2:$A$51,0))="","",INDEX(campaigns!$BG$2:$BG$51,MATCH($B496,campaigns!$A$2:$A$51,0))),""))</f>
        <v/>
      </c>
      <c r="N496" s="30" t="str">
        <f aca="false">IF(OR($B496="",$E496="",$M496=""),"",IF($E496&lt;$M496,0,NETWORKDAYS($M496,$E496,calendar!$A$2:$A$80)))</f>
        <v/>
      </c>
      <c r="O496" s="30" t="str">
        <f aca="false">IF($B496="","",IF(AND($K496="Y",OR($D496="later",$J496="Y")),"Y","N"))</f>
        <v/>
      </c>
      <c r="P496" s="30" t="str">
        <f aca="false">IF(OR($B496="",$E496=""),"",$B496&amp;"_"&amp;$C496&amp;"_"&amp;$D496&amp;"_"&amp;TEXT($E496,"yyyy-mm-dd")&amp;".jpg")</f>
        <v/>
      </c>
      <c r="Q496" s="30" t="str">
        <f aca="false">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30" t="str">
        <f aca="false">IF($B496="","",$B496&amp;"|"&amp;$C496&amp;"|"&amp;$D496&amp;"|"&amp;$O496)</f>
        <v/>
      </c>
      <c r="S496" s="30" t="str">
        <f aca="false">IF($B496="","",$R496&amp;"|"&amp;N($E496))</f>
        <v/>
      </c>
    </row>
    <row r="497" customFormat="false" ht="15" hidden="false" customHeight="false" outlineLevel="0" collapsed="false">
      <c r="D497" s="10"/>
      <c r="E497" s="11"/>
      <c r="F497" s="38"/>
      <c r="G497" s="10"/>
      <c r="I497" s="11"/>
      <c r="J497" s="10"/>
      <c r="K497" s="10"/>
      <c r="M497" s="31" t="str">
        <f aca="false">IF($B497="","",IFERROR(IF(INDEX(campaigns!$BG$2:$BG$51,MATCH($B497,campaigns!$A$2:$A$51,0))="","",INDEX(campaigns!$BG$2:$BG$51,MATCH($B497,campaigns!$A$2:$A$51,0))),""))</f>
        <v/>
      </c>
      <c r="N497" s="30" t="str">
        <f aca="false">IF(OR($B497="",$E497="",$M497=""),"",IF($E497&lt;$M497,0,NETWORKDAYS($M497,$E497,calendar!$A$2:$A$80)))</f>
        <v/>
      </c>
      <c r="O497" s="30" t="str">
        <f aca="false">IF($B497="","",IF(AND($K497="Y",OR($D497="later",$J497="Y")),"Y","N"))</f>
        <v/>
      </c>
      <c r="P497" s="30" t="str">
        <f aca="false">IF(OR($B497="",$E497=""),"",$B497&amp;"_"&amp;$C497&amp;"_"&amp;$D497&amp;"_"&amp;TEXT($E497,"yyyy-mm-dd")&amp;".jpg")</f>
        <v/>
      </c>
      <c r="Q497" s="30" t="str">
        <f aca="false">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30" t="str">
        <f aca="false">IF($B497="","",$B497&amp;"|"&amp;$C497&amp;"|"&amp;$D497&amp;"|"&amp;$O497)</f>
        <v/>
      </c>
      <c r="S497" s="30" t="str">
        <f aca="false">IF($B497="","",$R497&amp;"|"&amp;N($E497))</f>
        <v/>
      </c>
    </row>
    <row r="498" customFormat="false" ht="15" hidden="false" customHeight="false" outlineLevel="0" collapsed="false">
      <c r="D498" s="10"/>
      <c r="E498" s="11"/>
      <c r="F498" s="38"/>
      <c r="G498" s="10"/>
      <c r="I498" s="11"/>
      <c r="J498" s="10"/>
      <c r="K498" s="10"/>
      <c r="M498" s="31" t="str">
        <f aca="false">IF($B498="","",IFERROR(IF(INDEX(campaigns!$BG$2:$BG$51,MATCH($B498,campaigns!$A$2:$A$51,0))="","",INDEX(campaigns!$BG$2:$BG$51,MATCH($B498,campaigns!$A$2:$A$51,0))),""))</f>
        <v/>
      </c>
      <c r="N498" s="30" t="str">
        <f aca="false">IF(OR($B498="",$E498="",$M498=""),"",IF($E498&lt;$M498,0,NETWORKDAYS($M498,$E498,calendar!$A$2:$A$80)))</f>
        <v/>
      </c>
      <c r="O498" s="30" t="str">
        <f aca="false">IF($B498="","",IF(AND($K498="Y",OR($D498="later",$J498="Y")),"Y","N"))</f>
        <v/>
      </c>
      <c r="P498" s="30" t="str">
        <f aca="false">IF(OR($B498="",$E498=""),"",$B498&amp;"_"&amp;$C498&amp;"_"&amp;$D498&amp;"_"&amp;TEXT($E498,"yyyy-mm-dd")&amp;".jpg")</f>
        <v/>
      </c>
      <c r="Q498" s="30" t="str">
        <f aca="false">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30" t="str">
        <f aca="false">IF($B498="","",$B498&amp;"|"&amp;$C498&amp;"|"&amp;$D498&amp;"|"&amp;$O498)</f>
        <v/>
      </c>
      <c r="S498" s="30" t="str">
        <f aca="false">IF($B498="","",$R498&amp;"|"&amp;N($E498))</f>
        <v/>
      </c>
    </row>
    <row r="499" customFormat="false" ht="15" hidden="false" customHeight="false" outlineLevel="0" collapsed="false">
      <c r="D499" s="10"/>
      <c r="E499" s="11"/>
      <c r="F499" s="38"/>
      <c r="G499" s="10"/>
      <c r="I499" s="11"/>
      <c r="J499" s="10"/>
      <c r="K499" s="10"/>
      <c r="M499" s="31" t="str">
        <f aca="false">IF($B499="","",IFERROR(IF(INDEX(campaigns!$BG$2:$BG$51,MATCH($B499,campaigns!$A$2:$A$51,0))="","",INDEX(campaigns!$BG$2:$BG$51,MATCH($B499,campaigns!$A$2:$A$51,0))),""))</f>
        <v/>
      </c>
      <c r="N499" s="30" t="str">
        <f aca="false">IF(OR($B499="",$E499="",$M499=""),"",IF($E499&lt;$M499,0,NETWORKDAYS($M499,$E499,calendar!$A$2:$A$80)))</f>
        <v/>
      </c>
      <c r="O499" s="30" t="str">
        <f aca="false">IF($B499="","",IF(AND($K499="Y",OR($D499="later",$J499="Y")),"Y","N"))</f>
        <v/>
      </c>
      <c r="P499" s="30" t="str">
        <f aca="false">IF(OR($B499="",$E499=""),"",$B499&amp;"_"&amp;$C499&amp;"_"&amp;$D499&amp;"_"&amp;TEXT($E499,"yyyy-mm-dd")&amp;".jpg")</f>
        <v/>
      </c>
      <c r="Q499" s="30" t="str">
        <f aca="false">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30" t="str">
        <f aca="false">IF($B499="","",$B499&amp;"|"&amp;$C499&amp;"|"&amp;$D499&amp;"|"&amp;$O499)</f>
        <v/>
      </c>
      <c r="S499" s="30" t="str">
        <f aca="false">IF($B499="","",$R499&amp;"|"&amp;N($E499))</f>
        <v/>
      </c>
    </row>
    <row r="500" customFormat="false" ht="15" hidden="false" customHeight="false" outlineLevel="0" collapsed="false">
      <c r="D500" s="10"/>
      <c r="E500" s="11"/>
      <c r="F500" s="38"/>
      <c r="G500" s="10"/>
      <c r="I500" s="11"/>
      <c r="J500" s="10"/>
      <c r="K500" s="10"/>
      <c r="M500" s="31" t="str">
        <f aca="false">IF($B500="","",IFERROR(IF(INDEX(campaigns!$BG$2:$BG$51,MATCH($B500,campaigns!$A$2:$A$51,0))="","",INDEX(campaigns!$BG$2:$BG$51,MATCH($B500,campaigns!$A$2:$A$51,0))),""))</f>
        <v/>
      </c>
      <c r="N500" s="30" t="str">
        <f aca="false">IF(OR($B500="",$E500="",$M500=""),"",IF($E500&lt;$M500,0,NETWORKDAYS($M500,$E500,calendar!$A$2:$A$80)))</f>
        <v/>
      </c>
      <c r="O500" s="30" t="str">
        <f aca="false">IF($B500="","",IF(AND($K500="Y",OR($D500="later",$J500="Y")),"Y","N"))</f>
        <v/>
      </c>
      <c r="P500" s="30" t="str">
        <f aca="false">IF(OR($B500="",$E500=""),"",$B500&amp;"_"&amp;$C500&amp;"_"&amp;$D500&amp;"_"&amp;TEXT($E500,"yyyy-mm-dd")&amp;".jpg")</f>
        <v/>
      </c>
      <c r="Q500" s="30" t="str">
        <f aca="false">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30" t="str">
        <f aca="false">IF($B500="","",$B500&amp;"|"&amp;$C500&amp;"|"&amp;$D500&amp;"|"&amp;$O500)</f>
        <v/>
      </c>
      <c r="S500" s="30" t="str">
        <f aca="false">IF($B500="","",$R500&amp;"|"&amp;N($E500))</f>
        <v/>
      </c>
    </row>
    <row r="501" customFormat="false" ht="15" hidden="false" customHeight="false" outlineLevel="0" collapsed="false">
      <c r="D501" s="10"/>
      <c r="E501" s="11"/>
      <c r="F501" s="38"/>
      <c r="G501" s="10"/>
      <c r="I501" s="11"/>
      <c r="J501" s="10"/>
      <c r="K501" s="10"/>
      <c r="M501" s="31" t="str">
        <f aca="false">IF($B501="","",IFERROR(IF(INDEX(campaigns!$BG$2:$BG$51,MATCH($B501,campaigns!$A$2:$A$51,0))="","",INDEX(campaigns!$BG$2:$BG$51,MATCH($B501,campaigns!$A$2:$A$51,0))),""))</f>
        <v/>
      </c>
      <c r="N501" s="30" t="str">
        <f aca="false">IF(OR($B501="",$E501="",$M501=""),"",IF($E501&lt;$M501,0,NETWORKDAYS($M501,$E501,calendar!$A$2:$A$80)))</f>
        <v/>
      </c>
      <c r="O501" s="30" t="str">
        <f aca="false">IF($B501="","",IF(AND($K501="Y",OR($D501="later",$J501="Y")),"Y","N"))</f>
        <v/>
      </c>
      <c r="P501" s="30" t="str">
        <f aca="false">IF(OR($B501="",$E501=""),"",$B501&amp;"_"&amp;$C501&amp;"_"&amp;$D501&amp;"_"&amp;TEXT($E501,"yyyy-mm-dd")&amp;".jpg")</f>
        <v/>
      </c>
      <c r="Q501" s="30" t="str">
        <f aca="false">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30" t="str">
        <f aca="false">IF($B501="","",$B501&amp;"|"&amp;$C501&amp;"|"&amp;$D501&amp;"|"&amp;$O501)</f>
        <v/>
      </c>
      <c r="S501" s="30" t="str">
        <f aca="false">IF($B501="","",$R501&amp;"|"&amp;N($E501))</f>
        <v/>
      </c>
    </row>
    <row r="502" customFormat="false" ht="15" hidden="false" customHeight="false" outlineLevel="0" collapsed="false">
      <c r="D502" s="10"/>
      <c r="E502" s="11"/>
      <c r="F502" s="38"/>
      <c r="G502" s="10"/>
      <c r="I502" s="11"/>
      <c r="J502" s="10"/>
      <c r="K502" s="10"/>
      <c r="M502" s="31" t="str">
        <f aca="false">IF($B502="","",IFERROR(IF(INDEX(campaigns!$BG$2:$BG$51,MATCH($B502,campaigns!$A$2:$A$51,0))="","",INDEX(campaigns!$BG$2:$BG$51,MATCH($B502,campaigns!$A$2:$A$51,0))),""))</f>
        <v/>
      </c>
      <c r="N502" s="30" t="str">
        <f aca="false">IF(OR($B502="",$E502="",$M502=""),"",IF($E502&lt;$M502,0,NETWORKDAYS($M502,$E502,calendar!$A$2:$A$80)))</f>
        <v/>
      </c>
      <c r="O502" s="30" t="str">
        <f aca="false">IF($B502="","",IF(AND($K502="Y",OR($D502="later",$J502="Y")),"Y","N"))</f>
        <v/>
      </c>
      <c r="P502" s="30" t="str">
        <f aca="false">IF(OR($B502="",$E502=""),"",$B502&amp;"_"&amp;$C502&amp;"_"&amp;$D502&amp;"_"&amp;TEXT($E502,"yyyy-mm-dd")&amp;".jpg")</f>
        <v/>
      </c>
      <c r="Q502" s="30" t="str">
        <f aca="false">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30" t="str">
        <f aca="false">IF($B502="","",$B502&amp;"|"&amp;$C502&amp;"|"&amp;$D502&amp;"|"&amp;$O502)</f>
        <v/>
      </c>
      <c r="S502" s="30" t="str">
        <f aca="false">IF($B502="","",$R502&amp;"|"&amp;N($E502))</f>
        <v/>
      </c>
    </row>
    <row r="503" customFormat="false" ht="15" hidden="false" customHeight="false" outlineLevel="0" collapsed="false">
      <c r="D503" s="10"/>
      <c r="E503" s="11"/>
      <c r="F503" s="38"/>
      <c r="G503" s="10"/>
      <c r="I503" s="11"/>
      <c r="J503" s="10"/>
      <c r="K503" s="10"/>
      <c r="M503" s="31" t="str">
        <f aca="false">IF($B503="","",IFERROR(IF(INDEX(campaigns!$BG$2:$BG$51,MATCH($B503,campaigns!$A$2:$A$51,0))="","",INDEX(campaigns!$BG$2:$BG$51,MATCH($B503,campaigns!$A$2:$A$51,0))),""))</f>
        <v/>
      </c>
      <c r="N503" s="30" t="str">
        <f aca="false">IF(OR($B503="",$E503="",$M503=""),"",IF($E503&lt;$M503,0,NETWORKDAYS($M503,$E503,calendar!$A$2:$A$80)))</f>
        <v/>
      </c>
      <c r="O503" s="30" t="str">
        <f aca="false">IF($B503="","",IF(AND($K503="Y",OR($D503="later",$J503="Y")),"Y","N"))</f>
        <v/>
      </c>
      <c r="P503" s="30" t="str">
        <f aca="false">IF(OR($B503="",$E503=""),"",$B503&amp;"_"&amp;$C503&amp;"_"&amp;$D503&amp;"_"&amp;TEXT($E503,"yyyy-mm-dd")&amp;".jpg")</f>
        <v/>
      </c>
      <c r="Q503" s="30" t="str">
        <f aca="false">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30" t="str">
        <f aca="false">IF($B503="","",$B503&amp;"|"&amp;$C503&amp;"|"&amp;$D503&amp;"|"&amp;$O503)</f>
        <v/>
      </c>
      <c r="S503" s="30" t="str">
        <f aca="false">IF($B503="","",$R503&amp;"|"&amp;N($E503))</f>
        <v/>
      </c>
    </row>
    <row r="504" customFormat="false" ht="15" hidden="false" customHeight="false" outlineLevel="0" collapsed="false">
      <c r="D504" s="10"/>
      <c r="E504" s="11"/>
      <c r="F504" s="38"/>
      <c r="G504" s="10"/>
      <c r="I504" s="11"/>
      <c r="J504" s="10"/>
      <c r="K504" s="10"/>
      <c r="M504" s="31" t="str">
        <f aca="false">IF($B504="","",IFERROR(IF(INDEX(campaigns!$BG$2:$BG$51,MATCH($B504,campaigns!$A$2:$A$51,0))="","",INDEX(campaigns!$BG$2:$BG$51,MATCH($B504,campaigns!$A$2:$A$51,0))),""))</f>
        <v/>
      </c>
      <c r="N504" s="30" t="str">
        <f aca="false">IF(OR($B504="",$E504="",$M504=""),"",IF($E504&lt;$M504,0,NETWORKDAYS($M504,$E504,calendar!$A$2:$A$80)))</f>
        <v/>
      </c>
      <c r="O504" s="30" t="str">
        <f aca="false">IF($B504="","",IF(AND($K504="Y",OR($D504="later",$J504="Y")),"Y","N"))</f>
        <v/>
      </c>
      <c r="P504" s="30" t="str">
        <f aca="false">IF(OR($B504="",$E504=""),"",$B504&amp;"_"&amp;$C504&amp;"_"&amp;$D504&amp;"_"&amp;TEXT($E504,"yyyy-mm-dd")&amp;".jpg")</f>
        <v/>
      </c>
      <c r="Q504" s="30" t="str">
        <f aca="false">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30" t="str">
        <f aca="false">IF($B504="","",$B504&amp;"|"&amp;$C504&amp;"|"&amp;$D504&amp;"|"&amp;$O504)</f>
        <v/>
      </c>
      <c r="S504" s="30" t="str">
        <f aca="false">IF($B504="","",$R504&amp;"|"&amp;N($E504))</f>
        <v/>
      </c>
    </row>
    <row r="505" customFormat="false" ht="15" hidden="false" customHeight="false" outlineLevel="0" collapsed="false">
      <c r="D505" s="10"/>
      <c r="E505" s="11"/>
      <c r="F505" s="38"/>
      <c r="G505" s="10"/>
      <c r="I505" s="11"/>
      <c r="J505" s="10"/>
      <c r="K505" s="10"/>
      <c r="M505" s="31" t="str">
        <f aca="false">IF($B505="","",IFERROR(IF(INDEX(campaigns!$BG$2:$BG$51,MATCH($B505,campaigns!$A$2:$A$51,0))="","",INDEX(campaigns!$BG$2:$BG$51,MATCH($B505,campaigns!$A$2:$A$51,0))),""))</f>
        <v/>
      </c>
      <c r="N505" s="30" t="str">
        <f aca="false">IF(OR($B505="",$E505="",$M505=""),"",IF($E505&lt;$M505,0,NETWORKDAYS($M505,$E505,calendar!$A$2:$A$80)))</f>
        <v/>
      </c>
      <c r="O505" s="30" t="str">
        <f aca="false">IF($B505="","",IF(AND($K505="Y",OR($D505="later",$J505="Y")),"Y","N"))</f>
        <v/>
      </c>
      <c r="P505" s="30" t="str">
        <f aca="false">IF(OR($B505="",$E505=""),"",$B505&amp;"_"&amp;$C505&amp;"_"&amp;$D505&amp;"_"&amp;TEXT($E505,"yyyy-mm-dd")&amp;".jpg")</f>
        <v/>
      </c>
      <c r="Q505" s="30" t="str">
        <f aca="false">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30" t="str">
        <f aca="false">IF($B505="","",$B505&amp;"|"&amp;$C505&amp;"|"&amp;$D505&amp;"|"&amp;$O505)</f>
        <v/>
      </c>
      <c r="S505" s="30" t="str">
        <f aca="false">IF($B505="","",$R505&amp;"|"&amp;N($E505))</f>
        <v/>
      </c>
    </row>
    <row r="506" customFormat="false" ht="15" hidden="false" customHeight="false" outlineLevel="0" collapsed="false">
      <c r="D506" s="10"/>
      <c r="E506" s="11"/>
      <c r="F506" s="38"/>
      <c r="G506" s="10"/>
      <c r="I506" s="11"/>
      <c r="J506" s="10"/>
      <c r="K506" s="10"/>
      <c r="M506" s="31" t="str">
        <f aca="false">IF($B506="","",IFERROR(IF(INDEX(campaigns!$BG$2:$BG$51,MATCH($B506,campaigns!$A$2:$A$51,0))="","",INDEX(campaigns!$BG$2:$BG$51,MATCH($B506,campaigns!$A$2:$A$51,0))),""))</f>
        <v/>
      </c>
      <c r="N506" s="30" t="str">
        <f aca="false">IF(OR($B506="",$E506="",$M506=""),"",IF($E506&lt;$M506,0,NETWORKDAYS($M506,$E506,calendar!$A$2:$A$80)))</f>
        <v/>
      </c>
      <c r="O506" s="30" t="str">
        <f aca="false">IF($B506="","",IF(AND($K506="Y",OR($D506="later",$J506="Y")),"Y","N"))</f>
        <v/>
      </c>
      <c r="P506" s="30" t="str">
        <f aca="false">IF(OR($B506="",$E506=""),"",$B506&amp;"_"&amp;$C506&amp;"_"&amp;$D506&amp;"_"&amp;TEXT($E506,"yyyy-mm-dd")&amp;".jpg")</f>
        <v/>
      </c>
      <c r="Q506" s="30" t="str">
        <f aca="false">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30" t="str">
        <f aca="false">IF($B506="","",$B506&amp;"|"&amp;$C506&amp;"|"&amp;$D506&amp;"|"&amp;$O506)</f>
        <v/>
      </c>
      <c r="S506" s="30" t="str">
        <f aca="false">IF($B506="","",$R506&amp;"|"&amp;N($E506))</f>
        <v/>
      </c>
    </row>
    <row r="507" customFormat="false" ht="15" hidden="false" customHeight="false" outlineLevel="0" collapsed="false">
      <c r="D507" s="10"/>
      <c r="E507" s="11"/>
      <c r="F507" s="38"/>
      <c r="G507" s="10"/>
      <c r="I507" s="11"/>
      <c r="J507" s="10"/>
      <c r="K507" s="10"/>
      <c r="M507" s="31" t="str">
        <f aca="false">IF($B507="","",IFERROR(IF(INDEX(campaigns!$BG$2:$BG$51,MATCH($B507,campaigns!$A$2:$A$51,0))="","",INDEX(campaigns!$BG$2:$BG$51,MATCH($B507,campaigns!$A$2:$A$51,0))),""))</f>
        <v/>
      </c>
      <c r="N507" s="30" t="str">
        <f aca="false">IF(OR($B507="",$E507="",$M507=""),"",IF($E507&lt;$M507,0,NETWORKDAYS($M507,$E507,calendar!$A$2:$A$80)))</f>
        <v/>
      </c>
      <c r="O507" s="30" t="str">
        <f aca="false">IF($B507="","",IF(AND($K507="Y",OR($D507="later",$J507="Y")),"Y","N"))</f>
        <v/>
      </c>
      <c r="P507" s="30" t="str">
        <f aca="false">IF(OR($B507="",$E507=""),"",$B507&amp;"_"&amp;$C507&amp;"_"&amp;$D507&amp;"_"&amp;TEXT($E507,"yyyy-mm-dd")&amp;".jpg")</f>
        <v/>
      </c>
      <c r="Q507" s="30" t="str">
        <f aca="false">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30" t="str">
        <f aca="false">IF($B507="","",$B507&amp;"|"&amp;$C507&amp;"|"&amp;$D507&amp;"|"&amp;$O507)</f>
        <v/>
      </c>
      <c r="S507" s="30" t="str">
        <f aca="false">IF($B507="","",$R507&amp;"|"&amp;N($E507))</f>
        <v/>
      </c>
    </row>
    <row r="508" customFormat="false" ht="15" hidden="false" customHeight="false" outlineLevel="0" collapsed="false">
      <c r="D508" s="10"/>
      <c r="E508" s="11"/>
      <c r="F508" s="38"/>
      <c r="G508" s="10"/>
      <c r="I508" s="11"/>
      <c r="J508" s="10"/>
      <c r="K508" s="10"/>
      <c r="M508" s="31" t="str">
        <f aca="false">IF($B508="","",IFERROR(IF(INDEX(campaigns!$BG$2:$BG$51,MATCH($B508,campaigns!$A$2:$A$51,0))="","",INDEX(campaigns!$BG$2:$BG$51,MATCH($B508,campaigns!$A$2:$A$51,0))),""))</f>
        <v/>
      </c>
      <c r="N508" s="30" t="str">
        <f aca="false">IF(OR($B508="",$E508="",$M508=""),"",IF($E508&lt;$M508,0,NETWORKDAYS($M508,$E508,calendar!$A$2:$A$80)))</f>
        <v/>
      </c>
      <c r="O508" s="30" t="str">
        <f aca="false">IF($B508="","",IF(AND($K508="Y",OR($D508="later",$J508="Y")),"Y","N"))</f>
        <v/>
      </c>
      <c r="P508" s="30" t="str">
        <f aca="false">IF(OR($B508="",$E508=""),"",$B508&amp;"_"&amp;$C508&amp;"_"&amp;$D508&amp;"_"&amp;TEXT($E508,"yyyy-mm-dd")&amp;".jpg")</f>
        <v/>
      </c>
      <c r="Q508" s="30" t="str">
        <f aca="false">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30" t="str">
        <f aca="false">IF($B508="","",$B508&amp;"|"&amp;$C508&amp;"|"&amp;$D508&amp;"|"&amp;$O508)</f>
        <v/>
      </c>
      <c r="S508" s="30" t="str">
        <f aca="false">IF($B508="","",$R508&amp;"|"&amp;N($E508))</f>
        <v/>
      </c>
    </row>
    <row r="509" customFormat="false" ht="15" hidden="false" customHeight="false" outlineLevel="0" collapsed="false">
      <c r="D509" s="10"/>
      <c r="E509" s="11"/>
      <c r="F509" s="38"/>
      <c r="G509" s="10"/>
      <c r="I509" s="11"/>
      <c r="J509" s="10"/>
      <c r="K509" s="10"/>
      <c r="M509" s="31" t="str">
        <f aca="false">IF($B509="","",IFERROR(IF(INDEX(campaigns!$BG$2:$BG$51,MATCH($B509,campaigns!$A$2:$A$51,0))="","",INDEX(campaigns!$BG$2:$BG$51,MATCH($B509,campaigns!$A$2:$A$51,0))),""))</f>
        <v/>
      </c>
      <c r="N509" s="30" t="str">
        <f aca="false">IF(OR($B509="",$E509="",$M509=""),"",IF($E509&lt;$M509,0,NETWORKDAYS($M509,$E509,calendar!$A$2:$A$80)))</f>
        <v/>
      </c>
      <c r="O509" s="30" t="str">
        <f aca="false">IF($B509="","",IF(AND($K509="Y",OR($D509="later",$J509="Y")),"Y","N"))</f>
        <v/>
      </c>
      <c r="P509" s="30" t="str">
        <f aca="false">IF(OR($B509="",$E509=""),"",$B509&amp;"_"&amp;$C509&amp;"_"&amp;$D509&amp;"_"&amp;TEXT($E509,"yyyy-mm-dd")&amp;".jpg")</f>
        <v/>
      </c>
      <c r="Q509" s="30" t="str">
        <f aca="false">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30" t="str">
        <f aca="false">IF($B509="","",$B509&amp;"|"&amp;$C509&amp;"|"&amp;$D509&amp;"|"&amp;$O509)</f>
        <v/>
      </c>
      <c r="S509" s="30" t="str">
        <f aca="false">IF($B509="","",$R509&amp;"|"&amp;N($E509))</f>
        <v/>
      </c>
    </row>
    <row r="510" customFormat="false" ht="15" hidden="false" customHeight="false" outlineLevel="0" collapsed="false">
      <c r="D510" s="10"/>
      <c r="E510" s="11"/>
      <c r="F510" s="38"/>
      <c r="G510" s="10"/>
      <c r="I510" s="11"/>
      <c r="J510" s="10"/>
      <c r="K510" s="10"/>
      <c r="M510" s="31" t="str">
        <f aca="false">IF($B510="","",IFERROR(IF(INDEX(campaigns!$BG$2:$BG$51,MATCH($B510,campaigns!$A$2:$A$51,0))="","",INDEX(campaigns!$BG$2:$BG$51,MATCH($B510,campaigns!$A$2:$A$51,0))),""))</f>
        <v/>
      </c>
      <c r="N510" s="30" t="str">
        <f aca="false">IF(OR($B510="",$E510="",$M510=""),"",IF($E510&lt;$M510,0,NETWORKDAYS($M510,$E510,calendar!$A$2:$A$80)))</f>
        <v/>
      </c>
      <c r="O510" s="30" t="str">
        <f aca="false">IF($B510="","",IF(AND($K510="Y",OR($D510="later",$J510="Y")),"Y","N"))</f>
        <v/>
      </c>
      <c r="P510" s="30" t="str">
        <f aca="false">IF(OR($B510="",$E510=""),"",$B510&amp;"_"&amp;$C510&amp;"_"&amp;$D510&amp;"_"&amp;TEXT($E510,"yyyy-mm-dd")&amp;".jpg")</f>
        <v/>
      </c>
      <c r="Q510" s="30" t="str">
        <f aca="false">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30" t="str">
        <f aca="false">IF($B510="","",$B510&amp;"|"&amp;$C510&amp;"|"&amp;$D510&amp;"|"&amp;$O510)</f>
        <v/>
      </c>
      <c r="S510" s="30" t="str">
        <f aca="false">IF($B510="","",$R510&amp;"|"&amp;N($E510))</f>
        <v/>
      </c>
    </row>
    <row r="511" customFormat="false" ht="15" hidden="false" customHeight="false" outlineLevel="0" collapsed="false">
      <c r="D511" s="10"/>
      <c r="E511" s="11"/>
      <c r="F511" s="38"/>
      <c r="G511" s="10"/>
      <c r="I511" s="11"/>
      <c r="J511" s="10"/>
      <c r="K511" s="10"/>
      <c r="M511" s="31" t="str">
        <f aca="false">IF($B511="","",IFERROR(IF(INDEX(campaigns!$BG$2:$BG$51,MATCH($B511,campaigns!$A$2:$A$51,0))="","",INDEX(campaigns!$BG$2:$BG$51,MATCH($B511,campaigns!$A$2:$A$51,0))),""))</f>
        <v/>
      </c>
      <c r="N511" s="30" t="str">
        <f aca="false">IF(OR($B511="",$E511="",$M511=""),"",IF($E511&lt;$M511,0,NETWORKDAYS($M511,$E511,calendar!$A$2:$A$80)))</f>
        <v/>
      </c>
      <c r="O511" s="30" t="str">
        <f aca="false">IF($B511="","",IF(AND($K511="Y",OR($D511="later",$J511="Y")),"Y","N"))</f>
        <v/>
      </c>
      <c r="P511" s="30" t="str">
        <f aca="false">IF(OR($B511="",$E511=""),"",$B511&amp;"_"&amp;$C511&amp;"_"&amp;$D511&amp;"_"&amp;TEXT($E511,"yyyy-mm-dd")&amp;".jpg")</f>
        <v/>
      </c>
      <c r="Q511" s="30" t="str">
        <f aca="false">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30" t="str">
        <f aca="false">IF($B511="","",$B511&amp;"|"&amp;$C511&amp;"|"&amp;$D511&amp;"|"&amp;$O511)</f>
        <v/>
      </c>
      <c r="S511" s="30" t="str">
        <f aca="false">IF($B511="","",$R511&amp;"|"&amp;N($E511))</f>
        <v/>
      </c>
    </row>
    <row r="512" customFormat="false" ht="15" hidden="false" customHeight="false" outlineLevel="0" collapsed="false">
      <c r="D512" s="10"/>
      <c r="E512" s="11"/>
      <c r="F512" s="38"/>
      <c r="G512" s="10"/>
      <c r="I512" s="11"/>
      <c r="J512" s="10"/>
      <c r="K512" s="10"/>
      <c r="M512" s="31" t="str">
        <f aca="false">IF($B512="","",IFERROR(IF(INDEX(campaigns!$BG$2:$BG$51,MATCH($B512,campaigns!$A$2:$A$51,0))="","",INDEX(campaigns!$BG$2:$BG$51,MATCH($B512,campaigns!$A$2:$A$51,0))),""))</f>
        <v/>
      </c>
      <c r="N512" s="30" t="str">
        <f aca="false">IF(OR($B512="",$E512="",$M512=""),"",IF($E512&lt;$M512,0,NETWORKDAYS($M512,$E512,calendar!$A$2:$A$80)))</f>
        <v/>
      </c>
      <c r="O512" s="30" t="str">
        <f aca="false">IF($B512="","",IF(AND($K512="Y",OR($D512="later",$J512="Y")),"Y","N"))</f>
        <v/>
      </c>
      <c r="P512" s="30" t="str">
        <f aca="false">IF(OR($B512="",$E512=""),"",$B512&amp;"_"&amp;$C512&amp;"_"&amp;$D512&amp;"_"&amp;TEXT($E512,"yyyy-mm-dd")&amp;".jpg")</f>
        <v/>
      </c>
      <c r="Q512" s="30" t="str">
        <f aca="false">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30" t="str">
        <f aca="false">IF($B512="","",$B512&amp;"|"&amp;$C512&amp;"|"&amp;$D512&amp;"|"&amp;$O512)</f>
        <v/>
      </c>
      <c r="S512" s="30" t="str">
        <f aca="false">IF($B512="","",$R512&amp;"|"&amp;N($E512))</f>
        <v/>
      </c>
    </row>
    <row r="513" customFormat="false" ht="15" hidden="false" customHeight="false" outlineLevel="0" collapsed="false">
      <c r="D513" s="10"/>
      <c r="E513" s="11"/>
      <c r="F513" s="38"/>
      <c r="G513" s="10"/>
      <c r="I513" s="11"/>
      <c r="J513" s="10"/>
      <c r="K513" s="10"/>
      <c r="M513" s="31" t="str">
        <f aca="false">IF($B513="","",IFERROR(IF(INDEX(campaigns!$BG$2:$BG$51,MATCH($B513,campaigns!$A$2:$A$51,0))="","",INDEX(campaigns!$BG$2:$BG$51,MATCH($B513,campaigns!$A$2:$A$51,0))),""))</f>
        <v/>
      </c>
      <c r="N513" s="30" t="str">
        <f aca="false">IF(OR($B513="",$E513="",$M513=""),"",IF($E513&lt;$M513,0,NETWORKDAYS($M513,$E513,calendar!$A$2:$A$80)))</f>
        <v/>
      </c>
      <c r="O513" s="30" t="str">
        <f aca="false">IF($B513="","",IF(AND($K513="Y",OR($D513="later",$J513="Y")),"Y","N"))</f>
        <v/>
      </c>
      <c r="P513" s="30" t="str">
        <f aca="false">IF(OR($B513="",$E513=""),"",$B513&amp;"_"&amp;$C513&amp;"_"&amp;$D513&amp;"_"&amp;TEXT($E513,"yyyy-mm-dd")&amp;".jpg")</f>
        <v/>
      </c>
      <c r="Q513" s="30" t="str">
        <f aca="false">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30" t="str">
        <f aca="false">IF($B513="","",$B513&amp;"|"&amp;$C513&amp;"|"&amp;$D513&amp;"|"&amp;$O513)</f>
        <v/>
      </c>
      <c r="S513" s="30" t="str">
        <f aca="false">IF($B513="","",$R513&amp;"|"&amp;N($E513))</f>
        <v/>
      </c>
    </row>
    <row r="514" customFormat="false" ht="15" hidden="false" customHeight="false" outlineLevel="0" collapsed="false">
      <c r="D514" s="10"/>
      <c r="E514" s="11"/>
      <c r="F514" s="38"/>
      <c r="G514" s="10"/>
      <c r="I514" s="11"/>
      <c r="J514" s="10"/>
      <c r="K514" s="10"/>
      <c r="M514" s="31" t="str">
        <f aca="false">IF($B514="","",IFERROR(IF(INDEX(campaigns!$BG$2:$BG$51,MATCH($B514,campaigns!$A$2:$A$51,0))="","",INDEX(campaigns!$BG$2:$BG$51,MATCH($B514,campaigns!$A$2:$A$51,0))),""))</f>
        <v/>
      </c>
      <c r="N514" s="30" t="str">
        <f aca="false">IF(OR($B514="",$E514="",$M514=""),"",IF($E514&lt;$M514,0,NETWORKDAYS($M514,$E514,calendar!$A$2:$A$80)))</f>
        <v/>
      </c>
      <c r="O514" s="30" t="str">
        <f aca="false">IF($B514="","",IF(AND($K514="Y",OR($D514="later",$J514="Y")),"Y","N"))</f>
        <v/>
      </c>
      <c r="P514" s="30" t="str">
        <f aca="false">IF(OR($B514="",$E514=""),"",$B514&amp;"_"&amp;$C514&amp;"_"&amp;$D514&amp;"_"&amp;TEXT($E514,"yyyy-mm-dd")&amp;".jpg")</f>
        <v/>
      </c>
      <c r="Q514" s="30" t="str">
        <f aca="false">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30" t="str">
        <f aca="false">IF($B514="","",$B514&amp;"|"&amp;$C514&amp;"|"&amp;$D514&amp;"|"&amp;$O514)</f>
        <v/>
      </c>
      <c r="S514" s="30" t="str">
        <f aca="false">IF($B514="","",$R514&amp;"|"&amp;N($E514))</f>
        <v/>
      </c>
    </row>
    <row r="515" customFormat="false" ht="15" hidden="false" customHeight="false" outlineLevel="0" collapsed="false">
      <c r="D515" s="10"/>
      <c r="E515" s="11"/>
      <c r="F515" s="38"/>
      <c r="G515" s="10"/>
      <c r="I515" s="11"/>
      <c r="J515" s="10"/>
      <c r="K515" s="10"/>
      <c r="M515" s="31" t="str">
        <f aca="false">IF($B515="","",IFERROR(IF(INDEX(campaigns!$BG$2:$BG$51,MATCH($B515,campaigns!$A$2:$A$51,0))="","",INDEX(campaigns!$BG$2:$BG$51,MATCH($B515,campaigns!$A$2:$A$51,0))),""))</f>
        <v/>
      </c>
      <c r="N515" s="30" t="str">
        <f aca="false">IF(OR($B515="",$E515="",$M515=""),"",IF($E515&lt;$M515,0,NETWORKDAYS($M515,$E515,calendar!$A$2:$A$80)))</f>
        <v/>
      </c>
      <c r="O515" s="30" t="str">
        <f aca="false">IF($B515="","",IF(AND($K515="Y",OR($D515="later",$J515="Y")),"Y","N"))</f>
        <v/>
      </c>
      <c r="P515" s="30" t="str">
        <f aca="false">IF(OR($B515="",$E515=""),"",$B515&amp;"_"&amp;$C515&amp;"_"&amp;$D515&amp;"_"&amp;TEXT($E515,"yyyy-mm-dd")&amp;".jpg")</f>
        <v/>
      </c>
      <c r="Q515" s="30" t="str">
        <f aca="false">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30" t="str">
        <f aca="false">IF($B515="","",$B515&amp;"|"&amp;$C515&amp;"|"&amp;$D515&amp;"|"&amp;$O515)</f>
        <v/>
      </c>
      <c r="S515" s="30" t="str">
        <f aca="false">IF($B515="","",$R515&amp;"|"&amp;N($E515))</f>
        <v/>
      </c>
    </row>
    <row r="516" customFormat="false" ht="15" hidden="false" customHeight="false" outlineLevel="0" collapsed="false">
      <c r="D516" s="10"/>
      <c r="E516" s="11"/>
      <c r="F516" s="38"/>
      <c r="G516" s="10"/>
      <c r="I516" s="11"/>
      <c r="J516" s="10"/>
      <c r="K516" s="10"/>
      <c r="M516" s="31" t="str">
        <f aca="false">IF($B516="","",IFERROR(IF(INDEX(campaigns!$BG$2:$BG$51,MATCH($B516,campaigns!$A$2:$A$51,0))="","",INDEX(campaigns!$BG$2:$BG$51,MATCH($B516,campaigns!$A$2:$A$51,0))),""))</f>
        <v/>
      </c>
      <c r="N516" s="30" t="str">
        <f aca="false">IF(OR($B516="",$E516="",$M516=""),"",IF($E516&lt;$M516,0,NETWORKDAYS($M516,$E516,calendar!$A$2:$A$80)))</f>
        <v/>
      </c>
      <c r="O516" s="30" t="str">
        <f aca="false">IF($B516="","",IF(AND($K516="Y",OR($D516="later",$J516="Y")),"Y","N"))</f>
        <v/>
      </c>
      <c r="P516" s="30" t="str">
        <f aca="false">IF(OR($B516="",$E516=""),"",$B516&amp;"_"&amp;$C516&amp;"_"&amp;$D516&amp;"_"&amp;TEXT($E516,"yyyy-mm-dd")&amp;".jpg")</f>
        <v/>
      </c>
      <c r="Q516" s="30" t="str">
        <f aca="false">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30" t="str">
        <f aca="false">IF($B516="","",$B516&amp;"|"&amp;$C516&amp;"|"&amp;$D516&amp;"|"&amp;$O516)</f>
        <v/>
      </c>
      <c r="S516" s="30" t="str">
        <f aca="false">IF($B516="","",$R516&amp;"|"&amp;N($E516))</f>
        <v/>
      </c>
    </row>
    <row r="517" customFormat="false" ht="15" hidden="false" customHeight="false" outlineLevel="0" collapsed="false">
      <c r="D517" s="10"/>
      <c r="E517" s="11"/>
      <c r="F517" s="38"/>
      <c r="G517" s="10"/>
      <c r="I517" s="11"/>
      <c r="J517" s="10"/>
      <c r="K517" s="10"/>
      <c r="M517" s="31" t="str">
        <f aca="false">IF($B517="","",IFERROR(IF(INDEX(campaigns!$BG$2:$BG$51,MATCH($B517,campaigns!$A$2:$A$51,0))="","",INDEX(campaigns!$BG$2:$BG$51,MATCH($B517,campaigns!$A$2:$A$51,0))),""))</f>
        <v/>
      </c>
      <c r="N517" s="30" t="str">
        <f aca="false">IF(OR($B517="",$E517="",$M517=""),"",IF($E517&lt;$M517,0,NETWORKDAYS($M517,$E517,calendar!$A$2:$A$80)))</f>
        <v/>
      </c>
      <c r="O517" s="30" t="str">
        <f aca="false">IF($B517="","",IF(AND($K517="Y",OR($D517="later",$J517="Y")),"Y","N"))</f>
        <v/>
      </c>
      <c r="P517" s="30" t="str">
        <f aca="false">IF(OR($B517="",$E517=""),"",$B517&amp;"_"&amp;$C517&amp;"_"&amp;$D517&amp;"_"&amp;TEXT($E517,"yyyy-mm-dd")&amp;".jpg")</f>
        <v/>
      </c>
      <c r="Q517" s="30" t="str">
        <f aca="false">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30" t="str">
        <f aca="false">IF($B517="","",$B517&amp;"|"&amp;$C517&amp;"|"&amp;$D517&amp;"|"&amp;$O517)</f>
        <v/>
      </c>
      <c r="S517" s="30" t="str">
        <f aca="false">IF($B517="","",$R517&amp;"|"&amp;N($E517))</f>
        <v/>
      </c>
    </row>
    <row r="518" customFormat="false" ht="15" hidden="false" customHeight="false" outlineLevel="0" collapsed="false">
      <c r="D518" s="10"/>
      <c r="E518" s="11"/>
      <c r="F518" s="38"/>
      <c r="G518" s="10"/>
      <c r="I518" s="11"/>
      <c r="J518" s="10"/>
      <c r="K518" s="10"/>
      <c r="M518" s="31" t="str">
        <f aca="false">IF($B518="","",IFERROR(IF(INDEX(campaigns!$BG$2:$BG$51,MATCH($B518,campaigns!$A$2:$A$51,0))="","",INDEX(campaigns!$BG$2:$BG$51,MATCH($B518,campaigns!$A$2:$A$51,0))),""))</f>
        <v/>
      </c>
      <c r="N518" s="30" t="str">
        <f aca="false">IF(OR($B518="",$E518="",$M518=""),"",IF($E518&lt;$M518,0,NETWORKDAYS($M518,$E518,calendar!$A$2:$A$80)))</f>
        <v/>
      </c>
      <c r="O518" s="30" t="str">
        <f aca="false">IF($B518="","",IF(AND($K518="Y",OR($D518="later",$J518="Y")),"Y","N"))</f>
        <v/>
      </c>
      <c r="P518" s="30" t="str">
        <f aca="false">IF(OR($B518="",$E518=""),"",$B518&amp;"_"&amp;$C518&amp;"_"&amp;$D518&amp;"_"&amp;TEXT($E518,"yyyy-mm-dd")&amp;".jpg")</f>
        <v/>
      </c>
      <c r="Q518" s="30" t="str">
        <f aca="false">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30" t="str">
        <f aca="false">IF($B518="","",$B518&amp;"|"&amp;$C518&amp;"|"&amp;$D518&amp;"|"&amp;$O518)</f>
        <v/>
      </c>
      <c r="S518" s="30" t="str">
        <f aca="false">IF($B518="","",$R518&amp;"|"&amp;N($E518))</f>
        <v/>
      </c>
    </row>
    <row r="519" customFormat="false" ht="15" hidden="false" customHeight="false" outlineLevel="0" collapsed="false">
      <c r="D519" s="10"/>
      <c r="E519" s="11"/>
      <c r="F519" s="38"/>
      <c r="G519" s="10"/>
      <c r="I519" s="11"/>
      <c r="J519" s="10"/>
      <c r="K519" s="10"/>
      <c r="M519" s="31" t="str">
        <f aca="false">IF($B519="","",IFERROR(IF(INDEX(campaigns!$BG$2:$BG$51,MATCH($B519,campaigns!$A$2:$A$51,0))="","",INDEX(campaigns!$BG$2:$BG$51,MATCH($B519,campaigns!$A$2:$A$51,0))),""))</f>
        <v/>
      </c>
      <c r="N519" s="30" t="str">
        <f aca="false">IF(OR($B519="",$E519="",$M519=""),"",IF($E519&lt;$M519,0,NETWORKDAYS($M519,$E519,calendar!$A$2:$A$80)))</f>
        <v/>
      </c>
      <c r="O519" s="30" t="str">
        <f aca="false">IF($B519="","",IF(AND($K519="Y",OR($D519="later",$J519="Y")),"Y","N"))</f>
        <v/>
      </c>
      <c r="P519" s="30" t="str">
        <f aca="false">IF(OR($B519="",$E519=""),"",$B519&amp;"_"&amp;$C519&amp;"_"&amp;$D519&amp;"_"&amp;TEXT($E519,"yyyy-mm-dd")&amp;".jpg")</f>
        <v/>
      </c>
      <c r="Q519" s="30" t="str">
        <f aca="false">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30" t="str">
        <f aca="false">IF($B519="","",$B519&amp;"|"&amp;$C519&amp;"|"&amp;$D519&amp;"|"&amp;$O519)</f>
        <v/>
      </c>
      <c r="S519" s="30" t="str">
        <f aca="false">IF($B519="","",$R519&amp;"|"&amp;N($E519))</f>
        <v/>
      </c>
    </row>
    <row r="520" customFormat="false" ht="15" hidden="false" customHeight="false" outlineLevel="0" collapsed="false">
      <c r="D520" s="10"/>
      <c r="E520" s="11"/>
      <c r="F520" s="38"/>
      <c r="G520" s="10"/>
      <c r="I520" s="11"/>
      <c r="J520" s="10"/>
      <c r="K520" s="10"/>
      <c r="M520" s="31" t="str">
        <f aca="false">IF($B520="","",IFERROR(IF(INDEX(campaigns!$BG$2:$BG$51,MATCH($B520,campaigns!$A$2:$A$51,0))="","",INDEX(campaigns!$BG$2:$BG$51,MATCH($B520,campaigns!$A$2:$A$51,0))),""))</f>
        <v/>
      </c>
      <c r="N520" s="30" t="str">
        <f aca="false">IF(OR($B520="",$E520="",$M520=""),"",IF($E520&lt;$M520,0,NETWORKDAYS($M520,$E520,calendar!$A$2:$A$80)))</f>
        <v/>
      </c>
      <c r="O520" s="30" t="str">
        <f aca="false">IF($B520="","",IF(AND($K520="Y",OR($D520="later",$J520="Y")),"Y","N"))</f>
        <v/>
      </c>
      <c r="P520" s="30" t="str">
        <f aca="false">IF(OR($B520="",$E520=""),"",$B520&amp;"_"&amp;$C520&amp;"_"&amp;$D520&amp;"_"&amp;TEXT($E520,"yyyy-mm-dd")&amp;".jpg")</f>
        <v/>
      </c>
      <c r="Q520" s="30" t="str">
        <f aca="false">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30" t="str">
        <f aca="false">IF($B520="","",$B520&amp;"|"&amp;$C520&amp;"|"&amp;$D520&amp;"|"&amp;$O520)</f>
        <v/>
      </c>
      <c r="S520" s="30" t="str">
        <f aca="false">IF($B520="","",$R520&amp;"|"&amp;N($E520))</f>
        <v/>
      </c>
    </row>
    <row r="521" customFormat="false" ht="15" hidden="false" customHeight="false" outlineLevel="0" collapsed="false">
      <c r="D521" s="10"/>
      <c r="E521" s="11"/>
      <c r="F521" s="38"/>
      <c r="G521" s="10"/>
      <c r="I521" s="11"/>
      <c r="J521" s="10"/>
      <c r="K521" s="10"/>
      <c r="M521" s="31" t="str">
        <f aca="false">IF($B521="","",IFERROR(IF(INDEX(campaigns!$BG$2:$BG$51,MATCH($B521,campaigns!$A$2:$A$51,0))="","",INDEX(campaigns!$BG$2:$BG$51,MATCH($B521,campaigns!$A$2:$A$51,0))),""))</f>
        <v/>
      </c>
      <c r="N521" s="30" t="str">
        <f aca="false">IF(OR($B521="",$E521="",$M521=""),"",IF($E521&lt;$M521,0,NETWORKDAYS($M521,$E521,calendar!$A$2:$A$80)))</f>
        <v/>
      </c>
      <c r="O521" s="30" t="str">
        <f aca="false">IF($B521="","",IF(AND($K521="Y",OR($D521="later",$J521="Y")),"Y","N"))</f>
        <v/>
      </c>
      <c r="P521" s="30" t="str">
        <f aca="false">IF(OR($B521="",$E521=""),"",$B521&amp;"_"&amp;$C521&amp;"_"&amp;$D521&amp;"_"&amp;TEXT($E521,"yyyy-mm-dd")&amp;".jpg")</f>
        <v/>
      </c>
      <c r="Q521" s="30" t="str">
        <f aca="false">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30" t="str">
        <f aca="false">IF($B521="","",$B521&amp;"|"&amp;$C521&amp;"|"&amp;$D521&amp;"|"&amp;$O521)</f>
        <v/>
      </c>
      <c r="S521" s="30" t="str">
        <f aca="false">IF($B521="","",$R521&amp;"|"&amp;N($E521))</f>
        <v/>
      </c>
    </row>
    <row r="522" customFormat="false" ht="15" hidden="false" customHeight="false" outlineLevel="0" collapsed="false">
      <c r="D522" s="10"/>
      <c r="E522" s="11"/>
      <c r="F522" s="38"/>
      <c r="G522" s="10"/>
      <c r="I522" s="11"/>
      <c r="J522" s="10"/>
      <c r="K522" s="10"/>
      <c r="M522" s="31" t="str">
        <f aca="false">IF($B522="","",IFERROR(IF(INDEX(campaigns!$BG$2:$BG$51,MATCH($B522,campaigns!$A$2:$A$51,0))="","",INDEX(campaigns!$BG$2:$BG$51,MATCH($B522,campaigns!$A$2:$A$51,0))),""))</f>
        <v/>
      </c>
      <c r="N522" s="30" t="str">
        <f aca="false">IF(OR($B522="",$E522="",$M522=""),"",IF($E522&lt;$M522,0,NETWORKDAYS($M522,$E522,calendar!$A$2:$A$80)))</f>
        <v/>
      </c>
      <c r="O522" s="30" t="str">
        <f aca="false">IF($B522="","",IF(AND($K522="Y",OR($D522="later",$J522="Y")),"Y","N"))</f>
        <v/>
      </c>
      <c r="P522" s="30" t="str">
        <f aca="false">IF(OR($B522="",$E522=""),"",$B522&amp;"_"&amp;$C522&amp;"_"&amp;$D522&amp;"_"&amp;TEXT($E522,"yyyy-mm-dd")&amp;".jpg")</f>
        <v/>
      </c>
      <c r="Q522" s="30" t="str">
        <f aca="false">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30" t="str">
        <f aca="false">IF($B522="","",$B522&amp;"|"&amp;$C522&amp;"|"&amp;$D522&amp;"|"&amp;$O522)</f>
        <v/>
      </c>
      <c r="S522" s="30" t="str">
        <f aca="false">IF($B522="","",$R522&amp;"|"&amp;N($E522))</f>
        <v/>
      </c>
    </row>
    <row r="523" customFormat="false" ht="15" hidden="false" customHeight="false" outlineLevel="0" collapsed="false">
      <c r="D523" s="10"/>
      <c r="E523" s="11"/>
      <c r="F523" s="38"/>
      <c r="G523" s="10"/>
      <c r="I523" s="11"/>
      <c r="J523" s="10"/>
      <c r="K523" s="10"/>
      <c r="M523" s="31" t="str">
        <f aca="false">IF($B523="","",IFERROR(IF(INDEX(campaigns!$BG$2:$BG$51,MATCH($B523,campaigns!$A$2:$A$51,0))="","",INDEX(campaigns!$BG$2:$BG$51,MATCH($B523,campaigns!$A$2:$A$51,0))),""))</f>
        <v/>
      </c>
      <c r="N523" s="30" t="str">
        <f aca="false">IF(OR($B523="",$E523="",$M523=""),"",IF($E523&lt;$M523,0,NETWORKDAYS($M523,$E523,calendar!$A$2:$A$80)))</f>
        <v/>
      </c>
      <c r="O523" s="30" t="str">
        <f aca="false">IF($B523="","",IF(AND($K523="Y",OR($D523="later",$J523="Y")),"Y","N"))</f>
        <v/>
      </c>
      <c r="P523" s="30" t="str">
        <f aca="false">IF(OR($B523="",$E523=""),"",$B523&amp;"_"&amp;$C523&amp;"_"&amp;$D523&amp;"_"&amp;TEXT($E523,"yyyy-mm-dd")&amp;".jpg")</f>
        <v/>
      </c>
      <c r="Q523" s="30" t="str">
        <f aca="false">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30" t="str">
        <f aca="false">IF($B523="","",$B523&amp;"|"&amp;$C523&amp;"|"&amp;$D523&amp;"|"&amp;$O523)</f>
        <v/>
      </c>
      <c r="S523" s="30" t="str">
        <f aca="false">IF($B523="","",$R523&amp;"|"&amp;N($E523))</f>
        <v/>
      </c>
    </row>
    <row r="524" customFormat="false" ht="15" hidden="false" customHeight="false" outlineLevel="0" collapsed="false">
      <c r="D524" s="10"/>
      <c r="E524" s="11"/>
      <c r="F524" s="38"/>
      <c r="G524" s="10"/>
      <c r="I524" s="11"/>
      <c r="J524" s="10"/>
      <c r="K524" s="10"/>
      <c r="M524" s="31" t="str">
        <f aca="false">IF($B524="","",IFERROR(IF(INDEX(campaigns!$BG$2:$BG$51,MATCH($B524,campaigns!$A$2:$A$51,0))="","",INDEX(campaigns!$BG$2:$BG$51,MATCH($B524,campaigns!$A$2:$A$51,0))),""))</f>
        <v/>
      </c>
      <c r="N524" s="30" t="str">
        <f aca="false">IF(OR($B524="",$E524="",$M524=""),"",IF($E524&lt;$M524,0,NETWORKDAYS($M524,$E524,calendar!$A$2:$A$80)))</f>
        <v/>
      </c>
      <c r="O524" s="30" t="str">
        <f aca="false">IF($B524="","",IF(AND($K524="Y",OR($D524="later",$J524="Y")),"Y","N"))</f>
        <v/>
      </c>
      <c r="P524" s="30" t="str">
        <f aca="false">IF(OR($B524="",$E524=""),"",$B524&amp;"_"&amp;$C524&amp;"_"&amp;$D524&amp;"_"&amp;TEXT($E524,"yyyy-mm-dd")&amp;".jpg")</f>
        <v/>
      </c>
      <c r="Q524" s="30" t="str">
        <f aca="false">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30" t="str">
        <f aca="false">IF($B524="","",$B524&amp;"|"&amp;$C524&amp;"|"&amp;$D524&amp;"|"&amp;$O524)</f>
        <v/>
      </c>
      <c r="S524" s="30" t="str">
        <f aca="false">IF($B524="","",$R524&amp;"|"&amp;N($E524))</f>
        <v/>
      </c>
    </row>
    <row r="525" customFormat="false" ht="15" hidden="false" customHeight="false" outlineLevel="0" collapsed="false">
      <c r="D525" s="10"/>
      <c r="E525" s="11"/>
      <c r="F525" s="38"/>
      <c r="G525" s="10"/>
      <c r="I525" s="11"/>
      <c r="J525" s="10"/>
      <c r="K525" s="10"/>
      <c r="M525" s="31" t="str">
        <f aca="false">IF($B525="","",IFERROR(IF(INDEX(campaigns!$BG$2:$BG$51,MATCH($B525,campaigns!$A$2:$A$51,0))="","",INDEX(campaigns!$BG$2:$BG$51,MATCH($B525,campaigns!$A$2:$A$51,0))),""))</f>
        <v/>
      </c>
      <c r="N525" s="30" t="str">
        <f aca="false">IF(OR($B525="",$E525="",$M525=""),"",IF($E525&lt;$M525,0,NETWORKDAYS($M525,$E525,calendar!$A$2:$A$80)))</f>
        <v/>
      </c>
      <c r="O525" s="30" t="str">
        <f aca="false">IF($B525="","",IF(AND($K525="Y",OR($D525="later",$J525="Y")),"Y","N"))</f>
        <v/>
      </c>
      <c r="P525" s="30" t="str">
        <f aca="false">IF(OR($B525="",$E525=""),"",$B525&amp;"_"&amp;$C525&amp;"_"&amp;$D525&amp;"_"&amp;TEXT($E525,"yyyy-mm-dd")&amp;".jpg")</f>
        <v/>
      </c>
      <c r="Q525" s="30" t="str">
        <f aca="false">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30" t="str">
        <f aca="false">IF($B525="","",$B525&amp;"|"&amp;$C525&amp;"|"&amp;$D525&amp;"|"&amp;$O525)</f>
        <v/>
      </c>
      <c r="S525" s="30" t="str">
        <f aca="false">IF($B525="","",$R525&amp;"|"&amp;N($E525))</f>
        <v/>
      </c>
    </row>
    <row r="526" customFormat="false" ht="15" hidden="false" customHeight="false" outlineLevel="0" collapsed="false">
      <c r="D526" s="10"/>
      <c r="E526" s="11"/>
      <c r="F526" s="38"/>
      <c r="G526" s="10"/>
      <c r="I526" s="11"/>
      <c r="J526" s="10"/>
      <c r="K526" s="10"/>
      <c r="M526" s="31" t="str">
        <f aca="false">IF($B526="","",IFERROR(IF(INDEX(campaigns!$BG$2:$BG$51,MATCH($B526,campaigns!$A$2:$A$51,0))="","",INDEX(campaigns!$BG$2:$BG$51,MATCH($B526,campaigns!$A$2:$A$51,0))),""))</f>
        <v/>
      </c>
      <c r="N526" s="30" t="str">
        <f aca="false">IF(OR($B526="",$E526="",$M526=""),"",IF($E526&lt;$M526,0,NETWORKDAYS($M526,$E526,calendar!$A$2:$A$80)))</f>
        <v/>
      </c>
      <c r="O526" s="30" t="str">
        <f aca="false">IF($B526="","",IF(AND($K526="Y",OR($D526="later",$J526="Y")),"Y","N"))</f>
        <v/>
      </c>
      <c r="P526" s="30" t="str">
        <f aca="false">IF(OR($B526="",$E526=""),"",$B526&amp;"_"&amp;$C526&amp;"_"&amp;$D526&amp;"_"&amp;TEXT($E526,"yyyy-mm-dd")&amp;".jpg")</f>
        <v/>
      </c>
      <c r="Q526" s="30" t="str">
        <f aca="false">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30" t="str">
        <f aca="false">IF($B526="","",$B526&amp;"|"&amp;$C526&amp;"|"&amp;$D526&amp;"|"&amp;$O526)</f>
        <v/>
      </c>
      <c r="S526" s="30" t="str">
        <f aca="false">IF($B526="","",$R526&amp;"|"&amp;N($E526))</f>
        <v/>
      </c>
    </row>
    <row r="527" customFormat="false" ht="15" hidden="false" customHeight="false" outlineLevel="0" collapsed="false">
      <c r="D527" s="10"/>
      <c r="E527" s="11"/>
      <c r="F527" s="38"/>
      <c r="G527" s="10"/>
      <c r="I527" s="11"/>
      <c r="J527" s="10"/>
      <c r="K527" s="10"/>
      <c r="M527" s="31" t="str">
        <f aca="false">IF($B527="","",IFERROR(IF(INDEX(campaigns!$BG$2:$BG$51,MATCH($B527,campaigns!$A$2:$A$51,0))="","",INDEX(campaigns!$BG$2:$BG$51,MATCH($B527,campaigns!$A$2:$A$51,0))),""))</f>
        <v/>
      </c>
      <c r="N527" s="30" t="str">
        <f aca="false">IF(OR($B527="",$E527="",$M527=""),"",IF($E527&lt;$M527,0,NETWORKDAYS($M527,$E527,calendar!$A$2:$A$80)))</f>
        <v/>
      </c>
      <c r="O527" s="30" t="str">
        <f aca="false">IF($B527="","",IF(AND($K527="Y",OR($D527="later",$J527="Y")),"Y","N"))</f>
        <v/>
      </c>
      <c r="P527" s="30" t="str">
        <f aca="false">IF(OR($B527="",$E527=""),"",$B527&amp;"_"&amp;$C527&amp;"_"&amp;$D527&amp;"_"&amp;TEXT($E527,"yyyy-mm-dd")&amp;".jpg")</f>
        <v/>
      </c>
      <c r="Q527" s="30" t="str">
        <f aca="false">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30" t="str">
        <f aca="false">IF($B527="","",$B527&amp;"|"&amp;$C527&amp;"|"&amp;$D527&amp;"|"&amp;$O527)</f>
        <v/>
      </c>
      <c r="S527" s="30" t="str">
        <f aca="false">IF($B527="","",$R527&amp;"|"&amp;N($E527))</f>
        <v/>
      </c>
    </row>
    <row r="528" customFormat="false" ht="15" hidden="false" customHeight="false" outlineLevel="0" collapsed="false">
      <c r="D528" s="10"/>
      <c r="E528" s="11"/>
      <c r="F528" s="38"/>
      <c r="G528" s="10"/>
      <c r="I528" s="11"/>
      <c r="J528" s="10"/>
      <c r="K528" s="10"/>
      <c r="M528" s="31" t="str">
        <f aca="false">IF($B528="","",IFERROR(IF(INDEX(campaigns!$BG$2:$BG$51,MATCH($B528,campaigns!$A$2:$A$51,0))="","",INDEX(campaigns!$BG$2:$BG$51,MATCH($B528,campaigns!$A$2:$A$51,0))),""))</f>
        <v/>
      </c>
      <c r="N528" s="30" t="str">
        <f aca="false">IF(OR($B528="",$E528="",$M528=""),"",IF($E528&lt;$M528,0,NETWORKDAYS($M528,$E528,calendar!$A$2:$A$80)))</f>
        <v/>
      </c>
      <c r="O528" s="30" t="str">
        <f aca="false">IF($B528="","",IF(AND($K528="Y",OR($D528="later",$J528="Y")),"Y","N"))</f>
        <v/>
      </c>
      <c r="P528" s="30" t="str">
        <f aca="false">IF(OR($B528="",$E528=""),"",$B528&amp;"_"&amp;$C528&amp;"_"&amp;$D528&amp;"_"&amp;TEXT($E528,"yyyy-mm-dd")&amp;".jpg")</f>
        <v/>
      </c>
      <c r="Q528" s="30" t="str">
        <f aca="false">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30" t="str">
        <f aca="false">IF($B528="","",$B528&amp;"|"&amp;$C528&amp;"|"&amp;$D528&amp;"|"&amp;$O528)</f>
        <v/>
      </c>
      <c r="S528" s="30" t="str">
        <f aca="false">IF($B528="","",$R528&amp;"|"&amp;N($E528))</f>
        <v/>
      </c>
    </row>
    <row r="529" customFormat="false" ht="15" hidden="false" customHeight="false" outlineLevel="0" collapsed="false">
      <c r="D529" s="10"/>
      <c r="E529" s="11"/>
      <c r="F529" s="38"/>
      <c r="G529" s="10"/>
      <c r="I529" s="11"/>
      <c r="J529" s="10"/>
      <c r="K529" s="10"/>
      <c r="M529" s="31" t="str">
        <f aca="false">IF($B529="","",IFERROR(IF(INDEX(campaigns!$BG$2:$BG$51,MATCH($B529,campaigns!$A$2:$A$51,0))="","",INDEX(campaigns!$BG$2:$BG$51,MATCH($B529,campaigns!$A$2:$A$51,0))),""))</f>
        <v/>
      </c>
      <c r="N529" s="30" t="str">
        <f aca="false">IF(OR($B529="",$E529="",$M529=""),"",IF($E529&lt;$M529,0,NETWORKDAYS($M529,$E529,calendar!$A$2:$A$80)))</f>
        <v/>
      </c>
      <c r="O529" s="30" t="str">
        <f aca="false">IF($B529="","",IF(AND($K529="Y",OR($D529="later",$J529="Y")),"Y","N"))</f>
        <v/>
      </c>
      <c r="P529" s="30" t="str">
        <f aca="false">IF(OR($B529="",$E529=""),"",$B529&amp;"_"&amp;$C529&amp;"_"&amp;$D529&amp;"_"&amp;TEXT($E529,"yyyy-mm-dd")&amp;".jpg")</f>
        <v/>
      </c>
      <c r="Q529" s="30" t="str">
        <f aca="false">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30" t="str">
        <f aca="false">IF($B529="","",$B529&amp;"|"&amp;$C529&amp;"|"&amp;$D529&amp;"|"&amp;$O529)</f>
        <v/>
      </c>
      <c r="S529" s="30" t="str">
        <f aca="false">IF($B529="","",$R529&amp;"|"&amp;N($E529))</f>
        <v/>
      </c>
    </row>
    <row r="530" customFormat="false" ht="15" hidden="false" customHeight="false" outlineLevel="0" collapsed="false">
      <c r="D530" s="10"/>
      <c r="E530" s="11"/>
      <c r="F530" s="38"/>
      <c r="G530" s="10"/>
      <c r="I530" s="11"/>
      <c r="J530" s="10"/>
      <c r="K530" s="10"/>
      <c r="M530" s="31" t="str">
        <f aca="false">IF($B530="","",IFERROR(IF(INDEX(campaigns!$BG$2:$BG$51,MATCH($B530,campaigns!$A$2:$A$51,0))="","",INDEX(campaigns!$BG$2:$BG$51,MATCH($B530,campaigns!$A$2:$A$51,0))),""))</f>
        <v/>
      </c>
      <c r="N530" s="30" t="str">
        <f aca="false">IF(OR($B530="",$E530="",$M530=""),"",IF($E530&lt;$M530,0,NETWORKDAYS($M530,$E530,calendar!$A$2:$A$80)))</f>
        <v/>
      </c>
      <c r="O530" s="30" t="str">
        <f aca="false">IF($B530="","",IF(AND($K530="Y",OR($D530="later",$J530="Y")),"Y","N"))</f>
        <v/>
      </c>
      <c r="P530" s="30" t="str">
        <f aca="false">IF(OR($B530="",$E530=""),"",$B530&amp;"_"&amp;$C530&amp;"_"&amp;$D530&amp;"_"&amp;TEXT($E530,"yyyy-mm-dd")&amp;".jpg")</f>
        <v/>
      </c>
      <c r="Q530" s="30" t="str">
        <f aca="false">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30" t="str">
        <f aca="false">IF($B530="","",$B530&amp;"|"&amp;$C530&amp;"|"&amp;$D530&amp;"|"&amp;$O530)</f>
        <v/>
      </c>
      <c r="S530" s="30" t="str">
        <f aca="false">IF($B530="","",$R530&amp;"|"&amp;N($E530))</f>
        <v/>
      </c>
    </row>
    <row r="531" customFormat="false" ht="15" hidden="false" customHeight="false" outlineLevel="0" collapsed="false">
      <c r="D531" s="10"/>
      <c r="E531" s="11"/>
      <c r="F531" s="38"/>
      <c r="G531" s="10"/>
      <c r="I531" s="11"/>
      <c r="J531" s="10"/>
      <c r="K531" s="10"/>
      <c r="M531" s="31" t="str">
        <f aca="false">IF($B531="","",IFERROR(IF(INDEX(campaigns!$BG$2:$BG$51,MATCH($B531,campaigns!$A$2:$A$51,0))="","",INDEX(campaigns!$BG$2:$BG$51,MATCH($B531,campaigns!$A$2:$A$51,0))),""))</f>
        <v/>
      </c>
      <c r="N531" s="30" t="str">
        <f aca="false">IF(OR($B531="",$E531="",$M531=""),"",IF($E531&lt;$M531,0,NETWORKDAYS($M531,$E531,calendar!$A$2:$A$80)))</f>
        <v/>
      </c>
      <c r="O531" s="30" t="str">
        <f aca="false">IF($B531="","",IF(AND($K531="Y",OR($D531="later",$J531="Y")),"Y","N"))</f>
        <v/>
      </c>
      <c r="P531" s="30" t="str">
        <f aca="false">IF(OR($B531="",$E531=""),"",$B531&amp;"_"&amp;$C531&amp;"_"&amp;$D531&amp;"_"&amp;TEXT($E531,"yyyy-mm-dd")&amp;".jpg")</f>
        <v/>
      </c>
      <c r="Q531" s="30" t="str">
        <f aca="false">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30" t="str">
        <f aca="false">IF($B531="","",$B531&amp;"|"&amp;$C531&amp;"|"&amp;$D531&amp;"|"&amp;$O531)</f>
        <v/>
      </c>
      <c r="S531" s="30" t="str">
        <f aca="false">IF($B531="","",$R531&amp;"|"&amp;N($E531))</f>
        <v/>
      </c>
    </row>
    <row r="532" customFormat="false" ht="15" hidden="false" customHeight="false" outlineLevel="0" collapsed="false">
      <c r="D532" s="10"/>
      <c r="E532" s="11"/>
      <c r="F532" s="38"/>
      <c r="G532" s="10"/>
      <c r="I532" s="11"/>
      <c r="J532" s="10"/>
      <c r="K532" s="10"/>
      <c r="M532" s="31" t="str">
        <f aca="false">IF($B532="","",IFERROR(IF(INDEX(campaigns!$BG$2:$BG$51,MATCH($B532,campaigns!$A$2:$A$51,0))="","",INDEX(campaigns!$BG$2:$BG$51,MATCH($B532,campaigns!$A$2:$A$51,0))),""))</f>
        <v/>
      </c>
      <c r="N532" s="30" t="str">
        <f aca="false">IF(OR($B532="",$E532="",$M532=""),"",IF($E532&lt;$M532,0,NETWORKDAYS($M532,$E532,calendar!$A$2:$A$80)))</f>
        <v/>
      </c>
      <c r="O532" s="30" t="str">
        <f aca="false">IF($B532="","",IF(AND($K532="Y",OR($D532="later",$J532="Y")),"Y","N"))</f>
        <v/>
      </c>
      <c r="P532" s="30" t="str">
        <f aca="false">IF(OR($B532="",$E532=""),"",$B532&amp;"_"&amp;$C532&amp;"_"&amp;$D532&amp;"_"&amp;TEXT($E532,"yyyy-mm-dd")&amp;".jpg")</f>
        <v/>
      </c>
      <c r="Q532" s="30" t="str">
        <f aca="false">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30" t="str">
        <f aca="false">IF($B532="","",$B532&amp;"|"&amp;$C532&amp;"|"&amp;$D532&amp;"|"&amp;$O532)</f>
        <v/>
      </c>
      <c r="S532" s="30" t="str">
        <f aca="false">IF($B532="","",$R532&amp;"|"&amp;N($E532))</f>
        <v/>
      </c>
    </row>
    <row r="533" customFormat="false" ht="15" hidden="false" customHeight="false" outlineLevel="0" collapsed="false">
      <c r="D533" s="10"/>
      <c r="E533" s="11"/>
      <c r="F533" s="38"/>
      <c r="G533" s="10"/>
      <c r="I533" s="11"/>
      <c r="J533" s="10"/>
      <c r="K533" s="10"/>
      <c r="M533" s="31" t="str">
        <f aca="false">IF($B533="","",IFERROR(IF(INDEX(campaigns!$BG$2:$BG$51,MATCH($B533,campaigns!$A$2:$A$51,0))="","",INDEX(campaigns!$BG$2:$BG$51,MATCH($B533,campaigns!$A$2:$A$51,0))),""))</f>
        <v/>
      </c>
      <c r="N533" s="30" t="str">
        <f aca="false">IF(OR($B533="",$E533="",$M533=""),"",IF($E533&lt;$M533,0,NETWORKDAYS($M533,$E533,calendar!$A$2:$A$80)))</f>
        <v/>
      </c>
      <c r="O533" s="30" t="str">
        <f aca="false">IF($B533="","",IF(AND($K533="Y",OR($D533="later",$J533="Y")),"Y","N"))</f>
        <v/>
      </c>
      <c r="P533" s="30" t="str">
        <f aca="false">IF(OR($B533="",$E533=""),"",$B533&amp;"_"&amp;$C533&amp;"_"&amp;$D533&amp;"_"&amp;TEXT($E533,"yyyy-mm-dd")&amp;".jpg")</f>
        <v/>
      </c>
      <c r="Q533" s="30" t="str">
        <f aca="false">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30" t="str">
        <f aca="false">IF($B533="","",$B533&amp;"|"&amp;$C533&amp;"|"&amp;$D533&amp;"|"&amp;$O533)</f>
        <v/>
      </c>
      <c r="S533" s="30" t="str">
        <f aca="false">IF($B533="","",$R533&amp;"|"&amp;N($E533))</f>
        <v/>
      </c>
    </row>
    <row r="534" customFormat="false" ht="15" hidden="false" customHeight="false" outlineLevel="0" collapsed="false">
      <c r="D534" s="10"/>
      <c r="E534" s="11"/>
      <c r="F534" s="38"/>
      <c r="G534" s="10"/>
      <c r="I534" s="11"/>
      <c r="J534" s="10"/>
      <c r="K534" s="10"/>
      <c r="M534" s="31" t="str">
        <f aca="false">IF($B534="","",IFERROR(IF(INDEX(campaigns!$BG$2:$BG$51,MATCH($B534,campaigns!$A$2:$A$51,0))="","",INDEX(campaigns!$BG$2:$BG$51,MATCH($B534,campaigns!$A$2:$A$51,0))),""))</f>
        <v/>
      </c>
      <c r="N534" s="30" t="str">
        <f aca="false">IF(OR($B534="",$E534="",$M534=""),"",IF($E534&lt;$M534,0,NETWORKDAYS($M534,$E534,calendar!$A$2:$A$80)))</f>
        <v/>
      </c>
      <c r="O534" s="30" t="str">
        <f aca="false">IF($B534="","",IF(AND($K534="Y",OR($D534="later",$J534="Y")),"Y","N"))</f>
        <v/>
      </c>
      <c r="P534" s="30" t="str">
        <f aca="false">IF(OR($B534="",$E534=""),"",$B534&amp;"_"&amp;$C534&amp;"_"&amp;$D534&amp;"_"&amp;TEXT($E534,"yyyy-mm-dd")&amp;".jpg")</f>
        <v/>
      </c>
      <c r="Q534" s="30" t="str">
        <f aca="false">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30" t="str">
        <f aca="false">IF($B534="","",$B534&amp;"|"&amp;$C534&amp;"|"&amp;$D534&amp;"|"&amp;$O534)</f>
        <v/>
      </c>
      <c r="S534" s="30" t="str">
        <f aca="false">IF($B534="","",$R534&amp;"|"&amp;N($E534))</f>
        <v/>
      </c>
    </row>
    <row r="535" customFormat="false" ht="15" hidden="false" customHeight="false" outlineLevel="0" collapsed="false">
      <c r="D535" s="10"/>
      <c r="E535" s="11"/>
      <c r="F535" s="38"/>
      <c r="G535" s="10"/>
      <c r="I535" s="11"/>
      <c r="J535" s="10"/>
      <c r="K535" s="10"/>
      <c r="M535" s="31" t="str">
        <f aca="false">IF($B535="","",IFERROR(IF(INDEX(campaigns!$BG$2:$BG$51,MATCH($B535,campaigns!$A$2:$A$51,0))="","",INDEX(campaigns!$BG$2:$BG$51,MATCH($B535,campaigns!$A$2:$A$51,0))),""))</f>
        <v/>
      </c>
      <c r="N535" s="30" t="str">
        <f aca="false">IF(OR($B535="",$E535="",$M535=""),"",IF($E535&lt;$M535,0,NETWORKDAYS($M535,$E535,calendar!$A$2:$A$80)))</f>
        <v/>
      </c>
      <c r="O535" s="30" t="str">
        <f aca="false">IF($B535="","",IF(AND($K535="Y",OR($D535="later",$J535="Y")),"Y","N"))</f>
        <v/>
      </c>
      <c r="P535" s="30" t="str">
        <f aca="false">IF(OR($B535="",$E535=""),"",$B535&amp;"_"&amp;$C535&amp;"_"&amp;$D535&amp;"_"&amp;TEXT($E535,"yyyy-mm-dd")&amp;".jpg")</f>
        <v/>
      </c>
      <c r="Q535" s="30" t="str">
        <f aca="false">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30" t="str">
        <f aca="false">IF($B535="","",$B535&amp;"|"&amp;$C535&amp;"|"&amp;$D535&amp;"|"&amp;$O535)</f>
        <v/>
      </c>
      <c r="S535" s="30" t="str">
        <f aca="false">IF($B535="","",$R535&amp;"|"&amp;N($E535))</f>
        <v/>
      </c>
    </row>
    <row r="536" customFormat="false" ht="15" hidden="false" customHeight="false" outlineLevel="0" collapsed="false">
      <c r="D536" s="10"/>
      <c r="E536" s="11"/>
      <c r="F536" s="38"/>
      <c r="G536" s="10"/>
      <c r="I536" s="11"/>
      <c r="J536" s="10"/>
      <c r="K536" s="10"/>
      <c r="M536" s="31" t="str">
        <f aca="false">IF($B536="","",IFERROR(IF(INDEX(campaigns!$BG$2:$BG$51,MATCH($B536,campaigns!$A$2:$A$51,0))="","",INDEX(campaigns!$BG$2:$BG$51,MATCH($B536,campaigns!$A$2:$A$51,0))),""))</f>
        <v/>
      </c>
      <c r="N536" s="30" t="str">
        <f aca="false">IF(OR($B536="",$E536="",$M536=""),"",IF($E536&lt;$M536,0,NETWORKDAYS($M536,$E536,calendar!$A$2:$A$80)))</f>
        <v/>
      </c>
      <c r="O536" s="30" t="str">
        <f aca="false">IF($B536="","",IF(AND($K536="Y",OR($D536="later",$J536="Y")),"Y","N"))</f>
        <v/>
      </c>
      <c r="P536" s="30" t="str">
        <f aca="false">IF(OR($B536="",$E536=""),"",$B536&amp;"_"&amp;$C536&amp;"_"&amp;$D536&amp;"_"&amp;TEXT($E536,"yyyy-mm-dd")&amp;".jpg")</f>
        <v/>
      </c>
      <c r="Q536" s="30" t="str">
        <f aca="false">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30" t="str">
        <f aca="false">IF($B536="","",$B536&amp;"|"&amp;$C536&amp;"|"&amp;$D536&amp;"|"&amp;$O536)</f>
        <v/>
      </c>
      <c r="S536" s="30" t="str">
        <f aca="false">IF($B536="","",$R536&amp;"|"&amp;N($E536))</f>
        <v/>
      </c>
    </row>
    <row r="537" customFormat="false" ht="15" hidden="false" customHeight="false" outlineLevel="0" collapsed="false">
      <c r="D537" s="10"/>
      <c r="E537" s="11"/>
      <c r="F537" s="38"/>
      <c r="G537" s="10"/>
      <c r="I537" s="11"/>
      <c r="J537" s="10"/>
      <c r="K537" s="10"/>
      <c r="M537" s="31" t="str">
        <f aca="false">IF($B537="","",IFERROR(IF(INDEX(campaigns!$BG$2:$BG$51,MATCH($B537,campaigns!$A$2:$A$51,0))="","",INDEX(campaigns!$BG$2:$BG$51,MATCH($B537,campaigns!$A$2:$A$51,0))),""))</f>
        <v/>
      </c>
      <c r="N537" s="30" t="str">
        <f aca="false">IF(OR($B537="",$E537="",$M537=""),"",IF($E537&lt;$M537,0,NETWORKDAYS($M537,$E537,calendar!$A$2:$A$80)))</f>
        <v/>
      </c>
      <c r="O537" s="30" t="str">
        <f aca="false">IF($B537="","",IF(AND($K537="Y",OR($D537="later",$J537="Y")),"Y","N"))</f>
        <v/>
      </c>
      <c r="P537" s="30" t="str">
        <f aca="false">IF(OR($B537="",$E537=""),"",$B537&amp;"_"&amp;$C537&amp;"_"&amp;$D537&amp;"_"&amp;TEXT($E537,"yyyy-mm-dd")&amp;".jpg")</f>
        <v/>
      </c>
      <c r="Q537" s="30" t="str">
        <f aca="false">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30" t="str">
        <f aca="false">IF($B537="","",$B537&amp;"|"&amp;$C537&amp;"|"&amp;$D537&amp;"|"&amp;$O537)</f>
        <v/>
      </c>
      <c r="S537" s="30" t="str">
        <f aca="false">IF($B537="","",$R537&amp;"|"&amp;N($E537))</f>
        <v/>
      </c>
    </row>
    <row r="538" customFormat="false" ht="15" hidden="false" customHeight="false" outlineLevel="0" collapsed="false">
      <c r="D538" s="10"/>
      <c r="E538" s="11"/>
      <c r="F538" s="38"/>
      <c r="G538" s="10"/>
      <c r="I538" s="11"/>
      <c r="J538" s="10"/>
      <c r="K538" s="10"/>
      <c r="M538" s="31" t="str">
        <f aca="false">IF($B538="","",IFERROR(IF(INDEX(campaigns!$BG$2:$BG$51,MATCH($B538,campaigns!$A$2:$A$51,0))="","",INDEX(campaigns!$BG$2:$BG$51,MATCH($B538,campaigns!$A$2:$A$51,0))),""))</f>
        <v/>
      </c>
      <c r="N538" s="30" t="str">
        <f aca="false">IF(OR($B538="",$E538="",$M538=""),"",IF($E538&lt;$M538,0,NETWORKDAYS($M538,$E538,calendar!$A$2:$A$80)))</f>
        <v/>
      </c>
      <c r="O538" s="30" t="str">
        <f aca="false">IF($B538="","",IF(AND($K538="Y",OR($D538="later",$J538="Y")),"Y","N"))</f>
        <v/>
      </c>
      <c r="P538" s="30" t="str">
        <f aca="false">IF(OR($B538="",$E538=""),"",$B538&amp;"_"&amp;$C538&amp;"_"&amp;$D538&amp;"_"&amp;TEXT($E538,"yyyy-mm-dd")&amp;".jpg")</f>
        <v/>
      </c>
      <c r="Q538" s="30" t="str">
        <f aca="false">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30" t="str">
        <f aca="false">IF($B538="","",$B538&amp;"|"&amp;$C538&amp;"|"&amp;$D538&amp;"|"&amp;$O538)</f>
        <v/>
      </c>
      <c r="S538" s="30" t="str">
        <f aca="false">IF($B538="","",$R538&amp;"|"&amp;N($E538))</f>
        <v/>
      </c>
    </row>
    <row r="539" customFormat="false" ht="15" hidden="false" customHeight="false" outlineLevel="0" collapsed="false">
      <c r="D539" s="10"/>
      <c r="E539" s="11"/>
      <c r="F539" s="38"/>
      <c r="G539" s="10"/>
      <c r="I539" s="11"/>
      <c r="J539" s="10"/>
      <c r="K539" s="10"/>
      <c r="M539" s="31" t="str">
        <f aca="false">IF($B539="","",IFERROR(IF(INDEX(campaigns!$BG$2:$BG$51,MATCH($B539,campaigns!$A$2:$A$51,0))="","",INDEX(campaigns!$BG$2:$BG$51,MATCH($B539,campaigns!$A$2:$A$51,0))),""))</f>
        <v/>
      </c>
      <c r="N539" s="30" t="str">
        <f aca="false">IF(OR($B539="",$E539="",$M539=""),"",IF($E539&lt;$M539,0,NETWORKDAYS($M539,$E539,calendar!$A$2:$A$80)))</f>
        <v/>
      </c>
      <c r="O539" s="30" t="str">
        <f aca="false">IF($B539="","",IF(AND($K539="Y",OR($D539="later",$J539="Y")),"Y","N"))</f>
        <v/>
      </c>
      <c r="P539" s="30" t="str">
        <f aca="false">IF(OR($B539="",$E539=""),"",$B539&amp;"_"&amp;$C539&amp;"_"&amp;$D539&amp;"_"&amp;TEXT($E539,"yyyy-mm-dd")&amp;".jpg")</f>
        <v/>
      </c>
      <c r="Q539" s="30" t="str">
        <f aca="false">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30" t="str">
        <f aca="false">IF($B539="","",$B539&amp;"|"&amp;$C539&amp;"|"&amp;$D539&amp;"|"&amp;$O539)</f>
        <v/>
      </c>
      <c r="S539" s="30" t="str">
        <f aca="false">IF($B539="","",$R539&amp;"|"&amp;N($E539))</f>
        <v/>
      </c>
    </row>
    <row r="540" customFormat="false" ht="15" hidden="false" customHeight="false" outlineLevel="0" collapsed="false">
      <c r="D540" s="10"/>
      <c r="E540" s="11"/>
      <c r="F540" s="38"/>
      <c r="G540" s="10"/>
      <c r="I540" s="11"/>
      <c r="J540" s="10"/>
      <c r="K540" s="10"/>
      <c r="M540" s="31" t="str">
        <f aca="false">IF($B540="","",IFERROR(IF(INDEX(campaigns!$BG$2:$BG$51,MATCH($B540,campaigns!$A$2:$A$51,0))="","",INDEX(campaigns!$BG$2:$BG$51,MATCH($B540,campaigns!$A$2:$A$51,0))),""))</f>
        <v/>
      </c>
      <c r="N540" s="30" t="str">
        <f aca="false">IF(OR($B540="",$E540="",$M540=""),"",IF($E540&lt;$M540,0,NETWORKDAYS($M540,$E540,calendar!$A$2:$A$80)))</f>
        <v/>
      </c>
      <c r="O540" s="30" t="str">
        <f aca="false">IF($B540="","",IF(AND($K540="Y",OR($D540="later",$J540="Y")),"Y","N"))</f>
        <v/>
      </c>
      <c r="P540" s="30" t="str">
        <f aca="false">IF(OR($B540="",$E540=""),"",$B540&amp;"_"&amp;$C540&amp;"_"&amp;$D540&amp;"_"&amp;TEXT($E540,"yyyy-mm-dd")&amp;".jpg")</f>
        <v/>
      </c>
      <c r="Q540" s="30" t="str">
        <f aca="false">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30" t="str">
        <f aca="false">IF($B540="","",$B540&amp;"|"&amp;$C540&amp;"|"&amp;$D540&amp;"|"&amp;$O540)</f>
        <v/>
      </c>
      <c r="S540" s="30" t="str">
        <f aca="false">IF($B540="","",$R540&amp;"|"&amp;N($E540))</f>
        <v/>
      </c>
    </row>
    <row r="541" customFormat="false" ht="15" hidden="false" customHeight="false" outlineLevel="0" collapsed="false">
      <c r="D541" s="10"/>
      <c r="E541" s="11"/>
      <c r="F541" s="38"/>
      <c r="G541" s="10"/>
      <c r="I541" s="11"/>
      <c r="J541" s="10"/>
      <c r="K541" s="10"/>
      <c r="M541" s="31" t="str">
        <f aca="false">IF($B541="","",IFERROR(IF(INDEX(campaigns!$BG$2:$BG$51,MATCH($B541,campaigns!$A$2:$A$51,0))="","",INDEX(campaigns!$BG$2:$BG$51,MATCH($B541,campaigns!$A$2:$A$51,0))),""))</f>
        <v/>
      </c>
      <c r="N541" s="30" t="str">
        <f aca="false">IF(OR($B541="",$E541="",$M541=""),"",IF($E541&lt;$M541,0,NETWORKDAYS($M541,$E541,calendar!$A$2:$A$80)))</f>
        <v/>
      </c>
      <c r="O541" s="30" t="str">
        <f aca="false">IF($B541="","",IF(AND($K541="Y",OR($D541="later",$J541="Y")),"Y","N"))</f>
        <v/>
      </c>
      <c r="P541" s="30" t="str">
        <f aca="false">IF(OR($B541="",$E541=""),"",$B541&amp;"_"&amp;$C541&amp;"_"&amp;$D541&amp;"_"&amp;TEXT($E541,"yyyy-mm-dd")&amp;".jpg")</f>
        <v/>
      </c>
      <c r="Q541" s="30" t="str">
        <f aca="false">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30" t="str">
        <f aca="false">IF($B541="","",$B541&amp;"|"&amp;$C541&amp;"|"&amp;$D541&amp;"|"&amp;$O541)</f>
        <v/>
      </c>
      <c r="S541" s="30" t="str">
        <f aca="false">IF($B541="","",$R541&amp;"|"&amp;N($E541))</f>
        <v/>
      </c>
    </row>
    <row r="542" customFormat="false" ht="15" hidden="false" customHeight="false" outlineLevel="0" collapsed="false">
      <c r="D542" s="10"/>
      <c r="E542" s="11"/>
      <c r="F542" s="38"/>
      <c r="G542" s="10"/>
      <c r="I542" s="11"/>
      <c r="J542" s="10"/>
      <c r="K542" s="10"/>
      <c r="M542" s="31" t="str">
        <f aca="false">IF($B542="","",IFERROR(IF(INDEX(campaigns!$BG$2:$BG$51,MATCH($B542,campaigns!$A$2:$A$51,0))="","",INDEX(campaigns!$BG$2:$BG$51,MATCH($B542,campaigns!$A$2:$A$51,0))),""))</f>
        <v/>
      </c>
      <c r="N542" s="30" t="str">
        <f aca="false">IF(OR($B542="",$E542="",$M542=""),"",IF($E542&lt;$M542,0,NETWORKDAYS($M542,$E542,calendar!$A$2:$A$80)))</f>
        <v/>
      </c>
      <c r="O542" s="30" t="str">
        <f aca="false">IF($B542="","",IF(AND($K542="Y",OR($D542="later",$J542="Y")),"Y","N"))</f>
        <v/>
      </c>
      <c r="P542" s="30" t="str">
        <f aca="false">IF(OR($B542="",$E542=""),"",$B542&amp;"_"&amp;$C542&amp;"_"&amp;$D542&amp;"_"&amp;TEXT($E542,"yyyy-mm-dd")&amp;".jpg")</f>
        <v/>
      </c>
      <c r="Q542" s="30" t="str">
        <f aca="false">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30" t="str">
        <f aca="false">IF($B542="","",$B542&amp;"|"&amp;$C542&amp;"|"&amp;$D542&amp;"|"&amp;$O542)</f>
        <v/>
      </c>
      <c r="S542" s="30" t="str">
        <f aca="false">IF($B542="","",$R542&amp;"|"&amp;N($E542))</f>
        <v/>
      </c>
    </row>
    <row r="543" customFormat="false" ht="15" hidden="false" customHeight="false" outlineLevel="0" collapsed="false">
      <c r="D543" s="10"/>
      <c r="E543" s="11"/>
      <c r="F543" s="38"/>
      <c r="G543" s="10"/>
      <c r="I543" s="11"/>
      <c r="J543" s="10"/>
      <c r="K543" s="10"/>
      <c r="M543" s="31" t="str">
        <f aca="false">IF($B543="","",IFERROR(IF(INDEX(campaigns!$BG$2:$BG$51,MATCH($B543,campaigns!$A$2:$A$51,0))="","",INDEX(campaigns!$BG$2:$BG$51,MATCH($B543,campaigns!$A$2:$A$51,0))),""))</f>
        <v/>
      </c>
      <c r="N543" s="30" t="str">
        <f aca="false">IF(OR($B543="",$E543="",$M543=""),"",IF($E543&lt;$M543,0,NETWORKDAYS($M543,$E543,calendar!$A$2:$A$80)))</f>
        <v/>
      </c>
      <c r="O543" s="30" t="str">
        <f aca="false">IF($B543="","",IF(AND($K543="Y",OR($D543="later",$J543="Y")),"Y","N"))</f>
        <v/>
      </c>
      <c r="P543" s="30" t="str">
        <f aca="false">IF(OR($B543="",$E543=""),"",$B543&amp;"_"&amp;$C543&amp;"_"&amp;$D543&amp;"_"&amp;TEXT($E543,"yyyy-mm-dd")&amp;".jpg")</f>
        <v/>
      </c>
      <c r="Q543" s="30" t="str">
        <f aca="false">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30" t="str">
        <f aca="false">IF($B543="","",$B543&amp;"|"&amp;$C543&amp;"|"&amp;$D543&amp;"|"&amp;$O543)</f>
        <v/>
      </c>
      <c r="S543" s="30" t="str">
        <f aca="false">IF($B543="","",$R543&amp;"|"&amp;N($E543))</f>
        <v/>
      </c>
    </row>
    <row r="544" customFormat="false" ht="15" hidden="false" customHeight="false" outlineLevel="0" collapsed="false">
      <c r="D544" s="10"/>
      <c r="E544" s="11"/>
      <c r="F544" s="38"/>
      <c r="G544" s="10"/>
      <c r="I544" s="11"/>
      <c r="J544" s="10"/>
      <c r="K544" s="10"/>
      <c r="M544" s="31" t="str">
        <f aca="false">IF($B544="","",IFERROR(IF(INDEX(campaigns!$BG$2:$BG$51,MATCH($B544,campaigns!$A$2:$A$51,0))="","",INDEX(campaigns!$BG$2:$BG$51,MATCH($B544,campaigns!$A$2:$A$51,0))),""))</f>
        <v/>
      </c>
      <c r="N544" s="30" t="str">
        <f aca="false">IF(OR($B544="",$E544="",$M544=""),"",IF($E544&lt;$M544,0,NETWORKDAYS($M544,$E544,calendar!$A$2:$A$80)))</f>
        <v/>
      </c>
      <c r="O544" s="30" t="str">
        <f aca="false">IF($B544="","",IF(AND($K544="Y",OR($D544="later",$J544="Y")),"Y","N"))</f>
        <v/>
      </c>
      <c r="P544" s="30" t="str">
        <f aca="false">IF(OR($B544="",$E544=""),"",$B544&amp;"_"&amp;$C544&amp;"_"&amp;$D544&amp;"_"&amp;TEXT($E544,"yyyy-mm-dd")&amp;".jpg")</f>
        <v/>
      </c>
      <c r="Q544" s="30" t="str">
        <f aca="false">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30" t="str">
        <f aca="false">IF($B544="","",$B544&amp;"|"&amp;$C544&amp;"|"&amp;$D544&amp;"|"&amp;$O544)</f>
        <v/>
      </c>
      <c r="S544" s="30" t="str">
        <f aca="false">IF($B544="","",$R544&amp;"|"&amp;N($E544))</f>
        <v/>
      </c>
    </row>
    <row r="545" customFormat="false" ht="15" hidden="false" customHeight="false" outlineLevel="0" collapsed="false">
      <c r="D545" s="10"/>
      <c r="E545" s="11"/>
      <c r="F545" s="38"/>
      <c r="G545" s="10"/>
      <c r="I545" s="11"/>
      <c r="J545" s="10"/>
      <c r="K545" s="10"/>
      <c r="M545" s="31" t="str">
        <f aca="false">IF($B545="","",IFERROR(IF(INDEX(campaigns!$BG$2:$BG$51,MATCH($B545,campaigns!$A$2:$A$51,0))="","",INDEX(campaigns!$BG$2:$BG$51,MATCH($B545,campaigns!$A$2:$A$51,0))),""))</f>
        <v/>
      </c>
      <c r="N545" s="30" t="str">
        <f aca="false">IF(OR($B545="",$E545="",$M545=""),"",IF($E545&lt;$M545,0,NETWORKDAYS($M545,$E545,calendar!$A$2:$A$80)))</f>
        <v/>
      </c>
      <c r="O545" s="30" t="str">
        <f aca="false">IF($B545="","",IF(AND($K545="Y",OR($D545="later",$J545="Y")),"Y","N"))</f>
        <v/>
      </c>
      <c r="P545" s="30" t="str">
        <f aca="false">IF(OR($B545="",$E545=""),"",$B545&amp;"_"&amp;$C545&amp;"_"&amp;$D545&amp;"_"&amp;TEXT($E545,"yyyy-mm-dd")&amp;".jpg")</f>
        <v/>
      </c>
      <c r="Q545" s="30" t="str">
        <f aca="false">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30" t="str">
        <f aca="false">IF($B545="","",$B545&amp;"|"&amp;$C545&amp;"|"&amp;$D545&amp;"|"&amp;$O545)</f>
        <v/>
      </c>
      <c r="S545" s="30" t="str">
        <f aca="false">IF($B545="","",$R545&amp;"|"&amp;N($E545))</f>
        <v/>
      </c>
    </row>
    <row r="546" customFormat="false" ht="15" hidden="false" customHeight="false" outlineLevel="0" collapsed="false">
      <c r="D546" s="10"/>
      <c r="E546" s="11"/>
      <c r="F546" s="38"/>
      <c r="G546" s="10"/>
      <c r="I546" s="11"/>
      <c r="J546" s="10"/>
      <c r="K546" s="10"/>
      <c r="M546" s="31" t="str">
        <f aca="false">IF($B546="","",IFERROR(IF(INDEX(campaigns!$BG$2:$BG$51,MATCH($B546,campaigns!$A$2:$A$51,0))="","",INDEX(campaigns!$BG$2:$BG$51,MATCH($B546,campaigns!$A$2:$A$51,0))),""))</f>
        <v/>
      </c>
      <c r="N546" s="30" t="str">
        <f aca="false">IF(OR($B546="",$E546="",$M546=""),"",IF($E546&lt;$M546,0,NETWORKDAYS($M546,$E546,calendar!$A$2:$A$80)))</f>
        <v/>
      </c>
      <c r="O546" s="30" t="str">
        <f aca="false">IF($B546="","",IF(AND($K546="Y",OR($D546="later",$J546="Y")),"Y","N"))</f>
        <v/>
      </c>
      <c r="P546" s="30" t="str">
        <f aca="false">IF(OR($B546="",$E546=""),"",$B546&amp;"_"&amp;$C546&amp;"_"&amp;$D546&amp;"_"&amp;TEXT($E546,"yyyy-mm-dd")&amp;".jpg")</f>
        <v/>
      </c>
      <c r="Q546" s="30" t="str">
        <f aca="false">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30" t="str">
        <f aca="false">IF($B546="","",$B546&amp;"|"&amp;$C546&amp;"|"&amp;$D546&amp;"|"&amp;$O546)</f>
        <v/>
      </c>
      <c r="S546" s="30" t="str">
        <f aca="false">IF($B546="","",$R546&amp;"|"&amp;N($E546))</f>
        <v/>
      </c>
    </row>
    <row r="547" customFormat="false" ht="15" hidden="false" customHeight="false" outlineLevel="0" collapsed="false">
      <c r="D547" s="10"/>
      <c r="E547" s="11"/>
      <c r="F547" s="38"/>
      <c r="G547" s="10"/>
      <c r="I547" s="11"/>
      <c r="J547" s="10"/>
      <c r="K547" s="10"/>
      <c r="M547" s="31" t="str">
        <f aca="false">IF($B547="","",IFERROR(IF(INDEX(campaigns!$BG$2:$BG$51,MATCH($B547,campaigns!$A$2:$A$51,0))="","",INDEX(campaigns!$BG$2:$BG$51,MATCH($B547,campaigns!$A$2:$A$51,0))),""))</f>
        <v/>
      </c>
      <c r="N547" s="30" t="str">
        <f aca="false">IF(OR($B547="",$E547="",$M547=""),"",IF($E547&lt;$M547,0,NETWORKDAYS($M547,$E547,calendar!$A$2:$A$80)))</f>
        <v/>
      </c>
      <c r="O547" s="30" t="str">
        <f aca="false">IF($B547="","",IF(AND($K547="Y",OR($D547="later",$J547="Y")),"Y","N"))</f>
        <v/>
      </c>
      <c r="P547" s="30" t="str">
        <f aca="false">IF(OR($B547="",$E547=""),"",$B547&amp;"_"&amp;$C547&amp;"_"&amp;$D547&amp;"_"&amp;TEXT($E547,"yyyy-mm-dd")&amp;".jpg")</f>
        <v/>
      </c>
      <c r="Q547" s="30" t="str">
        <f aca="false">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30" t="str">
        <f aca="false">IF($B547="","",$B547&amp;"|"&amp;$C547&amp;"|"&amp;$D547&amp;"|"&amp;$O547)</f>
        <v/>
      </c>
      <c r="S547" s="30" t="str">
        <f aca="false">IF($B547="","",$R547&amp;"|"&amp;N($E547))</f>
        <v/>
      </c>
    </row>
    <row r="548" customFormat="false" ht="15" hidden="false" customHeight="false" outlineLevel="0" collapsed="false">
      <c r="D548" s="10"/>
      <c r="E548" s="11"/>
      <c r="F548" s="38"/>
      <c r="G548" s="10"/>
      <c r="I548" s="11"/>
      <c r="J548" s="10"/>
      <c r="K548" s="10"/>
      <c r="M548" s="31" t="str">
        <f aca="false">IF($B548="","",IFERROR(IF(INDEX(campaigns!$BG$2:$BG$51,MATCH($B548,campaigns!$A$2:$A$51,0))="","",INDEX(campaigns!$BG$2:$BG$51,MATCH($B548,campaigns!$A$2:$A$51,0))),""))</f>
        <v/>
      </c>
      <c r="N548" s="30" t="str">
        <f aca="false">IF(OR($B548="",$E548="",$M548=""),"",IF($E548&lt;$M548,0,NETWORKDAYS($M548,$E548,calendar!$A$2:$A$80)))</f>
        <v/>
      </c>
      <c r="O548" s="30" t="str">
        <f aca="false">IF($B548="","",IF(AND($K548="Y",OR($D548="later",$J548="Y")),"Y","N"))</f>
        <v/>
      </c>
      <c r="P548" s="30" t="str">
        <f aca="false">IF(OR($B548="",$E548=""),"",$B548&amp;"_"&amp;$C548&amp;"_"&amp;$D548&amp;"_"&amp;TEXT($E548,"yyyy-mm-dd")&amp;".jpg")</f>
        <v/>
      </c>
      <c r="Q548" s="30" t="str">
        <f aca="false">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30" t="str">
        <f aca="false">IF($B548="","",$B548&amp;"|"&amp;$C548&amp;"|"&amp;$D548&amp;"|"&amp;$O548)</f>
        <v/>
      </c>
      <c r="S548" s="30" t="str">
        <f aca="false">IF($B548="","",$R548&amp;"|"&amp;N($E548))</f>
        <v/>
      </c>
    </row>
    <row r="549" customFormat="false" ht="15" hidden="false" customHeight="false" outlineLevel="0" collapsed="false">
      <c r="D549" s="10"/>
      <c r="E549" s="11"/>
      <c r="F549" s="38"/>
      <c r="G549" s="10"/>
      <c r="I549" s="11"/>
      <c r="J549" s="10"/>
      <c r="K549" s="10"/>
      <c r="M549" s="31" t="str">
        <f aca="false">IF($B549="","",IFERROR(IF(INDEX(campaigns!$BG$2:$BG$51,MATCH($B549,campaigns!$A$2:$A$51,0))="","",INDEX(campaigns!$BG$2:$BG$51,MATCH($B549,campaigns!$A$2:$A$51,0))),""))</f>
        <v/>
      </c>
      <c r="N549" s="30" t="str">
        <f aca="false">IF(OR($B549="",$E549="",$M549=""),"",IF($E549&lt;$M549,0,NETWORKDAYS($M549,$E549,calendar!$A$2:$A$80)))</f>
        <v/>
      </c>
      <c r="O549" s="30" t="str">
        <f aca="false">IF($B549="","",IF(AND($K549="Y",OR($D549="later",$J549="Y")),"Y","N"))</f>
        <v/>
      </c>
      <c r="P549" s="30" t="str">
        <f aca="false">IF(OR($B549="",$E549=""),"",$B549&amp;"_"&amp;$C549&amp;"_"&amp;$D549&amp;"_"&amp;TEXT($E549,"yyyy-mm-dd")&amp;".jpg")</f>
        <v/>
      </c>
      <c r="Q549" s="30" t="str">
        <f aca="false">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30" t="str">
        <f aca="false">IF($B549="","",$B549&amp;"|"&amp;$C549&amp;"|"&amp;$D549&amp;"|"&amp;$O549)</f>
        <v/>
      </c>
      <c r="S549" s="30" t="str">
        <f aca="false">IF($B549="","",$R549&amp;"|"&amp;N($E549))</f>
        <v/>
      </c>
    </row>
    <row r="550" customFormat="false" ht="15" hidden="false" customHeight="false" outlineLevel="0" collapsed="false">
      <c r="D550" s="10"/>
      <c r="E550" s="11"/>
      <c r="F550" s="38"/>
      <c r="G550" s="10"/>
      <c r="I550" s="11"/>
      <c r="J550" s="10"/>
      <c r="K550" s="10"/>
      <c r="M550" s="31" t="str">
        <f aca="false">IF($B550="","",IFERROR(IF(INDEX(campaigns!$BG$2:$BG$51,MATCH($B550,campaigns!$A$2:$A$51,0))="","",INDEX(campaigns!$BG$2:$BG$51,MATCH($B550,campaigns!$A$2:$A$51,0))),""))</f>
        <v/>
      </c>
      <c r="N550" s="30" t="str">
        <f aca="false">IF(OR($B550="",$E550="",$M550=""),"",IF($E550&lt;$M550,0,NETWORKDAYS($M550,$E550,calendar!$A$2:$A$80)))</f>
        <v/>
      </c>
      <c r="O550" s="30" t="str">
        <f aca="false">IF($B550="","",IF(AND($K550="Y",OR($D550="later",$J550="Y")),"Y","N"))</f>
        <v/>
      </c>
      <c r="P550" s="30" t="str">
        <f aca="false">IF(OR($B550="",$E550=""),"",$B550&amp;"_"&amp;$C550&amp;"_"&amp;$D550&amp;"_"&amp;TEXT($E550,"yyyy-mm-dd")&amp;".jpg")</f>
        <v/>
      </c>
      <c r="Q550" s="30" t="str">
        <f aca="false">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30" t="str">
        <f aca="false">IF($B550="","",$B550&amp;"|"&amp;$C550&amp;"|"&amp;$D550&amp;"|"&amp;$O550)</f>
        <v/>
      </c>
      <c r="S550" s="30" t="str">
        <f aca="false">IF($B550="","",$R550&amp;"|"&amp;N($E550))</f>
        <v/>
      </c>
    </row>
    <row r="551" customFormat="false" ht="15" hidden="false" customHeight="false" outlineLevel="0" collapsed="false">
      <c r="D551" s="10"/>
      <c r="E551" s="11"/>
      <c r="F551" s="38"/>
      <c r="G551" s="10"/>
      <c r="I551" s="11"/>
      <c r="J551" s="10"/>
      <c r="K551" s="10"/>
      <c r="M551" s="31" t="str">
        <f aca="false">IF($B551="","",IFERROR(IF(INDEX(campaigns!$BG$2:$BG$51,MATCH($B551,campaigns!$A$2:$A$51,0))="","",INDEX(campaigns!$BG$2:$BG$51,MATCH($B551,campaigns!$A$2:$A$51,0))),""))</f>
        <v/>
      </c>
      <c r="N551" s="30" t="str">
        <f aca="false">IF(OR($B551="",$E551="",$M551=""),"",IF($E551&lt;$M551,0,NETWORKDAYS($M551,$E551,calendar!$A$2:$A$80)))</f>
        <v/>
      </c>
      <c r="O551" s="30" t="str">
        <f aca="false">IF($B551="","",IF(AND($K551="Y",OR($D551="later",$J551="Y")),"Y","N"))</f>
        <v/>
      </c>
      <c r="P551" s="30" t="str">
        <f aca="false">IF(OR($B551="",$E551=""),"",$B551&amp;"_"&amp;$C551&amp;"_"&amp;$D551&amp;"_"&amp;TEXT($E551,"yyyy-mm-dd")&amp;".jpg")</f>
        <v/>
      </c>
      <c r="Q551" s="30" t="str">
        <f aca="false">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30" t="str">
        <f aca="false">IF($B551="","",$B551&amp;"|"&amp;$C551&amp;"|"&amp;$D551&amp;"|"&amp;$O551)</f>
        <v/>
      </c>
      <c r="S551" s="30" t="str">
        <f aca="false">IF($B551="","",$R551&amp;"|"&amp;N($E551))</f>
        <v/>
      </c>
    </row>
    <row r="552" customFormat="false" ht="15" hidden="false" customHeight="false" outlineLevel="0" collapsed="false">
      <c r="D552" s="10"/>
      <c r="E552" s="11"/>
      <c r="F552" s="38"/>
      <c r="G552" s="10"/>
      <c r="I552" s="11"/>
      <c r="J552" s="10"/>
      <c r="K552" s="10"/>
      <c r="M552" s="31" t="str">
        <f aca="false">IF($B552="","",IFERROR(IF(INDEX(campaigns!$BG$2:$BG$51,MATCH($B552,campaigns!$A$2:$A$51,0))="","",INDEX(campaigns!$BG$2:$BG$51,MATCH($B552,campaigns!$A$2:$A$51,0))),""))</f>
        <v/>
      </c>
      <c r="N552" s="30" t="str">
        <f aca="false">IF(OR($B552="",$E552="",$M552=""),"",IF($E552&lt;$M552,0,NETWORKDAYS($M552,$E552,calendar!$A$2:$A$80)))</f>
        <v/>
      </c>
      <c r="O552" s="30" t="str">
        <f aca="false">IF($B552="","",IF(AND($K552="Y",OR($D552="later",$J552="Y")),"Y","N"))</f>
        <v/>
      </c>
      <c r="P552" s="30" t="str">
        <f aca="false">IF(OR($B552="",$E552=""),"",$B552&amp;"_"&amp;$C552&amp;"_"&amp;$D552&amp;"_"&amp;TEXT($E552,"yyyy-mm-dd")&amp;".jpg")</f>
        <v/>
      </c>
      <c r="Q552" s="30" t="str">
        <f aca="false">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30" t="str">
        <f aca="false">IF($B552="","",$B552&amp;"|"&amp;$C552&amp;"|"&amp;$D552&amp;"|"&amp;$O552)</f>
        <v/>
      </c>
      <c r="S552" s="30" t="str">
        <f aca="false">IF($B552="","",$R552&amp;"|"&amp;N($E552))</f>
        <v/>
      </c>
    </row>
    <row r="553" customFormat="false" ht="15" hidden="false" customHeight="false" outlineLevel="0" collapsed="false">
      <c r="D553" s="10"/>
      <c r="E553" s="11"/>
      <c r="F553" s="38"/>
      <c r="G553" s="10"/>
      <c r="I553" s="11"/>
      <c r="J553" s="10"/>
      <c r="K553" s="10"/>
      <c r="M553" s="31" t="str">
        <f aca="false">IF($B553="","",IFERROR(IF(INDEX(campaigns!$BG$2:$BG$51,MATCH($B553,campaigns!$A$2:$A$51,0))="","",INDEX(campaigns!$BG$2:$BG$51,MATCH($B553,campaigns!$A$2:$A$51,0))),""))</f>
        <v/>
      </c>
      <c r="N553" s="30" t="str">
        <f aca="false">IF(OR($B553="",$E553="",$M553=""),"",IF($E553&lt;$M553,0,NETWORKDAYS($M553,$E553,calendar!$A$2:$A$80)))</f>
        <v/>
      </c>
      <c r="O553" s="30" t="str">
        <f aca="false">IF($B553="","",IF(AND($K553="Y",OR($D553="later",$J553="Y")),"Y","N"))</f>
        <v/>
      </c>
      <c r="P553" s="30" t="str">
        <f aca="false">IF(OR($B553="",$E553=""),"",$B553&amp;"_"&amp;$C553&amp;"_"&amp;$D553&amp;"_"&amp;TEXT($E553,"yyyy-mm-dd")&amp;".jpg")</f>
        <v/>
      </c>
      <c r="Q553" s="30" t="str">
        <f aca="false">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30" t="str">
        <f aca="false">IF($B553="","",$B553&amp;"|"&amp;$C553&amp;"|"&amp;$D553&amp;"|"&amp;$O553)</f>
        <v/>
      </c>
      <c r="S553" s="30" t="str">
        <f aca="false">IF($B553="","",$R553&amp;"|"&amp;N($E553))</f>
        <v/>
      </c>
    </row>
    <row r="554" customFormat="false" ht="15" hidden="false" customHeight="false" outlineLevel="0" collapsed="false">
      <c r="D554" s="10"/>
      <c r="E554" s="11"/>
      <c r="F554" s="38"/>
      <c r="G554" s="10"/>
      <c r="I554" s="11"/>
      <c r="J554" s="10"/>
      <c r="K554" s="10"/>
      <c r="M554" s="31" t="str">
        <f aca="false">IF($B554="","",IFERROR(IF(INDEX(campaigns!$BG$2:$BG$51,MATCH($B554,campaigns!$A$2:$A$51,0))="","",INDEX(campaigns!$BG$2:$BG$51,MATCH($B554,campaigns!$A$2:$A$51,0))),""))</f>
        <v/>
      </c>
      <c r="N554" s="30" t="str">
        <f aca="false">IF(OR($B554="",$E554="",$M554=""),"",IF($E554&lt;$M554,0,NETWORKDAYS($M554,$E554,calendar!$A$2:$A$80)))</f>
        <v/>
      </c>
      <c r="O554" s="30" t="str">
        <f aca="false">IF($B554="","",IF(AND($K554="Y",OR($D554="later",$J554="Y")),"Y","N"))</f>
        <v/>
      </c>
      <c r="P554" s="30" t="str">
        <f aca="false">IF(OR($B554="",$E554=""),"",$B554&amp;"_"&amp;$C554&amp;"_"&amp;$D554&amp;"_"&amp;TEXT($E554,"yyyy-mm-dd")&amp;".jpg")</f>
        <v/>
      </c>
      <c r="Q554" s="30" t="str">
        <f aca="false">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30" t="str">
        <f aca="false">IF($B554="","",$B554&amp;"|"&amp;$C554&amp;"|"&amp;$D554&amp;"|"&amp;$O554)</f>
        <v/>
      </c>
      <c r="S554" s="30" t="str">
        <f aca="false">IF($B554="","",$R554&amp;"|"&amp;N($E554))</f>
        <v/>
      </c>
    </row>
    <row r="555" customFormat="false" ht="15" hidden="false" customHeight="false" outlineLevel="0" collapsed="false">
      <c r="D555" s="10"/>
      <c r="E555" s="11"/>
      <c r="F555" s="38"/>
      <c r="G555" s="10"/>
      <c r="I555" s="11"/>
      <c r="J555" s="10"/>
      <c r="K555" s="10"/>
      <c r="M555" s="31" t="str">
        <f aca="false">IF($B555="","",IFERROR(IF(INDEX(campaigns!$BG$2:$BG$51,MATCH($B555,campaigns!$A$2:$A$51,0))="","",INDEX(campaigns!$BG$2:$BG$51,MATCH($B555,campaigns!$A$2:$A$51,0))),""))</f>
        <v/>
      </c>
      <c r="N555" s="30" t="str">
        <f aca="false">IF(OR($B555="",$E555="",$M555=""),"",IF($E555&lt;$M555,0,NETWORKDAYS($M555,$E555,calendar!$A$2:$A$80)))</f>
        <v/>
      </c>
      <c r="O555" s="30" t="str">
        <f aca="false">IF($B555="","",IF(AND($K555="Y",OR($D555="later",$J555="Y")),"Y","N"))</f>
        <v/>
      </c>
      <c r="P555" s="30" t="str">
        <f aca="false">IF(OR($B555="",$E555=""),"",$B555&amp;"_"&amp;$C555&amp;"_"&amp;$D555&amp;"_"&amp;TEXT($E555,"yyyy-mm-dd")&amp;".jpg")</f>
        <v/>
      </c>
      <c r="Q555" s="30" t="str">
        <f aca="false">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30" t="str">
        <f aca="false">IF($B555="","",$B555&amp;"|"&amp;$C555&amp;"|"&amp;$D555&amp;"|"&amp;$O555)</f>
        <v/>
      </c>
      <c r="S555" s="30" t="str">
        <f aca="false">IF($B555="","",$R555&amp;"|"&amp;N($E555))</f>
        <v/>
      </c>
    </row>
    <row r="556" customFormat="false" ht="15" hidden="false" customHeight="false" outlineLevel="0" collapsed="false">
      <c r="D556" s="10"/>
      <c r="E556" s="11"/>
      <c r="F556" s="38"/>
      <c r="G556" s="10"/>
      <c r="I556" s="11"/>
      <c r="J556" s="10"/>
      <c r="K556" s="10"/>
      <c r="M556" s="31" t="str">
        <f aca="false">IF($B556="","",IFERROR(IF(INDEX(campaigns!$BG$2:$BG$51,MATCH($B556,campaigns!$A$2:$A$51,0))="","",INDEX(campaigns!$BG$2:$BG$51,MATCH($B556,campaigns!$A$2:$A$51,0))),""))</f>
        <v/>
      </c>
      <c r="N556" s="30" t="str">
        <f aca="false">IF(OR($B556="",$E556="",$M556=""),"",IF($E556&lt;$M556,0,NETWORKDAYS($M556,$E556,calendar!$A$2:$A$80)))</f>
        <v/>
      </c>
      <c r="O556" s="30" t="str">
        <f aca="false">IF($B556="","",IF(AND($K556="Y",OR($D556="later",$J556="Y")),"Y","N"))</f>
        <v/>
      </c>
      <c r="P556" s="30" t="str">
        <f aca="false">IF(OR($B556="",$E556=""),"",$B556&amp;"_"&amp;$C556&amp;"_"&amp;$D556&amp;"_"&amp;TEXT($E556,"yyyy-mm-dd")&amp;".jpg")</f>
        <v/>
      </c>
      <c r="Q556" s="30" t="str">
        <f aca="false">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30" t="str">
        <f aca="false">IF($B556="","",$B556&amp;"|"&amp;$C556&amp;"|"&amp;$D556&amp;"|"&amp;$O556)</f>
        <v/>
      </c>
      <c r="S556" s="30" t="str">
        <f aca="false">IF($B556="","",$R556&amp;"|"&amp;N($E556))</f>
        <v/>
      </c>
    </row>
    <row r="557" customFormat="false" ht="15" hidden="false" customHeight="false" outlineLevel="0" collapsed="false">
      <c r="D557" s="10"/>
      <c r="E557" s="11"/>
      <c r="F557" s="38"/>
      <c r="G557" s="10"/>
      <c r="I557" s="11"/>
      <c r="J557" s="10"/>
      <c r="K557" s="10"/>
      <c r="M557" s="31" t="str">
        <f aca="false">IF($B557="","",IFERROR(IF(INDEX(campaigns!$BG$2:$BG$51,MATCH($B557,campaigns!$A$2:$A$51,0))="","",INDEX(campaigns!$BG$2:$BG$51,MATCH($B557,campaigns!$A$2:$A$51,0))),""))</f>
        <v/>
      </c>
      <c r="N557" s="30" t="str">
        <f aca="false">IF(OR($B557="",$E557="",$M557=""),"",IF($E557&lt;$M557,0,NETWORKDAYS($M557,$E557,calendar!$A$2:$A$80)))</f>
        <v/>
      </c>
      <c r="O557" s="30" t="str">
        <f aca="false">IF($B557="","",IF(AND($K557="Y",OR($D557="later",$J557="Y")),"Y","N"))</f>
        <v/>
      </c>
      <c r="P557" s="30" t="str">
        <f aca="false">IF(OR($B557="",$E557=""),"",$B557&amp;"_"&amp;$C557&amp;"_"&amp;$D557&amp;"_"&amp;TEXT($E557,"yyyy-mm-dd")&amp;".jpg")</f>
        <v/>
      </c>
      <c r="Q557" s="30" t="str">
        <f aca="false">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30" t="str">
        <f aca="false">IF($B557="","",$B557&amp;"|"&amp;$C557&amp;"|"&amp;$D557&amp;"|"&amp;$O557)</f>
        <v/>
      </c>
      <c r="S557" s="30" t="str">
        <f aca="false">IF($B557="","",$R557&amp;"|"&amp;N($E557))</f>
        <v/>
      </c>
    </row>
    <row r="558" customFormat="false" ht="15" hidden="false" customHeight="false" outlineLevel="0" collapsed="false">
      <c r="D558" s="10"/>
      <c r="E558" s="11"/>
      <c r="F558" s="38"/>
      <c r="G558" s="10"/>
      <c r="I558" s="11"/>
      <c r="J558" s="10"/>
      <c r="K558" s="10"/>
      <c r="M558" s="31" t="str">
        <f aca="false">IF($B558="","",IFERROR(IF(INDEX(campaigns!$BG$2:$BG$51,MATCH($B558,campaigns!$A$2:$A$51,0))="","",INDEX(campaigns!$BG$2:$BG$51,MATCH($B558,campaigns!$A$2:$A$51,0))),""))</f>
        <v/>
      </c>
      <c r="N558" s="30" t="str">
        <f aca="false">IF(OR($B558="",$E558="",$M558=""),"",IF($E558&lt;$M558,0,NETWORKDAYS($M558,$E558,calendar!$A$2:$A$80)))</f>
        <v/>
      </c>
      <c r="O558" s="30" t="str">
        <f aca="false">IF($B558="","",IF(AND($K558="Y",OR($D558="later",$J558="Y")),"Y","N"))</f>
        <v/>
      </c>
      <c r="P558" s="30" t="str">
        <f aca="false">IF(OR($B558="",$E558=""),"",$B558&amp;"_"&amp;$C558&amp;"_"&amp;$D558&amp;"_"&amp;TEXT($E558,"yyyy-mm-dd")&amp;".jpg")</f>
        <v/>
      </c>
      <c r="Q558" s="30" t="str">
        <f aca="false">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30" t="str">
        <f aca="false">IF($B558="","",$B558&amp;"|"&amp;$C558&amp;"|"&amp;$D558&amp;"|"&amp;$O558)</f>
        <v/>
      </c>
      <c r="S558" s="30" t="str">
        <f aca="false">IF($B558="","",$R558&amp;"|"&amp;N($E558))</f>
        <v/>
      </c>
    </row>
    <row r="559" customFormat="false" ht="15" hidden="false" customHeight="false" outlineLevel="0" collapsed="false">
      <c r="D559" s="10"/>
      <c r="E559" s="11"/>
      <c r="F559" s="38"/>
      <c r="G559" s="10"/>
      <c r="I559" s="11"/>
      <c r="J559" s="10"/>
      <c r="K559" s="10"/>
      <c r="M559" s="31" t="str">
        <f aca="false">IF($B559="","",IFERROR(IF(INDEX(campaigns!$BG$2:$BG$51,MATCH($B559,campaigns!$A$2:$A$51,0))="","",INDEX(campaigns!$BG$2:$BG$51,MATCH($B559,campaigns!$A$2:$A$51,0))),""))</f>
        <v/>
      </c>
      <c r="N559" s="30" t="str">
        <f aca="false">IF(OR($B559="",$E559="",$M559=""),"",IF($E559&lt;$M559,0,NETWORKDAYS($M559,$E559,calendar!$A$2:$A$80)))</f>
        <v/>
      </c>
      <c r="O559" s="30" t="str">
        <f aca="false">IF($B559="","",IF(AND($K559="Y",OR($D559="later",$J559="Y")),"Y","N"))</f>
        <v/>
      </c>
      <c r="P559" s="30" t="str">
        <f aca="false">IF(OR($B559="",$E559=""),"",$B559&amp;"_"&amp;$C559&amp;"_"&amp;$D559&amp;"_"&amp;TEXT($E559,"yyyy-mm-dd")&amp;".jpg")</f>
        <v/>
      </c>
      <c r="Q559" s="30" t="str">
        <f aca="false">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30" t="str">
        <f aca="false">IF($B559="","",$B559&amp;"|"&amp;$C559&amp;"|"&amp;$D559&amp;"|"&amp;$O559)</f>
        <v/>
      </c>
      <c r="S559" s="30" t="str">
        <f aca="false">IF($B559="","",$R559&amp;"|"&amp;N($E559))</f>
        <v/>
      </c>
    </row>
    <row r="560" customFormat="false" ht="15" hidden="false" customHeight="false" outlineLevel="0" collapsed="false">
      <c r="D560" s="10"/>
      <c r="E560" s="11"/>
      <c r="F560" s="38"/>
      <c r="G560" s="10"/>
      <c r="I560" s="11"/>
      <c r="J560" s="10"/>
      <c r="K560" s="10"/>
      <c r="M560" s="31" t="str">
        <f aca="false">IF($B560="","",IFERROR(IF(INDEX(campaigns!$BG$2:$BG$51,MATCH($B560,campaigns!$A$2:$A$51,0))="","",INDEX(campaigns!$BG$2:$BG$51,MATCH($B560,campaigns!$A$2:$A$51,0))),""))</f>
        <v/>
      </c>
      <c r="N560" s="30" t="str">
        <f aca="false">IF(OR($B560="",$E560="",$M560=""),"",IF($E560&lt;$M560,0,NETWORKDAYS($M560,$E560,calendar!$A$2:$A$80)))</f>
        <v/>
      </c>
      <c r="O560" s="30" t="str">
        <f aca="false">IF($B560="","",IF(AND($K560="Y",OR($D560="later",$J560="Y")),"Y","N"))</f>
        <v/>
      </c>
      <c r="P560" s="30" t="str">
        <f aca="false">IF(OR($B560="",$E560=""),"",$B560&amp;"_"&amp;$C560&amp;"_"&amp;$D560&amp;"_"&amp;TEXT($E560,"yyyy-mm-dd")&amp;".jpg")</f>
        <v/>
      </c>
      <c r="Q560" s="30" t="str">
        <f aca="false">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30" t="str">
        <f aca="false">IF($B560="","",$B560&amp;"|"&amp;$C560&amp;"|"&amp;$D560&amp;"|"&amp;$O560)</f>
        <v/>
      </c>
      <c r="S560" s="30" t="str">
        <f aca="false">IF($B560="","",$R560&amp;"|"&amp;N($E560))</f>
        <v/>
      </c>
    </row>
    <row r="561" customFormat="false" ht="15" hidden="false" customHeight="false" outlineLevel="0" collapsed="false">
      <c r="D561" s="10"/>
      <c r="E561" s="11"/>
      <c r="F561" s="38"/>
      <c r="G561" s="10"/>
      <c r="I561" s="11"/>
      <c r="J561" s="10"/>
      <c r="K561" s="10"/>
      <c r="M561" s="31" t="str">
        <f aca="false">IF($B561="","",IFERROR(IF(INDEX(campaigns!$BG$2:$BG$51,MATCH($B561,campaigns!$A$2:$A$51,0))="","",INDEX(campaigns!$BG$2:$BG$51,MATCH($B561,campaigns!$A$2:$A$51,0))),""))</f>
        <v/>
      </c>
      <c r="N561" s="30" t="str">
        <f aca="false">IF(OR($B561="",$E561="",$M561=""),"",IF($E561&lt;$M561,0,NETWORKDAYS($M561,$E561,calendar!$A$2:$A$80)))</f>
        <v/>
      </c>
      <c r="O561" s="30" t="str">
        <f aca="false">IF($B561="","",IF(AND($K561="Y",OR($D561="later",$J561="Y")),"Y","N"))</f>
        <v/>
      </c>
      <c r="P561" s="30" t="str">
        <f aca="false">IF(OR($B561="",$E561=""),"",$B561&amp;"_"&amp;$C561&amp;"_"&amp;$D561&amp;"_"&amp;TEXT($E561,"yyyy-mm-dd")&amp;".jpg")</f>
        <v/>
      </c>
      <c r="Q561" s="30" t="str">
        <f aca="false">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30" t="str">
        <f aca="false">IF($B561="","",$B561&amp;"|"&amp;$C561&amp;"|"&amp;$D561&amp;"|"&amp;$O561)</f>
        <v/>
      </c>
      <c r="S561" s="30" t="str">
        <f aca="false">IF($B561="","",$R561&amp;"|"&amp;N($E561))</f>
        <v/>
      </c>
    </row>
    <row r="562" customFormat="false" ht="15" hidden="false" customHeight="false" outlineLevel="0" collapsed="false">
      <c r="D562" s="10"/>
      <c r="E562" s="11"/>
      <c r="F562" s="38"/>
      <c r="G562" s="10"/>
      <c r="I562" s="11"/>
      <c r="J562" s="10"/>
      <c r="K562" s="10"/>
      <c r="M562" s="31" t="str">
        <f aca="false">IF($B562="","",IFERROR(IF(INDEX(campaigns!$BG$2:$BG$51,MATCH($B562,campaigns!$A$2:$A$51,0))="","",INDEX(campaigns!$BG$2:$BG$51,MATCH($B562,campaigns!$A$2:$A$51,0))),""))</f>
        <v/>
      </c>
      <c r="N562" s="30" t="str">
        <f aca="false">IF(OR($B562="",$E562="",$M562=""),"",IF($E562&lt;$M562,0,NETWORKDAYS($M562,$E562,calendar!$A$2:$A$80)))</f>
        <v/>
      </c>
      <c r="O562" s="30" t="str">
        <f aca="false">IF($B562="","",IF(AND($K562="Y",OR($D562="later",$J562="Y")),"Y","N"))</f>
        <v/>
      </c>
      <c r="P562" s="30" t="str">
        <f aca="false">IF(OR($B562="",$E562=""),"",$B562&amp;"_"&amp;$C562&amp;"_"&amp;$D562&amp;"_"&amp;TEXT($E562,"yyyy-mm-dd")&amp;".jpg")</f>
        <v/>
      </c>
      <c r="Q562" s="30" t="str">
        <f aca="false">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30" t="str">
        <f aca="false">IF($B562="","",$B562&amp;"|"&amp;$C562&amp;"|"&amp;$D562&amp;"|"&amp;$O562)</f>
        <v/>
      </c>
      <c r="S562" s="30" t="str">
        <f aca="false">IF($B562="","",$R562&amp;"|"&amp;N($E562))</f>
        <v/>
      </c>
    </row>
    <row r="563" customFormat="false" ht="15" hidden="false" customHeight="false" outlineLevel="0" collapsed="false">
      <c r="D563" s="10"/>
      <c r="E563" s="11"/>
      <c r="F563" s="38"/>
      <c r="G563" s="10"/>
      <c r="I563" s="11"/>
      <c r="J563" s="10"/>
      <c r="K563" s="10"/>
      <c r="M563" s="31" t="str">
        <f aca="false">IF($B563="","",IFERROR(IF(INDEX(campaigns!$BG$2:$BG$51,MATCH($B563,campaigns!$A$2:$A$51,0))="","",INDEX(campaigns!$BG$2:$BG$51,MATCH($B563,campaigns!$A$2:$A$51,0))),""))</f>
        <v/>
      </c>
      <c r="N563" s="30" t="str">
        <f aca="false">IF(OR($B563="",$E563="",$M563=""),"",IF($E563&lt;$M563,0,NETWORKDAYS($M563,$E563,calendar!$A$2:$A$80)))</f>
        <v/>
      </c>
      <c r="O563" s="30" t="str">
        <f aca="false">IF($B563="","",IF(AND($K563="Y",OR($D563="later",$J563="Y")),"Y","N"))</f>
        <v/>
      </c>
      <c r="P563" s="30" t="str">
        <f aca="false">IF(OR($B563="",$E563=""),"",$B563&amp;"_"&amp;$C563&amp;"_"&amp;$D563&amp;"_"&amp;TEXT($E563,"yyyy-mm-dd")&amp;".jpg")</f>
        <v/>
      </c>
      <c r="Q563" s="30" t="str">
        <f aca="false">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30" t="str">
        <f aca="false">IF($B563="","",$B563&amp;"|"&amp;$C563&amp;"|"&amp;$D563&amp;"|"&amp;$O563)</f>
        <v/>
      </c>
      <c r="S563" s="30" t="str">
        <f aca="false">IF($B563="","",$R563&amp;"|"&amp;N($E563))</f>
        <v/>
      </c>
    </row>
    <row r="564" customFormat="false" ht="15" hidden="false" customHeight="false" outlineLevel="0" collapsed="false">
      <c r="D564" s="10"/>
      <c r="E564" s="11"/>
      <c r="F564" s="38"/>
      <c r="G564" s="10"/>
      <c r="I564" s="11"/>
      <c r="J564" s="10"/>
      <c r="K564" s="10"/>
      <c r="M564" s="31" t="str">
        <f aca="false">IF($B564="","",IFERROR(IF(INDEX(campaigns!$BG$2:$BG$51,MATCH($B564,campaigns!$A$2:$A$51,0))="","",INDEX(campaigns!$BG$2:$BG$51,MATCH($B564,campaigns!$A$2:$A$51,0))),""))</f>
        <v/>
      </c>
      <c r="N564" s="30" t="str">
        <f aca="false">IF(OR($B564="",$E564="",$M564=""),"",IF($E564&lt;$M564,0,NETWORKDAYS($M564,$E564,calendar!$A$2:$A$80)))</f>
        <v/>
      </c>
      <c r="O564" s="30" t="str">
        <f aca="false">IF($B564="","",IF(AND($K564="Y",OR($D564="later",$J564="Y")),"Y","N"))</f>
        <v/>
      </c>
      <c r="P564" s="30" t="str">
        <f aca="false">IF(OR($B564="",$E564=""),"",$B564&amp;"_"&amp;$C564&amp;"_"&amp;$D564&amp;"_"&amp;TEXT($E564,"yyyy-mm-dd")&amp;".jpg")</f>
        <v/>
      </c>
      <c r="Q564" s="30" t="str">
        <f aca="false">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30" t="str">
        <f aca="false">IF($B564="","",$B564&amp;"|"&amp;$C564&amp;"|"&amp;$D564&amp;"|"&amp;$O564)</f>
        <v/>
      </c>
      <c r="S564" s="30" t="str">
        <f aca="false">IF($B564="","",$R564&amp;"|"&amp;N($E564))</f>
        <v/>
      </c>
    </row>
    <row r="565" customFormat="false" ht="15" hidden="false" customHeight="false" outlineLevel="0" collapsed="false">
      <c r="D565" s="10"/>
      <c r="E565" s="11"/>
      <c r="F565" s="38"/>
      <c r="G565" s="10"/>
      <c r="I565" s="11"/>
      <c r="J565" s="10"/>
      <c r="K565" s="10"/>
      <c r="M565" s="31" t="str">
        <f aca="false">IF($B565="","",IFERROR(IF(INDEX(campaigns!$BG$2:$BG$51,MATCH($B565,campaigns!$A$2:$A$51,0))="","",INDEX(campaigns!$BG$2:$BG$51,MATCH($B565,campaigns!$A$2:$A$51,0))),""))</f>
        <v/>
      </c>
      <c r="N565" s="30" t="str">
        <f aca="false">IF(OR($B565="",$E565="",$M565=""),"",IF($E565&lt;$M565,0,NETWORKDAYS($M565,$E565,calendar!$A$2:$A$80)))</f>
        <v/>
      </c>
      <c r="O565" s="30" t="str">
        <f aca="false">IF($B565="","",IF(AND($K565="Y",OR($D565="later",$J565="Y")),"Y","N"))</f>
        <v/>
      </c>
      <c r="P565" s="30" t="str">
        <f aca="false">IF(OR($B565="",$E565=""),"",$B565&amp;"_"&amp;$C565&amp;"_"&amp;$D565&amp;"_"&amp;TEXT($E565,"yyyy-mm-dd")&amp;".jpg")</f>
        <v/>
      </c>
      <c r="Q565" s="30" t="str">
        <f aca="false">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30" t="str">
        <f aca="false">IF($B565="","",$B565&amp;"|"&amp;$C565&amp;"|"&amp;$D565&amp;"|"&amp;$O565)</f>
        <v/>
      </c>
      <c r="S565" s="30" t="str">
        <f aca="false">IF($B565="","",$R565&amp;"|"&amp;N($E565))</f>
        <v/>
      </c>
    </row>
    <row r="566" customFormat="false" ht="15" hidden="false" customHeight="false" outlineLevel="0" collapsed="false">
      <c r="D566" s="10"/>
      <c r="E566" s="11"/>
      <c r="F566" s="38"/>
      <c r="G566" s="10"/>
      <c r="I566" s="11"/>
      <c r="J566" s="10"/>
      <c r="K566" s="10"/>
      <c r="M566" s="31" t="str">
        <f aca="false">IF($B566="","",IFERROR(IF(INDEX(campaigns!$BG$2:$BG$51,MATCH($B566,campaigns!$A$2:$A$51,0))="","",INDEX(campaigns!$BG$2:$BG$51,MATCH($B566,campaigns!$A$2:$A$51,0))),""))</f>
        <v/>
      </c>
      <c r="N566" s="30" t="str">
        <f aca="false">IF(OR($B566="",$E566="",$M566=""),"",IF($E566&lt;$M566,0,NETWORKDAYS($M566,$E566,calendar!$A$2:$A$80)))</f>
        <v/>
      </c>
      <c r="O566" s="30" t="str">
        <f aca="false">IF($B566="","",IF(AND($K566="Y",OR($D566="later",$J566="Y")),"Y","N"))</f>
        <v/>
      </c>
      <c r="P566" s="30" t="str">
        <f aca="false">IF(OR($B566="",$E566=""),"",$B566&amp;"_"&amp;$C566&amp;"_"&amp;$D566&amp;"_"&amp;TEXT($E566,"yyyy-mm-dd")&amp;".jpg")</f>
        <v/>
      </c>
      <c r="Q566" s="30" t="str">
        <f aca="false">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30" t="str">
        <f aca="false">IF($B566="","",$B566&amp;"|"&amp;$C566&amp;"|"&amp;$D566&amp;"|"&amp;$O566)</f>
        <v/>
      </c>
      <c r="S566" s="30" t="str">
        <f aca="false">IF($B566="","",$R566&amp;"|"&amp;N($E566))</f>
        <v/>
      </c>
    </row>
    <row r="567" customFormat="false" ht="15" hidden="false" customHeight="false" outlineLevel="0" collapsed="false">
      <c r="D567" s="10"/>
      <c r="E567" s="11"/>
      <c r="F567" s="38"/>
      <c r="G567" s="10"/>
      <c r="I567" s="11"/>
      <c r="J567" s="10"/>
      <c r="K567" s="10"/>
      <c r="M567" s="31" t="str">
        <f aca="false">IF($B567="","",IFERROR(IF(INDEX(campaigns!$BG$2:$BG$51,MATCH($B567,campaigns!$A$2:$A$51,0))="","",INDEX(campaigns!$BG$2:$BG$51,MATCH($B567,campaigns!$A$2:$A$51,0))),""))</f>
        <v/>
      </c>
      <c r="N567" s="30" t="str">
        <f aca="false">IF(OR($B567="",$E567="",$M567=""),"",IF($E567&lt;$M567,0,NETWORKDAYS($M567,$E567,calendar!$A$2:$A$80)))</f>
        <v/>
      </c>
      <c r="O567" s="30" t="str">
        <f aca="false">IF($B567="","",IF(AND($K567="Y",OR($D567="later",$J567="Y")),"Y","N"))</f>
        <v/>
      </c>
      <c r="P567" s="30" t="str">
        <f aca="false">IF(OR($B567="",$E567=""),"",$B567&amp;"_"&amp;$C567&amp;"_"&amp;$D567&amp;"_"&amp;TEXT($E567,"yyyy-mm-dd")&amp;".jpg")</f>
        <v/>
      </c>
      <c r="Q567" s="30" t="str">
        <f aca="false">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30" t="str">
        <f aca="false">IF($B567="","",$B567&amp;"|"&amp;$C567&amp;"|"&amp;$D567&amp;"|"&amp;$O567)</f>
        <v/>
      </c>
      <c r="S567" s="30" t="str">
        <f aca="false">IF($B567="","",$R567&amp;"|"&amp;N($E567))</f>
        <v/>
      </c>
    </row>
    <row r="568" customFormat="false" ht="15" hidden="false" customHeight="false" outlineLevel="0" collapsed="false">
      <c r="D568" s="10"/>
      <c r="E568" s="11"/>
      <c r="F568" s="38"/>
      <c r="G568" s="10"/>
      <c r="I568" s="11"/>
      <c r="J568" s="10"/>
      <c r="K568" s="10"/>
      <c r="M568" s="31" t="str">
        <f aca="false">IF($B568="","",IFERROR(IF(INDEX(campaigns!$BG$2:$BG$51,MATCH($B568,campaigns!$A$2:$A$51,0))="","",INDEX(campaigns!$BG$2:$BG$51,MATCH($B568,campaigns!$A$2:$A$51,0))),""))</f>
        <v/>
      </c>
      <c r="N568" s="30" t="str">
        <f aca="false">IF(OR($B568="",$E568="",$M568=""),"",IF($E568&lt;$M568,0,NETWORKDAYS($M568,$E568,calendar!$A$2:$A$80)))</f>
        <v/>
      </c>
      <c r="O568" s="30" t="str">
        <f aca="false">IF($B568="","",IF(AND($K568="Y",OR($D568="later",$J568="Y")),"Y","N"))</f>
        <v/>
      </c>
      <c r="P568" s="30" t="str">
        <f aca="false">IF(OR($B568="",$E568=""),"",$B568&amp;"_"&amp;$C568&amp;"_"&amp;$D568&amp;"_"&amp;TEXT($E568,"yyyy-mm-dd")&amp;".jpg")</f>
        <v/>
      </c>
      <c r="Q568" s="30" t="str">
        <f aca="false">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30" t="str">
        <f aca="false">IF($B568="","",$B568&amp;"|"&amp;$C568&amp;"|"&amp;$D568&amp;"|"&amp;$O568)</f>
        <v/>
      </c>
      <c r="S568" s="30" t="str">
        <f aca="false">IF($B568="","",$R568&amp;"|"&amp;N($E568))</f>
        <v/>
      </c>
    </row>
    <row r="569" customFormat="false" ht="15" hidden="false" customHeight="false" outlineLevel="0" collapsed="false">
      <c r="D569" s="10"/>
      <c r="E569" s="11"/>
      <c r="F569" s="38"/>
      <c r="G569" s="10"/>
      <c r="I569" s="11"/>
      <c r="J569" s="10"/>
      <c r="K569" s="10"/>
      <c r="M569" s="31" t="str">
        <f aca="false">IF($B569="","",IFERROR(IF(INDEX(campaigns!$BG$2:$BG$51,MATCH($B569,campaigns!$A$2:$A$51,0))="","",INDEX(campaigns!$BG$2:$BG$51,MATCH($B569,campaigns!$A$2:$A$51,0))),""))</f>
        <v/>
      </c>
      <c r="N569" s="30" t="str">
        <f aca="false">IF(OR($B569="",$E569="",$M569=""),"",IF($E569&lt;$M569,0,NETWORKDAYS($M569,$E569,calendar!$A$2:$A$80)))</f>
        <v/>
      </c>
      <c r="O569" s="30" t="str">
        <f aca="false">IF($B569="","",IF(AND($K569="Y",OR($D569="later",$J569="Y")),"Y","N"))</f>
        <v/>
      </c>
      <c r="P569" s="30" t="str">
        <f aca="false">IF(OR($B569="",$E569=""),"",$B569&amp;"_"&amp;$C569&amp;"_"&amp;$D569&amp;"_"&amp;TEXT($E569,"yyyy-mm-dd")&amp;".jpg")</f>
        <v/>
      </c>
      <c r="Q569" s="30" t="str">
        <f aca="false">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30" t="str">
        <f aca="false">IF($B569="","",$B569&amp;"|"&amp;$C569&amp;"|"&amp;$D569&amp;"|"&amp;$O569)</f>
        <v/>
      </c>
      <c r="S569" s="30" t="str">
        <f aca="false">IF($B569="","",$R569&amp;"|"&amp;N($E569))</f>
        <v/>
      </c>
    </row>
    <row r="570" customFormat="false" ht="15" hidden="false" customHeight="false" outlineLevel="0" collapsed="false">
      <c r="D570" s="10"/>
      <c r="E570" s="11"/>
      <c r="F570" s="38"/>
      <c r="G570" s="10"/>
      <c r="I570" s="11"/>
      <c r="J570" s="10"/>
      <c r="K570" s="10"/>
      <c r="M570" s="31" t="str">
        <f aca="false">IF($B570="","",IFERROR(IF(INDEX(campaigns!$BG$2:$BG$51,MATCH($B570,campaigns!$A$2:$A$51,0))="","",INDEX(campaigns!$BG$2:$BG$51,MATCH($B570,campaigns!$A$2:$A$51,0))),""))</f>
        <v/>
      </c>
      <c r="N570" s="30" t="str">
        <f aca="false">IF(OR($B570="",$E570="",$M570=""),"",IF($E570&lt;$M570,0,NETWORKDAYS($M570,$E570,calendar!$A$2:$A$80)))</f>
        <v/>
      </c>
      <c r="O570" s="30" t="str">
        <f aca="false">IF($B570="","",IF(AND($K570="Y",OR($D570="later",$J570="Y")),"Y","N"))</f>
        <v/>
      </c>
      <c r="P570" s="30" t="str">
        <f aca="false">IF(OR($B570="",$E570=""),"",$B570&amp;"_"&amp;$C570&amp;"_"&amp;$D570&amp;"_"&amp;TEXT($E570,"yyyy-mm-dd")&amp;".jpg")</f>
        <v/>
      </c>
      <c r="Q570" s="30" t="str">
        <f aca="false">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30" t="str">
        <f aca="false">IF($B570="","",$B570&amp;"|"&amp;$C570&amp;"|"&amp;$D570&amp;"|"&amp;$O570)</f>
        <v/>
      </c>
      <c r="S570" s="30" t="str">
        <f aca="false">IF($B570="","",$R570&amp;"|"&amp;N($E570))</f>
        <v/>
      </c>
    </row>
    <row r="571" customFormat="false" ht="15" hidden="false" customHeight="false" outlineLevel="0" collapsed="false">
      <c r="D571" s="10"/>
      <c r="E571" s="11"/>
      <c r="F571" s="38"/>
      <c r="G571" s="10"/>
      <c r="I571" s="11"/>
      <c r="J571" s="10"/>
      <c r="K571" s="10"/>
      <c r="M571" s="31" t="str">
        <f aca="false">IF($B571="","",IFERROR(IF(INDEX(campaigns!$BG$2:$BG$51,MATCH($B571,campaigns!$A$2:$A$51,0))="","",INDEX(campaigns!$BG$2:$BG$51,MATCH($B571,campaigns!$A$2:$A$51,0))),""))</f>
        <v/>
      </c>
      <c r="N571" s="30" t="str">
        <f aca="false">IF(OR($B571="",$E571="",$M571=""),"",IF($E571&lt;$M571,0,NETWORKDAYS($M571,$E571,calendar!$A$2:$A$80)))</f>
        <v/>
      </c>
      <c r="O571" s="30" t="str">
        <f aca="false">IF($B571="","",IF(AND($K571="Y",OR($D571="later",$J571="Y")),"Y","N"))</f>
        <v/>
      </c>
      <c r="P571" s="30" t="str">
        <f aca="false">IF(OR($B571="",$E571=""),"",$B571&amp;"_"&amp;$C571&amp;"_"&amp;$D571&amp;"_"&amp;TEXT($E571,"yyyy-mm-dd")&amp;".jpg")</f>
        <v/>
      </c>
      <c r="Q571" s="30" t="str">
        <f aca="false">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30" t="str">
        <f aca="false">IF($B571="","",$B571&amp;"|"&amp;$C571&amp;"|"&amp;$D571&amp;"|"&amp;$O571)</f>
        <v/>
      </c>
      <c r="S571" s="30" t="str">
        <f aca="false">IF($B571="","",$R571&amp;"|"&amp;N($E571))</f>
        <v/>
      </c>
    </row>
    <row r="572" customFormat="false" ht="15" hidden="false" customHeight="false" outlineLevel="0" collapsed="false">
      <c r="D572" s="10"/>
      <c r="E572" s="11"/>
      <c r="F572" s="38"/>
      <c r="G572" s="10"/>
      <c r="I572" s="11"/>
      <c r="J572" s="10"/>
      <c r="K572" s="10"/>
      <c r="M572" s="31" t="str">
        <f aca="false">IF($B572="","",IFERROR(IF(INDEX(campaigns!$BG$2:$BG$51,MATCH($B572,campaigns!$A$2:$A$51,0))="","",INDEX(campaigns!$BG$2:$BG$51,MATCH($B572,campaigns!$A$2:$A$51,0))),""))</f>
        <v/>
      </c>
      <c r="N572" s="30" t="str">
        <f aca="false">IF(OR($B572="",$E572="",$M572=""),"",IF($E572&lt;$M572,0,NETWORKDAYS($M572,$E572,calendar!$A$2:$A$80)))</f>
        <v/>
      </c>
      <c r="O572" s="30" t="str">
        <f aca="false">IF($B572="","",IF(AND($K572="Y",OR($D572="later",$J572="Y")),"Y","N"))</f>
        <v/>
      </c>
      <c r="P572" s="30" t="str">
        <f aca="false">IF(OR($B572="",$E572=""),"",$B572&amp;"_"&amp;$C572&amp;"_"&amp;$D572&amp;"_"&amp;TEXT($E572,"yyyy-mm-dd")&amp;".jpg")</f>
        <v/>
      </c>
      <c r="Q572" s="30" t="str">
        <f aca="false">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30" t="str">
        <f aca="false">IF($B572="","",$B572&amp;"|"&amp;$C572&amp;"|"&amp;$D572&amp;"|"&amp;$O572)</f>
        <v/>
      </c>
      <c r="S572" s="30" t="str">
        <f aca="false">IF($B572="","",$R572&amp;"|"&amp;N($E572))</f>
        <v/>
      </c>
    </row>
    <row r="573" customFormat="false" ht="15" hidden="false" customHeight="false" outlineLevel="0" collapsed="false">
      <c r="D573" s="10"/>
      <c r="E573" s="11"/>
      <c r="F573" s="38"/>
      <c r="G573" s="10"/>
      <c r="I573" s="11"/>
      <c r="J573" s="10"/>
      <c r="K573" s="10"/>
      <c r="M573" s="31" t="str">
        <f aca="false">IF($B573="","",IFERROR(IF(INDEX(campaigns!$BG$2:$BG$51,MATCH($B573,campaigns!$A$2:$A$51,0))="","",INDEX(campaigns!$BG$2:$BG$51,MATCH($B573,campaigns!$A$2:$A$51,0))),""))</f>
        <v/>
      </c>
      <c r="N573" s="30" t="str">
        <f aca="false">IF(OR($B573="",$E573="",$M573=""),"",IF($E573&lt;$M573,0,NETWORKDAYS($M573,$E573,calendar!$A$2:$A$80)))</f>
        <v/>
      </c>
      <c r="O573" s="30" t="str">
        <f aca="false">IF($B573="","",IF(AND($K573="Y",OR($D573="later",$J573="Y")),"Y","N"))</f>
        <v/>
      </c>
      <c r="P573" s="30" t="str">
        <f aca="false">IF(OR($B573="",$E573=""),"",$B573&amp;"_"&amp;$C573&amp;"_"&amp;$D573&amp;"_"&amp;TEXT($E573,"yyyy-mm-dd")&amp;".jpg")</f>
        <v/>
      </c>
      <c r="Q573" s="30" t="str">
        <f aca="false">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30" t="str">
        <f aca="false">IF($B573="","",$B573&amp;"|"&amp;$C573&amp;"|"&amp;$D573&amp;"|"&amp;$O573)</f>
        <v/>
      </c>
      <c r="S573" s="30" t="str">
        <f aca="false">IF($B573="","",$R573&amp;"|"&amp;N($E573))</f>
        <v/>
      </c>
    </row>
    <row r="574" customFormat="false" ht="15" hidden="false" customHeight="false" outlineLevel="0" collapsed="false">
      <c r="D574" s="10"/>
      <c r="E574" s="11"/>
      <c r="F574" s="38"/>
      <c r="G574" s="10"/>
      <c r="I574" s="11"/>
      <c r="J574" s="10"/>
      <c r="K574" s="10"/>
      <c r="M574" s="31" t="str">
        <f aca="false">IF($B574="","",IFERROR(IF(INDEX(campaigns!$BG$2:$BG$51,MATCH($B574,campaigns!$A$2:$A$51,0))="","",INDEX(campaigns!$BG$2:$BG$51,MATCH($B574,campaigns!$A$2:$A$51,0))),""))</f>
        <v/>
      </c>
      <c r="N574" s="30" t="str">
        <f aca="false">IF(OR($B574="",$E574="",$M574=""),"",IF($E574&lt;$M574,0,NETWORKDAYS($M574,$E574,calendar!$A$2:$A$80)))</f>
        <v/>
      </c>
      <c r="O574" s="30" t="str">
        <f aca="false">IF($B574="","",IF(AND($K574="Y",OR($D574="later",$J574="Y")),"Y","N"))</f>
        <v/>
      </c>
      <c r="P574" s="30" t="str">
        <f aca="false">IF(OR($B574="",$E574=""),"",$B574&amp;"_"&amp;$C574&amp;"_"&amp;$D574&amp;"_"&amp;TEXT($E574,"yyyy-mm-dd")&amp;".jpg")</f>
        <v/>
      </c>
      <c r="Q574" s="30" t="str">
        <f aca="false">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30" t="str">
        <f aca="false">IF($B574="","",$B574&amp;"|"&amp;$C574&amp;"|"&amp;$D574&amp;"|"&amp;$O574)</f>
        <v/>
      </c>
      <c r="S574" s="30" t="str">
        <f aca="false">IF($B574="","",$R574&amp;"|"&amp;N($E574))</f>
        <v/>
      </c>
    </row>
    <row r="575" customFormat="false" ht="15" hidden="false" customHeight="false" outlineLevel="0" collapsed="false">
      <c r="D575" s="10"/>
      <c r="E575" s="11"/>
      <c r="F575" s="38"/>
      <c r="G575" s="10"/>
      <c r="I575" s="11"/>
      <c r="J575" s="10"/>
      <c r="K575" s="10"/>
      <c r="M575" s="31" t="str">
        <f aca="false">IF($B575="","",IFERROR(IF(INDEX(campaigns!$BG$2:$BG$51,MATCH($B575,campaigns!$A$2:$A$51,0))="","",INDEX(campaigns!$BG$2:$BG$51,MATCH($B575,campaigns!$A$2:$A$51,0))),""))</f>
        <v/>
      </c>
      <c r="N575" s="30" t="str">
        <f aca="false">IF(OR($B575="",$E575="",$M575=""),"",IF($E575&lt;$M575,0,NETWORKDAYS($M575,$E575,calendar!$A$2:$A$80)))</f>
        <v/>
      </c>
      <c r="O575" s="30" t="str">
        <f aca="false">IF($B575="","",IF(AND($K575="Y",OR($D575="later",$J575="Y")),"Y","N"))</f>
        <v/>
      </c>
      <c r="P575" s="30" t="str">
        <f aca="false">IF(OR($B575="",$E575=""),"",$B575&amp;"_"&amp;$C575&amp;"_"&amp;$D575&amp;"_"&amp;TEXT($E575,"yyyy-mm-dd")&amp;".jpg")</f>
        <v/>
      </c>
      <c r="Q575" s="30" t="str">
        <f aca="false">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30" t="str">
        <f aca="false">IF($B575="","",$B575&amp;"|"&amp;$C575&amp;"|"&amp;$D575&amp;"|"&amp;$O575)</f>
        <v/>
      </c>
      <c r="S575" s="30" t="str">
        <f aca="false">IF($B575="","",$R575&amp;"|"&amp;N($E575))</f>
        <v/>
      </c>
    </row>
    <row r="576" customFormat="false" ht="15" hidden="false" customHeight="false" outlineLevel="0" collapsed="false">
      <c r="D576" s="10"/>
      <c r="E576" s="11"/>
      <c r="F576" s="38"/>
      <c r="G576" s="10"/>
      <c r="I576" s="11"/>
      <c r="J576" s="10"/>
      <c r="K576" s="10"/>
      <c r="M576" s="31" t="str">
        <f aca="false">IF($B576="","",IFERROR(IF(INDEX(campaigns!$BG$2:$BG$51,MATCH($B576,campaigns!$A$2:$A$51,0))="","",INDEX(campaigns!$BG$2:$BG$51,MATCH($B576,campaigns!$A$2:$A$51,0))),""))</f>
        <v/>
      </c>
      <c r="N576" s="30" t="str">
        <f aca="false">IF(OR($B576="",$E576="",$M576=""),"",IF($E576&lt;$M576,0,NETWORKDAYS($M576,$E576,calendar!$A$2:$A$80)))</f>
        <v/>
      </c>
      <c r="O576" s="30" t="str">
        <f aca="false">IF($B576="","",IF(AND($K576="Y",OR($D576="later",$J576="Y")),"Y","N"))</f>
        <v/>
      </c>
      <c r="P576" s="30" t="str">
        <f aca="false">IF(OR($B576="",$E576=""),"",$B576&amp;"_"&amp;$C576&amp;"_"&amp;$D576&amp;"_"&amp;TEXT($E576,"yyyy-mm-dd")&amp;".jpg")</f>
        <v/>
      </c>
      <c r="Q576" s="30" t="str">
        <f aca="false">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30" t="str">
        <f aca="false">IF($B576="","",$B576&amp;"|"&amp;$C576&amp;"|"&amp;$D576&amp;"|"&amp;$O576)</f>
        <v/>
      </c>
      <c r="S576" s="30" t="str">
        <f aca="false">IF($B576="","",$R576&amp;"|"&amp;N($E576))</f>
        <v/>
      </c>
    </row>
    <row r="577" customFormat="false" ht="15" hidden="false" customHeight="false" outlineLevel="0" collapsed="false">
      <c r="D577" s="10"/>
      <c r="E577" s="11"/>
      <c r="F577" s="38"/>
      <c r="G577" s="10"/>
      <c r="I577" s="11"/>
      <c r="J577" s="10"/>
      <c r="K577" s="10"/>
      <c r="M577" s="31" t="str">
        <f aca="false">IF($B577="","",IFERROR(IF(INDEX(campaigns!$BG$2:$BG$51,MATCH($B577,campaigns!$A$2:$A$51,0))="","",INDEX(campaigns!$BG$2:$BG$51,MATCH($B577,campaigns!$A$2:$A$51,0))),""))</f>
        <v/>
      </c>
      <c r="N577" s="30" t="str">
        <f aca="false">IF(OR($B577="",$E577="",$M577=""),"",IF($E577&lt;$M577,0,NETWORKDAYS($M577,$E577,calendar!$A$2:$A$80)))</f>
        <v/>
      </c>
      <c r="O577" s="30" t="str">
        <f aca="false">IF($B577="","",IF(AND($K577="Y",OR($D577="later",$J577="Y")),"Y","N"))</f>
        <v/>
      </c>
      <c r="P577" s="30" t="str">
        <f aca="false">IF(OR($B577="",$E577=""),"",$B577&amp;"_"&amp;$C577&amp;"_"&amp;$D577&amp;"_"&amp;TEXT($E577,"yyyy-mm-dd")&amp;".jpg")</f>
        <v/>
      </c>
      <c r="Q577" s="30" t="str">
        <f aca="false">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30" t="str">
        <f aca="false">IF($B577="","",$B577&amp;"|"&amp;$C577&amp;"|"&amp;$D577&amp;"|"&amp;$O577)</f>
        <v/>
      </c>
      <c r="S577" s="30" t="str">
        <f aca="false">IF($B577="","",$R577&amp;"|"&amp;N($E577))</f>
        <v/>
      </c>
    </row>
    <row r="578" customFormat="false" ht="15" hidden="false" customHeight="false" outlineLevel="0" collapsed="false">
      <c r="D578" s="10"/>
      <c r="E578" s="11"/>
      <c r="F578" s="38"/>
      <c r="G578" s="10"/>
      <c r="I578" s="11"/>
      <c r="J578" s="10"/>
      <c r="K578" s="10"/>
      <c r="M578" s="31" t="str">
        <f aca="false">IF($B578="","",IFERROR(IF(INDEX(campaigns!$BG$2:$BG$51,MATCH($B578,campaigns!$A$2:$A$51,0))="","",INDEX(campaigns!$BG$2:$BG$51,MATCH($B578,campaigns!$A$2:$A$51,0))),""))</f>
        <v/>
      </c>
      <c r="N578" s="30" t="str">
        <f aca="false">IF(OR($B578="",$E578="",$M578=""),"",IF($E578&lt;$M578,0,NETWORKDAYS($M578,$E578,calendar!$A$2:$A$80)))</f>
        <v/>
      </c>
      <c r="O578" s="30" t="str">
        <f aca="false">IF($B578="","",IF(AND($K578="Y",OR($D578="later",$J578="Y")),"Y","N"))</f>
        <v/>
      </c>
      <c r="P578" s="30" t="str">
        <f aca="false">IF(OR($B578="",$E578=""),"",$B578&amp;"_"&amp;$C578&amp;"_"&amp;$D578&amp;"_"&amp;TEXT($E578,"yyyy-mm-dd")&amp;".jpg")</f>
        <v/>
      </c>
      <c r="Q578" s="30" t="str">
        <f aca="false">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30" t="str">
        <f aca="false">IF($B578="","",$B578&amp;"|"&amp;$C578&amp;"|"&amp;$D578&amp;"|"&amp;$O578)</f>
        <v/>
      </c>
      <c r="S578" s="30" t="str">
        <f aca="false">IF($B578="","",$R578&amp;"|"&amp;N($E578))</f>
        <v/>
      </c>
    </row>
    <row r="579" customFormat="false" ht="15" hidden="false" customHeight="false" outlineLevel="0" collapsed="false">
      <c r="D579" s="10"/>
      <c r="E579" s="11"/>
      <c r="F579" s="38"/>
      <c r="G579" s="10"/>
      <c r="I579" s="11"/>
      <c r="J579" s="10"/>
      <c r="K579" s="10"/>
      <c r="M579" s="31" t="str">
        <f aca="false">IF($B579="","",IFERROR(IF(INDEX(campaigns!$BG$2:$BG$51,MATCH($B579,campaigns!$A$2:$A$51,0))="","",INDEX(campaigns!$BG$2:$BG$51,MATCH($B579,campaigns!$A$2:$A$51,0))),""))</f>
        <v/>
      </c>
      <c r="N579" s="30" t="str">
        <f aca="false">IF(OR($B579="",$E579="",$M579=""),"",IF($E579&lt;$M579,0,NETWORKDAYS($M579,$E579,calendar!$A$2:$A$80)))</f>
        <v/>
      </c>
      <c r="O579" s="30" t="str">
        <f aca="false">IF($B579="","",IF(AND($K579="Y",OR($D579="later",$J579="Y")),"Y","N"))</f>
        <v/>
      </c>
      <c r="P579" s="30" t="str">
        <f aca="false">IF(OR($B579="",$E579=""),"",$B579&amp;"_"&amp;$C579&amp;"_"&amp;$D579&amp;"_"&amp;TEXT($E579,"yyyy-mm-dd")&amp;".jpg")</f>
        <v/>
      </c>
      <c r="Q579" s="30" t="str">
        <f aca="false">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30" t="str">
        <f aca="false">IF($B579="","",$B579&amp;"|"&amp;$C579&amp;"|"&amp;$D579&amp;"|"&amp;$O579)</f>
        <v/>
      </c>
      <c r="S579" s="30" t="str">
        <f aca="false">IF($B579="","",$R579&amp;"|"&amp;N($E579))</f>
        <v/>
      </c>
    </row>
    <row r="580" customFormat="false" ht="15" hidden="false" customHeight="false" outlineLevel="0" collapsed="false">
      <c r="D580" s="10"/>
      <c r="E580" s="11"/>
      <c r="F580" s="38"/>
      <c r="G580" s="10"/>
      <c r="I580" s="11"/>
      <c r="J580" s="10"/>
      <c r="K580" s="10"/>
      <c r="M580" s="31" t="str">
        <f aca="false">IF($B580="","",IFERROR(IF(INDEX(campaigns!$BG$2:$BG$51,MATCH($B580,campaigns!$A$2:$A$51,0))="","",INDEX(campaigns!$BG$2:$BG$51,MATCH($B580,campaigns!$A$2:$A$51,0))),""))</f>
        <v/>
      </c>
      <c r="N580" s="30" t="str">
        <f aca="false">IF(OR($B580="",$E580="",$M580=""),"",IF($E580&lt;$M580,0,NETWORKDAYS($M580,$E580,calendar!$A$2:$A$80)))</f>
        <v/>
      </c>
      <c r="O580" s="30" t="str">
        <f aca="false">IF($B580="","",IF(AND($K580="Y",OR($D580="later",$J580="Y")),"Y","N"))</f>
        <v/>
      </c>
      <c r="P580" s="30" t="str">
        <f aca="false">IF(OR($B580="",$E580=""),"",$B580&amp;"_"&amp;$C580&amp;"_"&amp;$D580&amp;"_"&amp;TEXT($E580,"yyyy-mm-dd")&amp;".jpg")</f>
        <v/>
      </c>
      <c r="Q580" s="30" t="str">
        <f aca="false">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30" t="str">
        <f aca="false">IF($B580="","",$B580&amp;"|"&amp;$C580&amp;"|"&amp;$D580&amp;"|"&amp;$O580)</f>
        <v/>
      </c>
      <c r="S580" s="30" t="str">
        <f aca="false">IF($B580="","",$R580&amp;"|"&amp;N($E580))</f>
        <v/>
      </c>
    </row>
    <row r="581" customFormat="false" ht="15" hidden="false" customHeight="false" outlineLevel="0" collapsed="false">
      <c r="D581" s="10"/>
      <c r="E581" s="11"/>
      <c r="F581" s="38"/>
      <c r="G581" s="10"/>
      <c r="I581" s="11"/>
      <c r="J581" s="10"/>
      <c r="K581" s="10"/>
      <c r="M581" s="31" t="str">
        <f aca="false">IF($B581="","",IFERROR(IF(INDEX(campaigns!$BG$2:$BG$51,MATCH($B581,campaigns!$A$2:$A$51,0))="","",INDEX(campaigns!$BG$2:$BG$51,MATCH($B581,campaigns!$A$2:$A$51,0))),""))</f>
        <v/>
      </c>
      <c r="N581" s="30" t="str">
        <f aca="false">IF(OR($B581="",$E581="",$M581=""),"",IF($E581&lt;$M581,0,NETWORKDAYS($M581,$E581,calendar!$A$2:$A$80)))</f>
        <v/>
      </c>
      <c r="O581" s="30" t="str">
        <f aca="false">IF($B581="","",IF(AND($K581="Y",OR($D581="later",$J581="Y")),"Y","N"))</f>
        <v/>
      </c>
      <c r="P581" s="30" t="str">
        <f aca="false">IF(OR($B581="",$E581=""),"",$B581&amp;"_"&amp;$C581&amp;"_"&amp;$D581&amp;"_"&amp;TEXT($E581,"yyyy-mm-dd")&amp;".jpg")</f>
        <v/>
      </c>
      <c r="Q581" s="30" t="str">
        <f aca="false">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30" t="str">
        <f aca="false">IF($B581="","",$B581&amp;"|"&amp;$C581&amp;"|"&amp;$D581&amp;"|"&amp;$O581)</f>
        <v/>
      </c>
      <c r="S581" s="30" t="str">
        <f aca="false">IF($B581="","",$R581&amp;"|"&amp;N($E581))</f>
        <v/>
      </c>
    </row>
    <row r="582" customFormat="false" ht="15" hidden="false" customHeight="false" outlineLevel="0" collapsed="false">
      <c r="D582" s="10"/>
      <c r="E582" s="11"/>
      <c r="F582" s="38"/>
      <c r="G582" s="10"/>
      <c r="I582" s="11"/>
      <c r="J582" s="10"/>
      <c r="K582" s="10"/>
      <c r="M582" s="31" t="str">
        <f aca="false">IF($B582="","",IFERROR(IF(INDEX(campaigns!$BG$2:$BG$51,MATCH($B582,campaigns!$A$2:$A$51,0))="","",INDEX(campaigns!$BG$2:$BG$51,MATCH($B582,campaigns!$A$2:$A$51,0))),""))</f>
        <v/>
      </c>
      <c r="N582" s="30" t="str">
        <f aca="false">IF(OR($B582="",$E582="",$M582=""),"",IF($E582&lt;$M582,0,NETWORKDAYS($M582,$E582,calendar!$A$2:$A$80)))</f>
        <v/>
      </c>
      <c r="O582" s="30" t="str">
        <f aca="false">IF($B582="","",IF(AND($K582="Y",OR($D582="later",$J582="Y")),"Y","N"))</f>
        <v/>
      </c>
      <c r="P582" s="30" t="str">
        <f aca="false">IF(OR($B582="",$E582=""),"",$B582&amp;"_"&amp;$C582&amp;"_"&amp;$D582&amp;"_"&amp;TEXT($E582,"yyyy-mm-dd")&amp;".jpg")</f>
        <v/>
      </c>
      <c r="Q582" s="30" t="str">
        <f aca="false">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30" t="str">
        <f aca="false">IF($B582="","",$B582&amp;"|"&amp;$C582&amp;"|"&amp;$D582&amp;"|"&amp;$O582)</f>
        <v/>
      </c>
      <c r="S582" s="30" t="str">
        <f aca="false">IF($B582="","",$R582&amp;"|"&amp;N($E582))</f>
        <v/>
      </c>
    </row>
    <row r="583" customFormat="false" ht="15" hidden="false" customHeight="false" outlineLevel="0" collapsed="false">
      <c r="D583" s="10"/>
      <c r="E583" s="11"/>
      <c r="F583" s="38"/>
      <c r="G583" s="10"/>
      <c r="I583" s="11"/>
      <c r="J583" s="10"/>
      <c r="K583" s="10"/>
      <c r="M583" s="31" t="str">
        <f aca="false">IF($B583="","",IFERROR(IF(INDEX(campaigns!$BG$2:$BG$51,MATCH($B583,campaigns!$A$2:$A$51,0))="","",INDEX(campaigns!$BG$2:$BG$51,MATCH($B583,campaigns!$A$2:$A$51,0))),""))</f>
        <v/>
      </c>
      <c r="N583" s="30" t="str">
        <f aca="false">IF(OR($B583="",$E583="",$M583=""),"",IF($E583&lt;$M583,0,NETWORKDAYS($M583,$E583,calendar!$A$2:$A$80)))</f>
        <v/>
      </c>
      <c r="O583" s="30" t="str">
        <f aca="false">IF($B583="","",IF(AND($K583="Y",OR($D583="later",$J583="Y")),"Y","N"))</f>
        <v/>
      </c>
      <c r="P583" s="30" t="str">
        <f aca="false">IF(OR($B583="",$E583=""),"",$B583&amp;"_"&amp;$C583&amp;"_"&amp;$D583&amp;"_"&amp;TEXT($E583,"yyyy-mm-dd")&amp;".jpg")</f>
        <v/>
      </c>
      <c r="Q583" s="30" t="str">
        <f aca="false">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30" t="str">
        <f aca="false">IF($B583="","",$B583&amp;"|"&amp;$C583&amp;"|"&amp;$D583&amp;"|"&amp;$O583)</f>
        <v/>
      </c>
      <c r="S583" s="30" t="str">
        <f aca="false">IF($B583="","",$R583&amp;"|"&amp;N($E583))</f>
        <v/>
      </c>
    </row>
    <row r="584" customFormat="false" ht="15" hidden="false" customHeight="false" outlineLevel="0" collapsed="false">
      <c r="D584" s="10"/>
      <c r="E584" s="11"/>
      <c r="F584" s="38"/>
      <c r="G584" s="10"/>
      <c r="I584" s="11"/>
      <c r="J584" s="10"/>
      <c r="K584" s="10"/>
      <c r="M584" s="31" t="str">
        <f aca="false">IF($B584="","",IFERROR(IF(INDEX(campaigns!$BG$2:$BG$51,MATCH($B584,campaigns!$A$2:$A$51,0))="","",INDEX(campaigns!$BG$2:$BG$51,MATCH($B584,campaigns!$A$2:$A$51,0))),""))</f>
        <v/>
      </c>
      <c r="N584" s="30" t="str">
        <f aca="false">IF(OR($B584="",$E584="",$M584=""),"",IF($E584&lt;$M584,0,NETWORKDAYS($M584,$E584,calendar!$A$2:$A$80)))</f>
        <v/>
      </c>
      <c r="O584" s="30" t="str">
        <f aca="false">IF($B584="","",IF(AND($K584="Y",OR($D584="later",$J584="Y")),"Y","N"))</f>
        <v/>
      </c>
      <c r="P584" s="30" t="str">
        <f aca="false">IF(OR($B584="",$E584=""),"",$B584&amp;"_"&amp;$C584&amp;"_"&amp;$D584&amp;"_"&amp;TEXT($E584,"yyyy-mm-dd")&amp;".jpg")</f>
        <v/>
      </c>
      <c r="Q584" s="30" t="str">
        <f aca="false">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30" t="str">
        <f aca="false">IF($B584="","",$B584&amp;"|"&amp;$C584&amp;"|"&amp;$D584&amp;"|"&amp;$O584)</f>
        <v/>
      </c>
      <c r="S584" s="30" t="str">
        <f aca="false">IF($B584="","",$R584&amp;"|"&amp;N($E584))</f>
        <v/>
      </c>
    </row>
    <row r="585" customFormat="false" ht="15" hidden="false" customHeight="false" outlineLevel="0" collapsed="false">
      <c r="D585" s="10"/>
      <c r="E585" s="11"/>
      <c r="F585" s="38"/>
      <c r="G585" s="10"/>
      <c r="I585" s="11"/>
      <c r="J585" s="10"/>
      <c r="K585" s="10"/>
      <c r="M585" s="31" t="str">
        <f aca="false">IF($B585="","",IFERROR(IF(INDEX(campaigns!$BG$2:$BG$51,MATCH($B585,campaigns!$A$2:$A$51,0))="","",INDEX(campaigns!$BG$2:$BG$51,MATCH($B585,campaigns!$A$2:$A$51,0))),""))</f>
        <v/>
      </c>
      <c r="N585" s="30" t="str">
        <f aca="false">IF(OR($B585="",$E585="",$M585=""),"",IF($E585&lt;$M585,0,NETWORKDAYS($M585,$E585,calendar!$A$2:$A$80)))</f>
        <v/>
      </c>
      <c r="O585" s="30" t="str">
        <f aca="false">IF($B585="","",IF(AND($K585="Y",OR($D585="later",$J585="Y")),"Y","N"))</f>
        <v/>
      </c>
      <c r="P585" s="30" t="str">
        <f aca="false">IF(OR($B585="",$E585=""),"",$B585&amp;"_"&amp;$C585&amp;"_"&amp;$D585&amp;"_"&amp;TEXT($E585,"yyyy-mm-dd")&amp;".jpg")</f>
        <v/>
      </c>
      <c r="Q585" s="30" t="str">
        <f aca="false">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30" t="str">
        <f aca="false">IF($B585="","",$B585&amp;"|"&amp;$C585&amp;"|"&amp;$D585&amp;"|"&amp;$O585)</f>
        <v/>
      </c>
      <c r="S585" s="30" t="str">
        <f aca="false">IF($B585="","",$R585&amp;"|"&amp;N($E585))</f>
        <v/>
      </c>
    </row>
    <row r="586" customFormat="false" ht="15" hidden="false" customHeight="false" outlineLevel="0" collapsed="false">
      <c r="D586" s="10"/>
      <c r="E586" s="11"/>
      <c r="F586" s="38"/>
      <c r="G586" s="10"/>
      <c r="I586" s="11"/>
      <c r="J586" s="10"/>
      <c r="K586" s="10"/>
      <c r="M586" s="31" t="str">
        <f aca="false">IF($B586="","",IFERROR(IF(INDEX(campaigns!$BG$2:$BG$51,MATCH($B586,campaigns!$A$2:$A$51,0))="","",INDEX(campaigns!$BG$2:$BG$51,MATCH($B586,campaigns!$A$2:$A$51,0))),""))</f>
        <v/>
      </c>
      <c r="N586" s="30" t="str">
        <f aca="false">IF(OR($B586="",$E586="",$M586=""),"",IF($E586&lt;$M586,0,NETWORKDAYS($M586,$E586,calendar!$A$2:$A$80)))</f>
        <v/>
      </c>
      <c r="O586" s="30" t="str">
        <f aca="false">IF($B586="","",IF(AND($K586="Y",OR($D586="later",$J586="Y")),"Y","N"))</f>
        <v/>
      </c>
      <c r="P586" s="30" t="str">
        <f aca="false">IF(OR($B586="",$E586=""),"",$B586&amp;"_"&amp;$C586&amp;"_"&amp;$D586&amp;"_"&amp;TEXT($E586,"yyyy-mm-dd")&amp;".jpg")</f>
        <v/>
      </c>
      <c r="Q586" s="30" t="str">
        <f aca="false">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30" t="str">
        <f aca="false">IF($B586="","",$B586&amp;"|"&amp;$C586&amp;"|"&amp;$D586&amp;"|"&amp;$O586)</f>
        <v/>
      </c>
      <c r="S586" s="30" t="str">
        <f aca="false">IF($B586="","",$R586&amp;"|"&amp;N($E586))</f>
        <v/>
      </c>
    </row>
    <row r="587" customFormat="false" ht="15" hidden="false" customHeight="false" outlineLevel="0" collapsed="false">
      <c r="D587" s="10"/>
      <c r="E587" s="11"/>
      <c r="F587" s="38"/>
      <c r="G587" s="10"/>
      <c r="I587" s="11"/>
      <c r="J587" s="10"/>
      <c r="K587" s="10"/>
      <c r="M587" s="31" t="str">
        <f aca="false">IF($B587="","",IFERROR(IF(INDEX(campaigns!$BG$2:$BG$51,MATCH($B587,campaigns!$A$2:$A$51,0))="","",INDEX(campaigns!$BG$2:$BG$51,MATCH($B587,campaigns!$A$2:$A$51,0))),""))</f>
        <v/>
      </c>
      <c r="N587" s="30" t="str">
        <f aca="false">IF(OR($B587="",$E587="",$M587=""),"",IF($E587&lt;$M587,0,NETWORKDAYS($M587,$E587,calendar!$A$2:$A$80)))</f>
        <v/>
      </c>
      <c r="O587" s="30" t="str">
        <f aca="false">IF($B587="","",IF(AND($K587="Y",OR($D587="later",$J587="Y")),"Y","N"))</f>
        <v/>
      </c>
      <c r="P587" s="30" t="str">
        <f aca="false">IF(OR($B587="",$E587=""),"",$B587&amp;"_"&amp;$C587&amp;"_"&amp;$D587&amp;"_"&amp;TEXT($E587,"yyyy-mm-dd")&amp;".jpg")</f>
        <v/>
      </c>
      <c r="Q587" s="30" t="str">
        <f aca="false">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30" t="str">
        <f aca="false">IF($B587="","",$B587&amp;"|"&amp;$C587&amp;"|"&amp;$D587&amp;"|"&amp;$O587)</f>
        <v/>
      </c>
      <c r="S587" s="30" t="str">
        <f aca="false">IF($B587="","",$R587&amp;"|"&amp;N($E587))</f>
        <v/>
      </c>
    </row>
    <row r="588" customFormat="false" ht="15" hidden="false" customHeight="false" outlineLevel="0" collapsed="false">
      <c r="D588" s="10"/>
      <c r="E588" s="11"/>
      <c r="F588" s="38"/>
      <c r="G588" s="10"/>
      <c r="I588" s="11"/>
      <c r="J588" s="10"/>
      <c r="K588" s="10"/>
      <c r="M588" s="31" t="str">
        <f aca="false">IF($B588="","",IFERROR(IF(INDEX(campaigns!$BG$2:$BG$51,MATCH($B588,campaigns!$A$2:$A$51,0))="","",INDEX(campaigns!$BG$2:$BG$51,MATCH($B588,campaigns!$A$2:$A$51,0))),""))</f>
        <v/>
      </c>
      <c r="N588" s="30" t="str">
        <f aca="false">IF(OR($B588="",$E588="",$M588=""),"",IF($E588&lt;$M588,0,NETWORKDAYS($M588,$E588,calendar!$A$2:$A$80)))</f>
        <v/>
      </c>
      <c r="O588" s="30" t="str">
        <f aca="false">IF($B588="","",IF(AND($K588="Y",OR($D588="later",$J588="Y")),"Y","N"))</f>
        <v/>
      </c>
      <c r="P588" s="30" t="str">
        <f aca="false">IF(OR($B588="",$E588=""),"",$B588&amp;"_"&amp;$C588&amp;"_"&amp;$D588&amp;"_"&amp;TEXT($E588,"yyyy-mm-dd")&amp;".jpg")</f>
        <v/>
      </c>
      <c r="Q588" s="30" t="str">
        <f aca="false">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30" t="str">
        <f aca="false">IF($B588="","",$B588&amp;"|"&amp;$C588&amp;"|"&amp;$D588&amp;"|"&amp;$O588)</f>
        <v/>
      </c>
      <c r="S588" s="30" t="str">
        <f aca="false">IF($B588="","",$R588&amp;"|"&amp;N($E588))</f>
        <v/>
      </c>
    </row>
    <row r="589" customFormat="false" ht="15" hidden="false" customHeight="false" outlineLevel="0" collapsed="false">
      <c r="D589" s="10"/>
      <c r="E589" s="11"/>
      <c r="F589" s="38"/>
      <c r="G589" s="10"/>
      <c r="I589" s="11"/>
      <c r="J589" s="10"/>
      <c r="K589" s="10"/>
      <c r="M589" s="31" t="str">
        <f aca="false">IF($B589="","",IFERROR(IF(INDEX(campaigns!$BG$2:$BG$51,MATCH($B589,campaigns!$A$2:$A$51,0))="","",INDEX(campaigns!$BG$2:$BG$51,MATCH($B589,campaigns!$A$2:$A$51,0))),""))</f>
        <v/>
      </c>
      <c r="N589" s="30" t="str">
        <f aca="false">IF(OR($B589="",$E589="",$M589=""),"",IF($E589&lt;$M589,0,NETWORKDAYS($M589,$E589,calendar!$A$2:$A$80)))</f>
        <v/>
      </c>
      <c r="O589" s="30" t="str">
        <f aca="false">IF($B589="","",IF(AND($K589="Y",OR($D589="later",$J589="Y")),"Y","N"))</f>
        <v/>
      </c>
      <c r="P589" s="30" t="str">
        <f aca="false">IF(OR($B589="",$E589=""),"",$B589&amp;"_"&amp;$C589&amp;"_"&amp;$D589&amp;"_"&amp;TEXT($E589,"yyyy-mm-dd")&amp;".jpg")</f>
        <v/>
      </c>
      <c r="Q589" s="30" t="str">
        <f aca="false">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30" t="str">
        <f aca="false">IF($B589="","",$B589&amp;"|"&amp;$C589&amp;"|"&amp;$D589&amp;"|"&amp;$O589)</f>
        <v/>
      </c>
      <c r="S589" s="30" t="str">
        <f aca="false">IF($B589="","",$R589&amp;"|"&amp;N($E589))</f>
        <v/>
      </c>
    </row>
    <row r="590" customFormat="false" ht="15" hidden="false" customHeight="false" outlineLevel="0" collapsed="false">
      <c r="D590" s="10"/>
      <c r="E590" s="11"/>
      <c r="F590" s="38"/>
      <c r="G590" s="10"/>
      <c r="I590" s="11"/>
      <c r="J590" s="10"/>
      <c r="K590" s="10"/>
      <c r="M590" s="31" t="str">
        <f aca="false">IF($B590="","",IFERROR(IF(INDEX(campaigns!$BG$2:$BG$51,MATCH($B590,campaigns!$A$2:$A$51,0))="","",INDEX(campaigns!$BG$2:$BG$51,MATCH($B590,campaigns!$A$2:$A$51,0))),""))</f>
        <v/>
      </c>
      <c r="N590" s="30" t="str">
        <f aca="false">IF(OR($B590="",$E590="",$M590=""),"",IF($E590&lt;$M590,0,NETWORKDAYS($M590,$E590,calendar!$A$2:$A$80)))</f>
        <v/>
      </c>
      <c r="O590" s="30" t="str">
        <f aca="false">IF($B590="","",IF(AND($K590="Y",OR($D590="later",$J590="Y")),"Y","N"))</f>
        <v/>
      </c>
      <c r="P590" s="30" t="str">
        <f aca="false">IF(OR($B590="",$E590=""),"",$B590&amp;"_"&amp;$C590&amp;"_"&amp;$D590&amp;"_"&amp;TEXT($E590,"yyyy-mm-dd")&amp;".jpg")</f>
        <v/>
      </c>
      <c r="Q590" s="30" t="str">
        <f aca="false">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30" t="str">
        <f aca="false">IF($B590="","",$B590&amp;"|"&amp;$C590&amp;"|"&amp;$D590&amp;"|"&amp;$O590)</f>
        <v/>
      </c>
      <c r="S590" s="30" t="str">
        <f aca="false">IF($B590="","",$R590&amp;"|"&amp;N($E590))</f>
        <v/>
      </c>
    </row>
    <row r="591" customFormat="false" ht="15" hidden="false" customHeight="false" outlineLevel="0" collapsed="false">
      <c r="D591" s="10"/>
      <c r="E591" s="11"/>
      <c r="F591" s="38"/>
      <c r="G591" s="10"/>
      <c r="I591" s="11"/>
      <c r="J591" s="10"/>
      <c r="K591" s="10"/>
      <c r="M591" s="31" t="str">
        <f aca="false">IF($B591="","",IFERROR(IF(INDEX(campaigns!$BG$2:$BG$51,MATCH($B591,campaigns!$A$2:$A$51,0))="","",INDEX(campaigns!$BG$2:$BG$51,MATCH($B591,campaigns!$A$2:$A$51,0))),""))</f>
        <v/>
      </c>
      <c r="N591" s="30" t="str">
        <f aca="false">IF(OR($B591="",$E591="",$M591=""),"",IF($E591&lt;$M591,0,NETWORKDAYS($M591,$E591,calendar!$A$2:$A$80)))</f>
        <v/>
      </c>
      <c r="O591" s="30" t="str">
        <f aca="false">IF($B591="","",IF(AND($K591="Y",OR($D591="later",$J591="Y")),"Y","N"))</f>
        <v/>
      </c>
      <c r="P591" s="30" t="str">
        <f aca="false">IF(OR($B591="",$E591=""),"",$B591&amp;"_"&amp;$C591&amp;"_"&amp;$D591&amp;"_"&amp;TEXT($E591,"yyyy-mm-dd")&amp;".jpg")</f>
        <v/>
      </c>
      <c r="Q591" s="30" t="str">
        <f aca="false">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30" t="str">
        <f aca="false">IF($B591="","",$B591&amp;"|"&amp;$C591&amp;"|"&amp;$D591&amp;"|"&amp;$O591)</f>
        <v/>
      </c>
      <c r="S591" s="30" t="str">
        <f aca="false">IF($B591="","",$R591&amp;"|"&amp;N($E591))</f>
        <v/>
      </c>
    </row>
    <row r="592" customFormat="false" ht="15" hidden="false" customHeight="false" outlineLevel="0" collapsed="false">
      <c r="D592" s="10"/>
      <c r="E592" s="11"/>
      <c r="F592" s="38"/>
      <c r="G592" s="10"/>
      <c r="I592" s="11"/>
      <c r="J592" s="10"/>
      <c r="K592" s="10"/>
      <c r="M592" s="31" t="str">
        <f aca="false">IF($B592="","",IFERROR(IF(INDEX(campaigns!$BG$2:$BG$51,MATCH($B592,campaigns!$A$2:$A$51,0))="","",INDEX(campaigns!$BG$2:$BG$51,MATCH($B592,campaigns!$A$2:$A$51,0))),""))</f>
        <v/>
      </c>
      <c r="N592" s="30" t="str">
        <f aca="false">IF(OR($B592="",$E592="",$M592=""),"",IF($E592&lt;$M592,0,NETWORKDAYS($M592,$E592,calendar!$A$2:$A$80)))</f>
        <v/>
      </c>
      <c r="O592" s="30" t="str">
        <f aca="false">IF($B592="","",IF(AND($K592="Y",OR($D592="later",$J592="Y")),"Y","N"))</f>
        <v/>
      </c>
      <c r="P592" s="30" t="str">
        <f aca="false">IF(OR($B592="",$E592=""),"",$B592&amp;"_"&amp;$C592&amp;"_"&amp;$D592&amp;"_"&amp;TEXT($E592,"yyyy-mm-dd")&amp;".jpg")</f>
        <v/>
      </c>
      <c r="Q592" s="30" t="str">
        <f aca="false">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30" t="str">
        <f aca="false">IF($B592="","",$B592&amp;"|"&amp;$C592&amp;"|"&amp;$D592&amp;"|"&amp;$O592)</f>
        <v/>
      </c>
      <c r="S592" s="30" t="str">
        <f aca="false">IF($B592="","",$R592&amp;"|"&amp;N($E592))</f>
        <v/>
      </c>
    </row>
    <row r="593" customFormat="false" ht="15" hidden="false" customHeight="false" outlineLevel="0" collapsed="false">
      <c r="D593" s="10"/>
      <c r="E593" s="11"/>
      <c r="F593" s="38"/>
      <c r="G593" s="10"/>
      <c r="I593" s="11"/>
      <c r="J593" s="10"/>
      <c r="K593" s="10"/>
      <c r="M593" s="31" t="str">
        <f aca="false">IF($B593="","",IFERROR(IF(INDEX(campaigns!$BG$2:$BG$51,MATCH($B593,campaigns!$A$2:$A$51,0))="","",INDEX(campaigns!$BG$2:$BG$51,MATCH($B593,campaigns!$A$2:$A$51,0))),""))</f>
        <v/>
      </c>
      <c r="N593" s="30" t="str">
        <f aca="false">IF(OR($B593="",$E593="",$M593=""),"",IF($E593&lt;$M593,0,NETWORKDAYS($M593,$E593,calendar!$A$2:$A$80)))</f>
        <v/>
      </c>
      <c r="O593" s="30" t="str">
        <f aca="false">IF($B593="","",IF(AND($K593="Y",OR($D593="later",$J593="Y")),"Y","N"))</f>
        <v/>
      </c>
      <c r="P593" s="30" t="str">
        <f aca="false">IF(OR($B593="",$E593=""),"",$B593&amp;"_"&amp;$C593&amp;"_"&amp;$D593&amp;"_"&amp;TEXT($E593,"yyyy-mm-dd")&amp;".jpg")</f>
        <v/>
      </c>
      <c r="Q593" s="30" t="str">
        <f aca="false">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30" t="str">
        <f aca="false">IF($B593="","",$B593&amp;"|"&amp;$C593&amp;"|"&amp;$D593&amp;"|"&amp;$O593)</f>
        <v/>
      </c>
      <c r="S593" s="30" t="str">
        <f aca="false">IF($B593="","",$R593&amp;"|"&amp;N($E593))</f>
        <v/>
      </c>
    </row>
    <row r="594" customFormat="false" ht="15" hidden="false" customHeight="false" outlineLevel="0" collapsed="false">
      <c r="D594" s="10"/>
      <c r="E594" s="11"/>
      <c r="F594" s="38"/>
      <c r="G594" s="10"/>
      <c r="I594" s="11"/>
      <c r="J594" s="10"/>
      <c r="K594" s="10"/>
      <c r="M594" s="31" t="str">
        <f aca="false">IF($B594="","",IFERROR(IF(INDEX(campaigns!$BG$2:$BG$51,MATCH($B594,campaigns!$A$2:$A$51,0))="","",INDEX(campaigns!$BG$2:$BG$51,MATCH($B594,campaigns!$A$2:$A$51,0))),""))</f>
        <v/>
      </c>
      <c r="N594" s="30" t="str">
        <f aca="false">IF(OR($B594="",$E594="",$M594=""),"",IF($E594&lt;$M594,0,NETWORKDAYS($M594,$E594,calendar!$A$2:$A$80)))</f>
        <v/>
      </c>
      <c r="O594" s="30" t="str">
        <f aca="false">IF($B594="","",IF(AND($K594="Y",OR($D594="later",$J594="Y")),"Y","N"))</f>
        <v/>
      </c>
      <c r="P594" s="30" t="str">
        <f aca="false">IF(OR($B594="",$E594=""),"",$B594&amp;"_"&amp;$C594&amp;"_"&amp;$D594&amp;"_"&amp;TEXT($E594,"yyyy-mm-dd")&amp;".jpg")</f>
        <v/>
      </c>
      <c r="Q594" s="30" t="str">
        <f aca="false">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30" t="str">
        <f aca="false">IF($B594="","",$B594&amp;"|"&amp;$C594&amp;"|"&amp;$D594&amp;"|"&amp;$O594)</f>
        <v/>
      </c>
      <c r="S594" s="30" t="str">
        <f aca="false">IF($B594="","",$R594&amp;"|"&amp;N($E594))</f>
        <v/>
      </c>
    </row>
    <row r="595" customFormat="false" ht="15" hidden="false" customHeight="false" outlineLevel="0" collapsed="false">
      <c r="D595" s="10"/>
      <c r="E595" s="11"/>
      <c r="F595" s="38"/>
      <c r="G595" s="10"/>
      <c r="I595" s="11"/>
      <c r="J595" s="10"/>
      <c r="K595" s="10"/>
      <c r="M595" s="31" t="str">
        <f aca="false">IF($B595="","",IFERROR(IF(INDEX(campaigns!$BG$2:$BG$51,MATCH($B595,campaigns!$A$2:$A$51,0))="","",INDEX(campaigns!$BG$2:$BG$51,MATCH($B595,campaigns!$A$2:$A$51,0))),""))</f>
        <v/>
      </c>
      <c r="N595" s="30" t="str">
        <f aca="false">IF(OR($B595="",$E595="",$M595=""),"",IF($E595&lt;$M595,0,NETWORKDAYS($M595,$E595,calendar!$A$2:$A$80)))</f>
        <v/>
      </c>
      <c r="O595" s="30" t="str">
        <f aca="false">IF($B595="","",IF(AND($K595="Y",OR($D595="later",$J595="Y")),"Y","N"))</f>
        <v/>
      </c>
      <c r="P595" s="30" t="str">
        <f aca="false">IF(OR($B595="",$E595=""),"",$B595&amp;"_"&amp;$C595&amp;"_"&amp;$D595&amp;"_"&amp;TEXT($E595,"yyyy-mm-dd")&amp;".jpg")</f>
        <v/>
      </c>
      <c r="Q595" s="30" t="str">
        <f aca="false">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30" t="str">
        <f aca="false">IF($B595="","",$B595&amp;"|"&amp;$C595&amp;"|"&amp;$D595&amp;"|"&amp;$O595)</f>
        <v/>
      </c>
      <c r="S595" s="30" t="str">
        <f aca="false">IF($B595="","",$R595&amp;"|"&amp;N($E595))</f>
        <v/>
      </c>
    </row>
    <row r="596" customFormat="false" ht="15" hidden="false" customHeight="false" outlineLevel="0" collapsed="false">
      <c r="D596" s="10"/>
      <c r="E596" s="11"/>
      <c r="F596" s="38"/>
      <c r="G596" s="10"/>
      <c r="I596" s="11"/>
      <c r="J596" s="10"/>
      <c r="K596" s="10"/>
      <c r="M596" s="31" t="str">
        <f aca="false">IF($B596="","",IFERROR(IF(INDEX(campaigns!$BG$2:$BG$51,MATCH($B596,campaigns!$A$2:$A$51,0))="","",INDEX(campaigns!$BG$2:$BG$51,MATCH($B596,campaigns!$A$2:$A$51,0))),""))</f>
        <v/>
      </c>
      <c r="N596" s="30" t="str">
        <f aca="false">IF(OR($B596="",$E596="",$M596=""),"",IF($E596&lt;$M596,0,NETWORKDAYS($M596,$E596,calendar!$A$2:$A$80)))</f>
        <v/>
      </c>
      <c r="O596" s="30" t="str">
        <f aca="false">IF($B596="","",IF(AND($K596="Y",OR($D596="later",$J596="Y")),"Y","N"))</f>
        <v/>
      </c>
      <c r="P596" s="30" t="str">
        <f aca="false">IF(OR($B596="",$E596=""),"",$B596&amp;"_"&amp;$C596&amp;"_"&amp;$D596&amp;"_"&amp;TEXT($E596,"yyyy-mm-dd")&amp;".jpg")</f>
        <v/>
      </c>
      <c r="Q596" s="30" t="str">
        <f aca="false">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30" t="str">
        <f aca="false">IF($B596="","",$B596&amp;"|"&amp;$C596&amp;"|"&amp;$D596&amp;"|"&amp;$O596)</f>
        <v/>
      </c>
      <c r="S596" s="30" t="str">
        <f aca="false">IF($B596="","",$R596&amp;"|"&amp;N($E596))</f>
        <v/>
      </c>
    </row>
    <row r="597" customFormat="false" ht="15" hidden="false" customHeight="false" outlineLevel="0" collapsed="false">
      <c r="D597" s="10"/>
      <c r="E597" s="11"/>
      <c r="F597" s="38"/>
      <c r="G597" s="10"/>
      <c r="I597" s="11"/>
      <c r="J597" s="10"/>
      <c r="K597" s="10"/>
      <c r="M597" s="31" t="str">
        <f aca="false">IF($B597="","",IFERROR(IF(INDEX(campaigns!$BG$2:$BG$51,MATCH($B597,campaigns!$A$2:$A$51,0))="","",INDEX(campaigns!$BG$2:$BG$51,MATCH($B597,campaigns!$A$2:$A$51,0))),""))</f>
        <v/>
      </c>
      <c r="N597" s="30" t="str">
        <f aca="false">IF(OR($B597="",$E597="",$M597=""),"",IF($E597&lt;$M597,0,NETWORKDAYS($M597,$E597,calendar!$A$2:$A$80)))</f>
        <v/>
      </c>
      <c r="O597" s="30" t="str">
        <f aca="false">IF($B597="","",IF(AND($K597="Y",OR($D597="later",$J597="Y")),"Y","N"))</f>
        <v/>
      </c>
      <c r="P597" s="30" t="str">
        <f aca="false">IF(OR($B597="",$E597=""),"",$B597&amp;"_"&amp;$C597&amp;"_"&amp;$D597&amp;"_"&amp;TEXT($E597,"yyyy-mm-dd")&amp;".jpg")</f>
        <v/>
      </c>
      <c r="Q597" s="30" t="str">
        <f aca="false">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30" t="str">
        <f aca="false">IF($B597="","",$B597&amp;"|"&amp;$C597&amp;"|"&amp;$D597&amp;"|"&amp;$O597)</f>
        <v/>
      </c>
      <c r="S597" s="30" t="str">
        <f aca="false">IF($B597="","",$R597&amp;"|"&amp;N($E597))</f>
        <v/>
      </c>
    </row>
    <row r="598" customFormat="false" ht="15" hidden="false" customHeight="false" outlineLevel="0" collapsed="false">
      <c r="D598" s="10"/>
      <c r="E598" s="11"/>
      <c r="F598" s="38"/>
      <c r="G598" s="10"/>
      <c r="I598" s="11"/>
      <c r="J598" s="10"/>
      <c r="K598" s="10"/>
      <c r="M598" s="31" t="str">
        <f aca="false">IF($B598="","",IFERROR(IF(INDEX(campaigns!$BG$2:$BG$51,MATCH($B598,campaigns!$A$2:$A$51,0))="","",INDEX(campaigns!$BG$2:$BG$51,MATCH($B598,campaigns!$A$2:$A$51,0))),""))</f>
        <v/>
      </c>
      <c r="N598" s="30" t="str">
        <f aca="false">IF(OR($B598="",$E598="",$M598=""),"",IF($E598&lt;$M598,0,NETWORKDAYS($M598,$E598,calendar!$A$2:$A$80)))</f>
        <v/>
      </c>
      <c r="O598" s="30" t="str">
        <f aca="false">IF($B598="","",IF(AND($K598="Y",OR($D598="later",$J598="Y")),"Y","N"))</f>
        <v/>
      </c>
      <c r="P598" s="30" t="str">
        <f aca="false">IF(OR($B598="",$E598=""),"",$B598&amp;"_"&amp;$C598&amp;"_"&amp;$D598&amp;"_"&amp;TEXT($E598,"yyyy-mm-dd")&amp;".jpg")</f>
        <v/>
      </c>
      <c r="Q598" s="30" t="str">
        <f aca="false">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30" t="str">
        <f aca="false">IF($B598="","",$B598&amp;"|"&amp;$C598&amp;"|"&amp;$D598&amp;"|"&amp;$O598)</f>
        <v/>
      </c>
      <c r="S598" s="30" t="str">
        <f aca="false">IF($B598="","",$R598&amp;"|"&amp;N($E598))</f>
        <v/>
      </c>
    </row>
    <row r="599" customFormat="false" ht="15" hidden="false" customHeight="false" outlineLevel="0" collapsed="false">
      <c r="D599" s="10"/>
      <c r="E599" s="11"/>
      <c r="F599" s="38"/>
      <c r="G599" s="10"/>
      <c r="I599" s="11"/>
      <c r="J599" s="10"/>
      <c r="K599" s="10"/>
      <c r="M599" s="31" t="str">
        <f aca="false">IF($B599="","",IFERROR(IF(INDEX(campaigns!$BG$2:$BG$51,MATCH($B599,campaigns!$A$2:$A$51,0))="","",INDEX(campaigns!$BG$2:$BG$51,MATCH($B599,campaigns!$A$2:$A$51,0))),""))</f>
        <v/>
      </c>
      <c r="N599" s="30" t="str">
        <f aca="false">IF(OR($B599="",$E599="",$M599=""),"",IF($E599&lt;$M599,0,NETWORKDAYS($M599,$E599,calendar!$A$2:$A$80)))</f>
        <v/>
      </c>
      <c r="O599" s="30" t="str">
        <f aca="false">IF($B599="","",IF(AND($K599="Y",OR($D599="later",$J599="Y")),"Y","N"))</f>
        <v/>
      </c>
      <c r="P599" s="30" t="str">
        <f aca="false">IF(OR($B599="",$E599=""),"",$B599&amp;"_"&amp;$C599&amp;"_"&amp;$D599&amp;"_"&amp;TEXT($E599,"yyyy-mm-dd")&amp;".jpg")</f>
        <v/>
      </c>
      <c r="Q599" s="30" t="str">
        <f aca="false">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30" t="str">
        <f aca="false">IF($B599="","",$B599&amp;"|"&amp;$C599&amp;"|"&amp;$D599&amp;"|"&amp;$O599)</f>
        <v/>
      </c>
      <c r="S599" s="30" t="str">
        <f aca="false">IF($B599="","",$R599&amp;"|"&amp;N($E599))</f>
        <v/>
      </c>
    </row>
    <row r="600" customFormat="false" ht="15" hidden="false" customHeight="false" outlineLevel="0" collapsed="false">
      <c r="D600" s="10"/>
      <c r="E600" s="11"/>
      <c r="F600" s="38"/>
      <c r="G600" s="10"/>
      <c r="I600" s="11"/>
      <c r="J600" s="10"/>
      <c r="K600" s="10"/>
      <c r="M600" s="31" t="str">
        <f aca="false">IF($B600="","",IFERROR(IF(INDEX(campaigns!$BG$2:$BG$51,MATCH($B600,campaigns!$A$2:$A$51,0))="","",INDEX(campaigns!$BG$2:$BG$51,MATCH($B600,campaigns!$A$2:$A$51,0))),""))</f>
        <v/>
      </c>
      <c r="N600" s="30" t="str">
        <f aca="false">IF(OR($B600="",$E600="",$M600=""),"",IF($E600&lt;$M600,0,NETWORKDAYS($M600,$E600,calendar!$A$2:$A$80)))</f>
        <v/>
      </c>
      <c r="O600" s="30" t="str">
        <f aca="false">IF($B600="","",IF(AND($K600="Y",OR($D600="later",$J600="Y")),"Y","N"))</f>
        <v/>
      </c>
      <c r="P600" s="30" t="str">
        <f aca="false">IF(OR($B600="",$E600=""),"",$B600&amp;"_"&amp;$C600&amp;"_"&amp;$D600&amp;"_"&amp;TEXT($E600,"yyyy-mm-dd")&amp;".jpg")</f>
        <v/>
      </c>
      <c r="Q600" s="30" t="str">
        <f aca="false">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30" t="str">
        <f aca="false">IF($B600="","",$B600&amp;"|"&amp;$C600&amp;"|"&amp;$D600&amp;"|"&amp;$O600)</f>
        <v/>
      </c>
      <c r="S600" s="30" t="str">
        <f aca="false">IF($B600="","",$R600&amp;"|"&amp;N($E600))</f>
        <v/>
      </c>
    </row>
    <row r="601" customFormat="false" ht="15" hidden="false" customHeight="false" outlineLevel="0" collapsed="false">
      <c r="D601" s="10"/>
      <c r="E601" s="11"/>
      <c r="F601" s="38"/>
      <c r="G601" s="10"/>
      <c r="I601" s="11"/>
      <c r="J601" s="10"/>
      <c r="K601" s="10"/>
      <c r="M601" s="31" t="str">
        <f aca="false">IF($B601="","",IFERROR(IF(INDEX(campaigns!$BG$2:$BG$51,MATCH($B601,campaigns!$A$2:$A$51,0))="","",INDEX(campaigns!$BG$2:$BG$51,MATCH($B601,campaigns!$A$2:$A$51,0))),""))</f>
        <v/>
      </c>
      <c r="N601" s="30" t="str">
        <f aca="false">IF(OR($B601="",$E601="",$M601=""),"",IF($E601&lt;$M601,0,NETWORKDAYS($M601,$E601,calendar!$A$2:$A$80)))</f>
        <v/>
      </c>
      <c r="O601" s="30" t="str">
        <f aca="false">IF($B601="","",IF(AND($K601="Y",OR($D601="later",$J601="Y")),"Y","N"))</f>
        <v/>
      </c>
      <c r="P601" s="30" t="str">
        <f aca="false">IF(OR($B601="",$E601=""),"",$B601&amp;"_"&amp;$C601&amp;"_"&amp;$D601&amp;"_"&amp;TEXT($E601,"yyyy-mm-dd")&amp;".jpg")</f>
        <v/>
      </c>
      <c r="Q601" s="30" t="str">
        <f aca="false">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30" t="str">
        <f aca="false">IF($B601="","",$B601&amp;"|"&amp;$C601&amp;"|"&amp;$D601&amp;"|"&amp;$O601)</f>
        <v/>
      </c>
      <c r="S601" s="30" t="str">
        <f aca="false">IF($B601="","",$R601&amp;"|"&amp;N($E601))</f>
        <v/>
      </c>
    </row>
    <row r="602" customFormat="false" ht="15" hidden="false" customHeight="false" outlineLevel="0" collapsed="false">
      <c r="D602" s="10"/>
      <c r="E602" s="11"/>
      <c r="F602" s="38"/>
      <c r="G602" s="10"/>
      <c r="I602" s="11"/>
      <c r="J602" s="10"/>
      <c r="K602" s="10"/>
      <c r="M602" s="31" t="str">
        <f aca="false">IF($B602="","",IFERROR(IF(INDEX(campaigns!$BG$2:$BG$51,MATCH($B602,campaigns!$A$2:$A$51,0))="","",INDEX(campaigns!$BG$2:$BG$51,MATCH($B602,campaigns!$A$2:$A$51,0))),""))</f>
        <v/>
      </c>
      <c r="N602" s="30" t="str">
        <f aca="false">IF(OR($B602="",$E602="",$M602=""),"",IF($E602&lt;$M602,0,NETWORKDAYS($M602,$E602,calendar!$A$2:$A$80)))</f>
        <v/>
      </c>
      <c r="O602" s="30" t="str">
        <f aca="false">IF($B602="","",IF(AND($K602="Y",OR($D602="later",$J602="Y")),"Y","N"))</f>
        <v/>
      </c>
      <c r="P602" s="30" t="str">
        <f aca="false">IF(OR($B602="",$E602=""),"",$B602&amp;"_"&amp;$C602&amp;"_"&amp;$D602&amp;"_"&amp;TEXT($E602,"yyyy-mm-dd")&amp;".jpg")</f>
        <v/>
      </c>
      <c r="Q602" s="30" t="str">
        <f aca="false">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30" t="str">
        <f aca="false">IF($B602="","",$B602&amp;"|"&amp;$C602&amp;"|"&amp;$D602&amp;"|"&amp;$O602)</f>
        <v/>
      </c>
      <c r="S602" s="30" t="str">
        <f aca="false">IF($B602="","",$R602&amp;"|"&amp;N($E602))</f>
        <v/>
      </c>
    </row>
    <row r="603" customFormat="false" ht="15" hidden="false" customHeight="false" outlineLevel="0" collapsed="false">
      <c r="D603" s="10"/>
      <c r="E603" s="11"/>
      <c r="F603" s="38"/>
      <c r="G603" s="10"/>
      <c r="I603" s="11"/>
      <c r="J603" s="10"/>
      <c r="K603" s="10"/>
      <c r="M603" s="31" t="str">
        <f aca="false">IF($B603="","",IFERROR(IF(INDEX(campaigns!$BG$2:$BG$51,MATCH($B603,campaigns!$A$2:$A$51,0))="","",INDEX(campaigns!$BG$2:$BG$51,MATCH($B603,campaigns!$A$2:$A$51,0))),""))</f>
        <v/>
      </c>
      <c r="N603" s="30" t="str">
        <f aca="false">IF(OR($B603="",$E603="",$M603=""),"",IF($E603&lt;$M603,0,NETWORKDAYS($M603,$E603,calendar!$A$2:$A$80)))</f>
        <v/>
      </c>
      <c r="O603" s="30" t="str">
        <f aca="false">IF($B603="","",IF(AND($K603="Y",OR($D603="later",$J603="Y")),"Y","N"))</f>
        <v/>
      </c>
      <c r="P603" s="30" t="str">
        <f aca="false">IF(OR($B603="",$E603=""),"",$B603&amp;"_"&amp;$C603&amp;"_"&amp;$D603&amp;"_"&amp;TEXT($E603,"yyyy-mm-dd")&amp;".jpg")</f>
        <v/>
      </c>
      <c r="Q603" s="30" t="str">
        <f aca="false">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30" t="str">
        <f aca="false">IF($B603="","",$B603&amp;"|"&amp;$C603&amp;"|"&amp;$D603&amp;"|"&amp;$O603)</f>
        <v/>
      </c>
      <c r="S603" s="30" t="str">
        <f aca="false">IF($B603="","",$R603&amp;"|"&amp;N($E603))</f>
        <v/>
      </c>
    </row>
    <row r="604" customFormat="false" ht="15" hidden="false" customHeight="false" outlineLevel="0" collapsed="false">
      <c r="D604" s="10"/>
      <c r="E604" s="11"/>
      <c r="F604" s="38"/>
      <c r="G604" s="10"/>
      <c r="I604" s="11"/>
      <c r="J604" s="10"/>
      <c r="K604" s="10"/>
      <c r="M604" s="31" t="str">
        <f aca="false">IF($B604="","",IFERROR(IF(INDEX(campaigns!$BG$2:$BG$51,MATCH($B604,campaigns!$A$2:$A$51,0))="","",INDEX(campaigns!$BG$2:$BG$51,MATCH($B604,campaigns!$A$2:$A$51,0))),""))</f>
        <v/>
      </c>
      <c r="N604" s="30" t="str">
        <f aca="false">IF(OR($B604="",$E604="",$M604=""),"",IF($E604&lt;$M604,0,NETWORKDAYS($M604,$E604,calendar!$A$2:$A$80)))</f>
        <v/>
      </c>
      <c r="O604" s="30" t="str">
        <f aca="false">IF($B604="","",IF(AND($K604="Y",OR($D604="later",$J604="Y")),"Y","N"))</f>
        <v/>
      </c>
      <c r="P604" s="30" t="str">
        <f aca="false">IF(OR($B604="",$E604=""),"",$B604&amp;"_"&amp;$C604&amp;"_"&amp;$D604&amp;"_"&amp;TEXT($E604,"yyyy-mm-dd")&amp;".jpg")</f>
        <v/>
      </c>
      <c r="Q604" s="30" t="str">
        <f aca="false">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30" t="str">
        <f aca="false">IF($B604="","",$B604&amp;"|"&amp;$C604&amp;"|"&amp;$D604&amp;"|"&amp;$O604)</f>
        <v/>
      </c>
      <c r="S604" s="30" t="str">
        <f aca="false">IF($B604="","",$R604&amp;"|"&amp;N($E604))</f>
        <v/>
      </c>
    </row>
    <row r="605" customFormat="false" ht="15" hidden="false" customHeight="false" outlineLevel="0" collapsed="false">
      <c r="D605" s="10"/>
      <c r="E605" s="11"/>
      <c r="F605" s="38"/>
      <c r="G605" s="10"/>
      <c r="I605" s="11"/>
      <c r="J605" s="10"/>
      <c r="K605" s="10"/>
      <c r="M605" s="31" t="str">
        <f aca="false">IF($B605="","",IFERROR(IF(INDEX(campaigns!$BG$2:$BG$51,MATCH($B605,campaigns!$A$2:$A$51,0))="","",INDEX(campaigns!$BG$2:$BG$51,MATCH($B605,campaigns!$A$2:$A$51,0))),""))</f>
        <v/>
      </c>
      <c r="N605" s="30" t="str">
        <f aca="false">IF(OR($B605="",$E605="",$M605=""),"",IF($E605&lt;$M605,0,NETWORKDAYS($M605,$E605,calendar!$A$2:$A$80)))</f>
        <v/>
      </c>
      <c r="O605" s="30" t="str">
        <f aca="false">IF($B605="","",IF(AND($K605="Y",OR($D605="later",$J605="Y")),"Y","N"))</f>
        <v/>
      </c>
      <c r="P605" s="30" t="str">
        <f aca="false">IF(OR($B605="",$E605=""),"",$B605&amp;"_"&amp;$C605&amp;"_"&amp;$D605&amp;"_"&amp;TEXT($E605,"yyyy-mm-dd")&amp;".jpg")</f>
        <v/>
      </c>
      <c r="Q605" s="30" t="str">
        <f aca="false">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30" t="str">
        <f aca="false">IF($B605="","",$B605&amp;"|"&amp;$C605&amp;"|"&amp;$D605&amp;"|"&amp;$O605)</f>
        <v/>
      </c>
      <c r="S605" s="30" t="str">
        <f aca="false">IF($B605="","",$R605&amp;"|"&amp;N($E605))</f>
        <v/>
      </c>
    </row>
    <row r="606" customFormat="false" ht="15" hidden="false" customHeight="false" outlineLevel="0" collapsed="false">
      <c r="D606" s="10"/>
      <c r="E606" s="11"/>
      <c r="F606" s="38"/>
      <c r="G606" s="10"/>
      <c r="I606" s="11"/>
      <c r="J606" s="10"/>
      <c r="K606" s="10"/>
      <c r="M606" s="31" t="str">
        <f aca="false">IF($B606="","",IFERROR(IF(INDEX(campaigns!$BG$2:$BG$51,MATCH($B606,campaigns!$A$2:$A$51,0))="","",INDEX(campaigns!$BG$2:$BG$51,MATCH($B606,campaigns!$A$2:$A$51,0))),""))</f>
        <v/>
      </c>
      <c r="N606" s="30" t="str">
        <f aca="false">IF(OR($B606="",$E606="",$M606=""),"",IF($E606&lt;$M606,0,NETWORKDAYS($M606,$E606,calendar!$A$2:$A$80)))</f>
        <v/>
      </c>
      <c r="O606" s="30" t="str">
        <f aca="false">IF($B606="","",IF(AND($K606="Y",OR($D606="later",$J606="Y")),"Y","N"))</f>
        <v/>
      </c>
      <c r="P606" s="30" t="str">
        <f aca="false">IF(OR($B606="",$E606=""),"",$B606&amp;"_"&amp;$C606&amp;"_"&amp;$D606&amp;"_"&amp;TEXT($E606,"yyyy-mm-dd")&amp;".jpg")</f>
        <v/>
      </c>
      <c r="Q606" s="30" t="str">
        <f aca="false">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30" t="str">
        <f aca="false">IF($B606="","",$B606&amp;"|"&amp;$C606&amp;"|"&amp;$D606&amp;"|"&amp;$O606)</f>
        <v/>
      </c>
      <c r="S606" s="30" t="str">
        <f aca="false">IF($B606="","",$R606&amp;"|"&amp;N($E606))</f>
        <v/>
      </c>
    </row>
    <row r="607" customFormat="false" ht="15" hidden="false" customHeight="false" outlineLevel="0" collapsed="false">
      <c r="D607" s="10"/>
      <c r="E607" s="11"/>
      <c r="F607" s="38"/>
      <c r="G607" s="10"/>
      <c r="I607" s="11"/>
      <c r="J607" s="10"/>
      <c r="K607" s="10"/>
      <c r="M607" s="31" t="str">
        <f aca="false">IF($B607="","",IFERROR(IF(INDEX(campaigns!$BG$2:$BG$51,MATCH($B607,campaigns!$A$2:$A$51,0))="","",INDEX(campaigns!$BG$2:$BG$51,MATCH($B607,campaigns!$A$2:$A$51,0))),""))</f>
        <v/>
      </c>
      <c r="N607" s="30" t="str">
        <f aca="false">IF(OR($B607="",$E607="",$M607=""),"",IF($E607&lt;$M607,0,NETWORKDAYS($M607,$E607,calendar!$A$2:$A$80)))</f>
        <v/>
      </c>
      <c r="O607" s="30" t="str">
        <f aca="false">IF($B607="","",IF(AND($K607="Y",OR($D607="later",$J607="Y")),"Y","N"))</f>
        <v/>
      </c>
      <c r="P607" s="30" t="str">
        <f aca="false">IF(OR($B607="",$E607=""),"",$B607&amp;"_"&amp;$C607&amp;"_"&amp;$D607&amp;"_"&amp;TEXT($E607,"yyyy-mm-dd")&amp;".jpg")</f>
        <v/>
      </c>
      <c r="Q607" s="30" t="str">
        <f aca="false">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30" t="str">
        <f aca="false">IF($B607="","",$B607&amp;"|"&amp;$C607&amp;"|"&amp;$D607&amp;"|"&amp;$O607)</f>
        <v/>
      </c>
      <c r="S607" s="30" t="str">
        <f aca="false">IF($B607="","",$R607&amp;"|"&amp;N($E607))</f>
        <v/>
      </c>
    </row>
    <row r="608" customFormat="false" ht="15" hidden="false" customHeight="false" outlineLevel="0" collapsed="false">
      <c r="D608" s="10"/>
      <c r="E608" s="11"/>
      <c r="F608" s="38"/>
      <c r="G608" s="10"/>
      <c r="I608" s="11"/>
      <c r="J608" s="10"/>
      <c r="K608" s="10"/>
      <c r="M608" s="31" t="str">
        <f aca="false">IF($B608="","",IFERROR(IF(INDEX(campaigns!$BG$2:$BG$51,MATCH($B608,campaigns!$A$2:$A$51,0))="","",INDEX(campaigns!$BG$2:$BG$51,MATCH($B608,campaigns!$A$2:$A$51,0))),""))</f>
        <v/>
      </c>
      <c r="N608" s="30" t="str">
        <f aca="false">IF(OR($B608="",$E608="",$M608=""),"",IF($E608&lt;$M608,0,NETWORKDAYS($M608,$E608,calendar!$A$2:$A$80)))</f>
        <v/>
      </c>
      <c r="O608" s="30" t="str">
        <f aca="false">IF($B608="","",IF(AND($K608="Y",OR($D608="later",$J608="Y")),"Y","N"))</f>
        <v/>
      </c>
      <c r="P608" s="30" t="str">
        <f aca="false">IF(OR($B608="",$E608=""),"",$B608&amp;"_"&amp;$C608&amp;"_"&amp;$D608&amp;"_"&amp;TEXT($E608,"yyyy-mm-dd")&amp;".jpg")</f>
        <v/>
      </c>
      <c r="Q608" s="30" t="str">
        <f aca="false">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30" t="str">
        <f aca="false">IF($B608="","",$B608&amp;"|"&amp;$C608&amp;"|"&amp;$D608&amp;"|"&amp;$O608)</f>
        <v/>
      </c>
      <c r="S608" s="30" t="str">
        <f aca="false">IF($B608="","",$R608&amp;"|"&amp;N($E608))</f>
        <v/>
      </c>
    </row>
    <row r="609" customFormat="false" ht="15" hidden="false" customHeight="false" outlineLevel="0" collapsed="false">
      <c r="D609" s="10"/>
      <c r="E609" s="11"/>
      <c r="F609" s="38"/>
      <c r="G609" s="10"/>
      <c r="I609" s="11"/>
      <c r="J609" s="10"/>
      <c r="K609" s="10"/>
      <c r="M609" s="31" t="str">
        <f aca="false">IF($B609="","",IFERROR(IF(INDEX(campaigns!$BG$2:$BG$51,MATCH($B609,campaigns!$A$2:$A$51,0))="","",INDEX(campaigns!$BG$2:$BG$51,MATCH($B609,campaigns!$A$2:$A$51,0))),""))</f>
        <v/>
      </c>
      <c r="N609" s="30" t="str">
        <f aca="false">IF(OR($B609="",$E609="",$M609=""),"",IF($E609&lt;$M609,0,NETWORKDAYS($M609,$E609,calendar!$A$2:$A$80)))</f>
        <v/>
      </c>
      <c r="O609" s="30" t="str">
        <f aca="false">IF($B609="","",IF(AND($K609="Y",OR($D609="later",$J609="Y")),"Y","N"))</f>
        <v/>
      </c>
      <c r="P609" s="30" t="str">
        <f aca="false">IF(OR($B609="",$E609=""),"",$B609&amp;"_"&amp;$C609&amp;"_"&amp;$D609&amp;"_"&amp;TEXT($E609,"yyyy-mm-dd")&amp;".jpg")</f>
        <v/>
      </c>
      <c r="Q609" s="30" t="str">
        <f aca="false">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30" t="str">
        <f aca="false">IF($B609="","",$B609&amp;"|"&amp;$C609&amp;"|"&amp;$D609&amp;"|"&amp;$O609)</f>
        <v/>
      </c>
      <c r="S609" s="30" t="str">
        <f aca="false">IF($B609="","",$R609&amp;"|"&amp;N($E609))</f>
        <v/>
      </c>
    </row>
    <row r="610" customFormat="false" ht="15" hidden="false" customHeight="false" outlineLevel="0" collapsed="false">
      <c r="D610" s="10"/>
      <c r="E610" s="11"/>
      <c r="F610" s="38"/>
      <c r="G610" s="10"/>
      <c r="I610" s="11"/>
      <c r="J610" s="10"/>
      <c r="K610" s="10"/>
      <c r="M610" s="31" t="str">
        <f aca="false">IF($B610="","",IFERROR(IF(INDEX(campaigns!$BG$2:$BG$51,MATCH($B610,campaigns!$A$2:$A$51,0))="","",INDEX(campaigns!$BG$2:$BG$51,MATCH($B610,campaigns!$A$2:$A$51,0))),""))</f>
        <v/>
      </c>
      <c r="N610" s="30" t="str">
        <f aca="false">IF(OR($B610="",$E610="",$M610=""),"",IF($E610&lt;$M610,0,NETWORKDAYS($M610,$E610,calendar!$A$2:$A$80)))</f>
        <v/>
      </c>
      <c r="O610" s="30" t="str">
        <f aca="false">IF($B610="","",IF(AND($K610="Y",OR($D610="later",$J610="Y")),"Y","N"))</f>
        <v/>
      </c>
      <c r="P610" s="30" t="str">
        <f aca="false">IF(OR($B610="",$E610=""),"",$B610&amp;"_"&amp;$C610&amp;"_"&amp;$D610&amp;"_"&amp;TEXT($E610,"yyyy-mm-dd")&amp;".jpg")</f>
        <v/>
      </c>
      <c r="Q610" s="30" t="str">
        <f aca="false">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30" t="str">
        <f aca="false">IF($B610="","",$B610&amp;"|"&amp;$C610&amp;"|"&amp;$D610&amp;"|"&amp;$O610)</f>
        <v/>
      </c>
      <c r="S610" s="30" t="str">
        <f aca="false">IF($B610="","",$R610&amp;"|"&amp;N($E610))</f>
        <v/>
      </c>
    </row>
    <row r="611" customFormat="false" ht="15" hidden="false" customHeight="false" outlineLevel="0" collapsed="false">
      <c r="D611" s="10"/>
      <c r="E611" s="11"/>
      <c r="F611" s="38"/>
      <c r="G611" s="10"/>
      <c r="I611" s="11"/>
      <c r="J611" s="10"/>
      <c r="K611" s="10"/>
      <c r="M611" s="31" t="str">
        <f aca="false">IF($B611="","",IFERROR(IF(INDEX(campaigns!$BG$2:$BG$51,MATCH($B611,campaigns!$A$2:$A$51,0))="","",INDEX(campaigns!$BG$2:$BG$51,MATCH($B611,campaigns!$A$2:$A$51,0))),""))</f>
        <v/>
      </c>
      <c r="N611" s="30" t="str">
        <f aca="false">IF(OR($B611="",$E611="",$M611=""),"",IF($E611&lt;$M611,0,NETWORKDAYS($M611,$E611,calendar!$A$2:$A$80)))</f>
        <v/>
      </c>
      <c r="O611" s="30" t="str">
        <f aca="false">IF($B611="","",IF(AND($K611="Y",OR($D611="later",$J611="Y")),"Y","N"))</f>
        <v/>
      </c>
      <c r="P611" s="30" t="str">
        <f aca="false">IF(OR($B611="",$E611=""),"",$B611&amp;"_"&amp;$C611&amp;"_"&amp;$D611&amp;"_"&amp;TEXT($E611,"yyyy-mm-dd")&amp;".jpg")</f>
        <v/>
      </c>
      <c r="Q611" s="30" t="str">
        <f aca="false">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30" t="str">
        <f aca="false">IF($B611="","",$B611&amp;"|"&amp;$C611&amp;"|"&amp;$D611&amp;"|"&amp;$O611)</f>
        <v/>
      </c>
      <c r="S611" s="30" t="str">
        <f aca="false">IF($B611="","",$R611&amp;"|"&amp;N($E611))</f>
        <v/>
      </c>
    </row>
    <row r="612" customFormat="false" ht="15" hidden="false" customHeight="false" outlineLevel="0" collapsed="false">
      <c r="D612" s="10"/>
      <c r="E612" s="11"/>
      <c r="F612" s="38"/>
      <c r="G612" s="10"/>
      <c r="I612" s="11"/>
      <c r="J612" s="10"/>
      <c r="K612" s="10"/>
      <c r="M612" s="31" t="str">
        <f aca="false">IF($B612="","",IFERROR(IF(INDEX(campaigns!$BG$2:$BG$51,MATCH($B612,campaigns!$A$2:$A$51,0))="","",INDEX(campaigns!$BG$2:$BG$51,MATCH($B612,campaigns!$A$2:$A$51,0))),""))</f>
        <v/>
      </c>
      <c r="N612" s="30" t="str">
        <f aca="false">IF(OR($B612="",$E612="",$M612=""),"",IF($E612&lt;$M612,0,NETWORKDAYS($M612,$E612,calendar!$A$2:$A$80)))</f>
        <v/>
      </c>
      <c r="O612" s="30" t="str">
        <f aca="false">IF($B612="","",IF(AND($K612="Y",OR($D612="later",$J612="Y")),"Y","N"))</f>
        <v/>
      </c>
      <c r="P612" s="30" t="str">
        <f aca="false">IF(OR($B612="",$E612=""),"",$B612&amp;"_"&amp;$C612&amp;"_"&amp;$D612&amp;"_"&amp;TEXT($E612,"yyyy-mm-dd")&amp;".jpg")</f>
        <v/>
      </c>
      <c r="Q612" s="30" t="str">
        <f aca="false">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30" t="str">
        <f aca="false">IF($B612="","",$B612&amp;"|"&amp;$C612&amp;"|"&amp;$D612&amp;"|"&amp;$O612)</f>
        <v/>
      </c>
      <c r="S612" s="30" t="str">
        <f aca="false">IF($B612="","",$R612&amp;"|"&amp;N($E612))</f>
        <v/>
      </c>
    </row>
    <row r="613" customFormat="false" ht="15" hidden="false" customHeight="false" outlineLevel="0" collapsed="false">
      <c r="D613" s="10"/>
      <c r="E613" s="11"/>
      <c r="F613" s="38"/>
      <c r="G613" s="10"/>
      <c r="I613" s="11"/>
      <c r="J613" s="10"/>
      <c r="K613" s="10"/>
      <c r="M613" s="31" t="str">
        <f aca="false">IF($B613="","",IFERROR(IF(INDEX(campaigns!$BG$2:$BG$51,MATCH($B613,campaigns!$A$2:$A$51,0))="","",INDEX(campaigns!$BG$2:$BG$51,MATCH($B613,campaigns!$A$2:$A$51,0))),""))</f>
        <v/>
      </c>
      <c r="N613" s="30" t="str">
        <f aca="false">IF(OR($B613="",$E613="",$M613=""),"",IF($E613&lt;$M613,0,NETWORKDAYS($M613,$E613,calendar!$A$2:$A$80)))</f>
        <v/>
      </c>
      <c r="O613" s="30" t="str">
        <f aca="false">IF($B613="","",IF(AND($K613="Y",OR($D613="later",$J613="Y")),"Y","N"))</f>
        <v/>
      </c>
      <c r="P613" s="30" t="str">
        <f aca="false">IF(OR($B613="",$E613=""),"",$B613&amp;"_"&amp;$C613&amp;"_"&amp;$D613&amp;"_"&amp;TEXT($E613,"yyyy-mm-dd")&amp;".jpg")</f>
        <v/>
      </c>
      <c r="Q613" s="30" t="str">
        <f aca="false">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30" t="str">
        <f aca="false">IF($B613="","",$B613&amp;"|"&amp;$C613&amp;"|"&amp;$D613&amp;"|"&amp;$O613)</f>
        <v/>
      </c>
      <c r="S613" s="30" t="str">
        <f aca="false">IF($B613="","",$R613&amp;"|"&amp;N($E613))</f>
        <v/>
      </c>
    </row>
    <row r="614" customFormat="false" ht="15" hidden="false" customHeight="false" outlineLevel="0" collapsed="false">
      <c r="D614" s="10"/>
      <c r="E614" s="11"/>
      <c r="F614" s="38"/>
      <c r="G614" s="10"/>
      <c r="I614" s="11"/>
      <c r="J614" s="10"/>
      <c r="K614" s="10"/>
      <c r="M614" s="31" t="str">
        <f aca="false">IF($B614="","",IFERROR(IF(INDEX(campaigns!$BG$2:$BG$51,MATCH($B614,campaigns!$A$2:$A$51,0))="","",INDEX(campaigns!$BG$2:$BG$51,MATCH($B614,campaigns!$A$2:$A$51,0))),""))</f>
        <v/>
      </c>
      <c r="N614" s="30" t="str">
        <f aca="false">IF(OR($B614="",$E614="",$M614=""),"",IF($E614&lt;$M614,0,NETWORKDAYS($M614,$E614,calendar!$A$2:$A$80)))</f>
        <v/>
      </c>
      <c r="O614" s="30" t="str">
        <f aca="false">IF($B614="","",IF(AND($K614="Y",OR($D614="later",$J614="Y")),"Y","N"))</f>
        <v/>
      </c>
      <c r="P614" s="30" t="str">
        <f aca="false">IF(OR($B614="",$E614=""),"",$B614&amp;"_"&amp;$C614&amp;"_"&amp;$D614&amp;"_"&amp;TEXT($E614,"yyyy-mm-dd")&amp;".jpg")</f>
        <v/>
      </c>
      <c r="Q614" s="30" t="str">
        <f aca="false">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30" t="str">
        <f aca="false">IF($B614="","",$B614&amp;"|"&amp;$C614&amp;"|"&amp;$D614&amp;"|"&amp;$O614)</f>
        <v/>
      </c>
      <c r="S614" s="30" t="str">
        <f aca="false">IF($B614="","",$R614&amp;"|"&amp;N($E614))</f>
        <v/>
      </c>
    </row>
    <row r="615" customFormat="false" ht="15" hidden="false" customHeight="false" outlineLevel="0" collapsed="false">
      <c r="D615" s="10"/>
      <c r="E615" s="11"/>
      <c r="F615" s="38"/>
      <c r="G615" s="10"/>
      <c r="I615" s="11"/>
      <c r="J615" s="10"/>
      <c r="K615" s="10"/>
      <c r="M615" s="31" t="str">
        <f aca="false">IF($B615="","",IFERROR(IF(INDEX(campaigns!$BG$2:$BG$51,MATCH($B615,campaigns!$A$2:$A$51,0))="","",INDEX(campaigns!$BG$2:$BG$51,MATCH($B615,campaigns!$A$2:$A$51,0))),""))</f>
        <v/>
      </c>
      <c r="N615" s="30" t="str">
        <f aca="false">IF(OR($B615="",$E615="",$M615=""),"",IF($E615&lt;$M615,0,NETWORKDAYS($M615,$E615,calendar!$A$2:$A$80)))</f>
        <v/>
      </c>
      <c r="O615" s="30" t="str">
        <f aca="false">IF($B615="","",IF(AND($K615="Y",OR($D615="later",$J615="Y")),"Y","N"))</f>
        <v/>
      </c>
      <c r="P615" s="30" t="str">
        <f aca="false">IF(OR($B615="",$E615=""),"",$B615&amp;"_"&amp;$C615&amp;"_"&amp;$D615&amp;"_"&amp;TEXT($E615,"yyyy-mm-dd")&amp;".jpg")</f>
        <v/>
      </c>
      <c r="Q615" s="30" t="str">
        <f aca="false">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30" t="str">
        <f aca="false">IF($B615="","",$B615&amp;"|"&amp;$C615&amp;"|"&amp;$D615&amp;"|"&amp;$O615)</f>
        <v/>
      </c>
      <c r="S615" s="30" t="str">
        <f aca="false">IF($B615="","",$R615&amp;"|"&amp;N($E615))</f>
        <v/>
      </c>
    </row>
    <row r="616" customFormat="false" ht="15" hidden="false" customHeight="false" outlineLevel="0" collapsed="false">
      <c r="D616" s="10"/>
      <c r="E616" s="11"/>
      <c r="F616" s="38"/>
      <c r="G616" s="10"/>
      <c r="I616" s="11"/>
      <c r="J616" s="10"/>
      <c r="K616" s="10"/>
      <c r="M616" s="31" t="str">
        <f aca="false">IF($B616="","",IFERROR(IF(INDEX(campaigns!$BG$2:$BG$51,MATCH($B616,campaigns!$A$2:$A$51,0))="","",INDEX(campaigns!$BG$2:$BG$51,MATCH($B616,campaigns!$A$2:$A$51,0))),""))</f>
        <v/>
      </c>
      <c r="N616" s="30" t="str">
        <f aca="false">IF(OR($B616="",$E616="",$M616=""),"",IF($E616&lt;$M616,0,NETWORKDAYS($M616,$E616,calendar!$A$2:$A$80)))</f>
        <v/>
      </c>
      <c r="O616" s="30" t="str">
        <f aca="false">IF($B616="","",IF(AND($K616="Y",OR($D616="later",$J616="Y")),"Y","N"))</f>
        <v/>
      </c>
      <c r="P616" s="30" t="str">
        <f aca="false">IF(OR($B616="",$E616=""),"",$B616&amp;"_"&amp;$C616&amp;"_"&amp;$D616&amp;"_"&amp;TEXT($E616,"yyyy-mm-dd")&amp;".jpg")</f>
        <v/>
      </c>
      <c r="Q616" s="30" t="str">
        <f aca="false">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30" t="str">
        <f aca="false">IF($B616="","",$B616&amp;"|"&amp;$C616&amp;"|"&amp;$D616&amp;"|"&amp;$O616)</f>
        <v/>
      </c>
      <c r="S616" s="30" t="str">
        <f aca="false">IF($B616="","",$R616&amp;"|"&amp;N($E616))</f>
        <v/>
      </c>
    </row>
    <row r="617" customFormat="false" ht="15" hidden="false" customHeight="false" outlineLevel="0" collapsed="false">
      <c r="D617" s="10"/>
      <c r="E617" s="11"/>
      <c r="F617" s="38"/>
      <c r="G617" s="10"/>
      <c r="I617" s="11"/>
      <c r="J617" s="10"/>
      <c r="K617" s="10"/>
      <c r="M617" s="31" t="str">
        <f aca="false">IF($B617="","",IFERROR(IF(INDEX(campaigns!$BG$2:$BG$51,MATCH($B617,campaigns!$A$2:$A$51,0))="","",INDEX(campaigns!$BG$2:$BG$51,MATCH($B617,campaigns!$A$2:$A$51,0))),""))</f>
        <v/>
      </c>
      <c r="N617" s="30" t="str">
        <f aca="false">IF(OR($B617="",$E617="",$M617=""),"",IF($E617&lt;$M617,0,NETWORKDAYS($M617,$E617,calendar!$A$2:$A$80)))</f>
        <v/>
      </c>
      <c r="O617" s="30" t="str">
        <f aca="false">IF($B617="","",IF(AND($K617="Y",OR($D617="later",$J617="Y")),"Y","N"))</f>
        <v/>
      </c>
      <c r="P617" s="30" t="str">
        <f aca="false">IF(OR($B617="",$E617=""),"",$B617&amp;"_"&amp;$C617&amp;"_"&amp;$D617&amp;"_"&amp;TEXT($E617,"yyyy-mm-dd")&amp;".jpg")</f>
        <v/>
      </c>
      <c r="Q617" s="30" t="str">
        <f aca="false">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30" t="str">
        <f aca="false">IF($B617="","",$B617&amp;"|"&amp;$C617&amp;"|"&amp;$D617&amp;"|"&amp;$O617)</f>
        <v/>
      </c>
      <c r="S617" s="30" t="str">
        <f aca="false">IF($B617="","",$R617&amp;"|"&amp;N($E617))</f>
        <v/>
      </c>
    </row>
    <row r="618" customFormat="false" ht="15" hidden="false" customHeight="false" outlineLevel="0" collapsed="false">
      <c r="D618" s="10"/>
      <c r="E618" s="11"/>
      <c r="F618" s="38"/>
      <c r="G618" s="10"/>
      <c r="I618" s="11"/>
      <c r="J618" s="10"/>
      <c r="K618" s="10"/>
      <c r="M618" s="31" t="str">
        <f aca="false">IF($B618="","",IFERROR(IF(INDEX(campaigns!$BG$2:$BG$51,MATCH($B618,campaigns!$A$2:$A$51,0))="","",INDEX(campaigns!$BG$2:$BG$51,MATCH($B618,campaigns!$A$2:$A$51,0))),""))</f>
        <v/>
      </c>
      <c r="N618" s="30" t="str">
        <f aca="false">IF(OR($B618="",$E618="",$M618=""),"",IF($E618&lt;$M618,0,NETWORKDAYS($M618,$E618,calendar!$A$2:$A$80)))</f>
        <v/>
      </c>
      <c r="O618" s="30" t="str">
        <f aca="false">IF($B618="","",IF(AND($K618="Y",OR($D618="later",$J618="Y")),"Y","N"))</f>
        <v/>
      </c>
      <c r="P618" s="30" t="str">
        <f aca="false">IF(OR($B618="",$E618=""),"",$B618&amp;"_"&amp;$C618&amp;"_"&amp;$D618&amp;"_"&amp;TEXT($E618,"yyyy-mm-dd")&amp;".jpg")</f>
        <v/>
      </c>
      <c r="Q618" s="30" t="str">
        <f aca="false">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30" t="str">
        <f aca="false">IF($B618="","",$B618&amp;"|"&amp;$C618&amp;"|"&amp;$D618&amp;"|"&amp;$O618)</f>
        <v/>
      </c>
      <c r="S618" s="30" t="str">
        <f aca="false">IF($B618="","",$R618&amp;"|"&amp;N($E618))</f>
        <v/>
      </c>
    </row>
    <row r="619" customFormat="false" ht="15" hidden="false" customHeight="false" outlineLevel="0" collapsed="false">
      <c r="D619" s="10"/>
      <c r="E619" s="11"/>
      <c r="F619" s="38"/>
      <c r="G619" s="10"/>
      <c r="I619" s="11"/>
      <c r="J619" s="10"/>
      <c r="K619" s="10"/>
      <c r="M619" s="31" t="str">
        <f aca="false">IF($B619="","",IFERROR(IF(INDEX(campaigns!$BG$2:$BG$51,MATCH($B619,campaigns!$A$2:$A$51,0))="","",INDEX(campaigns!$BG$2:$BG$51,MATCH($B619,campaigns!$A$2:$A$51,0))),""))</f>
        <v/>
      </c>
      <c r="N619" s="30" t="str">
        <f aca="false">IF(OR($B619="",$E619="",$M619=""),"",IF($E619&lt;$M619,0,NETWORKDAYS($M619,$E619,calendar!$A$2:$A$80)))</f>
        <v/>
      </c>
      <c r="O619" s="30" t="str">
        <f aca="false">IF($B619="","",IF(AND($K619="Y",OR($D619="later",$J619="Y")),"Y","N"))</f>
        <v/>
      </c>
      <c r="P619" s="30" t="str">
        <f aca="false">IF(OR($B619="",$E619=""),"",$B619&amp;"_"&amp;$C619&amp;"_"&amp;$D619&amp;"_"&amp;TEXT($E619,"yyyy-mm-dd")&amp;".jpg")</f>
        <v/>
      </c>
      <c r="Q619" s="30" t="str">
        <f aca="false">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30" t="str">
        <f aca="false">IF($B619="","",$B619&amp;"|"&amp;$C619&amp;"|"&amp;$D619&amp;"|"&amp;$O619)</f>
        <v/>
      </c>
      <c r="S619" s="30" t="str">
        <f aca="false">IF($B619="","",$R619&amp;"|"&amp;N($E619))</f>
        <v/>
      </c>
    </row>
    <row r="620" customFormat="false" ht="15" hidden="false" customHeight="false" outlineLevel="0" collapsed="false">
      <c r="D620" s="10"/>
      <c r="E620" s="11"/>
      <c r="F620" s="38"/>
      <c r="G620" s="10"/>
      <c r="I620" s="11"/>
      <c r="J620" s="10"/>
      <c r="K620" s="10"/>
      <c r="M620" s="31" t="str">
        <f aca="false">IF($B620="","",IFERROR(IF(INDEX(campaigns!$BG$2:$BG$51,MATCH($B620,campaigns!$A$2:$A$51,0))="","",INDEX(campaigns!$BG$2:$BG$51,MATCH($B620,campaigns!$A$2:$A$51,0))),""))</f>
        <v/>
      </c>
      <c r="N620" s="30" t="str">
        <f aca="false">IF(OR($B620="",$E620="",$M620=""),"",IF($E620&lt;$M620,0,NETWORKDAYS($M620,$E620,calendar!$A$2:$A$80)))</f>
        <v/>
      </c>
      <c r="O620" s="30" t="str">
        <f aca="false">IF($B620="","",IF(AND($K620="Y",OR($D620="later",$J620="Y")),"Y","N"))</f>
        <v/>
      </c>
      <c r="P620" s="30" t="str">
        <f aca="false">IF(OR($B620="",$E620=""),"",$B620&amp;"_"&amp;$C620&amp;"_"&amp;$D620&amp;"_"&amp;TEXT($E620,"yyyy-mm-dd")&amp;".jpg")</f>
        <v/>
      </c>
      <c r="Q620" s="30" t="str">
        <f aca="false">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30" t="str">
        <f aca="false">IF($B620="","",$B620&amp;"|"&amp;$C620&amp;"|"&amp;$D620&amp;"|"&amp;$O620)</f>
        <v/>
      </c>
      <c r="S620" s="30" t="str">
        <f aca="false">IF($B620="","",$R620&amp;"|"&amp;N($E620))</f>
        <v/>
      </c>
    </row>
    <row r="621" customFormat="false" ht="15" hidden="false" customHeight="false" outlineLevel="0" collapsed="false">
      <c r="D621" s="10"/>
      <c r="E621" s="11"/>
      <c r="F621" s="38"/>
      <c r="G621" s="10"/>
      <c r="I621" s="11"/>
      <c r="J621" s="10"/>
      <c r="K621" s="10"/>
      <c r="M621" s="31" t="str">
        <f aca="false">IF($B621="","",IFERROR(IF(INDEX(campaigns!$BG$2:$BG$51,MATCH($B621,campaigns!$A$2:$A$51,0))="","",INDEX(campaigns!$BG$2:$BG$51,MATCH($B621,campaigns!$A$2:$A$51,0))),""))</f>
        <v/>
      </c>
      <c r="N621" s="30" t="str">
        <f aca="false">IF(OR($B621="",$E621="",$M621=""),"",IF($E621&lt;$M621,0,NETWORKDAYS($M621,$E621,calendar!$A$2:$A$80)))</f>
        <v/>
      </c>
      <c r="O621" s="30" t="str">
        <f aca="false">IF($B621="","",IF(AND($K621="Y",OR($D621="later",$J621="Y")),"Y","N"))</f>
        <v/>
      </c>
      <c r="P621" s="30" t="str">
        <f aca="false">IF(OR($B621="",$E621=""),"",$B621&amp;"_"&amp;$C621&amp;"_"&amp;$D621&amp;"_"&amp;TEXT($E621,"yyyy-mm-dd")&amp;".jpg")</f>
        <v/>
      </c>
      <c r="Q621" s="30" t="str">
        <f aca="false">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30" t="str">
        <f aca="false">IF($B621="","",$B621&amp;"|"&amp;$C621&amp;"|"&amp;$D621&amp;"|"&amp;$O621)</f>
        <v/>
      </c>
      <c r="S621" s="30" t="str">
        <f aca="false">IF($B621="","",$R621&amp;"|"&amp;N($E621))</f>
        <v/>
      </c>
    </row>
    <row r="622" customFormat="false" ht="15" hidden="false" customHeight="false" outlineLevel="0" collapsed="false">
      <c r="D622" s="10"/>
      <c r="E622" s="11"/>
      <c r="F622" s="38"/>
      <c r="G622" s="10"/>
      <c r="I622" s="11"/>
      <c r="J622" s="10"/>
      <c r="K622" s="10"/>
      <c r="M622" s="31" t="str">
        <f aca="false">IF($B622="","",IFERROR(IF(INDEX(campaigns!$BG$2:$BG$51,MATCH($B622,campaigns!$A$2:$A$51,0))="","",INDEX(campaigns!$BG$2:$BG$51,MATCH($B622,campaigns!$A$2:$A$51,0))),""))</f>
        <v/>
      </c>
      <c r="N622" s="30" t="str">
        <f aca="false">IF(OR($B622="",$E622="",$M622=""),"",IF($E622&lt;$M622,0,NETWORKDAYS($M622,$E622,calendar!$A$2:$A$80)))</f>
        <v/>
      </c>
      <c r="O622" s="30" t="str">
        <f aca="false">IF($B622="","",IF(AND($K622="Y",OR($D622="later",$J622="Y")),"Y","N"))</f>
        <v/>
      </c>
      <c r="P622" s="30" t="str">
        <f aca="false">IF(OR($B622="",$E622=""),"",$B622&amp;"_"&amp;$C622&amp;"_"&amp;$D622&amp;"_"&amp;TEXT($E622,"yyyy-mm-dd")&amp;".jpg")</f>
        <v/>
      </c>
      <c r="Q622" s="30" t="str">
        <f aca="false">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30" t="str">
        <f aca="false">IF($B622="","",$B622&amp;"|"&amp;$C622&amp;"|"&amp;$D622&amp;"|"&amp;$O622)</f>
        <v/>
      </c>
      <c r="S622" s="30" t="str">
        <f aca="false">IF($B622="","",$R622&amp;"|"&amp;N($E622))</f>
        <v/>
      </c>
    </row>
    <row r="623" customFormat="false" ht="15" hidden="false" customHeight="false" outlineLevel="0" collapsed="false">
      <c r="D623" s="10"/>
      <c r="E623" s="11"/>
      <c r="F623" s="38"/>
      <c r="G623" s="10"/>
      <c r="I623" s="11"/>
      <c r="J623" s="10"/>
      <c r="K623" s="10"/>
      <c r="M623" s="31" t="str">
        <f aca="false">IF($B623="","",IFERROR(IF(INDEX(campaigns!$BG$2:$BG$51,MATCH($B623,campaigns!$A$2:$A$51,0))="","",INDEX(campaigns!$BG$2:$BG$51,MATCH($B623,campaigns!$A$2:$A$51,0))),""))</f>
        <v/>
      </c>
      <c r="N623" s="30" t="str">
        <f aca="false">IF(OR($B623="",$E623="",$M623=""),"",IF($E623&lt;$M623,0,NETWORKDAYS($M623,$E623,calendar!$A$2:$A$80)))</f>
        <v/>
      </c>
      <c r="O623" s="30" t="str">
        <f aca="false">IF($B623="","",IF(AND($K623="Y",OR($D623="later",$J623="Y")),"Y","N"))</f>
        <v/>
      </c>
      <c r="P623" s="30" t="str">
        <f aca="false">IF(OR($B623="",$E623=""),"",$B623&amp;"_"&amp;$C623&amp;"_"&amp;$D623&amp;"_"&amp;TEXT($E623,"yyyy-mm-dd")&amp;".jpg")</f>
        <v/>
      </c>
      <c r="Q623" s="30" t="str">
        <f aca="false">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30" t="str">
        <f aca="false">IF($B623="","",$B623&amp;"|"&amp;$C623&amp;"|"&amp;$D623&amp;"|"&amp;$O623)</f>
        <v/>
      </c>
      <c r="S623" s="30" t="str">
        <f aca="false">IF($B623="","",$R623&amp;"|"&amp;N($E623))</f>
        <v/>
      </c>
    </row>
    <row r="624" customFormat="false" ht="15" hidden="false" customHeight="false" outlineLevel="0" collapsed="false">
      <c r="D624" s="10"/>
      <c r="E624" s="11"/>
      <c r="F624" s="38"/>
      <c r="G624" s="10"/>
      <c r="I624" s="11"/>
      <c r="J624" s="10"/>
      <c r="K624" s="10"/>
      <c r="M624" s="31" t="str">
        <f aca="false">IF($B624="","",IFERROR(IF(INDEX(campaigns!$BG$2:$BG$51,MATCH($B624,campaigns!$A$2:$A$51,0))="","",INDEX(campaigns!$BG$2:$BG$51,MATCH($B624,campaigns!$A$2:$A$51,0))),""))</f>
        <v/>
      </c>
      <c r="N624" s="30" t="str">
        <f aca="false">IF(OR($B624="",$E624="",$M624=""),"",IF($E624&lt;$M624,0,NETWORKDAYS($M624,$E624,calendar!$A$2:$A$80)))</f>
        <v/>
      </c>
      <c r="O624" s="30" t="str">
        <f aca="false">IF($B624="","",IF(AND($K624="Y",OR($D624="later",$J624="Y")),"Y","N"))</f>
        <v/>
      </c>
      <c r="P624" s="30" t="str">
        <f aca="false">IF(OR($B624="",$E624=""),"",$B624&amp;"_"&amp;$C624&amp;"_"&amp;$D624&amp;"_"&amp;TEXT($E624,"yyyy-mm-dd")&amp;".jpg")</f>
        <v/>
      </c>
      <c r="Q624" s="30" t="str">
        <f aca="false">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30" t="str">
        <f aca="false">IF($B624="","",$B624&amp;"|"&amp;$C624&amp;"|"&amp;$D624&amp;"|"&amp;$O624)</f>
        <v/>
      </c>
      <c r="S624" s="30" t="str">
        <f aca="false">IF($B624="","",$R624&amp;"|"&amp;N($E624))</f>
        <v/>
      </c>
    </row>
    <row r="625" customFormat="false" ht="15" hidden="false" customHeight="false" outlineLevel="0" collapsed="false">
      <c r="D625" s="10"/>
      <c r="E625" s="11"/>
      <c r="F625" s="38"/>
      <c r="G625" s="10"/>
      <c r="I625" s="11"/>
      <c r="J625" s="10"/>
      <c r="K625" s="10"/>
      <c r="M625" s="31" t="str">
        <f aca="false">IF($B625="","",IFERROR(IF(INDEX(campaigns!$BG$2:$BG$51,MATCH($B625,campaigns!$A$2:$A$51,0))="","",INDEX(campaigns!$BG$2:$BG$51,MATCH($B625,campaigns!$A$2:$A$51,0))),""))</f>
        <v/>
      </c>
      <c r="N625" s="30" t="str">
        <f aca="false">IF(OR($B625="",$E625="",$M625=""),"",IF($E625&lt;$M625,0,NETWORKDAYS($M625,$E625,calendar!$A$2:$A$80)))</f>
        <v/>
      </c>
      <c r="O625" s="30" t="str">
        <f aca="false">IF($B625="","",IF(AND($K625="Y",OR($D625="later",$J625="Y")),"Y","N"))</f>
        <v/>
      </c>
      <c r="P625" s="30" t="str">
        <f aca="false">IF(OR($B625="",$E625=""),"",$B625&amp;"_"&amp;$C625&amp;"_"&amp;$D625&amp;"_"&amp;TEXT($E625,"yyyy-mm-dd")&amp;".jpg")</f>
        <v/>
      </c>
      <c r="Q625" s="30" t="str">
        <f aca="false">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30" t="str">
        <f aca="false">IF($B625="","",$B625&amp;"|"&amp;$C625&amp;"|"&amp;$D625&amp;"|"&amp;$O625)</f>
        <v/>
      </c>
      <c r="S625" s="30" t="str">
        <f aca="false">IF($B625="","",$R625&amp;"|"&amp;N($E625))</f>
        <v/>
      </c>
    </row>
    <row r="626" customFormat="false" ht="15" hidden="false" customHeight="false" outlineLevel="0" collapsed="false">
      <c r="D626" s="10"/>
      <c r="E626" s="11"/>
      <c r="F626" s="38"/>
      <c r="G626" s="10"/>
      <c r="I626" s="11"/>
      <c r="J626" s="10"/>
      <c r="K626" s="10"/>
      <c r="M626" s="31" t="str">
        <f aca="false">IF($B626="","",IFERROR(IF(INDEX(campaigns!$BG$2:$BG$51,MATCH($B626,campaigns!$A$2:$A$51,0))="","",INDEX(campaigns!$BG$2:$BG$51,MATCH($B626,campaigns!$A$2:$A$51,0))),""))</f>
        <v/>
      </c>
      <c r="N626" s="30" t="str">
        <f aca="false">IF(OR($B626="",$E626="",$M626=""),"",IF($E626&lt;$M626,0,NETWORKDAYS($M626,$E626,calendar!$A$2:$A$80)))</f>
        <v/>
      </c>
      <c r="O626" s="30" t="str">
        <f aca="false">IF($B626="","",IF(AND($K626="Y",OR($D626="later",$J626="Y")),"Y","N"))</f>
        <v/>
      </c>
      <c r="P626" s="30" t="str">
        <f aca="false">IF(OR($B626="",$E626=""),"",$B626&amp;"_"&amp;$C626&amp;"_"&amp;$D626&amp;"_"&amp;TEXT($E626,"yyyy-mm-dd")&amp;".jpg")</f>
        <v/>
      </c>
      <c r="Q626" s="30" t="str">
        <f aca="false">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30" t="str">
        <f aca="false">IF($B626="","",$B626&amp;"|"&amp;$C626&amp;"|"&amp;$D626&amp;"|"&amp;$O626)</f>
        <v/>
      </c>
      <c r="S626" s="30" t="str">
        <f aca="false">IF($B626="","",$R626&amp;"|"&amp;N($E626))</f>
        <v/>
      </c>
    </row>
    <row r="627" customFormat="false" ht="15" hidden="false" customHeight="false" outlineLevel="0" collapsed="false">
      <c r="D627" s="10"/>
      <c r="E627" s="11"/>
      <c r="F627" s="38"/>
      <c r="G627" s="10"/>
      <c r="I627" s="11"/>
      <c r="J627" s="10"/>
      <c r="K627" s="10"/>
      <c r="M627" s="31" t="str">
        <f aca="false">IF($B627="","",IFERROR(IF(INDEX(campaigns!$BG$2:$BG$51,MATCH($B627,campaigns!$A$2:$A$51,0))="","",INDEX(campaigns!$BG$2:$BG$51,MATCH($B627,campaigns!$A$2:$A$51,0))),""))</f>
        <v/>
      </c>
      <c r="N627" s="30" t="str">
        <f aca="false">IF(OR($B627="",$E627="",$M627=""),"",IF($E627&lt;$M627,0,NETWORKDAYS($M627,$E627,calendar!$A$2:$A$80)))</f>
        <v/>
      </c>
      <c r="O627" s="30" t="str">
        <f aca="false">IF($B627="","",IF(AND($K627="Y",OR($D627="later",$J627="Y")),"Y","N"))</f>
        <v/>
      </c>
      <c r="P627" s="30" t="str">
        <f aca="false">IF(OR($B627="",$E627=""),"",$B627&amp;"_"&amp;$C627&amp;"_"&amp;$D627&amp;"_"&amp;TEXT($E627,"yyyy-mm-dd")&amp;".jpg")</f>
        <v/>
      </c>
      <c r="Q627" s="30" t="str">
        <f aca="false">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30" t="str">
        <f aca="false">IF($B627="","",$B627&amp;"|"&amp;$C627&amp;"|"&amp;$D627&amp;"|"&amp;$O627)</f>
        <v/>
      </c>
      <c r="S627" s="30" t="str">
        <f aca="false">IF($B627="","",$R627&amp;"|"&amp;N($E627))</f>
        <v/>
      </c>
    </row>
    <row r="628" customFormat="false" ht="15" hidden="false" customHeight="false" outlineLevel="0" collapsed="false">
      <c r="D628" s="10"/>
      <c r="E628" s="11"/>
      <c r="F628" s="38"/>
      <c r="G628" s="10"/>
      <c r="I628" s="11"/>
      <c r="J628" s="10"/>
      <c r="K628" s="10"/>
      <c r="M628" s="31" t="str">
        <f aca="false">IF($B628="","",IFERROR(IF(INDEX(campaigns!$BG$2:$BG$51,MATCH($B628,campaigns!$A$2:$A$51,0))="","",INDEX(campaigns!$BG$2:$BG$51,MATCH($B628,campaigns!$A$2:$A$51,0))),""))</f>
        <v/>
      </c>
      <c r="N628" s="30" t="str">
        <f aca="false">IF(OR($B628="",$E628="",$M628=""),"",IF($E628&lt;$M628,0,NETWORKDAYS($M628,$E628,calendar!$A$2:$A$80)))</f>
        <v/>
      </c>
      <c r="O628" s="30" t="str">
        <f aca="false">IF($B628="","",IF(AND($K628="Y",OR($D628="later",$J628="Y")),"Y","N"))</f>
        <v/>
      </c>
      <c r="P628" s="30" t="str">
        <f aca="false">IF(OR($B628="",$E628=""),"",$B628&amp;"_"&amp;$C628&amp;"_"&amp;$D628&amp;"_"&amp;TEXT($E628,"yyyy-mm-dd")&amp;".jpg")</f>
        <v/>
      </c>
      <c r="Q628" s="30" t="str">
        <f aca="false">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30" t="str">
        <f aca="false">IF($B628="","",$B628&amp;"|"&amp;$C628&amp;"|"&amp;$D628&amp;"|"&amp;$O628)</f>
        <v/>
      </c>
      <c r="S628" s="30" t="str">
        <f aca="false">IF($B628="","",$R628&amp;"|"&amp;N($E628))</f>
        <v/>
      </c>
    </row>
    <row r="629" customFormat="false" ht="15" hidden="false" customHeight="false" outlineLevel="0" collapsed="false">
      <c r="D629" s="10"/>
      <c r="E629" s="11"/>
      <c r="F629" s="38"/>
      <c r="G629" s="10"/>
      <c r="I629" s="11"/>
      <c r="J629" s="10"/>
      <c r="K629" s="10"/>
      <c r="M629" s="31" t="str">
        <f aca="false">IF($B629="","",IFERROR(IF(INDEX(campaigns!$BG$2:$BG$51,MATCH($B629,campaigns!$A$2:$A$51,0))="","",INDEX(campaigns!$BG$2:$BG$51,MATCH($B629,campaigns!$A$2:$A$51,0))),""))</f>
        <v/>
      </c>
      <c r="N629" s="30" t="str">
        <f aca="false">IF(OR($B629="",$E629="",$M629=""),"",IF($E629&lt;$M629,0,NETWORKDAYS($M629,$E629,calendar!$A$2:$A$80)))</f>
        <v/>
      </c>
      <c r="O629" s="30" t="str">
        <f aca="false">IF($B629="","",IF(AND($K629="Y",OR($D629="later",$J629="Y")),"Y","N"))</f>
        <v/>
      </c>
      <c r="P629" s="30" t="str">
        <f aca="false">IF(OR($B629="",$E629=""),"",$B629&amp;"_"&amp;$C629&amp;"_"&amp;$D629&amp;"_"&amp;TEXT($E629,"yyyy-mm-dd")&amp;".jpg")</f>
        <v/>
      </c>
      <c r="Q629" s="30" t="str">
        <f aca="false">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30" t="str">
        <f aca="false">IF($B629="","",$B629&amp;"|"&amp;$C629&amp;"|"&amp;$D629&amp;"|"&amp;$O629)</f>
        <v/>
      </c>
      <c r="S629" s="30" t="str">
        <f aca="false">IF($B629="","",$R629&amp;"|"&amp;N($E629))</f>
        <v/>
      </c>
    </row>
    <row r="630" customFormat="false" ht="15" hidden="false" customHeight="false" outlineLevel="0" collapsed="false">
      <c r="D630" s="10"/>
      <c r="E630" s="11"/>
      <c r="F630" s="38"/>
      <c r="G630" s="10"/>
      <c r="I630" s="11"/>
      <c r="J630" s="10"/>
      <c r="K630" s="10"/>
      <c r="M630" s="31" t="str">
        <f aca="false">IF($B630="","",IFERROR(IF(INDEX(campaigns!$BG$2:$BG$51,MATCH($B630,campaigns!$A$2:$A$51,0))="","",INDEX(campaigns!$BG$2:$BG$51,MATCH($B630,campaigns!$A$2:$A$51,0))),""))</f>
        <v/>
      </c>
      <c r="N630" s="30" t="str">
        <f aca="false">IF(OR($B630="",$E630="",$M630=""),"",IF($E630&lt;$M630,0,NETWORKDAYS($M630,$E630,calendar!$A$2:$A$80)))</f>
        <v/>
      </c>
      <c r="O630" s="30" t="str">
        <f aca="false">IF($B630="","",IF(AND($K630="Y",OR($D630="later",$J630="Y")),"Y","N"))</f>
        <v/>
      </c>
      <c r="P630" s="30" t="str">
        <f aca="false">IF(OR($B630="",$E630=""),"",$B630&amp;"_"&amp;$C630&amp;"_"&amp;$D630&amp;"_"&amp;TEXT($E630,"yyyy-mm-dd")&amp;".jpg")</f>
        <v/>
      </c>
      <c r="Q630" s="30" t="str">
        <f aca="false">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30" t="str">
        <f aca="false">IF($B630="","",$B630&amp;"|"&amp;$C630&amp;"|"&amp;$D630&amp;"|"&amp;$O630)</f>
        <v/>
      </c>
      <c r="S630" s="30" t="str">
        <f aca="false">IF($B630="","",$R630&amp;"|"&amp;N($E630))</f>
        <v/>
      </c>
    </row>
    <row r="631" customFormat="false" ht="15" hidden="false" customHeight="false" outlineLevel="0" collapsed="false">
      <c r="D631" s="10"/>
      <c r="E631" s="11"/>
      <c r="F631" s="38"/>
      <c r="G631" s="10"/>
      <c r="I631" s="11"/>
      <c r="J631" s="10"/>
      <c r="K631" s="10"/>
      <c r="M631" s="31" t="str">
        <f aca="false">IF($B631="","",IFERROR(IF(INDEX(campaigns!$BG$2:$BG$51,MATCH($B631,campaigns!$A$2:$A$51,0))="","",INDEX(campaigns!$BG$2:$BG$51,MATCH($B631,campaigns!$A$2:$A$51,0))),""))</f>
        <v/>
      </c>
      <c r="N631" s="30" t="str">
        <f aca="false">IF(OR($B631="",$E631="",$M631=""),"",IF($E631&lt;$M631,0,NETWORKDAYS($M631,$E631,calendar!$A$2:$A$80)))</f>
        <v/>
      </c>
      <c r="O631" s="30" t="str">
        <f aca="false">IF($B631="","",IF(AND($K631="Y",OR($D631="later",$J631="Y")),"Y","N"))</f>
        <v/>
      </c>
      <c r="P631" s="30" t="str">
        <f aca="false">IF(OR($B631="",$E631=""),"",$B631&amp;"_"&amp;$C631&amp;"_"&amp;$D631&amp;"_"&amp;TEXT($E631,"yyyy-mm-dd")&amp;".jpg")</f>
        <v/>
      </c>
      <c r="Q631" s="30" t="str">
        <f aca="false">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30" t="str">
        <f aca="false">IF($B631="","",$B631&amp;"|"&amp;$C631&amp;"|"&amp;$D631&amp;"|"&amp;$O631)</f>
        <v/>
      </c>
      <c r="S631" s="30" t="str">
        <f aca="false">IF($B631="","",$R631&amp;"|"&amp;N($E631))</f>
        <v/>
      </c>
    </row>
    <row r="632" customFormat="false" ht="15" hidden="false" customHeight="false" outlineLevel="0" collapsed="false">
      <c r="D632" s="10"/>
      <c r="E632" s="11"/>
      <c r="F632" s="38"/>
      <c r="G632" s="10"/>
      <c r="I632" s="11"/>
      <c r="J632" s="10"/>
      <c r="K632" s="10"/>
      <c r="M632" s="31" t="str">
        <f aca="false">IF($B632="","",IFERROR(IF(INDEX(campaigns!$BG$2:$BG$51,MATCH($B632,campaigns!$A$2:$A$51,0))="","",INDEX(campaigns!$BG$2:$BG$51,MATCH($B632,campaigns!$A$2:$A$51,0))),""))</f>
        <v/>
      </c>
      <c r="N632" s="30" t="str">
        <f aca="false">IF(OR($B632="",$E632="",$M632=""),"",IF($E632&lt;$M632,0,NETWORKDAYS($M632,$E632,calendar!$A$2:$A$80)))</f>
        <v/>
      </c>
      <c r="O632" s="30" t="str">
        <f aca="false">IF($B632="","",IF(AND($K632="Y",OR($D632="later",$J632="Y")),"Y","N"))</f>
        <v/>
      </c>
      <c r="P632" s="30" t="str">
        <f aca="false">IF(OR($B632="",$E632=""),"",$B632&amp;"_"&amp;$C632&amp;"_"&amp;$D632&amp;"_"&amp;TEXT($E632,"yyyy-mm-dd")&amp;".jpg")</f>
        <v/>
      </c>
      <c r="Q632" s="30" t="str">
        <f aca="false">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30" t="str">
        <f aca="false">IF($B632="","",$B632&amp;"|"&amp;$C632&amp;"|"&amp;$D632&amp;"|"&amp;$O632)</f>
        <v/>
      </c>
      <c r="S632" s="30" t="str">
        <f aca="false">IF($B632="","",$R632&amp;"|"&amp;N($E632))</f>
        <v/>
      </c>
    </row>
    <row r="633" customFormat="false" ht="15" hidden="false" customHeight="false" outlineLevel="0" collapsed="false">
      <c r="D633" s="10"/>
      <c r="E633" s="11"/>
      <c r="F633" s="38"/>
      <c r="G633" s="10"/>
      <c r="I633" s="11"/>
      <c r="J633" s="10"/>
      <c r="K633" s="10"/>
      <c r="M633" s="31" t="str">
        <f aca="false">IF($B633="","",IFERROR(IF(INDEX(campaigns!$BG$2:$BG$51,MATCH($B633,campaigns!$A$2:$A$51,0))="","",INDEX(campaigns!$BG$2:$BG$51,MATCH($B633,campaigns!$A$2:$A$51,0))),""))</f>
        <v/>
      </c>
      <c r="N633" s="30" t="str">
        <f aca="false">IF(OR($B633="",$E633="",$M633=""),"",IF($E633&lt;$M633,0,NETWORKDAYS($M633,$E633,calendar!$A$2:$A$80)))</f>
        <v/>
      </c>
      <c r="O633" s="30" t="str">
        <f aca="false">IF($B633="","",IF(AND($K633="Y",OR($D633="later",$J633="Y")),"Y","N"))</f>
        <v/>
      </c>
      <c r="P633" s="30" t="str">
        <f aca="false">IF(OR($B633="",$E633=""),"",$B633&amp;"_"&amp;$C633&amp;"_"&amp;$D633&amp;"_"&amp;TEXT($E633,"yyyy-mm-dd")&amp;".jpg")</f>
        <v/>
      </c>
      <c r="Q633" s="30" t="str">
        <f aca="false">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30" t="str">
        <f aca="false">IF($B633="","",$B633&amp;"|"&amp;$C633&amp;"|"&amp;$D633&amp;"|"&amp;$O633)</f>
        <v/>
      </c>
      <c r="S633" s="30" t="str">
        <f aca="false">IF($B633="","",$R633&amp;"|"&amp;N($E633))</f>
        <v/>
      </c>
    </row>
    <row r="634" customFormat="false" ht="15" hidden="false" customHeight="false" outlineLevel="0" collapsed="false">
      <c r="D634" s="10"/>
      <c r="E634" s="11"/>
      <c r="F634" s="38"/>
      <c r="G634" s="10"/>
      <c r="I634" s="11"/>
      <c r="J634" s="10"/>
      <c r="K634" s="10"/>
      <c r="M634" s="31" t="str">
        <f aca="false">IF($B634="","",IFERROR(IF(INDEX(campaigns!$BG$2:$BG$51,MATCH($B634,campaigns!$A$2:$A$51,0))="","",INDEX(campaigns!$BG$2:$BG$51,MATCH($B634,campaigns!$A$2:$A$51,0))),""))</f>
        <v/>
      </c>
      <c r="N634" s="30" t="str">
        <f aca="false">IF(OR($B634="",$E634="",$M634=""),"",IF($E634&lt;$M634,0,NETWORKDAYS($M634,$E634,calendar!$A$2:$A$80)))</f>
        <v/>
      </c>
      <c r="O634" s="30" t="str">
        <f aca="false">IF($B634="","",IF(AND($K634="Y",OR($D634="later",$J634="Y")),"Y","N"))</f>
        <v/>
      </c>
      <c r="P634" s="30" t="str">
        <f aca="false">IF(OR($B634="",$E634=""),"",$B634&amp;"_"&amp;$C634&amp;"_"&amp;$D634&amp;"_"&amp;TEXT($E634,"yyyy-mm-dd")&amp;".jpg")</f>
        <v/>
      </c>
      <c r="Q634" s="30" t="str">
        <f aca="false">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30" t="str">
        <f aca="false">IF($B634="","",$B634&amp;"|"&amp;$C634&amp;"|"&amp;$D634&amp;"|"&amp;$O634)</f>
        <v/>
      </c>
      <c r="S634" s="30" t="str">
        <f aca="false">IF($B634="","",$R634&amp;"|"&amp;N($E634))</f>
        <v/>
      </c>
    </row>
    <row r="635" customFormat="false" ht="15" hidden="false" customHeight="false" outlineLevel="0" collapsed="false">
      <c r="D635" s="10"/>
      <c r="E635" s="11"/>
      <c r="F635" s="38"/>
      <c r="G635" s="10"/>
      <c r="I635" s="11"/>
      <c r="J635" s="10"/>
      <c r="K635" s="10"/>
      <c r="M635" s="31" t="str">
        <f aca="false">IF($B635="","",IFERROR(IF(INDEX(campaigns!$BG$2:$BG$51,MATCH($B635,campaigns!$A$2:$A$51,0))="","",INDEX(campaigns!$BG$2:$BG$51,MATCH($B635,campaigns!$A$2:$A$51,0))),""))</f>
        <v/>
      </c>
      <c r="N635" s="30" t="str">
        <f aca="false">IF(OR($B635="",$E635="",$M635=""),"",IF($E635&lt;$M635,0,NETWORKDAYS($M635,$E635,calendar!$A$2:$A$80)))</f>
        <v/>
      </c>
      <c r="O635" s="30" t="str">
        <f aca="false">IF($B635="","",IF(AND($K635="Y",OR($D635="later",$J635="Y")),"Y","N"))</f>
        <v/>
      </c>
      <c r="P635" s="30" t="str">
        <f aca="false">IF(OR($B635="",$E635=""),"",$B635&amp;"_"&amp;$C635&amp;"_"&amp;$D635&amp;"_"&amp;TEXT($E635,"yyyy-mm-dd")&amp;".jpg")</f>
        <v/>
      </c>
      <c r="Q635" s="30" t="str">
        <f aca="false">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30" t="str">
        <f aca="false">IF($B635="","",$B635&amp;"|"&amp;$C635&amp;"|"&amp;$D635&amp;"|"&amp;$O635)</f>
        <v/>
      </c>
      <c r="S635" s="30" t="str">
        <f aca="false">IF($B635="","",$R635&amp;"|"&amp;N($E635))</f>
        <v/>
      </c>
    </row>
    <row r="636" customFormat="false" ht="15" hidden="false" customHeight="false" outlineLevel="0" collapsed="false">
      <c r="D636" s="10"/>
      <c r="E636" s="11"/>
      <c r="F636" s="38"/>
      <c r="G636" s="10"/>
      <c r="I636" s="11"/>
      <c r="J636" s="10"/>
      <c r="K636" s="10"/>
      <c r="M636" s="31" t="str">
        <f aca="false">IF($B636="","",IFERROR(IF(INDEX(campaigns!$BG$2:$BG$51,MATCH($B636,campaigns!$A$2:$A$51,0))="","",INDEX(campaigns!$BG$2:$BG$51,MATCH($B636,campaigns!$A$2:$A$51,0))),""))</f>
        <v/>
      </c>
      <c r="N636" s="30" t="str">
        <f aca="false">IF(OR($B636="",$E636="",$M636=""),"",IF($E636&lt;$M636,0,NETWORKDAYS($M636,$E636,calendar!$A$2:$A$80)))</f>
        <v/>
      </c>
      <c r="O636" s="30" t="str">
        <f aca="false">IF($B636="","",IF(AND($K636="Y",OR($D636="later",$J636="Y")),"Y","N"))</f>
        <v/>
      </c>
      <c r="P636" s="30" t="str">
        <f aca="false">IF(OR($B636="",$E636=""),"",$B636&amp;"_"&amp;$C636&amp;"_"&amp;$D636&amp;"_"&amp;TEXT($E636,"yyyy-mm-dd")&amp;".jpg")</f>
        <v/>
      </c>
      <c r="Q636" s="30" t="str">
        <f aca="false">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30" t="str">
        <f aca="false">IF($B636="","",$B636&amp;"|"&amp;$C636&amp;"|"&amp;$D636&amp;"|"&amp;$O636)</f>
        <v/>
      </c>
      <c r="S636" s="30" t="str">
        <f aca="false">IF($B636="","",$R636&amp;"|"&amp;N($E636))</f>
        <v/>
      </c>
    </row>
    <row r="637" customFormat="false" ht="15" hidden="false" customHeight="false" outlineLevel="0" collapsed="false">
      <c r="D637" s="10"/>
      <c r="E637" s="11"/>
      <c r="F637" s="38"/>
      <c r="G637" s="10"/>
      <c r="I637" s="11"/>
      <c r="J637" s="10"/>
      <c r="K637" s="10"/>
      <c r="M637" s="31" t="str">
        <f aca="false">IF($B637="","",IFERROR(IF(INDEX(campaigns!$BG$2:$BG$51,MATCH($B637,campaigns!$A$2:$A$51,0))="","",INDEX(campaigns!$BG$2:$BG$51,MATCH($B637,campaigns!$A$2:$A$51,0))),""))</f>
        <v/>
      </c>
      <c r="N637" s="30" t="str">
        <f aca="false">IF(OR($B637="",$E637="",$M637=""),"",IF($E637&lt;$M637,0,NETWORKDAYS($M637,$E637,calendar!$A$2:$A$80)))</f>
        <v/>
      </c>
      <c r="O637" s="30" t="str">
        <f aca="false">IF($B637="","",IF(AND($K637="Y",OR($D637="later",$J637="Y")),"Y","N"))</f>
        <v/>
      </c>
      <c r="P637" s="30" t="str">
        <f aca="false">IF(OR($B637="",$E637=""),"",$B637&amp;"_"&amp;$C637&amp;"_"&amp;$D637&amp;"_"&amp;TEXT($E637,"yyyy-mm-dd")&amp;".jpg")</f>
        <v/>
      </c>
      <c r="Q637" s="30" t="str">
        <f aca="false">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30" t="str">
        <f aca="false">IF($B637="","",$B637&amp;"|"&amp;$C637&amp;"|"&amp;$D637&amp;"|"&amp;$O637)</f>
        <v/>
      </c>
      <c r="S637" s="30" t="str">
        <f aca="false">IF($B637="","",$R637&amp;"|"&amp;N($E637))</f>
        <v/>
      </c>
    </row>
    <row r="638" customFormat="false" ht="15" hidden="false" customHeight="false" outlineLevel="0" collapsed="false">
      <c r="D638" s="10"/>
      <c r="E638" s="11"/>
      <c r="F638" s="38"/>
      <c r="G638" s="10"/>
      <c r="I638" s="11"/>
      <c r="J638" s="10"/>
      <c r="K638" s="10"/>
      <c r="M638" s="31" t="str">
        <f aca="false">IF($B638="","",IFERROR(IF(INDEX(campaigns!$BG$2:$BG$51,MATCH($B638,campaigns!$A$2:$A$51,0))="","",INDEX(campaigns!$BG$2:$BG$51,MATCH($B638,campaigns!$A$2:$A$51,0))),""))</f>
        <v/>
      </c>
      <c r="N638" s="30" t="str">
        <f aca="false">IF(OR($B638="",$E638="",$M638=""),"",IF($E638&lt;$M638,0,NETWORKDAYS($M638,$E638,calendar!$A$2:$A$80)))</f>
        <v/>
      </c>
      <c r="O638" s="30" t="str">
        <f aca="false">IF($B638="","",IF(AND($K638="Y",OR($D638="later",$J638="Y")),"Y","N"))</f>
        <v/>
      </c>
      <c r="P638" s="30" t="str">
        <f aca="false">IF(OR($B638="",$E638=""),"",$B638&amp;"_"&amp;$C638&amp;"_"&amp;$D638&amp;"_"&amp;TEXT($E638,"yyyy-mm-dd")&amp;".jpg")</f>
        <v/>
      </c>
      <c r="Q638" s="30" t="str">
        <f aca="false">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30" t="str">
        <f aca="false">IF($B638="","",$B638&amp;"|"&amp;$C638&amp;"|"&amp;$D638&amp;"|"&amp;$O638)</f>
        <v/>
      </c>
      <c r="S638" s="30" t="str">
        <f aca="false">IF($B638="","",$R638&amp;"|"&amp;N($E638))</f>
        <v/>
      </c>
    </row>
    <row r="639" customFormat="false" ht="15" hidden="false" customHeight="false" outlineLevel="0" collapsed="false">
      <c r="D639" s="10"/>
      <c r="E639" s="11"/>
      <c r="F639" s="38"/>
      <c r="G639" s="10"/>
      <c r="I639" s="11"/>
      <c r="J639" s="10"/>
      <c r="K639" s="10"/>
      <c r="M639" s="31" t="str">
        <f aca="false">IF($B639="","",IFERROR(IF(INDEX(campaigns!$BG$2:$BG$51,MATCH($B639,campaigns!$A$2:$A$51,0))="","",INDEX(campaigns!$BG$2:$BG$51,MATCH($B639,campaigns!$A$2:$A$51,0))),""))</f>
        <v/>
      </c>
      <c r="N639" s="30" t="str">
        <f aca="false">IF(OR($B639="",$E639="",$M639=""),"",IF($E639&lt;$M639,0,NETWORKDAYS($M639,$E639,calendar!$A$2:$A$80)))</f>
        <v/>
      </c>
      <c r="O639" s="30" t="str">
        <f aca="false">IF($B639="","",IF(AND($K639="Y",OR($D639="later",$J639="Y")),"Y","N"))</f>
        <v/>
      </c>
      <c r="P639" s="30" t="str">
        <f aca="false">IF(OR($B639="",$E639=""),"",$B639&amp;"_"&amp;$C639&amp;"_"&amp;$D639&amp;"_"&amp;TEXT($E639,"yyyy-mm-dd")&amp;".jpg")</f>
        <v/>
      </c>
      <c r="Q639" s="30" t="str">
        <f aca="false">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30" t="str">
        <f aca="false">IF($B639="","",$B639&amp;"|"&amp;$C639&amp;"|"&amp;$D639&amp;"|"&amp;$O639)</f>
        <v/>
      </c>
      <c r="S639" s="30" t="str">
        <f aca="false">IF($B639="","",$R639&amp;"|"&amp;N($E639))</f>
        <v/>
      </c>
    </row>
    <row r="640" customFormat="false" ht="15" hidden="false" customHeight="false" outlineLevel="0" collapsed="false">
      <c r="D640" s="10"/>
      <c r="E640" s="11"/>
      <c r="F640" s="38"/>
      <c r="G640" s="10"/>
      <c r="I640" s="11"/>
      <c r="J640" s="10"/>
      <c r="K640" s="10"/>
      <c r="M640" s="31" t="str">
        <f aca="false">IF($B640="","",IFERROR(IF(INDEX(campaigns!$BG$2:$BG$51,MATCH($B640,campaigns!$A$2:$A$51,0))="","",INDEX(campaigns!$BG$2:$BG$51,MATCH($B640,campaigns!$A$2:$A$51,0))),""))</f>
        <v/>
      </c>
      <c r="N640" s="30" t="str">
        <f aca="false">IF(OR($B640="",$E640="",$M640=""),"",IF($E640&lt;$M640,0,NETWORKDAYS($M640,$E640,calendar!$A$2:$A$80)))</f>
        <v/>
      </c>
      <c r="O640" s="30" t="str">
        <f aca="false">IF($B640="","",IF(AND($K640="Y",OR($D640="later",$J640="Y")),"Y","N"))</f>
        <v/>
      </c>
      <c r="P640" s="30" t="str">
        <f aca="false">IF(OR($B640="",$E640=""),"",$B640&amp;"_"&amp;$C640&amp;"_"&amp;$D640&amp;"_"&amp;TEXT($E640,"yyyy-mm-dd")&amp;".jpg")</f>
        <v/>
      </c>
      <c r="Q640" s="30" t="str">
        <f aca="false">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30" t="str">
        <f aca="false">IF($B640="","",$B640&amp;"|"&amp;$C640&amp;"|"&amp;$D640&amp;"|"&amp;$O640)</f>
        <v/>
      </c>
      <c r="S640" s="30" t="str">
        <f aca="false">IF($B640="","",$R640&amp;"|"&amp;N($E640))</f>
        <v/>
      </c>
    </row>
    <row r="641" customFormat="false" ht="15" hidden="false" customHeight="false" outlineLevel="0" collapsed="false">
      <c r="D641" s="10"/>
      <c r="E641" s="11"/>
      <c r="F641" s="38"/>
      <c r="G641" s="10"/>
      <c r="I641" s="11"/>
      <c r="J641" s="10"/>
      <c r="K641" s="10"/>
      <c r="M641" s="31" t="str">
        <f aca="false">IF($B641="","",IFERROR(IF(INDEX(campaigns!$BG$2:$BG$51,MATCH($B641,campaigns!$A$2:$A$51,0))="","",INDEX(campaigns!$BG$2:$BG$51,MATCH($B641,campaigns!$A$2:$A$51,0))),""))</f>
        <v/>
      </c>
      <c r="N641" s="30" t="str">
        <f aca="false">IF(OR($B641="",$E641="",$M641=""),"",IF($E641&lt;$M641,0,NETWORKDAYS($M641,$E641,calendar!$A$2:$A$80)))</f>
        <v/>
      </c>
      <c r="O641" s="30" t="str">
        <f aca="false">IF($B641="","",IF(AND($K641="Y",OR($D641="later",$J641="Y")),"Y","N"))</f>
        <v/>
      </c>
      <c r="P641" s="30" t="str">
        <f aca="false">IF(OR($B641="",$E641=""),"",$B641&amp;"_"&amp;$C641&amp;"_"&amp;$D641&amp;"_"&amp;TEXT($E641,"yyyy-mm-dd")&amp;".jpg")</f>
        <v/>
      </c>
      <c r="Q641" s="30" t="str">
        <f aca="false">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30" t="str">
        <f aca="false">IF($B641="","",$B641&amp;"|"&amp;$C641&amp;"|"&amp;$D641&amp;"|"&amp;$O641)</f>
        <v/>
      </c>
      <c r="S641" s="30" t="str">
        <f aca="false">IF($B641="","",$R641&amp;"|"&amp;N($E641))</f>
        <v/>
      </c>
    </row>
    <row r="642" customFormat="false" ht="15" hidden="false" customHeight="false" outlineLevel="0" collapsed="false">
      <c r="D642" s="10"/>
      <c r="E642" s="11"/>
      <c r="F642" s="38"/>
      <c r="G642" s="10"/>
      <c r="I642" s="11"/>
      <c r="J642" s="10"/>
      <c r="K642" s="10"/>
      <c r="M642" s="31" t="str">
        <f aca="false">IF($B642="","",IFERROR(IF(INDEX(campaigns!$BG$2:$BG$51,MATCH($B642,campaigns!$A$2:$A$51,0))="","",INDEX(campaigns!$BG$2:$BG$51,MATCH($B642,campaigns!$A$2:$A$51,0))),""))</f>
        <v/>
      </c>
      <c r="N642" s="30" t="str">
        <f aca="false">IF(OR($B642="",$E642="",$M642=""),"",IF($E642&lt;$M642,0,NETWORKDAYS($M642,$E642,calendar!$A$2:$A$80)))</f>
        <v/>
      </c>
      <c r="O642" s="30" t="str">
        <f aca="false">IF($B642="","",IF(AND($K642="Y",OR($D642="later",$J642="Y")),"Y","N"))</f>
        <v/>
      </c>
      <c r="P642" s="30" t="str">
        <f aca="false">IF(OR($B642="",$E642=""),"",$B642&amp;"_"&amp;$C642&amp;"_"&amp;$D642&amp;"_"&amp;TEXT($E642,"yyyy-mm-dd")&amp;".jpg")</f>
        <v/>
      </c>
      <c r="Q642" s="30" t="str">
        <f aca="false">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30" t="str">
        <f aca="false">IF($B642="","",$B642&amp;"|"&amp;$C642&amp;"|"&amp;$D642&amp;"|"&amp;$O642)</f>
        <v/>
      </c>
      <c r="S642" s="30" t="str">
        <f aca="false">IF($B642="","",$R642&amp;"|"&amp;N($E642))</f>
        <v/>
      </c>
    </row>
    <row r="643" customFormat="false" ht="15" hidden="false" customHeight="false" outlineLevel="0" collapsed="false">
      <c r="D643" s="10"/>
      <c r="E643" s="11"/>
      <c r="F643" s="38"/>
      <c r="G643" s="10"/>
      <c r="I643" s="11"/>
      <c r="J643" s="10"/>
      <c r="K643" s="10"/>
      <c r="M643" s="31" t="str">
        <f aca="false">IF($B643="","",IFERROR(IF(INDEX(campaigns!$BG$2:$BG$51,MATCH($B643,campaigns!$A$2:$A$51,0))="","",INDEX(campaigns!$BG$2:$BG$51,MATCH($B643,campaigns!$A$2:$A$51,0))),""))</f>
        <v/>
      </c>
      <c r="N643" s="30" t="str">
        <f aca="false">IF(OR($B643="",$E643="",$M643=""),"",IF($E643&lt;$M643,0,NETWORKDAYS($M643,$E643,calendar!$A$2:$A$80)))</f>
        <v/>
      </c>
      <c r="O643" s="30" t="str">
        <f aca="false">IF($B643="","",IF(AND($K643="Y",OR($D643="later",$J643="Y")),"Y","N"))</f>
        <v/>
      </c>
      <c r="P643" s="30" t="str">
        <f aca="false">IF(OR($B643="",$E643=""),"",$B643&amp;"_"&amp;$C643&amp;"_"&amp;$D643&amp;"_"&amp;TEXT($E643,"yyyy-mm-dd")&amp;".jpg")</f>
        <v/>
      </c>
      <c r="Q643" s="30" t="str">
        <f aca="false">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30" t="str">
        <f aca="false">IF($B643="","",$B643&amp;"|"&amp;$C643&amp;"|"&amp;$D643&amp;"|"&amp;$O643)</f>
        <v/>
      </c>
      <c r="S643" s="30" t="str">
        <f aca="false">IF($B643="","",$R643&amp;"|"&amp;N($E643))</f>
        <v/>
      </c>
    </row>
    <row r="644" customFormat="false" ht="15" hidden="false" customHeight="false" outlineLevel="0" collapsed="false">
      <c r="D644" s="10"/>
      <c r="E644" s="11"/>
      <c r="F644" s="38"/>
      <c r="G644" s="10"/>
      <c r="I644" s="11"/>
      <c r="J644" s="10"/>
      <c r="K644" s="10"/>
      <c r="M644" s="31" t="str">
        <f aca="false">IF($B644="","",IFERROR(IF(INDEX(campaigns!$BG$2:$BG$51,MATCH($B644,campaigns!$A$2:$A$51,0))="","",INDEX(campaigns!$BG$2:$BG$51,MATCH($B644,campaigns!$A$2:$A$51,0))),""))</f>
        <v/>
      </c>
      <c r="N644" s="30" t="str">
        <f aca="false">IF(OR($B644="",$E644="",$M644=""),"",IF($E644&lt;$M644,0,NETWORKDAYS($M644,$E644,calendar!$A$2:$A$80)))</f>
        <v/>
      </c>
      <c r="O644" s="30" t="str">
        <f aca="false">IF($B644="","",IF(AND($K644="Y",OR($D644="later",$J644="Y")),"Y","N"))</f>
        <v/>
      </c>
      <c r="P644" s="30" t="str">
        <f aca="false">IF(OR($B644="",$E644=""),"",$B644&amp;"_"&amp;$C644&amp;"_"&amp;$D644&amp;"_"&amp;TEXT($E644,"yyyy-mm-dd")&amp;".jpg")</f>
        <v/>
      </c>
      <c r="Q644" s="30" t="str">
        <f aca="false">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30" t="str">
        <f aca="false">IF($B644="","",$B644&amp;"|"&amp;$C644&amp;"|"&amp;$D644&amp;"|"&amp;$O644)</f>
        <v/>
      </c>
      <c r="S644" s="30" t="str">
        <f aca="false">IF($B644="","",$R644&amp;"|"&amp;N($E644))</f>
        <v/>
      </c>
    </row>
    <row r="645" customFormat="false" ht="15" hidden="false" customHeight="false" outlineLevel="0" collapsed="false">
      <c r="D645" s="10"/>
      <c r="E645" s="11"/>
      <c r="F645" s="38"/>
      <c r="G645" s="10"/>
      <c r="I645" s="11"/>
      <c r="J645" s="10"/>
      <c r="K645" s="10"/>
      <c r="M645" s="31" t="str">
        <f aca="false">IF($B645="","",IFERROR(IF(INDEX(campaigns!$BG$2:$BG$51,MATCH($B645,campaigns!$A$2:$A$51,0))="","",INDEX(campaigns!$BG$2:$BG$51,MATCH($B645,campaigns!$A$2:$A$51,0))),""))</f>
        <v/>
      </c>
      <c r="N645" s="30" t="str">
        <f aca="false">IF(OR($B645="",$E645="",$M645=""),"",IF($E645&lt;$M645,0,NETWORKDAYS($M645,$E645,calendar!$A$2:$A$80)))</f>
        <v/>
      </c>
      <c r="O645" s="30" t="str">
        <f aca="false">IF($B645="","",IF(AND($K645="Y",OR($D645="later",$J645="Y")),"Y","N"))</f>
        <v/>
      </c>
      <c r="P645" s="30" t="str">
        <f aca="false">IF(OR($B645="",$E645=""),"",$B645&amp;"_"&amp;$C645&amp;"_"&amp;$D645&amp;"_"&amp;TEXT($E645,"yyyy-mm-dd")&amp;".jpg")</f>
        <v/>
      </c>
      <c r="Q645" s="30" t="str">
        <f aca="false">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30" t="str">
        <f aca="false">IF($B645="","",$B645&amp;"|"&amp;$C645&amp;"|"&amp;$D645&amp;"|"&amp;$O645)</f>
        <v/>
      </c>
      <c r="S645" s="30" t="str">
        <f aca="false">IF($B645="","",$R645&amp;"|"&amp;N($E645))</f>
        <v/>
      </c>
    </row>
    <row r="646" customFormat="false" ht="15" hidden="false" customHeight="false" outlineLevel="0" collapsed="false">
      <c r="D646" s="10"/>
      <c r="E646" s="11"/>
      <c r="F646" s="38"/>
      <c r="G646" s="10"/>
      <c r="I646" s="11"/>
      <c r="J646" s="10"/>
      <c r="K646" s="10"/>
      <c r="M646" s="31" t="str">
        <f aca="false">IF($B646="","",IFERROR(IF(INDEX(campaigns!$BG$2:$BG$51,MATCH($B646,campaigns!$A$2:$A$51,0))="","",INDEX(campaigns!$BG$2:$BG$51,MATCH($B646,campaigns!$A$2:$A$51,0))),""))</f>
        <v/>
      </c>
      <c r="N646" s="30" t="str">
        <f aca="false">IF(OR($B646="",$E646="",$M646=""),"",IF($E646&lt;$M646,0,NETWORKDAYS($M646,$E646,calendar!$A$2:$A$80)))</f>
        <v/>
      </c>
      <c r="O646" s="30" t="str">
        <f aca="false">IF($B646="","",IF(AND($K646="Y",OR($D646="later",$J646="Y")),"Y","N"))</f>
        <v/>
      </c>
      <c r="P646" s="30" t="str">
        <f aca="false">IF(OR($B646="",$E646=""),"",$B646&amp;"_"&amp;$C646&amp;"_"&amp;$D646&amp;"_"&amp;TEXT($E646,"yyyy-mm-dd")&amp;".jpg")</f>
        <v/>
      </c>
      <c r="Q646" s="30" t="str">
        <f aca="false">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30" t="str">
        <f aca="false">IF($B646="","",$B646&amp;"|"&amp;$C646&amp;"|"&amp;$D646&amp;"|"&amp;$O646)</f>
        <v/>
      </c>
      <c r="S646" s="30" t="str">
        <f aca="false">IF($B646="","",$R646&amp;"|"&amp;N($E646))</f>
        <v/>
      </c>
    </row>
    <row r="647" customFormat="false" ht="15" hidden="false" customHeight="false" outlineLevel="0" collapsed="false">
      <c r="D647" s="10"/>
      <c r="E647" s="11"/>
      <c r="F647" s="38"/>
      <c r="G647" s="10"/>
      <c r="I647" s="11"/>
      <c r="J647" s="10"/>
      <c r="K647" s="10"/>
      <c r="M647" s="31" t="str">
        <f aca="false">IF($B647="","",IFERROR(IF(INDEX(campaigns!$BG$2:$BG$51,MATCH($B647,campaigns!$A$2:$A$51,0))="","",INDEX(campaigns!$BG$2:$BG$51,MATCH($B647,campaigns!$A$2:$A$51,0))),""))</f>
        <v/>
      </c>
      <c r="N647" s="30" t="str">
        <f aca="false">IF(OR($B647="",$E647="",$M647=""),"",IF($E647&lt;$M647,0,NETWORKDAYS($M647,$E647,calendar!$A$2:$A$80)))</f>
        <v/>
      </c>
      <c r="O647" s="30" t="str">
        <f aca="false">IF($B647="","",IF(AND($K647="Y",OR($D647="later",$J647="Y")),"Y","N"))</f>
        <v/>
      </c>
      <c r="P647" s="30" t="str">
        <f aca="false">IF(OR($B647="",$E647=""),"",$B647&amp;"_"&amp;$C647&amp;"_"&amp;$D647&amp;"_"&amp;TEXT($E647,"yyyy-mm-dd")&amp;".jpg")</f>
        <v/>
      </c>
      <c r="Q647" s="30" t="str">
        <f aca="false">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30" t="str">
        <f aca="false">IF($B647="","",$B647&amp;"|"&amp;$C647&amp;"|"&amp;$D647&amp;"|"&amp;$O647)</f>
        <v/>
      </c>
      <c r="S647" s="30" t="str">
        <f aca="false">IF($B647="","",$R647&amp;"|"&amp;N($E647))</f>
        <v/>
      </c>
    </row>
    <row r="648" customFormat="false" ht="15" hidden="false" customHeight="false" outlineLevel="0" collapsed="false">
      <c r="D648" s="10"/>
      <c r="E648" s="11"/>
      <c r="F648" s="38"/>
      <c r="G648" s="10"/>
      <c r="I648" s="11"/>
      <c r="J648" s="10"/>
      <c r="K648" s="10"/>
      <c r="M648" s="31" t="str">
        <f aca="false">IF($B648="","",IFERROR(IF(INDEX(campaigns!$BG$2:$BG$51,MATCH($B648,campaigns!$A$2:$A$51,0))="","",INDEX(campaigns!$BG$2:$BG$51,MATCH($B648,campaigns!$A$2:$A$51,0))),""))</f>
        <v/>
      </c>
      <c r="N648" s="30" t="str">
        <f aca="false">IF(OR($B648="",$E648="",$M648=""),"",IF($E648&lt;$M648,0,NETWORKDAYS($M648,$E648,calendar!$A$2:$A$80)))</f>
        <v/>
      </c>
      <c r="O648" s="30" t="str">
        <f aca="false">IF($B648="","",IF(AND($K648="Y",OR($D648="later",$J648="Y")),"Y","N"))</f>
        <v/>
      </c>
      <c r="P648" s="30" t="str">
        <f aca="false">IF(OR($B648="",$E648=""),"",$B648&amp;"_"&amp;$C648&amp;"_"&amp;$D648&amp;"_"&amp;TEXT($E648,"yyyy-mm-dd")&amp;".jpg")</f>
        <v/>
      </c>
      <c r="Q648" s="30" t="str">
        <f aca="false">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30" t="str">
        <f aca="false">IF($B648="","",$B648&amp;"|"&amp;$C648&amp;"|"&amp;$D648&amp;"|"&amp;$O648)</f>
        <v/>
      </c>
      <c r="S648" s="30" t="str">
        <f aca="false">IF($B648="","",$R648&amp;"|"&amp;N($E648))</f>
        <v/>
      </c>
    </row>
    <row r="649" customFormat="false" ht="15" hidden="false" customHeight="false" outlineLevel="0" collapsed="false">
      <c r="D649" s="10"/>
      <c r="E649" s="11"/>
      <c r="F649" s="38"/>
      <c r="G649" s="10"/>
      <c r="I649" s="11"/>
      <c r="J649" s="10"/>
      <c r="K649" s="10"/>
      <c r="M649" s="31" t="str">
        <f aca="false">IF($B649="","",IFERROR(IF(INDEX(campaigns!$BG$2:$BG$51,MATCH($B649,campaigns!$A$2:$A$51,0))="","",INDEX(campaigns!$BG$2:$BG$51,MATCH($B649,campaigns!$A$2:$A$51,0))),""))</f>
        <v/>
      </c>
      <c r="N649" s="30" t="str">
        <f aca="false">IF(OR($B649="",$E649="",$M649=""),"",IF($E649&lt;$M649,0,NETWORKDAYS($M649,$E649,calendar!$A$2:$A$80)))</f>
        <v/>
      </c>
      <c r="O649" s="30" t="str">
        <f aca="false">IF($B649="","",IF(AND($K649="Y",OR($D649="later",$J649="Y")),"Y","N"))</f>
        <v/>
      </c>
      <c r="P649" s="30" t="str">
        <f aca="false">IF(OR($B649="",$E649=""),"",$B649&amp;"_"&amp;$C649&amp;"_"&amp;$D649&amp;"_"&amp;TEXT($E649,"yyyy-mm-dd")&amp;".jpg")</f>
        <v/>
      </c>
      <c r="Q649" s="30" t="str">
        <f aca="false">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30" t="str">
        <f aca="false">IF($B649="","",$B649&amp;"|"&amp;$C649&amp;"|"&amp;$D649&amp;"|"&amp;$O649)</f>
        <v/>
      </c>
      <c r="S649" s="30" t="str">
        <f aca="false">IF($B649="","",$R649&amp;"|"&amp;N($E649))</f>
        <v/>
      </c>
    </row>
    <row r="650" customFormat="false" ht="15" hidden="false" customHeight="false" outlineLevel="0" collapsed="false">
      <c r="D650" s="10"/>
      <c r="E650" s="11"/>
      <c r="F650" s="38"/>
      <c r="G650" s="10"/>
      <c r="I650" s="11"/>
      <c r="J650" s="10"/>
      <c r="K650" s="10"/>
      <c r="M650" s="31" t="str">
        <f aca="false">IF($B650="","",IFERROR(IF(INDEX(campaigns!$BG$2:$BG$51,MATCH($B650,campaigns!$A$2:$A$51,0))="","",INDEX(campaigns!$BG$2:$BG$51,MATCH($B650,campaigns!$A$2:$A$51,0))),""))</f>
        <v/>
      </c>
      <c r="N650" s="30" t="str">
        <f aca="false">IF(OR($B650="",$E650="",$M650=""),"",IF($E650&lt;$M650,0,NETWORKDAYS($M650,$E650,calendar!$A$2:$A$80)))</f>
        <v/>
      </c>
      <c r="O650" s="30" t="str">
        <f aca="false">IF($B650="","",IF(AND($K650="Y",OR($D650="later",$J650="Y")),"Y","N"))</f>
        <v/>
      </c>
      <c r="P650" s="30" t="str">
        <f aca="false">IF(OR($B650="",$E650=""),"",$B650&amp;"_"&amp;$C650&amp;"_"&amp;$D650&amp;"_"&amp;TEXT($E650,"yyyy-mm-dd")&amp;".jpg")</f>
        <v/>
      </c>
      <c r="Q650" s="30" t="str">
        <f aca="false">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30" t="str">
        <f aca="false">IF($B650="","",$B650&amp;"|"&amp;$C650&amp;"|"&amp;$D650&amp;"|"&amp;$O650)</f>
        <v/>
      </c>
      <c r="S650" s="30" t="str">
        <f aca="false">IF($B650="","",$R650&amp;"|"&amp;N($E650))</f>
        <v/>
      </c>
    </row>
    <row r="651" customFormat="false" ht="15" hidden="false" customHeight="false" outlineLevel="0" collapsed="false">
      <c r="D651" s="10"/>
      <c r="E651" s="11"/>
      <c r="F651" s="38"/>
      <c r="G651" s="10"/>
      <c r="I651" s="11"/>
      <c r="J651" s="10"/>
      <c r="K651" s="10"/>
      <c r="M651" s="31" t="str">
        <f aca="false">IF($B651="","",IFERROR(IF(INDEX(campaigns!$BG$2:$BG$51,MATCH($B651,campaigns!$A$2:$A$51,0))="","",INDEX(campaigns!$BG$2:$BG$51,MATCH($B651,campaigns!$A$2:$A$51,0))),""))</f>
        <v/>
      </c>
      <c r="N651" s="30" t="str">
        <f aca="false">IF(OR($B651="",$E651="",$M651=""),"",IF($E651&lt;$M651,0,NETWORKDAYS($M651,$E651,calendar!$A$2:$A$80)))</f>
        <v/>
      </c>
      <c r="O651" s="30" t="str">
        <f aca="false">IF($B651="","",IF(AND($K651="Y",OR($D651="later",$J651="Y")),"Y","N"))</f>
        <v/>
      </c>
      <c r="P651" s="30" t="str">
        <f aca="false">IF(OR($B651="",$E651=""),"",$B651&amp;"_"&amp;$C651&amp;"_"&amp;$D651&amp;"_"&amp;TEXT($E651,"yyyy-mm-dd")&amp;".jpg")</f>
        <v/>
      </c>
      <c r="Q651" s="30" t="str">
        <f aca="false">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30" t="str">
        <f aca="false">IF($B651="","",$B651&amp;"|"&amp;$C651&amp;"|"&amp;$D651&amp;"|"&amp;$O651)</f>
        <v/>
      </c>
      <c r="S651" s="30" t="str">
        <f aca="false">IF($B651="","",$R651&amp;"|"&amp;N($E651))</f>
        <v/>
      </c>
    </row>
    <row r="652" customFormat="false" ht="15" hidden="false" customHeight="false" outlineLevel="0" collapsed="false">
      <c r="D652" s="10"/>
      <c r="E652" s="11"/>
      <c r="F652" s="38"/>
      <c r="G652" s="10"/>
      <c r="I652" s="11"/>
      <c r="J652" s="10"/>
      <c r="K652" s="10"/>
      <c r="M652" s="31" t="str">
        <f aca="false">IF($B652="","",IFERROR(IF(INDEX(campaigns!$BG$2:$BG$51,MATCH($B652,campaigns!$A$2:$A$51,0))="","",INDEX(campaigns!$BG$2:$BG$51,MATCH($B652,campaigns!$A$2:$A$51,0))),""))</f>
        <v/>
      </c>
      <c r="N652" s="30" t="str">
        <f aca="false">IF(OR($B652="",$E652="",$M652=""),"",IF($E652&lt;$M652,0,NETWORKDAYS($M652,$E652,calendar!$A$2:$A$80)))</f>
        <v/>
      </c>
      <c r="O652" s="30" t="str">
        <f aca="false">IF($B652="","",IF(AND($K652="Y",OR($D652="later",$J652="Y")),"Y","N"))</f>
        <v/>
      </c>
      <c r="P652" s="30" t="str">
        <f aca="false">IF(OR($B652="",$E652=""),"",$B652&amp;"_"&amp;$C652&amp;"_"&amp;$D652&amp;"_"&amp;TEXT($E652,"yyyy-mm-dd")&amp;".jpg")</f>
        <v/>
      </c>
      <c r="Q652" s="30" t="str">
        <f aca="false">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30" t="str">
        <f aca="false">IF($B652="","",$B652&amp;"|"&amp;$C652&amp;"|"&amp;$D652&amp;"|"&amp;$O652)</f>
        <v/>
      </c>
      <c r="S652" s="30" t="str">
        <f aca="false">IF($B652="","",$R652&amp;"|"&amp;N($E652))</f>
        <v/>
      </c>
    </row>
    <row r="653" customFormat="false" ht="15" hidden="false" customHeight="false" outlineLevel="0" collapsed="false">
      <c r="D653" s="10"/>
      <c r="E653" s="11"/>
      <c r="F653" s="38"/>
      <c r="G653" s="10"/>
      <c r="I653" s="11"/>
      <c r="J653" s="10"/>
      <c r="K653" s="10"/>
      <c r="M653" s="31" t="str">
        <f aca="false">IF($B653="","",IFERROR(IF(INDEX(campaigns!$BG$2:$BG$51,MATCH($B653,campaigns!$A$2:$A$51,0))="","",INDEX(campaigns!$BG$2:$BG$51,MATCH($B653,campaigns!$A$2:$A$51,0))),""))</f>
        <v/>
      </c>
      <c r="N653" s="30" t="str">
        <f aca="false">IF(OR($B653="",$E653="",$M653=""),"",IF($E653&lt;$M653,0,NETWORKDAYS($M653,$E653,calendar!$A$2:$A$80)))</f>
        <v/>
      </c>
      <c r="O653" s="30" t="str">
        <f aca="false">IF($B653="","",IF(AND($K653="Y",OR($D653="later",$J653="Y")),"Y","N"))</f>
        <v/>
      </c>
      <c r="P653" s="30" t="str">
        <f aca="false">IF(OR($B653="",$E653=""),"",$B653&amp;"_"&amp;$C653&amp;"_"&amp;$D653&amp;"_"&amp;TEXT($E653,"yyyy-mm-dd")&amp;".jpg")</f>
        <v/>
      </c>
      <c r="Q653" s="30" t="str">
        <f aca="false">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30" t="str">
        <f aca="false">IF($B653="","",$B653&amp;"|"&amp;$C653&amp;"|"&amp;$D653&amp;"|"&amp;$O653)</f>
        <v/>
      </c>
      <c r="S653" s="30" t="str">
        <f aca="false">IF($B653="","",$R653&amp;"|"&amp;N($E653))</f>
        <v/>
      </c>
    </row>
    <row r="654" customFormat="false" ht="15" hidden="false" customHeight="false" outlineLevel="0" collapsed="false">
      <c r="D654" s="10"/>
      <c r="E654" s="11"/>
      <c r="F654" s="38"/>
      <c r="G654" s="10"/>
      <c r="I654" s="11"/>
      <c r="J654" s="10"/>
      <c r="K654" s="10"/>
      <c r="M654" s="31" t="str">
        <f aca="false">IF($B654="","",IFERROR(IF(INDEX(campaigns!$BG$2:$BG$51,MATCH($B654,campaigns!$A$2:$A$51,0))="","",INDEX(campaigns!$BG$2:$BG$51,MATCH($B654,campaigns!$A$2:$A$51,0))),""))</f>
        <v/>
      </c>
      <c r="N654" s="30" t="str">
        <f aca="false">IF(OR($B654="",$E654="",$M654=""),"",IF($E654&lt;$M654,0,NETWORKDAYS($M654,$E654,calendar!$A$2:$A$80)))</f>
        <v/>
      </c>
      <c r="O654" s="30" t="str">
        <f aca="false">IF($B654="","",IF(AND($K654="Y",OR($D654="later",$J654="Y")),"Y","N"))</f>
        <v/>
      </c>
      <c r="P654" s="30" t="str">
        <f aca="false">IF(OR($B654="",$E654=""),"",$B654&amp;"_"&amp;$C654&amp;"_"&amp;$D654&amp;"_"&amp;TEXT($E654,"yyyy-mm-dd")&amp;".jpg")</f>
        <v/>
      </c>
      <c r="Q654" s="30" t="str">
        <f aca="false">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30" t="str">
        <f aca="false">IF($B654="","",$B654&amp;"|"&amp;$C654&amp;"|"&amp;$D654&amp;"|"&amp;$O654)</f>
        <v/>
      </c>
      <c r="S654" s="30" t="str">
        <f aca="false">IF($B654="","",$R654&amp;"|"&amp;N($E654))</f>
        <v/>
      </c>
    </row>
    <row r="655" customFormat="false" ht="15" hidden="false" customHeight="false" outlineLevel="0" collapsed="false">
      <c r="D655" s="10"/>
      <c r="E655" s="11"/>
      <c r="F655" s="38"/>
      <c r="G655" s="10"/>
      <c r="I655" s="11"/>
      <c r="J655" s="10"/>
      <c r="K655" s="10"/>
      <c r="M655" s="31" t="str">
        <f aca="false">IF($B655="","",IFERROR(IF(INDEX(campaigns!$BG$2:$BG$51,MATCH($B655,campaigns!$A$2:$A$51,0))="","",INDEX(campaigns!$BG$2:$BG$51,MATCH($B655,campaigns!$A$2:$A$51,0))),""))</f>
        <v/>
      </c>
      <c r="N655" s="30" t="str">
        <f aca="false">IF(OR($B655="",$E655="",$M655=""),"",IF($E655&lt;$M655,0,NETWORKDAYS($M655,$E655,calendar!$A$2:$A$80)))</f>
        <v/>
      </c>
      <c r="O655" s="30" t="str">
        <f aca="false">IF($B655="","",IF(AND($K655="Y",OR($D655="later",$J655="Y")),"Y","N"))</f>
        <v/>
      </c>
      <c r="P655" s="30" t="str">
        <f aca="false">IF(OR($B655="",$E655=""),"",$B655&amp;"_"&amp;$C655&amp;"_"&amp;$D655&amp;"_"&amp;TEXT($E655,"yyyy-mm-dd")&amp;".jpg")</f>
        <v/>
      </c>
      <c r="Q655" s="30" t="str">
        <f aca="false">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30" t="str">
        <f aca="false">IF($B655="","",$B655&amp;"|"&amp;$C655&amp;"|"&amp;$D655&amp;"|"&amp;$O655)</f>
        <v/>
      </c>
      <c r="S655" s="30" t="str">
        <f aca="false">IF($B655="","",$R655&amp;"|"&amp;N($E655))</f>
        <v/>
      </c>
    </row>
    <row r="656" customFormat="false" ht="15" hidden="false" customHeight="false" outlineLevel="0" collapsed="false">
      <c r="D656" s="10"/>
      <c r="E656" s="11"/>
      <c r="F656" s="38"/>
      <c r="G656" s="10"/>
      <c r="I656" s="11"/>
      <c r="J656" s="10"/>
      <c r="K656" s="10"/>
      <c r="M656" s="31" t="str">
        <f aca="false">IF($B656="","",IFERROR(IF(INDEX(campaigns!$BG$2:$BG$51,MATCH($B656,campaigns!$A$2:$A$51,0))="","",INDEX(campaigns!$BG$2:$BG$51,MATCH($B656,campaigns!$A$2:$A$51,0))),""))</f>
        <v/>
      </c>
      <c r="N656" s="30" t="str">
        <f aca="false">IF(OR($B656="",$E656="",$M656=""),"",IF($E656&lt;$M656,0,NETWORKDAYS($M656,$E656,calendar!$A$2:$A$80)))</f>
        <v/>
      </c>
      <c r="O656" s="30" t="str">
        <f aca="false">IF($B656="","",IF(AND($K656="Y",OR($D656="later",$J656="Y")),"Y","N"))</f>
        <v/>
      </c>
      <c r="P656" s="30" t="str">
        <f aca="false">IF(OR($B656="",$E656=""),"",$B656&amp;"_"&amp;$C656&amp;"_"&amp;$D656&amp;"_"&amp;TEXT($E656,"yyyy-mm-dd")&amp;".jpg")</f>
        <v/>
      </c>
      <c r="Q656" s="30" t="str">
        <f aca="false">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30" t="str">
        <f aca="false">IF($B656="","",$B656&amp;"|"&amp;$C656&amp;"|"&amp;$D656&amp;"|"&amp;$O656)</f>
        <v/>
      </c>
      <c r="S656" s="30" t="str">
        <f aca="false">IF($B656="","",$R656&amp;"|"&amp;N($E656))</f>
        <v/>
      </c>
    </row>
    <row r="657" customFormat="false" ht="15" hidden="false" customHeight="false" outlineLevel="0" collapsed="false">
      <c r="D657" s="10"/>
      <c r="E657" s="11"/>
      <c r="F657" s="38"/>
      <c r="G657" s="10"/>
      <c r="I657" s="11"/>
      <c r="J657" s="10"/>
      <c r="K657" s="10"/>
      <c r="M657" s="31" t="str">
        <f aca="false">IF($B657="","",IFERROR(IF(INDEX(campaigns!$BG$2:$BG$51,MATCH($B657,campaigns!$A$2:$A$51,0))="","",INDEX(campaigns!$BG$2:$BG$51,MATCH($B657,campaigns!$A$2:$A$51,0))),""))</f>
        <v/>
      </c>
      <c r="N657" s="30" t="str">
        <f aca="false">IF(OR($B657="",$E657="",$M657=""),"",IF($E657&lt;$M657,0,NETWORKDAYS($M657,$E657,calendar!$A$2:$A$80)))</f>
        <v/>
      </c>
      <c r="O657" s="30" t="str">
        <f aca="false">IF($B657="","",IF(AND($K657="Y",OR($D657="later",$J657="Y")),"Y","N"))</f>
        <v/>
      </c>
      <c r="P657" s="30" t="str">
        <f aca="false">IF(OR($B657="",$E657=""),"",$B657&amp;"_"&amp;$C657&amp;"_"&amp;$D657&amp;"_"&amp;TEXT($E657,"yyyy-mm-dd")&amp;".jpg")</f>
        <v/>
      </c>
      <c r="Q657" s="30" t="str">
        <f aca="false">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30" t="str">
        <f aca="false">IF($B657="","",$B657&amp;"|"&amp;$C657&amp;"|"&amp;$D657&amp;"|"&amp;$O657)</f>
        <v/>
      </c>
      <c r="S657" s="30" t="str">
        <f aca="false">IF($B657="","",$R657&amp;"|"&amp;N($E657))</f>
        <v/>
      </c>
    </row>
    <row r="658" customFormat="false" ht="15" hidden="false" customHeight="false" outlineLevel="0" collapsed="false">
      <c r="D658" s="10"/>
      <c r="E658" s="11"/>
      <c r="F658" s="38"/>
      <c r="G658" s="10"/>
      <c r="I658" s="11"/>
      <c r="J658" s="10"/>
      <c r="K658" s="10"/>
      <c r="M658" s="31" t="str">
        <f aca="false">IF($B658="","",IFERROR(IF(INDEX(campaigns!$BG$2:$BG$51,MATCH($B658,campaigns!$A$2:$A$51,0))="","",INDEX(campaigns!$BG$2:$BG$51,MATCH($B658,campaigns!$A$2:$A$51,0))),""))</f>
        <v/>
      </c>
      <c r="N658" s="30" t="str">
        <f aca="false">IF(OR($B658="",$E658="",$M658=""),"",IF($E658&lt;$M658,0,NETWORKDAYS($M658,$E658,calendar!$A$2:$A$80)))</f>
        <v/>
      </c>
      <c r="O658" s="30" t="str">
        <f aca="false">IF($B658="","",IF(AND($K658="Y",OR($D658="later",$J658="Y")),"Y","N"))</f>
        <v/>
      </c>
      <c r="P658" s="30" t="str">
        <f aca="false">IF(OR($B658="",$E658=""),"",$B658&amp;"_"&amp;$C658&amp;"_"&amp;$D658&amp;"_"&amp;TEXT($E658,"yyyy-mm-dd")&amp;".jpg")</f>
        <v/>
      </c>
      <c r="Q658" s="30" t="str">
        <f aca="false">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30" t="str">
        <f aca="false">IF($B658="","",$B658&amp;"|"&amp;$C658&amp;"|"&amp;$D658&amp;"|"&amp;$O658)</f>
        <v/>
      </c>
      <c r="S658" s="30" t="str">
        <f aca="false">IF($B658="","",$R658&amp;"|"&amp;N($E658))</f>
        <v/>
      </c>
    </row>
    <row r="659" customFormat="false" ht="15" hidden="false" customHeight="false" outlineLevel="0" collapsed="false">
      <c r="D659" s="10"/>
      <c r="E659" s="11"/>
      <c r="F659" s="38"/>
      <c r="G659" s="10"/>
      <c r="I659" s="11"/>
      <c r="J659" s="10"/>
      <c r="K659" s="10"/>
      <c r="M659" s="31" t="str">
        <f aca="false">IF($B659="","",IFERROR(IF(INDEX(campaigns!$BG$2:$BG$51,MATCH($B659,campaigns!$A$2:$A$51,0))="","",INDEX(campaigns!$BG$2:$BG$51,MATCH($B659,campaigns!$A$2:$A$51,0))),""))</f>
        <v/>
      </c>
      <c r="N659" s="30" t="str">
        <f aca="false">IF(OR($B659="",$E659="",$M659=""),"",IF($E659&lt;$M659,0,NETWORKDAYS($M659,$E659,calendar!$A$2:$A$80)))</f>
        <v/>
      </c>
      <c r="O659" s="30" t="str">
        <f aca="false">IF($B659="","",IF(AND($K659="Y",OR($D659="later",$J659="Y")),"Y","N"))</f>
        <v/>
      </c>
      <c r="P659" s="30" t="str">
        <f aca="false">IF(OR($B659="",$E659=""),"",$B659&amp;"_"&amp;$C659&amp;"_"&amp;$D659&amp;"_"&amp;TEXT($E659,"yyyy-mm-dd")&amp;".jpg")</f>
        <v/>
      </c>
      <c r="Q659" s="30" t="str">
        <f aca="false">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30" t="str">
        <f aca="false">IF($B659="","",$B659&amp;"|"&amp;$C659&amp;"|"&amp;$D659&amp;"|"&amp;$O659)</f>
        <v/>
      </c>
      <c r="S659" s="30" t="str">
        <f aca="false">IF($B659="","",$R659&amp;"|"&amp;N($E659))</f>
        <v/>
      </c>
    </row>
    <row r="660" customFormat="false" ht="15" hidden="false" customHeight="false" outlineLevel="0" collapsed="false">
      <c r="D660" s="10"/>
      <c r="E660" s="11"/>
      <c r="F660" s="38"/>
      <c r="G660" s="10"/>
      <c r="I660" s="11"/>
      <c r="J660" s="10"/>
      <c r="K660" s="10"/>
      <c r="M660" s="31" t="str">
        <f aca="false">IF($B660="","",IFERROR(IF(INDEX(campaigns!$BG$2:$BG$51,MATCH($B660,campaigns!$A$2:$A$51,0))="","",INDEX(campaigns!$BG$2:$BG$51,MATCH($B660,campaigns!$A$2:$A$51,0))),""))</f>
        <v/>
      </c>
      <c r="N660" s="30" t="str">
        <f aca="false">IF(OR($B660="",$E660="",$M660=""),"",IF($E660&lt;$M660,0,NETWORKDAYS($M660,$E660,calendar!$A$2:$A$80)))</f>
        <v/>
      </c>
      <c r="O660" s="30" t="str">
        <f aca="false">IF($B660="","",IF(AND($K660="Y",OR($D660="later",$J660="Y")),"Y","N"))</f>
        <v/>
      </c>
      <c r="P660" s="30" t="str">
        <f aca="false">IF(OR($B660="",$E660=""),"",$B660&amp;"_"&amp;$C660&amp;"_"&amp;$D660&amp;"_"&amp;TEXT($E660,"yyyy-mm-dd")&amp;".jpg")</f>
        <v/>
      </c>
      <c r="Q660" s="30" t="str">
        <f aca="false">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30" t="str">
        <f aca="false">IF($B660="","",$B660&amp;"|"&amp;$C660&amp;"|"&amp;$D660&amp;"|"&amp;$O660)</f>
        <v/>
      </c>
      <c r="S660" s="30" t="str">
        <f aca="false">IF($B660="","",$R660&amp;"|"&amp;N($E660))</f>
        <v/>
      </c>
    </row>
    <row r="661" customFormat="false" ht="15" hidden="false" customHeight="false" outlineLevel="0" collapsed="false">
      <c r="D661" s="10"/>
      <c r="E661" s="11"/>
      <c r="F661" s="38"/>
      <c r="G661" s="10"/>
      <c r="I661" s="11"/>
      <c r="J661" s="10"/>
      <c r="K661" s="10"/>
      <c r="M661" s="31" t="str">
        <f aca="false">IF($B661="","",IFERROR(IF(INDEX(campaigns!$BG$2:$BG$51,MATCH($B661,campaigns!$A$2:$A$51,0))="","",INDEX(campaigns!$BG$2:$BG$51,MATCH($B661,campaigns!$A$2:$A$51,0))),""))</f>
        <v/>
      </c>
      <c r="N661" s="30" t="str">
        <f aca="false">IF(OR($B661="",$E661="",$M661=""),"",IF($E661&lt;$M661,0,NETWORKDAYS($M661,$E661,calendar!$A$2:$A$80)))</f>
        <v/>
      </c>
      <c r="O661" s="30" t="str">
        <f aca="false">IF($B661="","",IF(AND($K661="Y",OR($D661="later",$J661="Y")),"Y","N"))</f>
        <v/>
      </c>
      <c r="P661" s="30" t="str">
        <f aca="false">IF(OR($B661="",$E661=""),"",$B661&amp;"_"&amp;$C661&amp;"_"&amp;$D661&amp;"_"&amp;TEXT($E661,"yyyy-mm-dd")&amp;".jpg")</f>
        <v/>
      </c>
      <c r="Q661" s="30" t="str">
        <f aca="false">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30" t="str">
        <f aca="false">IF($B661="","",$B661&amp;"|"&amp;$C661&amp;"|"&amp;$D661&amp;"|"&amp;$O661)</f>
        <v/>
      </c>
      <c r="S661" s="30" t="str">
        <f aca="false">IF($B661="","",$R661&amp;"|"&amp;N($E661))</f>
        <v/>
      </c>
    </row>
    <row r="662" customFormat="false" ht="15" hidden="false" customHeight="false" outlineLevel="0" collapsed="false">
      <c r="D662" s="10"/>
      <c r="E662" s="11"/>
      <c r="F662" s="38"/>
      <c r="G662" s="10"/>
      <c r="I662" s="11"/>
      <c r="J662" s="10"/>
      <c r="K662" s="10"/>
      <c r="M662" s="31" t="str">
        <f aca="false">IF($B662="","",IFERROR(IF(INDEX(campaigns!$BG$2:$BG$51,MATCH($B662,campaigns!$A$2:$A$51,0))="","",INDEX(campaigns!$BG$2:$BG$51,MATCH($B662,campaigns!$A$2:$A$51,0))),""))</f>
        <v/>
      </c>
      <c r="N662" s="30" t="str">
        <f aca="false">IF(OR($B662="",$E662="",$M662=""),"",IF($E662&lt;$M662,0,NETWORKDAYS($M662,$E662,calendar!$A$2:$A$80)))</f>
        <v/>
      </c>
      <c r="O662" s="30" t="str">
        <f aca="false">IF($B662="","",IF(AND($K662="Y",OR($D662="later",$J662="Y")),"Y","N"))</f>
        <v/>
      </c>
      <c r="P662" s="30" t="str">
        <f aca="false">IF(OR($B662="",$E662=""),"",$B662&amp;"_"&amp;$C662&amp;"_"&amp;$D662&amp;"_"&amp;TEXT($E662,"yyyy-mm-dd")&amp;".jpg")</f>
        <v/>
      </c>
      <c r="Q662" s="30" t="str">
        <f aca="false">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30" t="str">
        <f aca="false">IF($B662="","",$B662&amp;"|"&amp;$C662&amp;"|"&amp;$D662&amp;"|"&amp;$O662)</f>
        <v/>
      </c>
      <c r="S662" s="30" t="str">
        <f aca="false">IF($B662="","",$R662&amp;"|"&amp;N($E662))</f>
        <v/>
      </c>
    </row>
    <row r="663" customFormat="false" ht="15" hidden="false" customHeight="false" outlineLevel="0" collapsed="false">
      <c r="D663" s="10"/>
      <c r="E663" s="11"/>
      <c r="F663" s="38"/>
      <c r="G663" s="10"/>
      <c r="I663" s="11"/>
      <c r="J663" s="10"/>
      <c r="K663" s="10"/>
      <c r="M663" s="31" t="str">
        <f aca="false">IF($B663="","",IFERROR(IF(INDEX(campaigns!$BG$2:$BG$51,MATCH($B663,campaigns!$A$2:$A$51,0))="","",INDEX(campaigns!$BG$2:$BG$51,MATCH($B663,campaigns!$A$2:$A$51,0))),""))</f>
        <v/>
      </c>
      <c r="N663" s="30" t="str">
        <f aca="false">IF(OR($B663="",$E663="",$M663=""),"",IF($E663&lt;$M663,0,NETWORKDAYS($M663,$E663,calendar!$A$2:$A$80)))</f>
        <v/>
      </c>
      <c r="O663" s="30" t="str">
        <f aca="false">IF($B663="","",IF(AND($K663="Y",OR($D663="later",$J663="Y")),"Y","N"))</f>
        <v/>
      </c>
      <c r="P663" s="30" t="str">
        <f aca="false">IF(OR($B663="",$E663=""),"",$B663&amp;"_"&amp;$C663&amp;"_"&amp;$D663&amp;"_"&amp;TEXT($E663,"yyyy-mm-dd")&amp;".jpg")</f>
        <v/>
      </c>
      <c r="Q663" s="30" t="str">
        <f aca="false">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30" t="str">
        <f aca="false">IF($B663="","",$B663&amp;"|"&amp;$C663&amp;"|"&amp;$D663&amp;"|"&amp;$O663)</f>
        <v/>
      </c>
      <c r="S663" s="30" t="str">
        <f aca="false">IF($B663="","",$R663&amp;"|"&amp;N($E663))</f>
        <v/>
      </c>
    </row>
    <row r="664" customFormat="false" ht="15" hidden="false" customHeight="false" outlineLevel="0" collapsed="false">
      <c r="D664" s="10"/>
      <c r="E664" s="11"/>
      <c r="F664" s="38"/>
      <c r="G664" s="10"/>
      <c r="I664" s="11"/>
      <c r="J664" s="10"/>
      <c r="K664" s="10"/>
      <c r="M664" s="31" t="str">
        <f aca="false">IF($B664="","",IFERROR(IF(INDEX(campaigns!$BG$2:$BG$51,MATCH($B664,campaigns!$A$2:$A$51,0))="","",INDEX(campaigns!$BG$2:$BG$51,MATCH($B664,campaigns!$A$2:$A$51,0))),""))</f>
        <v/>
      </c>
      <c r="N664" s="30" t="str">
        <f aca="false">IF(OR($B664="",$E664="",$M664=""),"",IF($E664&lt;$M664,0,NETWORKDAYS($M664,$E664,calendar!$A$2:$A$80)))</f>
        <v/>
      </c>
      <c r="O664" s="30" t="str">
        <f aca="false">IF($B664="","",IF(AND($K664="Y",OR($D664="later",$J664="Y")),"Y","N"))</f>
        <v/>
      </c>
      <c r="P664" s="30" t="str">
        <f aca="false">IF(OR($B664="",$E664=""),"",$B664&amp;"_"&amp;$C664&amp;"_"&amp;$D664&amp;"_"&amp;TEXT($E664,"yyyy-mm-dd")&amp;".jpg")</f>
        <v/>
      </c>
      <c r="Q664" s="30" t="str">
        <f aca="false">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30" t="str">
        <f aca="false">IF($B664="","",$B664&amp;"|"&amp;$C664&amp;"|"&amp;$D664&amp;"|"&amp;$O664)</f>
        <v/>
      </c>
      <c r="S664" s="30" t="str">
        <f aca="false">IF($B664="","",$R664&amp;"|"&amp;N($E664))</f>
        <v/>
      </c>
    </row>
    <row r="665" customFormat="false" ht="15" hidden="false" customHeight="false" outlineLevel="0" collapsed="false">
      <c r="D665" s="10"/>
      <c r="E665" s="11"/>
      <c r="F665" s="38"/>
      <c r="G665" s="10"/>
      <c r="I665" s="11"/>
      <c r="J665" s="10"/>
      <c r="K665" s="10"/>
      <c r="M665" s="31" t="str">
        <f aca="false">IF($B665="","",IFERROR(IF(INDEX(campaigns!$BG$2:$BG$51,MATCH($B665,campaigns!$A$2:$A$51,0))="","",INDEX(campaigns!$BG$2:$BG$51,MATCH($B665,campaigns!$A$2:$A$51,0))),""))</f>
        <v/>
      </c>
      <c r="N665" s="30" t="str">
        <f aca="false">IF(OR($B665="",$E665="",$M665=""),"",IF($E665&lt;$M665,0,NETWORKDAYS($M665,$E665,calendar!$A$2:$A$80)))</f>
        <v/>
      </c>
      <c r="O665" s="30" t="str">
        <f aca="false">IF($B665="","",IF(AND($K665="Y",OR($D665="later",$J665="Y")),"Y","N"))</f>
        <v/>
      </c>
      <c r="P665" s="30" t="str">
        <f aca="false">IF(OR($B665="",$E665=""),"",$B665&amp;"_"&amp;$C665&amp;"_"&amp;$D665&amp;"_"&amp;TEXT($E665,"yyyy-mm-dd")&amp;".jpg")</f>
        <v/>
      </c>
      <c r="Q665" s="30" t="str">
        <f aca="false">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30" t="str">
        <f aca="false">IF($B665="","",$B665&amp;"|"&amp;$C665&amp;"|"&amp;$D665&amp;"|"&amp;$O665)</f>
        <v/>
      </c>
      <c r="S665" s="30" t="str">
        <f aca="false">IF($B665="","",$R665&amp;"|"&amp;N($E665))</f>
        <v/>
      </c>
    </row>
    <row r="666" customFormat="false" ht="15" hidden="false" customHeight="false" outlineLevel="0" collapsed="false">
      <c r="D666" s="10"/>
      <c r="E666" s="11"/>
      <c r="F666" s="38"/>
      <c r="G666" s="10"/>
      <c r="I666" s="11"/>
      <c r="J666" s="10"/>
      <c r="K666" s="10"/>
      <c r="M666" s="31" t="str">
        <f aca="false">IF($B666="","",IFERROR(IF(INDEX(campaigns!$BG$2:$BG$51,MATCH($B666,campaigns!$A$2:$A$51,0))="","",INDEX(campaigns!$BG$2:$BG$51,MATCH($B666,campaigns!$A$2:$A$51,0))),""))</f>
        <v/>
      </c>
      <c r="N666" s="30" t="str">
        <f aca="false">IF(OR($B666="",$E666="",$M666=""),"",IF($E666&lt;$M666,0,NETWORKDAYS($M666,$E666,calendar!$A$2:$A$80)))</f>
        <v/>
      </c>
      <c r="O666" s="30" t="str">
        <f aca="false">IF($B666="","",IF(AND($K666="Y",OR($D666="later",$J666="Y")),"Y","N"))</f>
        <v/>
      </c>
      <c r="P666" s="30" t="str">
        <f aca="false">IF(OR($B666="",$E666=""),"",$B666&amp;"_"&amp;$C666&amp;"_"&amp;$D666&amp;"_"&amp;TEXT($E666,"yyyy-mm-dd")&amp;".jpg")</f>
        <v/>
      </c>
      <c r="Q666" s="30" t="str">
        <f aca="false">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30" t="str">
        <f aca="false">IF($B666="","",$B666&amp;"|"&amp;$C666&amp;"|"&amp;$D666&amp;"|"&amp;$O666)</f>
        <v/>
      </c>
      <c r="S666" s="30" t="str">
        <f aca="false">IF($B666="","",$R666&amp;"|"&amp;N($E666))</f>
        <v/>
      </c>
    </row>
    <row r="667" customFormat="false" ht="15" hidden="false" customHeight="false" outlineLevel="0" collapsed="false">
      <c r="D667" s="10"/>
      <c r="E667" s="11"/>
      <c r="F667" s="38"/>
      <c r="G667" s="10"/>
      <c r="I667" s="11"/>
      <c r="J667" s="10"/>
      <c r="K667" s="10"/>
      <c r="M667" s="31" t="str">
        <f aca="false">IF($B667="","",IFERROR(IF(INDEX(campaigns!$BG$2:$BG$51,MATCH($B667,campaigns!$A$2:$A$51,0))="","",INDEX(campaigns!$BG$2:$BG$51,MATCH($B667,campaigns!$A$2:$A$51,0))),""))</f>
        <v/>
      </c>
      <c r="N667" s="30" t="str">
        <f aca="false">IF(OR($B667="",$E667="",$M667=""),"",IF($E667&lt;$M667,0,NETWORKDAYS($M667,$E667,calendar!$A$2:$A$80)))</f>
        <v/>
      </c>
      <c r="O667" s="30" t="str">
        <f aca="false">IF($B667="","",IF(AND($K667="Y",OR($D667="later",$J667="Y")),"Y","N"))</f>
        <v/>
      </c>
      <c r="P667" s="30" t="str">
        <f aca="false">IF(OR($B667="",$E667=""),"",$B667&amp;"_"&amp;$C667&amp;"_"&amp;$D667&amp;"_"&amp;TEXT($E667,"yyyy-mm-dd")&amp;".jpg")</f>
        <v/>
      </c>
      <c r="Q667" s="30" t="str">
        <f aca="false">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30" t="str">
        <f aca="false">IF($B667="","",$B667&amp;"|"&amp;$C667&amp;"|"&amp;$D667&amp;"|"&amp;$O667)</f>
        <v/>
      </c>
      <c r="S667" s="30" t="str">
        <f aca="false">IF($B667="","",$R667&amp;"|"&amp;N($E667))</f>
        <v/>
      </c>
    </row>
    <row r="668" customFormat="false" ht="15" hidden="false" customHeight="false" outlineLevel="0" collapsed="false">
      <c r="D668" s="10"/>
      <c r="E668" s="11"/>
      <c r="F668" s="38"/>
      <c r="G668" s="10"/>
      <c r="I668" s="11"/>
      <c r="J668" s="10"/>
      <c r="K668" s="10"/>
      <c r="M668" s="31" t="str">
        <f aca="false">IF($B668="","",IFERROR(IF(INDEX(campaigns!$BG$2:$BG$51,MATCH($B668,campaigns!$A$2:$A$51,0))="","",INDEX(campaigns!$BG$2:$BG$51,MATCH($B668,campaigns!$A$2:$A$51,0))),""))</f>
        <v/>
      </c>
      <c r="N668" s="30" t="str">
        <f aca="false">IF(OR($B668="",$E668="",$M668=""),"",IF($E668&lt;$M668,0,NETWORKDAYS($M668,$E668,calendar!$A$2:$A$80)))</f>
        <v/>
      </c>
      <c r="O668" s="30" t="str">
        <f aca="false">IF($B668="","",IF(AND($K668="Y",OR($D668="later",$J668="Y")),"Y","N"))</f>
        <v/>
      </c>
      <c r="P668" s="30" t="str">
        <f aca="false">IF(OR($B668="",$E668=""),"",$B668&amp;"_"&amp;$C668&amp;"_"&amp;$D668&amp;"_"&amp;TEXT($E668,"yyyy-mm-dd")&amp;".jpg")</f>
        <v/>
      </c>
      <c r="Q668" s="30" t="str">
        <f aca="false">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30" t="str">
        <f aca="false">IF($B668="","",$B668&amp;"|"&amp;$C668&amp;"|"&amp;$D668&amp;"|"&amp;$O668)</f>
        <v/>
      </c>
      <c r="S668" s="30" t="str">
        <f aca="false">IF($B668="","",$R668&amp;"|"&amp;N($E668))</f>
        <v/>
      </c>
    </row>
    <row r="669" customFormat="false" ht="15" hidden="false" customHeight="false" outlineLevel="0" collapsed="false">
      <c r="D669" s="10"/>
      <c r="E669" s="11"/>
      <c r="F669" s="38"/>
      <c r="G669" s="10"/>
      <c r="I669" s="11"/>
      <c r="J669" s="10"/>
      <c r="K669" s="10"/>
      <c r="M669" s="31" t="str">
        <f aca="false">IF($B669="","",IFERROR(IF(INDEX(campaigns!$BG$2:$BG$51,MATCH($B669,campaigns!$A$2:$A$51,0))="","",INDEX(campaigns!$BG$2:$BG$51,MATCH($B669,campaigns!$A$2:$A$51,0))),""))</f>
        <v/>
      </c>
      <c r="N669" s="30" t="str">
        <f aca="false">IF(OR($B669="",$E669="",$M669=""),"",IF($E669&lt;$M669,0,NETWORKDAYS($M669,$E669,calendar!$A$2:$A$80)))</f>
        <v/>
      </c>
      <c r="O669" s="30" t="str">
        <f aca="false">IF($B669="","",IF(AND($K669="Y",OR($D669="later",$J669="Y")),"Y","N"))</f>
        <v/>
      </c>
      <c r="P669" s="30" t="str">
        <f aca="false">IF(OR($B669="",$E669=""),"",$B669&amp;"_"&amp;$C669&amp;"_"&amp;$D669&amp;"_"&amp;TEXT($E669,"yyyy-mm-dd")&amp;".jpg")</f>
        <v/>
      </c>
      <c r="Q669" s="30" t="str">
        <f aca="false">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30" t="str">
        <f aca="false">IF($B669="","",$B669&amp;"|"&amp;$C669&amp;"|"&amp;$D669&amp;"|"&amp;$O669)</f>
        <v/>
      </c>
      <c r="S669" s="30" t="str">
        <f aca="false">IF($B669="","",$R669&amp;"|"&amp;N($E669))</f>
        <v/>
      </c>
    </row>
    <row r="670" customFormat="false" ht="15" hidden="false" customHeight="false" outlineLevel="0" collapsed="false">
      <c r="D670" s="10"/>
      <c r="E670" s="11"/>
      <c r="F670" s="38"/>
      <c r="G670" s="10"/>
      <c r="I670" s="11"/>
      <c r="J670" s="10"/>
      <c r="K670" s="10"/>
      <c r="M670" s="31" t="str">
        <f aca="false">IF($B670="","",IFERROR(IF(INDEX(campaigns!$BG$2:$BG$51,MATCH($B670,campaigns!$A$2:$A$51,0))="","",INDEX(campaigns!$BG$2:$BG$51,MATCH($B670,campaigns!$A$2:$A$51,0))),""))</f>
        <v/>
      </c>
      <c r="N670" s="30" t="str">
        <f aca="false">IF(OR($B670="",$E670="",$M670=""),"",IF($E670&lt;$M670,0,NETWORKDAYS($M670,$E670,calendar!$A$2:$A$80)))</f>
        <v/>
      </c>
      <c r="O670" s="30" t="str">
        <f aca="false">IF($B670="","",IF(AND($K670="Y",OR($D670="later",$J670="Y")),"Y","N"))</f>
        <v/>
      </c>
      <c r="P670" s="30" t="str">
        <f aca="false">IF(OR($B670="",$E670=""),"",$B670&amp;"_"&amp;$C670&amp;"_"&amp;$D670&amp;"_"&amp;TEXT($E670,"yyyy-mm-dd")&amp;".jpg")</f>
        <v/>
      </c>
      <c r="Q670" s="30" t="str">
        <f aca="false">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30" t="str">
        <f aca="false">IF($B670="","",$B670&amp;"|"&amp;$C670&amp;"|"&amp;$D670&amp;"|"&amp;$O670)</f>
        <v/>
      </c>
      <c r="S670" s="30" t="str">
        <f aca="false">IF($B670="","",$R670&amp;"|"&amp;N($E670))</f>
        <v/>
      </c>
    </row>
    <row r="671" customFormat="false" ht="15" hidden="false" customHeight="false" outlineLevel="0" collapsed="false">
      <c r="D671" s="10"/>
      <c r="E671" s="11"/>
      <c r="F671" s="38"/>
      <c r="G671" s="10"/>
      <c r="I671" s="11"/>
      <c r="J671" s="10"/>
      <c r="K671" s="10"/>
      <c r="M671" s="31" t="str">
        <f aca="false">IF($B671="","",IFERROR(IF(INDEX(campaigns!$BG$2:$BG$51,MATCH($B671,campaigns!$A$2:$A$51,0))="","",INDEX(campaigns!$BG$2:$BG$51,MATCH($B671,campaigns!$A$2:$A$51,0))),""))</f>
        <v/>
      </c>
      <c r="N671" s="30" t="str">
        <f aca="false">IF(OR($B671="",$E671="",$M671=""),"",IF($E671&lt;$M671,0,NETWORKDAYS($M671,$E671,calendar!$A$2:$A$80)))</f>
        <v/>
      </c>
      <c r="O671" s="30" t="str">
        <f aca="false">IF($B671="","",IF(AND($K671="Y",OR($D671="later",$J671="Y")),"Y","N"))</f>
        <v/>
      </c>
      <c r="P671" s="30" t="str">
        <f aca="false">IF(OR($B671="",$E671=""),"",$B671&amp;"_"&amp;$C671&amp;"_"&amp;$D671&amp;"_"&amp;TEXT($E671,"yyyy-mm-dd")&amp;".jpg")</f>
        <v/>
      </c>
      <c r="Q671" s="30" t="str">
        <f aca="false">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30" t="str">
        <f aca="false">IF($B671="","",$B671&amp;"|"&amp;$C671&amp;"|"&amp;$D671&amp;"|"&amp;$O671)</f>
        <v/>
      </c>
      <c r="S671" s="30" t="str">
        <f aca="false">IF($B671="","",$R671&amp;"|"&amp;N($E671))</f>
        <v/>
      </c>
    </row>
    <row r="672" customFormat="false" ht="15" hidden="false" customHeight="false" outlineLevel="0" collapsed="false">
      <c r="D672" s="10"/>
      <c r="E672" s="11"/>
      <c r="F672" s="38"/>
      <c r="G672" s="10"/>
      <c r="I672" s="11"/>
      <c r="J672" s="10"/>
      <c r="K672" s="10"/>
      <c r="M672" s="31" t="str">
        <f aca="false">IF($B672="","",IFERROR(IF(INDEX(campaigns!$BG$2:$BG$51,MATCH($B672,campaigns!$A$2:$A$51,0))="","",INDEX(campaigns!$BG$2:$BG$51,MATCH($B672,campaigns!$A$2:$A$51,0))),""))</f>
        <v/>
      </c>
      <c r="N672" s="30" t="str">
        <f aca="false">IF(OR($B672="",$E672="",$M672=""),"",IF($E672&lt;$M672,0,NETWORKDAYS($M672,$E672,calendar!$A$2:$A$80)))</f>
        <v/>
      </c>
      <c r="O672" s="30" t="str">
        <f aca="false">IF($B672="","",IF(AND($K672="Y",OR($D672="later",$J672="Y")),"Y","N"))</f>
        <v/>
      </c>
      <c r="P672" s="30" t="str">
        <f aca="false">IF(OR($B672="",$E672=""),"",$B672&amp;"_"&amp;$C672&amp;"_"&amp;$D672&amp;"_"&amp;TEXT($E672,"yyyy-mm-dd")&amp;".jpg")</f>
        <v/>
      </c>
      <c r="Q672" s="30" t="str">
        <f aca="false">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30" t="str">
        <f aca="false">IF($B672="","",$B672&amp;"|"&amp;$C672&amp;"|"&amp;$D672&amp;"|"&amp;$O672)</f>
        <v/>
      </c>
      <c r="S672" s="30" t="str">
        <f aca="false">IF($B672="","",$R672&amp;"|"&amp;N($E672))</f>
        <v/>
      </c>
    </row>
    <row r="673" customFormat="false" ht="15" hidden="false" customHeight="false" outlineLevel="0" collapsed="false">
      <c r="D673" s="10"/>
      <c r="E673" s="11"/>
      <c r="F673" s="38"/>
      <c r="G673" s="10"/>
      <c r="I673" s="11"/>
      <c r="J673" s="10"/>
      <c r="K673" s="10"/>
      <c r="M673" s="31" t="str">
        <f aca="false">IF($B673="","",IFERROR(IF(INDEX(campaigns!$BG$2:$BG$51,MATCH($B673,campaigns!$A$2:$A$51,0))="","",INDEX(campaigns!$BG$2:$BG$51,MATCH($B673,campaigns!$A$2:$A$51,0))),""))</f>
        <v/>
      </c>
      <c r="N673" s="30" t="str">
        <f aca="false">IF(OR($B673="",$E673="",$M673=""),"",IF($E673&lt;$M673,0,NETWORKDAYS($M673,$E673,calendar!$A$2:$A$80)))</f>
        <v/>
      </c>
      <c r="O673" s="30" t="str">
        <f aca="false">IF($B673="","",IF(AND($K673="Y",OR($D673="later",$J673="Y")),"Y","N"))</f>
        <v/>
      </c>
      <c r="P673" s="30" t="str">
        <f aca="false">IF(OR($B673="",$E673=""),"",$B673&amp;"_"&amp;$C673&amp;"_"&amp;$D673&amp;"_"&amp;TEXT($E673,"yyyy-mm-dd")&amp;".jpg")</f>
        <v/>
      </c>
      <c r="Q673" s="30" t="str">
        <f aca="false">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30" t="str">
        <f aca="false">IF($B673="","",$B673&amp;"|"&amp;$C673&amp;"|"&amp;$D673&amp;"|"&amp;$O673)</f>
        <v/>
      </c>
      <c r="S673" s="30" t="str">
        <f aca="false">IF($B673="","",$R673&amp;"|"&amp;N($E673))</f>
        <v/>
      </c>
    </row>
    <row r="674" customFormat="false" ht="15" hidden="false" customHeight="false" outlineLevel="0" collapsed="false">
      <c r="D674" s="10"/>
      <c r="E674" s="11"/>
      <c r="F674" s="38"/>
      <c r="G674" s="10"/>
      <c r="I674" s="11"/>
      <c r="J674" s="10"/>
      <c r="K674" s="10"/>
      <c r="M674" s="31" t="str">
        <f aca="false">IF($B674="","",IFERROR(IF(INDEX(campaigns!$BG$2:$BG$51,MATCH($B674,campaigns!$A$2:$A$51,0))="","",INDEX(campaigns!$BG$2:$BG$51,MATCH($B674,campaigns!$A$2:$A$51,0))),""))</f>
        <v/>
      </c>
      <c r="N674" s="30" t="str">
        <f aca="false">IF(OR($B674="",$E674="",$M674=""),"",IF($E674&lt;$M674,0,NETWORKDAYS($M674,$E674,calendar!$A$2:$A$80)))</f>
        <v/>
      </c>
      <c r="O674" s="30" t="str">
        <f aca="false">IF($B674="","",IF(AND($K674="Y",OR($D674="later",$J674="Y")),"Y","N"))</f>
        <v/>
      </c>
      <c r="P674" s="30" t="str">
        <f aca="false">IF(OR($B674="",$E674=""),"",$B674&amp;"_"&amp;$C674&amp;"_"&amp;$D674&amp;"_"&amp;TEXT($E674,"yyyy-mm-dd")&amp;".jpg")</f>
        <v/>
      </c>
      <c r="Q674" s="30" t="str">
        <f aca="false">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30" t="str">
        <f aca="false">IF($B674="","",$B674&amp;"|"&amp;$C674&amp;"|"&amp;$D674&amp;"|"&amp;$O674)</f>
        <v/>
      </c>
      <c r="S674" s="30" t="str">
        <f aca="false">IF($B674="","",$R674&amp;"|"&amp;N($E674))</f>
        <v/>
      </c>
    </row>
    <row r="675" customFormat="false" ht="15" hidden="false" customHeight="false" outlineLevel="0" collapsed="false">
      <c r="D675" s="10"/>
      <c r="E675" s="11"/>
      <c r="F675" s="38"/>
      <c r="G675" s="10"/>
      <c r="I675" s="11"/>
      <c r="J675" s="10"/>
      <c r="K675" s="10"/>
      <c r="M675" s="31" t="str">
        <f aca="false">IF($B675="","",IFERROR(IF(INDEX(campaigns!$BG$2:$BG$51,MATCH($B675,campaigns!$A$2:$A$51,0))="","",INDEX(campaigns!$BG$2:$BG$51,MATCH($B675,campaigns!$A$2:$A$51,0))),""))</f>
        <v/>
      </c>
      <c r="N675" s="30" t="str">
        <f aca="false">IF(OR($B675="",$E675="",$M675=""),"",IF($E675&lt;$M675,0,NETWORKDAYS($M675,$E675,calendar!$A$2:$A$80)))</f>
        <v/>
      </c>
      <c r="O675" s="30" t="str">
        <f aca="false">IF($B675="","",IF(AND($K675="Y",OR($D675="later",$J675="Y")),"Y","N"))</f>
        <v/>
      </c>
      <c r="P675" s="30" t="str">
        <f aca="false">IF(OR($B675="",$E675=""),"",$B675&amp;"_"&amp;$C675&amp;"_"&amp;$D675&amp;"_"&amp;TEXT($E675,"yyyy-mm-dd")&amp;".jpg")</f>
        <v/>
      </c>
      <c r="Q675" s="30" t="str">
        <f aca="false">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30" t="str">
        <f aca="false">IF($B675="","",$B675&amp;"|"&amp;$C675&amp;"|"&amp;$D675&amp;"|"&amp;$O675)</f>
        <v/>
      </c>
      <c r="S675" s="30" t="str">
        <f aca="false">IF($B675="","",$R675&amp;"|"&amp;N($E675))</f>
        <v/>
      </c>
    </row>
    <row r="676" customFormat="false" ht="15" hidden="false" customHeight="false" outlineLevel="0" collapsed="false">
      <c r="D676" s="10"/>
      <c r="E676" s="11"/>
      <c r="F676" s="38"/>
      <c r="G676" s="10"/>
      <c r="I676" s="11"/>
      <c r="J676" s="10"/>
      <c r="K676" s="10"/>
      <c r="M676" s="31" t="str">
        <f aca="false">IF($B676="","",IFERROR(IF(INDEX(campaigns!$BG$2:$BG$51,MATCH($B676,campaigns!$A$2:$A$51,0))="","",INDEX(campaigns!$BG$2:$BG$51,MATCH($B676,campaigns!$A$2:$A$51,0))),""))</f>
        <v/>
      </c>
      <c r="N676" s="30" t="str">
        <f aca="false">IF(OR($B676="",$E676="",$M676=""),"",IF($E676&lt;$M676,0,NETWORKDAYS($M676,$E676,calendar!$A$2:$A$80)))</f>
        <v/>
      </c>
      <c r="O676" s="30" t="str">
        <f aca="false">IF($B676="","",IF(AND($K676="Y",OR($D676="later",$J676="Y")),"Y","N"))</f>
        <v/>
      </c>
      <c r="P676" s="30" t="str">
        <f aca="false">IF(OR($B676="",$E676=""),"",$B676&amp;"_"&amp;$C676&amp;"_"&amp;$D676&amp;"_"&amp;TEXT($E676,"yyyy-mm-dd")&amp;".jpg")</f>
        <v/>
      </c>
      <c r="Q676" s="30" t="str">
        <f aca="false">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30" t="str">
        <f aca="false">IF($B676="","",$B676&amp;"|"&amp;$C676&amp;"|"&amp;$D676&amp;"|"&amp;$O676)</f>
        <v/>
      </c>
      <c r="S676" s="30" t="str">
        <f aca="false">IF($B676="","",$R676&amp;"|"&amp;N($E676))</f>
        <v/>
      </c>
    </row>
    <row r="677" customFormat="false" ht="15" hidden="false" customHeight="false" outlineLevel="0" collapsed="false">
      <c r="D677" s="10"/>
      <c r="E677" s="11"/>
      <c r="F677" s="38"/>
      <c r="G677" s="10"/>
      <c r="I677" s="11"/>
      <c r="J677" s="10"/>
      <c r="K677" s="10"/>
      <c r="M677" s="31" t="str">
        <f aca="false">IF($B677="","",IFERROR(IF(INDEX(campaigns!$BG$2:$BG$51,MATCH($B677,campaigns!$A$2:$A$51,0))="","",INDEX(campaigns!$BG$2:$BG$51,MATCH($B677,campaigns!$A$2:$A$51,0))),""))</f>
        <v/>
      </c>
      <c r="N677" s="30" t="str">
        <f aca="false">IF(OR($B677="",$E677="",$M677=""),"",IF($E677&lt;$M677,0,NETWORKDAYS($M677,$E677,calendar!$A$2:$A$80)))</f>
        <v/>
      </c>
      <c r="O677" s="30" t="str">
        <f aca="false">IF($B677="","",IF(AND($K677="Y",OR($D677="later",$J677="Y")),"Y","N"))</f>
        <v/>
      </c>
      <c r="P677" s="30" t="str">
        <f aca="false">IF(OR($B677="",$E677=""),"",$B677&amp;"_"&amp;$C677&amp;"_"&amp;$D677&amp;"_"&amp;TEXT($E677,"yyyy-mm-dd")&amp;".jpg")</f>
        <v/>
      </c>
      <c r="Q677" s="30" t="str">
        <f aca="false">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30" t="str">
        <f aca="false">IF($B677="","",$B677&amp;"|"&amp;$C677&amp;"|"&amp;$D677&amp;"|"&amp;$O677)</f>
        <v/>
      </c>
      <c r="S677" s="30" t="str">
        <f aca="false">IF($B677="","",$R677&amp;"|"&amp;N($E677))</f>
        <v/>
      </c>
    </row>
    <row r="678" customFormat="false" ht="15" hidden="false" customHeight="false" outlineLevel="0" collapsed="false">
      <c r="D678" s="10"/>
      <c r="E678" s="11"/>
      <c r="F678" s="38"/>
      <c r="G678" s="10"/>
      <c r="I678" s="11"/>
      <c r="J678" s="10"/>
      <c r="K678" s="10"/>
      <c r="M678" s="31" t="str">
        <f aca="false">IF($B678="","",IFERROR(IF(INDEX(campaigns!$BG$2:$BG$51,MATCH($B678,campaigns!$A$2:$A$51,0))="","",INDEX(campaigns!$BG$2:$BG$51,MATCH($B678,campaigns!$A$2:$A$51,0))),""))</f>
        <v/>
      </c>
      <c r="N678" s="30" t="str">
        <f aca="false">IF(OR($B678="",$E678="",$M678=""),"",IF($E678&lt;$M678,0,NETWORKDAYS($M678,$E678,calendar!$A$2:$A$80)))</f>
        <v/>
      </c>
      <c r="O678" s="30" t="str">
        <f aca="false">IF($B678="","",IF(AND($K678="Y",OR($D678="later",$J678="Y")),"Y","N"))</f>
        <v/>
      </c>
      <c r="P678" s="30" t="str">
        <f aca="false">IF(OR($B678="",$E678=""),"",$B678&amp;"_"&amp;$C678&amp;"_"&amp;$D678&amp;"_"&amp;TEXT($E678,"yyyy-mm-dd")&amp;".jpg")</f>
        <v/>
      </c>
      <c r="Q678" s="30" t="str">
        <f aca="false">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30" t="str">
        <f aca="false">IF($B678="","",$B678&amp;"|"&amp;$C678&amp;"|"&amp;$D678&amp;"|"&amp;$O678)</f>
        <v/>
      </c>
      <c r="S678" s="30" t="str">
        <f aca="false">IF($B678="","",$R678&amp;"|"&amp;N($E678))</f>
        <v/>
      </c>
    </row>
    <row r="679" customFormat="false" ht="15" hidden="false" customHeight="false" outlineLevel="0" collapsed="false">
      <c r="D679" s="10"/>
      <c r="E679" s="11"/>
      <c r="F679" s="38"/>
      <c r="G679" s="10"/>
      <c r="I679" s="11"/>
      <c r="J679" s="10"/>
      <c r="K679" s="10"/>
      <c r="M679" s="31" t="str">
        <f aca="false">IF($B679="","",IFERROR(IF(INDEX(campaigns!$BG$2:$BG$51,MATCH($B679,campaigns!$A$2:$A$51,0))="","",INDEX(campaigns!$BG$2:$BG$51,MATCH($B679,campaigns!$A$2:$A$51,0))),""))</f>
        <v/>
      </c>
      <c r="N679" s="30" t="str">
        <f aca="false">IF(OR($B679="",$E679="",$M679=""),"",IF($E679&lt;$M679,0,NETWORKDAYS($M679,$E679,calendar!$A$2:$A$80)))</f>
        <v/>
      </c>
      <c r="O679" s="30" t="str">
        <f aca="false">IF($B679="","",IF(AND($K679="Y",OR($D679="later",$J679="Y")),"Y","N"))</f>
        <v/>
      </c>
      <c r="P679" s="30" t="str">
        <f aca="false">IF(OR($B679="",$E679=""),"",$B679&amp;"_"&amp;$C679&amp;"_"&amp;$D679&amp;"_"&amp;TEXT($E679,"yyyy-mm-dd")&amp;".jpg")</f>
        <v/>
      </c>
      <c r="Q679" s="30" t="str">
        <f aca="false">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30" t="str">
        <f aca="false">IF($B679="","",$B679&amp;"|"&amp;$C679&amp;"|"&amp;$D679&amp;"|"&amp;$O679)</f>
        <v/>
      </c>
      <c r="S679" s="30" t="str">
        <f aca="false">IF($B679="","",$R679&amp;"|"&amp;N($E679))</f>
        <v/>
      </c>
    </row>
    <row r="680" customFormat="false" ht="15" hidden="false" customHeight="false" outlineLevel="0" collapsed="false">
      <c r="D680" s="10"/>
      <c r="E680" s="11"/>
      <c r="F680" s="38"/>
      <c r="G680" s="10"/>
      <c r="I680" s="11"/>
      <c r="J680" s="10"/>
      <c r="K680" s="10"/>
      <c r="M680" s="31" t="str">
        <f aca="false">IF($B680="","",IFERROR(IF(INDEX(campaigns!$BG$2:$BG$51,MATCH($B680,campaigns!$A$2:$A$51,0))="","",INDEX(campaigns!$BG$2:$BG$51,MATCH($B680,campaigns!$A$2:$A$51,0))),""))</f>
        <v/>
      </c>
      <c r="N680" s="30" t="str">
        <f aca="false">IF(OR($B680="",$E680="",$M680=""),"",IF($E680&lt;$M680,0,NETWORKDAYS($M680,$E680,calendar!$A$2:$A$80)))</f>
        <v/>
      </c>
      <c r="O680" s="30" t="str">
        <f aca="false">IF($B680="","",IF(AND($K680="Y",OR($D680="later",$J680="Y")),"Y","N"))</f>
        <v/>
      </c>
      <c r="P680" s="30" t="str">
        <f aca="false">IF(OR($B680="",$E680=""),"",$B680&amp;"_"&amp;$C680&amp;"_"&amp;$D680&amp;"_"&amp;TEXT($E680,"yyyy-mm-dd")&amp;".jpg")</f>
        <v/>
      </c>
      <c r="Q680" s="30" t="str">
        <f aca="false">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30" t="str">
        <f aca="false">IF($B680="","",$B680&amp;"|"&amp;$C680&amp;"|"&amp;$D680&amp;"|"&amp;$O680)</f>
        <v/>
      </c>
      <c r="S680" s="30" t="str">
        <f aca="false">IF($B680="","",$R680&amp;"|"&amp;N($E680))</f>
        <v/>
      </c>
    </row>
    <row r="681" customFormat="false" ht="15" hidden="false" customHeight="false" outlineLevel="0" collapsed="false">
      <c r="D681" s="10"/>
      <c r="E681" s="11"/>
      <c r="F681" s="38"/>
      <c r="G681" s="10"/>
      <c r="I681" s="11"/>
      <c r="J681" s="10"/>
      <c r="K681" s="10"/>
      <c r="M681" s="31" t="str">
        <f aca="false">IF($B681="","",IFERROR(IF(INDEX(campaigns!$BG$2:$BG$51,MATCH($B681,campaigns!$A$2:$A$51,0))="","",INDEX(campaigns!$BG$2:$BG$51,MATCH($B681,campaigns!$A$2:$A$51,0))),""))</f>
        <v/>
      </c>
      <c r="N681" s="30" t="str">
        <f aca="false">IF(OR($B681="",$E681="",$M681=""),"",IF($E681&lt;$M681,0,NETWORKDAYS($M681,$E681,calendar!$A$2:$A$80)))</f>
        <v/>
      </c>
      <c r="O681" s="30" t="str">
        <f aca="false">IF($B681="","",IF(AND($K681="Y",OR($D681="later",$J681="Y")),"Y","N"))</f>
        <v/>
      </c>
      <c r="P681" s="30" t="str">
        <f aca="false">IF(OR($B681="",$E681=""),"",$B681&amp;"_"&amp;$C681&amp;"_"&amp;$D681&amp;"_"&amp;TEXT($E681,"yyyy-mm-dd")&amp;".jpg")</f>
        <v/>
      </c>
      <c r="Q681" s="30" t="str">
        <f aca="false">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30" t="str">
        <f aca="false">IF($B681="","",$B681&amp;"|"&amp;$C681&amp;"|"&amp;$D681&amp;"|"&amp;$O681)</f>
        <v/>
      </c>
      <c r="S681" s="30" t="str">
        <f aca="false">IF($B681="","",$R681&amp;"|"&amp;N($E681))</f>
        <v/>
      </c>
    </row>
    <row r="682" customFormat="false" ht="15" hidden="false" customHeight="false" outlineLevel="0" collapsed="false">
      <c r="D682" s="10"/>
      <c r="E682" s="11"/>
      <c r="F682" s="38"/>
      <c r="G682" s="10"/>
      <c r="I682" s="11"/>
      <c r="J682" s="10"/>
      <c r="K682" s="10"/>
      <c r="M682" s="31" t="str">
        <f aca="false">IF($B682="","",IFERROR(IF(INDEX(campaigns!$BG$2:$BG$51,MATCH($B682,campaigns!$A$2:$A$51,0))="","",INDEX(campaigns!$BG$2:$BG$51,MATCH($B682,campaigns!$A$2:$A$51,0))),""))</f>
        <v/>
      </c>
      <c r="N682" s="30" t="str">
        <f aca="false">IF(OR($B682="",$E682="",$M682=""),"",IF($E682&lt;$M682,0,NETWORKDAYS($M682,$E682,calendar!$A$2:$A$80)))</f>
        <v/>
      </c>
      <c r="O682" s="30" t="str">
        <f aca="false">IF($B682="","",IF(AND($K682="Y",OR($D682="later",$J682="Y")),"Y","N"))</f>
        <v/>
      </c>
      <c r="P682" s="30" t="str">
        <f aca="false">IF(OR($B682="",$E682=""),"",$B682&amp;"_"&amp;$C682&amp;"_"&amp;$D682&amp;"_"&amp;TEXT($E682,"yyyy-mm-dd")&amp;".jpg")</f>
        <v/>
      </c>
      <c r="Q682" s="30" t="str">
        <f aca="false">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30" t="str">
        <f aca="false">IF($B682="","",$B682&amp;"|"&amp;$C682&amp;"|"&amp;$D682&amp;"|"&amp;$O682)</f>
        <v/>
      </c>
      <c r="S682" s="30" t="str">
        <f aca="false">IF($B682="","",$R682&amp;"|"&amp;N($E682))</f>
        <v/>
      </c>
    </row>
    <row r="683" customFormat="false" ht="15" hidden="false" customHeight="false" outlineLevel="0" collapsed="false">
      <c r="D683" s="10"/>
      <c r="E683" s="11"/>
      <c r="F683" s="38"/>
      <c r="G683" s="10"/>
      <c r="I683" s="11"/>
      <c r="J683" s="10"/>
      <c r="K683" s="10"/>
      <c r="M683" s="31" t="str">
        <f aca="false">IF($B683="","",IFERROR(IF(INDEX(campaigns!$BG$2:$BG$51,MATCH($B683,campaigns!$A$2:$A$51,0))="","",INDEX(campaigns!$BG$2:$BG$51,MATCH($B683,campaigns!$A$2:$A$51,0))),""))</f>
        <v/>
      </c>
      <c r="N683" s="30" t="str">
        <f aca="false">IF(OR($B683="",$E683="",$M683=""),"",IF($E683&lt;$M683,0,NETWORKDAYS($M683,$E683,calendar!$A$2:$A$80)))</f>
        <v/>
      </c>
      <c r="O683" s="30" t="str">
        <f aca="false">IF($B683="","",IF(AND($K683="Y",OR($D683="later",$J683="Y")),"Y","N"))</f>
        <v/>
      </c>
      <c r="P683" s="30" t="str">
        <f aca="false">IF(OR($B683="",$E683=""),"",$B683&amp;"_"&amp;$C683&amp;"_"&amp;$D683&amp;"_"&amp;TEXT($E683,"yyyy-mm-dd")&amp;".jpg")</f>
        <v/>
      </c>
      <c r="Q683" s="30" t="str">
        <f aca="false">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30" t="str">
        <f aca="false">IF($B683="","",$B683&amp;"|"&amp;$C683&amp;"|"&amp;$D683&amp;"|"&amp;$O683)</f>
        <v/>
      </c>
      <c r="S683" s="30" t="str">
        <f aca="false">IF($B683="","",$R683&amp;"|"&amp;N($E683))</f>
        <v/>
      </c>
    </row>
    <row r="684" customFormat="false" ht="15" hidden="false" customHeight="false" outlineLevel="0" collapsed="false">
      <c r="D684" s="10"/>
      <c r="E684" s="11"/>
      <c r="F684" s="38"/>
      <c r="G684" s="10"/>
      <c r="I684" s="11"/>
      <c r="J684" s="10"/>
      <c r="K684" s="10"/>
      <c r="M684" s="31" t="str">
        <f aca="false">IF($B684="","",IFERROR(IF(INDEX(campaigns!$BG$2:$BG$51,MATCH($B684,campaigns!$A$2:$A$51,0))="","",INDEX(campaigns!$BG$2:$BG$51,MATCH($B684,campaigns!$A$2:$A$51,0))),""))</f>
        <v/>
      </c>
      <c r="N684" s="30" t="str">
        <f aca="false">IF(OR($B684="",$E684="",$M684=""),"",IF($E684&lt;$M684,0,NETWORKDAYS($M684,$E684,calendar!$A$2:$A$80)))</f>
        <v/>
      </c>
      <c r="O684" s="30" t="str">
        <f aca="false">IF($B684="","",IF(AND($K684="Y",OR($D684="later",$J684="Y")),"Y","N"))</f>
        <v/>
      </c>
      <c r="P684" s="30" t="str">
        <f aca="false">IF(OR($B684="",$E684=""),"",$B684&amp;"_"&amp;$C684&amp;"_"&amp;$D684&amp;"_"&amp;TEXT($E684,"yyyy-mm-dd")&amp;".jpg")</f>
        <v/>
      </c>
      <c r="Q684" s="30" t="str">
        <f aca="false">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30" t="str">
        <f aca="false">IF($B684="","",$B684&amp;"|"&amp;$C684&amp;"|"&amp;$D684&amp;"|"&amp;$O684)</f>
        <v/>
      </c>
      <c r="S684" s="30" t="str">
        <f aca="false">IF($B684="","",$R684&amp;"|"&amp;N($E684))</f>
        <v/>
      </c>
    </row>
    <row r="685" customFormat="false" ht="15" hidden="false" customHeight="false" outlineLevel="0" collapsed="false">
      <c r="D685" s="10"/>
      <c r="E685" s="11"/>
      <c r="F685" s="38"/>
      <c r="G685" s="10"/>
      <c r="I685" s="11"/>
      <c r="J685" s="10"/>
      <c r="K685" s="10"/>
      <c r="M685" s="31" t="str">
        <f aca="false">IF($B685="","",IFERROR(IF(INDEX(campaigns!$BG$2:$BG$51,MATCH($B685,campaigns!$A$2:$A$51,0))="","",INDEX(campaigns!$BG$2:$BG$51,MATCH($B685,campaigns!$A$2:$A$51,0))),""))</f>
        <v/>
      </c>
      <c r="N685" s="30" t="str">
        <f aca="false">IF(OR($B685="",$E685="",$M685=""),"",IF($E685&lt;$M685,0,NETWORKDAYS($M685,$E685,calendar!$A$2:$A$80)))</f>
        <v/>
      </c>
      <c r="O685" s="30" t="str">
        <f aca="false">IF($B685="","",IF(AND($K685="Y",OR($D685="later",$J685="Y")),"Y","N"))</f>
        <v/>
      </c>
      <c r="P685" s="30" t="str">
        <f aca="false">IF(OR($B685="",$E685=""),"",$B685&amp;"_"&amp;$C685&amp;"_"&amp;$D685&amp;"_"&amp;TEXT($E685,"yyyy-mm-dd")&amp;".jpg")</f>
        <v/>
      </c>
      <c r="Q685" s="30" t="str">
        <f aca="false">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30" t="str">
        <f aca="false">IF($B685="","",$B685&amp;"|"&amp;$C685&amp;"|"&amp;$D685&amp;"|"&amp;$O685)</f>
        <v/>
      </c>
      <c r="S685" s="30" t="str">
        <f aca="false">IF($B685="","",$R685&amp;"|"&amp;N($E685))</f>
        <v/>
      </c>
    </row>
    <row r="686" customFormat="false" ht="15" hidden="false" customHeight="false" outlineLevel="0" collapsed="false">
      <c r="D686" s="10"/>
      <c r="E686" s="11"/>
      <c r="F686" s="38"/>
      <c r="G686" s="10"/>
      <c r="I686" s="11"/>
      <c r="J686" s="10"/>
      <c r="K686" s="10"/>
      <c r="M686" s="31" t="str">
        <f aca="false">IF($B686="","",IFERROR(IF(INDEX(campaigns!$BG$2:$BG$51,MATCH($B686,campaigns!$A$2:$A$51,0))="","",INDEX(campaigns!$BG$2:$BG$51,MATCH($B686,campaigns!$A$2:$A$51,0))),""))</f>
        <v/>
      </c>
      <c r="N686" s="30" t="str">
        <f aca="false">IF(OR($B686="",$E686="",$M686=""),"",IF($E686&lt;$M686,0,NETWORKDAYS($M686,$E686,calendar!$A$2:$A$80)))</f>
        <v/>
      </c>
      <c r="O686" s="30" t="str">
        <f aca="false">IF($B686="","",IF(AND($K686="Y",OR($D686="later",$J686="Y")),"Y","N"))</f>
        <v/>
      </c>
      <c r="P686" s="30" t="str">
        <f aca="false">IF(OR($B686="",$E686=""),"",$B686&amp;"_"&amp;$C686&amp;"_"&amp;$D686&amp;"_"&amp;TEXT($E686,"yyyy-mm-dd")&amp;".jpg")</f>
        <v/>
      </c>
      <c r="Q686" s="30" t="str">
        <f aca="false">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30" t="str">
        <f aca="false">IF($B686="","",$B686&amp;"|"&amp;$C686&amp;"|"&amp;$D686&amp;"|"&amp;$O686)</f>
        <v/>
      </c>
      <c r="S686" s="30" t="str">
        <f aca="false">IF($B686="","",$R686&amp;"|"&amp;N($E686))</f>
        <v/>
      </c>
    </row>
    <row r="687" customFormat="false" ht="15" hidden="false" customHeight="false" outlineLevel="0" collapsed="false">
      <c r="D687" s="10"/>
      <c r="E687" s="11"/>
      <c r="F687" s="38"/>
      <c r="G687" s="10"/>
      <c r="I687" s="11"/>
      <c r="J687" s="10"/>
      <c r="K687" s="10"/>
      <c r="M687" s="31" t="str">
        <f aca="false">IF($B687="","",IFERROR(IF(INDEX(campaigns!$BG$2:$BG$51,MATCH($B687,campaigns!$A$2:$A$51,0))="","",INDEX(campaigns!$BG$2:$BG$51,MATCH($B687,campaigns!$A$2:$A$51,0))),""))</f>
        <v/>
      </c>
      <c r="N687" s="30" t="str">
        <f aca="false">IF(OR($B687="",$E687="",$M687=""),"",IF($E687&lt;$M687,0,NETWORKDAYS($M687,$E687,calendar!$A$2:$A$80)))</f>
        <v/>
      </c>
      <c r="O687" s="30" t="str">
        <f aca="false">IF($B687="","",IF(AND($K687="Y",OR($D687="later",$J687="Y")),"Y","N"))</f>
        <v/>
      </c>
      <c r="P687" s="30" t="str">
        <f aca="false">IF(OR($B687="",$E687=""),"",$B687&amp;"_"&amp;$C687&amp;"_"&amp;$D687&amp;"_"&amp;TEXT($E687,"yyyy-mm-dd")&amp;".jpg")</f>
        <v/>
      </c>
      <c r="Q687" s="30" t="str">
        <f aca="false">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30" t="str">
        <f aca="false">IF($B687="","",$B687&amp;"|"&amp;$C687&amp;"|"&amp;$D687&amp;"|"&amp;$O687)</f>
        <v/>
      </c>
      <c r="S687" s="30" t="str">
        <f aca="false">IF($B687="","",$R687&amp;"|"&amp;N($E687))</f>
        <v/>
      </c>
    </row>
    <row r="688" customFormat="false" ht="15" hidden="false" customHeight="false" outlineLevel="0" collapsed="false">
      <c r="D688" s="10"/>
      <c r="E688" s="11"/>
      <c r="F688" s="38"/>
      <c r="G688" s="10"/>
      <c r="I688" s="11"/>
      <c r="J688" s="10"/>
      <c r="K688" s="10"/>
      <c r="M688" s="31" t="str">
        <f aca="false">IF($B688="","",IFERROR(IF(INDEX(campaigns!$BG$2:$BG$51,MATCH($B688,campaigns!$A$2:$A$51,0))="","",INDEX(campaigns!$BG$2:$BG$51,MATCH($B688,campaigns!$A$2:$A$51,0))),""))</f>
        <v/>
      </c>
      <c r="N688" s="30" t="str">
        <f aca="false">IF(OR($B688="",$E688="",$M688=""),"",IF($E688&lt;$M688,0,NETWORKDAYS($M688,$E688,calendar!$A$2:$A$80)))</f>
        <v/>
      </c>
      <c r="O688" s="30" t="str">
        <f aca="false">IF($B688="","",IF(AND($K688="Y",OR($D688="later",$J688="Y")),"Y","N"))</f>
        <v/>
      </c>
      <c r="P688" s="30" t="str">
        <f aca="false">IF(OR($B688="",$E688=""),"",$B688&amp;"_"&amp;$C688&amp;"_"&amp;$D688&amp;"_"&amp;TEXT($E688,"yyyy-mm-dd")&amp;".jpg")</f>
        <v/>
      </c>
      <c r="Q688" s="30" t="str">
        <f aca="false">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30" t="str">
        <f aca="false">IF($B688="","",$B688&amp;"|"&amp;$C688&amp;"|"&amp;$D688&amp;"|"&amp;$O688)</f>
        <v/>
      </c>
      <c r="S688" s="30" t="str">
        <f aca="false">IF($B688="","",$R688&amp;"|"&amp;N($E688))</f>
        <v/>
      </c>
    </row>
    <row r="689" customFormat="false" ht="15" hidden="false" customHeight="false" outlineLevel="0" collapsed="false">
      <c r="D689" s="10"/>
      <c r="E689" s="11"/>
      <c r="F689" s="38"/>
      <c r="G689" s="10"/>
      <c r="I689" s="11"/>
      <c r="J689" s="10"/>
      <c r="K689" s="10"/>
      <c r="M689" s="31" t="str">
        <f aca="false">IF($B689="","",IFERROR(IF(INDEX(campaigns!$BG$2:$BG$51,MATCH($B689,campaigns!$A$2:$A$51,0))="","",INDEX(campaigns!$BG$2:$BG$51,MATCH($B689,campaigns!$A$2:$A$51,0))),""))</f>
        <v/>
      </c>
      <c r="N689" s="30" t="str">
        <f aca="false">IF(OR($B689="",$E689="",$M689=""),"",IF($E689&lt;$M689,0,NETWORKDAYS($M689,$E689,calendar!$A$2:$A$80)))</f>
        <v/>
      </c>
      <c r="O689" s="30" t="str">
        <f aca="false">IF($B689="","",IF(AND($K689="Y",OR($D689="later",$J689="Y")),"Y","N"))</f>
        <v/>
      </c>
      <c r="P689" s="30" t="str">
        <f aca="false">IF(OR($B689="",$E689=""),"",$B689&amp;"_"&amp;$C689&amp;"_"&amp;$D689&amp;"_"&amp;TEXT($E689,"yyyy-mm-dd")&amp;".jpg")</f>
        <v/>
      </c>
      <c r="Q689" s="30" t="str">
        <f aca="false">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30" t="str">
        <f aca="false">IF($B689="","",$B689&amp;"|"&amp;$C689&amp;"|"&amp;$D689&amp;"|"&amp;$O689)</f>
        <v/>
      </c>
      <c r="S689" s="30" t="str">
        <f aca="false">IF($B689="","",$R689&amp;"|"&amp;N($E689))</f>
        <v/>
      </c>
    </row>
    <row r="690" customFormat="false" ht="15" hidden="false" customHeight="false" outlineLevel="0" collapsed="false">
      <c r="D690" s="10"/>
      <c r="E690" s="11"/>
      <c r="F690" s="38"/>
      <c r="G690" s="10"/>
      <c r="I690" s="11"/>
      <c r="J690" s="10"/>
      <c r="K690" s="10"/>
      <c r="M690" s="31" t="str">
        <f aca="false">IF($B690="","",IFERROR(IF(INDEX(campaigns!$BG$2:$BG$51,MATCH($B690,campaigns!$A$2:$A$51,0))="","",INDEX(campaigns!$BG$2:$BG$51,MATCH($B690,campaigns!$A$2:$A$51,0))),""))</f>
        <v/>
      </c>
      <c r="N690" s="30" t="str">
        <f aca="false">IF(OR($B690="",$E690="",$M690=""),"",IF($E690&lt;$M690,0,NETWORKDAYS($M690,$E690,calendar!$A$2:$A$80)))</f>
        <v/>
      </c>
      <c r="O690" s="30" t="str">
        <f aca="false">IF($B690="","",IF(AND($K690="Y",OR($D690="later",$J690="Y")),"Y","N"))</f>
        <v/>
      </c>
      <c r="P690" s="30" t="str">
        <f aca="false">IF(OR($B690="",$E690=""),"",$B690&amp;"_"&amp;$C690&amp;"_"&amp;$D690&amp;"_"&amp;TEXT($E690,"yyyy-mm-dd")&amp;".jpg")</f>
        <v/>
      </c>
      <c r="Q690" s="30" t="str">
        <f aca="false">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30" t="str">
        <f aca="false">IF($B690="","",$B690&amp;"|"&amp;$C690&amp;"|"&amp;$D690&amp;"|"&amp;$O690)</f>
        <v/>
      </c>
      <c r="S690" s="30" t="str">
        <f aca="false">IF($B690="","",$R690&amp;"|"&amp;N($E690))</f>
        <v/>
      </c>
    </row>
    <row r="691" customFormat="false" ht="15" hidden="false" customHeight="false" outlineLevel="0" collapsed="false">
      <c r="D691" s="10"/>
      <c r="E691" s="11"/>
      <c r="F691" s="38"/>
      <c r="G691" s="10"/>
      <c r="I691" s="11"/>
      <c r="J691" s="10"/>
      <c r="K691" s="10"/>
      <c r="M691" s="31" t="str">
        <f aca="false">IF($B691="","",IFERROR(IF(INDEX(campaigns!$BG$2:$BG$51,MATCH($B691,campaigns!$A$2:$A$51,0))="","",INDEX(campaigns!$BG$2:$BG$51,MATCH($B691,campaigns!$A$2:$A$51,0))),""))</f>
        <v/>
      </c>
      <c r="N691" s="30" t="str">
        <f aca="false">IF(OR($B691="",$E691="",$M691=""),"",IF($E691&lt;$M691,0,NETWORKDAYS($M691,$E691,calendar!$A$2:$A$80)))</f>
        <v/>
      </c>
      <c r="O691" s="30" t="str">
        <f aca="false">IF($B691="","",IF(AND($K691="Y",OR($D691="later",$J691="Y")),"Y","N"))</f>
        <v/>
      </c>
      <c r="P691" s="30" t="str">
        <f aca="false">IF(OR($B691="",$E691=""),"",$B691&amp;"_"&amp;$C691&amp;"_"&amp;$D691&amp;"_"&amp;TEXT($E691,"yyyy-mm-dd")&amp;".jpg")</f>
        <v/>
      </c>
      <c r="Q691" s="30" t="str">
        <f aca="false">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30" t="str">
        <f aca="false">IF($B691="","",$B691&amp;"|"&amp;$C691&amp;"|"&amp;$D691&amp;"|"&amp;$O691)</f>
        <v/>
      </c>
      <c r="S691" s="30" t="str">
        <f aca="false">IF($B691="","",$R691&amp;"|"&amp;N($E691))</f>
        <v/>
      </c>
    </row>
    <row r="692" customFormat="false" ht="15" hidden="false" customHeight="false" outlineLevel="0" collapsed="false">
      <c r="D692" s="10"/>
      <c r="E692" s="11"/>
      <c r="F692" s="38"/>
      <c r="G692" s="10"/>
      <c r="I692" s="11"/>
      <c r="J692" s="10"/>
      <c r="K692" s="10"/>
      <c r="M692" s="31" t="str">
        <f aca="false">IF($B692="","",IFERROR(IF(INDEX(campaigns!$BG$2:$BG$51,MATCH($B692,campaigns!$A$2:$A$51,0))="","",INDEX(campaigns!$BG$2:$BG$51,MATCH($B692,campaigns!$A$2:$A$51,0))),""))</f>
        <v/>
      </c>
      <c r="N692" s="30" t="str">
        <f aca="false">IF(OR($B692="",$E692="",$M692=""),"",IF($E692&lt;$M692,0,NETWORKDAYS($M692,$E692,calendar!$A$2:$A$80)))</f>
        <v/>
      </c>
      <c r="O692" s="30" t="str">
        <f aca="false">IF($B692="","",IF(AND($K692="Y",OR($D692="later",$J692="Y")),"Y","N"))</f>
        <v/>
      </c>
      <c r="P692" s="30" t="str">
        <f aca="false">IF(OR($B692="",$E692=""),"",$B692&amp;"_"&amp;$C692&amp;"_"&amp;$D692&amp;"_"&amp;TEXT($E692,"yyyy-mm-dd")&amp;".jpg")</f>
        <v/>
      </c>
      <c r="Q692" s="30" t="str">
        <f aca="false">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30" t="str">
        <f aca="false">IF($B692="","",$B692&amp;"|"&amp;$C692&amp;"|"&amp;$D692&amp;"|"&amp;$O692)</f>
        <v/>
      </c>
      <c r="S692" s="30" t="str">
        <f aca="false">IF($B692="","",$R692&amp;"|"&amp;N($E692))</f>
        <v/>
      </c>
    </row>
    <row r="693" customFormat="false" ht="15" hidden="false" customHeight="false" outlineLevel="0" collapsed="false">
      <c r="D693" s="10"/>
      <c r="E693" s="11"/>
      <c r="F693" s="38"/>
      <c r="G693" s="10"/>
      <c r="I693" s="11"/>
      <c r="J693" s="10"/>
      <c r="K693" s="10"/>
      <c r="M693" s="31" t="str">
        <f aca="false">IF($B693="","",IFERROR(IF(INDEX(campaigns!$BG$2:$BG$51,MATCH($B693,campaigns!$A$2:$A$51,0))="","",INDEX(campaigns!$BG$2:$BG$51,MATCH($B693,campaigns!$A$2:$A$51,0))),""))</f>
        <v/>
      </c>
      <c r="N693" s="30" t="str">
        <f aca="false">IF(OR($B693="",$E693="",$M693=""),"",IF($E693&lt;$M693,0,NETWORKDAYS($M693,$E693,calendar!$A$2:$A$80)))</f>
        <v/>
      </c>
      <c r="O693" s="30" t="str">
        <f aca="false">IF($B693="","",IF(AND($K693="Y",OR($D693="later",$J693="Y")),"Y","N"))</f>
        <v/>
      </c>
      <c r="P693" s="30" t="str">
        <f aca="false">IF(OR($B693="",$E693=""),"",$B693&amp;"_"&amp;$C693&amp;"_"&amp;$D693&amp;"_"&amp;TEXT($E693,"yyyy-mm-dd")&amp;".jpg")</f>
        <v/>
      </c>
      <c r="Q693" s="30" t="str">
        <f aca="false">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30" t="str">
        <f aca="false">IF($B693="","",$B693&amp;"|"&amp;$C693&amp;"|"&amp;$D693&amp;"|"&amp;$O693)</f>
        <v/>
      </c>
      <c r="S693" s="30" t="str">
        <f aca="false">IF($B693="","",$R693&amp;"|"&amp;N($E693))</f>
        <v/>
      </c>
    </row>
    <row r="694" customFormat="false" ht="15" hidden="false" customHeight="false" outlineLevel="0" collapsed="false">
      <c r="D694" s="10"/>
      <c r="E694" s="11"/>
      <c r="F694" s="38"/>
      <c r="G694" s="10"/>
      <c r="I694" s="11"/>
      <c r="J694" s="10"/>
      <c r="K694" s="10"/>
      <c r="M694" s="31" t="str">
        <f aca="false">IF($B694="","",IFERROR(IF(INDEX(campaigns!$BG$2:$BG$51,MATCH($B694,campaigns!$A$2:$A$51,0))="","",INDEX(campaigns!$BG$2:$BG$51,MATCH($B694,campaigns!$A$2:$A$51,0))),""))</f>
        <v/>
      </c>
      <c r="N694" s="30" t="str">
        <f aca="false">IF(OR($B694="",$E694="",$M694=""),"",IF($E694&lt;$M694,0,NETWORKDAYS($M694,$E694,calendar!$A$2:$A$80)))</f>
        <v/>
      </c>
      <c r="O694" s="30" t="str">
        <f aca="false">IF($B694="","",IF(AND($K694="Y",OR($D694="later",$J694="Y")),"Y","N"))</f>
        <v/>
      </c>
      <c r="P694" s="30" t="str">
        <f aca="false">IF(OR($B694="",$E694=""),"",$B694&amp;"_"&amp;$C694&amp;"_"&amp;$D694&amp;"_"&amp;TEXT($E694,"yyyy-mm-dd")&amp;".jpg")</f>
        <v/>
      </c>
      <c r="Q694" s="30" t="str">
        <f aca="false">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30" t="str">
        <f aca="false">IF($B694="","",$B694&amp;"|"&amp;$C694&amp;"|"&amp;$D694&amp;"|"&amp;$O694)</f>
        <v/>
      </c>
      <c r="S694" s="30" t="str">
        <f aca="false">IF($B694="","",$R694&amp;"|"&amp;N($E694))</f>
        <v/>
      </c>
    </row>
    <row r="695" customFormat="false" ht="15" hidden="false" customHeight="false" outlineLevel="0" collapsed="false">
      <c r="D695" s="10"/>
      <c r="E695" s="11"/>
      <c r="F695" s="38"/>
      <c r="G695" s="10"/>
      <c r="I695" s="11"/>
      <c r="J695" s="10"/>
      <c r="K695" s="10"/>
      <c r="M695" s="31" t="str">
        <f aca="false">IF($B695="","",IFERROR(IF(INDEX(campaigns!$BG$2:$BG$51,MATCH($B695,campaigns!$A$2:$A$51,0))="","",INDEX(campaigns!$BG$2:$BG$51,MATCH($B695,campaigns!$A$2:$A$51,0))),""))</f>
        <v/>
      </c>
      <c r="N695" s="30" t="str">
        <f aca="false">IF(OR($B695="",$E695="",$M695=""),"",IF($E695&lt;$M695,0,NETWORKDAYS($M695,$E695,calendar!$A$2:$A$80)))</f>
        <v/>
      </c>
      <c r="O695" s="30" t="str">
        <f aca="false">IF($B695="","",IF(AND($K695="Y",OR($D695="later",$J695="Y")),"Y","N"))</f>
        <v/>
      </c>
      <c r="P695" s="30" t="str">
        <f aca="false">IF(OR($B695="",$E695=""),"",$B695&amp;"_"&amp;$C695&amp;"_"&amp;$D695&amp;"_"&amp;TEXT($E695,"yyyy-mm-dd")&amp;".jpg")</f>
        <v/>
      </c>
      <c r="Q695" s="30" t="str">
        <f aca="false">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30" t="str">
        <f aca="false">IF($B695="","",$B695&amp;"|"&amp;$C695&amp;"|"&amp;$D695&amp;"|"&amp;$O695)</f>
        <v/>
      </c>
      <c r="S695" s="30" t="str">
        <f aca="false">IF($B695="","",$R695&amp;"|"&amp;N($E695))</f>
        <v/>
      </c>
    </row>
    <row r="696" customFormat="false" ht="15" hidden="false" customHeight="false" outlineLevel="0" collapsed="false">
      <c r="D696" s="10"/>
      <c r="E696" s="11"/>
      <c r="F696" s="38"/>
      <c r="G696" s="10"/>
      <c r="I696" s="11"/>
      <c r="J696" s="10"/>
      <c r="K696" s="10"/>
      <c r="M696" s="31" t="str">
        <f aca="false">IF($B696="","",IFERROR(IF(INDEX(campaigns!$BG$2:$BG$51,MATCH($B696,campaigns!$A$2:$A$51,0))="","",INDEX(campaigns!$BG$2:$BG$51,MATCH($B696,campaigns!$A$2:$A$51,0))),""))</f>
        <v/>
      </c>
      <c r="N696" s="30" t="str">
        <f aca="false">IF(OR($B696="",$E696="",$M696=""),"",IF($E696&lt;$M696,0,NETWORKDAYS($M696,$E696,calendar!$A$2:$A$80)))</f>
        <v/>
      </c>
      <c r="O696" s="30" t="str">
        <f aca="false">IF($B696="","",IF(AND($K696="Y",OR($D696="later",$J696="Y")),"Y","N"))</f>
        <v/>
      </c>
      <c r="P696" s="30" t="str">
        <f aca="false">IF(OR($B696="",$E696=""),"",$B696&amp;"_"&amp;$C696&amp;"_"&amp;$D696&amp;"_"&amp;TEXT($E696,"yyyy-mm-dd")&amp;".jpg")</f>
        <v/>
      </c>
      <c r="Q696" s="30" t="str">
        <f aca="false">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30" t="str">
        <f aca="false">IF($B696="","",$B696&amp;"|"&amp;$C696&amp;"|"&amp;$D696&amp;"|"&amp;$O696)</f>
        <v/>
      </c>
      <c r="S696" s="30" t="str">
        <f aca="false">IF($B696="","",$R696&amp;"|"&amp;N($E696))</f>
        <v/>
      </c>
    </row>
    <row r="697" customFormat="false" ht="15" hidden="false" customHeight="false" outlineLevel="0" collapsed="false">
      <c r="D697" s="10"/>
      <c r="E697" s="11"/>
      <c r="F697" s="38"/>
      <c r="G697" s="10"/>
      <c r="I697" s="11"/>
      <c r="J697" s="10"/>
      <c r="K697" s="10"/>
      <c r="M697" s="31" t="str">
        <f aca="false">IF($B697="","",IFERROR(IF(INDEX(campaigns!$BG$2:$BG$51,MATCH($B697,campaigns!$A$2:$A$51,0))="","",INDEX(campaigns!$BG$2:$BG$51,MATCH($B697,campaigns!$A$2:$A$51,0))),""))</f>
        <v/>
      </c>
      <c r="N697" s="30" t="str">
        <f aca="false">IF(OR($B697="",$E697="",$M697=""),"",IF($E697&lt;$M697,0,NETWORKDAYS($M697,$E697,calendar!$A$2:$A$80)))</f>
        <v/>
      </c>
      <c r="O697" s="30" t="str">
        <f aca="false">IF($B697="","",IF(AND($K697="Y",OR($D697="later",$J697="Y")),"Y","N"))</f>
        <v/>
      </c>
      <c r="P697" s="30" t="str">
        <f aca="false">IF(OR($B697="",$E697=""),"",$B697&amp;"_"&amp;$C697&amp;"_"&amp;$D697&amp;"_"&amp;TEXT($E697,"yyyy-mm-dd")&amp;".jpg")</f>
        <v/>
      </c>
      <c r="Q697" s="30" t="str">
        <f aca="false">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30" t="str">
        <f aca="false">IF($B697="","",$B697&amp;"|"&amp;$C697&amp;"|"&amp;$D697&amp;"|"&amp;$O697)</f>
        <v/>
      </c>
      <c r="S697" s="30" t="str">
        <f aca="false">IF($B697="","",$R697&amp;"|"&amp;N($E697))</f>
        <v/>
      </c>
    </row>
    <row r="698" customFormat="false" ht="15" hidden="false" customHeight="false" outlineLevel="0" collapsed="false">
      <c r="D698" s="10"/>
      <c r="E698" s="11"/>
      <c r="F698" s="38"/>
      <c r="G698" s="10"/>
      <c r="I698" s="11"/>
      <c r="J698" s="10"/>
      <c r="K698" s="10"/>
      <c r="M698" s="31" t="str">
        <f aca="false">IF($B698="","",IFERROR(IF(INDEX(campaigns!$BG$2:$BG$51,MATCH($B698,campaigns!$A$2:$A$51,0))="","",INDEX(campaigns!$BG$2:$BG$51,MATCH($B698,campaigns!$A$2:$A$51,0))),""))</f>
        <v/>
      </c>
      <c r="N698" s="30" t="str">
        <f aca="false">IF(OR($B698="",$E698="",$M698=""),"",IF($E698&lt;$M698,0,NETWORKDAYS($M698,$E698,calendar!$A$2:$A$80)))</f>
        <v/>
      </c>
      <c r="O698" s="30" t="str">
        <f aca="false">IF($B698="","",IF(AND($K698="Y",OR($D698="later",$J698="Y")),"Y","N"))</f>
        <v/>
      </c>
      <c r="P698" s="30" t="str">
        <f aca="false">IF(OR($B698="",$E698=""),"",$B698&amp;"_"&amp;$C698&amp;"_"&amp;$D698&amp;"_"&amp;TEXT($E698,"yyyy-mm-dd")&amp;".jpg")</f>
        <v/>
      </c>
      <c r="Q698" s="30" t="str">
        <f aca="false">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30" t="str">
        <f aca="false">IF($B698="","",$B698&amp;"|"&amp;$C698&amp;"|"&amp;$D698&amp;"|"&amp;$O698)</f>
        <v/>
      </c>
      <c r="S698" s="30" t="str">
        <f aca="false">IF($B698="","",$R698&amp;"|"&amp;N($E698))</f>
        <v/>
      </c>
    </row>
    <row r="699" customFormat="false" ht="15" hidden="false" customHeight="false" outlineLevel="0" collapsed="false">
      <c r="D699" s="10"/>
      <c r="E699" s="11"/>
      <c r="F699" s="38"/>
      <c r="G699" s="10"/>
      <c r="I699" s="11"/>
      <c r="J699" s="10"/>
      <c r="K699" s="10"/>
      <c r="M699" s="31" t="str">
        <f aca="false">IF($B699="","",IFERROR(IF(INDEX(campaigns!$BG$2:$BG$51,MATCH($B699,campaigns!$A$2:$A$51,0))="","",INDEX(campaigns!$BG$2:$BG$51,MATCH($B699,campaigns!$A$2:$A$51,0))),""))</f>
        <v/>
      </c>
      <c r="N699" s="30" t="str">
        <f aca="false">IF(OR($B699="",$E699="",$M699=""),"",IF($E699&lt;$M699,0,NETWORKDAYS($M699,$E699,calendar!$A$2:$A$80)))</f>
        <v/>
      </c>
      <c r="O699" s="30" t="str">
        <f aca="false">IF($B699="","",IF(AND($K699="Y",OR($D699="later",$J699="Y")),"Y","N"))</f>
        <v/>
      </c>
      <c r="P699" s="30" t="str">
        <f aca="false">IF(OR($B699="",$E699=""),"",$B699&amp;"_"&amp;$C699&amp;"_"&amp;$D699&amp;"_"&amp;TEXT($E699,"yyyy-mm-dd")&amp;".jpg")</f>
        <v/>
      </c>
      <c r="Q699" s="30" t="str">
        <f aca="false">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30" t="str">
        <f aca="false">IF($B699="","",$B699&amp;"|"&amp;$C699&amp;"|"&amp;$D699&amp;"|"&amp;$O699)</f>
        <v/>
      </c>
      <c r="S699" s="30" t="str">
        <f aca="false">IF($B699="","",$R699&amp;"|"&amp;N($E699))</f>
        <v/>
      </c>
    </row>
    <row r="700" customFormat="false" ht="15" hidden="false" customHeight="false" outlineLevel="0" collapsed="false">
      <c r="D700" s="10"/>
      <c r="E700" s="11"/>
      <c r="F700" s="38"/>
      <c r="G700" s="10"/>
      <c r="I700" s="11"/>
      <c r="J700" s="10"/>
      <c r="K700" s="10"/>
      <c r="M700" s="31" t="str">
        <f aca="false">IF($B700="","",IFERROR(IF(INDEX(campaigns!$BG$2:$BG$51,MATCH($B700,campaigns!$A$2:$A$51,0))="","",INDEX(campaigns!$BG$2:$BG$51,MATCH($B700,campaigns!$A$2:$A$51,0))),""))</f>
        <v/>
      </c>
      <c r="N700" s="30" t="str">
        <f aca="false">IF(OR($B700="",$E700="",$M700=""),"",IF($E700&lt;$M700,0,NETWORKDAYS($M700,$E700,calendar!$A$2:$A$80)))</f>
        <v/>
      </c>
      <c r="O700" s="30" t="str">
        <f aca="false">IF($B700="","",IF(AND($K700="Y",OR($D700="later",$J700="Y")),"Y","N"))</f>
        <v/>
      </c>
      <c r="P700" s="30" t="str">
        <f aca="false">IF(OR($B700="",$E700=""),"",$B700&amp;"_"&amp;$C700&amp;"_"&amp;$D700&amp;"_"&amp;TEXT($E700,"yyyy-mm-dd")&amp;".jpg")</f>
        <v/>
      </c>
      <c r="Q700" s="30" t="str">
        <f aca="false">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30" t="str">
        <f aca="false">IF($B700="","",$B700&amp;"|"&amp;$C700&amp;"|"&amp;$D700&amp;"|"&amp;$O700)</f>
        <v/>
      </c>
      <c r="S700" s="30" t="str">
        <f aca="false">IF($B700="","",$R700&amp;"|"&amp;N($E700))</f>
        <v/>
      </c>
    </row>
    <row r="701" customFormat="false" ht="15" hidden="false" customHeight="false" outlineLevel="0" collapsed="false">
      <c r="D701" s="10"/>
      <c r="E701" s="11"/>
      <c r="F701" s="38"/>
      <c r="G701" s="10"/>
      <c r="I701" s="11"/>
      <c r="J701" s="10"/>
      <c r="K701" s="10"/>
      <c r="M701" s="31" t="str">
        <f aca="false">IF($B701="","",IFERROR(IF(INDEX(campaigns!$BG$2:$BG$51,MATCH($B701,campaigns!$A$2:$A$51,0))="","",INDEX(campaigns!$BG$2:$BG$51,MATCH($B701,campaigns!$A$2:$A$51,0))),""))</f>
        <v/>
      </c>
      <c r="N701" s="30" t="str">
        <f aca="false">IF(OR($B701="",$E701="",$M701=""),"",IF($E701&lt;$M701,0,NETWORKDAYS($M701,$E701,calendar!$A$2:$A$80)))</f>
        <v/>
      </c>
      <c r="O701" s="30" t="str">
        <f aca="false">IF($B701="","",IF(AND($K701="Y",OR($D701="later",$J701="Y")),"Y","N"))</f>
        <v/>
      </c>
      <c r="P701" s="30" t="str">
        <f aca="false">IF(OR($B701="",$E701=""),"",$B701&amp;"_"&amp;$C701&amp;"_"&amp;$D701&amp;"_"&amp;TEXT($E701,"yyyy-mm-dd")&amp;".jpg")</f>
        <v/>
      </c>
      <c r="Q701" s="30" t="str">
        <f aca="false">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30" t="str">
        <f aca="false">IF($B701="","",$B701&amp;"|"&amp;$C701&amp;"|"&amp;$D701&amp;"|"&amp;$O701)</f>
        <v/>
      </c>
      <c r="S701" s="30" t="str">
        <f aca="false">IF($B701="","",$R701&amp;"|"&amp;N($E701))</f>
        <v/>
      </c>
    </row>
  </sheetData>
  <conditionalFormatting sqref="Q2:Q701">
    <cfRule type="expression" priority="2" aboveAverage="0" equalAverage="0" bottom="0" percent="0" rank="0" text="" dxfId="1">
      <formula>LEN(Q2)&gt;0</formula>
    </cfRule>
  </conditionalFormatting>
  <dataValidations count="4">
    <dataValidation allowBlank="true" error="Pick a value from the list." errorStyle="stop" errorTitle="Not on the list" operator="between" showDropDown="false" showErrorMessage="true" showInputMessage="false" sqref="D2:D701" type="list">
      <formula1>"placement,later"</formula1>
      <formula2>0</formula2>
    </dataValidation>
    <dataValidation allowBlank="true" error="Pick a value from the list." errorStyle="stop" errorTitle="Not on the list" operator="between" showDropDown="false" showErrorMessage="true" showInputMessage="false" sqref="G2:G701" type="list">
      <formula1>"founder,office,courier"</formula1>
      <formula2>0</formula2>
    </dataValidation>
    <dataValidation allowBlank="true" error="Pick a value from the list." errorStyle="stop" errorTitle="Not on the list" operator="between" showDropDown="false" showErrorMessage="true" showInputMessage="false" sqref="J2:J701" type="list">
      <formula1>"Y,N"</formula1>
      <formula2>0</formula2>
    </dataValidation>
    <dataValidation allowBlank="true" error="Pick a value from the list." errorStyle="stop" errorTitle="Not on the list" operator="between" showDropDown="false" showErrorMessage="true" showInputMessage="false" sqref="K2:K701" type="list">
      <formula1>"Y,N"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I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6"/>
    <col collapsed="false" customWidth="true" hidden="false" outlineLevel="0" max="4" min="4" style="0" width="20"/>
    <col collapsed="false" customWidth="true" hidden="false" outlineLevel="0" max="5" min="5" style="0" width="30"/>
    <col collapsed="false" customWidth="true" hidden="false" outlineLevel="0" max="6" min="6" style="0" width="24"/>
    <col collapsed="false" customWidth="true" hidden="false" outlineLevel="0" max="7" min="7" style="0" width="60"/>
    <col collapsed="false" customWidth="true" hidden="false" outlineLevel="0" max="9" min="8" style="0" width="28"/>
  </cols>
  <sheetData>
    <row r="1" customFormat="false" ht="15" hidden="false" customHeight="false" outlineLevel="0" collapsed="false">
      <c r="A1" s="29" t="s">
        <v>358</v>
      </c>
      <c r="B1" s="29" t="s">
        <v>642</v>
      </c>
      <c r="C1" s="29" t="s">
        <v>1110</v>
      </c>
      <c r="D1" s="29" t="s">
        <v>1111</v>
      </c>
      <c r="E1" s="29" t="s">
        <v>1112</v>
      </c>
      <c r="F1" s="29" t="s">
        <v>712</v>
      </c>
      <c r="G1" s="29" t="s">
        <v>1113</v>
      </c>
      <c r="H1" s="29" t="s">
        <v>1114</v>
      </c>
      <c r="I1" s="29" t="s">
        <v>120</v>
      </c>
    </row>
    <row r="2" customFormat="false" ht="15" hidden="false" customHeight="false" outlineLevel="0" collapsed="false">
      <c r="A2" s="30" t="str">
        <f aca="false">IF(INDEX(approvals!$A$2:$A$251,INT((ROW()-2)/2)+1)="","",INDEX(approvals!$A$2:$A$251,INT((ROW()-2)/2)+1))</f>
        <v>SAMPLE-CMP-001</v>
      </c>
      <c r="B2" s="30" t="str">
        <f aca="false">IF(INDEX(approvals!$A$2:$A$251,INT((ROW()-2)/2)+1)="","",INDEX(approvals!$B$2:$B$251,INT((ROW()-2)/2)+1))</f>
        <v>SAMPLE-O-001</v>
      </c>
      <c r="C2" s="30" t="str">
        <f aca="false">IF($A2="","",IF(MOD(ROW()-2,2)=0,"qr","post"))</f>
        <v>qr</v>
      </c>
      <c r="D2" s="30" t="str">
        <f aca="false">IF($A2="","",IF(LEFT($A2,7)="SAMPLE-","SAMPLE-","")&amp;LOWER(SUBSTITUTE(SUBSTITUTE($A2,"SAMPLE-",""),"CMP-","c"))&amp;"-"&amp;LOWER(SUBSTITUTE(SUBSTITUTE($B2,"SAMPLE-",""),"O-","o"))&amp;"-"&amp;IF($C2="qr","q","p"))</f>
        <v>SAMPLE-c001-o001-q</v>
      </c>
      <c r="E2" s="30" t="str">
        <f aca="false">IF($A2="","","https://"&amp;config!$B$9&amp;"/"&amp;$D2)</f>
        <v>https://go.example.com/SAMPLE-c001-o001-q</v>
      </c>
      <c r="F2" s="30" t="str">
        <f aca="false">IF($A2="","",$A2&amp;"."&amp;$B2)</f>
        <v>SAMPLE-CMP-001.SAMPLE-O-001</v>
      </c>
      <c r="G2" s="30" t="str">
        <f aca="false">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https://docs.google.com/forms/d/e/SAMPLE-CMP-001-FORM/viewform?usp=pp_url&amp;entry.1000001=SAMPLE-CMP-001.SAMPLE-O-001&amp;utm_source=office-pantry&amp;utm_medium=qr&amp;utm_campaign=sample-cmp-001&amp;utm_content=sample-o-001</v>
      </c>
      <c r="H2" s="30" t="str">
        <f aca="false">IF(OR($A2="",$C2&lt;&gt;"qr"),"",$D2&amp;".png")</f>
        <v>SAMPLE-c001-o001-q.png</v>
      </c>
      <c r="I2" s="30" t="str">
        <f aca="true">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ustomFormat="false" ht="15" hidden="false" customHeight="false" outlineLevel="0" collapsed="false">
      <c r="A3" s="30" t="str">
        <f aca="false">IF(INDEX(approvals!$A$2:$A$251,INT((ROW()-2)/2)+1)="","",INDEX(approvals!$A$2:$A$251,INT((ROW()-2)/2)+1))</f>
        <v>SAMPLE-CMP-001</v>
      </c>
      <c r="B3" s="30" t="str">
        <f aca="false">IF(INDEX(approvals!$A$2:$A$251,INT((ROW()-2)/2)+1)="","",INDEX(approvals!$B$2:$B$251,INT((ROW()-2)/2)+1))</f>
        <v>SAMPLE-O-001</v>
      </c>
      <c r="C3" s="30" t="str">
        <f aca="false">IF($A3="","",IF(MOD(ROW()-2,2)=0,"qr","post"))</f>
        <v>post</v>
      </c>
      <c r="D3" s="30" t="str">
        <f aca="false">IF($A3="","",IF(LEFT($A3,7)="SAMPLE-","SAMPLE-","")&amp;LOWER(SUBSTITUTE(SUBSTITUTE($A3,"SAMPLE-",""),"CMP-","c"))&amp;"-"&amp;LOWER(SUBSTITUTE(SUBSTITUTE($B3,"SAMPLE-",""),"O-","o"))&amp;"-"&amp;IF($C3="qr","q","p"))</f>
        <v>SAMPLE-c001-o001-p</v>
      </c>
      <c r="E3" s="30" t="str">
        <f aca="false">IF($A3="","","https://"&amp;config!$B$9&amp;"/"&amp;$D3)</f>
        <v>https://go.example.com/SAMPLE-c001-o001-p</v>
      </c>
      <c r="F3" s="30" t="str">
        <f aca="false">IF($A3="","",$A3&amp;"."&amp;$B3)</f>
        <v>SAMPLE-CMP-001.SAMPLE-O-001</v>
      </c>
      <c r="G3" s="30" t="str">
        <f aca="false">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https://docs.google.com/forms/d/e/SAMPLE-CMP-001-FORM/viewform?usp=pp_url&amp;entry.1000001=SAMPLE-CMP-001.SAMPLE-O-001&amp;utm_source=office-pantry&amp;utm_medium=post&amp;utm_campaign=sample-cmp-001&amp;utm_content=sample-o-001</v>
      </c>
      <c r="H3" s="30" t="str">
        <f aca="false">IF(OR($A3="",$C3&lt;&gt;"qr"),"",$D3&amp;".png")</f>
        <v/>
      </c>
      <c r="I3" s="30" t="str">
        <f aca="true">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ustomFormat="false" ht="15" hidden="false" customHeight="false" outlineLevel="0" collapsed="false">
      <c r="A4" s="30" t="str">
        <f aca="false">IF(INDEX(approvals!$A$2:$A$251,INT((ROW()-2)/2)+1)="","",INDEX(approvals!$A$2:$A$251,INT((ROW()-2)/2)+1))</f>
        <v>SAMPLE-CMP-001</v>
      </c>
      <c r="B4" s="30" t="str">
        <f aca="false">IF(INDEX(approvals!$A$2:$A$251,INT((ROW()-2)/2)+1)="","",INDEX(approvals!$B$2:$B$251,INT((ROW()-2)/2)+1))</f>
        <v>SAMPLE-O-002</v>
      </c>
      <c r="C4" s="30" t="str">
        <f aca="false">IF($A4="","",IF(MOD(ROW()-2,2)=0,"qr","post"))</f>
        <v>qr</v>
      </c>
      <c r="D4" s="30" t="str">
        <f aca="false">IF($A4="","",IF(LEFT($A4,7)="SAMPLE-","SAMPLE-","")&amp;LOWER(SUBSTITUTE(SUBSTITUTE($A4,"SAMPLE-",""),"CMP-","c"))&amp;"-"&amp;LOWER(SUBSTITUTE(SUBSTITUTE($B4,"SAMPLE-",""),"O-","o"))&amp;"-"&amp;IF($C4="qr","q","p"))</f>
        <v>SAMPLE-c001-o002-q</v>
      </c>
      <c r="E4" s="30" t="str">
        <f aca="false">IF($A4="","","https://"&amp;config!$B$9&amp;"/"&amp;$D4)</f>
        <v>https://go.example.com/SAMPLE-c001-o002-q</v>
      </c>
      <c r="F4" s="30" t="str">
        <f aca="false">IF($A4="","",$A4&amp;"."&amp;$B4)</f>
        <v>SAMPLE-CMP-001.SAMPLE-O-002</v>
      </c>
      <c r="G4" s="30" t="str">
        <f aca="false">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https://docs.google.com/forms/d/e/SAMPLE-CMP-001-FORM/viewform?usp=pp_url&amp;entry.1000001=SAMPLE-CMP-001.SAMPLE-O-002&amp;utm_source=office-pantry&amp;utm_medium=qr&amp;utm_campaign=sample-cmp-001&amp;utm_content=sample-o-002</v>
      </c>
      <c r="H4" s="30" t="str">
        <f aca="false">IF(OR($A4="",$C4&lt;&gt;"qr"),"",$D4&amp;".png")</f>
        <v>SAMPLE-c001-o002-q.png</v>
      </c>
      <c r="I4" s="30" t="str">
        <f aca="true">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ustomFormat="false" ht="15" hidden="false" customHeight="false" outlineLevel="0" collapsed="false">
      <c r="A5" s="30" t="str">
        <f aca="false">IF(INDEX(approvals!$A$2:$A$251,INT((ROW()-2)/2)+1)="","",INDEX(approvals!$A$2:$A$251,INT((ROW()-2)/2)+1))</f>
        <v>SAMPLE-CMP-001</v>
      </c>
      <c r="B5" s="30" t="str">
        <f aca="false">IF(INDEX(approvals!$A$2:$A$251,INT((ROW()-2)/2)+1)="","",INDEX(approvals!$B$2:$B$251,INT((ROW()-2)/2)+1))</f>
        <v>SAMPLE-O-002</v>
      </c>
      <c r="C5" s="30" t="str">
        <f aca="false">IF($A5="","",IF(MOD(ROW()-2,2)=0,"qr","post"))</f>
        <v>post</v>
      </c>
      <c r="D5" s="30" t="str">
        <f aca="false">IF($A5="","",IF(LEFT($A5,7)="SAMPLE-","SAMPLE-","")&amp;LOWER(SUBSTITUTE(SUBSTITUTE($A5,"SAMPLE-",""),"CMP-","c"))&amp;"-"&amp;LOWER(SUBSTITUTE(SUBSTITUTE($B5,"SAMPLE-",""),"O-","o"))&amp;"-"&amp;IF($C5="qr","q","p"))</f>
        <v>SAMPLE-c001-o002-p</v>
      </c>
      <c r="E5" s="30" t="str">
        <f aca="false">IF($A5="","","https://"&amp;config!$B$9&amp;"/"&amp;$D5)</f>
        <v>https://go.example.com/SAMPLE-c001-o002-p</v>
      </c>
      <c r="F5" s="30" t="str">
        <f aca="false">IF($A5="","",$A5&amp;"."&amp;$B5)</f>
        <v>SAMPLE-CMP-001.SAMPLE-O-002</v>
      </c>
      <c r="G5" s="30" t="str">
        <f aca="false">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https://docs.google.com/forms/d/e/SAMPLE-CMP-001-FORM/viewform?usp=pp_url&amp;entry.1000001=SAMPLE-CMP-001.SAMPLE-O-002&amp;utm_source=office-pantry&amp;utm_medium=post&amp;utm_campaign=sample-cmp-001&amp;utm_content=sample-o-002</v>
      </c>
      <c r="H5" s="30" t="str">
        <f aca="false">IF(OR($A5="",$C5&lt;&gt;"qr"),"",$D5&amp;".png")</f>
        <v/>
      </c>
      <c r="I5" s="30" t="str">
        <f aca="true">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ustomFormat="false" ht="15" hidden="false" customHeight="false" outlineLevel="0" collapsed="false">
      <c r="A6" s="30" t="str">
        <f aca="false">IF(INDEX(approvals!$A$2:$A$251,INT((ROW()-2)/2)+1)="","",INDEX(approvals!$A$2:$A$251,INT((ROW()-2)/2)+1))</f>
        <v>SAMPLE-CMP-001</v>
      </c>
      <c r="B6" s="30" t="str">
        <f aca="false">IF(INDEX(approvals!$A$2:$A$251,INT((ROW()-2)/2)+1)="","",INDEX(approvals!$B$2:$B$251,INT((ROW()-2)/2)+1))</f>
        <v>SAMPLE-O-003</v>
      </c>
      <c r="C6" s="30" t="str">
        <f aca="false">IF($A6="","",IF(MOD(ROW()-2,2)=0,"qr","post"))</f>
        <v>qr</v>
      </c>
      <c r="D6" s="30" t="str">
        <f aca="false">IF($A6="","",IF(LEFT($A6,7)="SAMPLE-","SAMPLE-","")&amp;LOWER(SUBSTITUTE(SUBSTITUTE($A6,"SAMPLE-",""),"CMP-","c"))&amp;"-"&amp;LOWER(SUBSTITUTE(SUBSTITUTE($B6,"SAMPLE-",""),"O-","o"))&amp;"-"&amp;IF($C6="qr","q","p"))</f>
        <v>SAMPLE-c001-o003-q</v>
      </c>
      <c r="E6" s="30" t="str">
        <f aca="false">IF($A6="","","https://"&amp;config!$B$9&amp;"/"&amp;$D6)</f>
        <v>https://go.example.com/SAMPLE-c001-o003-q</v>
      </c>
      <c r="F6" s="30" t="str">
        <f aca="false">IF($A6="","",$A6&amp;"."&amp;$B6)</f>
        <v>SAMPLE-CMP-001.SAMPLE-O-003</v>
      </c>
      <c r="G6" s="30" t="str">
        <f aca="false">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https://docs.google.com/forms/d/e/SAMPLE-CMP-001-FORM/viewform?usp=pp_url&amp;entry.1000001=SAMPLE-CMP-001.SAMPLE-O-003&amp;utm_source=office-pantry&amp;utm_medium=qr&amp;utm_campaign=sample-cmp-001&amp;utm_content=sample-o-003</v>
      </c>
      <c r="H6" s="30" t="str">
        <f aca="false">IF(OR($A6="",$C6&lt;&gt;"qr"),"",$D6&amp;".png")</f>
        <v>SAMPLE-c001-o003-q.png</v>
      </c>
      <c r="I6" s="30" t="str">
        <f aca="true">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ustomFormat="false" ht="15" hidden="false" customHeight="false" outlineLevel="0" collapsed="false">
      <c r="A7" s="30" t="str">
        <f aca="false">IF(INDEX(approvals!$A$2:$A$251,INT((ROW()-2)/2)+1)="","",INDEX(approvals!$A$2:$A$251,INT((ROW()-2)/2)+1))</f>
        <v>SAMPLE-CMP-001</v>
      </c>
      <c r="B7" s="30" t="str">
        <f aca="false">IF(INDEX(approvals!$A$2:$A$251,INT((ROW()-2)/2)+1)="","",INDEX(approvals!$B$2:$B$251,INT((ROW()-2)/2)+1))</f>
        <v>SAMPLE-O-003</v>
      </c>
      <c r="C7" s="30" t="str">
        <f aca="false">IF($A7="","",IF(MOD(ROW()-2,2)=0,"qr","post"))</f>
        <v>post</v>
      </c>
      <c r="D7" s="30" t="str">
        <f aca="false">IF($A7="","",IF(LEFT($A7,7)="SAMPLE-","SAMPLE-","")&amp;LOWER(SUBSTITUTE(SUBSTITUTE($A7,"SAMPLE-",""),"CMP-","c"))&amp;"-"&amp;LOWER(SUBSTITUTE(SUBSTITUTE($B7,"SAMPLE-",""),"O-","o"))&amp;"-"&amp;IF($C7="qr","q","p"))</f>
        <v>SAMPLE-c001-o003-p</v>
      </c>
      <c r="E7" s="30" t="str">
        <f aca="false">IF($A7="","","https://"&amp;config!$B$9&amp;"/"&amp;$D7)</f>
        <v>https://go.example.com/SAMPLE-c001-o003-p</v>
      </c>
      <c r="F7" s="30" t="str">
        <f aca="false">IF($A7="","",$A7&amp;"."&amp;$B7)</f>
        <v>SAMPLE-CMP-001.SAMPLE-O-003</v>
      </c>
      <c r="G7" s="30" t="str">
        <f aca="false">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https://docs.google.com/forms/d/e/SAMPLE-CMP-001-FORM/viewform?usp=pp_url&amp;entry.1000001=SAMPLE-CMP-001.SAMPLE-O-003&amp;utm_source=office-pantry&amp;utm_medium=post&amp;utm_campaign=sample-cmp-001&amp;utm_content=sample-o-003</v>
      </c>
      <c r="H7" s="30" t="str">
        <f aca="false">IF(OR($A7="",$C7&lt;&gt;"qr"),"",$D7&amp;".png")</f>
        <v/>
      </c>
      <c r="I7" s="30" t="str">
        <f aca="true">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ustomFormat="false" ht="15" hidden="false" customHeight="false" outlineLevel="0" collapsed="false">
      <c r="A8" s="30" t="str">
        <f aca="false">IF(INDEX(approvals!$A$2:$A$251,INT((ROW()-2)/2)+1)="","",INDEX(approvals!$A$2:$A$251,INT((ROW()-2)/2)+1))</f>
        <v>SAMPLE-CMP-001</v>
      </c>
      <c r="B8" s="30" t="str">
        <f aca="false">IF(INDEX(approvals!$A$2:$A$251,INT((ROW()-2)/2)+1)="","",INDEX(approvals!$B$2:$B$251,INT((ROW()-2)/2)+1))</f>
        <v>SAMPLE-O-004</v>
      </c>
      <c r="C8" s="30" t="str">
        <f aca="false">IF($A8="","",IF(MOD(ROW()-2,2)=0,"qr","post"))</f>
        <v>qr</v>
      </c>
      <c r="D8" s="30" t="str">
        <f aca="false">IF($A8="","",IF(LEFT($A8,7)="SAMPLE-","SAMPLE-","")&amp;LOWER(SUBSTITUTE(SUBSTITUTE($A8,"SAMPLE-",""),"CMP-","c"))&amp;"-"&amp;LOWER(SUBSTITUTE(SUBSTITUTE($B8,"SAMPLE-",""),"O-","o"))&amp;"-"&amp;IF($C8="qr","q","p"))</f>
        <v>SAMPLE-c001-o004-q</v>
      </c>
      <c r="E8" s="30" t="str">
        <f aca="false">IF($A8="","","https://"&amp;config!$B$9&amp;"/"&amp;$D8)</f>
        <v>https://go.example.com/SAMPLE-c001-o004-q</v>
      </c>
      <c r="F8" s="30" t="str">
        <f aca="false">IF($A8="","",$A8&amp;"."&amp;$B8)</f>
        <v>SAMPLE-CMP-001.SAMPLE-O-004</v>
      </c>
      <c r="G8" s="30" t="str">
        <f aca="false">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https://docs.google.com/forms/d/e/SAMPLE-CMP-001-FORM/viewform?usp=pp_url&amp;entry.1000001=SAMPLE-CMP-001.SAMPLE-O-004&amp;utm_source=office-pantry&amp;utm_medium=qr&amp;utm_campaign=sample-cmp-001&amp;utm_content=sample-o-004</v>
      </c>
      <c r="H8" s="30" t="str">
        <f aca="false">IF(OR($A8="",$C8&lt;&gt;"qr"),"",$D8&amp;".png")</f>
        <v>SAMPLE-c001-o004-q.png</v>
      </c>
      <c r="I8" s="30" t="str">
        <f aca="true">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ustomFormat="false" ht="15" hidden="false" customHeight="false" outlineLevel="0" collapsed="false">
      <c r="A9" s="30" t="str">
        <f aca="false">IF(INDEX(approvals!$A$2:$A$251,INT((ROW()-2)/2)+1)="","",INDEX(approvals!$A$2:$A$251,INT((ROW()-2)/2)+1))</f>
        <v>SAMPLE-CMP-001</v>
      </c>
      <c r="B9" s="30" t="str">
        <f aca="false">IF(INDEX(approvals!$A$2:$A$251,INT((ROW()-2)/2)+1)="","",INDEX(approvals!$B$2:$B$251,INT((ROW()-2)/2)+1))</f>
        <v>SAMPLE-O-004</v>
      </c>
      <c r="C9" s="30" t="str">
        <f aca="false">IF($A9="","",IF(MOD(ROW()-2,2)=0,"qr","post"))</f>
        <v>post</v>
      </c>
      <c r="D9" s="30" t="str">
        <f aca="false">IF($A9="","",IF(LEFT($A9,7)="SAMPLE-","SAMPLE-","")&amp;LOWER(SUBSTITUTE(SUBSTITUTE($A9,"SAMPLE-",""),"CMP-","c"))&amp;"-"&amp;LOWER(SUBSTITUTE(SUBSTITUTE($B9,"SAMPLE-",""),"O-","o"))&amp;"-"&amp;IF($C9="qr","q","p"))</f>
        <v>SAMPLE-c001-o004-p</v>
      </c>
      <c r="E9" s="30" t="str">
        <f aca="false">IF($A9="","","https://"&amp;config!$B$9&amp;"/"&amp;$D9)</f>
        <v>https://go.example.com/SAMPLE-c001-o004-p</v>
      </c>
      <c r="F9" s="30" t="str">
        <f aca="false">IF($A9="","",$A9&amp;"."&amp;$B9)</f>
        <v>SAMPLE-CMP-001.SAMPLE-O-004</v>
      </c>
      <c r="G9" s="30" t="str">
        <f aca="false">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https://docs.google.com/forms/d/e/SAMPLE-CMP-001-FORM/viewform?usp=pp_url&amp;entry.1000001=SAMPLE-CMP-001.SAMPLE-O-004&amp;utm_source=office-pantry&amp;utm_medium=post&amp;utm_campaign=sample-cmp-001&amp;utm_content=sample-o-004</v>
      </c>
      <c r="H9" s="30" t="str">
        <f aca="false">IF(OR($A9="",$C9&lt;&gt;"qr"),"",$D9&amp;".png")</f>
        <v/>
      </c>
      <c r="I9" s="30" t="str">
        <f aca="true">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ustomFormat="false" ht="15" hidden="false" customHeight="false" outlineLevel="0" collapsed="false">
      <c r="A10" s="30" t="str">
        <f aca="false">IF(INDEX(approvals!$A$2:$A$251,INT((ROW()-2)/2)+1)="","",INDEX(approvals!$A$2:$A$251,INT((ROW()-2)/2)+1))</f>
        <v>SAMPLE-CMP-001</v>
      </c>
      <c r="B10" s="30" t="str">
        <f aca="false">IF(INDEX(approvals!$A$2:$A$251,INT((ROW()-2)/2)+1)="","",INDEX(approvals!$B$2:$B$251,INT((ROW()-2)/2)+1))</f>
        <v>SAMPLE-O-005</v>
      </c>
      <c r="C10" s="30" t="str">
        <f aca="false">IF($A10="","",IF(MOD(ROW()-2,2)=0,"qr","post"))</f>
        <v>qr</v>
      </c>
      <c r="D10" s="30" t="str">
        <f aca="false">IF($A10="","",IF(LEFT($A10,7)="SAMPLE-","SAMPLE-","")&amp;LOWER(SUBSTITUTE(SUBSTITUTE($A10,"SAMPLE-",""),"CMP-","c"))&amp;"-"&amp;LOWER(SUBSTITUTE(SUBSTITUTE($B10,"SAMPLE-",""),"O-","o"))&amp;"-"&amp;IF($C10="qr","q","p"))</f>
        <v>SAMPLE-c001-o005-q</v>
      </c>
      <c r="E10" s="30" t="str">
        <f aca="false">IF($A10="","","https://"&amp;config!$B$9&amp;"/"&amp;$D10)</f>
        <v>https://go.example.com/SAMPLE-c001-o005-q</v>
      </c>
      <c r="F10" s="30" t="str">
        <f aca="false">IF($A10="","",$A10&amp;"."&amp;$B10)</f>
        <v>SAMPLE-CMP-001.SAMPLE-O-005</v>
      </c>
      <c r="G10" s="30" t="str">
        <f aca="false">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https://docs.google.com/forms/d/e/SAMPLE-CMP-001-FORM/viewform?usp=pp_url&amp;entry.1000001=SAMPLE-CMP-001.SAMPLE-O-005&amp;utm_source=office-pantry&amp;utm_medium=qr&amp;utm_campaign=sample-cmp-001&amp;utm_content=sample-o-005</v>
      </c>
      <c r="H10" s="30" t="str">
        <f aca="false">IF(OR($A10="",$C10&lt;&gt;"qr"),"",$D10&amp;".png")</f>
        <v>SAMPLE-c001-o005-q.png</v>
      </c>
      <c r="I10" s="30" t="str">
        <f aca="true">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ustomFormat="false" ht="15" hidden="false" customHeight="false" outlineLevel="0" collapsed="false">
      <c r="A11" s="30" t="str">
        <f aca="false">IF(INDEX(approvals!$A$2:$A$251,INT((ROW()-2)/2)+1)="","",INDEX(approvals!$A$2:$A$251,INT((ROW()-2)/2)+1))</f>
        <v>SAMPLE-CMP-001</v>
      </c>
      <c r="B11" s="30" t="str">
        <f aca="false">IF(INDEX(approvals!$A$2:$A$251,INT((ROW()-2)/2)+1)="","",INDEX(approvals!$B$2:$B$251,INT((ROW()-2)/2)+1))</f>
        <v>SAMPLE-O-005</v>
      </c>
      <c r="C11" s="30" t="str">
        <f aca="false">IF($A11="","",IF(MOD(ROW()-2,2)=0,"qr","post"))</f>
        <v>post</v>
      </c>
      <c r="D11" s="30" t="str">
        <f aca="false">IF($A11="","",IF(LEFT($A11,7)="SAMPLE-","SAMPLE-","")&amp;LOWER(SUBSTITUTE(SUBSTITUTE($A11,"SAMPLE-",""),"CMP-","c"))&amp;"-"&amp;LOWER(SUBSTITUTE(SUBSTITUTE($B11,"SAMPLE-",""),"O-","o"))&amp;"-"&amp;IF($C11="qr","q","p"))</f>
        <v>SAMPLE-c001-o005-p</v>
      </c>
      <c r="E11" s="30" t="str">
        <f aca="false">IF($A11="","","https://"&amp;config!$B$9&amp;"/"&amp;$D11)</f>
        <v>https://go.example.com/SAMPLE-c001-o005-p</v>
      </c>
      <c r="F11" s="30" t="str">
        <f aca="false">IF($A11="","",$A11&amp;"."&amp;$B11)</f>
        <v>SAMPLE-CMP-001.SAMPLE-O-005</v>
      </c>
      <c r="G11" s="30" t="str">
        <f aca="false">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https://docs.google.com/forms/d/e/SAMPLE-CMP-001-FORM/viewform?usp=pp_url&amp;entry.1000001=SAMPLE-CMP-001.SAMPLE-O-005&amp;utm_source=office-pantry&amp;utm_medium=post&amp;utm_campaign=sample-cmp-001&amp;utm_content=sample-o-005</v>
      </c>
      <c r="H11" s="30" t="str">
        <f aca="false">IF(OR($A11="",$C11&lt;&gt;"qr"),"",$D11&amp;".png")</f>
        <v/>
      </c>
      <c r="I11" s="30" t="str">
        <f aca="true">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ustomFormat="false" ht="15" hidden="false" customHeight="false" outlineLevel="0" collapsed="false">
      <c r="A12" s="30" t="str">
        <f aca="false">IF(INDEX(approvals!$A$2:$A$251,INT((ROW()-2)/2)+1)="","",INDEX(approvals!$A$2:$A$251,INT((ROW()-2)/2)+1))</f>
        <v>SAMPLE-CMP-002</v>
      </c>
      <c r="B12" s="30" t="str">
        <f aca="false">IF(INDEX(approvals!$A$2:$A$251,INT((ROW()-2)/2)+1)="","",INDEX(approvals!$B$2:$B$251,INT((ROW()-2)/2)+1))</f>
        <v>SAMPLE-O-001</v>
      </c>
      <c r="C12" s="30" t="str">
        <f aca="false">IF($A12="","",IF(MOD(ROW()-2,2)=0,"qr","post"))</f>
        <v>qr</v>
      </c>
      <c r="D12" s="30" t="str">
        <f aca="false">IF($A12="","",IF(LEFT($A12,7)="SAMPLE-","SAMPLE-","")&amp;LOWER(SUBSTITUTE(SUBSTITUTE($A12,"SAMPLE-",""),"CMP-","c"))&amp;"-"&amp;LOWER(SUBSTITUTE(SUBSTITUTE($B12,"SAMPLE-",""),"O-","o"))&amp;"-"&amp;IF($C12="qr","q","p"))</f>
        <v>SAMPLE-c002-o001-q</v>
      </c>
      <c r="E12" s="30" t="str">
        <f aca="false">IF($A12="","","https://"&amp;config!$B$9&amp;"/"&amp;$D12)</f>
        <v>https://go.example.com/SAMPLE-c002-o001-q</v>
      </c>
      <c r="F12" s="30" t="str">
        <f aca="false">IF($A12="","",$A12&amp;"."&amp;$B12)</f>
        <v>SAMPLE-CMP-002.SAMPLE-O-001</v>
      </c>
      <c r="G12" s="30" t="str">
        <f aca="false">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https://docs.google.com/forms/d/e/SAMPLE-CMP-002-FORM/viewform?usp=pp_url&amp;entry.1000001=SAMPLE-CMP-002.SAMPLE-O-001&amp;utm_source=office-pantry&amp;utm_medium=qr&amp;utm_campaign=sample-cmp-002&amp;utm_content=sample-o-001</v>
      </c>
      <c r="H12" s="30" t="str">
        <f aca="false">IF(OR($A12="",$C12&lt;&gt;"qr"),"",$D12&amp;".png")</f>
        <v>SAMPLE-c002-o001-q.png</v>
      </c>
      <c r="I12" s="30" t="str">
        <f aca="true">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ustomFormat="false" ht="15" hidden="false" customHeight="false" outlineLevel="0" collapsed="false">
      <c r="A13" s="30" t="str">
        <f aca="false">IF(INDEX(approvals!$A$2:$A$251,INT((ROW()-2)/2)+1)="","",INDEX(approvals!$A$2:$A$251,INT((ROW()-2)/2)+1))</f>
        <v>SAMPLE-CMP-002</v>
      </c>
      <c r="B13" s="30" t="str">
        <f aca="false">IF(INDEX(approvals!$A$2:$A$251,INT((ROW()-2)/2)+1)="","",INDEX(approvals!$B$2:$B$251,INT((ROW()-2)/2)+1))</f>
        <v>SAMPLE-O-001</v>
      </c>
      <c r="C13" s="30" t="str">
        <f aca="false">IF($A13="","",IF(MOD(ROW()-2,2)=0,"qr","post"))</f>
        <v>post</v>
      </c>
      <c r="D13" s="30" t="str">
        <f aca="false">IF($A13="","",IF(LEFT($A13,7)="SAMPLE-","SAMPLE-","")&amp;LOWER(SUBSTITUTE(SUBSTITUTE($A13,"SAMPLE-",""),"CMP-","c"))&amp;"-"&amp;LOWER(SUBSTITUTE(SUBSTITUTE($B13,"SAMPLE-",""),"O-","o"))&amp;"-"&amp;IF($C13="qr","q","p"))</f>
        <v>SAMPLE-c002-o001-p</v>
      </c>
      <c r="E13" s="30" t="str">
        <f aca="false">IF($A13="","","https://"&amp;config!$B$9&amp;"/"&amp;$D13)</f>
        <v>https://go.example.com/SAMPLE-c002-o001-p</v>
      </c>
      <c r="F13" s="30" t="str">
        <f aca="false">IF($A13="","",$A13&amp;"."&amp;$B13)</f>
        <v>SAMPLE-CMP-002.SAMPLE-O-001</v>
      </c>
      <c r="G13" s="30" t="str">
        <f aca="false">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https://docs.google.com/forms/d/e/SAMPLE-CMP-002-FORM/viewform?usp=pp_url&amp;entry.1000001=SAMPLE-CMP-002.SAMPLE-O-001&amp;utm_source=office-pantry&amp;utm_medium=post&amp;utm_campaign=sample-cmp-002&amp;utm_content=sample-o-001</v>
      </c>
      <c r="H13" s="30" t="str">
        <f aca="false">IF(OR($A13="",$C13&lt;&gt;"qr"),"",$D13&amp;".png")</f>
        <v/>
      </c>
      <c r="I13" s="30" t="str">
        <f aca="true">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ustomFormat="false" ht="15" hidden="false" customHeight="false" outlineLevel="0" collapsed="false">
      <c r="A14" s="30" t="str">
        <f aca="false">IF(INDEX(approvals!$A$2:$A$251,INT((ROW()-2)/2)+1)="","",INDEX(approvals!$A$2:$A$251,INT((ROW()-2)/2)+1))</f>
        <v>SAMPLE-CMP-002</v>
      </c>
      <c r="B14" s="30" t="str">
        <f aca="false">IF(INDEX(approvals!$A$2:$A$251,INT((ROW()-2)/2)+1)="","",INDEX(approvals!$B$2:$B$251,INT((ROW()-2)/2)+1))</f>
        <v>SAMPLE-O-002</v>
      </c>
      <c r="C14" s="30" t="str">
        <f aca="false">IF($A14="","",IF(MOD(ROW()-2,2)=0,"qr","post"))</f>
        <v>qr</v>
      </c>
      <c r="D14" s="30" t="str">
        <f aca="false">IF($A14="","",IF(LEFT($A14,7)="SAMPLE-","SAMPLE-","")&amp;LOWER(SUBSTITUTE(SUBSTITUTE($A14,"SAMPLE-",""),"CMP-","c"))&amp;"-"&amp;LOWER(SUBSTITUTE(SUBSTITUTE($B14,"SAMPLE-",""),"O-","o"))&amp;"-"&amp;IF($C14="qr","q","p"))</f>
        <v>SAMPLE-c002-o002-q</v>
      </c>
      <c r="E14" s="30" t="str">
        <f aca="false">IF($A14="","","https://"&amp;config!$B$9&amp;"/"&amp;$D14)</f>
        <v>https://go.example.com/SAMPLE-c002-o002-q</v>
      </c>
      <c r="F14" s="30" t="str">
        <f aca="false">IF($A14="","",$A14&amp;"."&amp;$B14)</f>
        <v>SAMPLE-CMP-002.SAMPLE-O-002</v>
      </c>
      <c r="G14" s="30" t="str">
        <f aca="false">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https://docs.google.com/forms/d/e/SAMPLE-CMP-002-FORM/viewform?usp=pp_url&amp;entry.1000001=SAMPLE-CMP-002.SAMPLE-O-002&amp;utm_source=office-pantry&amp;utm_medium=qr&amp;utm_campaign=sample-cmp-002&amp;utm_content=sample-o-002</v>
      </c>
      <c r="H14" s="30" t="str">
        <f aca="false">IF(OR($A14="",$C14&lt;&gt;"qr"),"",$D14&amp;".png")</f>
        <v>SAMPLE-c002-o002-q.png</v>
      </c>
      <c r="I14" s="30" t="str">
        <f aca="true">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ustomFormat="false" ht="15" hidden="false" customHeight="false" outlineLevel="0" collapsed="false">
      <c r="A15" s="30" t="str">
        <f aca="false">IF(INDEX(approvals!$A$2:$A$251,INT((ROW()-2)/2)+1)="","",INDEX(approvals!$A$2:$A$251,INT((ROW()-2)/2)+1))</f>
        <v>SAMPLE-CMP-002</v>
      </c>
      <c r="B15" s="30" t="str">
        <f aca="false">IF(INDEX(approvals!$A$2:$A$251,INT((ROW()-2)/2)+1)="","",INDEX(approvals!$B$2:$B$251,INT((ROW()-2)/2)+1))</f>
        <v>SAMPLE-O-002</v>
      </c>
      <c r="C15" s="30" t="str">
        <f aca="false">IF($A15="","",IF(MOD(ROW()-2,2)=0,"qr","post"))</f>
        <v>post</v>
      </c>
      <c r="D15" s="30" t="str">
        <f aca="false">IF($A15="","",IF(LEFT($A15,7)="SAMPLE-","SAMPLE-","")&amp;LOWER(SUBSTITUTE(SUBSTITUTE($A15,"SAMPLE-",""),"CMP-","c"))&amp;"-"&amp;LOWER(SUBSTITUTE(SUBSTITUTE($B15,"SAMPLE-",""),"O-","o"))&amp;"-"&amp;IF($C15="qr","q","p"))</f>
        <v>SAMPLE-c002-o002-p</v>
      </c>
      <c r="E15" s="30" t="str">
        <f aca="false">IF($A15="","","https://"&amp;config!$B$9&amp;"/"&amp;$D15)</f>
        <v>https://go.example.com/SAMPLE-c002-o002-p</v>
      </c>
      <c r="F15" s="30" t="str">
        <f aca="false">IF($A15="","",$A15&amp;"."&amp;$B15)</f>
        <v>SAMPLE-CMP-002.SAMPLE-O-002</v>
      </c>
      <c r="G15" s="30" t="str">
        <f aca="false">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https://docs.google.com/forms/d/e/SAMPLE-CMP-002-FORM/viewform?usp=pp_url&amp;entry.1000001=SAMPLE-CMP-002.SAMPLE-O-002&amp;utm_source=office-pantry&amp;utm_medium=post&amp;utm_campaign=sample-cmp-002&amp;utm_content=sample-o-002</v>
      </c>
      <c r="H15" s="30" t="str">
        <f aca="false">IF(OR($A15="",$C15&lt;&gt;"qr"),"",$D15&amp;".png")</f>
        <v/>
      </c>
      <c r="I15" s="30" t="str">
        <f aca="true">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ustomFormat="false" ht="15" hidden="false" customHeight="false" outlineLevel="0" collapsed="false">
      <c r="A16" s="30" t="str">
        <f aca="false">IF(INDEX(approvals!$A$2:$A$251,INT((ROW()-2)/2)+1)="","",INDEX(approvals!$A$2:$A$251,INT((ROW()-2)/2)+1))</f>
        <v>SAMPLE-CMP-002</v>
      </c>
      <c r="B16" s="30" t="str">
        <f aca="false">IF(INDEX(approvals!$A$2:$A$251,INT((ROW()-2)/2)+1)="","",INDEX(approvals!$B$2:$B$251,INT((ROW()-2)/2)+1))</f>
        <v>SAMPLE-O-003</v>
      </c>
      <c r="C16" s="30" t="str">
        <f aca="false">IF($A16="","",IF(MOD(ROW()-2,2)=0,"qr","post"))</f>
        <v>qr</v>
      </c>
      <c r="D16" s="30" t="str">
        <f aca="false">IF($A16="","",IF(LEFT($A16,7)="SAMPLE-","SAMPLE-","")&amp;LOWER(SUBSTITUTE(SUBSTITUTE($A16,"SAMPLE-",""),"CMP-","c"))&amp;"-"&amp;LOWER(SUBSTITUTE(SUBSTITUTE($B16,"SAMPLE-",""),"O-","o"))&amp;"-"&amp;IF($C16="qr","q","p"))</f>
        <v>SAMPLE-c002-o003-q</v>
      </c>
      <c r="E16" s="30" t="str">
        <f aca="false">IF($A16="","","https://"&amp;config!$B$9&amp;"/"&amp;$D16)</f>
        <v>https://go.example.com/SAMPLE-c002-o003-q</v>
      </c>
      <c r="F16" s="30" t="str">
        <f aca="false">IF($A16="","",$A16&amp;"."&amp;$B16)</f>
        <v>SAMPLE-CMP-002.SAMPLE-O-003</v>
      </c>
      <c r="G16" s="30" t="str">
        <f aca="false">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https://docs.google.com/forms/d/e/SAMPLE-CMP-002-FORM/viewform?usp=pp_url&amp;entry.1000001=SAMPLE-CMP-002.SAMPLE-O-003&amp;utm_source=office-pantry&amp;utm_medium=qr&amp;utm_campaign=sample-cmp-002&amp;utm_content=sample-o-003</v>
      </c>
      <c r="H16" s="30" t="str">
        <f aca="false">IF(OR($A16="",$C16&lt;&gt;"qr"),"",$D16&amp;".png")</f>
        <v>SAMPLE-c002-o003-q.png</v>
      </c>
      <c r="I16" s="30" t="str">
        <f aca="true">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ustomFormat="false" ht="15" hidden="false" customHeight="false" outlineLevel="0" collapsed="false">
      <c r="A17" s="30" t="str">
        <f aca="false">IF(INDEX(approvals!$A$2:$A$251,INT((ROW()-2)/2)+1)="","",INDEX(approvals!$A$2:$A$251,INT((ROW()-2)/2)+1))</f>
        <v>SAMPLE-CMP-002</v>
      </c>
      <c r="B17" s="30" t="str">
        <f aca="false">IF(INDEX(approvals!$A$2:$A$251,INT((ROW()-2)/2)+1)="","",INDEX(approvals!$B$2:$B$251,INT((ROW()-2)/2)+1))</f>
        <v>SAMPLE-O-003</v>
      </c>
      <c r="C17" s="30" t="str">
        <f aca="false">IF($A17="","",IF(MOD(ROW()-2,2)=0,"qr","post"))</f>
        <v>post</v>
      </c>
      <c r="D17" s="30" t="str">
        <f aca="false">IF($A17="","",IF(LEFT($A17,7)="SAMPLE-","SAMPLE-","")&amp;LOWER(SUBSTITUTE(SUBSTITUTE($A17,"SAMPLE-",""),"CMP-","c"))&amp;"-"&amp;LOWER(SUBSTITUTE(SUBSTITUTE($B17,"SAMPLE-",""),"O-","o"))&amp;"-"&amp;IF($C17="qr","q","p"))</f>
        <v>SAMPLE-c002-o003-p</v>
      </c>
      <c r="E17" s="30" t="str">
        <f aca="false">IF($A17="","","https://"&amp;config!$B$9&amp;"/"&amp;$D17)</f>
        <v>https://go.example.com/SAMPLE-c002-o003-p</v>
      </c>
      <c r="F17" s="30" t="str">
        <f aca="false">IF($A17="","",$A17&amp;"."&amp;$B17)</f>
        <v>SAMPLE-CMP-002.SAMPLE-O-003</v>
      </c>
      <c r="G17" s="30" t="str">
        <f aca="false">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https://docs.google.com/forms/d/e/SAMPLE-CMP-002-FORM/viewform?usp=pp_url&amp;entry.1000001=SAMPLE-CMP-002.SAMPLE-O-003&amp;utm_source=office-pantry&amp;utm_medium=post&amp;utm_campaign=sample-cmp-002&amp;utm_content=sample-o-003</v>
      </c>
      <c r="H17" s="30" t="str">
        <f aca="false">IF(OR($A17="",$C17&lt;&gt;"qr"),"",$D17&amp;".png")</f>
        <v/>
      </c>
      <c r="I17" s="30" t="str">
        <f aca="true">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ustomFormat="false" ht="15" hidden="false" customHeight="false" outlineLevel="0" collapsed="false">
      <c r="A18" s="30" t="str">
        <f aca="false">IF(INDEX(approvals!$A$2:$A$251,INT((ROW()-2)/2)+1)="","",INDEX(approvals!$A$2:$A$251,INT((ROW()-2)/2)+1))</f>
        <v>SAMPLE-CMP-002</v>
      </c>
      <c r="B18" s="30" t="str">
        <f aca="false">IF(INDEX(approvals!$A$2:$A$251,INT((ROW()-2)/2)+1)="","",INDEX(approvals!$B$2:$B$251,INT((ROW()-2)/2)+1))</f>
        <v>SAMPLE-O-004</v>
      </c>
      <c r="C18" s="30" t="str">
        <f aca="false">IF($A18="","",IF(MOD(ROW()-2,2)=0,"qr","post"))</f>
        <v>qr</v>
      </c>
      <c r="D18" s="30" t="str">
        <f aca="false">IF($A18="","",IF(LEFT($A18,7)="SAMPLE-","SAMPLE-","")&amp;LOWER(SUBSTITUTE(SUBSTITUTE($A18,"SAMPLE-",""),"CMP-","c"))&amp;"-"&amp;LOWER(SUBSTITUTE(SUBSTITUTE($B18,"SAMPLE-",""),"O-","o"))&amp;"-"&amp;IF($C18="qr","q","p"))</f>
        <v>SAMPLE-c002-o004-q</v>
      </c>
      <c r="E18" s="30" t="str">
        <f aca="false">IF($A18="","","https://"&amp;config!$B$9&amp;"/"&amp;$D18)</f>
        <v>https://go.example.com/SAMPLE-c002-o004-q</v>
      </c>
      <c r="F18" s="30" t="str">
        <f aca="false">IF($A18="","",$A18&amp;"."&amp;$B18)</f>
        <v>SAMPLE-CMP-002.SAMPLE-O-004</v>
      </c>
      <c r="G18" s="30" t="str">
        <f aca="false">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https://docs.google.com/forms/d/e/SAMPLE-CMP-002-FORM/viewform?usp=pp_url&amp;entry.1000001=SAMPLE-CMP-002.SAMPLE-O-004&amp;utm_source=office-pantry&amp;utm_medium=qr&amp;utm_campaign=sample-cmp-002&amp;utm_content=sample-o-004</v>
      </c>
      <c r="H18" s="30" t="str">
        <f aca="false">IF(OR($A18="",$C18&lt;&gt;"qr"),"",$D18&amp;".png")</f>
        <v>SAMPLE-c002-o004-q.png</v>
      </c>
      <c r="I18" s="30" t="str">
        <f aca="true">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ustomFormat="false" ht="15" hidden="false" customHeight="false" outlineLevel="0" collapsed="false">
      <c r="A19" s="30" t="str">
        <f aca="false">IF(INDEX(approvals!$A$2:$A$251,INT((ROW()-2)/2)+1)="","",INDEX(approvals!$A$2:$A$251,INT((ROW()-2)/2)+1))</f>
        <v>SAMPLE-CMP-002</v>
      </c>
      <c r="B19" s="30" t="str">
        <f aca="false">IF(INDEX(approvals!$A$2:$A$251,INT((ROW()-2)/2)+1)="","",INDEX(approvals!$B$2:$B$251,INT((ROW()-2)/2)+1))</f>
        <v>SAMPLE-O-004</v>
      </c>
      <c r="C19" s="30" t="str">
        <f aca="false">IF($A19="","",IF(MOD(ROW()-2,2)=0,"qr","post"))</f>
        <v>post</v>
      </c>
      <c r="D19" s="30" t="str">
        <f aca="false">IF($A19="","",IF(LEFT($A19,7)="SAMPLE-","SAMPLE-","")&amp;LOWER(SUBSTITUTE(SUBSTITUTE($A19,"SAMPLE-",""),"CMP-","c"))&amp;"-"&amp;LOWER(SUBSTITUTE(SUBSTITUTE($B19,"SAMPLE-",""),"O-","o"))&amp;"-"&amp;IF($C19="qr","q","p"))</f>
        <v>SAMPLE-c002-o004-p</v>
      </c>
      <c r="E19" s="30" t="str">
        <f aca="false">IF($A19="","","https://"&amp;config!$B$9&amp;"/"&amp;$D19)</f>
        <v>https://go.example.com/SAMPLE-c002-o004-p</v>
      </c>
      <c r="F19" s="30" t="str">
        <f aca="false">IF($A19="","",$A19&amp;"."&amp;$B19)</f>
        <v>SAMPLE-CMP-002.SAMPLE-O-004</v>
      </c>
      <c r="G19" s="30" t="str">
        <f aca="false">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https://docs.google.com/forms/d/e/SAMPLE-CMP-002-FORM/viewform?usp=pp_url&amp;entry.1000001=SAMPLE-CMP-002.SAMPLE-O-004&amp;utm_source=office-pantry&amp;utm_medium=post&amp;utm_campaign=sample-cmp-002&amp;utm_content=sample-o-004</v>
      </c>
      <c r="H19" s="30" t="str">
        <f aca="false">IF(OR($A19="",$C19&lt;&gt;"qr"),"",$D19&amp;".png")</f>
        <v/>
      </c>
      <c r="I19" s="30" t="str">
        <f aca="true">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ustomFormat="false" ht="15" hidden="false" customHeight="false" outlineLevel="0" collapsed="false">
      <c r="A20" s="30" t="str">
        <f aca="false">IF(INDEX(approvals!$A$2:$A$251,INT((ROW()-2)/2)+1)="","",INDEX(approvals!$A$2:$A$251,INT((ROW()-2)/2)+1))</f>
        <v>SAMPLE-CMP-002</v>
      </c>
      <c r="B20" s="30" t="str">
        <f aca="false">IF(INDEX(approvals!$A$2:$A$251,INT((ROW()-2)/2)+1)="","",INDEX(approvals!$B$2:$B$251,INT((ROW()-2)/2)+1))</f>
        <v>SAMPLE-O-005</v>
      </c>
      <c r="C20" s="30" t="str">
        <f aca="false">IF($A20="","",IF(MOD(ROW()-2,2)=0,"qr","post"))</f>
        <v>qr</v>
      </c>
      <c r="D20" s="30" t="str">
        <f aca="false">IF($A20="","",IF(LEFT($A20,7)="SAMPLE-","SAMPLE-","")&amp;LOWER(SUBSTITUTE(SUBSTITUTE($A20,"SAMPLE-",""),"CMP-","c"))&amp;"-"&amp;LOWER(SUBSTITUTE(SUBSTITUTE($B20,"SAMPLE-",""),"O-","o"))&amp;"-"&amp;IF($C20="qr","q","p"))</f>
        <v>SAMPLE-c002-o005-q</v>
      </c>
      <c r="E20" s="30" t="str">
        <f aca="false">IF($A20="","","https://"&amp;config!$B$9&amp;"/"&amp;$D20)</f>
        <v>https://go.example.com/SAMPLE-c002-o005-q</v>
      </c>
      <c r="F20" s="30" t="str">
        <f aca="false">IF($A20="","",$A20&amp;"."&amp;$B20)</f>
        <v>SAMPLE-CMP-002.SAMPLE-O-005</v>
      </c>
      <c r="G20" s="30" t="str">
        <f aca="false">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https://docs.google.com/forms/d/e/SAMPLE-CMP-002-FORM/viewform?usp=pp_url&amp;entry.1000001=SAMPLE-CMP-002.SAMPLE-O-005&amp;utm_source=office-pantry&amp;utm_medium=qr&amp;utm_campaign=sample-cmp-002&amp;utm_content=sample-o-005</v>
      </c>
      <c r="H20" s="30" t="str">
        <f aca="false">IF(OR($A20="",$C20&lt;&gt;"qr"),"",$D20&amp;".png")</f>
        <v>SAMPLE-c002-o005-q.png</v>
      </c>
      <c r="I20" s="30" t="str">
        <f aca="true">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ustomFormat="false" ht="15" hidden="false" customHeight="false" outlineLevel="0" collapsed="false">
      <c r="A21" s="30" t="str">
        <f aca="false">IF(INDEX(approvals!$A$2:$A$251,INT((ROW()-2)/2)+1)="","",INDEX(approvals!$A$2:$A$251,INT((ROW()-2)/2)+1))</f>
        <v>SAMPLE-CMP-002</v>
      </c>
      <c r="B21" s="30" t="str">
        <f aca="false">IF(INDEX(approvals!$A$2:$A$251,INT((ROW()-2)/2)+1)="","",INDEX(approvals!$B$2:$B$251,INT((ROW()-2)/2)+1))</f>
        <v>SAMPLE-O-005</v>
      </c>
      <c r="C21" s="30" t="str">
        <f aca="false">IF($A21="","",IF(MOD(ROW()-2,2)=0,"qr","post"))</f>
        <v>post</v>
      </c>
      <c r="D21" s="30" t="str">
        <f aca="false">IF($A21="","",IF(LEFT($A21,7)="SAMPLE-","SAMPLE-","")&amp;LOWER(SUBSTITUTE(SUBSTITUTE($A21,"SAMPLE-",""),"CMP-","c"))&amp;"-"&amp;LOWER(SUBSTITUTE(SUBSTITUTE($B21,"SAMPLE-",""),"O-","o"))&amp;"-"&amp;IF($C21="qr","q","p"))</f>
        <v>SAMPLE-c002-o005-p</v>
      </c>
      <c r="E21" s="30" t="str">
        <f aca="false">IF($A21="","","https://"&amp;config!$B$9&amp;"/"&amp;$D21)</f>
        <v>https://go.example.com/SAMPLE-c002-o005-p</v>
      </c>
      <c r="F21" s="30" t="str">
        <f aca="false">IF($A21="","",$A21&amp;"."&amp;$B21)</f>
        <v>SAMPLE-CMP-002.SAMPLE-O-005</v>
      </c>
      <c r="G21" s="30" t="str">
        <f aca="false">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https://docs.google.com/forms/d/e/SAMPLE-CMP-002-FORM/viewform?usp=pp_url&amp;entry.1000001=SAMPLE-CMP-002.SAMPLE-O-005&amp;utm_source=office-pantry&amp;utm_medium=post&amp;utm_campaign=sample-cmp-002&amp;utm_content=sample-o-005</v>
      </c>
      <c r="H21" s="30" t="str">
        <f aca="false">IF(OR($A21="",$C21&lt;&gt;"qr"),"",$D21&amp;".png")</f>
        <v/>
      </c>
      <c r="I21" s="30" t="str">
        <f aca="true">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ustomFormat="false" ht="15" hidden="false" customHeight="false" outlineLevel="0" collapsed="false">
      <c r="A22" s="30" t="str">
        <f aca="false">IF(INDEX(approvals!$A$2:$A$251,INT((ROW()-2)/2)+1)="","",INDEX(approvals!$A$2:$A$251,INT((ROW()-2)/2)+1))</f>
        <v>SAMPLE-CMP-003</v>
      </c>
      <c r="B22" s="30" t="str">
        <f aca="false">IF(INDEX(approvals!$A$2:$A$251,INT((ROW()-2)/2)+1)="","",INDEX(approvals!$B$2:$B$251,INT((ROW()-2)/2)+1))</f>
        <v>SAMPLE-O-001</v>
      </c>
      <c r="C22" s="30" t="str">
        <f aca="false">IF($A22="","",IF(MOD(ROW()-2,2)=0,"qr","post"))</f>
        <v>qr</v>
      </c>
      <c r="D22" s="30" t="str">
        <f aca="false">IF($A22="","",IF(LEFT($A22,7)="SAMPLE-","SAMPLE-","")&amp;LOWER(SUBSTITUTE(SUBSTITUTE($A22,"SAMPLE-",""),"CMP-","c"))&amp;"-"&amp;LOWER(SUBSTITUTE(SUBSTITUTE($B22,"SAMPLE-",""),"O-","o"))&amp;"-"&amp;IF($C22="qr","q","p"))</f>
        <v>SAMPLE-c003-o001-q</v>
      </c>
      <c r="E22" s="30" t="str">
        <f aca="false">IF($A22="","","https://"&amp;config!$B$9&amp;"/"&amp;$D22)</f>
        <v>https://go.example.com/SAMPLE-c003-o001-q</v>
      </c>
      <c r="F22" s="30" t="str">
        <f aca="false">IF($A22="","",$A22&amp;"."&amp;$B22)</f>
        <v>SAMPLE-CMP-003.SAMPLE-O-001</v>
      </c>
      <c r="G22" s="30" t="str">
        <f aca="false">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https://docs.google.com/forms/d/e/SAMPLE-CMP-003-FORM/viewform?usp=pp_url&amp;entry.1000001=SAMPLE-CMP-003.SAMPLE-O-001&amp;utm_source=office-pantry&amp;utm_medium=qr&amp;utm_campaign=sample-cmp-003&amp;utm_content=sample-o-001</v>
      </c>
      <c r="H22" s="30" t="str">
        <f aca="false">IF(OR($A22="",$C22&lt;&gt;"qr"),"",$D22&amp;".png")</f>
        <v>SAMPLE-c003-o001-q.png</v>
      </c>
      <c r="I22" s="30" t="str">
        <f aca="true">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ustomFormat="false" ht="15" hidden="false" customHeight="false" outlineLevel="0" collapsed="false">
      <c r="A23" s="30" t="str">
        <f aca="false">IF(INDEX(approvals!$A$2:$A$251,INT((ROW()-2)/2)+1)="","",INDEX(approvals!$A$2:$A$251,INT((ROW()-2)/2)+1))</f>
        <v>SAMPLE-CMP-003</v>
      </c>
      <c r="B23" s="30" t="str">
        <f aca="false">IF(INDEX(approvals!$A$2:$A$251,INT((ROW()-2)/2)+1)="","",INDEX(approvals!$B$2:$B$251,INT((ROW()-2)/2)+1))</f>
        <v>SAMPLE-O-001</v>
      </c>
      <c r="C23" s="30" t="str">
        <f aca="false">IF($A23="","",IF(MOD(ROW()-2,2)=0,"qr","post"))</f>
        <v>post</v>
      </c>
      <c r="D23" s="30" t="str">
        <f aca="false">IF($A23="","",IF(LEFT($A23,7)="SAMPLE-","SAMPLE-","")&amp;LOWER(SUBSTITUTE(SUBSTITUTE($A23,"SAMPLE-",""),"CMP-","c"))&amp;"-"&amp;LOWER(SUBSTITUTE(SUBSTITUTE($B23,"SAMPLE-",""),"O-","o"))&amp;"-"&amp;IF($C23="qr","q","p"))</f>
        <v>SAMPLE-c003-o001-p</v>
      </c>
      <c r="E23" s="30" t="str">
        <f aca="false">IF($A23="","","https://"&amp;config!$B$9&amp;"/"&amp;$D23)</f>
        <v>https://go.example.com/SAMPLE-c003-o001-p</v>
      </c>
      <c r="F23" s="30" t="str">
        <f aca="false">IF($A23="","",$A23&amp;"."&amp;$B23)</f>
        <v>SAMPLE-CMP-003.SAMPLE-O-001</v>
      </c>
      <c r="G23" s="30" t="str">
        <f aca="false">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https://docs.google.com/forms/d/e/SAMPLE-CMP-003-FORM/viewform?usp=pp_url&amp;entry.1000001=SAMPLE-CMP-003.SAMPLE-O-001&amp;utm_source=office-pantry&amp;utm_medium=post&amp;utm_campaign=sample-cmp-003&amp;utm_content=sample-o-001</v>
      </c>
      <c r="H23" s="30" t="str">
        <f aca="false">IF(OR($A23="",$C23&lt;&gt;"qr"),"",$D23&amp;".png")</f>
        <v/>
      </c>
      <c r="I23" s="30" t="str">
        <f aca="true">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ustomFormat="false" ht="15" hidden="false" customHeight="false" outlineLevel="0" collapsed="false">
      <c r="A24" s="30" t="str">
        <f aca="false">IF(INDEX(approvals!$A$2:$A$251,INT((ROW()-2)/2)+1)="","",INDEX(approvals!$A$2:$A$251,INT((ROW()-2)/2)+1))</f>
        <v>SAMPLE-CMP-003</v>
      </c>
      <c r="B24" s="30" t="str">
        <f aca="false">IF(INDEX(approvals!$A$2:$A$251,INT((ROW()-2)/2)+1)="","",INDEX(approvals!$B$2:$B$251,INT((ROW()-2)/2)+1))</f>
        <v>SAMPLE-O-002</v>
      </c>
      <c r="C24" s="30" t="str">
        <f aca="false">IF($A24="","",IF(MOD(ROW()-2,2)=0,"qr","post"))</f>
        <v>qr</v>
      </c>
      <c r="D24" s="30" t="str">
        <f aca="false">IF($A24="","",IF(LEFT($A24,7)="SAMPLE-","SAMPLE-","")&amp;LOWER(SUBSTITUTE(SUBSTITUTE($A24,"SAMPLE-",""),"CMP-","c"))&amp;"-"&amp;LOWER(SUBSTITUTE(SUBSTITUTE($B24,"SAMPLE-",""),"O-","o"))&amp;"-"&amp;IF($C24="qr","q","p"))</f>
        <v>SAMPLE-c003-o002-q</v>
      </c>
      <c r="E24" s="30" t="str">
        <f aca="false">IF($A24="","","https://"&amp;config!$B$9&amp;"/"&amp;$D24)</f>
        <v>https://go.example.com/SAMPLE-c003-o002-q</v>
      </c>
      <c r="F24" s="30" t="str">
        <f aca="false">IF($A24="","",$A24&amp;"."&amp;$B24)</f>
        <v>SAMPLE-CMP-003.SAMPLE-O-002</v>
      </c>
      <c r="G24" s="30" t="str">
        <f aca="false">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https://docs.google.com/forms/d/e/SAMPLE-CMP-003-FORM/viewform?usp=pp_url&amp;entry.1000001=SAMPLE-CMP-003.SAMPLE-O-002&amp;utm_source=office-pantry&amp;utm_medium=qr&amp;utm_campaign=sample-cmp-003&amp;utm_content=sample-o-002</v>
      </c>
      <c r="H24" s="30" t="str">
        <f aca="false">IF(OR($A24="",$C24&lt;&gt;"qr"),"",$D24&amp;".png")</f>
        <v>SAMPLE-c003-o002-q.png</v>
      </c>
      <c r="I24" s="30" t="str">
        <f aca="true">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ustomFormat="false" ht="15" hidden="false" customHeight="false" outlineLevel="0" collapsed="false">
      <c r="A25" s="30" t="str">
        <f aca="false">IF(INDEX(approvals!$A$2:$A$251,INT((ROW()-2)/2)+1)="","",INDEX(approvals!$A$2:$A$251,INT((ROW()-2)/2)+1))</f>
        <v>SAMPLE-CMP-003</v>
      </c>
      <c r="B25" s="30" t="str">
        <f aca="false">IF(INDEX(approvals!$A$2:$A$251,INT((ROW()-2)/2)+1)="","",INDEX(approvals!$B$2:$B$251,INT((ROW()-2)/2)+1))</f>
        <v>SAMPLE-O-002</v>
      </c>
      <c r="C25" s="30" t="str">
        <f aca="false">IF($A25="","",IF(MOD(ROW()-2,2)=0,"qr","post"))</f>
        <v>post</v>
      </c>
      <c r="D25" s="30" t="str">
        <f aca="false">IF($A25="","",IF(LEFT($A25,7)="SAMPLE-","SAMPLE-","")&amp;LOWER(SUBSTITUTE(SUBSTITUTE($A25,"SAMPLE-",""),"CMP-","c"))&amp;"-"&amp;LOWER(SUBSTITUTE(SUBSTITUTE($B25,"SAMPLE-",""),"O-","o"))&amp;"-"&amp;IF($C25="qr","q","p"))</f>
        <v>SAMPLE-c003-o002-p</v>
      </c>
      <c r="E25" s="30" t="str">
        <f aca="false">IF($A25="","","https://"&amp;config!$B$9&amp;"/"&amp;$D25)</f>
        <v>https://go.example.com/SAMPLE-c003-o002-p</v>
      </c>
      <c r="F25" s="30" t="str">
        <f aca="false">IF($A25="","",$A25&amp;"."&amp;$B25)</f>
        <v>SAMPLE-CMP-003.SAMPLE-O-002</v>
      </c>
      <c r="G25" s="30" t="str">
        <f aca="false">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https://docs.google.com/forms/d/e/SAMPLE-CMP-003-FORM/viewform?usp=pp_url&amp;entry.1000001=SAMPLE-CMP-003.SAMPLE-O-002&amp;utm_source=office-pantry&amp;utm_medium=post&amp;utm_campaign=sample-cmp-003&amp;utm_content=sample-o-002</v>
      </c>
      <c r="H25" s="30" t="str">
        <f aca="false">IF(OR($A25="",$C25&lt;&gt;"qr"),"",$D25&amp;".png")</f>
        <v/>
      </c>
      <c r="I25" s="30" t="str">
        <f aca="true">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ustomFormat="false" ht="15" hidden="false" customHeight="false" outlineLevel="0" collapsed="false">
      <c r="A26" s="30" t="str">
        <f aca="false">IF(INDEX(approvals!$A$2:$A$251,INT((ROW()-2)/2)+1)="","",INDEX(approvals!$A$2:$A$251,INT((ROW()-2)/2)+1))</f>
        <v>SAMPLE-CMP-003</v>
      </c>
      <c r="B26" s="30" t="str">
        <f aca="false">IF(INDEX(approvals!$A$2:$A$251,INT((ROW()-2)/2)+1)="","",INDEX(approvals!$B$2:$B$251,INT((ROW()-2)/2)+1))</f>
        <v>SAMPLE-O-003</v>
      </c>
      <c r="C26" s="30" t="str">
        <f aca="false">IF($A26="","",IF(MOD(ROW()-2,2)=0,"qr","post"))</f>
        <v>qr</v>
      </c>
      <c r="D26" s="30" t="str">
        <f aca="false">IF($A26="","",IF(LEFT($A26,7)="SAMPLE-","SAMPLE-","")&amp;LOWER(SUBSTITUTE(SUBSTITUTE($A26,"SAMPLE-",""),"CMP-","c"))&amp;"-"&amp;LOWER(SUBSTITUTE(SUBSTITUTE($B26,"SAMPLE-",""),"O-","o"))&amp;"-"&amp;IF($C26="qr","q","p"))</f>
        <v>SAMPLE-c003-o003-q</v>
      </c>
      <c r="E26" s="30" t="str">
        <f aca="false">IF($A26="","","https://"&amp;config!$B$9&amp;"/"&amp;$D26)</f>
        <v>https://go.example.com/SAMPLE-c003-o003-q</v>
      </c>
      <c r="F26" s="30" t="str">
        <f aca="false">IF($A26="","",$A26&amp;"."&amp;$B26)</f>
        <v>SAMPLE-CMP-003.SAMPLE-O-003</v>
      </c>
      <c r="G26" s="30" t="str">
        <f aca="false">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https://docs.google.com/forms/d/e/SAMPLE-CMP-003-FORM/viewform?usp=pp_url&amp;entry.1000001=SAMPLE-CMP-003.SAMPLE-O-003&amp;utm_source=office-pantry&amp;utm_medium=qr&amp;utm_campaign=sample-cmp-003&amp;utm_content=sample-o-003</v>
      </c>
      <c r="H26" s="30" t="str">
        <f aca="false">IF(OR($A26="",$C26&lt;&gt;"qr"),"",$D26&amp;".png")</f>
        <v>SAMPLE-c003-o003-q.png</v>
      </c>
      <c r="I26" s="30" t="str">
        <f aca="true">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ustomFormat="false" ht="15" hidden="false" customHeight="false" outlineLevel="0" collapsed="false">
      <c r="A27" s="30" t="str">
        <f aca="false">IF(INDEX(approvals!$A$2:$A$251,INT((ROW()-2)/2)+1)="","",INDEX(approvals!$A$2:$A$251,INT((ROW()-2)/2)+1))</f>
        <v>SAMPLE-CMP-003</v>
      </c>
      <c r="B27" s="30" t="str">
        <f aca="false">IF(INDEX(approvals!$A$2:$A$251,INT((ROW()-2)/2)+1)="","",INDEX(approvals!$B$2:$B$251,INT((ROW()-2)/2)+1))</f>
        <v>SAMPLE-O-003</v>
      </c>
      <c r="C27" s="30" t="str">
        <f aca="false">IF($A27="","",IF(MOD(ROW()-2,2)=0,"qr","post"))</f>
        <v>post</v>
      </c>
      <c r="D27" s="30" t="str">
        <f aca="false">IF($A27="","",IF(LEFT($A27,7)="SAMPLE-","SAMPLE-","")&amp;LOWER(SUBSTITUTE(SUBSTITUTE($A27,"SAMPLE-",""),"CMP-","c"))&amp;"-"&amp;LOWER(SUBSTITUTE(SUBSTITUTE($B27,"SAMPLE-",""),"O-","o"))&amp;"-"&amp;IF($C27="qr","q","p"))</f>
        <v>SAMPLE-c003-o003-p</v>
      </c>
      <c r="E27" s="30" t="str">
        <f aca="false">IF($A27="","","https://"&amp;config!$B$9&amp;"/"&amp;$D27)</f>
        <v>https://go.example.com/SAMPLE-c003-o003-p</v>
      </c>
      <c r="F27" s="30" t="str">
        <f aca="false">IF($A27="","",$A27&amp;"."&amp;$B27)</f>
        <v>SAMPLE-CMP-003.SAMPLE-O-003</v>
      </c>
      <c r="G27" s="30" t="str">
        <f aca="false">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https://docs.google.com/forms/d/e/SAMPLE-CMP-003-FORM/viewform?usp=pp_url&amp;entry.1000001=SAMPLE-CMP-003.SAMPLE-O-003&amp;utm_source=office-pantry&amp;utm_medium=post&amp;utm_campaign=sample-cmp-003&amp;utm_content=sample-o-003</v>
      </c>
      <c r="H27" s="30" t="str">
        <f aca="false">IF(OR($A27="",$C27&lt;&gt;"qr"),"",$D27&amp;".png")</f>
        <v/>
      </c>
      <c r="I27" s="30" t="str">
        <f aca="true">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ustomFormat="false" ht="15" hidden="false" customHeight="false" outlineLevel="0" collapsed="false">
      <c r="A28" s="30" t="str">
        <f aca="false">IF(INDEX(approvals!$A$2:$A$251,INT((ROW()-2)/2)+1)="","",INDEX(approvals!$A$2:$A$251,INT((ROW()-2)/2)+1))</f>
        <v>SAMPLE-CMP-003</v>
      </c>
      <c r="B28" s="30" t="str">
        <f aca="false">IF(INDEX(approvals!$A$2:$A$251,INT((ROW()-2)/2)+1)="","",INDEX(approvals!$B$2:$B$251,INT((ROW()-2)/2)+1))</f>
        <v>SAMPLE-O-004</v>
      </c>
      <c r="C28" s="30" t="str">
        <f aca="false">IF($A28="","",IF(MOD(ROW()-2,2)=0,"qr","post"))</f>
        <v>qr</v>
      </c>
      <c r="D28" s="30" t="str">
        <f aca="false">IF($A28="","",IF(LEFT($A28,7)="SAMPLE-","SAMPLE-","")&amp;LOWER(SUBSTITUTE(SUBSTITUTE($A28,"SAMPLE-",""),"CMP-","c"))&amp;"-"&amp;LOWER(SUBSTITUTE(SUBSTITUTE($B28,"SAMPLE-",""),"O-","o"))&amp;"-"&amp;IF($C28="qr","q","p"))</f>
        <v>SAMPLE-c003-o004-q</v>
      </c>
      <c r="E28" s="30" t="str">
        <f aca="false">IF($A28="","","https://"&amp;config!$B$9&amp;"/"&amp;$D28)</f>
        <v>https://go.example.com/SAMPLE-c003-o004-q</v>
      </c>
      <c r="F28" s="30" t="str">
        <f aca="false">IF($A28="","",$A28&amp;"."&amp;$B28)</f>
        <v>SAMPLE-CMP-003.SAMPLE-O-004</v>
      </c>
      <c r="G28" s="30" t="str">
        <f aca="false">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https://docs.google.com/forms/d/e/SAMPLE-CMP-003-FORM/viewform?usp=pp_url&amp;entry.1000001=SAMPLE-CMP-003.SAMPLE-O-004&amp;utm_source=office-pantry&amp;utm_medium=qr&amp;utm_campaign=sample-cmp-003&amp;utm_content=sample-o-004</v>
      </c>
      <c r="H28" s="30" t="str">
        <f aca="false">IF(OR($A28="",$C28&lt;&gt;"qr"),"",$D28&amp;".png")</f>
        <v>SAMPLE-c003-o004-q.png</v>
      </c>
      <c r="I28" s="30" t="str">
        <f aca="true">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ustomFormat="false" ht="15" hidden="false" customHeight="false" outlineLevel="0" collapsed="false">
      <c r="A29" s="30" t="str">
        <f aca="false">IF(INDEX(approvals!$A$2:$A$251,INT((ROW()-2)/2)+1)="","",INDEX(approvals!$A$2:$A$251,INT((ROW()-2)/2)+1))</f>
        <v>SAMPLE-CMP-003</v>
      </c>
      <c r="B29" s="30" t="str">
        <f aca="false">IF(INDEX(approvals!$A$2:$A$251,INT((ROW()-2)/2)+1)="","",INDEX(approvals!$B$2:$B$251,INT((ROW()-2)/2)+1))</f>
        <v>SAMPLE-O-004</v>
      </c>
      <c r="C29" s="30" t="str">
        <f aca="false">IF($A29="","",IF(MOD(ROW()-2,2)=0,"qr","post"))</f>
        <v>post</v>
      </c>
      <c r="D29" s="30" t="str">
        <f aca="false">IF($A29="","",IF(LEFT($A29,7)="SAMPLE-","SAMPLE-","")&amp;LOWER(SUBSTITUTE(SUBSTITUTE($A29,"SAMPLE-",""),"CMP-","c"))&amp;"-"&amp;LOWER(SUBSTITUTE(SUBSTITUTE($B29,"SAMPLE-",""),"O-","o"))&amp;"-"&amp;IF($C29="qr","q","p"))</f>
        <v>SAMPLE-c003-o004-p</v>
      </c>
      <c r="E29" s="30" t="str">
        <f aca="false">IF($A29="","","https://"&amp;config!$B$9&amp;"/"&amp;$D29)</f>
        <v>https://go.example.com/SAMPLE-c003-o004-p</v>
      </c>
      <c r="F29" s="30" t="str">
        <f aca="false">IF($A29="","",$A29&amp;"."&amp;$B29)</f>
        <v>SAMPLE-CMP-003.SAMPLE-O-004</v>
      </c>
      <c r="G29" s="30" t="str">
        <f aca="false">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https://docs.google.com/forms/d/e/SAMPLE-CMP-003-FORM/viewform?usp=pp_url&amp;entry.1000001=SAMPLE-CMP-003.SAMPLE-O-004&amp;utm_source=office-pantry&amp;utm_medium=post&amp;utm_campaign=sample-cmp-003&amp;utm_content=sample-o-004</v>
      </c>
      <c r="H29" s="30" t="str">
        <f aca="false">IF(OR($A29="",$C29&lt;&gt;"qr"),"",$D29&amp;".png")</f>
        <v/>
      </c>
      <c r="I29" s="30" t="str">
        <f aca="true">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ustomFormat="false" ht="15" hidden="false" customHeight="false" outlineLevel="0" collapsed="false">
      <c r="A30" s="30" t="str">
        <f aca="false">IF(INDEX(approvals!$A$2:$A$251,INT((ROW()-2)/2)+1)="","",INDEX(approvals!$A$2:$A$251,INT((ROW()-2)/2)+1))</f>
        <v>SAMPLE-CMP-003</v>
      </c>
      <c r="B30" s="30" t="str">
        <f aca="false">IF(INDEX(approvals!$A$2:$A$251,INT((ROW()-2)/2)+1)="","",INDEX(approvals!$B$2:$B$251,INT((ROW()-2)/2)+1))</f>
        <v>SAMPLE-O-005</v>
      </c>
      <c r="C30" s="30" t="str">
        <f aca="false">IF($A30="","",IF(MOD(ROW()-2,2)=0,"qr","post"))</f>
        <v>qr</v>
      </c>
      <c r="D30" s="30" t="str">
        <f aca="false">IF($A30="","",IF(LEFT($A30,7)="SAMPLE-","SAMPLE-","")&amp;LOWER(SUBSTITUTE(SUBSTITUTE($A30,"SAMPLE-",""),"CMP-","c"))&amp;"-"&amp;LOWER(SUBSTITUTE(SUBSTITUTE($B30,"SAMPLE-",""),"O-","o"))&amp;"-"&amp;IF($C30="qr","q","p"))</f>
        <v>SAMPLE-c003-o005-q</v>
      </c>
      <c r="E30" s="30" t="str">
        <f aca="false">IF($A30="","","https://"&amp;config!$B$9&amp;"/"&amp;$D30)</f>
        <v>https://go.example.com/SAMPLE-c003-o005-q</v>
      </c>
      <c r="F30" s="30" t="str">
        <f aca="false">IF($A30="","",$A30&amp;"."&amp;$B30)</f>
        <v>SAMPLE-CMP-003.SAMPLE-O-005</v>
      </c>
      <c r="G30" s="30" t="str">
        <f aca="false">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https://docs.google.com/forms/d/e/SAMPLE-CMP-003-FORM/viewform?usp=pp_url&amp;entry.1000001=SAMPLE-CMP-003.SAMPLE-O-005&amp;utm_source=office-pantry&amp;utm_medium=qr&amp;utm_campaign=sample-cmp-003&amp;utm_content=sample-o-005</v>
      </c>
      <c r="H30" s="30" t="str">
        <f aca="false">IF(OR($A30="",$C30&lt;&gt;"qr"),"",$D30&amp;".png")</f>
        <v>SAMPLE-c003-o005-q.png</v>
      </c>
      <c r="I30" s="30" t="str">
        <f aca="true">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ustomFormat="false" ht="15" hidden="false" customHeight="false" outlineLevel="0" collapsed="false">
      <c r="A31" s="30" t="str">
        <f aca="false">IF(INDEX(approvals!$A$2:$A$251,INT((ROW()-2)/2)+1)="","",INDEX(approvals!$A$2:$A$251,INT((ROW()-2)/2)+1))</f>
        <v>SAMPLE-CMP-003</v>
      </c>
      <c r="B31" s="30" t="str">
        <f aca="false">IF(INDEX(approvals!$A$2:$A$251,INT((ROW()-2)/2)+1)="","",INDEX(approvals!$B$2:$B$251,INT((ROW()-2)/2)+1))</f>
        <v>SAMPLE-O-005</v>
      </c>
      <c r="C31" s="30" t="str">
        <f aca="false">IF($A31="","",IF(MOD(ROW()-2,2)=0,"qr","post"))</f>
        <v>post</v>
      </c>
      <c r="D31" s="30" t="str">
        <f aca="false">IF($A31="","",IF(LEFT($A31,7)="SAMPLE-","SAMPLE-","")&amp;LOWER(SUBSTITUTE(SUBSTITUTE($A31,"SAMPLE-",""),"CMP-","c"))&amp;"-"&amp;LOWER(SUBSTITUTE(SUBSTITUTE($B31,"SAMPLE-",""),"O-","o"))&amp;"-"&amp;IF($C31="qr","q","p"))</f>
        <v>SAMPLE-c003-o005-p</v>
      </c>
      <c r="E31" s="30" t="str">
        <f aca="false">IF($A31="","","https://"&amp;config!$B$9&amp;"/"&amp;$D31)</f>
        <v>https://go.example.com/SAMPLE-c003-o005-p</v>
      </c>
      <c r="F31" s="30" t="str">
        <f aca="false">IF($A31="","",$A31&amp;"."&amp;$B31)</f>
        <v>SAMPLE-CMP-003.SAMPLE-O-005</v>
      </c>
      <c r="G31" s="30" t="str">
        <f aca="false">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https://docs.google.com/forms/d/e/SAMPLE-CMP-003-FORM/viewform?usp=pp_url&amp;entry.1000001=SAMPLE-CMP-003.SAMPLE-O-005&amp;utm_source=office-pantry&amp;utm_medium=post&amp;utm_campaign=sample-cmp-003&amp;utm_content=sample-o-005</v>
      </c>
      <c r="H31" s="30" t="str">
        <f aca="false">IF(OR($A31="",$C31&lt;&gt;"qr"),"",$D31&amp;".png")</f>
        <v/>
      </c>
      <c r="I31" s="30" t="str">
        <f aca="true">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ustomFormat="false" ht="15" hidden="false" customHeight="false" outlineLevel="0" collapsed="false">
      <c r="A32" s="30" t="str">
        <f aca="false">IF(INDEX(approvals!$A$2:$A$251,INT((ROW()-2)/2)+1)="","",INDEX(approvals!$A$2:$A$251,INT((ROW()-2)/2)+1))</f>
        <v>SAMPLE-CMP-003</v>
      </c>
      <c r="B32" s="30" t="str">
        <f aca="false">IF(INDEX(approvals!$A$2:$A$251,INT((ROW()-2)/2)+1)="","",INDEX(approvals!$B$2:$B$251,INT((ROW()-2)/2)+1))</f>
        <v>SAMPLE-O-006</v>
      </c>
      <c r="C32" s="30" t="str">
        <f aca="false">IF($A32="","",IF(MOD(ROW()-2,2)=0,"qr","post"))</f>
        <v>qr</v>
      </c>
      <c r="D32" s="30" t="str">
        <f aca="false">IF($A32="","",IF(LEFT($A32,7)="SAMPLE-","SAMPLE-","")&amp;LOWER(SUBSTITUTE(SUBSTITUTE($A32,"SAMPLE-",""),"CMP-","c"))&amp;"-"&amp;LOWER(SUBSTITUTE(SUBSTITUTE($B32,"SAMPLE-",""),"O-","o"))&amp;"-"&amp;IF($C32="qr","q","p"))</f>
        <v>SAMPLE-c003-o006-q</v>
      </c>
      <c r="E32" s="30" t="str">
        <f aca="false">IF($A32="","","https://"&amp;config!$B$9&amp;"/"&amp;$D32)</f>
        <v>https://go.example.com/SAMPLE-c003-o006-q</v>
      </c>
      <c r="F32" s="30" t="str">
        <f aca="false">IF($A32="","",$A32&amp;"."&amp;$B32)</f>
        <v>SAMPLE-CMP-003.SAMPLE-O-006</v>
      </c>
      <c r="G32" s="30" t="str">
        <f aca="false">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https://docs.google.com/forms/d/e/SAMPLE-CMP-003-FORM/viewform?usp=pp_url&amp;entry.1000001=SAMPLE-CMP-003.SAMPLE-O-006&amp;utm_source=office-pantry&amp;utm_medium=qr&amp;utm_campaign=sample-cmp-003&amp;utm_content=sample-o-006</v>
      </c>
      <c r="H32" s="30" t="str">
        <f aca="false">IF(OR($A32="",$C32&lt;&gt;"qr"),"",$D32&amp;".png")</f>
        <v>SAMPLE-c003-o006-q.png</v>
      </c>
      <c r="I32" s="30" t="str">
        <f aca="true">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ustomFormat="false" ht="15" hidden="false" customHeight="false" outlineLevel="0" collapsed="false">
      <c r="A33" s="30" t="str">
        <f aca="false">IF(INDEX(approvals!$A$2:$A$251,INT((ROW()-2)/2)+1)="","",INDEX(approvals!$A$2:$A$251,INT((ROW()-2)/2)+1))</f>
        <v>SAMPLE-CMP-003</v>
      </c>
      <c r="B33" s="30" t="str">
        <f aca="false">IF(INDEX(approvals!$A$2:$A$251,INT((ROW()-2)/2)+1)="","",INDEX(approvals!$B$2:$B$251,INT((ROW()-2)/2)+1))</f>
        <v>SAMPLE-O-006</v>
      </c>
      <c r="C33" s="30" t="str">
        <f aca="false">IF($A33="","",IF(MOD(ROW()-2,2)=0,"qr","post"))</f>
        <v>post</v>
      </c>
      <c r="D33" s="30" t="str">
        <f aca="false">IF($A33="","",IF(LEFT($A33,7)="SAMPLE-","SAMPLE-","")&amp;LOWER(SUBSTITUTE(SUBSTITUTE($A33,"SAMPLE-",""),"CMP-","c"))&amp;"-"&amp;LOWER(SUBSTITUTE(SUBSTITUTE($B33,"SAMPLE-",""),"O-","o"))&amp;"-"&amp;IF($C33="qr","q","p"))</f>
        <v>SAMPLE-c003-o006-p</v>
      </c>
      <c r="E33" s="30" t="str">
        <f aca="false">IF($A33="","","https://"&amp;config!$B$9&amp;"/"&amp;$D33)</f>
        <v>https://go.example.com/SAMPLE-c003-o006-p</v>
      </c>
      <c r="F33" s="30" t="str">
        <f aca="false">IF($A33="","",$A33&amp;"."&amp;$B33)</f>
        <v>SAMPLE-CMP-003.SAMPLE-O-006</v>
      </c>
      <c r="G33" s="30" t="str">
        <f aca="false">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https://docs.google.com/forms/d/e/SAMPLE-CMP-003-FORM/viewform?usp=pp_url&amp;entry.1000001=SAMPLE-CMP-003.SAMPLE-O-006&amp;utm_source=office-pantry&amp;utm_medium=post&amp;utm_campaign=sample-cmp-003&amp;utm_content=sample-o-006</v>
      </c>
      <c r="H33" s="30" t="str">
        <f aca="false">IF(OR($A33="",$C33&lt;&gt;"qr"),"",$D33&amp;".png")</f>
        <v/>
      </c>
      <c r="I33" s="30" t="str">
        <f aca="true">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ustomFormat="false" ht="15" hidden="false" customHeight="false" outlineLevel="0" collapsed="false">
      <c r="A34" s="30" t="str">
        <f aca="false">IF(INDEX(approvals!$A$2:$A$251,INT((ROW()-2)/2)+1)="","",INDEX(approvals!$A$2:$A$251,INT((ROW()-2)/2)+1))</f>
        <v>SAMPLE-CMP-003</v>
      </c>
      <c r="B34" s="30" t="str">
        <f aca="false">IF(INDEX(approvals!$A$2:$A$251,INT((ROW()-2)/2)+1)="","",INDEX(approvals!$B$2:$B$251,INT((ROW()-2)/2)+1))</f>
        <v>SAMPLE-O-007</v>
      </c>
      <c r="C34" s="30" t="str">
        <f aca="false">IF($A34="","",IF(MOD(ROW()-2,2)=0,"qr","post"))</f>
        <v>qr</v>
      </c>
      <c r="D34" s="30" t="str">
        <f aca="false">IF($A34="","",IF(LEFT($A34,7)="SAMPLE-","SAMPLE-","")&amp;LOWER(SUBSTITUTE(SUBSTITUTE($A34,"SAMPLE-",""),"CMP-","c"))&amp;"-"&amp;LOWER(SUBSTITUTE(SUBSTITUTE($B34,"SAMPLE-",""),"O-","o"))&amp;"-"&amp;IF($C34="qr","q","p"))</f>
        <v>SAMPLE-c003-o007-q</v>
      </c>
      <c r="E34" s="30" t="str">
        <f aca="false">IF($A34="","","https://"&amp;config!$B$9&amp;"/"&amp;$D34)</f>
        <v>https://go.example.com/SAMPLE-c003-o007-q</v>
      </c>
      <c r="F34" s="30" t="str">
        <f aca="false">IF($A34="","",$A34&amp;"."&amp;$B34)</f>
        <v>SAMPLE-CMP-003.SAMPLE-O-007</v>
      </c>
      <c r="G34" s="30" t="str">
        <f aca="false">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https://docs.google.com/forms/d/e/SAMPLE-CMP-003-FORM/viewform?usp=pp_url&amp;entry.1000001=SAMPLE-CMP-003.SAMPLE-O-007&amp;utm_source=office-pantry&amp;utm_medium=qr&amp;utm_campaign=sample-cmp-003&amp;utm_content=sample-o-007</v>
      </c>
      <c r="H34" s="30" t="str">
        <f aca="false">IF(OR($A34="",$C34&lt;&gt;"qr"),"",$D34&amp;".png")</f>
        <v>SAMPLE-c003-o007-q.png</v>
      </c>
      <c r="I34" s="30" t="str">
        <f aca="true">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ustomFormat="false" ht="15" hidden="false" customHeight="false" outlineLevel="0" collapsed="false">
      <c r="A35" s="30" t="str">
        <f aca="false">IF(INDEX(approvals!$A$2:$A$251,INT((ROW()-2)/2)+1)="","",INDEX(approvals!$A$2:$A$251,INT((ROW()-2)/2)+1))</f>
        <v>SAMPLE-CMP-003</v>
      </c>
      <c r="B35" s="30" t="str">
        <f aca="false">IF(INDEX(approvals!$A$2:$A$251,INT((ROW()-2)/2)+1)="","",INDEX(approvals!$B$2:$B$251,INT((ROW()-2)/2)+1))</f>
        <v>SAMPLE-O-007</v>
      </c>
      <c r="C35" s="30" t="str">
        <f aca="false">IF($A35="","",IF(MOD(ROW()-2,2)=0,"qr","post"))</f>
        <v>post</v>
      </c>
      <c r="D35" s="30" t="str">
        <f aca="false">IF($A35="","",IF(LEFT($A35,7)="SAMPLE-","SAMPLE-","")&amp;LOWER(SUBSTITUTE(SUBSTITUTE($A35,"SAMPLE-",""),"CMP-","c"))&amp;"-"&amp;LOWER(SUBSTITUTE(SUBSTITUTE($B35,"SAMPLE-",""),"O-","o"))&amp;"-"&amp;IF($C35="qr","q","p"))</f>
        <v>SAMPLE-c003-o007-p</v>
      </c>
      <c r="E35" s="30" t="str">
        <f aca="false">IF($A35="","","https://"&amp;config!$B$9&amp;"/"&amp;$D35)</f>
        <v>https://go.example.com/SAMPLE-c003-o007-p</v>
      </c>
      <c r="F35" s="30" t="str">
        <f aca="false">IF($A35="","",$A35&amp;"."&amp;$B35)</f>
        <v>SAMPLE-CMP-003.SAMPLE-O-007</v>
      </c>
      <c r="G35" s="30" t="str">
        <f aca="false">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https://docs.google.com/forms/d/e/SAMPLE-CMP-003-FORM/viewform?usp=pp_url&amp;entry.1000001=SAMPLE-CMP-003.SAMPLE-O-007&amp;utm_source=office-pantry&amp;utm_medium=post&amp;utm_campaign=sample-cmp-003&amp;utm_content=sample-o-007</v>
      </c>
      <c r="H35" s="30" t="str">
        <f aca="false">IF(OR($A35="",$C35&lt;&gt;"qr"),"",$D35&amp;".png")</f>
        <v/>
      </c>
      <c r="I35" s="30" t="str">
        <f aca="true">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ustomFormat="false" ht="15" hidden="false" customHeight="false" outlineLevel="0" collapsed="false">
      <c r="A36" s="30" t="str">
        <f aca="false">IF(INDEX(approvals!$A$2:$A$251,INT((ROW()-2)/2)+1)="","",INDEX(approvals!$A$2:$A$251,INT((ROW()-2)/2)+1))</f>
        <v>SAMPLE-CMP-003</v>
      </c>
      <c r="B36" s="30" t="str">
        <f aca="false">IF(INDEX(approvals!$A$2:$A$251,INT((ROW()-2)/2)+1)="","",INDEX(approvals!$B$2:$B$251,INT((ROW()-2)/2)+1))</f>
        <v>SAMPLE-O-008</v>
      </c>
      <c r="C36" s="30" t="str">
        <f aca="false">IF($A36="","",IF(MOD(ROW()-2,2)=0,"qr","post"))</f>
        <v>qr</v>
      </c>
      <c r="D36" s="30" t="str">
        <f aca="false">IF($A36="","",IF(LEFT($A36,7)="SAMPLE-","SAMPLE-","")&amp;LOWER(SUBSTITUTE(SUBSTITUTE($A36,"SAMPLE-",""),"CMP-","c"))&amp;"-"&amp;LOWER(SUBSTITUTE(SUBSTITUTE($B36,"SAMPLE-",""),"O-","o"))&amp;"-"&amp;IF($C36="qr","q","p"))</f>
        <v>SAMPLE-c003-o008-q</v>
      </c>
      <c r="E36" s="30" t="str">
        <f aca="false">IF($A36="","","https://"&amp;config!$B$9&amp;"/"&amp;$D36)</f>
        <v>https://go.example.com/SAMPLE-c003-o008-q</v>
      </c>
      <c r="F36" s="30" t="str">
        <f aca="false">IF($A36="","",$A36&amp;"."&amp;$B36)</f>
        <v>SAMPLE-CMP-003.SAMPLE-O-008</v>
      </c>
      <c r="G36" s="30" t="str">
        <f aca="false">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https://docs.google.com/forms/d/e/SAMPLE-CMP-003-FORM/viewform?usp=pp_url&amp;entry.1000001=SAMPLE-CMP-003.SAMPLE-O-008&amp;utm_source=office-pantry&amp;utm_medium=qr&amp;utm_campaign=sample-cmp-003&amp;utm_content=sample-o-008</v>
      </c>
      <c r="H36" s="30" t="str">
        <f aca="false">IF(OR($A36="",$C36&lt;&gt;"qr"),"",$D36&amp;".png")</f>
        <v>SAMPLE-c003-o008-q.png</v>
      </c>
      <c r="I36" s="30" t="str">
        <f aca="true">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ustomFormat="false" ht="15" hidden="false" customHeight="false" outlineLevel="0" collapsed="false">
      <c r="A37" s="30" t="str">
        <f aca="false">IF(INDEX(approvals!$A$2:$A$251,INT((ROW()-2)/2)+1)="","",INDEX(approvals!$A$2:$A$251,INT((ROW()-2)/2)+1))</f>
        <v>SAMPLE-CMP-003</v>
      </c>
      <c r="B37" s="30" t="str">
        <f aca="false">IF(INDEX(approvals!$A$2:$A$251,INT((ROW()-2)/2)+1)="","",INDEX(approvals!$B$2:$B$251,INT((ROW()-2)/2)+1))</f>
        <v>SAMPLE-O-008</v>
      </c>
      <c r="C37" s="30" t="str">
        <f aca="false">IF($A37="","",IF(MOD(ROW()-2,2)=0,"qr","post"))</f>
        <v>post</v>
      </c>
      <c r="D37" s="30" t="str">
        <f aca="false">IF($A37="","",IF(LEFT($A37,7)="SAMPLE-","SAMPLE-","")&amp;LOWER(SUBSTITUTE(SUBSTITUTE($A37,"SAMPLE-",""),"CMP-","c"))&amp;"-"&amp;LOWER(SUBSTITUTE(SUBSTITUTE($B37,"SAMPLE-",""),"O-","o"))&amp;"-"&amp;IF($C37="qr","q","p"))</f>
        <v>SAMPLE-c003-o008-p</v>
      </c>
      <c r="E37" s="30" t="str">
        <f aca="false">IF($A37="","","https://"&amp;config!$B$9&amp;"/"&amp;$D37)</f>
        <v>https://go.example.com/SAMPLE-c003-o008-p</v>
      </c>
      <c r="F37" s="30" t="str">
        <f aca="false">IF($A37="","",$A37&amp;"."&amp;$B37)</f>
        <v>SAMPLE-CMP-003.SAMPLE-O-008</v>
      </c>
      <c r="G37" s="30" t="str">
        <f aca="false">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https://docs.google.com/forms/d/e/SAMPLE-CMP-003-FORM/viewform?usp=pp_url&amp;entry.1000001=SAMPLE-CMP-003.SAMPLE-O-008&amp;utm_source=office-pantry&amp;utm_medium=post&amp;utm_campaign=sample-cmp-003&amp;utm_content=sample-o-008</v>
      </c>
      <c r="H37" s="30" t="str">
        <f aca="false">IF(OR($A37="",$C37&lt;&gt;"qr"),"",$D37&amp;".png")</f>
        <v/>
      </c>
      <c r="I37" s="30" t="str">
        <f aca="true">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ustomFormat="false" ht="15" hidden="false" customHeight="false" outlineLevel="0" collapsed="false">
      <c r="A38" s="30" t="str">
        <f aca="false">IF(INDEX(approvals!$A$2:$A$251,INT((ROW()-2)/2)+1)="","",INDEX(approvals!$A$2:$A$251,INT((ROW()-2)/2)+1))</f>
        <v>SAMPLE-CMP-003</v>
      </c>
      <c r="B38" s="30" t="str">
        <f aca="false">IF(INDEX(approvals!$A$2:$A$251,INT((ROW()-2)/2)+1)="","",INDEX(approvals!$B$2:$B$251,INT((ROW()-2)/2)+1))</f>
        <v>SAMPLE-O-009</v>
      </c>
      <c r="C38" s="30" t="str">
        <f aca="false">IF($A38="","",IF(MOD(ROW()-2,2)=0,"qr","post"))</f>
        <v>qr</v>
      </c>
      <c r="D38" s="30" t="str">
        <f aca="false">IF($A38="","",IF(LEFT($A38,7)="SAMPLE-","SAMPLE-","")&amp;LOWER(SUBSTITUTE(SUBSTITUTE($A38,"SAMPLE-",""),"CMP-","c"))&amp;"-"&amp;LOWER(SUBSTITUTE(SUBSTITUTE($B38,"SAMPLE-",""),"O-","o"))&amp;"-"&amp;IF($C38="qr","q","p"))</f>
        <v>SAMPLE-c003-o009-q</v>
      </c>
      <c r="E38" s="30" t="str">
        <f aca="false">IF($A38="","","https://"&amp;config!$B$9&amp;"/"&amp;$D38)</f>
        <v>https://go.example.com/SAMPLE-c003-o009-q</v>
      </c>
      <c r="F38" s="30" t="str">
        <f aca="false">IF($A38="","",$A38&amp;"."&amp;$B38)</f>
        <v>SAMPLE-CMP-003.SAMPLE-O-009</v>
      </c>
      <c r="G38" s="30" t="str">
        <f aca="false">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https://docs.google.com/forms/d/e/SAMPLE-CMP-003-FORM/viewform?usp=pp_url&amp;entry.1000001=SAMPLE-CMP-003.SAMPLE-O-009&amp;utm_source=office-pantry&amp;utm_medium=qr&amp;utm_campaign=sample-cmp-003&amp;utm_content=sample-o-009</v>
      </c>
      <c r="H38" s="30" t="str">
        <f aca="false">IF(OR($A38="",$C38&lt;&gt;"qr"),"",$D38&amp;".png")</f>
        <v>SAMPLE-c003-o009-q.png</v>
      </c>
      <c r="I38" s="30" t="str">
        <f aca="true">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ustomFormat="false" ht="15" hidden="false" customHeight="false" outlineLevel="0" collapsed="false">
      <c r="A39" s="30" t="str">
        <f aca="false">IF(INDEX(approvals!$A$2:$A$251,INT((ROW()-2)/2)+1)="","",INDEX(approvals!$A$2:$A$251,INT((ROW()-2)/2)+1))</f>
        <v>SAMPLE-CMP-003</v>
      </c>
      <c r="B39" s="30" t="str">
        <f aca="false">IF(INDEX(approvals!$A$2:$A$251,INT((ROW()-2)/2)+1)="","",INDEX(approvals!$B$2:$B$251,INT((ROW()-2)/2)+1))</f>
        <v>SAMPLE-O-009</v>
      </c>
      <c r="C39" s="30" t="str">
        <f aca="false">IF($A39="","",IF(MOD(ROW()-2,2)=0,"qr","post"))</f>
        <v>post</v>
      </c>
      <c r="D39" s="30" t="str">
        <f aca="false">IF($A39="","",IF(LEFT($A39,7)="SAMPLE-","SAMPLE-","")&amp;LOWER(SUBSTITUTE(SUBSTITUTE($A39,"SAMPLE-",""),"CMP-","c"))&amp;"-"&amp;LOWER(SUBSTITUTE(SUBSTITUTE($B39,"SAMPLE-",""),"O-","o"))&amp;"-"&amp;IF($C39="qr","q","p"))</f>
        <v>SAMPLE-c003-o009-p</v>
      </c>
      <c r="E39" s="30" t="str">
        <f aca="false">IF($A39="","","https://"&amp;config!$B$9&amp;"/"&amp;$D39)</f>
        <v>https://go.example.com/SAMPLE-c003-o009-p</v>
      </c>
      <c r="F39" s="30" t="str">
        <f aca="false">IF($A39="","",$A39&amp;"."&amp;$B39)</f>
        <v>SAMPLE-CMP-003.SAMPLE-O-009</v>
      </c>
      <c r="G39" s="30" t="str">
        <f aca="false">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https://docs.google.com/forms/d/e/SAMPLE-CMP-003-FORM/viewform?usp=pp_url&amp;entry.1000001=SAMPLE-CMP-003.SAMPLE-O-009&amp;utm_source=office-pantry&amp;utm_medium=post&amp;utm_campaign=sample-cmp-003&amp;utm_content=sample-o-009</v>
      </c>
      <c r="H39" s="30" t="str">
        <f aca="false">IF(OR($A39="",$C39&lt;&gt;"qr"),"",$D39&amp;".png")</f>
        <v/>
      </c>
      <c r="I39" s="30" t="str">
        <f aca="true">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ustomFormat="false" ht="15" hidden="false" customHeight="false" outlineLevel="0" collapsed="false">
      <c r="A40" s="30" t="str">
        <f aca="false">IF(INDEX(approvals!$A$2:$A$251,INT((ROW()-2)/2)+1)="","",INDEX(approvals!$A$2:$A$251,INT((ROW()-2)/2)+1))</f>
        <v>SAMPLE-CMP-003</v>
      </c>
      <c r="B40" s="30" t="str">
        <f aca="false">IF(INDEX(approvals!$A$2:$A$251,INT((ROW()-2)/2)+1)="","",INDEX(approvals!$B$2:$B$251,INT((ROW()-2)/2)+1))</f>
        <v>SAMPLE-O-010</v>
      </c>
      <c r="C40" s="30" t="str">
        <f aca="false">IF($A40="","",IF(MOD(ROW()-2,2)=0,"qr","post"))</f>
        <v>qr</v>
      </c>
      <c r="D40" s="30" t="str">
        <f aca="false">IF($A40="","",IF(LEFT($A40,7)="SAMPLE-","SAMPLE-","")&amp;LOWER(SUBSTITUTE(SUBSTITUTE($A40,"SAMPLE-",""),"CMP-","c"))&amp;"-"&amp;LOWER(SUBSTITUTE(SUBSTITUTE($B40,"SAMPLE-",""),"O-","o"))&amp;"-"&amp;IF($C40="qr","q","p"))</f>
        <v>SAMPLE-c003-o010-q</v>
      </c>
      <c r="E40" s="30" t="str">
        <f aca="false">IF($A40="","","https://"&amp;config!$B$9&amp;"/"&amp;$D40)</f>
        <v>https://go.example.com/SAMPLE-c003-o010-q</v>
      </c>
      <c r="F40" s="30" t="str">
        <f aca="false">IF($A40="","",$A40&amp;"."&amp;$B40)</f>
        <v>SAMPLE-CMP-003.SAMPLE-O-010</v>
      </c>
      <c r="G40" s="30" t="str">
        <f aca="false">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https://docs.google.com/forms/d/e/SAMPLE-CMP-003-FORM/viewform?usp=pp_url&amp;entry.1000001=SAMPLE-CMP-003.SAMPLE-O-010&amp;utm_source=office-pantry&amp;utm_medium=qr&amp;utm_campaign=sample-cmp-003&amp;utm_content=sample-o-010</v>
      </c>
      <c r="H40" s="30" t="str">
        <f aca="false">IF(OR($A40="",$C40&lt;&gt;"qr"),"",$D40&amp;".png")</f>
        <v>SAMPLE-c003-o010-q.png</v>
      </c>
      <c r="I40" s="30" t="str">
        <f aca="true">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ustomFormat="false" ht="15" hidden="false" customHeight="false" outlineLevel="0" collapsed="false">
      <c r="A41" s="30" t="str">
        <f aca="false">IF(INDEX(approvals!$A$2:$A$251,INT((ROW()-2)/2)+1)="","",INDEX(approvals!$A$2:$A$251,INT((ROW()-2)/2)+1))</f>
        <v>SAMPLE-CMP-003</v>
      </c>
      <c r="B41" s="30" t="str">
        <f aca="false">IF(INDEX(approvals!$A$2:$A$251,INT((ROW()-2)/2)+1)="","",INDEX(approvals!$B$2:$B$251,INT((ROW()-2)/2)+1))</f>
        <v>SAMPLE-O-010</v>
      </c>
      <c r="C41" s="30" t="str">
        <f aca="false">IF($A41="","",IF(MOD(ROW()-2,2)=0,"qr","post"))</f>
        <v>post</v>
      </c>
      <c r="D41" s="30" t="str">
        <f aca="false">IF($A41="","",IF(LEFT($A41,7)="SAMPLE-","SAMPLE-","")&amp;LOWER(SUBSTITUTE(SUBSTITUTE($A41,"SAMPLE-",""),"CMP-","c"))&amp;"-"&amp;LOWER(SUBSTITUTE(SUBSTITUTE($B41,"SAMPLE-",""),"O-","o"))&amp;"-"&amp;IF($C41="qr","q","p"))</f>
        <v>SAMPLE-c003-o010-p</v>
      </c>
      <c r="E41" s="30" t="str">
        <f aca="false">IF($A41="","","https://"&amp;config!$B$9&amp;"/"&amp;$D41)</f>
        <v>https://go.example.com/SAMPLE-c003-o010-p</v>
      </c>
      <c r="F41" s="30" t="str">
        <f aca="false">IF($A41="","",$A41&amp;"."&amp;$B41)</f>
        <v>SAMPLE-CMP-003.SAMPLE-O-010</v>
      </c>
      <c r="G41" s="30" t="str">
        <f aca="false">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https://docs.google.com/forms/d/e/SAMPLE-CMP-003-FORM/viewform?usp=pp_url&amp;entry.1000001=SAMPLE-CMP-003.SAMPLE-O-010&amp;utm_source=office-pantry&amp;utm_medium=post&amp;utm_campaign=sample-cmp-003&amp;utm_content=sample-o-010</v>
      </c>
      <c r="H41" s="30" t="str">
        <f aca="false">IF(OR($A41="",$C41&lt;&gt;"qr"),"",$D41&amp;".png")</f>
        <v/>
      </c>
      <c r="I41" s="30" t="str">
        <f aca="true">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ustomFormat="false" ht="15" hidden="false" customHeight="false" outlineLevel="0" collapsed="false">
      <c r="A42" s="30" t="str">
        <f aca="false">IF(INDEX(approvals!$A$2:$A$251,INT((ROW()-2)/2)+1)="","",INDEX(approvals!$A$2:$A$251,INT((ROW()-2)/2)+1))</f>
        <v>SAMPLE-CMP-004</v>
      </c>
      <c r="B42" s="30" t="str">
        <f aca="false">IF(INDEX(approvals!$A$2:$A$251,INT((ROW()-2)/2)+1)="","",INDEX(approvals!$B$2:$B$251,INT((ROW()-2)/2)+1))</f>
        <v>SAMPLE-O-001</v>
      </c>
      <c r="C42" s="30" t="str">
        <f aca="false">IF($A42="","",IF(MOD(ROW()-2,2)=0,"qr","post"))</f>
        <v>qr</v>
      </c>
      <c r="D42" s="30" t="str">
        <f aca="false">IF($A42="","",IF(LEFT($A42,7)="SAMPLE-","SAMPLE-","")&amp;LOWER(SUBSTITUTE(SUBSTITUTE($A42,"SAMPLE-",""),"CMP-","c"))&amp;"-"&amp;LOWER(SUBSTITUTE(SUBSTITUTE($B42,"SAMPLE-",""),"O-","o"))&amp;"-"&amp;IF($C42="qr","q","p"))</f>
        <v>SAMPLE-c004-o001-q</v>
      </c>
      <c r="E42" s="30" t="str">
        <f aca="false">IF($A42="","","https://"&amp;config!$B$9&amp;"/"&amp;$D42)</f>
        <v>https://go.example.com/SAMPLE-c004-o001-q</v>
      </c>
      <c r="F42" s="30" t="str">
        <f aca="false">IF($A42="","",$A42&amp;"."&amp;$B42)</f>
        <v>SAMPLE-CMP-004.SAMPLE-O-001</v>
      </c>
      <c r="G42" s="30" t="str">
        <f aca="false">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https://docs.google.com/forms/d/e/SAMPLE-CMP-004-FORM/viewform?usp=pp_url&amp;entry.1000001=SAMPLE-CMP-004.SAMPLE-O-001&amp;utm_source=office-pantry&amp;utm_medium=qr&amp;utm_campaign=sample-cmp-004&amp;utm_content=sample-o-001</v>
      </c>
      <c r="H42" s="30" t="str">
        <f aca="false">IF(OR($A42="",$C42&lt;&gt;"qr"),"",$D42&amp;".png")</f>
        <v>SAMPLE-c004-o001-q.png</v>
      </c>
      <c r="I42" s="30" t="str">
        <f aca="true">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ustomFormat="false" ht="15" hidden="false" customHeight="false" outlineLevel="0" collapsed="false">
      <c r="A43" s="30" t="str">
        <f aca="false">IF(INDEX(approvals!$A$2:$A$251,INT((ROW()-2)/2)+1)="","",INDEX(approvals!$A$2:$A$251,INT((ROW()-2)/2)+1))</f>
        <v>SAMPLE-CMP-004</v>
      </c>
      <c r="B43" s="30" t="str">
        <f aca="false">IF(INDEX(approvals!$A$2:$A$251,INT((ROW()-2)/2)+1)="","",INDEX(approvals!$B$2:$B$251,INT((ROW()-2)/2)+1))</f>
        <v>SAMPLE-O-001</v>
      </c>
      <c r="C43" s="30" t="str">
        <f aca="false">IF($A43="","",IF(MOD(ROW()-2,2)=0,"qr","post"))</f>
        <v>post</v>
      </c>
      <c r="D43" s="30" t="str">
        <f aca="false">IF($A43="","",IF(LEFT($A43,7)="SAMPLE-","SAMPLE-","")&amp;LOWER(SUBSTITUTE(SUBSTITUTE($A43,"SAMPLE-",""),"CMP-","c"))&amp;"-"&amp;LOWER(SUBSTITUTE(SUBSTITUTE($B43,"SAMPLE-",""),"O-","o"))&amp;"-"&amp;IF($C43="qr","q","p"))</f>
        <v>SAMPLE-c004-o001-p</v>
      </c>
      <c r="E43" s="30" t="str">
        <f aca="false">IF($A43="","","https://"&amp;config!$B$9&amp;"/"&amp;$D43)</f>
        <v>https://go.example.com/SAMPLE-c004-o001-p</v>
      </c>
      <c r="F43" s="30" t="str">
        <f aca="false">IF($A43="","",$A43&amp;"."&amp;$B43)</f>
        <v>SAMPLE-CMP-004.SAMPLE-O-001</v>
      </c>
      <c r="G43" s="30" t="str">
        <f aca="false">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https://docs.google.com/forms/d/e/SAMPLE-CMP-004-FORM/viewform?usp=pp_url&amp;entry.1000001=SAMPLE-CMP-004.SAMPLE-O-001&amp;utm_source=office-pantry&amp;utm_medium=post&amp;utm_campaign=sample-cmp-004&amp;utm_content=sample-o-001</v>
      </c>
      <c r="H43" s="30" t="str">
        <f aca="false">IF(OR($A43="",$C43&lt;&gt;"qr"),"",$D43&amp;".png")</f>
        <v/>
      </c>
      <c r="I43" s="30" t="str">
        <f aca="true">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ustomFormat="false" ht="15" hidden="false" customHeight="false" outlineLevel="0" collapsed="false">
      <c r="A44" s="30" t="str">
        <f aca="false">IF(INDEX(approvals!$A$2:$A$251,INT((ROW()-2)/2)+1)="","",INDEX(approvals!$A$2:$A$251,INT((ROW()-2)/2)+1))</f>
        <v>SAMPLE-CMP-004</v>
      </c>
      <c r="B44" s="30" t="str">
        <f aca="false">IF(INDEX(approvals!$A$2:$A$251,INT((ROW()-2)/2)+1)="","",INDEX(approvals!$B$2:$B$251,INT((ROW()-2)/2)+1))</f>
        <v>SAMPLE-O-002</v>
      </c>
      <c r="C44" s="30" t="str">
        <f aca="false">IF($A44="","",IF(MOD(ROW()-2,2)=0,"qr","post"))</f>
        <v>qr</v>
      </c>
      <c r="D44" s="30" t="str">
        <f aca="false">IF($A44="","",IF(LEFT($A44,7)="SAMPLE-","SAMPLE-","")&amp;LOWER(SUBSTITUTE(SUBSTITUTE($A44,"SAMPLE-",""),"CMP-","c"))&amp;"-"&amp;LOWER(SUBSTITUTE(SUBSTITUTE($B44,"SAMPLE-",""),"O-","o"))&amp;"-"&amp;IF($C44="qr","q","p"))</f>
        <v>SAMPLE-c004-o002-q</v>
      </c>
      <c r="E44" s="30" t="str">
        <f aca="false">IF($A44="","","https://"&amp;config!$B$9&amp;"/"&amp;$D44)</f>
        <v>https://go.example.com/SAMPLE-c004-o002-q</v>
      </c>
      <c r="F44" s="30" t="str">
        <f aca="false">IF($A44="","",$A44&amp;"."&amp;$B44)</f>
        <v>SAMPLE-CMP-004.SAMPLE-O-002</v>
      </c>
      <c r="G44" s="30" t="str">
        <f aca="false">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https://docs.google.com/forms/d/e/SAMPLE-CMP-004-FORM/viewform?usp=pp_url&amp;entry.1000001=SAMPLE-CMP-004.SAMPLE-O-002&amp;utm_source=office-pantry&amp;utm_medium=qr&amp;utm_campaign=sample-cmp-004&amp;utm_content=sample-o-002</v>
      </c>
      <c r="H44" s="30" t="str">
        <f aca="false">IF(OR($A44="",$C44&lt;&gt;"qr"),"",$D44&amp;".png")</f>
        <v>SAMPLE-c004-o002-q.png</v>
      </c>
      <c r="I44" s="30" t="str">
        <f aca="true">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ustomFormat="false" ht="15" hidden="false" customHeight="false" outlineLevel="0" collapsed="false">
      <c r="A45" s="30" t="str">
        <f aca="false">IF(INDEX(approvals!$A$2:$A$251,INT((ROW()-2)/2)+1)="","",INDEX(approvals!$A$2:$A$251,INT((ROW()-2)/2)+1))</f>
        <v>SAMPLE-CMP-004</v>
      </c>
      <c r="B45" s="30" t="str">
        <f aca="false">IF(INDEX(approvals!$A$2:$A$251,INT((ROW()-2)/2)+1)="","",INDEX(approvals!$B$2:$B$251,INT((ROW()-2)/2)+1))</f>
        <v>SAMPLE-O-002</v>
      </c>
      <c r="C45" s="30" t="str">
        <f aca="false">IF($A45="","",IF(MOD(ROW()-2,2)=0,"qr","post"))</f>
        <v>post</v>
      </c>
      <c r="D45" s="30" t="str">
        <f aca="false">IF($A45="","",IF(LEFT($A45,7)="SAMPLE-","SAMPLE-","")&amp;LOWER(SUBSTITUTE(SUBSTITUTE($A45,"SAMPLE-",""),"CMP-","c"))&amp;"-"&amp;LOWER(SUBSTITUTE(SUBSTITUTE($B45,"SAMPLE-",""),"O-","o"))&amp;"-"&amp;IF($C45="qr","q","p"))</f>
        <v>SAMPLE-c004-o002-p</v>
      </c>
      <c r="E45" s="30" t="str">
        <f aca="false">IF($A45="","","https://"&amp;config!$B$9&amp;"/"&amp;$D45)</f>
        <v>https://go.example.com/SAMPLE-c004-o002-p</v>
      </c>
      <c r="F45" s="30" t="str">
        <f aca="false">IF($A45="","",$A45&amp;"."&amp;$B45)</f>
        <v>SAMPLE-CMP-004.SAMPLE-O-002</v>
      </c>
      <c r="G45" s="30" t="str">
        <f aca="false">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https://docs.google.com/forms/d/e/SAMPLE-CMP-004-FORM/viewform?usp=pp_url&amp;entry.1000001=SAMPLE-CMP-004.SAMPLE-O-002&amp;utm_source=office-pantry&amp;utm_medium=post&amp;utm_campaign=sample-cmp-004&amp;utm_content=sample-o-002</v>
      </c>
      <c r="H45" s="30" t="str">
        <f aca="false">IF(OR($A45="",$C45&lt;&gt;"qr"),"",$D45&amp;".png")</f>
        <v/>
      </c>
      <c r="I45" s="30" t="str">
        <f aca="true">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ustomFormat="false" ht="15" hidden="false" customHeight="false" outlineLevel="0" collapsed="false">
      <c r="A46" s="30" t="str">
        <f aca="false">IF(INDEX(approvals!$A$2:$A$251,INT((ROW()-2)/2)+1)="","",INDEX(approvals!$A$2:$A$251,INT((ROW()-2)/2)+1))</f>
        <v>SAMPLE-CMP-004</v>
      </c>
      <c r="B46" s="30" t="str">
        <f aca="false">IF(INDEX(approvals!$A$2:$A$251,INT((ROW()-2)/2)+1)="","",INDEX(approvals!$B$2:$B$251,INT((ROW()-2)/2)+1))</f>
        <v>SAMPLE-O-003</v>
      </c>
      <c r="C46" s="30" t="str">
        <f aca="false">IF($A46="","",IF(MOD(ROW()-2,2)=0,"qr","post"))</f>
        <v>qr</v>
      </c>
      <c r="D46" s="30" t="str">
        <f aca="false">IF($A46="","",IF(LEFT($A46,7)="SAMPLE-","SAMPLE-","")&amp;LOWER(SUBSTITUTE(SUBSTITUTE($A46,"SAMPLE-",""),"CMP-","c"))&amp;"-"&amp;LOWER(SUBSTITUTE(SUBSTITUTE($B46,"SAMPLE-",""),"O-","o"))&amp;"-"&amp;IF($C46="qr","q","p"))</f>
        <v>SAMPLE-c004-o003-q</v>
      </c>
      <c r="E46" s="30" t="str">
        <f aca="false">IF($A46="","","https://"&amp;config!$B$9&amp;"/"&amp;$D46)</f>
        <v>https://go.example.com/SAMPLE-c004-o003-q</v>
      </c>
      <c r="F46" s="30" t="str">
        <f aca="false">IF($A46="","",$A46&amp;"."&amp;$B46)</f>
        <v>SAMPLE-CMP-004.SAMPLE-O-003</v>
      </c>
      <c r="G46" s="30" t="str">
        <f aca="false">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https://docs.google.com/forms/d/e/SAMPLE-CMP-004-FORM/viewform?usp=pp_url&amp;entry.1000001=SAMPLE-CMP-004.SAMPLE-O-003&amp;utm_source=office-pantry&amp;utm_medium=qr&amp;utm_campaign=sample-cmp-004&amp;utm_content=sample-o-003</v>
      </c>
      <c r="H46" s="30" t="str">
        <f aca="false">IF(OR($A46="",$C46&lt;&gt;"qr"),"",$D46&amp;".png")</f>
        <v>SAMPLE-c004-o003-q.png</v>
      </c>
      <c r="I46" s="30" t="str">
        <f aca="true">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ustomFormat="false" ht="15" hidden="false" customHeight="false" outlineLevel="0" collapsed="false">
      <c r="A47" s="30" t="str">
        <f aca="false">IF(INDEX(approvals!$A$2:$A$251,INT((ROW()-2)/2)+1)="","",INDEX(approvals!$A$2:$A$251,INT((ROW()-2)/2)+1))</f>
        <v>SAMPLE-CMP-004</v>
      </c>
      <c r="B47" s="30" t="str">
        <f aca="false">IF(INDEX(approvals!$A$2:$A$251,INT((ROW()-2)/2)+1)="","",INDEX(approvals!$B$2:$B$251,INT((ROW()-2)/2)+1))</f>
        <v>SAMPLE-O-003</v>
      </c>
      <c r="C47" s="30" t="str">
        <f aca="false">IF($A47="","",IF(MOD(ROW()-2,2)=0,"qr","post"))</f>
        <v>post</v>
      </c>
      <c r="D47" s="30" t="str">
        <f aca="false">IF($A47="","",IF(LEFT($A47,7)="SAMPLE-","SAMPLE-","")&amp;LOWER(SUBSTITUTE(SUBSTITUTE($A47,"SAMPLE-",""),"CMP-","c"))&amp;"-"&amp;LOWER(SUBSTITUTE(SUBSTITUTE($B47,"SAMPLE-",""),"O-","o"))&amp;"-"&amp;IF($C47="qr","q","p"))</f>
        <v>SAMPLE-c004-o003-p</v>
      </c>
      <c r="E47" s="30" t="str">
        <f aca="false">IF($A47="","","https://"&amp;config!$B$9&amp;"/"&amp;$D47)</f>
        <v>https://go.example.com/SAMPLE-c004-o003-p</v>
      </c>
      <c r="F47" s="30" t="str">
        <f aca="false">IF($A47="","",$A47&amp;"."&amp;$B47)</f>
        <v>SAMPLE-CMP-004.SAMPLE-O-003</v>
      </c>
      <c r="G47" s="30" t="str">
        <f aca="false">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https://docs.google.com/forms/d/e/SAMPLE-CMP-004-FORM/viewform?usp=pp_url&amp;entry.1000001=SAMPLE-CMP-004.SAMPLE-O-003&amp;utm_source=office-pantry&amp;utm_medium=post&amp;utm_campaign=sample-cmp-004&amp;utm_content=sample-o-003</v>
      </c>
      <c r="H47" s="30" t="str">
        <f aca="false">IF(OR($A47="",$C47&lt;&gt;"qr"),"",$D47&amp;".png")</f>
        <v/>
      </c>
      <c r="I47" s="30" t="str">
        <f aca="true">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ustomFormat="false" ht="15" hidden="false" customHeight="false" outlineLevel="0" collapsed="false">
      <c r="A48" s="30" t="str">
        <f aca="false">IF(INDEX(approvals!$A$2:$A$251,INT((ROW()-2)/2)+1)="","",INDEX(approvals!$A$2:$A$251,INT((ROW()-2)/2)+1))</f>
        <v>SAMPLE-CMP-004</v>
      </c>
      <c r="B48" s="30" t="str">
        <f aca="false">IF(INDEX(approvals!$A$2:$A$251,INT((ROW()-2)/2)+1)="","",INDEX(approvals!$B$2:$B$251,INT((ROW()-2)/2)+1))</f>
        <v>SAMPLE-O-004</v>
      </c>
      <c r="C48" s="30" t="str">
        <f aca="false">IF($A48="","",IF(MOD(ROW()-2,2)=0,"qr","post"))</f>
        <v>qr</v>
      </c>
      <c r="D48" s="30" t="str">
        <f aca="false">IF($A48="","",IF(LEFT($A48,7)="SAMPLE-","SAMPLE-","")&amp;LOWER(SUBSTITUTE(SUBSTITUTE($A48,"SAMPLE-",""),"CMP-","c"))&amp;"-"&amp;LOWER(SUBSTITUTE(SUBSTITUTE($B48,"SAMPLE-",""),"O-","o"))&amp;"-"&amp;IF($C48="qr","q","p"))</f>
        <v>SAMPLE-c004-o004-q</v>
      </c>
      <c r="E48" s="30" t="str">
        <f aca="false">IF($A48="","","https://"&amp;config!$B$9&amp;"/"&amp;$D48)</f>
        <v>https://go.example.com/SAMPLE-c004-o004-q</v>
      </c>
      <c r="F48" s="30" t="str">
        <f aca="false">IF($A48="","",$A48&amp;"."&amp;$B48)</f>
        <v>SAMPLE-CMP-004.SAMPLE-O-004</v>
      </c>
      <c r="G48" s="30" t="str">
        <f aca="false">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https://docs.google.com/forms/d/e/SAMPLE-CMP-004-FORM/viewform?usp=pp_url&amp;entry.1000001=SAMPLE-CMP-004.SAMPLE-O-004&amp;utm_source=office-pantry&amp;utm_medium=qr&amp;utm_campaign=sample-cmp-004&amp;utm_content=sample-o-004</v>
      </c>
      <c r="H48" s="30" t="str">
        <f aca="false">IF(OR($A48="",$C48&lt;&gt;"qr"),"",$D48&amp;".png")</f>
        <v>SAMPLE-c004-o004-q.png</v>
      </c>
      <c r="I48" s="30" t="str">
        <f aca="true">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ustomFormat="false" ht="15" hidden="false" customHeight="false" outlineLevel="0" collapsed="false">
      <c r="A49" s="30" t="str">
        <f aca="false">IF(INDEX(approvals!$A$2:$A$251,INT((ROW()-2)/2)+1)="","",INDEX(approvals!$A$2:$A$251,INT((ROW()-2)/2)+1))</f>
        <v>SAMPLE-CMP-004</v>
      </c>
      <c r="B49" s="30" t="str">
        <f aca="false">IF(INDEX(approvals!$A$2:$A$251,INT((ROW()-2)/2)+1)="","",INDEX(approvals!$B$2:$B$251,INT((ROW()-2)/2)+1))</f>
        <v>SAMPLE-O-004</v>
      </c>
      <c r="C49" s="30" t="str">
        <f aca="false">IF($A49="","",IF(MOD(ROW()-2,2)=0,"qr","post"))</f>
        <v>post</v>
      </c>
      <c r="D49" s="30" t="str">
        <f aca="false">IF($A49="","",IF(LEFT($A49,7)="SAMPLE-","SAMPLE-","")&amp;LOWER(SUBSTITUTE(SUBSTITUTE($A49,"SAMPLE-",""),"CMP-","c"))&amp;"-"&amp;LOWER(SUBSTITUTE(SUBSTITUTE($B49,"SAMPLE-",""),"O-","o"))&amp;"-"&amp;IF($C49="qr","q","p"))</f>
        <v>SAMPLE-c004-o004-p</v>
      </c>
      <c r="E49" s="30" t="str">
        <f aca="false">IF($A49="","","https://"&amp;config!$B$9&amp;"/"&amp;$D49)</f>
        <v>https://go.example.com/SAMPLE-c004-o004-p</v>
      </c>
      <c r="F49" s="30" t="str">
        <f aca="false">IF($A49="","",$A49&amp;"."&amp;$B49)</f>
        <v>SAMPLE-CMP-004.SAMPLE-O-004</v>
      </c>
      <c r="G49" s="30" t="str">
        <f aca="false">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https://docs.google.com/forms/d/e/SAMPLE-CMP-004-FORM/viewform?usp=pp_url&amp;entry.1000001=SAMPLE-CMP-004.SAMPLE-O-004&amp;utm_source=office-pantry&amp;utm_medium=post&amp;utm_campaign=sample-cmp-004&amp;utm_content=sample-o-004</v>
      </c>
      <c r="H49" s="30" t="str">
        <f aca="false">IF(OR($A49="",$C49&lt;&gt;"qr"),"",$D49&amp;".png")</f>
        <v/>
      </c>
      <c r="I49" s="30" t="str">
        <f aca="true">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ustomFormat="false" ht="15" hidden="false" customHeight="false" outlineLevel="0" collapsed="false">
      <c r="A50" s="30" t="str">
        <f aca="false">IF(INDEX(approvals!$A$2:$A$251,INT((ROW()-2)/2)+1)="","",INDEX(approvals!$A$2:$A$251,INT((ROW()-2)/2)+1))</f>
        <v>SAMPLE-CMP-004</v>
      </c>
      <c r="B50" s="30" t="str">
        <f aca="false">IF(INDEX(approvals!$A$2:$A$251,INT((ROW()-2)/2)+1)="","",INDEX(approvals!$B$2:$B$251,INT((ROW()-2)/2)+1))</f>
        <v>SAMPLE-O-005</v>
      </c>
      <c r="C50" s="30" t="str">
        <f aca="false">IF($A50="","",IF(MOD(ROW()-2,2)=0,"qr","post"))</f>
        <v>qr</v>
      </c>
      <c r="D50" s="30" t="str">
        <f aca="false">IF($A50="","",IF(LEFT($A50,7)="SAMPLE-","SAMPLE-","")&amp;LOWER(SUBSTITUTE(SUBSTITUTE($A50,"SAMPLE-",""),"CMP-","c"))&amp;"-"&amp;LOWER(SUBSTITUTE(SUBSTITUTE($B50,"SAMPLE-",""),"O-","o"))&amp;"-"&amp;IF($C50="qr","q","p"))</f>
        <v>SAMPLE-c004-o005-q</v>
      </c>
      <c r="E50" s="30" t="str">
        <f aca="false">IF($A50="","","https://"&amp;config!$B$9&amp;"/"&amp;$D50)</f>
        <v>https://go.example.com/SAMPLE-c004-o005-q</v>
      </c>
      <c r="F50" s="30" t="str">
        <f aca="false">IF($A50="","",$A50&amp;"."&amp;$B50)</f>
        <v>SAMPLE-CMP-004.SAMPLE-O-005</v>
      </c>
      <c r="G50" s="30" t="str">
        <f aca="false">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https://docs.google.com/forms/d/e/SAMPLE-CMP-004-FORM/viewform?usp=pp_url&amp;entry.1000001=SAMPLE-CMP-004.SAMPLE-O-005&amp;utm_source=office-pantry&amp;utm_medium=qr&amp;utm_campaign=sample-cmp-004&amp;utm_content=sample-o-005</v>
      </c>
      <c r="H50" s="30" t="str">
        <f aca="false">IF(OR($A50="",$C50&lt;&gt;"qr"),"",$D50&amp;".png")</f>
        <v>SAMPLE-c004-o005-q.png</v>
      </c>
      <c r="I50" s="30" t="str">
        <f aca="true">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ustomFormat="false" ht="15" hidden="false" customHeight="false" outlineLevel="0" collapsed="false">
      <c r="A51" s="30" t="str">
        <f aca="false">IF(INDEX(approvals!$A$2:$A$251,INT((ROW()-2)/2)+1)="","",INDEX(approvals!$A$2:$A$251,INT((ROW()-2)/2)+1))</f>
        <v>SAMPLE-CMP-004</v>
      </c>
      <c r="B51" s="30" t="str">
        <f aca="false">IF(INDEX(approvals!$A$2:$A$251,INT((ROW()-2)/2)+1)="","",INDEX(approvals!$B$2:$B$251,INT((ROW()-2)/2)+1))</f>
        <v>SAMPLE-O-005</v>
      </c>
      <c r="C51" s="30" t="str">
        <f aca="false">IF($A51="","",IF(MOD(ROW()-2,2)=0,"qr","post"))</f>
        <v>post</v>
      </c>
      <c r="D51" s="30" t="str">
        <f aca="false">IF($A51="","",IF(LEFT($A51,7)="SAMPLE-","SAMPLE-","")&amp;LOWER(SUBSTITUTE(SUBSTITUTE($A51,"SAMPLE-",""),"CMP-","c"))&amp;"-"&amp;LOWER(SUBSTITUTE(SUBSTITUTE($B51,"SAMPLE-",""),"O-","o"))&amp;"-"&amp;IF($C51="qr","q","p"))</f>
        <v>SAMPLE-c004-o005-p</v>
      </c>
      <c r="E51" s="30" t="str">
        <f aca="false">IF($A51="","","https://"&amp;config!$B$9&amp;"/"&amp;$D51)</f>
        <v>https://go.example.com/SAMPLE-c004-o005-p</v>
      </c>
      <c r="F51" s="30" t="str">
        <f aca="false">IF($A51="","",$A51&amp;"."&amp;$B51)</f>
        <v>SAMPLE-CMP-004.SAMPLE-O-005</v>
      </c>
      <c r="G51" s="30" t="str">
        <f aca="false">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https://docs.google.com/forms/d/e/SAMPLE-CMP-004-FORM/viewform?usp=pp_url&amp;entry.1000001=SAMPLE-CMP-004.SAMPLE-O-005&amp;utm_source=office-pantry&amp;utm_medium=post&amp;utm_campaign=sample-cmp-004&amp;utm_content=sample-o-005</v>
      </c>
      <c r="H51" s="30" t="str">
        <f aca="false">IF(OR($A51="",$C51&lt;&gt;"qr"),"",$D51&amp;".png")</f>
        <v/>
      </c>
      <c r="I51" s="30" t="str">
        <f aca="true">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ustomFormat="false" ht="15" hidden="false" customHeight="false" outlineLevel="0" collapsed="false">
      <c r="A52" s="30" t="str">
        <f aca="false">IF(INDEX(approvals!$A$2:$A$251,INT((ROW()-2)/2)+1)="","",INDEX(approvals!$A$2:$A$251,INT((ROW()-2)/2)+1))</f>
        <v>SAMPLE-CMP-004</v>
      </c>
      <c r="B52" s="30" t="str">
        <f aca="false">IF(INDEX(approvals!$A$2:$A$251,INT((ROW()-2)/2)+1)="","",INDEX(approvals!$B$2:$B$251,INT((ROW()-2)/2)+1))</f>
        <v>SAMPLE-O-006</v>
      </c>
      <c r="C52" s="30" t="str">
        <f aca="false">IF($A52="","",IF(MOD(ROW()-2,2)=0,"qr","post"))</f>
        <v>qr</v>
      </c>
      <c r="D52" s="30" t="str">
        <f aca="false">IF($A52="","",IF(LEFT($A52,7)="SAMPLE-","SAMPLE-","")&amp;LOWER(SUBSTITUTE(SUBSTITUTE($A52,"SAMPLE-",""),"CMP-","c"))&amp;"-"&amp;LOWER(SUBSTITUTE(SUBSTITUTE($B52,"SAMPLE-",""),"O-","o"))&amp;"-"&amp;IF($C52="qr","q","p"))</f>
        <v>SAMPLE-c004-o006-q</v>
      </c>
      <c r="E52" s="30" t="str">
        <f aca="false">IF($A52="","","https://"&amp;config!$B$9&amp;"/"&amp;$D52)</f>
        <v>https://go.example.com/SAMPLE-c004-o006-q</v>
      </c>
      <c r="F52" s="30" t="str">
        <f aca="false">IF($A52="","",$A52&amp;"."&amp;$B52)</f>
        <v>SAMPLE-CMP-004.SAMPLE-O-006</v>
      </c>
      <c r="G52" s="30" t="str">
        <f aca="false">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https://docs.google.com/forms/d/e/SAMPLE-CMP-004-FORM/viewform?usp=pp_url&amp;entry.1000001=SAMPLE-CMP-004.SAMPLE-O-006&amp;utm_source=office-pantry&amp;utm_medium=qr&amp;utm_campaign=sample-cmp-004&amp;utm_content=sample-o-006</v>
      </c>
      <c r="H52" s="30" t="str">
        <f aca="false">IF(OR($A52="",$C52&lt;&gt;"qr"),"",$D52&amp;".png")</f>
        <v>SAMPLE-c004-o006-q.png</v>
      </c>
      <c r="I52" s="30" t="str">
        <f aca="true">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ustomFormat="false" ht="15" hidden="false" customHeight="false" outlineLevel="0" collapsed="false">
      <c r="A53" s="30" t="str">
        <f aca="false">IF(INDEX(approvals!$A$2:$A$251,INT((ROW()-2)/2)+1)="","",INDEX(approvals!$A$2:$A$251,INT((ROW()-2)/2)+1))</f>
        <v>SAMPLE-CMP-004</v>
      </c>
      <c r="B53" s="30" t="str">
        <f aca="false">IF(INDEX(approvals!$A$2:$A$251,INT((ROW()-2)/2)+1)="","",INDEX(approvals!$B$2:$B$251,INT((ROW()-2)/2)+1))</f>
        <v>SAMPLE-O-006</v>
      </c>
      <c r="C53" s="30" t="str">
        <f aca="false">IF($A53="","",IF(MOD(ROW()-2,2)=0,"qr","post"))</f>
        <v>post</v>
      </c>
      <c r="D53" s="30" t="str">
        <f aca="false">IF($A53="","",IF(LEFT($A53,7)="SAMPLE-","SAMPLE-","")&amp;LOWER(SUBSTITUTE(SUBSTITUTE($A53,"SAMPLE-",""),"CMP-","c"))&amp;"-"&amp;LOWER(SUBSTITUTE(SUBSTITUTE($B53,"SAMPLE-",""),"O-","o"))&amp;"-"&amp;IF($C53="qr","q","p"))</f>
        <v>SAMPLE-c004-o006-p</v>
      </c>
      <c r="E53" s="30" t="str">
        <f aca="false">IF($A53="","","https://"&amp;config!$B$9&amp;"/"&amp;$D53)</f>
        <v>https://go.example.com/SAMPLE-c004-o006-p</v>
      </c>
      <c r="F53" s="30" t="str">
        <f aca="false">IF($A53="","",$A53&amp;"."&amp;$B53)</f>
        <v>SAMPLE-CMP-004.SAMPLE-O-006</v>
      </c>
      <c r="G53" s="30" t="str">
        <f aca="false">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https://docs.google.com/forms/d/e/SAMPLE-CMP-004-FORM/viewform?usp=pp_url&amp;entry.1000001=SAMPLE-CMP-004.SAMPLE-O-006&amp;utm_source=office-pantry&amp;utm_medium=post&amp;utm_campaign=sample-cmp-004&amp;utm_content=sample-o-006</v>
      </c>
      <c r="H53" s="30" t="str">
        <f aca="false">IF(OR($A53="",$C53&lt;&gt;"qr"),"",$D53&amp;".png")</f>
        <v/>
      </c>
      <c r="I53" s="30" t="str">
        <f aca="true">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ustomFormat="false" ht="15" hidden="false" customHeight="false" outlineLevel="0" collapsed="false">
      <c r="A54" s="30" t="str">
        <f aca="false">IF(INDEX(approvals!$A$2:$A$251,INT((ROW()-2)/2)+1)="","",INDEX(approvals!$A$2:$A$251,INT((ROW()-2)/2)+1))</f>
        <v>SAMPLE-CMP-004</v>
      </c>
      <c r="B54" s="30" t="str">
        <f aca="false">IF(INDEX(approvals!$A$2:$A$251,INT((ROW()-2)/2)+1)="","",INDEX(approvals!$B$2:$B$251,INT((ROW()-2)/2)+1))</f>
        <v>SAMPLE-O-007</v>
      </c>
      <c r="C54" s="30" t="str">
        <f aca="false">IF($A54="","",IF(MOD(ROW()-2,2)=0,"qr","post"))</f>
        <v>qr</v>
      </c>
      <c r="D54" s="30" t="str">
        <f aca="false">IF($A54="","",IF(LEFT($A54,7)="SAMPLE-","SAMPLE-","")&amp;LOWER(SUBSTITUTE(SUBSTITUTE($A54,"SAMPLE-",""),"CMP-","c"))&amp;"-"&amp;LOWER(SUBSTITUTE(SUBSTITUTE($B54,"SAMPLE-",""),"O-","o"))&amp;"-"&amp;IF($C54="qr","q","p"))</f>
        <v>SAMPLE-c004-o007-q</v>
      </c>
      <c r="E54" s="30" t="str">
        <f aca="false">IF($A54="","","https://"&amp;config!$B$9&amp;"/"&amp;$D54)</f>
        <v>https://go.example.com/SAMPLE-c004-o007-q</v>
      </c>
      <c r="F54" s="30" t="str">
        <f aca="false">IF($A54="","",$A54&amp;"."&amp;$B54)</f>
        <v>SAMPLE-CMP-004.SAMPLE-O-007</v>
      </c>
      <c r="G54" s="30" t="str">
        <f aca="false">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https://docs.google.com/forms/d/e/SAMPLE-CMP-004-FORM/viewform?usp=pp_url&amp;entry.1000001=SAMPLE-CMP-004.SAMPLE-O-007&amp;utm_source=office-pantry&amp;utm_medium=qr&amp;utm_campaign=sample-cmp-004&amp;utm_content=sample-o-007</v>
      </c>
      <c r="H54" s="30" t="str">
        <f aca="false">IF(OR($A54="",$C54&lt;&gt;"qr"),"",$D54&amp;".png")</f>
        <v>SAMPLE-c004-o007-q.png</v>
      </c>
      <c r="I54" s="30" t="str">
        <f aca="true">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ustomFormat="false" ht="15" hidden="false" customHeight="false" outlineLevel="0" collapsed="false">
      <c r="A55" s="30" t="str">
        <f aca="false">IF(INDEX(approvals!$A$2:$A$251,INT((ROW()-2)/2)+1)="","",INDEX(approvals!$A$2:$A$251,INT((ROW()-2)/2)+1))</f>
        <v>SAMPLE-CMP-004</v>
      </c>
      <c r="B55" s="30" t="str">
        <f aca="false">IF(INDEX(approvals!$A$2:$A$251,INT((ROW()-2)/2)+1)="","",INDEX(approvals!$B$2:$B$251,INT((ROW()-2)/2)+1))</f>
        <v>SAMPLE-O-007</v>
      </c>
      <c r="C55" s="30" t="str">
        <f aca="false">IF($A55="","",IF(MOD(ROW()-2,2)=0,"qr","post"))</f>
        <v>post</v>
      </c>
      <c r="D55" s="30" t="str">
        <f aca="false">IF($A55="","",IF(LEFT($A55,7)="SAMPLE-","SAMPLE-","")&amp;LOWER(SUBSTITUTE(SUBSTITUTE($A55,"SAMPLE-",""),"CMP-","c"))&amp;"-"&amp;LOWER(SUBSTITUTE(SUBSTITUTE($B55,"SAMPLE-",""),"O-","o"))&amp;"-"&amp;IF($C55="qr","q","p"))</f>
        <v>SAMPLE-c004-o007-p</v>
      </c>
      <c r="E55" s="30" t="str">
        <f aca="false">IF($A55="","","https://"&amp;config!$B$9&amp;"/"&amp;$D55)</f>
        <v>https://go.example.com/SAMPLE-c004-o007-p</v>
      </c>
      <c r="F55" s="30" t="str">
        <f aca="false">IF($A55="","",$A55&amp;"."&amp;$B55)</f>
        <v>SAMPLE-CMP-004.SAMPLE-O-007</v>
      </c>
      <c r="G55" s="30" t="str">
        <f aca="false">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https://docs.google.com/forms/d/e/SAMPLE-CMP-004-FORM/viewform?usp=pp_url&amp;entry.1000001=SAMPLE-CMP-004.SAMPLE-O-007&amp;utm_source=office-pantry&amp;utm_medium=post&amp;utm_campaign=sample-cmp-004&amp;utm_content=sample-o-007</v>
      </c>
      <c r="H55" s="30" t="str">
        <f aca="false">IF(OR($A55="",$C55&lt;&gt;"qr"),"",$D55&amp;".png")</f>
        <v/>
      </c>
      <c r="I55" s="30" t="str">
        <f aca="true">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ustomFormat="false" ht="15" hidden="false" customHeight="false" outlineLevel="0" collapsed="false">
      <c r="A56" s="30" t="str">
        <f aca="false">IF(INDEX(approvals!$A$2:$A$251,INT((ROW()-2)/2)+1)="","",INDEX(approvals!$A$2:$A$251,INT((ROW()-2)/2)+1))</f>
        <v>SAMPLE-CMP-004</v>
      </c>
      <c r="B56" s="30" t="str">
        <f aca="false">IF(INDEX(approvals!$A$2:$A$251,INT((ROW()-2)/2)+1)="","",INDEX(approvals!$B$2:$B$251,INT((ROW()-2)/2)+1))</f>
        <v>SAMPLE-O-008</v>
      </c>
      <c r="C56" s="30" t="str">
        <f aca="false">IF($A56="","",IF(MOD(ROW()-2,2)=0,"qr","post"))</f>
        <v>qr</v>
      </c>
      <c r="D56" s="30" t="str">
        <f aca="false">IF($A56="","",IF(LEFT($A56,7)="SAMPLE-","SAMPLE-","")&amp;LOWER(SUBSTITUTE(SUBSTITUTE($A56,"SAMPLE-",""),"CMP-","c"))&amp;"-"&amp;LOWER(SUBSTITUTE(SUBSTITUTE($B56,"SAMPLE-",""),"O-","o"))&amp;"-"&amp;IF($C56="qr","q","p"))</f>
        <v>SAMPLE-c004-o008-q</v>
      </c>
      <c r="E56" s="30" t="str">
        <f aca="false">IF($A56="","","https://"&amp;config!$B$9&amp;"/"&amp;$D56)</f>
        <v>https://go.example.com/SAMPLE-c004-o008-q</v>
      </c>
      <c r="F56" s="30" t="str">
        <f aca="false">IF($A56="","",$A56&amp;"."&amp;$B56)</f>
        <v>SAMPLE-CMP-004.SAMPLE-O-008</v>
      </c>
      <c r="G56" s="30" t="str">
        <f aca="false">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https://docs.google.com/forms/d/e/SAMPLE-CMP-004-FORM/viewform?usp=pp_url&amp;entry.1000001=SAMPLE-CMP-004.SAMPLE-O-008&amp;utm_source=office-pantry&amp;utm_medium=qr&amp;utm_campaign=sample-cmp-004&amp;utm_content=sample-o-008</v>
      </c>
      <c r="H56" s="30" t="str">
        <f aca="false">IF(OR($A56="",$C56&lt;&gt;"qr"),"",$D56&amp;".png")</f>
        <v>SAMPLE-c004-o008-q.png</v>
      </c>
      <c r="I56" s="30" t="str">
        <f aca="true">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ustomFormat="false" ht="15" hidden="false" customHeight="false" outlineLevel="0" collapsed="false">
      <c r="A57" s="30" t="str">
        <f aca="false">IF(INDEX(approvals!$A$2:$A$251,INT((ROW()-2)/2)+1)="","",INDEX(approvals!$A$2:$A$251,INT((ROW()-2)/2)+1))</f>
        <v>SAMPLE-CMP-004</v>
      </c>
      <c r="B57" s="30" t="str">
        <f aca="false">IF(INDEX(approvals!$A$2:$A$251,INT((ROW()-2)/2)+1)="","",INDEX(approvals!$B$2:$B$251,INT((ROW()-2)/2)+1))</f>
        <v>SAMPLE-O-008</v>
      </c>
      <c r="C57" s="30" t="str">
        <f aca="false">IF($A57="","",IF(MOD(ROW()-2,2)=0,"qr","post"))</f>
        <v>post</v>
      </c>
      <c r="D57" s="30" t="str">
        <f aca="false">IF($A57="","",IF(LEFT($A57,7)="SAMPLE-","SAMPLE-","")&amp;LOWER(SUBSTITUTE(SUBSTITUTE($A57,"SAMPLE-",""),"CMP-","c"))&amp;"-"&amp;LOWER(SUBSTITUTE(SUBSTITUTE($B57,"SAMPLE-",""),"O-","o"))&amp;"-"&amp;IF($C57="qr","q","p"))</f>
        <v>SAMPLE-c004-o008-p</v>
      </c>
      <c r="E57" s="30" t="str">
        <f aca="false">IF($A57="","","https://"&amp;config!$B$9&amp;"/"&amp;$D57)</f>
        <v>https://go.example.com/SAMPLE-c004-o008-p</v>
      </c>
      <c r="F57" s="30" t="str">
        <f aca="false">IF($A57="","",$A57&amp;"."&amp;$B57)</f>
        <v>SAMPLE-CMP-004.SAMPLE-O-008</v>
      </c>
      <c r="G57" s="30" t="str">
        <f aca="false">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https://docs.google.com/forms/d/e/SAMPLE-CMP-004-FORM/viewform?usp=pp_url&amp;entry.1000001=SAMPLE-CMP-004.SAMPLE-O-008&amp;utm_source=office-pantry&amp;utm_medium=post&amp;utm_campaign=sample-cmp-004&amp;utm_content=sample-o-008</v>
      </c>
      <c r="H57" s="30" t="str">
        <f aca="false">IF(OR($A57="",$C57&lt;&gt;"qr"),"",$D57&amp;".png")</f>
        <v/>
      </c>
      <c r="I57" s="30" t="str">
        <f aca="true">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ustomFormat="false" ht="15" hidden="false" customHeight="false" outlineLevel="0" collapsed="false">
      <c r="A58" s="30" t="str">
        <f aca="false">IF(INDEX(approvals!$A$2:$A$251,INT((ROW()-2)/2)+1)="","",INDEX(approvals!$A$2:$A$251,INT((ROW()-2)/2)+1))</f>
        <v>SAMPLE-CMP-004</v>
      </c>
      <c r="B58" s="30" t="str">
        <f aca="false">IF(INDEX(approvals!$A$2:$A$251,INT((ROW()-2)/2)+1)="","",INDEX(approvals!$B$2:$B$251,INT((ROW()-2)/2)+1))</f>
        <v>SAMPLE-O-009</v>
      </c>
      <c r="C58" s="30" t="str">
        <f aca="false">IF($A58="","",IF(MOD(ROW()-2,2)=0,"qr","post"))</f>
        <v>qr</v>
      </c>
      <c r="D58" s="30" t="str">
        <f aca="false">IF($A58="","",IF(LEFT($A58,7)="SAMPLE-","SAMPLE-","")&amp;LOWER(SUBSTITUTE(SUBSTITUTE($A58,"SAMPLE-",""),"CMP-","c"))&amp;"-"&amp;LOWER(SUBSTITUTE(SUBSTITUTE($B58,"SAMPLE-",""),"O-","o"))&amp;"-"&amp;IF($C58="qr","q","p"))</f>
        <v>SAMPLE-c004-o009-q</v>
      </c>
      <c r="E58" s="30" t="str">
        <f aca="false">IF($A58="","","https://"&amp;config!$B$9&amp;"/"&amp;$D58)</f>
        <v>https://go.example.com/SAMPLE-c004-o009-q</v>
      </c>
      <c r="F58" s="30" t="str">
        <f aca="false">IF($A58="","",$A58&amp;"."&amp;$B58)</f>
        <v>SAMPLE-CMP-004.SAMPLE-O-009</v>
      </c>
      <c r="G58" s="30" t="str">
        <f aca="false">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https://docs.google.com/forms/d/e/SAMPLE-CMP-004-FORM/viewform?usp=pp_url&amp;entry.1000001=SAMPLE-CMP-004.SAMPLE-O-009&amp;utm_source=office-pantry&amp;utm_medium=qr&amp;utm_campaign=sample-cmp-004&amp;utm_content=sample-o-009</v>
      </c>
      <c r="H58" s="30" t="str">
        <f aca="false">IF(OR($A58="",$C58&lt;&gt;"qr"),"",$D58&amp;".png")</f>
        <v>SAMPLE-c004-o009-q.png</v>
      </c>
      <c r="I58" s="30" t="str">
        <f aca="true">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ustomFormat="false" ht="15" hidden="false" customHeight="false" outlineLevel="0" collapsed="false">
      <c r="A59" s="30" t="str">
        <f aca="false">IF(INDEX(approvals!$A$2:$A$251,INT((ROW()-2)/2)+1)="","",INDEX(approvals!$A$2:$A$251,INT((ROW()-2)/2)+1))</f>
        <v>SAMPLE-CMP-004</v>
      </c>
      <c r="B59" s="30" t="str">
        <f aca="false">IF(INDEX(approvals!$A$2:$A$251,INT((ROW()-2)/2)+1)="","",INDEX(approvals!$B$2:$B$251,INT((ROW()-2)/2)+1))</f>
        <v>SAMPLE-O-009</v>
      </c>
      <c r="C59" s="30" t="str">
        <f aca="false">IF($A59="","",IF(MOD(ROW()-2,2)=0,"qr","post"))</f>
        <v>post</v>
      </c>
      <c r="D59" s="30" t="str">
        <f aca="false">IF($A59="","",IF(LEFT($A59,7)="SAMPLE-","SAMPLE-","")&amp;LOWER(SUBSTITUTE(SUBSTITUTE($A59,"SAMPLE-",""),"CMP-","c"))&amp;"-"&amp;LOWER(SUBSTITUTE(SUBSTITUTE($B59,"SAMPLE-",""),"O-","o"))&amp;"-"&amp;IF($C59="qr","q","p"))</f>
        <v>SAMPLE-c004-o009-p</v>
      </c>
      <c r="E59" s="30" t="str">
        <f aca="false">IF($A59="","","https://"&amp;config!$B$9&amp;"/"&amp;$D59)</f>
        <v>https://go.example.com/SAMPLE-c004-o009-p</v>
      </c>
      <c r="F59" s="30" t="str">
        <f aca="false">IF($A59="","",$A59&amp;"."&amp;$B59)</f>
        <v>SAMPLE-CMP-004.SAMPLE-O-009</v>
      </c>
      <c r="G59" s="30" t="str">
        <f aca="false">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https://docs.google.com/forms/d/e/SAMPLE-CMP-004-FORM/viewform?usp=pp_url&amp;entry.1000001=SAMPLE-CMP-004.SAMPLE-O-009&amp;utm_source=office-pantry&amp;utm_medium=post&amp;utm_campaign=sample-cmp-004&amp;utm_content=sample-o-009</v>
      </c>
      <c r="H59" s="30" t="str">
        <f aca="false">IF(OR($A59="",$C59&lt;&gt;"qr"),"",$D59&amp;".png")</f>
        <v/>
      </c>
      <c r="I59" s="30" t="str">
        <f aca="true">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ustomFormat="false" ht="15" hidden="false" customHeight="false" outlineLevel="0" collapsed="false">
      <c r="A60" s="30" t="str">
        <f aca="false">IF(INDEX(approvals!$A$2:$A$251,INT((ROW()-2)/2)+1)="","",INDEX(approvals!$A$2:$A$251,INT((ROW()-2)/2)+1))</f>
        <v>SAMPLE-CMP-004</v>
      </c>
      <c r="B60" s="30" t="str">
        <f aca="false">IF(INDEX(approvals!$A$2:$A$251,INT((ROW()-2)/2)+1)="","",INDEX(approvals!$B$2:$B$251,INT((ROW()-2)/2)+1))</f>
        <v>SAMPLE-O-010</v>
      </c>
      <c r="C60" s="30" t="str">
        <f aca="false">IF($A60="","",IF(MOD(ROW()-2,2)=0,"qr","post"))</f>
        <v>qr</v>
      </c>
      <c r="D60" s="30" t="str">
        <f aca="false">IF($A60="","",IF(LEFT($A60,7)="SAMPLE-","SAMPLE-","")&amp;LOWER(SUBSTITUTE(SUBSTITUTE($A60,"SAMPLE-",""),"CMP-","c"))&amp;"-"&amp;LOWER(SUBSTITUTE(SUBSTITUTE($B60,"SAMPLE-",""),"O-","o"))&amp;"-"&amp;IF($C60="qr","q","p"))</f>
        <v>SAMPLE-c004-o010-q</v>
      </c>
      <c r="E60" s="30" t="str">
        <f aca="false">IF($A60="","","https://"&amp;config!$B$9&amp;"/"&amp;$D60)</f>
        <v>https://go.example.com/SAMPLE-c004-o010-q</v>
      </c>
      <c r="F60" s="30" t="str">
        <f aca="false">IF($A60="","",$A60&amp;"."&amp;$B60)</f>
        <v>SAMPLE-CMP-004.SAMPLE-O-010</v>
      </c>
      <c r="G60" s="30" t="str">
        <f aca="false">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https://docs.google.com/forms/d/e/SAMPLE-CMP-004-FORM/viewform?usp=pp_url&amp;entry.1000001=SAMPLE-CMP-004.SAMPLE-O-010&amp;utm_source=office-pantry&amp;utm_medium=qr&amp;utm_campaign=sample-cmp-004&amp;utm_content=sample-o-010</v>
      </c>
      <c r="H60" s="30" t="str">
        <f aca="false">IF(OR($A60="",$C60&lt;&gt;"qr"),"",$D60&amp;".png")</f>
        <v>SAMPLE-c004-o010-q.png</v>
      </c>
      <c r="I60" s="30" t="str">
        <f aca="true">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ustomFormat="false" ht="15" hidden="false" customHeight="false" outlineLevel="0" collapsed="false">
      <c r="A61" s="30" t="str">
        <f aca="false">IF(INDEX(approvals!$A$2:$A$251,INT((ROW()-2)/2)+1)="","",INDEX(approvals!$A$2:$A$251,INT((ROW()-2)/2)+1))</f>
        <v>SAMPLE-CMP-004</v>
      </c>
      <c r="B61" s="30" t="str">
        <f aca="false">IF(INDEX(approvals!$A$2:$A$251,INT((ROW()-2)/2)+1)="","",INDEX(approvals!$B$2:$B$251,INT((ROW()-2)/2)+1))</f>
        <v>SAMPLE-O-010</v>
      </c>
      <c r="C61" s="30" t="str">
        <f aca="false">IF($A61="","",IF(MOD(ROW()-2,2)=0,"qr","post"))</f>
        <v>post</v>
      </c>
      <c r="D61" s="30" t="str">
        <f aca="false">IF($A61="","",IF(LEFT($A61,7)="SAMPLE-","SAMPLE-","")&amp;LOWER(SUBSTITUTE(SUBSTITUTE($A61,"SAMPLE-",""),"CMP-","c"))&amp;"-"&amp;LOWER(SUBSTITUTE(SUBSTITUTE($B61,"SAMPLE-",""),"O-","o"))&amp;"-"&amp;IF($C61="qr","q","p"))</f>
        <v>SAMPLE-c004-o010-p</v>
      </c>
      <c r="E61" s="30" t="str">
        <f aca="false">IF($A61="","","https://"&amp;config!$B$9&amp;"/"&amp;$D61)</f>
        <v>https://go.example.com/SAMPLE-c004-o010-p</v>
      </c>
      <c r="F61" s="30" t="str">
        <f aca="false">IF($A61="","",$A61&amp;"."&amp;$B61)</f>
        <v>SAMPLE-CMP-004.SAMPLE-O-010</v>
      </c>
      <c r="G61" s="30" t="str">
        <f aca="false">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https://docs.google.com/forms/d/e/SAMPLE-CMP-004-FORM/viewform?usp=pp_url&amp;entry.1000001=SAMPLE-CMP-004.SAMPLE-O-010&amp;utm_source=office-pantry&amp;utm_medium=post&amp;utm_campaign=sample-cmp-004&amp;utm_content=sample-o-010</v>
      </c>
      <c r="H61" s="30" t="str">
        <f aca="false">IF(OR($A61="",$C61&lt;&gt;"qr"),"",$D61&amp;".png")</f>
        <v/>
      </c>
      <c r="I61" s="30" t="str">
        <f aca="true">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ustomFormat="false" ht="15" hidden="false" customHeight="false" outlineLevel="0" collapsed="false">
      <c r="A62" s="30" t="str">
        <f aca="false">IF(INDEX(approvals!$A$2:$A$251,INT((ROW()-2)/2)+1)="","",INDEX(approvals!$A$2:$A$251,INT((ROW()-2)/2)+1))</f>
        <v>SAMPLE-CMP-005</v>
      </c>
      <c r="B62" s="30" t="str">
        <f aca="false">IF(INDEX(approvals!$A$2:$A$251,INT((ROW()-2)/2)+1)="","",INDEX(approvals!$B$2:$B$251,INT((ROW()-2)/2)+1))</f>
        <v>SAMPLE-O-001</v>
      </c>
      <c r="C62" s="30" t="str">
        <f aca="false">IF($A62="","",IF(MOD(ROW()-2,2)=0,"qr","post"))</f>
        <v>qr</v>
      </c>
      <c r="D62" s="30" t="str">
        <f aca="false">IF($A62="","",IF(LEFT($A62,7)="SAMPLE-","SAMPLE-","")&amp;LOWER(SUBSTITUTE(SUBSTITUTE($A62,"SAMPLE-",""),"CMP-","c"))&amp;"-"&amp;LOWER(SUBSTITUTE(SUBSTITUTE($B62,"SAMPLE-",""),"O-","o"))&amp;"-"&amp;IF($C62="qr","q","p"))</f>
        <v>SAMPLE-c005-o001-q</v>
      </c>
      <c r="E62" s="30" t="str">
        <f aca="false">IF($A62="","","https://"&amp;config!$B$9&amp;"/"&amp;$D62)</f>
        <v>https://go.example.com/SAMPLE-c005-o001-q</v>
      </c>
      <c r="F62" s="30" t="str">
        <f aca="false">IF($A62="","",$A62&amp;"."&amp;$B62)</f>
        <v>SAMPLE-CMP-005.SAMPLE-O-001</v>
      </c>
      <c r="G62" s="30" t="str">
        <f aca="false">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https://docs.google.com/forms/d/e/SAMPLE-CMP-005-FORM/viewform?usp=pp_url&amp;entry.1000001=SAMPLE-CMP-005.SAMPLE-O-001&amp;utm_source=office-pantry&amp;utm_medium=qr&amp;utm_campaign=sample-cmp-005&amp;utm_content=sample-o-001</v>
      </c>
      <c r="H62" s="30" t="str">
        <f aca="false">IF(OR($A62="",$C62&lt;&gt;"qr"),"",$D62&amp;".png")</f>
        <v>SAMPLE-c005-o001-q.png</v>
      </c>
      <c r="I62" s="30" t="str">
        <f aca="true">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ustomFormat="false" ht="15" hidden="false" customHeight="false" outlineLevel="0" collapsed="false">
      <c r="A63" s="30" t="str">
        <f aca="false">IF(INDEX(approvals!$A$2:$A$251,INT((ROW()-2)/2)+1)="","",INDEX(approvals!$A$2:$A$251,INT((ROW()-2)/2)+1))</f>
        <v>SAMPLE-CMP-005</v>
      </c>
      <c r="B63" s="30" t="str">
        <f aca="false">IF(INDEX(approvals!$A$2:$A$251,INT((ROW()-2)/2)+1)="","",INDEX(approvals!$B$2:$B$251,INT((ROW()-2)/2)+1))</f>
        <v>SAMPLE-O-001</v>
      </c>
      <c r="C63" s="30" t="str">
        <f aca="false">IF($A63="","",IF(MOD(ROW()-2,2)=0,"qr","post"))</f>
        <v>post</v>
      </c>
      <c r="D63" s="30" t="str">
        <f aca="false">IF($A63="","",IF(LEFT($A63,7)="SAMPLE-","SAMPLE-","")&amp;LOWER(SUBSTITUTE(SUBSTITUTE($A63,"SAMPLE-",""),"CMP-","c"))&amp;"-"&amp;LOWER(SUBSTITUTE(SUBSTITUTE($B63,"SAMPLE-",""),"O-","o"))&amp;"-"&amp;IF($C63="qr","q","p"))</f>
        <v>SAMPLE-c005-o001-p</v>
      </c>
      <c r="E63" s="30" t="str">
        <f aca="false">IF($A63="","","https://"&amp;config!$B$9&amp;"/"&amp;$D63)</f>
        <v>https://go.example.com/SAMPLE-c005-o001-p</v>
      </c>
      <c r="F63" s="30" t="str">
        <f aca="false">IF($A63="","",$A63&amp;"."&amp;$B63)</f>
        <v>SAMPLE-CMP-005.SAMPLE-O-001</v>
      </c>
      <c r="G63" s="30" t="str">
        <f aca="false">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https://docs.google.com/forms/d/e/SAMPLE-CMP-005-FORM/viewform?usp=pp_url&amp;entry.1000001=SAMPLE-CMP-005.SAMPLE-O-001&amp;utm_source=office-pantry&amp;utm_medium=post&amp;utm_campaign=sample-cmp-005&amp;utm_content=sample-o-001</v>
      </c>
      <c r="H63" s="30" t="str">
        <f aca="false">IF(OR($A63="",$C63&lt;&gt;"qr"),"",$D63&amp;".png")</f>
        <v/>
      </c>
      <c r="I63" s="30" t="str">
        <f aca="true">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ustomFormat="false" ht="15" hidden="false" customHeight="false" outlineLevel="0" collapsed="false">
      <c r="A64" s="30" t="str">
        <f aca="false">IF(INDEX(approvals!$A$2:$A$251,INT((ROW()-2)/2)+1)="","",INDEX(approvals!$A$2:$A$251,INT((ROW()-2)/2)+1))</f>
        <v>SAMPLE-CMP-005</v>
      </c>
      <c r="B64" s="30" t="str">
        <f aca="false">IF(INDEX(approvals!$A$2:$A$251,INT((ROW()-2)/2)+1)="","",INDEX(approvals!$B$2:$B$251,INT((ROW()-2)/2)+1))</f>
        <v>SAMPLE-O-002</v>
      </c>
      <c r="C64" s="30" t="str">
        <f aca="false">IF($A64="","",IF(MOD(ROW()-2,2)=0,"qr","post"))</f>
        <v>qr</v>
      </c>
      <c r="D64" s="30" t="str">
        <f aca="false">IF($A64="","",IF(LEFT($A64,7)="SAMPLE-","SAMPLE-","")&amp;LOWER(SUBSTITUTE(SUBSTITUTE($A64,"SAMPLE-",""),"CMP-","c"))&amp;"-"&amp;LOWER(SUBSTITUTE(SUBSTITUTE($B64,"SAMPLE-",""),"O-","o"))&amp;"-"&amp;IF($C64="qr","q","p"))</f>
        <v>SAMPLE-c005-o002-q</v>
      </c>
      <c r="E64" s="30" t="str">
        <f aca="false">IF($A64="","","https://"&amp;config!$B$9&amp;"/"&amp;$D64)</f>
        <v>https://go.example.com/SAMPLE-c005-o002-q</v>
      </c>
      <c r="F64" s="30" t="str">
        <f aca="false">IF($A64="","",$A64&amp;"."&amp;$B64)</f>
        <v>SAMPLE-CMP-005.SAMPLE-O-002</v>
      </c>
      <c r="G64" s="30" t="str">
        <f aca="false">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https://docs.google.com/forms/d/e/SAMPLE-CMP-005-FORM/viewform?usp=pp_url&amp;entry.1000001=SAMPLE-CMP-005.SAMPLE-O-002&amp;utm_source=office-pantry&amp;utm_medium=qr&amp;utm_campaign=sample-cmp-005&amp;utm_content=sample-o-002</v>
      </c>
      <c r="H64" s="30" t="str">
        <f aca="false">IF(OR($A64="",$C64&lt;&gt;"qr"),"",$D64&amp;".png")</f>
        <v>SAMPLE-c005-o002-q.png</v>
      </c>
      <c r="I64" s="30" t="str">
        <f aca="true">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ustomFormat="false" ht="15" hidden="false" customHeight="false" outlineLevel="0" collapsed="false">
      <c r="A65" s="30" t="str">
        <f aca="false">IF(INDEX(approvals!$A$2:$A$251,INT((ROW()-2)/2)+1)="","",INDEX(approvals!$A$2:$A$251,INT((ROW()-2)/2)+1))</f>
        <v>SAMPLE-CMP-005</v>
      </c>
      <c r="B65" s="30" t="str">
        <f aca="false">IF(INDEX(approvals!$A$2:$A$251,INT((ROW()-2)/2)+1)="","",INDEX(approvals!$B$2:$B$251,INT((ROW()-2)/2)+1))</f>
        <v>SAMPLE-O-002</v>
      </c>
      <c r="C65" s="30" t="str">
        <f aca="false">IF($A65="","",IF(MOD(ROW()-2,2)=0,"qr","post"))</f>
        <v>post</v>
      </c>
      <c r="D65" s="30" t="str">
        <f aca="false">IF($A65="","",IF(LEFT($A65,7)="SAMPLE-","SAMPLE-","")&amp;LOWER(SUBSTITUTE(SUBSTITUTE($A65,"SAMPLE-",""),"CMP-","c"))&amp;"-"&amp;LOWER(SUBSTITUTE(SUBSTITUTE($B65,"SAMPLE-",""),"O-","o"))&amp;"-"&amp;IF($C65="qr","q","p"))</f>
        <v>SAMPLE-c005-o002-p</v>
      </c>
      <c r="E65" s="30" t="str">
        <f aca="false">IF($A65="","","https://"&amp;config!$B$9&amp;"/"&amp;$D65)</f>
        <v>https://go.example.com/SAMPLE-c005-o002-p</v>
      </c>
      <c r="F65" s="30" t="str">
        <f aca="false">IF($A65="","",$A65&amp;"."&amp;$B65)</f>
        <v>SAMPLE-CMP-005.SAMPLE-O-002</v>
      </c>
      <c r="G65" s="30" t="str">
        <f aca="false">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https://docs.google.com/forms/d/e/SAMPLE-CMP-005-FORM/viewform?usp=pp_url&amp;entry.1000001=SAMPLE-CMP-005.SAMPLE-O-002&amp;utm_source=office-pantry&amp;utm_medium=post&amp;utm_campaign=sample-cmp-005&amp;utm_content=sample-o-002</v>
      </c>
      <c r="H65" s="30" t="str">
        <f aca="false">IF(OR($A65="",$C65&lt;&gt;"qr"),"",$D65&amp;".png")</f>
        <v/>
      </c>
      <c r="I65" s="30" t="str">
        <f aca="true">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ustomFormat="false" ht="15" hidden="false" customHeight="false" outlineLevel="0" collapsed="false">
      <c r="A66" s="30" t="str">
        <f aca="false">IF(INDEX(approvals!$A$2:$A$251,INT((ROW()-2)/2)+1)="","",INDEX(approvals!$A$2:$A$251,INT((ROW()-2)/2)+1))</f>
        <v>SAMPLE-CMP-005</v>
      </c>
      <c r="B66" s="30" t="str">
        <f aca="false">IF(INDEX(approvals!$A$2:$A$251,INT((ROW()-2)/2)+1)="","",INDEX(approvals!$B$2:$B$251,INT((ROW()-2)/2)+1))</f>
        <v>SAMPLE-O-003</v>
      </c>
      <c r="C66" s="30" t="str">
        <f aca="false">IF($A66="","",IF(MOD(ROW()-2,2)=0,"qr","post"))</f>
        <v>qr</v>
      </c>
      <c r="D66" s="30" t="str">
        <f aca="false">IF($A66="","",IF(LEFT($A66,7)="SAMPLE-","SAMPLE-","")&amp;LOWER(SUBSTITUTE(SUBSTITUTE($A66,"SAMPLE-",""),"CMP-","c"))&amp;"-"&amp;LOWER(SUBSTITUTE(SUBSTITUTE($B66,"SAMPLE-",""),"O-","o"))&amp;"-"&amp;IF($C66="qr","q","p"))</f>
        <v>SAMPLE-c005-o003-q</v>
      </c>
      <c r="E66" s="30" t="str">
        <f aca="false">IF($A66="","","https://"&amp;config!$B$9&amp;"/"&amp;$D66)</f>
        <v>https://go.example.com/SAMPLE-c005-o003-q</v>
      </c>
      <c r="F66" s="30" t="str">
        <f aca="false">IF($A66="","",$A66&amp;"."&amp;$B66)</f>
        <v>SAMPLE-CMP-005.SAMPLE-O-003</v>
      </c>
      <c r="G66" s="30" t="str">
        <f aca="false">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https://docs.google.com/forms/d/e/SAMPLE-CMP-005-FORM/viewform?usp=pp_url&amp;entry.1000001=SAMPLE-CMP-005.SAMPLE-O-003&amp;utm_source=office-pantry&amp;utm_medium=qr&amp;utm_campaign=sample-cmp-005&amp;utm_content=sample-o-003</v>
      </c>
      <c r="H66" s="30" t="str">
        <f aca="false">IF(OR($A66="",$C66&lt;&gt;"qr"),"",$D66&amp;".png")</f>
        <v>SAMPLE-c005-o003-q.png</v>
      </c>
      <c r="I66" s="30" t="str">
        <f aca="true">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ustomFormat="false" ht="15" hidden="false" customHeight="false" outlineLevel="0" collapsed="false">
      <c r="A67" s="30" t="str">
        <f aca="false">IF(INDEX(approvals!$A$2:$A$251,INT((ROW()-2)/2)+1)="","",INDEX(approvals!$A$2:$A$251,INT((ROW()-2)/2)+1))</f>
        <v>SAMPLE-CMP-005</v>
      </c>
      <c r="B67" s="30" t="str">
        <f aca="false">IF(INDEX(approvals!$A$2:$A$251,INT((ROW()-2)/2)+1)="","",INDEX(approvals!$B$2:$B$251,INT((ROW()-2)/2)+1))</f>
        <v>SAMPLE-O-003</v>
      </c>
      <c r="C67" s="30" t="str">
        <f aca="false">IF($A67="","",IF(MOD(ROW()-2,2)=0,"qr","post"))</f>
        <v>post</v>
      </c>
      <c r="D67" s="30" t="str">
        <f aca="false">IF($A67="","",IF(LEFT($A67,7)="SAMPLE-","SAMPLE-","")&amp;LOWER(SUBSTITUTE(SUBSTITUTE($A67,"SAMPLE-",""),"CMP-","c"))&amp;"-"&amp;LOWER(SUBSTITUTE(SUBSTITUTE($B67,"SAMPLE-",""),"O-","o"))&amp;"-"&amp;IF($C67="qr","q","p"))</f>
        <v>SAMPLE-c005-o003-p</v>
      </c>
      <c r="E67" s="30" t="str">
        <f aca="false">IF($A67="","","https://"&amp;config!$B$9&amp;"/"&amp;$D67)</f>
        <v>https://go.example.com/SAMPLE-c005-o003-p</v>
      </c>
      <c r="F67" s="30" t="str">
        <f aca="false">IF($A67="","",$A67&amp;"."&amp;$B67)</f>
        <v>SAMPLE-CMP-005.SAMPLE-O-003</v>
      </c>
      <c r="G67" s="30" t="str">
        <f aca="false">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https://docs.google.com/forms/d/e/SAMPLE-CMP-005-FORM/viewform?usp=pp_url&amp;entry.1000001=SAMPLE-CMP-005.SAMPLE-O-003&amp;utm_source=office-pantry&amp;utm_medium=post&amp;utm_campaign=sample-cmp-005&amp;utm_content=sample-o-003</v>
      </c>
      <c r="H67" s="30" t="str">
        <f aca="false">IF(OR($A67="",$C67&lt;&gt;"qr"),"",$D67&amp;".png")</f>
        <v/>
      </c>
      <c r="I67" s="30" t="str">
        <f aca="true">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ustomFormat="false" ht="15" hidden="false" customHeight="false" outlineLevel="0" collapsed="false">
      <c r="A68" s="30" t="str">
        <f aca="false">IF(INDEX(approvals!$A$2:$A$251,INT((ROW()-2)/2)+1)="","",INDEX(approvals!$A$2:$A$251,INT((ROW()-2)/2)+1))</f>
        <v>SAMPLE-CMP-005</v>
      </c>
      <c r="B68" s="30" t="str">
        <f aca="false">IF(INDEX(approvals!$A$2:$A$251,INT((ROW()-2)/2)+1)="","",INDEX(approvals!$B$2:$B$251,INT((ROW()-2)/2)+1))</f>
        <v>SAMPLE-O-004</v>
      </c>
      <c r="C68" s="30" t="str">
        <f aca="false">IF($A68="","",IF(MOD(ROW()-2,2)=0,"qr","post"))</f>
        <v>qr</v>
      </c>
      <c r="D68" s="30" t="str">
        <f aca="false">IF($A68="","",IF(LEFT($A68,7)="SAMPLE-","SAMPLE-","")&amp;LOWER(SUBSTITUTE(SUBSTITUTE($A68,"SAMPLE-",""),"CMP-","c"))&amp;"-"&amp;LOWER(SUBSTITUTE(SUBSTITUTE($B68,"SAMPLE-",""),"O-","o"))&amp;"-"&amp;IF($C68="qr","q","p"))</f>
        <v>SAMPLE-c005-o004-q</v>
      </c>
      <c r="E68" s="30" t="str">
        <f aca="false">IF($A68="","","https://"&amp;config!$B$9&amp;"/"&amp;$D68)</f>
        <v>https://go.example.com/SAMPLE-c005-o004-q</v>
      </c>
      <c r="F68" s="30" t="str">
        <f aca="false">IF($A68="","",$A68&amp;"."&amp;$B68)</f>
        <v>SAMPLE-CMP-005.SAMPLE-O-004</v>
      </c>
      <c r="G68" s="30" t="str">
        <f aca="false">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https://docs.google.com/forms/d/e/SAMPLE-CMP-005-FORM/viewform?usp=pp_url&amp;entry.1000001=SAMPLE-CMP-005.SAMPLE-O-004&amp;utm_source=office-pantry&amp;utm_medium=qr&amp;utm_campaign=sample-cmp-005&amp;utm_content=sample-o-004</v>
      </c>
      <c r="H68" s="30" t="str">
        <f aca="false">IF(OR($A68="",$C68&lt;&gt;"qr"),"",$D68&amp;".png")</f>
        <v>SAMPLE-c005-o004-q.png</v>
      </c>
      <c r="I68" s="30" t="str">
        <f aca="true">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ustomFormat="false" ht="15" hidden="false" customHeight="false" outlineLevel="0" collapsed="false">
      <c r="A69" s="30" t="str">
        <f aca="false">IF(INDEX(approvals!$A$2:$A$251,INT((ROW()-2)/2)+1)="","",INDEX(approvals!$A$2:$A$251,INT((ROW()-2)/2)+1))</f>
        <v>SAMPLE-CMP-005</v>
      </c>
      <c r="B69" s="30" t="str">
        <f aca="false">IF(INDEX(approvals!$A$2:$A$251,INT((ROW()-2)/2)+1)="","",INDEX(approvals!$B$2:$B$251,INT((ROW()-2)/2)+1))</f>
        <v>SAMPLE-O-004</v>
      </c>
      <c r="C69" s="30" t="str">
        <f aca="false">IF($A69="","",IF(MOD(ROW()-2,2)=0,"qr","post"))</f>
        <v>post</v>
      </c>
      <c r="D69" s="30" t="str">
        <f aca="false">IF($A69="","",IF(LEFT($A69,7)="SAMPLE-","SAMPLE-","")&amp;LOWER(SUBSTITUTE(SUBSTITUTE($A69,"SAMPLE-",""),"CMP-","c"))&amp;"-"&amp;LOWER(SUBSTITUTE(SUBSTITUTE($B69,"SAMPLE-",""),"O-","o"))&amp;"-"&amp;IF($C69="qr","q","p"))</f>
        <v>SAMPLE-c005-o004-p</v>
      </c>
      <c r="E69" s="30" t="str">
        <f aca="false">IF($A69="","","https://"&amp;config!$B$9&amp;"/"&amp;$D69)</f>
        <v>https://go.example.com/SAMPLE-c005-o004-p</v>
      </c>
      <c r="F69" s="30" t="str">
        <f aca="false">IF($A69="","",$A69&amp;"."&amp;$B69)</f>
        <v>SAMPLE-CMP-005.SAMPLE-O-004</v>
      </c>
      <c r="G69" s="30" t="str">
        <f aca="false">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https://docs.google.com/forms/d/e/SAMPLE-CMP-005-FORM/viewform?usp=pp_url&amp;entry.1000001=SAMPLE-CMP-005.SAMPLE-O-004&amp;utm_source=office-pantry&amp;utm_medium=post&amp;utm_campaign=sample-cmp-005&amp;utm_content=sample-o-004</v>
      </c>
      <c r="H69" s="30" t="str">
        <f aca="false">IF(OR($A69="",$C69&lt;&gt;"qr"),"",$D69&amp;".png")</f>
        <v/>
      </c>
      <c r="I69" s="30" t="str">
        <f aca="true">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ustomFormat="false" ht="15" hidden="false" customHeight="false" outlineLevel="0" collapsed="false">
      <c r="A70" s="30" t="str">
        <f aca="false">IF(INDEX(approvals!$A$2:$A$251,INT((ROW()-2)/2)+1)="","",INDEX(approvals!$A$2:$A$251,INT((ROW()-2)/2)+1))</f>
        <v>SAMPLE-CMP-005</v>
      </c>
      <c r="B70" s="30" t="str">
        <f aca="false">IF(INDEX(approvals!$A$2:$A$251,INT((ROW()-2)/2)+1)="","",INDEX(approvals!$B$2:$B$251,INT((ROW()-2)/2)+1))</f>
        <v>SAMPLE-O-005</v>
      </c>
      <c r="C70" s="30" t="str">
        <f aca="false">IF($A70="","",IF(MOD(ROW()-2,2)=0,"qr","post"))</f>
        <v>qr</v>
      </c>
      <c r="D70" s="30" t="str">
        <f aca="false">IF($A70="","",IF(LEFT($A70,7)="SAMPLE-","SAMPLE-","")&amp;LOWER(SUBSTITUTE(SUBSTITUTE($A70,"SAMPLE-",""),"CMP-","c"))&amp;"-"&amp;LOWER(SUBSTITUTE(SUBSTITUTE($B70,"SAMPLE-",""),"O-","o"))&amp;"-"&amp;IF($C70="qr","q","p"))</f>
        <v>SAMPLE-c005-o005-q</v>
      </c>
      <c r="E70" s="30" t="str">
        <f aca="false">IF($A70="","","https://"&amp;config!$B$9&amp;"/"&amp;$D70)</f>
        <v>https://go.example.com/SAMPLE-c005-o005-q</v>
      </c>
      <c r="F70" s="30" t="str">
        <f aca="false">IF($A70="","",$A70&amp;"."&amp;$B70)</f>
        <v>SAMPLE-CMP-005.SAMPLE-O-005</v>
      </c>
      <c r="G70" s="30" t="str">
        <f aca="false">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https://docs.google.com/forms/d/e/SAMPLE-CMP-005-FORM/viewform?usp=pp_url&amp;entry.1000001=SAMPLE-CMP-005.SAMPLE-O-005&amp;utm_source=office-pantry&amp;utm_medium=qr&amp;utm_campaign=sample-cmp-005&amp;utm_content=sample-o-005</v>
      </c>
      <c r="H70" s="30" t="str">
        <f aca="false">IF(OR($A70="",$C70&lt;&gt;"qr"),"",$D70&amp;".png")</f>
        <v>SAMPLE-c005-o005-q.png</v>
      </c>
      <c r="I70" s="30" t="str">
        <f aca="true">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ustomFormat="false" ht="15" hidden="false" customHeight="false" outlineLevel="0" collapsed="false">
      <c r="A71" s="30" t="str">
        <f aca="false">IF(INDEX(approvals!$A$2:$A$251,INT((ROW()-2)/2)+1)="","",INDEX(approvals!$A$2:$A$251,INT((ROW()-2)/2)+1))</f>
        <v>SAMPLE-CMP-005</v>
      </c>
      <c r="B71" s="30" t="str">
        <f aca="false">IF(INDEX(approvals!$A$2:$A$251,INT((ROW()-2)/2)+1)="","",INDEX(approvals!$B$2:$B$251,INT((ROW()-2)/2)+1))</f>
        <v>SAMPLE-O-005</v>
      </c>
      <c r="C71" s="30" t="str">
        <f aca="false">IF($A71="","",IF(MOD(ROW()-2,2)=0,"qr","post"))</f>
        <v>post</v>
      </c>
      <c r="D71" s="30" t="str">
        <f aca="false">IF($A71="","",IF(LEFT($A71,7)="SAMPLE-","SAMPLE-","")&amp;LOWER(SUBSTITUTE(SUBSTITUTE($A71,"SAMPLE-",""),"CMP-","c"))&amp;"-"&amp;LOWER(SUBSTITUTE(SUBSTITUTE($B71,"SAMPLE-",""),"O-","o"))&amp;"-"&amp;IF($C71="qr","q","p"))</f>
        <v>SAMPLE-c005-o005-p</v>
      </c>
      <c r="E71" s="30" t="str">
        <f aca="false">IF($A71="","","https://"&amp;config!$B$9&amp;"/"&amp;$D71)</f>
        <v>https://go.example.com/SAMPLE-c005-o005-p</v>
      </c>
      <c r="F71" s="30" t="str">
        <f aca="false">IF($A71="","",$A71&amp;"."&amp;$B71)</f>
        <v>SAMPLE-CMP-005.SAMPLE-O-005</v>
      </c>
      <c r="G71" s="30" t="str">
        <f aca="false">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https://docs.google.com/forms/d/e/SAMPLE-CMP-005-FORM/viewform?usp=pp_url&amp;entry.1000001=SAMPLE-CMP-005.SAMPLE-O-005&amp;utm_source=office-pantry&amp;utm_medium=post&amp;utm_campaign=sample-cmp-005&amp;utm_content=sample-o-005</v>
      </c>
      <c r="H71" s="30" t="str">
        <f aca="false">IF(OR($A71="",$C71&lt;&gt;"qr"),"",$D71&amp;".png")</f>
        <v/>
      </c>
      <c r="I71" s="30" t="str">
        <f aca="true">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ustomFormat="false" ht="15" hidden="false" customHeight="false" outlineLevel="0" collapsed="false">
      <c r="A72" s="30" t="str">
        <f aca="false">IF(INDEX(approvals!$A$2:$A$251,INT((ROW()-2)/2)+1)="","",INDEX(approvals!$A$2:$A$251,INT((ROW()-2)/2)+1))</f>
        <v>SAMPLE-CMP-005</v>
      </c>
      <c r="B72" s="30" t="str">
        <f aca="false">IF(INDEX(approvals!$A$2:$A$251,INT((ROW()-2)/2)+1)="","",INDEX(approvals!$B$2:$B$251,INT((ROW()-2)/2)+1))</f>
        <v>SAMPLE-O-006</v>
      </c>
      <c r="C72" s="30" t="str">
        <f aca="false">IF($A72="","",IF(MOD(ROW()-2,2)=0,"qr","post"))</f>
        <v>qr</v>
      </c>
      <c r="D72" s="30" t="str">
        <f aca="false">IF($A72="","",IF(LEFT($A72,7)="SAMPLE-","SAMPLE-","")&amp;LOWER(SUBSTITUTE(SUBSTITUTE($A72,"SAMPLE-",""),"CMP-","c"))&amp;"-"&amp;LOWER(SUBSTITUTE(SUBSTITUTE($B72,"SAMPLE-",""),"O-","o"))&amp;"-"&amp;IF($C72="qr","q","p"))</f>
        <v>SAMPLE-c005-o006-q</v>
      </c>
      <c r="E72" s="30" t="str">
        <f aca="false">IF($A72="","","https://"&amp;config!$B$9&amp;"/"&amp;$D72)</f>
        <v>https://go.example.com/SAMPLE-c005-o006-q</v>
      </c>
      <c r="F72" s="30" t="str">
        <f aca="false">IF($A72="","",$A72&amp;"."&amp;$B72)</f>
        <v>SAMPLE-CMP-005.SAMPLE-O-006</v>
      </c>
      <c r="G72" s="30" t="str">
        <f aca="false">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https://docs.google.com/forms/d/e/SAMPLE-CMP-005-FORM/viewform?usp=pp_url&amp;entry.1000001=SAMPLE-CMP-005.SAMPLE-O-006&amp;utm_source=office-pantry&amp;utm_medium=qr&amp;utm_campaign=sample-cmp-005&amp;utm_content=sample-o-006</v>
      </c>
      <c r="H72" s="30" t="str">
        <f aca="false">IF(OR($A72="",$C72&lt;&gt;"qr"),"",$D72&amp;".png")</f>
        <v>SAMPLE-c005-o006-q.png</v>
      </c>
      <c r="I72" s="30" t="str">
        <f aca="true">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ustomFormat="false" ht="15" hidden="false" customHeight="false" outlineLevel="0" collapsed="false">
      <c r="A73" s="30" t="str">
        <f aca="false">IF(INDEX(approvals!$A$2:$A$251,INT((ROW()-2)/2)+1)="","",INDEX(approvals!$A$2:$A$251,INT((ROW()-2)/2)+1))</f>
        <v>SAMPLE-CMP-005</v>
      </c>
      <c r="B73" s="30" t="str">
        <f aca="false">IF(INDEX(approvals!$A$2:$A$251,INT((ROW()-2)/2)+1)="","",INDEX(approvals!$B$2:$B$251,INT((ROW()-2)/2)+1))</f>
        <v>SAMPLE-O-006</v>
      </c>
      <c r="C73" s="30" t="str">
        <f aca="false">IF($A73="","",IF(MOD(ROW()-2,2)=0,"qr","post"))</f>
        <v>post</v>
      </c>
      <c r="D73" s="30" t="str">
        <f aca="false">IF($A73="","",IF(LEFT($A73,7)="SAMPLE-","SAMPLE-","")&amp;LOWER(SUBSTITUTE(SUBSTITUTE($A73,"SAMPLE-",""),"CMP-","c"))&amp;"-"&amp;LOWER(SUBSTITUTE(SUBSTITUTE($B73,"SAMPLE-",""),"O-","o"))&amp;"-"&amp;IF($C73="qr","q","p"))</f>
        <v>SAMPLE-c005-o006-p</v>
      </c>
      <c r="E73" s="30" t="str">
        <f aca="false">IF($A73="","","https://"&amp;config!$B$9&amp;"/"&amp;$D73)</f>
        <v>https://go.example.com/SAMPLE-c005-o006-p</v>
      </c>
      <c r="F73" s="30" t="str">
        <f aca="false">IF($A73="","",$A73&amp;"."&amp;$B73)</f>
        <v>SAMPLE-CMP-005.SAMPLE-O-006</v>
      </c>
      <c r="G73" s="30" t="str">
        <f aca="false">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https://docs.google.com/forms/d/e/SAMPLE-CMP-005-FORM/viewform?usp=pp_url&amp;entry.1000001=SAMPLE-CMP-005.SAMPLE-O-006&amp;utm_source=office-pantry&amp;utm_medium=post&amp;utm_campaign=sample-cmp-005&amp;utm_content=sample-o-006</v>
      </c>
      <c r="H73" s="30" t="str">
        <f aca="false">IF(OR($A73="",$C73&lt;&gt;"qr"),"",$D73&amp;".png")</f>
        <v/>
      </c>
      <c r="I73" s="30" t="str">
        <f aca="true">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ustomFormat="false" ht="15" hidden="false" customHeight="false" outlineLevel="0" collapsed="false">
      <c r="A74" s="30" t="str">
        <f aca="false">IF(INDEX(approvals!$A$2:$A$251,INT((ROW()-2)/2)+1)="","",INDEX(approvals!$A$2:$A$251,INT((ROW()-2)/2)+1))</f>
        <v>SAMPLE-CMP-005</v>
      </c>
      <c r="B74" s="30" t="str">
        <f aca="false">IF(INDEX(approvals!$A$2:$A$251,INT((ROW()-2)/2)+1)="","",INDEX(approvals!$B$2:$B$251,INT((ROW()-2)/2)+1))</f>
        <v>SAMPLE-O-007</v>
      </c>
      <c r="C74" s="30" t="str">
        <f aca="false">IF($A74="","",IF(MOD(ROW()-2,2)=0,"qr","post"))</f>
        <v>qr</v>
      </c>
      <c r="D74" s="30" t="str">
        <f aca="false">IF($A74="","",IF(LEFT($A74,7)="SAMPLE-","SAMPLE-","")&amp;LOWER(SUBSTITUTE(SUBSTITUTE($A74,"SAMPLE-",""),"CMP-","c"))&amp;"-"&amp;LOWER(SUBSTITUTE(SUBSTITUTE($B74,"SAMPLE-",""),"O-","o"))&amp;"-"&amp;IF($C74="qr","q","p"))</f>
        <v>SAMPLE-c005-o007-q</v>
      </c>
      <c r="E74" s="30" t="str">
        <f aca="false">IF($A74="","","https://"&amp;config!$B$9&amp;"/"&amp;$D74)</f>
        <v>https://go.example.com/SAMPLE-c005-o007-q</v>
      </c>
      <c r="F74" s="30" t="str">
        <f aca="false">IF($A74="","",$A74&amp;"."&amp;$B74)</f>
        <v>SAMPLE-CMP-005.SAMPLE-O-007</v>
      </c>
      <c r="G74" s="30" t="str">
        <f aca="false">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https://docs.google.com/forms/d/e/SAMPLE-CMP-005-FORM/viewform?usp=pp_url&amp;entry.1000001=SAMPLE-CMP-005.SAMPLE-O-007&amp;utm_source=office-pantry&amp;utm_medium=qr&amp;utm_campaign=sample-cmp-005&amp;utm_content=sample-o-007</v>
      </c>
      <c r="H74" s="30" t="str">
        <f aca="false">IF(OR($A74="",$C74&lt;&gt;"qr"),"",$D74&amp;".png")</f>
        <v>SAMPLE-c005-o007-q.png</v>
      </c>
      <c r="I74" s="30" t="str">
        <f aca="true">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ustomFormat="false" ht="15" hidden="false" customHeight="false" outlineLevel="0" collapsed="false">
      <c r="A75" s="30" t="str">
        <f aca="false">IF(INDEX(approvals!$A$2:$A$251,INT((ROW()-2)/2)+1)="","",INDEX(approvals!$A$2:$A$251,INT((ROW()-2)/2)+1))</f>
        <v>SAMPLE-CMP-005</v>
      </c>
      <c r="B75" s="30" t="str">
        <f aca="false">IF(INDEX(approvals!$A$2:$A$251,INT((ROW()-2)/2)+1)="","",INDEX(approvals!$B$2:$B$251,INT((ROW()-2)/2)+1))</f>
        <v>SAMPLE-O-007</v>
      </c>
      <c r="C75" s="30" t="str">
        <f aca="false">IF($A75="","",IF(MOD(ROW()-2,2)=0,"qr","post"))</f>
        <v>post</v>
      </c>
      <c r="D75" s="30" t="str">
        <f aca="false">IF($A75="","",IF(LEFT($A75,7)="SAMPLE-","SAMPLE-","")&amp;LOWER(SUBSTITUTE(SUBSTITUTE($A75,"SAMPLE-",""),"CMP-","c"))&amp;"-"&amp;LOWER(SUBSTITUTE(SUBSTITUTE($B75,"SAMPLE-",""),"O-","o"))&amp;"-"&amp;IF($C75="qr","q","p"))</f>
        <v>SAMPLE-c005-o007-p</v>
      </c>
      <c r="E75" s="30" t="str">
        <f aca="false">IF($A75="","","https://"&amp;config!$B$9&amp;"/"&amp;$D75)</f>
        <v>https://go.example.com/SAMPLE-c005-o007-p</v>
      </c>
      <c r="F75" s="30" t="str">
        <f aca="false">IF($A75="","",$A75&amp;"."&amp;$B75)</f>
        <v>SAMPLE-CMP-005.SAMPLE-O-007</v>
      </c>
      <c r="G75" s="30" t="str">
        <f aca="false">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https://docs.google.com/forms/d/e/SAMPLE-CMP-005-FORM/viewform?usp=pp_url&amp;entry.1000001=SAMPLE-CMP-005.SAMPLE-O-007&amp;utm_source=office-pantry&amp;utm_medium=post&amp;utm_campaign=sample-cmp-005&amp;utm_content=sample-o-007</v>
      </c>
      <c r="H75" s="30" t="str">
        <f aca="false">IF(OR($A75="",$C75&lt;&gt;"qr"),"",$D75&amp;".png")</f>
        <v/>
      </c>
      <c r="I75" s="30" t="str">
        <f aca="true">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ustomFormat="false" ht="15" hidden="false" customHeight="false" outlineLevel="0" collapsed="false">
      <c r="A76" s="30" t="str">
        <f aca="false">IF(INDEX(approvals!$A$2:$A$251,INT((ROW()-2)/2)+1)="","",INDEX(approvals!$A$2:$A$251,INT((ROW()-2)/2)+1))</f>
        <v>SAMPLE-CMP-005</v>
      </c>
      <c r="B76" s="30" t="str">
        <f aca="false">IF(INDEX(approvals!$A$2:$A$251,INT((ROW()-2)/2)+1)="","",INDEX(approvals!$B$2:$B$251,INT((ROW()-2)/2)+1))</f>
        <v>SAMPLE-O-008</v>
      </c>
      <c r="C76" s="30" t="str">
        <f aca="false">IF($A76="","",IF(MOD(ROW()-2,2)=0,"qr","post"))</f>
        <v>qr</v>
      </c>
      <c r="D76" s="30" t="str">
        <f aca="false">IF($A76="","",IF(LEFT($A76,7)="SAMPLE-","SAMPLE-","")&amp;LOWER(SUBSTITUTE(SUBSTITUTE($A76,"SAMPLE-",""),"CMP-","c"))&amp;"-"&amp;LOWER(SUBSTITUTE(SUBSTITUTE($B76,"SAMPLE-",""),"O-","o"))&amp;"-"&amp;IF($C76="qr","q","p"))</f>
        <v>SAMPLE-c005-o008-q</v>
      </c>
      <c r="E76" s="30" t="str">
        <f aca="false">IF($A76="","","https://"&amp;config!$B$9&amp;"/"&amp;$D76)</f>
        <v>https://go.example.com/SAMPLE-c005-o008-q</v>
      </c>
      <c r="F76" s="30" t="str">
        <f aca="false">IF($A76="","",$A76&amp;"."&amp;$B76)</f>
        <v>SAMPLE-CMP-005.SAMPLE-O-008</v>
      </c>
      <c r="G76" s="30" t="str">
        <f aca="false">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https://docs.google.com/forms/d/e/SAMPLE-CMP-005-FORM/viewform?usp=pp_url&amp;entry.1000001=SAMPLE-CMP-005.SAMPLE-O-008&amp;utm_source=office-pantry&amp;utm_medium=qr&amp;utm_campaign=sample-cmp-005&amp;utm_content=sample-o-008</v>
      </c>
      <c r="H76" s="30" t="str">
        <f aca="false">IF(OR($A76="",$C76&lt;&gt;"qr"),"",$D76&amp;".png")</f>
        <v>SAMPLE-c005-o008-q.png</v>
      </c>
      <c r="I76" s="30" t="str">
        <f aca="true">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ustomFormat="false" ht="15" hidden="false" customHeight="false" outlineLevel="0" collapsed="false">
      <c r="A77" s="30" t="str">
        <f aca="false">IF(INDEX(approvals!$A$2:$A$251,INT((ROW()-2)/2)+1)="","",INDEX(approvals!$A$2:$A$251,INT((ROW()-2)/2)+1))</f>
        <v>SAMPLE-CMP-005</v>
      </c>
      <c r="B77" s="30" t="str">
        <f aca="false">IF(INDEX(approvals!$A$2:$A$251,INT((ROW()-2)/2)+1)="","",INDEX(approvals!$B$2:$B$251,INT((ROW()-2)/2)+1))</f>
        <v>SAMPLE-O-008</v>
      </c>
      <c r="C77" s="30" t="str">
        <f aca="false">IF($A77="","",IF(MOD(ROW()-2,2)=0,"qr","post"))</f>
        <v>post</v>
      </c>
      <c r="D77" s="30" t="str">
        <f aca="false">IF($A77="","",IF(LEFT($A77,7)="SAMPLE-","SAMPLE-","")&amp;LOWER(SUBSTITUTE(SUBSTITUTE($A77,"SAMPLE-",""),"CMP-","c"))&amp;"-"&amp;LOWER(SUBSTITUTE(SUBSTITUTE($B77,"SAMPLE-",""),"O-","o"))&amp;"-"&amp;IF($C77="qr","q","p"))</f>
        <v>SAMPLE-c005-o008-p</v>
      </c>
      <c r="E77" s="30" t="str">
        <f aca="false">IF($A77="","","https://"&amp;config!$B$9&amp;"/"&amp;$D77)</f>
        <v>https://go.example.com/SAMPLE-c005-o008-p</v>
      </c>
      <c r="F77" s="30" t="str">
        <f aca="false">IF($A77="","",$A77&amp;"."&amp;$B77)</f>
        <v>SAMPLE-CMP-005.SAMPLE-O-008</v>
      </c>
      <c r="G77" s="30" t="str">
        <f aca="false">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https://docs.google.com/forms/d/e/SAMPLE-CMP-005-FORM/viewform?usp=pp_url&amp;entry.1000001=SAMPLE-CMP-005.SAMPLE-O-008&amp;utm_source=office-pantry&amp;utm_medium=post&amp;utm_campaign=sample-cmp-005&amp;utm_content=sample-o-008</v>
      </c>
      <c r="H77" s="30" t="str">
        <f aca="false">IF(OR($A77="",$C77&lt;&gt;"qr"),"",$D77&amp;".png")</f>
        <v/>
      </c>
      <c r="I77" s="30" t="str">
        <f aca="true">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ustomFormat="false" ht="15" hidden="false" customHeight="false" outlineLevel="0" collapsed="false">
      <c r="A78" s="30" t="str">
        <f aca="false">IF(INDEX(approvals!$A$2:$A$251,INT((ROW()-2)/2)+1)="","",INDEX(approvals!$A$2:$A$251,INT((ROW()-2)/2)+1))</f>
        <v>SAMPLE-CMP-005</v>
      </c>
      <c r="B78" s="30" t="str">
        <f aca="false">IF(INDEX(approvals!$A$2:$A$251,INT((ROW()-2)/2)+1)="","",INDEX(approvals!$B$2:$B$251,INT((ROW()-2)/2)+1))</f>
        <v>SAMPLE-O-009</v>
      </c>
      <c r="C78" s="30" t="str">
        <f aca="false">IF($A78="","",IF(MOD(ROW()-2,2)=0,"qr","post"))</f>
        <v>qr</v>
      </c>
      <c r="D78" s="30" t="str">
        <f aca="false">IF($A78="","",IF(LEFT($A78,7)="SAMPLE-","SAMPLE-","")&amp;LOWER(SUBSTITUTE(SUBSTITUTE($A78,"SAMPLE-",""),"CMP-","c"))&amp;"-"&amp;LOWER(SUBSTITUTE(SUBSTITUTE($B78,"SAMPLE-",""),"O-","o"))&amp;"-"&amp;IF($C78="qr","q","p"))</f>
        <v>SAMPLE-c005-o009-q</v>
      </c>
      <c r="E78" s="30" t="str">
        <f aca="false">IF($A78="","","https://"&amp;config!$B$9&amp;"/"&amp;$D78)</f>
        <v>https://go.example.com/SAMPLE-c005-o009-q</v>
      </c>
      <c r="F78" s="30" t="str">
        <f aca="false">IF($A78="","",$A78&amp;"."&amp;$B78)</f>
        <v>SAMPLE-CMP-005.SAMPLE-O-009</v>
      </c>
      <c r="G78" s="30" t="str">
        <f aca="false">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https://docs.google.com/forms/d/e/SAMPLE-CMP-005-FORM/viewform?usp=pp_url&amp;entry.1000001=SAMPLE-CMP-005.SAMPLE-O-009&amp;utm_source=office-pantry&amp;utm_medium=qr&amp;utm_campaign=sample-cmp-005&amp;utm_content=sample-o-009</v>
      </c>
      <c r="H78" s="30" t="str">
        <f aca="false">IF(OR($A78="",$C78&lt;&gt;"qr"),"",$D78&amp;".png")</f>
        <v>SAMPLE-c005-o009-q.png</v>
      </c>
      <c r="I78" s="30" t="str">
        <f aca="true">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ustomFormat="false" ht="15" hidden="false" customHeight="false" outlineLevel="0" collapsed="false">
      <c r="A79" s="30" t="str">
        <f aca="false">IF(INDEX(approvals!$A$2:$A$251,INT((ROW()-2)/2)+1)="","",INDEX(approvals!$A$2:$A$251,INT((ROW()-2)/2)+1))</f>
        <v>SAMPLE-CMP-005</v>
      </c>
      <c r="B79" s="30" t="str">
        <f aca="false">IF(INDEX(approvals!$A$2:$A$251,INT((ROW()-2)/2)+1)="","",INDEX(approvals!$B$2:$B$251,INT((ROW()-2)/2)+1))</f>
        <v>SAMPLE-O-009</v>
      </c>
      <c r="C79" s="30" t="str">
        <f aca="false">IF($A79="","",IF(MOD(ROW()-2,2)=0,"qr","post"))</f>
        <v>post</v>
      </c>
      <c r="D79" s="30" t="str">
        <f aca="false">IF($A79="","",IF(LEFT($A79,7)="SAMPLE-","SAMPLE-","")&amp;LOWER(SUBSTITUTE(SUBSTITUTE($A79,"SAMPLE-",""),"CMP-","c"))&amp;"-"&amp;LOWER(SUBSTITUTE(SUBSTITUTE($B79,"SAMPLE-",""),"O-","o"))&amp;"-"&amp;IF($C79="qr","q","p"))</f>
        <v>SAMPLE-c005-o009-p</v>
      </c>
      <c r="E79" s="30" t="str">
        <f aca="false">IF($A79="","","https://"&amp;config!$B$9&amp;"/"&amp;$D79)</f>
        <v>https://go.example.com/SAMPLE-c005-o009-p</v>
      </c>
      <c r="F79" s="30" t="str">
        <f aca="false">IF($A79="","",$A79&amp;"."&amp;$B79)</f>
        <v>SAMPLE-CMP-005.SAMPLE-O-009</v>
      </c>
      <c r="G79" s="30" t="str">
        <f aca="false">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https://docs.google.com/forms/d/e/SAMPLE-CMP-005-FORM/viewform?usp=pp_url&amp;entry.1000001=SAMPLE-CMP-005.SAMPLE-O-009&amp;utm_source=office-pantry&amp;utm_medium=post&amp;utm_campaign=sample-cmp-005&amp;utm_content=sample-o-009</v>
      </c>
      <c r="H79" s="30" t="str">
        <f aca="false">IF(OR($A79="",$C79&lt;&gt;"qr"),"",$D79&amp;".png")</f>
        <v/>
      </c>
      <c r="I79" s="30" t="str">
        <f aca="true">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ustomFormat="false" ht="15" hidden="false" customHeight="false" outlineLevel="0" collapsed="false">
      <c r="A80" s="30" t="str">
        <f aca="false">IF(INDEX(approvals!$A$2:$A$251,INT((ROW()-2)/2)+1)="","",INDEX(approvals!$A$2:$A$251,INT((ROW()-2)/2)+1))</f>
        <v>SAMPLE-CMP-005</v>
      </c>
      <c r="B80" s="30" t="str">
        <f aca="false">IF(INDEX(approvals!$A$2:$A$251,INT((ROW()-2)/2)+1)="","",INDEX(approvals!$B$2:$B$251,INT((ROW()-2)/2)+1))</f>
        <v>SAMPLE-O-010</v>
      </c>
      <c r="C80" s="30" t="str">
        <f aca="false">IF($A80="","",IF(MOD(ROW()-2,2)=0,"qr","post"))</f>
        <v>qr</v>
      </c>
      <c r="D80" s="30" t="str">
        <f aca="false">IF($A80="","",IF(LEFT($A80,7)="SAMPLE-","SAMPLE-","")&amp;LOWER(SUBSTITUTE(SUBSTITUTE($A80,"SAMPLE-",""),"CMP-","c"))&amp;"-"&amp;LOWER(SUBSTITUTE(SUBSTITUTE($B80,"SAMPLE-",""),"O-","o"))&amp;"-"&amp;IF($C80="qr","q","p"))</f>
        <v>SAMPLE-c005-o010-q</v>
      </c>
      <c r="E80" s="30" t="str">
        <f aca="false">IF($A80="","","https://"&amp;config!$B$9&amp;"/"&amp;$D80)</f>
        <v>https://go.example.com/SAMPLE-c005-o010-q</v>
      </c>
      <c r="F80" s="30" t="str">
        <f aca="false">IF($A80="","",$A80&amp;"."&amp;$B80)</f>
        <v>SAMPLE-CMP-005.SAMPLE-O-010</v>
      </c>
      <c r="G80" s="30" t="str">
        <f aca="false">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https://docs.google.com/forms/d/e/SAMPLE-CMP-005-FORM/viewform?usp=pp_url&amp;entry.1000001=SAMPLE-CMP-005.SAMPLE-O-010&amp;utm_source=office-pantry&amp;utm_medium=qr&amp;utm_campaign=sample-cmp-005&amp;utm_content=sample-o-010</v>
      </c>
      <c r="H80" s="30" t="str">
        <f aca="false">IF(OR($A80="",$C80&lt;&gt;"qr"),"",$D80&amp;".png")</f>
        <v>SAMPLE-c005-o010-q.png</v>
      </c>
      <c r="I80" s="30" t="str">
        <f aca="true">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ustomFormat="false" ht="15" hidden="false" customHeight="false" outlineLevel="0" collapsed="false">
      <c r="A81" s="30" t="str">
        <f aca="false">IF(INDEX(approvals!$A$2:$A$251,INT((ROW()-2)/2)+1)="","",INDEX(approvals!$A$2:$A$251,INT((ROW()-2)/2)+1))</f>
        <v>SAMPLE-CMP-005</v>
      </c>
      <c r="B81" s="30" t="str">
        <f aca="false">IF(INDEX(approvals!$A$2:$A$251,INT((ROW()-2)/2)+1)="","",INDEX(approvals!$B$2:$B$251,INT((ROW()-2)/2)+1))</f>
        <v>SAMPLE-O-010</v>
      </c>
      <c r="C81" s="30" t="str">
        <f aca="false">IF($A81="","",IF(MOD(ROW()-2,2)=0,"qr","post"))</f>
        <v>post</v>
      </c>
      <c r="D81" s="30" t="str">
        <f aca="false">IF($A81="","",IF(LEFT($A81,7)="SAMPLE-","SAMPLE-","")&amp;LOWER(SUBSTITUTE(SUBSTITUTE($A81,"SAMPLE-",""),"CMP-","c"))&amp;"-"&amp;LOWER(SUBSTITUTE(SUBSTITUTE($B81,"SAMPLE-",""),"O-","o"))&amp;"-"&amp;IF($C81="qr","q","p"))</f>
        <v>SAMPLE-c005-o010-p</v>
      </c>
      <c r="E81" s="30" t="str">
        <f aca="false">IF($A81="","","https://"&amp;config!$B$9&amp;"/"&amp;$D81)</f>
        <v>https://go.example.com/SAMPLE-c005-o010-p</v>
      </c>
      <c r="F81" s="30" t="str">
        <f aca="false">IF($A81="","",$A81&amp;"."&amp;$B81)</f>
        <v>SAMPLE-CMP-005.SAMPLE-O-010</v>
      </c>
      <c r="G81" s="30" t="str">
        <f aca="false">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https://docs.google.com/forms/d/e/SAMPLE-CMP-005-FORM/viewform?usp=pp_url&amp;entry.1000001=SAMPLE-CMP-005.SAMPLE-O-010&amp;utm_source=office-pantry&amp;utm_medium=post&amp;utm_campaign=sample-cmp-005&amp;utm_content=sample-o-010</v>
      </c>
      <c r="H81" s="30" t="str">
        <f aca="false">IF(OR($A81="",$C81&lt;&gt;"qr"),"",$D81&amp;".png")</f>
        <v/>
      </c>
      <c r="I81" s="30" t="str">
        <f aca="true">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ustomFormat="false" ht="15" hidden="false" customHeight="false" outlineLevel="0" collapsed="false">
      <c r="A82" s="30" t="str">
        <f aca="false">IF(INDEX(approvals!$A$2:$A$251,INT((ROW()-2)/2)+1)="","",INDEX(approvals!$A$2:$A$251,INT((ROW()-2)/2)+1))</f>
        <v>SAMPLE-CMP-006</v>
      </c>
      <c r="B82" s="30" t="str">
        <f aca="false">IF(INDEX(approvals!$A$2:$A$251,INT((ROW()-2)/2)+1)="","",INDEX(approvals!$B$2:$B$251,INT((ROW()-2)/2)+1))</f>
        <v>SAMPLE-O-001</v>
      </c>
      <c r="C82" s="30" t="str">
        <f aca="false">IF($A82="","",IF(MOD(ROW()-2,2)=0,"qr","post"))</f>
        <v>qr</v>
      </c>
      <c r="D82" s="30" t="str">
        <f aca="false">IF($A82="","",IF(LEFT($A82,7)="SAMPLE-","SAMPLE-","")&amp;LOWER(SUBSTITUTE(SUBSTITUTE($A82,"SAMPLE-",""),"CMP-","c"))&amp;"-"&amp;LOWER(SUBSTITUTE(SUBSTITUTE($B82,"SAMPLE-",""),"O-","o"))&amp;"-"&amp;IF($C82="qr","q","p"))</f>
        <v>SAMPLE-c006-o001-q</v>
      </c>
      <c r="E82" s="30" t="str">
        <f aca="false">IF($A82="","","https://"&amp;config!$B$9&amp;"/"&amp;$D82)</f>
        <v>https://go.example.com/SAMPLE-c006-o001-q</v>
      </c>
      <c r="F82" s="30" t="str">
        <f aca="false">IF($A82="","",$A82&amp;"."&amp;$B82)</f>
        <v>SAMPLE-CMP-006.SAMPLE-O-001</v>
      </c>
      <c r="G82" s="30" t="str">
        <f aca="false">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https://docs.google.com/forms/d/e/SAMPLE-CMP-006-FORM/viewform?usp=pp_url&amp;entry.1000001=SAMPLE-CMP-006.SAMPLE-O-001&amp;utm_source=office-pantry&amp;utm_medium=qr&amp;utm_campaign=sample-cmp-006&amp;utm_content=sample-o-001</v>
      </c>
      <c r="H82" s="30" t="str">
        <f aca="false">IF(OR($A82="",$C82&lt;&gt;"qr"),"",$D82&amp;".png")</f>
        <v>SAMPLE-c006-o001-q.png</v>
      </c>
      <c r="I82" s="30" t="str">
        <f aca="true">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ustomFormat="false" ht="15" hidden="false" customHeight="false" outlineLevel="0" collapsed="false">
      <c r="A83" s="30" t="str">
        <f aca="false">IF(INDEX(approvals!$A$2:$A$251,INT((ROW()-2)/2)+1)="","",INDEX(approvals!$A$2:$A$251,INT((ROW()-2)/2)+1))</f>
        <v>SAMPLE-CMP-006</v>
      </c>
      <c r="B83" s="30" t="str">
        <f aca="false">IF(INDEX(approvals!$A$2:$A$251,INT((ROW()-2)/2)+1)="","",INDEX(approvals!$B$2:$B$251,INT((ROW()-2)/2)+1))</f>
        <v>SAMPLE-O-001</v>
      </c>
      <c r="C83" s="30" t="str">
        <f aca="false">IF($A83="","",IF(MOD(ROW()-2,2)=0,"qr","post"))</f>
        <v>post</v>
      </c>
      <c r="D83" s="30" t="str">
        <f aca="false">IF($A83="","",IF(LEFT($A83,7)="SAMPLE-","SAMPLE-","")&amp;LOWER(SUBSTITUTE(SUBSTITUTE($A83,"SAMPLE-",""),"CMP-","c"))&amp;"-"&amp;LOWER(SUBSTITUTE(SUBSTITUTE($B83,"SAMPLE-",""),"O-","o"))&amp;"-"&amp;IF($C83="qr","q","p"))</f>
        <v>SAMPLE-c006-o001-p</v>
      </c>
      <c r="E83" s="30" t="str">
        <f aca="false">IF($A83="","","https://"&amp;config!$B$9&amp;"/"&amp;$D83)</f>
        <v>https://go.example.com/SAMPLE-c006-o001-p</v>
      </c>
      <c r="F83" s="30" t="str">
        <f aca="false">IF($A83="","",$A83&amp;"."&amp;$B83)</f>
        <v>SAMPLE-CMP-006.SAMPLE-O-001</v>
      </c>
      <c r="G83" s="30" t="str">
        <f aca="false">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https://docs.google.com/forms/d/e/SAMPLE-CMP-006-FORM/viewform?usp=pp_url&amp;entry.1000001=SAMPLE-CMP-006.SAMPLE-O-001&amp;utm_source=office-pantry&amp;utm_medium=post&amp;utm_campaign=sample-cmp-006&amp;utm_content=sample-o-001</v>
      </c>
      <c r="H83" s="30" t="str">
        <f aca="false">IF(OR($A83="",$C83&lt;&gt;"qr"),"",$D83&amp;".png")</f>
        <v/>
      </c>
      <c r="I83" s="30" t="str">
        <f aca="true">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ustomFormat="false" ht="15" hidden="false" customHeight="false" outlineLevel="0" collapsed="false">
      <c r="A84" s="30" t="str">
        <f aca="false">IF(INDEX(approvals!$A$2:$A$251,INT((ROW()-2)/2)+1)="","",INDEX(approvals!$A$2:$A$251,INT((ROW()-2)/2)+1))</f>
        <v>SAMPLE-CMP-006</v>
      </c>
      <c r="B84" s="30" t="str">
        <f aca="false">IF(INDEX(approvals!$A$2:$A$251,INT((ROW()-2)/2)+1)="","",INDEX(approvals!$B$2:$B$251,INT((ROW()-2)/2)+1))</f>
        <v>SAMPLE-O-002</v>
      </c>
      <c r="C84" s="30" t="str">
        <f aca="false">IF($A84="","",IF(MOD(ROW()-2,2)=0,"qr","post"))</f>
        <v>qr</v>
      </c>
      <c r="D84" s="30" t="str">
        <f aca="false">IF($A84="","",IF(LEFT($A84,7)="SAMPLE-","SAMPLE-","")&amp;LOWER(SUBSTITUTE(SUBSTITUTE($A84,"SAMPLE-",""),"CMP-","c"))&amp;"-"&amp;LOWER(SUBSTITUTE(SUBSTITUTE($B84,"SAMPLE-",""),"O-","o"))&amp;"-"&amp;IF($C84="qr","q","p"))</f>
        <v>SAMPLE-c006-o002-q</v>
      </c>
      <c r="E84" s="30" t="str">
        <f aca="false">IF($A84="","","https://"&amp;config!$B$9&amp;"/"&amp;$D84)</f>
        <v>https://go.example.com/SAMPLE-c006-o002-q</v>
      </c>
      <c r="F84" s="30" t="str">
        <f aca="false">IF($A84="","",$A84&amp;"."&amp;$B84)</f>
        <v>SAMPLE-CMP-006.SAMPLE-O-002</v>
      </c>
      <c r="G84" s="30" t="str">
        <f aca="false">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https://docs.google.com/forms/d/e/SAMPLE-CMP-006-FORM/viewform?usp=pp_url&amp;entry.1000001=SAMPLE-CMP-006.SAMPLE-O-002&amp;utm_source=office-pantry&amp;utm_medium=qr&amp;utm_campaign=sample-cmp-006&amp;utm_content=sample-o-002</v>
      </c>
      <c r="H84" s="30" t="str">
        <f aca="false">IF(OR($A84="",$C84&lt;&gt;"qr"),"",$D84&amp;".png")</f>
        <v>SAMPLE-c006-o002-q.png</v>
      </c>
      <c r="I84" s="30" t="str">
        <f aca="true">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ustomFormat="false" ht="15" hidden="false" customHeight="false" outlineLevel="0" collapsed="false">
      <c r="A85" s="30" t="str">
        <f aca="false">IF(INDEX(approvals!$A$2:$A$251,INT((ROW()-2)/2)+1)="","",INDEX(approvals!$A$2:$A$251,INT((ROW()-2)/2)+1))</f>
        <v>SAMPLE-CMP-006</v>
      </c>
      <c r="B85" s="30" t="str">
        <f aca="false">IF(INDEX(approvals!$A$2:$A$251,INT((ROW()-2)/2)+1)="","",INDEX(approvals!$B$2:$B$251,INT((ROW()-2)/2)+1))</f>
        <v>SAMPLE-O-002</v>
      </c>
      <c r="C85" s="30" t="str">
        <f aca="false">IF($A85="","",IF(MOD(ROW()-2,2)=0,"qr","post"))</f>
        <v>post</v>
      </c>
      <c r="D85" s="30" t="str">
        <f aca="false">IF($A85="","",IF(LEFT($A85,7)="SAMPLE-","SAMPLE-","")&amp;LOWER(SUBSTITUTE(SUBSTITUTE($A85,"SAMPLE-",""),"CMP-","c"))&amp;"-"&amp;LOWER(SUBSTITUTE(SUBSTITUTE($B85,"SAMPLE-",""),"O-","o"))&amp;"-"&amp;IF($C85="qr","q","p"))</f>
        <v>SAMPLE-c006-o002-p</v>
      </c>
      <c r="E85" s="30" t="str">
        <f aca="false">IF($A85="","","https://"&amp;config!$B$9&amp;"/"&amp;$D85)</f>
        <v>https://go.example.com/SAMPLE-c006-o002-p</v>
      </c>
      <c r="F85" s="30" t="str">
        <f aca="false">IF($A85="","",$A85&amp;"."&amp;$B85)</f>
        <v>SAMPLE-CMP-006.SAMPLE-O-002</v>
      </c>
      <c r="G85" s="30" t="str">
        <f aca="false">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https://docs.google.com/forms/d/e/SAMPLE-CMP-006-FORM/viewform?usp=pp_url&amp;entry.1000001=SAMPLE-CMP-006.SAMPLE-O-002&amp;utm_source=office-pantry&amp;utm_medium=post&amp;utm_campaign=sample-cmp-006&amp;utm_content=sample-o-002</v>
      </c>
      <c r="H85" s="30" t="str">
        <f aca="false">IF(OR($A85="",$C85&lt;&gt;"qr"),"",$D85&amp;".png")</f>
        <v/>
      </c>
      <c r="I85" s="30" t="str">
        <f aca="true">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ustomFormat="false" ht="15" hidden="false" customHeight="false" outlineLevel="0" collapsed="false">
      <c r="A86" s="30" t="str">
        <f aca="false">IF(INDEX(approvals!$A$2:$A$251,INT((ROW()-2)/2)+1)="","",INDEX(approvals!$A$2:$A$251,INT((ROW()-2)/2)+1))</f>
        <v>SAMPLE-CMP-006</v>
      </c>
      <c r="B86" s="30" t="str">
        <f aca="false">IF(INDEX(approvals!$A$2:$A$251,INT((ROW()-2)/2)+1)="","",INDEX(approvals!$B$2:$B$251,INT((ROW()-2)/2)+1))</f>
        <v>SAMPLE-O-003</v>
      </c>
      <c r="C86" s="30" t="str">
        <f aca="false">IF($A86="","",IF(MOD(ROW()-2,2)=0,"qr","post"))</f>
        <v>qr</v>
      </c>
      <c r="D86" s="30" t="str">
        <f aca="false">IF($A86="","",IF(LEFT($A86,7)="SAMPLE-","SAMPLE-","")&amp;LOWER(SUBSTITUTE(SUBSTITUTE($A86,"SAMPLE-",""),"CMP-","c"))&amp;"-"&amp;LOWER(SUBSTITUTE(SUBSTITUTE($B86,"SAMPLE-",""),"O-","o"))&amp;"-"&amp;IF($C86="qr","q","p"))</f>
        <v>SAMPLE-c006-o003-q</v>
      </c>
      <c r="E86" s="30" t="str">
        <f aca="false">IF($A86="","","https://"&amp;config!$B$9&amp;"/"&amp;$D86)</f>
        <v>https://go.example.com/SAMPLE-c006-o003-q</v>
      </c>
      <c r="F86" s="30" t="str">
        <f aca="false">IF($A86="","",$A86&amp;"."&amp;$B86)</f>
        <v>SAMPLE-CMP-006.SAMPLE-O-003</v>
      </c>
      <c r="G86" s="30" t="str">
        <f aca="false">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https://docs.google.com/forms/d/e/SAMPLE-CMP-006-FORM/viewform?usp=pp_url&amp;entry.1000001=SAMPLE-CMP-006.SAMPLE-O-003&amp;utm_source=office-pantry&amp;utm_medium=qr&amp;utm_campaign=sample-cmp-006&amp;utm_content=sample-o-003</v>
      </c>
      <c r="H86" s="30" t="str">
        <f aca="false">IF(OR($A86="",$C86&lt;&gt;"qr"),"",$D86&amp;".png")</f>
        <v>SAMPLE-c006-o003-q.png</v>
      </c>
      <c r="I86" s="30" t="str">
        <f aca="true">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ustomFormat="false" ht="15" hidden="false" customHeight="false" outlineLevel="0" collapsed="false">
      <c r="A87" s="30" t="str">
        <f aca="false">IF(INDEX(approvals!$A$2:$A$251,INT((ROW()-2)/2)+1)="","",INDEX(approvals!$A$2:$A$251,INT((ROW()-2)/2)+1))</f>
        <v>SAMPLE-CMP-006</v>
      </c>
      <c r="B87" s="30" t="str">
        <f aca="false">IF(INDEX(approvals!$A$2:$A$251,INT((ROW()-2)/2)+1)="","",INDEX(approvals!$B$2:$B$251,INT((ROW()-2)/2)+1))</f>
        <v>SAMPLE-O-003</v>
      </c>
      <c r="C87" s="30" t="str">
        <f aca="false">IF($A87="","",IF(MOD(ROW()-2,2)=0,"qr","post"))</f>
        <v>post</v>
      </c>
      <c r="D87" s="30" t="str">
        <f aca="false">IF($A87="","",IF(LEFT($A87,7)="SAMPLE-","SAMPLE-","")&amp;LOWER(SUBSTITUTE(SUBSTITUTE($A87,"SAMPLE-",""),"CMP-","c"))&amp;"-"&amp;LOWER(SUBSTITUTE(SUBSTITUTE($B87,"SAMPLE-",""),"O-","o"))&amp;"-"&amp;IF($C87="qr","q","p"))</f>
        <v>SAMPLE-c006-o003-p</v>
      </c>
      <c r="E87" s="30" t="str">
        <f aca="false">IF($A87="","","https://"&amp;config!$B$9&amp;"/"&amp;$D87)</f>
        <v>https://go.example.com/SAMPLE-c006-o003-p</v>
      </c>
      <c r="F87" s="30" t="str">
        <f aca="false">IF($A87="","",$A87&amp;"."&amp;$B87)</f>
        <v>SAMPLE-CMP-006.SAMPLE-O-003</v>
      </c>
      <c r="G87" s="30" t="str">
        <f aca="false">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https://docs.google.com/forms/d/e/SAMPLE-CMP-006-FORM/viewform?usp=pp_url&amp;entry.1000001=SAMPLE-CMP-006.SAMPLE-O-003&amp;utm_source=office-pantry&amp;utm_medium=post&amp;utm_campaign=sample-cmp-006&amp;utm_content=sample-o-003</v>
      </c>
      <c r="H87" s="30" t="str">
        <f aca="false">IF(OR($A87="",$C87&lt;&gt;"qr"),"",$D87&amp;".png")</f>
        <v/>
      </c>
      <c r="I87" s="30" t="str">
        <f aca="true">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ustomFormat="false" ht="15" hidden="false" customHeight="false" outlineLevel="0" collapsed="false">
      <c r="A88" s="30" t="str">
        <f aca="false">IF(INDEX(approvals!$A$2:$A$251,INT((ROW()-2)/2)+1)="","",INDEX(approvals!$A$2:$A$251,INT((ROW()-2)/2)+1))</f>
        <v>SAMPLE-CMP-006</v>
      </c>
      <c r="B88" s="30" t="str">
        <f aca="false">IF(INDEX(approvals!$A$2:$A$251,INT((ROW()-2)/2)+1)="","",INDEX(approvals!$B$2:$B$251,INT((ROW()-2)/2)+1))</f>
        <v>SAMPLE-O-004</v>
      </c>
      <c r="C88" s="30" t="str">
        <f aca="false">IF($A88="","",IF(MOD(ROW()-2,2)=0,"qr","post"))</f>
        <v>qr</v>
      </c>
      <c r="D88" s="30" t="str">
        <f aca="false">IF($A88="","",IF(LEFT($A88,7)="SAMPLE-","SAMPLE-","")&amp;LOWER(SUBSTITUTE(SUBSTITUTE($A88,"SAMPLE-",""),"CMP-","c"))&amp;"-"&amp;LOWER(SUBSTITUTE(SUBSTITUTE($B88,"SAMPLE-",""),"O-","o"))&amp;"-"&amp;IF($C88="qr","q","p"))</f>
        <v>SAMPLE-c006-o004-q</v>
      </c>
      <c r="E88" s="30" t="str">
        <f aca="false">IF($A88="","","https://"&amp;config!$B$9&amp;"/"&amp;$D88)</f>
        <v>https://go.example.com/SAMPLE-c006-o004-q</v>
      </c>
      <c r="F88" s="30" t="str">
        <f aca="false">IF($A88="","",$A88&amp;"."&amp;$B88)</f>
        <v>SAMPLE-CMP-006.SAMPLE-O-004</v>
      </c>
      <c r="G88" s="30" t="str">
        <f aca="false">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https://docs.google.com/forms/d/e/SAMPLE-CMP-006-FORM/viewform?usp=pp_url&amp;entry.1000001=SAMPLE-CMP-006.SAMPLE-O-004&amp;utm_source=office-pantry&amp;utm_medium=qr&amp;utm_campaign=sample-cmp-006&amp;utm_content=sample-o-004</v>
      </c>
      <c r="H88" s="30" t="str">
        <f aca="false">IF(OR($A88="",$C88&lt;&gt;"qr"),"",$D88&amp;".png")</f>
        <v>SAMPLE-c006-o004-q.png</v>
      </c>
      <c r="I88" s="30" t="str">
        <f aca="true">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ustomFormat="false" ht="15" hidden="false" customHeight="false" outlineLevel="0" collapsed="false">
      <c r="A89" s="30" t="str">
        <f aca="false">IF(INDEX(approvals!$A$2:$A$251,INT((ROW()-2)/2)+1)="","",INDEX(approvals!$A$2:$A$251,INT((ROW()-2)/2)+1))</f>
        <v>SAMPLE-CMP-006</v>
      </c>
      <c r="B89" s="30" t="str">
        <f aca="false">IF(INDEX(approvals!$A$2:$A$251,INT((ROW()-2)/2)+1)="","",INDEX(approvals!$B$2:$B$251,INT((ROW()-2)/2)+1))</f>
        <v>SAMPLE-O-004</v>
      </c>
      <c r="C89" s="30" t="str">
        <f aca="false">IF($A89="","",IF(MOD(ROW()-2,2)=0,"qr","post"))</f>
        <v>post</v>
      </c>
      <c r="D89" s="30" t="str">
        <f aca="false">IF($A89="","",IF(LEFT($A89,7)="SAMPLE-","SAMPLE-","")&amp;LOWER(SUBSTITUTE(SUBSTITUTE($A89,"SAMPLE-",""),"CMP-","c"))&amp;"-"&amp;LOWER(SUBSTITUTE(SUBSTITUTE($B89,"SAMPLE-",""),"O-","o"))&amp;"-"&amp;IF($C89="qr","q","p"))</f>
        <v>SAMPLE-c006-o004-p</v>
      </c>
      <c r="E89" s="30" t="str">
        <f aca="false">IF($A89="","","https://"&amp;config!$B$9&amp;"/"&amp;$D89)</f>
        <v>https://go.example.com/SAMPLE-c006-o004-p</v>
      </c>
      <c r="F89" s="30" t="str">
        <f aca="false">IF($A89="","",$A89&amp;"."&amp;$B89)</f>
        <v>SAMPLE-CMP-006.SAMPLE-O-004</v>
      </c>
      <c r="G89" s="30" t="str">
        <f aca="false">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https://docs.google.com/forms/d/e/SAMPLE-CMP-006-FORM/viewform?usp=pp_url&amp;entry.1000001=SAMPLE-CMP-006.SAMPLE-O-004&amp;utm_source=office-pantry&amp;utm_medium=post&amp;utm_campaign=sample-cmp-006&amp;utm_content=sample-o-004</v>
      </c>
      <c r="H89" s="30" t="str">
        <f aca="false">IF(OR($A89="",$C89&lt;&gt;"qr"),"",$D89&amp;".png")</f>
        <v/>
      </c>
      <c r="I89" s="30" t="str">
        <f aca="true">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ustomFormat="false" ht="15" hidden="false" customHeight="false" outlineLevel="0" collapsed="false">
      <c r="A90" s="30" t="str">
        <f aca="false">IF(INDEX(approvals!$A$2:$A$251,INT((ROW()-2)/2)+1)="","",INDEX(approvals!$A$2:$A$251,INT((ROW()-2)/2)+1))</f>
        <v>SAMPLE-CMP-006</v>
      </c>
      <c r="B90" s="30" t="str">
        <f aca="false">IF(INDEX(approvals!$A$2:$A$251,INT((ROW()-2)/2)+1)="","",INDEX(approvals!$B$2:$B$251,INT((ROW()-2)/2)+1))</f>
        <v>SAMPLE-O-005</v>
      </c>
      <c r="C90" s="30" t="str">
        <f aca="false">IF($A90="","",IF(MOD(ROW()-2,2)=0,"qr","post"))</f>
        <v>qr</v>
      </c>
      <c r="D90" s="30" t="str">
        <f aca="false">IF($A90="","",IF(LEFT($A90,7)="SAMPLE-","SAMPLE-","")&amp;LOWER(SUBSTITUTE(SUBSTITUTE($A90,"SAMPLE-",""),"CMP-","c"))&amp;"-"&amp;LOWER(SUBSTITUTE(SUBSTITUTE($B90,"SAMPLE-",""),"O-","o"))&amp;"-"&amp;IF($C90="qr","q","p"))</f>
        <v>SAMPLE-c006-o005-q</v>
      </c>
      <c r="E90" s="30" t="str">
        <f aca="false">IF($A90="","","https://"&amp;config!$B$9&amp;"/"&amp;$D90)</f>
        <v>https://go.example.com/SAMPLE-c006-o005-q</v>
      </c>
      <c r="F90" s="30" t="str">
        <f aca="false">IF($A90="","",$A90&amp;"."&amp;$B90)</f>
        <v>SAMPLE-CMP-006.SAMPLE-O-005</v>
      </c>
      <c r="G90" s="30" t="str">
        <f aca="false">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https://docs.google.com/forms/d/e/SAMPLE-CMP-006-FORM/viewform?usp=pp_url&amp;entry.1000001=SAMPLE-CMP-006.SAMPLE-O-005&amp;utm_source=office-pantry&amp;utm_medium=qr&amp;utm_campaign=sample-cmp-006&amp;utm_content=sample-o-005</v>
      </c>
      <c r="H90" s="30" t="str">
        <f aca="false">IF(OR($A90="",$C90&lt;&gt;"qr"),"",$D90&amp;".png")</f>
        <v>SAMPLE-c006-o005-q.png</v>
      </c>
      <c r="I90" s="30" t="str">
        <f aca="true">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ustomFormat="false" ht="15" hidden="false" customHeight="false" outlineLevel="0" collapsed="false">
      <c r="A91" s="30" t="str">
        <f aca="false">IF(INDEX(approvals!$A$2:$A$251,INT((ROW()-2)/2)+1)="","",INDEX(approvals!$A$2:$A$251,INT((ROW()-2)/2)+1))</f>
        <v>SAMPLE-CMP-006</v>
      </c>
      <c r="B91" s="30" t="str">
        <f aca="false">IF(INDEX(approvals!$A$2:$A$251,INT((ROW()-2)/2)+1)="","",INDEX(approvals!$B$2:$B$251,INT((ROW()-2)/2)+1))</f>
        <v>SAMPLE-O-005</v>
      </c>
      <c r="C91" s="30" t="str">
        <f aca="false">IF($A91="","",IF(MOD(ROW()-2,2)=0,"qr","post"))</f>
        <v>post</v>
      </c>
      <c r="D91" s="30" t="str">
        <f aca="false">IF($A91="","",IF(LEFT($A91,7)="SAMPLE-","SAMPLE-","")&amp;LOWER(SUBSTITUTE(SUBSTITUTE($A91,"SAMPLE-",""),"CMP-","c"))&amp;"-"&amp;LOWER(SUBSTITUTE(SUBSTITUTE($B91,"SAMPLE-",""),"O-","o"))&amp;"-"&amp;IF($C91="qr","q","p"))</f>
        <v>SAMPLE-c006-o005-p</v>
      </c>
      <c r="E91" s="30" t="str">
        <f aca="false">IF($A91="","","https://"&amp;config!$B$9&amp;"/"&amp;$D91)</f>
        <v>https://go.example.com/SAMPLE-c006-o005-p</v>
      </c>
      <c r="F91" s="30" t="str">
        <f aca="false">IF($A91="","",$A91&amp;"."&amp;$B91)</f>
        <v>SAMPLE-CMP-006.SAMPLE-O-005</v>
      </c>
      <c r="G91" s="30" t="str">
        <f aca="false">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https://docs.google.com/forms/d/e/SAMPLE-CMP-006-FORM/viewform?usp=pp_url&amp;entry.1000001=SAMPLE-CMP-006.SAMPLE-O-005&amp;utm_source=office-pantry&amp;utm_medium=post&amp;utm_campaign=sample-cmp-006&amp;utm_content=sample-o-005</v>
      </c>
      <c r="H91" s="30" t="str">
        <f aca="false">IF(OR($A91="",$C91&lt;&gt;"qr"),"",$D91&amp;".png")</f>
        <v/>
      </c>
      <c r="I91" s="30" t="str">
        <f aca="true">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ustomFormat="false" ht="15" hidden="false" customHeight="false" outlineLevel="0" collapsed="false">
      <c r="A92" s="30" t="str">
        <f aca="false">IF(INDEX(approvals!$A$2:$A$251,INT((ROW()-2)/2)+1)="","",INDEX(approvals!$A$2:$A$251,INT((ROW()-2)/2)+1))</f>
        <v>SAMPLE-CMP-006</v>
      </c>
      <c r="B92" s="30" t="str">
        <f aca="false">IF(INDEX(approvals!$A$2:$A$251,INT((ROW()-2)/2)+1)="","",INDEX(approvals!$B$2:$B$251,INT((ROW()-2)/2)+1))</f>
        <v>SAMPLE-O-006</v>
      </c>
      <c r="C92" s="30" t="str">
        <f aca="false">IF($A92="","",IF(MOD(ROW()-2,2)=0,"qr","post"))</f>
        <v>qr</v>
      </c>
      <c r="D92" s="30" t="str">
        <f aca="false">IF($A92="","",IF(LEFT($A92,7)="SAMPLE-","SAMPLE-","")&amp;LOWER(SUBSTITUTE(SUBSTITUTE($A92,"SAMPLE-",""),"CMP-","c"))&amp;"-"&amp;LOWER(SUBSTITUTE(SUBSTITUTE($B92,"SAMPLE-",""),"O-","o"))&amp;"-"&amp;IF($C92="qr","q","p"))</f>
        <v>SAMPLE-c006-o006-q</v>
      </c>
      <c r="E92" s="30" t="str">
        <f aca="false">IF($A92="","","https://"&amp;config!$B$9&amp;"/"&amp;$D92)</f>
        <v>https://go.example.com/SAMPLE-c006-o006-q</v>
      </c>
      <c r="F92" s="30" t="str">
        <f aca="false">IF($A92="","",$A92&amp;"."&amp;$B92)</f>
        <v>SAMPLE-CMP-006.SAMPLE-O-006</v>
      </c>
      <c r="G92" s="30" t="str">
        <f aca="false">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https://docs.google.com/forms/d/e/SAMPLE-CMP-006-FORM/viewform?usp=pp_url&amp;entry.1000001=SAMPLE-CMP-006.SAMPLE-O-006&amp;utm_source=office-pantry&amp;utm_medium=qr&amp;utm_campaign=sample-cmp-006&amp;utm_content=sample-o-006</v>
      </c>
      <c r="H92" s="30" t="str">
        <f aca="false">IF(OR($A92="",$C92&lt;&gt;"qr"),"",$D92&amp;".png")</f>
        <v>SAMPLE-c006-o006-q.png</v>
      </c>
      <c r="I92" s="30" t="str">
        <f aca="true">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ustomFormat="false" ht="15" hidden="false" customHeight="false" outlineLevel="0" collapsed="false">
      <c r="A93" s="30" t="str">
        <f aca="false">IF(INDEX(approvals!$A$2:$A$251,INT((ROW()-2)/2)+1)="","",INDEX(approvals!$A$2:$A$251,INT((ROW()-2)/2)+1))</f>
        <v>SAMPLE-CMP-006</v>
      </c>
      <c r="B93" s="30" t="str">
        <f aca="false">IF(INDEX(approvals!$A$2:$A$251,INT((ROW()-2)/2)+1)="","",INDEX(approvals!$B$2:$B$251,INT((ROW()-2)/2)+1))</f>
        <v>SAMPLE-O-006</v>
      </c>
      <c r="C93" s="30" t="str">
        <f aca="false">IF($A93="","",IF(MOD(ROW()-2,2)=0,"qr","post"))</f>
        <v>post</v>
      </c>
      <c r="D93" s="30" t="str">
        <f aca="false">IF($A93="","",IF(LEFT($A93,7)="SAMPLE-","SAMPLE-","")&amp;LOWER(SUBSTITUTE(SUBSTITUTE($A93,"SAMPLE-",""),"CMP-","c"))&amp;"-"&amp;LOWER(SUBSTITUTE(SUBSTITUTE($B93,"SAMPLE-",""),"O-","o"))&amp;"-"&amp;IF($C93="qr","q","p"))</f>
        <v>SAMPLE-c006-o006-p</v>
      </c>
      <c r="E93" s="30" t="str">
        <f aca="false">IF($A93="","","https://"&amp;config!$B$9&amp;"/"&amp;$D93)</f>
        <v>https://go.example.com/SAMPLE-c006-o006-p</v>
      </c>
      <c r="F93" s="30" t="str">
        <f aca="false">IF($A93="","",$A93&amp;"."&amp;$B93)</f>
        <v>SAMPLE-CMP-006.SAMPLE-O-006</v>
      </c>
      <c r="G93" s="30" t="str">
        <f aca="false">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https://docs.google.com/forms/d/e/SAMPLE-CMP-006-FORM/viewform?usp=pp_url&amp;entry.1000001=SAMPLE-CMP-006.SAMPLE-O-006&amp;utm_source=office-pantry&amp;utm_medium=post&amp;utm_campaign=sample-cmp-006&amp;utm_content=sample-o-006</v>
      </c>
      <c r="H93" s="30" t="str">
        <f aca="false">IF(OR($A93="",$C93&lt;&gt;"qr"),"",$D93&amp;".png")</f>
        <v/>
      </c>
      <c r="I93" s="30" t="str">
        <f aca="true">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ustomFormat="false" ht="15" hidden="false" customHeight="false" outlineLevel="0" collapsed="false">
      <c r="A94" s="30" t="str">
        <f aca="false">IF(INDEX(approvals!$A$2:$A$251,INT((ROW()-2)/2)+1)="","",INDEX(approvals!$A$2:$A$251,INT((ROW()-2)/2)+1))</f>
        <v>SAMPLE-CMP-006</v>
      </c>
      <c r="B94" s="30" t="str">
        <f aca="false">IF(INDEX(approvals!$A$2:$A$251,INT((ROW()-2)/2)+1)="","",INDEX(approvals!$B$2:$B$251,INT((ROW()-2)/2)+1))</f>
        <v>SAMPLE-O-007</v>
      </c>
      <c r="C94" s="30" t="str">
        <f aca="false">IF($A94="","",IF(MOD(ROW()-2,2)=0,"qr","post"))</f>
        <v>qr</v>
      </c>
      <c r="D94" s="30" t="str">
        <f aca="false">IF($A94="","",IF(LEFT($A94,7)="SAMPLE-","SAMPLE-","")&amp;LOWER(SUBSTITUTE(SUBSTITUTE($A94,"SAMPLE-",""),"CMP-","c"))&amp;"-"&amp;LOWER(SUBSTITUTE(SUBSTITUTE($B94,"SAMPLE-",""),"O-","o"))&amp;"-"&amp;IF($C94="qr","q","p"))</f>
        <v>SAMPLE-c006-o007-q</v>
      </c>
      <c r="E94" s="30" t="str">
        <f aca="false">IF($A94="","","https://"&amp;config!$B$9&amp;"/"&amp;$D94)</f>
        <v>https://go.example.com/SAMPLE-c006-o007-q</v>
      </c>
      <c r="F94" s="30" t="str">
        <f aca="false">IF($A94="","",$A94&amp;"."&amp;$B94)</f>
        <v>SAMPLE-CMP-006.SAMPLE-O-007</v>
      </c>
      <c r="G94" s="30" t="str">
        <f aca="false">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https://docs.google.com/forms/d/e/SAMPLE-CMP-006-FORM/viewform?usp=pp_url&amp;entry.1000001=SAMPLE-CMP-006.SAMPLE-O-007&amp;utm_source=office-pantry&amp;utm_medium=qr&amp;utm_campaign=sample-cmp-006&amp;utm_content=sample-o-007</v>
      </c>
      <c r="H94" s="30" t="str">
        <f aca="false">IF(OR($A94="",$C94&lt;&gt;"qr"),"",$D94&amp;".png")</f>
        <v>SAMPLE-c006-o007-q.png</v>
      </c>
      <c r="I94" s="30" t="str">
        <f aca="true">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ustomFormat="false" ht="15" hidden="false" customHeight="false" outlineLevel="0" collapsed="false">
      <c r="A95" s="30" t="str">
        <f aca="false">IF(INDEX(approvals!$A$2:$A$251,INT((ROW()-2)/2)+1)="","",INDEX(approvals!$A$2:$A$251,INT((ROW()-2)/2)+1))</f>
        <v>SAMPLE-CMP-006</v>
      </c>
      <c r="B95" s="30" t="str">
        <f aca="false">IF(INDEX(approvals!$A$2:$A$251,INT((ROW()-2)/2)+1)="","",INDEX(approvals!$B$2:$B$251,INT((ROW()-2)/2)+1))</f>
        <v>SAMPLE-O-007</v>
      </c>
      <c r="C95" s="30" t="str">
        <f aca="false">IF($A95="","",IF(MOD(ROW()-2,2)=0,"qr","post"))</f>
        <v>post</v>
      </c>
      <c r="D95" s="30" t="str">
        <f aca="false">IF($A95="","",IF(LEFT($A95,7)="SAMPLE-","SAMPLE-","")&amp;LOWER(SUBSTITUTE(SUBSTITUTE($A95,"SAMPLE-",""),"CMP-","c"))&amp;"-"&amp;LOWER(SUBSTITUTE(SUBSTITUTE($B95,"SAMPLE-",""),"O-","o"))&amp;"-"&amp;IF($C95="qr","q","p"))</f>
        <v>SAMPLE-c006-o007-p</v>
      </c>
      <c r="E95" s="30" t="str">
        <f aca="false">IF($A95="","","https://"&amp;config!$B$9&amp;"/"&amp;$D95)</f>
        <v>https://go.example.com/SAMPLE-c006-o007-p</v>
      </c>
      <c r="F95" s="30" t="str">
        <f aca="false">IF($A95="","",$A95&amp;"."&amp;$B95)</f>
        <v>SAMPLE-CMP-006.SAMPLE-O-007</v>
      </c>
      <c r="G95" s="30" t="str">
        <f aca="false">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https://docs.google.com/forms/d/e/SAMPLE-CMP-006-FORM/viewform?usp=pp_url&amp;entry.1000001=SAMPLE-CMP-006.SAMPLE-O-007&amp;utm_source=office-pantry&amp;utm_medium=post&amp;utm_campaign=sample-cmp-006&amp;utm_content=sample-o-007</v>
      </c>
      <c r="H95" s="30" t="str">
        <f aca="false">IF(OR($A95="",$C95&lt;&gt;"qr"),"",$D95&amp;".png")</f>
        <v/>
      </c>
      <c r="I95" s="30" t="str">
        <f aca="true">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ustomFormat="false" ht="15" hidden="false" customHeight="false" outlineLevel="0" collapsed="false">
      <c r="A96" s="30" t="str">
        <f aca="false">IF(INDEX(approvals!$A$2:$A$251,INT((ROW()-2)/2)+1)="","",INDEX(approvals!$A$2:$A$251,INT((ROW()-2)/2)+1))</f>
        <v>SAMPLE-CMP-006</v>
      </c>
      <c r="B96" s="30" t="str">
        <f aca="false">IF(INDEX(approvals!$A$2:$A$251,INT((ROW()-2)/2)+1)="","",INDEX(approvals!$B$2:$B$251,INT((ROW()-2)/2)+1))</f>
        <v>SAMPLE-O-008</v>
      </c>
      <c r="C96" s="30" t="str">
        <f aca="false">IF($A96="","",IF(MOD(ROW()-2,2)=0,"qr","post"))</f>
        <v>qr</v>
      </c>
      <c r="D96" s="30" t="str">
        <f aca="false">IF($A96="","",IF(LEFT($A96,7)="SAMPLE-","SAMPLE-","")&amp;LOWER(SUBSTITUTE(SUBSTITUTE($A96,"SAMPLE-",""),"CMP-","c"))&amp;"-"&amp;LOWER(SUBSTITUTE(SUBSTITUTE($B96,"SAMPLE-",""),"O-","o"))&amp;"-"&amp;IF($C96="qr","q","p"))</f>
        <v>SAMPLE-c006-o008-q</v>
      </c>
      <c r="E96" s="30" t="str">
        <f aca="false">IF($A96="","","https://"&amp;config!$B$9&amp;"/"&amp;$D96)</f>
        <v>https://go.example.com/SAMPLE-c006-o008-q</v>
      </c>
      <c r="F96" s="30" t="str">
        <f aca="false">IF($A96="","",$A96&amp;"."&amp;$B96)</f>
        <v>SAMPLE-CMP-006.SAMPLE-O-008</v>
      </c>
      <c r="G96" s="30" t="str">
        <f aca="false">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https://docs.google.com/forms/d/e/SAMPLE-CMP-006-FORM/viewform?usp=pp_url&amp;entry.1000001=SAMPLE-CMP-006.SAMPLE-O-008&amp;utm_source=office-pantry&amp;utm_medium=qr&amp;utm_campaign=sample-cmp-006&amp;utm_content=sample-o-008</v>
      </c>
      <c r="H96" s="30" t="str">
        <f aca="false">IF(OR($A96="",$C96&lt;&gt;"qr"),"",$D96&amp;".png")</f>
        <v>SAMPLE-c006-o008-q.png</v>
      </c>
      <c r="I96" s="30" t="str">
        <f aca="true">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ustomFormat="false" ht="15" hidden="false" customHeight="false" outlineLevel="0" collapsed="false">
      <c r="A97" s="30" t="str">
        <f aca="false">IF(INDEX(approvals!$A$2:$A$251,INT((ROW()-2)/2)+1)="","",INDEX(approvals!$A$2:$A$251,INT((ROW()-2)/2)+1))</f>
        <v>SAMPLE-CMP-006</v>
      </c>
      <c r="B97" s="30" t="str">
        <f aca="false">IF(INDEX(approvals!$A$2:$A$251,INT((ROW()-2)/2)+1)="","",INDEX(approvals!$B$2:$B$251,INT((ROW()-2)/2)+1))</f>
        <v>SAMPLE-O-008</v>
      </c>
      <c r="C97" s="30" t="str">
        <f aca="false">IF($A97="","",IF(MOD(ROW()-2,2)=0,"qr","post"))</f>
        <v>post</v>
      </c>
      <c r="D97" s="30" t="str">
        <f aca="false">IF($A97="","",IF(LEFT($A97,7)="SAMPLE-","SAMPLE-","")&amp;LOWER(SUBSTITUTE(SUBSTITUTE($A97,"SAMPLE-",""),"CMP-","c"))&amp;"-"&amp;LOWER(SUBSTITUTE(SUBSTITUTE($B97,"SAMPLE-",""),"O-","o"))&amp;"-"&amp;IF($C97="qr","q","p"))</f>
        <v>SAMPLE-c006-o008-p</v>
      </c>
      <c r="E97" s="30" t="str">
        <f aca="false">IF($A97="","","https://"&amp;config!$B$9&amp;"/"&amp;$D97)</f>
        <v>https://go.example.com/SAMPLE-c006-o008-p</v>
      </c>
      <c r="F97" s="30" t="str">
        <f aca="false">IF($A97="","",$A97&amp;"."&amp;$B97)</f>
        <v>SAMPLE-CMP-006.SAMPLE-O-008</v>
      </c>
      <c r="G97" s="30" t="str">
        <f aca="false">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https://docs.google.com/forms/d/e/SAMPLE-CMP-006-FORM/viewform?usp=pp_url&amp;entry.1000001=SAMPLE-CMP-006.SAMPLE-O-008&amp;utm_source=office-pantry&amp;utm_medium=post&amp;utm_campaign=sample-cmp-006&amp;utm_content=sample-o-008</v>
      </c>
      <c r="H97" s="30" t="str">
        <f aca="false">IF(OR($A97="",$C97&lt;&gt;"qr"),"",$D97&amp;".png")</f>
        <v/>
      </c>
      <c r="I97" s="30" t="str">
        <f aca="true">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ustomFormat="false" ht="15" hidden="false" customHeight="false" outlineLevel="0" collapsed="false">
      <c r="A98" s="30" t="str">
        <f aca="false">IF(INDEX(approvals!$A$2:$A$251,INT((ROW()-2)/2)+1)="","",INDEX(approvals!$A$2:$A$251,INT((ROW()-2)/2)+1))</f>
        <v>SAMPLE-CMP-006</v>
      </c>
      <c r="B98" s="30" t="str">
        <f aca="false">IF(INDEX(approvals!$A$2:$A$251,INT((ROW()-2)/2)+1)="","",INDEX(approvals!$B$2:$B$251,INT((ROW()-2)/2)+1))</f>
        <v>SAMPLE-O-009</v>
      </c>
      <c r="C98" s="30" t="str">
        <f aca="false">IF($A98="","",IF(MOD(ROW()-2,2)=0,"qr","post"))</f>
        <v>qr</v>
      </c>
      <c r="D98" s="30" t="str">
        <f aca="false">IF($A98="","",IF(LEFT($A98,7)="SAMPLE-","SAMPLE-","")&amp;LOWER(SUBSTITUTE(SUBSTITUTE($A98,"SAMPLE-",""),"CMP-","c"))&amp;"-"&amp;LOWER(SUBSTITUTE(SUBSTITUTE($B98,"SAMPLE-",""),"O-","o"))&amp;"-"&amp;IF($C98="qr","q","p"))</f>
        <v>SAMPLE-c006-o009-q</v>
      </c>
      <c r="E98" s="30" t="str">
        <f aca="false">IF($A98="","","https://"&amp;config!$B$9&amp;"/"&amp;$D98)</f>
        <v>https://go.example.com/SAMPLE-c006-o009-q</v>
      </c>
      <c r="F98" s="30" t="str">
        <f aca="false">IF($A98="","",$A98&amp;"."&amp;$B98)</f>
        <v>SAMPLE-CMP-006.SAMPLE-O-009</v>
      </c>
      <c r="G98" s="30" t="str">
        <f aca="false">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https://docs.google.com/forms/d/e/SAMPLE-CMP-006-FORM/viewform?usp=pp_url&amp;entry.1000001=SAMPLE-CMP-006.SAMPLE-O-009&amp;utm_source=office-pantry&amp;utm_medium=qr&amp;utm_campaign=sample-cmp-006&amp;utm_content=sample-o-009</v>
      </c>
      <c r="H98" s="30" t="str">
        <f aca="false">IF(OR($A98="",$C98&lt;&gt;"qr"),"",$D98&amp;".png")</f>
        <v>SAMPLE-c006-o009-q.png</v>
      </c>
      <c r="I98" s="30" t="str">
        <f aca="true">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ustomFormat="false" ht="15" hidden="false" customHeight="false" outlineLevel="0" collapsed="false">
      <c r="A99" s="30" t="str">
        <f aca="false">IF(INDEX(approvals!$A$2:$A$251,INT((ROW()-2)/2)+1)="","",INDEX(approvals!$A$2:$A$251,INT((ROW()-2)/2)+1))</f>
        <v>SAMPLE-CMP-006</v>
      </c>
      <c r="B99" s="30" t="str">
        <f aca="false">IF(INDEX(approvals!$A$2:$A$251,INT((ROW()-2)/2)+1)="","",INDEX(approvals!$B$2:$B$251,INT((ROW()-2)/2)+1))</f>
        <v>SAMPLE-O-009</v>
      </c>
      <c r="C99" s="30" t="str">
        <f aca="false">IF($A99="","",IF(MOD(ROW()-2,2)=0,"qr","post"))</f>
        <v>post</v>
      </c>
      <c r="D99" s="30" t="str">
        <f aca="false">IF($A99="","",IF(LEFT($A99,7)="SAMPLE-","SAMPLE-","")&amp;LOWER(SUBSTITUTE(SUBSTITUTE($A99,"SAMPLE-",""),"CMP-","c"))&amp;"-"&amp;LOWER(SUBSTITUTE(SUBSTITUTE($B99,"SAMPLE-",""),"O-","o"))&amp;"-"&amp;IF($C99="qr","q","p"))</f>
        <v>SAMPLE-c006-o009-p</v>
      </c>
      <c r="E99" s="30" t="str">
        <f aca="false">IF($A99="","","https://"&amp;config!$B$9&amp;"/"&amp;$D99)</f>
        <v>https://go.example.com/SAMPLE-c006-o009-p</v>
      </c>
      <c r="F99" s="30" t="str">
        <f aca="false">IF($A99="","",$A99&amp;"."&amp;$B99)</f>
        <v>SAMPLE-CMP-006.SAMPLE-O-009</v>
      </c>
      <c r="G99" s="30" t="str">
        <f aca="false">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https://docs.google.com/forms/d/e/SAMPLE-CMP-006-FORM/viewform?usp=pp_url&amp;entry.1000001=SAMPLE-CMP-006.SAMPLE-O-009&amp;utm_source=office-pantry&amp;utm_medium=post&amp;utm_campaign=sample-cmp-006&amp;utm_content=sample-o-009</v>
      </c>
      <c r="H99" s="30" t="str">
        <f aca="false">IF(OR($A99="",$C99&lt;&gt;"qr"),"",$D99&amp;".png")</f>
        <v/>
      </c>
      <c r="I99" s="30" t="str">
        <f aca="true">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ustomFormat="false" ht="15" hidden="false" customHeight="false" outlineLevel="0" collapsed="false">
      <c r="A100" s="30" t="str">
        <f aca="false">IF(INDEX(approvals!$A$2:$A$251,INT((ROW()-2)/2)+1)="","",INDEX(approvals!$A$2:$A$251,INT((ROW()-2)/2)+1))</f>
        <v>SAMPLE-CMP-006</v>
      </c>
      <c r="B100" s="30" t="str">
        <f aca="false">IF(INDEX(approvals!$A$2:$A$251,INT((ROW()-2)/2)+1)="","",INDEX(approvals!$B$2:$B$251,INT((ROW()-2)/2)+1))</f>
        <v>SAMPLE-O-010</v>
      </c>
      <c r="C100" s="30" t="str">
        <f aca="false">IF($A100="","",IF(MOD(ROW()-2,2)=0,"qr","post"))</f>
        <v>qr</v>
      </c>
      <c r="D100" s="30" t="str">
        <f aca="false">IF($A100="","",IF(LEFT($A100,7)="SAMPLE-","SAMPLE-","")&amp;LOWER(SUBSTITUTE(SUBSTITUTE($A100,"SAMPLE-",""),"CMP-","c"))&amp;"-"&amp;LOWER(SUBSTITUTE(SUBSTITUTE($B100,"SAMPLE-",""),"O-","o"))&amp;"-"&amp;IF($C100="qr","q","p"))</f>
        <v>SAMPLE-c006-o010-q</v>
      </c>
      <c r="E100" s="30" t="str">
        <f aca="false">IF($A100="","","https://"&amp;config!$B$9&amp;"/"&amp;$D100)</f>
        <v>https://go.example.com/SAMPLE-c006-o010-q</v>
      </c>
      <c r="F100" s="30" t="str">
        <f aca="false">IF($A100="","",$A100&amp;"."&amp;$B100)</f>
        <v>SAMPLE-CMP-006.SAMPLE-O-010</v>
      </c>
      <c r="G100" s="30" t="str">
        <f aca="false">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https://docs.google.com/forms/d/e/SAMPLE-CMP-006-FORM/viewform?usp=pp_url&amp;entry.1000001=SAMPLE-CMP-006.SAMPLE-O-010&amp;utm_source=office-pantry&amp;utm_medium=qr&amp;utm_campaign=sample-cmp-006&amp;utm_content=sample-o-010</v>
      </c>
      <c r="H100" s="30" t="str">
        <f aca="false">IF(OR($A100="",$C100&lt;&gt;"qr"),"",$D100&amp;".png")</f>
        <v>SAMPLE-c006-o010-q.png</v>
      </c>
      <c r="I100" s="30" t="str">
        <f aca="true">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ustomFormat="false" ht="15" hidden="false" customHeight="false" outlineLevel="0" collapsed="false">
      <c r="A101" s="30" t="str">
        <f aca="false">IF(INDEX(approvals!$A$2:$A$251,INT((ROW()-2)/2)+1)="","",INDEX(approvals!$A$2:$A$251,INT((ROW()-2)/2)+1))</f>
        <v>SAMPLE-CMP-006</v>
      </c>
      <c r="B101" s="30" t="str">
        <f aca="false">IF(INDEX(approvals!$A$2:$A$251,INT((ROW()-2)/2)+1)="","",INDEX(approvals!$B$2:$B$251,INT((ROW()-2)/2)+1))</f>
        <v>SAMPLE-O-010</v>
      </c>
      <c r="C101" s="30" t="str">
        <f aca="false">IF($A101="","",IF(MOD(ROW()-2,2)=0,"qr","post"))</f>
        <v>post</v>
      </c>
      <c r="D101" s="30" t="str">
        <f aca="false">IF($A101="","",IF(LEFT($A101,7)="SAMPLE-","SAMPLE-","")&amp;LOWER(SUBSTITUTE(SUBSTITUTE($A101,"SAMPLE-",""),"CMP-","c"))&amp;"-"&amp;LOWER(SUBSTITUTE(SUBSTITUTE($B101,"SAMPLE-",""),"O-","o"))&amp;"-"&amp;IF($C101="qr","q","p"))</f>
        <v>SAMPLE-c006-o010-p</v>
      </c>
      <c r="E101" s="30" t="str">
        <f aca="false">IF($A101="","","https://"&amp;config!$B$9&amp;"/"&amp;$D101)</f>
        <v>https://go.example.com/SAMPLE-c006-o010-p</v>
      </c>
      <c r="F101" s="30" t="str">
        <f aca="false">IF($A101="","",$A101&amp;"."&amp;$B101)</f>
        <v>SAMPLE-CMP-006.SAMPLE-O-010</v>
      </c>
      <c r="G101" s="30" t="str">
        <f aca="false">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https://docs.google.com/forms/d/e/SAMPLE-CMP-006-FORM/viewform?usp=pp_url&amp;entry.1000001=SAMPLE-CMP-006.SAMPLE-O-010&amp;utm_source=office-pantry&amp;utm_medium=post&amp;utm_campaign=sample-cmp-006&amp;utm_content=sample-o-010</v>
      </c>
      <c r="H101" s="30" t="str">
        <f aca="false">IF(OR($A101="",$C101&lt;&gt;"qr"),"",$D101&amp;".png")</f>
        <v/>
      </c>
      <c r="I101" s="30" t="str">
        <f aca="true">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ustomFormat="false" ht="15" hidden="false" customHeight="false" outlineLevel="0" collapsed="false">
      <c r="A102" s="30" t="str">
        <f aca="false">IF(INDEX(approvals!$A$2:$A$251,INT((ROW()-2)/2)+1)="","",INDEX(approvals!$A$2:$A$251,INT((ROW()-2)/2)+1))</f>
        <v>SAMPLE-CMP-007</v>
      </c>
      <c r="B102" s="30" t="str">
        <f aca="false">IF(INDEX(approvals!$A$2:$A$251,INT((ROW()-2)/2)+1)="","",INDEX(approvals!$B$2:$B$251,INT((ROW()-2)/2)+1))</f>
        <v>SAMPLE-O-001</v>
      </c>
      <c r="C102" s="30" t="str">
        <f aca="false">IF($A102="","",IF(MOD(ROW()-2,2)=0,"qr","post"))</f>
        <v>qr</v>
      </c>
      <c r="D102" s="30" t="str">
        <f aca="false">IF($A102="","",IF(LEFT($A102,7)="SAMPLE-","SAMPLE-","")&amp;LOWER(SUBSTITUTE(SUBSTITUTE($A102,"SAMPLE-",""),"CMP-","c"))&amp;"-"&amp;LOWER(SUBSTITUTE(SUBSTITUTE($B102,"SAMPLE-",""),"O-","o"))&amp;"-"&amp;IF($C102="qr","q","p"))</f>
        <v>SAMPLE-c007-o001-q</v>
      </c>
      <c r="E102" s="30" t="str">
        <f aca="false">IF($A102="","","https://"&amp;config!$B$9&amp;"/"&amp;$D102)</f>
        <v>https://go.example.com/SAMPLE-c007-o001-q</v>
      </c>
      <c r="F102" s="30" t="str">
        <f aca="false">IF($A102="","",$A102&amp;"."&amp;$B102)</f>
        <v>SAMPLE-CMP-007.SAMPLE-O-001</v>
      </c>
      <c r="G102" s="30" t="str">
        <f aca="false">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https://docs.google.com/forms/d/e/SAMPLE-CMP-007-FORM/viewform?usp=pp_url&amp;entry.1000001=SAMPLE-CMP-007.SAMPLE-O-001&amp;utm_source=office-pantry&amp;utm_medium=qr&amp;utm_campaign=sample-cmp-007&amp;utm_content=sample-o-001</v>
      </c>
      <c r="H102" s="30" t="str">
        <f aca="false">IF(OR($A102="",$C102&lt;&gt;"qr"),"",$D102&amp;".png")</f>
        <v>SAMPLE-c007-o001-q.png</v>
      </c>
      <c r="I102" s="30" t="str">
        <f aca="true">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ustomFormat="false" ht="15" hidden="false" customHeight="false" outlineLevel="0" collapsed="false">
      <c r="A103" s="30" t="str">
        <f aca="false">IF(INDEX(approvals!$A$2:$A$251,INT((ROW()-2)/2)+1)="","",INDEX(approvals!$A$2:$A$251,INT((ROW()-2)/2)+1))</f>
        <v>SAMPLE-CMP-007</v>
      </c>
      <c r="B103" s="30" t="str">
        <f aca="false">IF(INDEX(approvals!$A$2:$A$251,INT((ROW()-2)/2)+1)="","",INDEX(approvals!$B$2:$B$251,INT((ROW()-2)/2)+1))</f>
        <v>SAMPLE-O-001</v>
      </c>
      <c r="C103" s="30" t="str">
        <f aca="false">IF($A103="","",IF(MOD(ROW()-2,2)=0,"qr","post"))</f>
        <v>post</v>
      </c>
      <c r="D103" s="30" t="str">
        <f aca="false">IF($A103="","",IF(LEFT($A103,7)="SAMPLE-","SAMPLE-","")&amp;LOWER(SUBSTITUTE(SUBSTITUTE($A103,"SAMPLE-",""),"CMP-","c"))&amp;"-"&amp;LOWER(SUBSTITUTE(SUBSTITUTE($B103,"SAMPLE-",""),"O-","o"))&amp;"-"&amp;IF($C103="qr","q","p"))</f>
        <v>SAMPLE-c007-o001-p</v>
      </c>
      <c r="E103" s="30" t="str">
        <f aca="false">IF($A103="","","https://"&amp;config!$B$9&amp;"/"&amp;$D103)</f>
        <v>https://go.example.com/SAMPLE-c007-o001-p</v>
      </c>
      <c r="F103" s="30" t="str">
        <f aca="false">IF($A103="","",$A103&amp;"."&amp;$B103)</f>
        <v>SAMPLE-CMP-007.SAMPLE-O-001</v>
      </c>
      <c r="G103" s="30" t="str">
        <f aca="false">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https://docs.google.com/forms/d/e/SAMPLE-CMP-007-FORM/viewform?usp=pp_url&amp;entry.1000001=SAMPLE-CMP-007.SAMPLE-O-001&amp;utm_source=office-pantry&amp;utm_medium=post&amp;utm_campaign=sample-cmp-007&amp;utm_content=sample-o-001</v>
      </c>
      <c r="H103" s="30" t="str">
        <f aca="false">IF(OR($A103="",$C103&lt;&gt;"qr"),"",$D103&amp;".png")</f>
        <v/>
      </c>
      <c r="I103" s="30" t="str">
        <f aca="true">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ustomFormat="false" ht="15" hidden="false" customHeight="false" outlineLevel="0" collapsed="false">
      <c r="A104" s="30" t="str">
        <f aca="false">IF(INDEX(approvals!$A$2:$A$251,INT((ROW()-2)/2)+1)="","",INDEX(approvals!$A$2:$A$251,INT((ROW()-2)/2)+1))</f>
        <v>SAMPLE-CMP-007</v>
      </c>
      <c r="B104" s="30" t="str">
        <f aca="false">IF(INDEX(approvals!$A$2:$A$251,INT((ROW()-2)/2)+1)="","",INDEX(approvals!$B$2:$B$251,INT((ROW()-2)/2)+1))</f>
        <v>SAMPLE-O-002</v>
      </c>
      <c r="C104" s="30" t="str">
        <f aca="false">IF($A104="","",IF(MOD(ROW()-2,2)=0,"qr","post"))</f>
        <v>qr</v>
      </c>
      <c r="D104" s="30" t="str">
        <f aca="false">IF($A104="","",IF(LEFT($A104,7)="SAMPLE-","SAMPLE-","")&amp;LOWER(SUBSTITUTE(SUBSTITUTE($A104,"SAMPLE-",""),"CMP-","c"))&amp;"-"&amp;LOWER(SUBSTITUTE(SUBSTITUTE($B104,"SAMPLE-",""),"O-","o"))&amp;"-"&amp;IF($C104="qr","q","p"))</f>
        <v>SAMPLE-c007-o002-q</v>
      </c>
      <c r="E104" s="30" t="str">
        <f aca="false">IF($A104="","","https://"&amp;config!$B$9&amp;"/"&amp;$D104)</f>
        <v>https://go.example.com/SAMPLE-c007-o002-q</v>
      </c>
      <c r="F104" s="30" t="str">
        <f aca="false">IF($A104="","",$A104&amp;"."&amp;$B104)</f>
        <v>SAMPLE-CMP-007.SAMPLE-O-002</v>
      </c>
      <c r="G104" s="30" t="str">
        <f aca="false">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https://docs.google.com/forms/d/e/SAMPLE-CMP-007-FORM/viewform?usp=pp_url&amp;entry.1000001=SAMPLE-CMP-007.SAMPLE-O-002&amp;utm_source=office-pantry&amp;utm_medium=qr&amp;utm_campaign=sample-cmp-007&amp;utm_content=sample-o-002</v>
      </c>
      <c r="H104" s="30" t="str">
        <f aca="false">IF(OR($A104="",$C104&lt;&gt;"qr"),"",$D104&amp;".png")</f>
        <v>SAMPLE-c007-o002-q.png</v>
      </c>
      <c r="I104" s="30" t="str">
        <f aca="true">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ustomFormat="false" ht="15" hidden="false" customHeight="false" outlineLevel="0" collapsed="false">
      <c r="A105" s="30" t="str">
        <f aca="false">IF(INDEX(approvals!$A$2:$A$251,INT((ROW()-2)/2)+1)="","",INDEX(approvals!$A$2:$A$251,INT((ROW()-2)/2)+1))</f>
        <v>SAMPLE-CMP-007</v>
      </c>
      <c r="B105" s="30" t="str">
        <f aca="false">IF(INDEX(approvals!$A$2:$A$251,INT((ROW()-2)/2)+1)="","",INDEX(approvals!$B$2:$B$251,INT((ROW()-2)/2)+1))</f>
        <v>SAMPLE-O-002</v>
      </c>
      <c r="C105" s="30" t="str">
        <f aca="false">IF($A105="","",IF(MOD(ROW()-2,2)=0,"qr","post"))</f>
        <v>post</v>
      </c>
      <c r="D105" s="30" t="str">
        <f aca="false">IF($A105="","",IF(LEFT($A105,7)="SAMPLE-","SAMPLE-","")&amp;LOWER(SUBSTITUTE(SUBSTITUTE($A105,"SAMPLE-",""),"CMP-","c"))&amp;"-"&amp;LOWER(SUBSTITUTE(SUBSTITUTE($B105,"SAMPLE-",""),"O-","o"))&amp;"-"&amp;IF($C105="qr","q","p"))</f>
        <v>SAMPLE-c007-o002-p</v>
      </c>
      <c r="E105" s="30" t="str">
        <f aca="false">IF($A105="","","https://"&amp;config!$B$9&amp;"/"&amp;$D105)</f>
        <v>https://go.example.com/SAMPLE-c007-o002-p</v>
      </c>
      <c r="F105" s="30" t="str">
        <f aca="false">IF($A105="","",$A105&amp;"."&amp;$B105)</f>
        <v>SAMPLE-CMP-007.SAMPLE-O-002</v>
      </c>
      <c r="G105" s="30" t="str">
        <f aca="false">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https://docs.google.com/forms/d/e/SAMPLE-CMP-007-FORM/viewform?usp=pp_url&amp;entry.1000001=SAMPLE-CMP-007.SAMPLE-O-002&amp;utm_source=office-pantry&amp;utm_medium=post&amp;utm_campaign=sample-cmp-007&amp;utm_content=sample-o-002</v>
      </c>
      <c r="H105" s="30" t="str">
        <f aca="false">IF(OR($A105="",$C105&lt;&gt;"qr"),"",$D105&amp;".png")</f>
        <v/>
      </c>
      <c r="I105" s="30" t="str">
        <f aca="true">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ustomFormat="false" ht="15" hidden="false" customHeight="false" outlineLevel="0" collapsed="false">
      <c r="A106" s="30" t="str">
        <f aca="false">IF(INDEX(approvals!$A$2:$A$251,INT((ROW()-2)/2)+1)="","",INDEX(approvals!$A$2:$A$251,INT((ROW()-2)/2)+1))</f>
        <v>SAMPLE-CMP-007</v>
      </c>
      <c r="B106" s="30" t="str">
        <f aca="false">IF(INDEX(approvals!$A$2:$A$251,INT((ROW()-2)/2)+1)="","",INDEX(approvals!$B$2:$B$251,INT((ROW()-2)/2)+1))</f>
        <v>SAMPLE-O-003</v>
      </c>
      <c r="C106" s="30" t="str">
        <f aca="false">IF($A106="","",IF(MOD(ROW()-2,2)=0,"qr","post"))</f>
        <v>qr</v>
      </c>
      <c r="D106" s="30" t="str">
        <f aca="false">IF($A106="","",IF(LEFT($A106,7)="SAMPLE-","SAMPLE-","")&amp;LOWER(SUBSTITUTE(SUBSTITUTE($A106,"SAMPLE-",""),"CMP-","c"))&amp;"-"&amp;LOWER(SUBSTITUTE(SUBSTITUTE($B106,"SAMPLE-",""),"O-","o"))&amp;"-"&amp;IF($C106="qr","q","p"))</f>
        <v>SAMPLE-c007-o003-q</v>
      </c>
      <c r="E106" s="30" t="str">
        <f aca="false">IF($A106="","","https://"&amp;config!$B$9&amp;"/"&amp;$D106)</f>
        <v>https://go.example.com/SAMPLE-c007-o003-q</v>
      </c>
      <c r="F106" s="30" t="str">
        <f aca="false">IF($A106="","",$A106&amp;"."&amp;$B106)</f>
        <v>SAMPLE-CMP-007.SAMPLE-O-003</v>
      </c>
      <c r="G106" s="30" t="str">
        <f aca="false">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https://docs.google.com/forms/d/e/SAMPLE-CMP-007-FORM/viewform?usp=pp_url&amp;entry.1000001=SAMPLE-CMP-007.SAMPLE-O-003&amp;utm_source=office-pantry&amp;utm_medium=qr&amp;utm_campaign=sample-cmp-007&amp;utm_content=sample-o-003</v>
      </c>
      <c r="H106" s="30" t="str">
        <f aca="false">IF(OR($A106="",$C106&lt;&gt;"qr"),"",$D106&amp;".png")</f>
        <v>SAMPLE-c007-o003-q.png</v>
      </c>
      <c r="I106" s="30" t="str">
        <f aca="true">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ustomFormat="false" ht="15" hidden="false" customHeight="false" outlineLevel="0" collapsed="false">
      <c r="A107" s="30" t="str">
        <f aca="false">IF(INDEX(approvals!$A$2:$A$251,INT((ROW()-2)/2)+1)="","",INDEX(approvals!$A$2:$A$251,INT((ROW()-2)/2)+1))</f>
        <v>SAMPLE-CMP-007</v>
      </c>
      <c r="B107" s="30" t="str">
        <f aca="false">IF(INDEX(approvals!$A$2:$A$251,INT((ROW()-2)/2)+1)="","",INDEX(approvals!$B$2:$B$251,INT((ROW()-2)/2)+1))</f>
        <v>SAMPLE-O-003</v>
      </c>
      <c r="C107" s="30" t="str">
        <f aca="false">IF($A107="","",IF(MOD(ROW()-2,2)=0,"qr","post"))</f>
        <v>post</v>
      </c>
      <c r="D107" s="30" t="str">
        <f aca="false">IF($A107="","",IF(LEFT($A107,7)="SAMPLE-","SAMPLE-","")&amp;LOWER(SUBSTITUTE(SUBSTITUTE($A107,"SAMPLE-",""),"CMP-","c"))&amp;"-"&amp;LOWER(SUBSTITUTE(SUBSTITUTE($B107,"SAMPLE-",""),"O-","o"))&amp;"-"&amp;IF($C107="qr","q","p"))</f>
        <v>SAMPLE-c007-o003-p</v>
      </c>
      <c r="E107" s="30" t="str">
        <f aca="false">IF($A107="","","https://"&amp;config!$B$9&amp;"/"&amp;$D107)</f>
        <v>https://go.example.com/SAMPLE-c007-o003-p</v>
      </c>
      <c r="F107" s="30" t="str">
        <f aca="false">IF($A107="","",$A107&amp;"."&amp;$B107)</f>
        <v>SAMPLE-CMP-007.SAMPLE-O-003</v>
      </c>
      <c r="G107" s="30" t="str">
        <f aca="false">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https://docs.google.com/forms/d/e/SAMPLE-CMP-007-FORM/viewform?usp=pp_url&amp;entry.1000001=SAMPLE-CMP-007.SAMPLE-O-003&amp;utm_source=office-pantry&amp;utm_medium=post&amp;utm_campaign=sample-cmp-007&amp;utm_content=sample-o-003</v>
      </c>
      <c r="H107" s="30" t="str">
        <f aca="false">IF(OR($A107="",$C107&lt;&gt;"qr"),"",$D107&amp;".png")</f>
        <v/>
      </c>
      <c r="I107" s="30" t="str">
        <f aca="true">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ustomFormat="false" ht="15" hidden="false" customHeight="false" outlineLevel="0" collapsed="false">
      <c r="A108" s="30" t="str">
        <f aca="false">IF(INDEX(approvals!$A$2:$A$251,INT((ROW()-2)/2)+1)="","",INDEX(approvals!$A$2:$A$251,INT((ROW()-2)/2)+1))</f>
        <v>SAMPLE-CMP-007</v>
      </c>
      <c r="B108" s="30" t="str">
        <f aca="false">IF(INDEX(approvals!$A$2:$A$251,INT((ROW()-2)/2)+1)="","",INDEX(approvals!$B$2:$B$251,INT((ROW()-2)/2)+1))</f>
        <v>SAMPLE-O-004</v>
      </c>
      <c r="C108" s="30" t="str">
        <f aca="false">IF($A108="","",IF(MOD(ROW()-2,2)=0,"qr","post"))</f>
        <v>qr</v>
      </c>
      <c r="D108" s="30" t="str">
        <f aca="false">IF($A108="","",IF(LEFT($A108,7)="SAMPLE-","SAMPLE-","")&amp;LOWER(SUBSTITUTE(SUBSTITUTE($A108,"SAMPLE-",""),"CMP-","c"))&amp;"-"&amp;LOWER(SUBSTITUTE(SUBSTITUTE($B108,"SAMPLE-",""),"O-","o"))&amp;"-"&amp;IF($C108="qr","q","p"))</f>
        <v>SAMPLE-c007-o004-q</v>
      </c>
      <c r="E108" s="30" t="str">
        <f aca="false">IF($A108="","","https://"&amp;config!$B$9&amp;"/"&amp;$D108)</f>
        <v>https://go.example.com/SAMPLE-c007-o004-q</v>
      </c>
      <c r="F108" s="30" t="str">
        <f aca="false">IF($A108="","",$A108&amp;"."&amp;$B108)</f>
        <v>SAMPLE-CMP-007.SAMPLE-O-004</v>
      </c>
      <c r="G108" s="30" t="str">
        <f aca="false">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https://docs.google.com/forms/d/e/SAMPLE-CMP-007-FORM/viewform?usp=pp_url&amp;entry.1000001=SAMPLE-CMP-007.SAMPLE-O-004&amp;utm_source=office-pantry&amp;utm_medium=qr&amp;utm_campaign=sample-cmp-007&amp;utm_content=sample-o-004</v>
      </c>
      <c r="H108" s="30" t="str">
        <f aca="false">IF(OR($A108="",$C108&lt;&gt;"qr"),"",$D108&amp;".png")</f>
        <v>SAMPLE-c007-o004-q.png</v>
      </c>
      <c r="I108" s="30" t="str">
        <f aca="true">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ustomFormat="false" ht="15" hidden="false" customHeight="false" outlineLevel="0" collapsed="false">
      <c r="A109" s="30" t="str">
        <f aca="false">IF(INDEX(approvals!$A$2:$A$251,INT((ROW()-2)/2)+1)="","",INDEX(approvals!$A$2:$A$251,INT((ROW()-2)/2)+1))</f>
        <v>SAMPLE-CMP-007</v>
      </c>
      <c r="B109" s="30" t="str">
        <f aca="false">IF(INDEX(approvals!$A$2:$A$251,INT((ROW()-2)/2)+1)="","",INDEX(approvals!$B$2:$B$251,INT((ROW()-2)/2)+1))</f>
        <v>SAMPLE-O-004</v>
      </c>
      <c r="C109" s="30" t="str">
        <f aca="false">IF($A109="","",IF(MOD(ROW()-2,2)=0,"qr","post"))</f>
        <v>post</v>
      </c>
      <c r="D109" s="30" t="str">
        <f aca="false">IF($A109="","",IF(LEFT($A109,7)="SAMPLE-","SAMPLE-","")&amp;LOWER(SUBSTITUTE(SUBSTITUTE($A109,"SAMPLE-",""),"CMP-","c"))&amp;"-"&amp;LOWER(SUBSTITUTE(SUBSTITUTE($B109,"SAMPLE-",""),"O-","o"))&amp;"-"&amp;IF($C109="qr","q","p"))</f>
        <v>SAMPLE-c007-o004-p</v>
      </c>
      <c r="E109" s="30" t="str">
        <f aca="false">IF($A109="","","https://"&amp;config!$B$9&amp;"/"&amp;$D109)</f>
        <v>https://go.example.com/SAMPLE-c007-o004-p</v>
      </c>
      <c r="F109" s="30" t="str">
        <f aca="false">IF($A109="","",$A109&amp;"."&amp;$B109)</f>
        <v>SAMPLE-CMP-007.SAMPLE-O-004</v>
      </c>
      <c r="G109" s="30" t="str">
        <f aca="false">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https://docs.google.com/forms/d/e/SAMPLE-CMP-007-FORM/viewform?usp=pp_url&amp;entry.1000001=SAMPLE-CMP-007.SAMPLE-O-004&amp;utm_source=office-pantry&amp;utm_medium=post&amp;utm_campaign=sample-cmp-007&amp;utm_content=sample-o-004</v>
      </c>
      <c r="H109" s="30" t="str">
        <f aca="false">IF(OR($A109="",$C109&lt;&gt;"qr"),"",$D109&amp;".png")</f>
        <v/>
      </c>
      <c r="I109" s="30" t="str">
        <f aca="true">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ustomFormat="false" ht="15" hidden="false" customHeight="false" outlineLevel="0" collapsed="false">
      <c r="A110" s="30" t="str">
        <f aca="false">IF(INDEX(approvals!$A$2:$A$251,INT((ROW()-2)/2)+1)="","",INDEX(approvals!$A$2:$A$251,INT((ROW()-2)/2)+1))</f>
        <v>SAMPLE-CMP-007</v>
      </c>
      <c r="B110" s="30" t="str">
        <f aca="false">IF(INDEX(approvals!$A$2:$A$251,INT((ROW()-2)/2)+1)="","",INDEX(approvals!$B$2:$B$251,INT((ROW()-2)/2)+1))</f>
        <v>SAMPLE-O-005</v>
      </c>
      <c r="C110" s="30" t="str">
        <f aca="false">IF($A110="","",IF(MOD(ROW()-2,2)=0,"qr","post"))</f>
        <v>qr</v>
      </c>
      <c r="D110" s="30" t="str">
        <f aca="false">IF($A110="","",IF(LEFT($A110,7)="SAMPLE-","SAMPLE-","")&amp;LOWER(SUBSTITUTE(SUBSTITUTE($A110,"SAMPLE-",""),"CMP-","c"))&amp;"-"&amp;LOWER(SUBSTITUTE(SUBSTITUTE($B110,"SAMPLE-",""),"O-","o"))&amp;"-"&amp;IF($C110="qr","q","p"))</f>
        <v>SAMPLE-c007-o005-q</v>
      </c>
      <c r="E110" s="30" t="str">
        <f aca="false">IF($A110="","","https://"&amp;config!$B$9&amp;"/"&amp;$D110)</f>
        <v>https://go.example.com/SAMPLE-c007-o005-q</v>
      </c>
      <c r="F110" s="30" t="str">
        <f aca="false">IF($A110="","",$A110&amp;"."&amp;$B110)</f>
        <v>SAMPLE-CMP-007.SAMPLE-O-005</v>
      </c>
      <c r="G110" s="30" t="str">
        <f aca="false">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https://docs.google.com/forms/d/e/SAMPLE-CMP-007-FORM/viewform?usp=pp_url&amp;entry.1000001=SAMPLE-CMP-007.SAMPLE-O-005&amp;utm_source=office-pantry&amp;utm_medium=qr&amp;utm_campaign=sample-cmp-007&amp;utm_content=sample-o-005</v>
      </c>
      <c r="H110" s="30" t="str">
        <f aca="false">IF(OR($A110="",$C110&lt;&gt;"qr"),"",$D110&amp;".png")</f>
        <v>SAMPLE-c007-o005-q.png</v>
      </c>
      <c r="I110" s="30" t="str">
        <f aca="true">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ustomFormat="false" ht="15" hidden="false" customHeight="false" outlineLevel="0" collapsed="false">
      <c r="A111" s="30" t="str">
        <f aca="false">IF(INDEX(approvals!$A$2:$A$251,INT((ROW()-2)/2)+1)="","",INDEX(approvals!$A$2:$A$251,INT((ROW()-2)/2)+1))</f>
        <v>SAMPLE-CMP-007</v>
      </c>
      <c r="B111" s="30" t="str">
        <f aca="false">IF(INDEX(approvals!$A$2:$A$251,INT((ROW()-2)/2)+1)="","",INDEX(approvals!$B$2:$B$251,INT((ROW()-2)/2)+1))</f>
        <v>SAMPLE-O-005</v>
      </c>
      <c r="C111" s="30" t="str">
        <f aca="false">IF($A111="","",IF(MOD(ROW()-2,2)=0,"qr","post"))</f>
        <v>post</v>
      </c>
      <c r="D111" s="30" t="str">
        <f aca="false">IF($A111="","",IF(LEFT($A111,7)="SAMPLE-","SAMPLE-","")&amp;LOWER(SUBSTITUTE(SUBSTITUTE($A111,"SAMPLE-",""),"CMP-","c"))&amp;"-"&amp;LOWER(SUBSTITUTE(SUBSTITUTE($B111,"SAMPLE-",""),"O-","o"))&amp;"-"&amp;IF($C111="qr","q","p"))</f>
        <v>SAMPLE-c007-o005-p</v>
      </c>
      <c r="E111" s="30" t="str">
        <f aca="false">IF($A111="","","https://"&amp;config!$B$9&amp;"/"&amp;$D111)</f>
        <v>https://go.example.com/SAMPLE-c007-o005-p</v>
      </c>
      <c r="F111" s="30" t="str">
        <f aca="false">IF($A111="","",$A111&amp;"."&amp;$B111)</f>
        <v>SAMPLE-CMP-007.SAMPLE-O-005</v>
      </c>
      <c r="G111" s="30" t="str">
        <f aca="false">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https://docs.google.com/forms/d/e/SAMPLE-CMP-007-FORM/viewform?usp=pp_url&amp;entry.1000001=SAMPLE-CMP-007.SAMPLE-O-005&amp;utm_source=office-pantry&amp;utm_medium=post&amp;utm_campaign=sample-cmp-007&amp;utm_content=sample-o-005</v>
      </c>
      <c r="H111" s="30" t="str">
        <f aca="false">IF(OR($A111="",$C111&lt;&gt;"qr"),"",$D111&amp;".png")</f>
        <v/>
      </c>
      <c r="I111" s="30" t="str">
        <f aca="true">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ustomFormat="false" ht="15" hidden="false" customHeight="false" outlineLevel="0" collapsed="false">
      <c r="A112" s="30" t="str">
        <f aca="false">IF(INDEX(approvals!$A$2:$A$251,INT((ROW()-2)/2)+1)="","",INDEX(approvals!$A$2:$A$251,INT((ROW()-2)/2)+1))</f>
        <v>SAMPLE-CMP-007</v>
      </c>
      <c r="B112" s="30" t="str">
        <f aca="false">IF(INDEX(approvals!$A$2:$A$251,INT((ROW()-2)/2)+1)="","",INDEX(approvals!$B$2:$B$251,INT((ROW()-2)/2)+1))</f>
        <v>SAMPLE-O-006</v>
      </c>
      <c r="C112" s="30" t="str">
        <f aca="false">IF($A112="","",IF(MOD(ROW()-2,2)=0,"qr","post"))</f>
        <v>qr</v>
      </c>
      <c r="D112" s="30" t="str">
        <f aca="false">IF($A112="","",IF(LEFT($A112,7)="SAMPLE-","SAMPLE-","")&amp;LOWER(SUBSTITUTE(SUBSTITUTE($A112,"SAMPLE-",""),"CMP-","c"))&amp;"-"&amp;LOWER(SUBSTITUTE(SUBSTITUTE($B112,"SAMPLE-",""),"O-","o"))&amp;"-"&amp;IF($C112="qr","q","p"))</f>
        <v>SAMPLE-c007-o006-q</v>
      </c>
      <c r="E112" s="30" t="str">
        <f aca="false">IF($A112="","","https://"&amp;config!$B$9&amp;"/"&amp;$D112)</f>
        <v>https://go.example.com/SAMPLE-c007-o006-q</v>
      </c>
      <c r="F112" s="30" t="str">
        <f aca="false">IF($A112="","",$A112&amp;"."&amp;$B112)</f>
        <v>SAMPLE-CMP-007.SAMPLE-O-006</v>
      </c>
      <c r="G112" s="30" t="str">
        <f aca="false">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https://docs.google.com/forms/d/e/SAMPLE-CMP-007-FORM/viewform?usp=pp_url&amp;entry.1000001=SAMPLE-CMP-007.SAMPLE-O-006&amp;utm_source=office-pantry&amp;utm_medium=qr&amp;utm_campaign=sample-cmp-007&amp;utm_content=sample-o-006</v>
      </c>
      <c r="H112" s="30" t="str">
        <f aca="false">IF(OR($A112="",$C112&lt;&gt;"qr"),"",$D112&amp;".png")</f>
        <v>SAMPLE-c007-o006-q.png</v>
      </c>
      <c r="I112" s="30" t="str">
        <f aca="true">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ustomFormat="false" ht="15" hidden="false" customHeight="false" outlineLevel="0" collapsed="false">
      <c r="A113" s="30" t="str">
        <f aca="false">IF(INDEX(approvals!$A$2:$A$251,INT((ROW()-2)/2)+1)="","",INDEX(approvals!$A$2:$A$251,INT((ROW()-2)/2)+1))</f>
        <v>SAMPLE-CMP-007</v>
      </c>
      <c r="B113" s="30" t="str">
        <f aca="false">IF(INDEX(approvals!$A$2:$A$251,INT((ROW()-2)/2)+1)="","",INDEX(approvals!$B$2:$B$251,INT((ROW()-2)/2)+1))</f>
        <v>SAMPLE-O-006</v>
      </c>
      <c r="C113" s="30" t="str">
        <f aca="false">IF($A113="","",IF(MOD(ROW()-2,2)=0,"qr","post"))</f>
        <v>post</v>
      </c>
      <c r="D113" s="30" t="str">
        <f aca="false">IF($A113="","",IF(LEFT($A113,7)="SAMPLE-","SAMPLE-","")&amp;LOWER(SUBSTITUTE(SUBSTITUTE($A113,"SAMPLE-",""),"CMP-","c"))&amp;"-"&amp;LOWER(SUBSTITUTE(SUBSTITUTE($B113,"SAMPLE-",""),"O-","o"))&amp;"-"&amp;IF($C113="qr","q","p"))</f>
        <v>SAMPLE-c007-o006-p</v>
      </c>
      <c r="E113" s="30" t="str">
        <f aca="false">IF($A113="","","https://"&amp;config!$B$9&amp;"/"&amp;$D113)</f>
        <v>https://go.example.com/SAMPLE-c007-o006-p</v>
      </c>
      <c r="F113" s="30" t="str">
        <f aca="false">IF($A113="","",$A113&amp;"."&amp;$B113)</f>
        <v>SAMPLE-CMP-007.SAMPLE-O-006</v>
      </c>
      <c r="G113" s="30" t="str">
        <f aca="false">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https://docs.google.com/forms/d/e/SAMPLE-CMP-007-FORM/viewform?usp=pp_url&amp;entry.1000001=SAMPLE-CMP-007.SAMPLE-O-006&amp;utm_source=office-pantry&amp;utm_medium=post&amp;utm_campaign=sample-cmp-007&amp;utm_content=sample-o-006</v>
      </c>
      <c r="H113" s="30" t="str">
        <f aca="false">IF(OR($A113="",$C113&lt;&gt;"qr"),"",$D113&amp;".png")</f>
        <v/>
      </c>
      <c r="I113" s="30" t="str">
        <f aca="true">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ustomFormat="false" ht="15" hidden="false" customHeight="false" outlineLevel="0" collapsed="false">
      <c r="A114" s="30" t="str">
        <f aca="false">IF(INDEX(approvals!$A$2:$A$251,INT((ROW()-2)/2)+1)="","",INDEX(approvals!$A$2:$A$251,INT((ROW()-2)/2)+1))</f>
        <v>SAMPLE-CMP-007</v>
      </c>
      <c r="B114" s="30" t="str">
        <f aca="false">IF(INDEX(approvals!$A$2:$A$251,INT((ROW()-2)/2)+1)="","",INDEX(approvals!$B$2:$B$251,INT((ROW()-2)/2)+1))</f>
        <v>SAMPLE-O-007</v>
      </c>
      <c r="C114" s="30" t="str">
        <f aca="false">IF($A114="","",IF(MOD(ROW()-2,2)=0,"qr","post"))</f>
        <v>qr</v>
      </c>
      <c r="D114" s="30" t="str">
        <f aca="false">IF($A114="","",IF(LEFT($A114,7)="SAMPLE-","SAMPLE-","")&amp;LOWER(SUBSTITUTE(SUBSTITUTE($A114,"SAMPLE-",""),"CMP-","c"))&amp;"-"&amp;LOWER(SUBSTITUTE(SUBSTITUTE($B114,"SAMPLE-",""),"O-","o"))&amp;"-"&amp;IF($C114="qr","q","p"))</f>
        <v>SAMPLE-c007-o007-q</v>
      </c>
      <c r="E114" s="30" t="str">
        <f aca="false">IF($A114="","","https://"&amp;config!$B$9&amp;"/"&amp;$D114)</f>
        <v>https://go.example.com/SAMPLE-c007-o007-q</v>
      </c>
      <c r="F114" s="30" t="str">
        <f aca="false">IF($A114="","",$A114&amp;"."&amp;$B114)</f>
        <v>SAMPLE-CMP-007.SAMPLE-O-007</v>
      </c>
      <c r="G114" s="30" t="str">
        <f aca="false">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https://docs.google.com/forms/d/e/SAMPLE-CMP-007-FORM/viewform?usp=pp_url&amp;entry.1000001=SAMPLE-CMP-007.SAMPLE-O-007&amp;utm_source=office-pantry&amp;utm_medium=qr&amp;utm_campaign=sample-cmp-007&amp;utm_content=sample-o-007</v>
      </c>
      <c r="H114" s="30" t="str">
        <f aca="false">IF(OR($A114="",$C114&lt;&gt;"qr"),"",$D114&amp;".png")</f>
        <v>SAMPLE-c007-o007-q.png</v>
      </c>
      <c r="I114" s="30" t="str">
        <f aca="true">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ustomFormat="false" ht="15" hidden="false" customHeight="false" outlineLevel="0" collapsed="false">
      <c r="A115" s="30" t="str">
        <f aca="false">IF(INDEX(approvals!$A$2:$A$251,INT((ROW()-2)/2)+1)="","",INDEX(approvals!$A$2:$A$251,INT((ROW()-2)/2)+1))</f>
        <v>SAMPLE-CMP-007</v>
      </c>
      <c r="B115" s="30" t="str">
        <f aca="false">IF(INDEX(approvals!$A$2:$A$251,INT((ROW()-2)/2)+1)="","",INDEX(approvals!$B$2:$B$251,INT((ROW()-2)/2)+1))</f>
        <v>SAMPLE-O-007</v>
      </c>
      <c r="C115" s="30" t="str">
        <f aca="false">IF($A115="","",IF(MOD(ROW()-2,2)=0,"qr","post"))</f>
        <v>post</v>
      </c>
      <c r="D115" s="30" t="str">
        <f aca="false">IF($A115="","",IF(LEFT($A115,7)="SAMPLE-","SAMPLE-","")&amp;LOWER(SUBSTITUTE(SUBSTITUTE($A115,"SAMPLE-",""),"CMP-","c"))&amp;"-"&amp;LOWER(SUBSTITUTE(SUBSTITUTE($B115,"SAMPLE-",""),"O-","o"))&amp;"-"&amp;IF($C115="qr","q","p"))</f>
        <v>SAMPLE-c007-o007-p</v>
      </c>
      <c r="E115" s="30" t="str">
        <f aca="false">IF($A115="","","https://"&amp;config!$B$9&amp;"/"&amp;$D115)</f>
        <v>https://go.example.com/SAMPLE-c007-o007-p</v>
      </c>
      <c r="F115" s="30" t="str">
        <f aca="false">IF($A115="","",$A115&amp;"."&amp;$B115)</f>
        <v>SAMPLE-CMP-007.SAMPLE-O-007</v>
      </c>
      <c r="G115" s="30" t="str">
        <f aca="false">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https://docs.google.com/forms/d/e/SAMPLE-CMP-007-FORM/viewform?usp=pp_url&amp;entry.1000001=SAMPLE-CMP-007.SAMPLE-O-007&amp;utm_source=office-pantry&amp;utm_medium=post&amp;utm_campaign=sample-cmp-007&amp;utm_content=sample-o-007</v>
      </c>
      <c r="H115" s="30" t="str">
        <f aca="false">IF(OR($A115="",$C115&lt;&gt;"qr"),"",$D115&amp;".png")</f>
        <v/>
      </c>
      <c r="I115" s="30" t="str">
        <f aca="true">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ustomFormat="false" ht="15" hidden="false" customHeight="false" outlineLevel="0" collapsed="false">
      <c r="A116" s="30" t="str">
        <f aca="false">IF(INDEX(approvals!$A$2:$A$251,INT((ROW()-2)/2)+1)="","",INDEX(approvals!$A$2:$A$251,INT((ROW()-2)/2)+1))</f>
        <v>SAMPLE-CMP-007</v>
      </c>
      <c r="B116" s="30" t="str">
        <f aca="false">IF(INDEX(approvals!$A$2:$A$251,INT((ROW()-2)/2)+1)="","",INDEX(approvals!$B$2:$B$251,INT((ROW()-2)/2)+1))</f>
        <v>SAMPLE-O-008</v>
      </c>
      <c r="C116" s="30" t="str">
        <f aca="false">IF($A116="","",IF(MOD(ROW()-2,2)=0,"qr","post"))</f>
        <v>qr</v>
      </c>
      <c r="D116" s="30" t="str">
        <f aca="false">IF($A116="","",IF(LEFT($A116,7)="SAMPLE-","SAMPLE-","")&amp;LOWER(SUBSTITUTE(SUBSTITUTE($A116,"SAMPLE-",""),"CMP-","c"))&amp;"-"&amp;LOWER(SUBSTITUTE(SUBSTITUTE($B116,"SAMPLE-",""),"O-","o"))&amp;"-"&amp;IF($C116="qr","q","p"))</f>
        <v>SAMPLE-c007-o008-q</v>
      </c>
      <c r="E116" s="30" t="str">
        <f aca="false">IF($A116="","","https://"&amp;config!$B$9&amp;"/"&amp;$D116)</f>
        <v>https://go.example.com/SAMPLE-c007-o008-q</v>
      </c>
      <c r="F116" s="30" t="str">
        <f aca="false">IF($A116="","",$A116&amp;"."&amp;$B116)</f>
        <v>SAMPLE-CMP-007.SAMPLE-O-008</v>
      </c>
      <c r="G116" s="30" t="str">
        <f aca="false">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https://docs.google.com/forms/d/e/SAMPLE-CMP-007-FORM/viewform?usp=pp_url&amp;entry.1000001=SAMPLE-CMP-007.SAMPLE-O-008&amp;utm_source=office-pantry&amp;utm_medium=qr&amp;utm_campaign=sample-cmp-007&amp;utm_content=sample-o-008</v>
      </c>
      <c r="H116" s="30" t="str">
        <f aca="false">IF(OR($A116="",$C116&lt;&gt;"qr"),"",$D116&amp;".png")</f>
        <v>SAMPLE-c007-o008-q.png</v>
      </c>
      <c r="I116" s="30" t="str">
        <f aca="true">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ustomFormat="false" ht="15" hidden="false" customHeight="false" outlineLevel="0" collapsed="false">
      <c r="A117" s="30" t="str">
        <f aca="false">IF(INDEX(approvals!$A$2:$A$251,INT((ROW()-2)/2)+1)="","",INDEX(approvals!$A$2:$A$251,INT((ROW()-2)/2)+1))</f>
        <v>SAMPLE-CMP-007</v>
      </c>
      <c r="B117" s="30" t="str">
        <f aca="false">IF(INDEX(approvals!$A$2:$A$251,INT((ROW()-2)/2)+1)="","",INDEX(approvals!$B$2:$B$251,INT((ROW()-2)/2)+1))</f>
        <v>SAMPLE-O-008</v>
      </c>
      <c r="C117" s="30" t="str">
        <f aca="false">IF($A117="","",IF(MOD(ROW()-2,2)=0,"qr","post"))</f>
        <v>post</v>
      </c>
      <c r="D117" s="30" t="str">
        <f aca="false">IF($A117="","",IF(LEFT($A117,7)="SAMPLE-","SAMPLE-","")&amp;LOWER(SUBSTITUTE(SUBSTITUTE($A117,"SAMPLE-",""),"CMP-","c"))&amp;"-"&amp;LOWER(SUBSTITUTE(SUBSTITUTE($B117,"SAMPLE-",""),"O-","o"))&amp;"-"&amp;IF($C117="qr","q","p"))</f>
        <v>SAMPLE-c007-o008-p</v>
      </c>
      <c r="E117" s="30" t="str">
        <f aca="false">IF($A117="","","https://"&amp;config!$B$9&amp;"/"&amp;$D117)</f>
        <v>https://go.example.com/SAMPLE-c007-o008-p</v>
      </c>
      <c r="F117" s="30" t="str">
        <f aca="false">IF($A117="","",$A117&amp;"."&amp;$B117)</f>
        <v>SAMPLE-CMP-007.SAMPLE-O-008</v>
      </c>
      <c r="G117" s="30" t="str">
        <f aca="false">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https://docs.google.com/forms/d/e/SAMPLE-CMP-007-FORM/viewform?usp=pp_url&amp;entry.1000001=SAMPLE-CMP-007.SAMPLE-O-008&amp;utm_source=office-pantry&amp;utm_medium=post&amp;utm_campaign=sample-cmp-007&amp;utm_content=sample-o-008</v>
      </c>
      <c r="H117" s="30" t="str">
        <f aca="false">IF(OR($A117="",$C117&lt;&gt;"qr"),"",$D117&amp;".png")</f>
        <v/>
      </c>
      <c r="I117" s="30" t="str">
        <f aca="true">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ustomFormat="false" ht="15" hidden="false" customHeight="false" outlineLevel="0" collapsed="false">
      <c r="A118" s="30" t="str">
        <f aca="false">IF(INDEX(approvals!$A$2:$A$251,INT((ROW()-2)/2)+1)="","",INDEX(approvals!$A$2:$A$251,INT((ROW()-2)/2)+1))</f>
        <v>SAMPLE-CMP-007</v>
      </c>
      <c r="B118" s="30" t="str">
        <f aca="false">IF(INDEX(approvals!$A$2:$A$251,INT((ROW()-2)/2)+1)="","",INDEX(approvals!$B$2:$B$251,INT((ROW()-2)/2)+1))</f>
        <v>SAMPLE-O-009</v>
      </c>
      <c r="C118" s="30" t="str">
        <f aca="false">IF($A118="","",IF(MOD(ROW()-2,2)=0,"qr","post"))</f>
        <v>qr</v>
      </c>
      <c r="D118" s="30" t="str">
        <f aca="false">IF($A118="","",IF(LEFT($A118,7)="SAMPLE-","SAMPLE-","")&amp;LOWER(SUBSTITUTE(SUBSTITUTE($A118,"SAMPLE-",""),"CMP-","c"))&amp;"-"&amp;LOWER(SUBSTITUTE(SUBSTITUTE($B118,"SAMPLE-",""),"O-","o"))&amp;"-"&amp;IF($C118="qr","q","p"))</f>
        <v>SAMPLE-c007-o009-q</v>
      </c>
      <c r="E118" s="30" t="str">
        <f aca="false">IF($A118="","","https://"&amp;config!$B$9&amp;"/"&amp;$D118)</f>
        <v>https://go.example.com/SAMPLE-c007-o009-q</v>
      </c>
      <c r="F118" s="30" t="str">
        <f aca="false">IF($A118="","",$A118&amp;"."&amp;$B118)</f>
        <v>SAMPLE-CMP-007.SAMPLE-O-009</v>
      </c>
      <c r="G118" s="30" t="str">
        <f aca="false">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https://docs.google.com/forms/d/e/SAMPLE-CMP-007-FORM/viewform?usp=pp_url&amp;entry.1000001=SAMPLE-CMP-007.SAMPLE-O-009&amp;utm_source=office-pantry&amp;utm_medium=qr&amp;utm_campaign=sample-cmp-007&amp;utm_content=sample-o-009</v>
      </c>
      <c r="H118" s="30" t="str">
        <f aca="false">IF(OR($A118="",$C118&lt;&gt;"qr"),"",$D118&amp;".png")</f>
        <v>SAMPLE-c007-o009-q.png</v>
      </c>
      <c r="I118" s="30" t="str">
        <f aca="true">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ustomFormat="false" ht="15" hidden="false" customHeight="false" outlineLevel="0" collapsed="false">
      <c r="A119" s="30" t="str">
        <f aca="false">IF(INDEX(approvals!$A$2:$A$251,INT((ROW()-2)/2)+1)="","",INDEX(approvals!$A$2:$A$251,INT((ROW()-2)/2)+1))</f>
        <v>SAMPLE-CMP-007</v>
      </c>
      <c r="B119" s="30" t="str">
        <f aca="false">IF(INDEX(approvals!$A$2:$A$251,INT((ROW()-2)/2)+1)="","",INDEX(approvals!$B$2:$B$251,INT((ROW()-2)/2)+1))</f>
        <v>SAMPLE-O-009</v>
      </c>
      <c r="C119" s="30" t="str">
        <f aca="false">IF($A119="","",IF(MOD(ROW()-2,2)=0,"qr","post"))</f>
        <v>post</v>
      </c>
      <c r="D119" s="30" t="str">
        <f aca="false">IF($A119="","",IF(LEFT($A119,7)="SAMPLE-","SAMPLE-","")&amp;LOWER(SUBSTITUTE(SUBSTITUTE($A119,"SAMPLE-",""),"CMP-","c"))&amp;"-"&amp;LOWER(SUBSTITUTE(SUBSTITUTE($B119,"SAMPLE-",""),"O-","o"))&amp;"-"&amp;IF($C119="qr","q","p"))</f>
        <v>SAMPLE-c007-o009-p</v>
      </c>
      <c r="E119" s="30" t="str">
        <f aca="false">IF($A119="","","https://"&amp;config!$B$9&amp;"/"&amp;$D119)</f>
        <v>https://go.example.com/SAMPLE-c007-o009-p</v>
      </c>
      <c r="F119" s="30" t="str">
        <f aca="false">IF($A119="","",$A119&amp;"."&amp;$B119)</f>
        <v>SAMPLE-CMP-007.SAMPLE-O-009</v>
      </c>
      <c r="G119" s="30" t="str">
        <f aca="false">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https://docs.google.com/forms/d/e/SAMPLE-CMP-007-FORM/viewform?usp=pp_url&amp;entry.1000001=SAMPLE-CMP-007.SAMPLE-O-009&amp;utm_source=office-pantry&amp;utm_medium=post&amp;utm_campaign=sample-cmp-007&amp;utm_content=sample-o-009</v>
      </c>
      <c r="H119" s="30" t="str">
        <f aca="false">IF(OR($A119="",$C119&lt;&gt;"qr"),"",$D119&amp;".png")</f>
        <v/>
      </c>
      <c r="I119" s="30" t="str">
        <f aca="true">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ustomFormat="false" ht="15" hidden="false" customHeight="false" outlineLevel="0" collapsed="false">
      <c r="A120" s="30" t="str">
        <f aca="false">IF(INDEX(approvals!$A$2:$A$251,INT((ROW()-2)/2)+1)="","",INDEX(approvals!$A$2:$A$251,INT((ROW()-2)/2)+1))</f>
        <v>SAMPLE-CMP-007</v>
      </c>
      <c r="B120" s="30" t="str">
        <f aca="false">IF(INDEX(approvals!$A$2:$A$251,INT((ROW()-2)/2)+1)="","",INDEX(approvals!$B$2:$B$251,INT((ROW()-2)/2)+1))</f>
        <v>SAMPLE-O-010</v>
      </c>
      <c r="C120" s="30" t="str">
        <f aca="false">IF($A120="","",IF(MOD(ROW()-2,2)=0,"qr","post"))</f>
        <v>qr</v>
      </c>
      <c r="D120" s="30" t="str">
        <f aca="false">IF($A120="","",IF(LEFT($A120,7)="SAMPLE-","SAMPLE-","")&amp;LOWER(SUBSTITUTE(SUBSTITUTE($A120,"SAMPLE-",""),"CMP-","c"))&amp;"-"&amp;LOWER(SUBSTITUTE(SUBSTITUTE($B120,"SAMPLE-",""),"O-","o"))&amp;"-"&amp;IF($C120="qr","q","p"))</f>
        <v>SAMPLE-c007-o010-q</v>
      </c>
      <c r="E120" s="30" t="str">
        <f aca="false">IF($A120="","","https://"&amp;config!$B$9&amp;"/"&amp;$D120)</f>
        <v>https://go.example.com/SAMPLE-c007-o010-q</v>
      </c>
      <c r="F120" s="30" t="str">
        <f aca="false">IF($A120="","",$A120&amp;"."&amp;$B120)</f>
        <v>SAMPLE-CMP-007.SAMPLE-O-010</v>
      </c>
      <c r="G120" s="30" t="str">
        <f aca="false">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https://docs.google.com/forms/d/e/SAMPLE-CMP-007-FORM/viewform?usp=pp_url&amp;entry.1000001=SAMPLE-CMP-007.SAMPLE-O-010&amp;utm_source=office-pantry&amp;utm_medium=qr&amp;utm_campaign=sample-cmp-007&amp;utm_content=sample-o-010</v>
      </c>
      <c r="H120" s="30" t="str">
        <f aca="false">IF(OR($A120="",$C120&lt;&gt;"qr"),"",$D120&amp;".png")</f>
        <v>SAMPLE-c007-o010-q.png</v>
      </c>
      <c r="I120" s="30" t="str">
        <f aca="true">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ustomFormat="false" ht="15" hidden="false" customHeight="false" outlineLevel="0" collapsed="false">
      <c r="A121" s="30" t="str">
        <f aca="false">IF(INDEX(approvals!$A$2:$A$251,INT((ROW()-2)/2)+1)="","",INDEX(approvals!$A$2:$A$251,INT((ROW()-2)/2)+1))</f>
        <v>SAMPLE-CMP-007</v>
      </c>
      <c r="B121" s="30" t="str">
        <f aca="false">IF(INDEX(approvals!$A$2:$A$251,INT((ROW()-2)/2)+1)="","",INDEX(approvals!$B$2:$B$251,INT((ROW()-2)/2)+1))</f>
        <v>SAMPLE-O-010</v>
      </c>
      <c r="C121" s="30" t="str">
        <f aca="false">IF($A121="","",IF(MOD(ROW()-2,2)=0,"qr","post"))</f>
        <v>post</v>
      </c>
      <c r="D121" s="30" t="str">
        <f aca="false">IF($A121="","",IF(LEFT($A121,7)="SAMPLE-","SAMPLE-","")&amp;LOWER(SUBSTITUTE(SUBSTITUTE($A121,"SAMPLE-",""),"CMP-","c"))&amp;"-"&amp;LOWER(SUBSTITUTE(SUBSTITUTE($B121,"SAMPLE-",""),"O-","o"))&amp;"-"&amp;IF($C121="qr","q","p"))</f>
        <v>SAMPLE-c007-o010-p</v>
      </c>
      <c r="E121" s="30" t="str">
        <f aca="false">IF($A121="","","https://"&amp;config!$B$9&amp;"/"&amp;$D121)</f>
        <v>https://go.example.com/SAMPLE-c007-o010-p</v>
      </c>
      <c r="F121" s="30" t="str">
        <f aca="false">IF($A121="","",$A121&amp;"."&amp;$B121)</f>
        <v>SAMPLE-CMP-007.SAMPLE-O-010</v>
      </c>
      <c r="G121" s="30" t="str">
        <f aca="false">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https://docs.google.com/forms/d/e/SAMPLE-CMP-007-FORM/viewform?usp=pp_url&amp;entry.1000001=SAMPLE-CMP-007.SAMPLE-O-010&amp;utm_source=office-pantry&amp;utm_medium=post&amp;utm_campaign=sample-cmp-007&amp;utm_content=sample-o-010</v>
      </c>
      <c r="H121" s="30" t="str">
        <f aca="false">IF(OR($A121="",$C121&lt;&gt;"qr"),"",$D121&amp;".png")</f>
        <v/>
      </c>
      <c r="I121" s="30" t="str">
        <f aca="true">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ustomFormat="false" ht="15" hidden="false" customHeight="false" outlineLevel="0" collapsed="false">
      <c r="A122" s="30" t="str">
        <f aca="false">IF(INDEX(approvals!$A$2:$A$251,INT((ROW()-2)/2)+1)="","",INDEX(approvals!$A$2:$A$251,INT((ROW()-2)/2)+1))</f>
        <v>SAMPLE-CMP-008</v>
      </c>
      <c r="B122" s="30" t="str">
        <f aca="false">IF(INDEX(approvals!$A$2:$A$251,INT((ROW()-2)/2)+1)="","",INDEX(approvals!$B$2:$B$251,INT((ROW()-2)/2)+1))</f>
        <v>SAMPLE-O-001</v>
      </c>
      <c r="C122" s="30" t="str">
        <f aca="false">IF($A122="","",IF(MOD(ROW()-2,2)=0,"qr","post"))</f>
        <v>qr</v>
      </c>
      <c r="D122" s="30" t="str">
        <f aca="false">IF($A122="","",IF(LEFT($A122,7)="SAMPLE-","SAMPLE-","")&amp;LOWER(SUBSTITUTE(SUBSTITUTE($A122,"SAMPLE-",""),"CMP-","c"))&amp;"-"&amp;LOWER(SUBSTITUTE(SUBSTITUTE($B122,"SAMPLE-",""),"O-","o"))&amp;"-"&amp;IF($C122="qr","q","p"))</f>
        <v>SAMPLE-c008-o001-q</v>
      </c>
      <c r="E122" s="30" t="str">
        <f aca="false">IF($A122="","","https://"&amp;config!$B$9&amp;"/"&amp;$D122)</f>
        <v>https://go.example.com/SAMPLE-c008-o001-q</v>
      </c>
      <c r="F122" s="30" t="str">
        <f aca="false">IF($A122="","",$A122&amp;"."&amp;$B122)</f>
        <v>SAMPLE-CMP-008.SAMPLE-O-001</v>
      </c>
      <c r="G122" s="30" t="str">
        <f aca="false">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https://docs.google.com/forms/d/e/SAMPLE-CMP-008-FORM/viewform?usp=pp_url&amp;entry.1000001=SAMPLE-CMP-008.SAMPLE-O-001&amp;utm_source=office-pantry&amp;utm_medium=qr&amp;utm_campaign=sample-cmp-008&amp;utm_content=sample-o-001</v>
      </c>
      <c r="H122" s="30" t="str">
        <f aca="false">IF(OR($A122="",$C122&lt;&gt;"qr"),"",$D122&amp;".png")</f>
        <v>SAMPLE-c008-o001-q.png</v>
      </c>
      <c r="I122" s="30" t="str">
        <f aca="true">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ustomFormat="false" ht="15" hidden="false" customHeight="false" outlineLevel="0" collapsed="false">
      <c r="A123" s="30" t="str">
        <f aca="false">IF(INDEX(approvals!$A$2:$A$251,INT((ROW()-2)/2)+1)="","",INDEX(approvals!$A$2:$A$251,INT((ROW()-2)/2)+1))</f>
        <v>SAMPLE-CMP-008</v>
      </c>
      <c r="B123" s="30" t="str">
        <f aca="false">IF(INDEX(approvals!$A$2:$A$251,INT((ROW()-2)/2)+1)="","",INDEX(approvals!$B$2:$B$251,INT((ROW()-2)/2)+1))</f>
        <v>SAMPLE-O-001</v>
      </c>
      <c r="C123" s="30" t="str">
        <f aca="false">IF($A123="","",IF(MOD(ROW()-2,2)=0,"qr","post"))</f>
        <v>post</v>
      </c>
      <c r="D123" s="30" t="str">
        <f aca="false">IF($A123="","",IF(LEFT($A123,7)="SAMPLE-","SAMPLE-","")&amp;LOWER(SUBSTITUTE(SUBSTITUTE($A123,"SAMPLE-",""),"CMP-","c"))&amp;"-"&amp;LOWER(SUBSTITUTE(SUBSTITUTE($B123,"SAMPLE-",""),"O-","o"))&amp;"-"&amp;IF($C123="qr","q","p"))</f>
        <v>SAMPLE-c008-o001-p</v>
      </c>
      <c r="E123" s="30" t="str">
        <f aca="false">IF($A123="","","https://"&amp;config!$B$9&amp;"/"&amp;$D123)</f>
        <v>https://go.example.com/SAMPLE-c008-o001-p</v>
      </c>
      <c r="F123" s="30" t="str">
        <f aca="false">IF($A123="","",$A123&amp;"."&amp;$B123)</f>
        <v>SAMPLE-CMP-008.SAMPLE-O-001</v>
      </c>
      <c r="G123" s="30" t="str">
        <f aca="false">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https://docs.google.com/forms/d/e/SAMPLE-CMP-008-FORM/viewform?usp=pp_url&amp;entry.1000001=SAMPLE-CMP-008.SAMPLE-O-001&amp;utm_source=office-pantry&amp;utm_medium=post&amp;utm_campaign=sample-cmp-008&amp;utm_content=sample-o-001</v>
      </c>
      <c r="H123" s="30" t="str">
        <f aca="false">IF(OR($A123="",$C123&lt;&gt;"qr"),"",$D123&amp;".png")</f>
        <v/>
      </c>
      <c r="I123" s="30" t="str">
        <f aca="true">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ustomFormat="false" ht="15" hidden="false" customHeight="false" outlineLevel="0" collapsed="false">
      <c r="A124" s="30" t="str">
        <f aca="false">IF(INDEX(approvals!$A$2:$A$251,INT((ROW()-2)/2)+1)="","",INDEX(approvals!$A$2:$A$251,INT((ROW()-2)/2)+1))</f>
        <v>SAMPLE-CMP-008</v>
      </c>
      <c r="B124" s="30" t="str">
        <f aca="false">IF(INDEX(approvals!$A$2:$A$251,INT((ROW()-2)/2)+1)="","",INDEX(approvals!$B$2:$B$251,INT((ROW()-2)/2)+1))</f>
        <v>SAMPLE-O-002</v>
      </c>
      <c r="C124" s="30" t="str">
        <f aca="false">IF($A124="","",IF(MOD(ROW()-2,2)=0,"qr","post"))</f>
        <v>qr</v>
      </c>
      <c r="D124" s="30" t="str">
        <f aca="false">IF($A124="","",IF(LEFT($A124,7)="SAMPLE-","SAMPLE-","")&amp;LOWER(SUBSTITUTE(SUBSTITUTE($A124,"SAMPLE-",""),"CMP-","c"))&amp;"-"&amp;LOWER(SUBSTITUTE(SUBSTITUTE($B124,"SAMPLE-",""),"O-","o"))&amp;"-"&amp;IF($C124="qr","q","p"))</f>
        <v>SAMPLE-c008-o002-q</v>
      </c>
      <c r="E124" s="30" t="str">
        <f aca="false">IF($A124="","","https://"&amp;config!$B$9&amp;"/"&amp;$D124)</f>
        <v>https://go.example.com/SAMPLE-c008-o002-q</v>
      </c>
      <c r="F124" s="30" t="str">
        <f aca="false">IF($A124="","",$A124&amp;"."&amp;$B124)</f>
        <v>SAMPLE-CMP-008.SAMPLE-O-002</v>
      </c>
      <c r="G124" s="30" t="str">
        <f aca="false">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https://docs.google.com/forms/d/e/SAMPLE-CMP-008-FORM/viewform?usp=pp_url&amp;entry.1000001=SAMPLE-CMP-008.SAMPLE-O-002&amp;utm_source=office-pantry&amp;utm_medium=qr&amp;utm_campaign=sample-cmp-008&amp;utm_content=sample-o-002</v>
      </c>
      <c r="H124" s="30" t="str">
        <f aca="false">IF(OR($A124="",$C124&lt;&gt;"qr"),"",$D124&amp;".png")</f>
        <v>SAMPLE-c008-o002-q.png</v>
      </c>
      <c r="I124" s="30" t="str">
        <f aca="true">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ustomFormat="false" ht="15" hidden="false" customHeight="false" outlineLevel="0" collapsed="false">
      <c r="A125" s="30" t="str">
        <f aca="false">IF(INDEX(approvals!$A$2:$A$251,INT((ROW()-2)/2)+1)="","",INDEX(approvals!$A$2:$A$251,INT((ROW()-2)/2)+1))</f>
        <v>SAMPLE-CMP-008</v>
      </c>
      <c r="B125" s="30" t="str">
        <f aca="false">IF(INDEX(approvals!$A$2:$A$251,INT((ROW()-2)/2)+1)="","",INDEX(approvals!$B$2:$B$251,INT((ROW()-2)/2)+1))</f>
        <v>SAMPLE-O-002</v>
      </c>
      <c r="C125" s="30" t="str">
        <f aca="false">IF($A125="","",IF(MOD(ROW()-2,2)=0,"qr","post"))</f>
        <v>post</v>
      </c>
      <c r="D125" s="30" t="str">
        <f aca="false">IF($A125="","",IF(LEFT($A125,7)="SAMPLE-","SAMPLE-","")&amp;LOWER(SUBSTITUTE(SUBSTITUTE($A125,"SAMPLE-",""),"CMP-","c"))&amp;"-"&amp;LOWER(SUBSTITUTE(SUBSTITUTE($B125,"SAMPLE-",""),"O-","o"))&amp;"-"&amp;IF($C125="qr","q","p"))</f>
        <v>SAMPLE-c008-o002-p</v>
      </c>
      <c r="E125" s="30" t="str">
        <f aca="false">IF($A125="","","https://"&amp;config!$B$9&amp;"/"&amp;$D125)</f>
        <v>https://go.example.com/SAMPLE-c008-o002-p</v>
      </c>
      <c r="F125" s="30" t="str">
        <f aca="false">IF($A125="","",$A125&amp;"."&amp;$B125)</f>
        <v>SAMPLE-CMP-008.SAMPLE-O-002</v>
      </c>
      <c r="G125" s="30" t="str">
        <f aca="false">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https://docs.google.com/forms/d/e/SAMPLE-CMP-008-FORM/viewform?usp=pp_url&amp;entry.1000001=SAMPLE-CMP-008.SAMPLE-O-002&amp;utm_source=office-pantry&amp;utm_medium=post&amp;utm_campaign=sample-cmp-008&amp;utm_content=sample-o-002</v>
      </c>
      <c r="H125" s="30" t="str">
        <f aca="false">IF(OR($A125="",$C125&lt;&gt;"qr"),"",$D125&amp;".png")</f>
        <v/>
      </c>
      <c r="I125" s="30" t="str">
        <f aca="true">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ustomFormat="false" ht="15" hidden="false" customHeight="false" outlineLevel="0" collapsed="false">
      <c r="A126" s="30" t="str">
        <f aca="false">IF(INDEX(approvals!$A$2:$A$251,INT((ROW()-2)/2)+1)="","",INDEX(approvals!$A$2:$A$251,INT((ROW()-2)/2)+1))</f>
        <v>SAMPLE-CMP-008</v>
      </c>
      <c r="B126" s="30" t="str">
        <f aca="false">IF(INDEX(approvals!$A$2:$A$251,INT((ROW()-2)/2)+1)="","",INDEX(approvals!$B$2:$B$251,INT((ROW()-2)/2)+1))</f>
        <v>SAMPLE-O-003</v>
      </c>
      <c r="C126" s="30" t="str">
        <f aca="false">IF($A126="","",IF(MOD(ROW()-2,2)=0,"qr","post"))</f>
        <v>qr</v>
      </c>
      <c r="D126" s="30" t="str">
        <f aca="false">IF($A126="","",IF(LEFT($A126,7)="SAMPLE-","SAMPLE-","")&amp;LOWER(SUBSTITUTE(SUBSTITUTE($A126,"SAMPLE-",""),"CMP-","c"))&amp;"-"&amp;LOWER(SUBSTITUTE(SUBSTITUTE($B126,"SAMPLE-",""),"O-","o"))&amp;"-"&amp;IF($C126="qr","q","p"))</f>
        <v>SAMPLE-c008-o003-q</v>
      </c>
      <c r="E126" s="30" t="str">
        <f aca="false">IF($A126="","","https://"&amp;config!$B$9&amp;"/"&amp;$D126)</f>
        <v>https://go.example.com/SAMPLE-c008-o003-q</v>
      </c>
      <c r="F126" s="30" t="str">
        <f aca="false">IF($A126="","",$A126&amp;"."&amp;$B126)</f>
        <v>SAMPLE-CMP-008.SAMPLE-O-003</v>
      </c>
      <c r="G126" s="30" t="str">
        <f aca="false">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https://docs.google.com/forms/d/e/SAMPLE-CMP-008-FORM/viewform?usp=pp_url&amp;entry.1000001=SAMPLE-CMP-008.SAMPLE-O-003&amp;utm_source=office-pantry&amp;utm_medium=qr&amp;utm_campaign=sample-cmp-008&amp;utm_content=sample-o-003</v>
      </c>
      <c r="H126" s="30" t="str">
        <f aca="false">IF(OR($A126="",$C126&lt;&gt;"qr"),"",$D126&amp;".png")</f>
        <v>SAMPLE-c008-o003-q.png</v>
      </c>
      <c r="I126" s="30" t="str">
        <f aca="true">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ustomFormat="false" ht="15" hidden="false" customHeight="false" outlineLevel="0" collapsed="false">
      <c r="A127" s="30" t="str">
        <f aca="false">IF(INDEX(approvals!$A$2:$A$251,INT((ROW()-2)/2)+1)="","",INDEX(approvals!$A$2:$A$251,INT((ROW()-2)/2)+1))</f>
        <v>SAMPLE-CMP-008</v>
      </c>
      <c r="B127" s="30" t="str">
        <f aca="false">IF(INDEX(approvals!$A$2:$A$251,INT((ROW()-2)/2)+1)="","",INDEX(approvals!$B$2:$B$251,INT((ROW()-2)/2)+1))</f>
        <v>SAMPLE-O-003</v>
      </c>
      <c r="C127" s="30" t="str">
        <f aca="false">IF($A127="","",IF(MOD(ROW()-2,2)=0,"qr","post"))</f>
        <v>post</v>
      </c>
      <c r="D127" s="30" t="str">
        <f aca="false">IF($A127="","",IF(LEFT($A127,7)="SAMPLE-","SAMPLE-","")&amp;LOWER(SUBSTITUTE(SUBSTITUTE($A127,"SAMPLE-",""),"CMP-","c"))&amp;"-"&amp;LOWER(SUBSTITUTE(SUBSTITUTE($B127,"SAMPLE-",""),"O-","o"))&amp;"-"&amp;IF($C127="qr","q","p"))</f>
        <v>SAMPLE-c008-o003-p</v>
      </c>
      <c r="E127" s="30" t="str">
        <f aca="false">IF($A127="","","https://"&amp;config!$B$9&amp;"/"&amp;$D127)</f>
        <v>https://go.example.com/SAMPLE-c008-o003-p</v>
      </c>
      <c r="F127" s="30" t="str">
        <f aca="false">IF($A127="","",$A127&amp;"."&amp;$B127)</f>
        <v>SAMPLE-CMP-008.SAMPLE-O-003</v>
      </c>
      <c r="G127" s="30" t="str">
        <f aca="false">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https://docs.google.com/forms/d/e/SAMPLE-CMP-008-FORM/viewform?usp=pp_url&amp;entry.1000001=SAMPLE-CMP-008.SAMPLE-O-003&amp;utm_source=office-pantry&amp;utm_medium=post&amp;utm_campaign=sample-cmp-008&amp;utm_content=sample-o-003</v>
      </c>
      <c r="H127" s="30" t="str">
        <f aca="false">IF(OR($A127="",$C127&lt;&gt;"qr"),"",$D127&amp;".png")</f>
        <v/>
      </c>
      <c r="I127" s="30" t="str">
        <f aca="true">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ustomFormat="false" ht="15" hidden="false" customHeight="false" outlineLevel="0" collapsed="false">
      <c r="A128" s="30" t="str">
        <f aca="false">IF(INDEX(approvals!$A$2:$A$251,INT((ROW()-2)/2)+1)="","",INDEX(approvals!$A$2:$A$251,INT((ROW()-2)/2)+1))</f>
        <v>SAMPLE-CMP-008</v>
      </c>
      <c r="B128" s="30" t="str">
        <f aca="false">IF(INDEX(approvals!$A$2:$A$251,INT((ROW()-2)/2)+1)="","",INDEX(approvals!$B$2:$B$251,INT((ROW()-2)/2)+1))</f>
        <v>SAMPLE-O-004</v>
      </c>
      <c r="C128" s="30" t="str">
        <f aca="false">IF($A128="","",IF(MOD(ROW()-2,2)=0,"qr","post"))</f>
        <v>qr</v>
      </c>
      <c r="D128" s="30" t="str">
        <f aca="false">IF($A128="","",IF(LEFT($A128,7)="SAMPLE-","SAMPLE-","")&amp;LOWER(SUBSTITUTE(SUBSTITUTE($A128,"SAMPLE-",""),"CMP-","c"))&amp;"-"&amp;LOWER(SUBSTITUTE(SUBSTITUTE($B128,"SAMPLE-",""),"O-","o"))&amp;"-"&amp;IF($C128="qr","q","p"))</f>
        <v>SAMPLE-c008-o004-q</v>
      </c>
      <c r="E128" s="30" t="str">
        <f aca="false">IF($A128="","","https://"&amp;config!$B$9&amp;"/"&amp;$D128)</f>
        <v>https://go.example.com/SAMPLE-c008-o004-q</v>
      </c>
      <c r="F128" s="30" t="str">
        <f aca="false">IF($A128="","",$A128&amp;"."&amp;$B128)</f>
        <v>SAMPLE-CMP-008.SAMPLE-O-004</v>
      </c>
      <c r="G128" s="30" t="str">
        <f aca="false">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https://docs.google.com/forms/d/e/SAMPLE-CMP-008-FORM/viewform?usp=pp_url&amp;entry.1000001=SAMPLE-CMP-008.SAMPLE-O-004&amp;utm_source=office-pantry&amp;utm_medium=qr&amp;utm_campaign=sample-cmp-008&amp;utm_content=sample-o-004</v>
      </c>
      <c r="H128" s="30" t="str">
        <f aca="false">IF(OR($A128="",$C128&lt;&gt;"qr"),"",$D128&amp;".png")</f>
        <v>SAMPLE-c008-o004-q.png</v>
      </c>
      <c r="I128" s="30" t="str">
        <f aca="true">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ustomFormat="false" ht="15" hidden="false" customHeight="false" outlineLevel="0" collapsed="false">
      <c r="A129" s="30" t="str">
        <f aca="false">IF(INDEX(approvals!$A$2:$A$251,INT((ROW()-2)/2)+1)="","",INDEX(approvals!$A$2:$A$251,INT((ROW()-2)/2)+1))</f>
        <v>SAMPLE-CMP-008</v>
      </c>
      <c r="B129" s="30" t="str">
        <f aca="false">IF(INDEX(approvals!$A$2:$A$251,INT((ROW()-2)/2)+1)="","",INDEX(approvals!$B$2:$B$251,INT((ROW()-2)/2)+1))</f>
        <v>SAMPLE-O-004</v>
      </c>
      <c r="C129" s="30" t="str">
        <f aca="false">IF($A129="","",IF(MOD(ROW()-2,2)=0,"qr","post"))</f>
        <v>post</v>
      </c>
      <c r="D129" s="30" t="str">
        <f aca="false">IF($A129="","",IF(LEFT($A129,7)="SAMPLE-","SAMPLE-","")&amp;LOWER(SUBSTITUTE(SUBSTITUTE($A129,"SAMPLE-",""),"CMP-","c"))&amp;"-"&amp;LOWER(SUBSTITUTE(SUBSTITUTE($B129,"SAMPLE-",""),"O-","o"))&amp;"-"&amp;IF($C129="qr","q","p"))</f>
        <v>SAMPLE-c008-o004-p</v>
      </c>
      <c r="E129" s="30" t="str">
        <f aca="false">IF($A129="","","https://"&amp;config!$B$9&amp;"/"&amp;$D129)</f>
        <v>https://go.example.com/SAMPLE-c008-o004-p</v>
      </c>
      <c r="F129" s="30" t="str">
        <f aca="false">IF($A129="","",$A129&amp;"."&amp;$B129)</f>
        <v>SAMPLE-CMP-008.SAMPLE-O-004</v>
      </c>
      <c r="G129" s="30" t="str">
        <f aca="false">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https://docs.google.com/forms/d/e/SAMPLE-CMP-008-FORM/viewform?usp=pp_url&amp;entry.1000001=SAMPLE-CMP-008.SAMPLE-O-004&amp;utm_source=office-pantry&amp;utm_medium=post&amp;utm_campaign=sample-cmp-008&amp;utm_content=sample-o-004</v>
      </c>
      <c r="H129" s="30" t="str">
        <f aca="false">IF(OR($A129="",$C129&lt;&gt;"qr"),"",$D129&amp;".png")</f>
        <v/>
      </c>
      <c r="I129" s="30" t="str">
        <f aca="true">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ustomFormat="false" ht="15" hidden="false" customHeight="false" outlineLevel="0" collapsed="false">
      <c r="A130" s="30" t="str">
        <f aca="false">IF(INDEX(approvals!$A$2:$A$251,INT((ROW()-2)/2)+1)="","",INDEX(approvals!$A$2:$A$251,INT((ROW()-2)/2)+1))</f>
        <v>SAMPLE-CMP-008</v>
      </c>
      <c r="B130" s="30" t="str">
        <f aca="false">IF(INDEX(approvals!$A$2:$A$251,INT((ROW()-2)/2)+1)="","",INDEX(approvals!$B$2:$B$251,INT((ROW()-2)/2)+1))</f>
        <v>SAMPLE-O-005</v>
      </c>
      <c r="C130" s="30" t="str">
        <f aca="false">IF($A130="","",IF(MOD(ROW()-2,2)=0,"qr","post"))</f>
        <v>qr</v>
      </c>
      <c r="D130" s="30" t="str">
        <f aca="false">IF($A130="","",IF(LEFT($A130,7)="SAMPLE-","SAMPLE-","")&amp;LOWER(SUBSTITUTE(SUBSTITUTE($A130,"SAMPLE-",""),"CMP-","c"))&amp;"-"&amp;LOWER(SUBSTITUTE(SUBSTITUTE($B130,"SAMPLE-",""),"O-","o"))&amp;"-"&amp;IF($C130="qr","q","p"))</f>
        <v>SAMPLE-c008-o005-q</v>
      </c>
      <c r="E130" s="30" t="str">
        <f aca="false">IF($A130="","","https://"&amp;config!$B$9&amp;"/"&amp;$D130)</f>
        <v>https://go.example.com/SAMPLE-c008-o005-q</v>
      </c>
      <c r="F130" s="30" t="str">
        <f aca="false">IF($A130="","",$A130&amp;"."&amp;$B130)</f>
        <v>SAMPLE-CMP-008.SAMPLE-O-005</v>
      </c>
      <c r="G130" s="30" t="str">
        <f aca="false">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https://docs.google.com/forms/d/e/SAMPLE-CMP-008-FORM/viewform?usp=pp_url&amp;entry.1000001=SAMPLE-CMP-008.SAMPLE-O-005&amp;utm_source=office-pantry&amp;utm_medium=qr&amp;utm_campaign=sample-cmp-008&amp;utm_content=sample-o-005</v>
      </c>
      <c r="H130" s="30" t="str">
        <f aca="false">IF(OR($A130="",$C130&lt;&gt;"qr"),"",$D130&amp;".png")</f>
        <v>SAMPLE-c008-o005-q.png</v>
      </c>
      <c r="I130" s="30" t="str">
        <f aca="true">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ustomFormat="false" ht="15" hidden="false" customHeight="false" outlineLevel="0" collapsed="false">
      <c r="A131" s="30" t="str">
        <f aca="false">IF(INDEX(approvals!$A$2:$A$251,INT((ROW()-2)/2)+1)="","",INDEX(approvals!$A$2:$A$251,INT((ROW()-2)/2)+1))</f>
        <v>SAMPLE-CMP-008</v>
      </c>
      <c r="B131" s="30" t="str">
        <f aca="false">IF(INDEX(approvals!$A$2:$A$251,INT((ROW()-2)/2)+1)="","",INDEX(approvals!$B$2:$B$251,INT((ROW()-2)/2)+1))</f>
        <v>SAMPLE-O-005</v>
      </c>
      <c r="C131" s="30" t="str">
        <f aca="false">IF($A131="","",IF(MOD(ROW()-2,2)=0,"qr","post"))</f>
        <v>post</v>
      </c>
      <c r="D131" s="30" t="str">
        <f aca="false">IF($A131="","",IF(LEFT($A131,7)="SAMPLE-","SAMPLE-","")&amp;LOWER(SUBSTITUTE(SUBSTITUTE($A131,"SAMPLE-",""),"CMP-","c"))&amp;"-"&amp;LOWER(SUBSTITUTE(SUBSTITUTE($B131,"SAMPLE-",""),"O-","o"))&amp;"-"&amp;IF($C131="qr","q","p"))</f>
        <v>SAMPLE-c008-o005-p</v>
      </c>
      <c r="E131" s="30" t="str">
        <f aca="false">IF($A131="","","https://"&amp;config!$B$9&amp;"/"&amp;$D131)</f>
        <v>https://go.example.com/SAMPLE-c008-o005-p</v>
      </c>
      <c r="F131" s="30" t="str">
        <f aca="false">IF($A131="","",$A131&amp;"."&amp;$B131)</f>
        <v>SAMPLE-CMP-008.SAMPLE-O-005</v>
      </c>
      <c r="G131" s="30" t="str">
        <f aca="false">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https://docs.google.com/forms/d/e/SAMPLE-CMP-008-FORM/viewform?usp=pp_url&amp;entry.1000001=SAMPLE-CMP-008.SAMPLE-O-005&amp;utm_source=office-pantry&amp;utm_medium=post&amp;utm_campaign=sample-cmp-008&amp;utm_content=sample-o-005</v>
      </c>
      <c r="H131" s="30" t="str">
        <f aca="false">IF(OR($A131="",$C131&lt;&gt;"qr"),"",$D131&amp;".png")</f>
        <v/>
      </c>
      <c r="I131" s="30" t="str">
        <f aca="true">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ustomFormat="false" ht="15" hidden="false" customHeight="false" outlineLevel="0" collapsed="false">
      <c r="A132" s="30" t="str">
        <f aca="false">IF(INDEX(approvals!$A$2:$A$251,INT((ROW()-2)/2)+1)="","",INDEX(approvals!$A$2:$A$251,INT((ROW()-2)/2)+1))</f>
        <v>SAMPLE-CMP-008</v>
      </c>
      <c r="B132" s="30" t="str">
        <f aca="false">IF(INDEX(approvals!$A$2:$A$251,INT((ROW()-2)/2)+1)="","",INDEX(approvals!$B$2:$B$251,INT((ROW()-2)/2)+1))</f>
        <v>SAMPLE-O-006</v>
      </c>
      <c r="C132" s="30" t="str">
        <f aca="false">IF($A132="","",IF(MOD(ROW()-2,2)=0,"qr","post"))</f>
        <v>qr</v>
      </c>
      <c r="D132" s="30" t="str">
        <f aca="false">IF($A132="","",IF(LEFT($A132,7)="SAMPLE-","SAMPLE-","")&amp;LOWER(SUBSTITUTE(SUBSTITUTE($A132,"SAMPLE-",""),"CMP-","c"))&amp;"-"&amp;LOWER(SUBSTITUTE(SUBSTITUTE($B132,"SAMPLE-",""),"O-","o"))&amp;"-"&amp;IF($C132="qr","q","p"))</f>
        <v>SAMPLE-c008-o006-q</v>
      </c>
      <c r="E132" s="30" t="str">
        <f aca="false">IF($A132="","","https://"&amp;config!$B$9&amp;"/"&amp;$D132)</f>
        <v>https://go.example.com/SAMPLE-c008-o006-q</v>
      </c>
      <c r="F132" s="30" t="str">
        <f aca="false">IF($A132="","",$A132&amp;"."&amp;$B132)</f>
        <v>SAMPLE-CMP-008.SAMPLE-O-006</v>
      </c>
      <c r="G132" s="30" t="str">
        <f aca="false">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https://docs.google.com/forms/d/e/SAMPLE-CMP-008-FORM/viewform?usp=pp_url&amp;entry.1000001=SAMPLE-CMP-008.SAMPLE-O-006&amp;utm_source=office-pantry&amp;utm_medium=qr&amp;utm_campaign=sample-cmp-008&amp;utm_content=sample-o-006</v>
      </c>
      <c r="H132" s="30" t="str">
        <f aca="false">IF(OR($A132="",$C132&lt;&gt;"qr"),"",$D132&amp;".png")</f>
        <v>SAMPLE-c008-o006-q.png</v>
      </c>
      <c r="I132" s="30" t="str">
        <f aca="true">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ustomFormat="false" ht="15" hidden="false" customHeight="false" outlineLevel="0" collapsed="false">
      <c r="A133" s="30" t="str">
        <f aca="false">IF(INDEX(approvals!$A$2:$A$251,INT((ROW()-2)/2)+1)="","",INDEX(approvals!$A$2:$A$251,INT((ROW()-2)/2)+1))</f>
        <v>SAMPLE-CMP-008</v>
      </c>
      <c r="B133" s="30" t="str">
        <f aca="false">IF(INDEX(approvals!$A$2:$A$251,INT((ROW()-2)/2)+1)="","",INDEX(approvals!$B$2:$B$251,INT((ROW()-2)/2)+1))</f>
        <v>SAMPLE-O-006</v>
      </c>
      <c r="C133" s="30" t="str">
        <f aca="false">IF($A133="","",IF(MOD(ROW()-2,2)=0,"qr","post"))</f>
        <v>post</v>
      </c>
      <c r="D133" s="30" t="str">
        <f aca="false">IF($A133="","",IF(LEFT($A133,7)="SAMPLE-","SAMPLE-","")&amp;LOWER(SUBSTITUTE(SUBSTITUTE($A133,"SAMPLE-",""),"CMP-","c"))&amp;"-"&amp;LOWER(SUBSTITUTE(SUBSTITUTE($B133,"SAMPLE-",""),"O-","o"))&amp;"-"&amp;IF($C133="qr","q","p"))</f>
        <v>SAMPLE-c008-o006-p</v>
      </c>
      <c r="E133" s="30" t="str">
        <f aca="false">IF($A133="","","https://"&amp;config!$B$9&amp;"/"&amp;$D133)</f>
        <v>https://go.example.com/SAMPLE-c008-o006-p</v>
      </c>
      <c r="F133" s="30" t="str">
        <f aca="false">IF($A133="","",$A133&amp;"."&amp;$B133)</f>
        <v>SAMPLE-CMP-008.SAMPLE-O-006</v>
      </c>
      <c r="G133" s="30" t="str">
        <f aca="false">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https://docs.google.com/forms/d/e/SAMPLE-CMP-008-FORM/viewform?usp=pp_url&amp;entry.1000001=SAMPLE-CMP-008.SAMPLE-O-006&amp;utm_source=office-pantry&amp;utm_medium=post&amp;utm_campaign=sample-cmp-008&amp;utm_content=sample-o-006</v>
      </c>
      <c r="H133" s="30" t="str">
        <f aca="false">IF(OR($A133="",$C133&lt;&gt;"qr"),"",$D133&amp;".png")</f>
        <v/>
      </c>
      <c r="I133" s="30" t="str">
        <f aca="true">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ustomFormat="false" ht="15" hidden="false" customHeight="false" outlineLevel="0" collapsed="false">
      <c r="A134" s="30" t="str">
        <f aca="false">IF(INDEX(approvals!$A$2:$A$251,INT((ROW()-2)/2)+1)="","",INDEX(approvals!$A$2:$A$251,INT((ROW()-2)/2)+1))</f>
        <v>SAMPLE-CMP-008</v>
      </c>
      <c r="B134" s="30" t="str">
        <f aca="false">IF(INDEX(approvals!$A$2:$A$251,INT((ROW()-2)/2)+1)="","",INDEX(approvals!$B$2:$B$251,INT((ROW()-2)/2)+1))</f>
        <v>SAMPLE-O-007</v>
      </c>
      <c r="C134" s="30" t="str">
        <f aca="false">IF($A134="","",IF(MOD(ROW()-2,2)=0,"qr","post"))</f>
        <v>qr</v>
      </c>
      <c r="D134" s="30" t="str">
        <f aca="false">IF($A134="","",IF(LEFT($A134,7)="SAMPLE-","SAMPLE-","")&amp;LOWER(SUBSTITUTE(SUBSTITUTE($A134,"SAMPLE-",""),"CMP-","c"))&amp;"-"&amp;LOWER(SUBSTITUTE(SUBSTITUTE($B134,"SAMPLE-",""),"O-","o"))&amp;"-"&amp;IF($C134="qr","q","p"))</f>
        <v>SAMPLE-c008-o007-q</v>
      </c>
      <c r="E134" s="30" t="str">
        <f aca="false">IF($A134="","","https://"&amp;config!$B$9&amp;"/"&amp;$D134)</f>
        <v>https://go.example.com/SAMPLE-c008-o007-q</v>
      </c>
      <c r="F134" s="30" t="str">
        <f aca="false">IF($A134="","",$A134&amp;"."&amp;$B134)</f>
        <v>SAMPLE-CMP-008.SAMPLE-O-007</v>
      </c>
      <c r="G134" s="30" t="str">
        <f aca="false">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https://docs.google.com/forms/d/e/SAMPLE-CMP-008-FORM/viewform?usp=pp_url&amp;entry.1000001=SAMPLE-CMP-008.SAMPLE-O-007&amp;utm_source=office-pantry&amp;utm_medium=qr&amp;utm_campaign=sample-cmp-008&amp;utm_content=sample-o-007</v>
      </c>
      <c r="H134" s="30" t="str">
        <f aca="false">IF(OR($A134="",$C134&lt;&gt;"qr"),"",$D134&amp;".png")</f>
        <v>SAMPLE-c008-o007-q.png</v>
      </c>
      <c r="I134" s="30" t="str">
        <f aca="true">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ustomFormat="false" ht="15" hidden="false" customHeight="false" outlineLevel="0" collapsed="false">
      <c r="A135" s="30" t="str">
        <f aca="false">IF(INDEX(approvals!$A$2:$A$251,INT((ROW()-2)/2)+1)="","",INDEX(approvals!$A$2:$A$251,INT((ROW()-2)/2)+1))</f>
        <v>SAMPLE-CMP-008</v>
      </c>
      <c r="B135" s="30" t="str">
        <f aca="false">IF(INDEX(approvals!$A$2:$A$251,INT((ROW()-2)/2)+1)="","",INDEX(approvals!$B$2:$B$251,INT((ROW()-2)/2)+1))</f>
        <v>SAMPLE-O-007</v>
      </c>
      <c r="C135" s="30" t="str">
        <f aca="false">IF($A135="","",IF(MOD(ROW()-2,2)=0,"qr","post"))</f>
        <v>post</v>
      </c>
      <c r="D135" s="30" t="str">
        <f aca="false">IF($A135="","",IF(LEFT($A135,7)="SAMPLE-","SAMPLE-","")&amp;LOWER(SUBSTITUTE(SUBSTITUTE($A135,"SAMPLE-",""),"CMP-","c"))&amp;"-"&amp;LOWER(SUBSTITUTE(SUBSTITUTE($B135,"SAMPLE-",""),"O-","o"))&amp;"-"&amp;IF($C135="qr","q","p"))</f>
        <v>SAMPLE-c008-o007-p</v>
      </c>
      <c r="E135" s="30" t="str">
        <f aca="false">IF($A135="","","https://"&amp;config!$B$9&amp;"/"&amp;$D135)</f>
        <v>https://go.example.com/SAMPLE-c008-o007-p</v>
      </c>
      <c r="F135" s="30" t="str">
        <f aca="false">IF($A135="","",$A135&amp;"."&amp;$B135)</f>
        <v>SAMPLE-CMP-008.SAMPLE-O-007</v>
      </c>
      <c r="G135" s="30" t="str">
        <f aca="false">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https://docs.google.com/forms/d/e/SAMPLE-CMP-008-FORM/viewform?usp=pp_url&amp;entry.1000001=SAMPLE-CMP-008.SAMPLE-O-007&amp;utm_source=office-pantry&amp;utm_medium=post&amp;utm_campaign=sample-cmp-008&amp;utm_content=sample-o-007</v>
      </c>
      <c r="H135" s="30" t="str">
        <f aca="false">IF(OR($A135="",$C135&lt;&gt;"qr"),"",$D135&amp;".png")</f>
        <v/>
      </c>
      <c r="I135" s="30" t="str">
        <f aca="true">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ustomFormat="false" ht="15" hidden="false" customHeight="false" outlineLevel="0" collapsed="false">
      <c r="A136" s="30" t="str">
        <f aca="false">IF(INDEX(approvals!$A$2:$A$251,INT((ROW()-2)/2)+1)="","",INDEX(approvals!$A$2:$A$251,INT((ROW()-2)/2)+1))</f>
        <v>SAMPLE-CMP-008</v>
      </c>
      <c r="B136" s="30" t="str">
        <f aca="false">IF(INDEX(approvals!$A$2:$A$251,INT((ROW()-2)/2)+1)="","",INDEX(approvals!$B$2:$B$251,INT((ROW()-2)/2)+1))</f>
        <v>SAMPLE-O-008</v>
      </c>
      <c r="C136" s="30" t="str">
        <f aca="false">IF($A136="","",IF(MOD(ROW()-2,2)=0,"qr","post"))</f>
        <v>qr</v>
      </c>
      <c r="D136" s="30" t="str">
        <f aca="false">IF($A136="","",IF(LEFT($A136,7)="SAMPLE-","SAMPLE-","")&amp;LOWER(SUBSTITUTE(SUBSTITUTE($A136,"SAMPLE-",""),"CMP-","c"))&amp;"-"&amp;LOWER(SUBSTITUTE(SUBSTITUTE($B136,"SAMPLE-",""),"O-","o"))&amp;"-"&amp;IF($C136="qr","q","p"))</f>
        <v>SAMPLE-c008-o008-q</v>
      </c>
      <c r="E136" s="30" t="str">
        <f aca="false">IF($A136="","","https://"&amp;config!$B$9&amp;"/"&amp;$D136)</f>
        <v>https://go.example.com/SAMPLE-c008-o008-q</v>
      </c>
      <c r="F136" s="30" t="str">
        <f aca="false">IF($A136="","",$A136&amp;"."&amp;$B136)</f>
        <v>SAMPLE-CMP-008.SAMPLE-O-008</v>
      </c>
      <c r="G136" s="30" t="str">
        <f aca="false">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https://docs.google.com/forms/d/e/SAMPLE-CMP-008-FORM/viewform?usp=pp_url&amp;entry.1000001=SAMPLE-CMP-008.SAMPLE-O-008&amp;utm_source=office-pantry&amp;utm_medium=qr&amp;utm_campaign=sample-cmp-008&amp;utm_content=sample-o-008</v>
      </c>
      <c r="H136" s="30" t="str">
        <f aca="false">IF(OR($A136="",$C136&lt;&gt;"qr"),"",$D136&amp;".png")</f>
        <v>SAMPLE-c008-o008-q.png</v>
      </c>
      <c r="I136" s="30" t="str">
        <f aca="true">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ustomFormat="false" ht="15" hidden="false" customHeight="false" outlineLevel="0" collapsed="false">
      <c r="A137" s="30" t="str">
        <f aca="false">IF(INDEX(approvals!$A$2:$A$251,INT((ROW()-2)/2)+1)="","",INDEX(approvals!$A$2:$A$251,INT((ROW()-2)/2)+1))</f>
        <v>SAMPLE-CMP-008</v>
      </c>
      <c r="B137" s="30" t="str">
        <f aca="false">IF(INDEX(approvals!$A$2:$A$251,INT((ROW()-2)/2)+1)="","",INDEX(approvals!$B$2:$B$251,INT((ROW()-2)/2)+1))</f>
        <v>SAMPLE-O-008</v>
      </c>
      <c r="C137" s="30" t="str">
        <f aca="false">IF($A137="","",IF(MOD(ROW()-2,2)=0,"qr","post"))</f>
        <v>post</v>
      </c>
      <c r="D137" s="30" t="str">
        <f aca="false">IF($A137="","",IF(LEFT($A137,7)="SAMPLE-","SAMPLE-","")&amp;LOWER(SUBSTITUTE(SUBSTITUTE($A137,"SAMPLE-",""),"CMP-","c"))&amp;"-"&amp;LOWER(SUBSTITUTE(SUBSTITUTE($B137,"SAMPLE-",""),"O-","o"))&amp;"-"&amp;IF($C137="qr","q","p"))</f>
        <v>SAMPLE-c008-o008-p</v>
      </c>
      <c r="E137" s="30" t="str">
        <f aca="false">IF($A137="","","https://"&amp;config!$B$9&amp;"/"&amp;$D137)</f>
        <v>https://go.example.com/SAMPLE-c008-o008-p</v>
      </c>
      <c r="F137" s="30" t="str">
        <f aca="false">IF($A137="","",$A137&amp;"."&amp;$B137)</f>
        <v>SAMPLE-CMP-008.SAMPLE-O-008</v>
      </c>
      <c r="G137" s="30" t="str">
        <f aca="false">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https://docs.google.com/forms/d/e/SAMPLE-CMP-008-FORM/viewform?usp=pp_url&amp;entry.1000001=SAMPLE-CMP-008.SAMPLE-O-008&amp;utm_source=office-pantry&amp;utm_medium=post&amp;utm_campaign=sample-cmp-008&amp;utm_content=sample-o-008</v>
      </c>
      <c r="H137" s="30" t="str">
        <f aca="false">IF(OR($A137="",$C137&lt;&gt;"qr"),"",$D137&amp;".png")</f>
        <v/>
      </c>
      <c r="I137" s="30" t="str">
        <f aca="true">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ustomFormat="false" ht="15" hidden="false" customHeight="false" outlineLevel="0" collapsed="false">
      <c r="A138" s="30" t="str">
        <f aca="false">IF(INDEX(approvals!$A$2:$A$251,INT((ROW()-2)/2)+1)="","",INDEX(approvals!$A$2:$A$251,INT((ROW()-2)/2)+1))</f>
        <v>SAMPLE-CMP-008</v>
      </c>
      <c r="B138" s="30" t="str">
        <f aca="false">IF(INDEX(approvals!$A$2:$A$251,INT((ROW()-2)/2)+1)="","",INDEX(approvals!$B$2:$B$251,INT((ROW()-2)/2)+1))</f>
        <v>SAMPLE-O-009</v>
      </c>
      <c r="C138" s="30" t="str">
        <f aca="false">IF($A138="","",IF(MOD(ROW()-2,2)=0,"qr","post"))</f>
        <v>qr</v>
      </c>
      <c r="D138" s="30" t="str">
        <f aca="false">IF($A138="","",IF(LEFT($A138,7)="SAMPLE-","SAMPLE-","")&amp;LOWER(SUBSTITUTE(SUBSTITUTE($A138,"SAMPLE-",""),"CMP-","c"))&amp;"-"&amp;LOWER(SUBSTITUTE(SUBSTITUTE($B138,"SAMPLE-",""),"O-","o"))&amp;"-"&amp;IF($C138="qr","q","p"))</f>
        <v>SAMPLE-c008-o009-q</v>
      </c>
      <c r="E138" s="30" t="str">
        <f aca="false">IF($A138="","","https://"&amp;config!$B$9&amp;"/"&amp;$D138)</f>
        <v>https://go.example.com/SAMPLE-c008-o009-q</v>
      </c>
      <c r="F138" s="30" t="str">
        <f aca="false">IF($A138="","",$A138&amp;"."&amp;$B138)</f>
        <v>SAMPLE-CMP-008.SAMPLE-O-009</v>
      </c>
      <c r="G138" s="30" t="str">
        <f aca="false">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https://docs.google.com/forms/d/e/SAMPLE-CMP-008-FORM/viewform?usp=pp_url&amp;entry.1000001=SAMPLE-CMP-008.SAMPLE-O-009&amp;utm_source=office-pantry&amp;utm_medium=qr&amp;utm_campaign=sample-cmp-008&amp;utm_content=sample-o-009</v>
      </c>
      <c r="H138" s="30" t="str">
        <f aca="false">IF(OR($A138="",$C138&lt;&gt;"qr"),"",$D138&amp;".png")</f>
        <v>SAMPLE-c008-o009-q.png</v>
      </c>
      <c r="I138" s="30" t="str">
        <f aca="true">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ustomFormat="false" ht="15" hidden="false" customHeight="false" outlineLevel="0" collapsed="false">
      <c r="A139" s="30" t="str">
        <f aca="false">IF(INDEX(approvals!$A$2:$A$251,INT((ROW()-2)/2)+1)="","",INDEX(approvals!$A$2:$A$251,INT((ROW()-2)/2)+1))</f>
        <v>SAMPLE-CMP-008</v>
      </c>
      <c r="B139" s="30" t="str">
        <f aca="false">IF(INDEX(approvals!$A$2:$A$251,INT((ROW()-2)/2)+1)="","",INDEX(approvals!$B$2:$B$251,INT((ROW()-2)/2)+1))</f>
        <v>SAMPLE-O-009</v>
      </c>
      <c r="C139" s="30" t="str">
        <f aca="false">IF($A139="","",IF(MOD(ROW()-2,2)=0,"qr","post"))</f>
        <v>post</v>
      </c>
      <c r="D139" s="30" t="str">
        <f aca="false">IF($A139="","",IF(LEFT($A139,7)="SAMPLE-","SAMPLE-","")&amp;LOWER(SUBSTITUTE(SUBSTITUTE($A139,"SAMPLE-",""),"CMP-","c"))&amp;"-"&amp;LOWER(SUBSTITUTE(SUBSTITUTE($B139,"SAMPLE-",""),"O-","o"))&amp;"-"&amp;IF($C139="qr","q","p"))</f>
        <v>SAMPLE-c008-o009-p</v>
      </c>
      <c r="E139" s="30" t="str">
        <f aca="false">IF($A139="","","https://"&amp;config!$B$9&amp;"/"&amp;$D139)</f>
        <v>https://go.example.com/SAMPLE-c008-o009-p</v>
      </c>
      <c r="F139" s="30" t="str">
        <f aca="false">IF($A139="","",$A139&amp;"."&amp;$B139)</f>
        <v>SAMPLE-CMP-008.SAMPLE-O-009</v>
      </c>
      <c r="G139" s="30" t="str">
        <f aca="false">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https://docs.google.com/forms/d/e/SAMPLE-CMP-008-FORM/viewform?usp=pp_url&amp;entry.1000001=SAMPLE-CMP-008.SAMPLE-O-009&amp;utm_source=office-pantry&amp;utm_medium=post&amp;utm_campaign=sample-cmp-008&amp;utm_content=sample-o-009</v>
      </c>
      <c r="H139" s="30" t="str">
        <f aca="false">IF(OR($A139="",$C139&lt;&gt;"qr"),"",$D139&amp;".png")</f>
        <v/>
      </c>
      <c r="I139" s="30" t="str">
        <f aca="true">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ustomFormat="false" ht="15" hidden="false" customHeight="false" outlineLevel="0" collapsed="false">
      <c r="A140" s="30" t="str">
        <f aca="false">IF(INDEX(approvals!$A$2:$A$251,INT((ROW()-2)/2)+1)="","",INDEX(approvals!$A$2:$A$251,INT((ROW()-2)/2)+1))</f>
        <v>SAMPLE-CMP-008</v>
      </c>
      <c r="B140" s="30" t="str">
        <f aca="false">IF(INDEX(approvals!$A$2:$A$251,INT((ROW()-2)/2)+1)="","",INDEX(approvals!$B$2:$B$251,INT((ROW()-2)/2)+1))</f>
        <v>SAMPLE-O-010</v>
      </c>
      <c r="C140" s="30" t="str">
        <f aca="false">IF($A140="","",IF(MOD(ROW()-2,2)=0,"qr","post"))</f>
        <v>qr</v>
      </c>
      <c r="D140" s="30" t="str">
        <f aca="false">IF($A140="","",IF(LEFT($A140,7)="SAMPLE-","SAMPLE-","")&amp;LOWER(SUBSTITUTE(SUBSTITUTE($A140,"SAMPLE-",""),"CMP-","c"))&amp;"-"&amp;LOWER(SUBSTITUTE(SUBSTITUTE($B140,"SAMPLE-",""),"O-","o"))&amp;"-"&amp;IF($C140="qr","q","p"))</f>
        <v>SAMPLE-c008-o010-q</v>
      </c>
      <c r="E140" s="30" t="str">
        <f aca="false">IF($A140="","","https://"&amp;config!$B$9&amp;"/"&amp;$D140)</f>
        <v>https://go.example.com/SAMPLE-c008-o010-q</v>
      </c>
      <c r="F140" s="30" t="str">
        <f aca="false">IF($A140="","",$A140&amp;"."&amp;$B140)</f>
        <v>SAMPLE-CMP-008.SAMPLE-O-010</v>
      </c>
      <c r="G140" s="30" t="str">
        <f aca="false">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https://docs.google.com/forms/d/e/SAMPLE-CMP-008-FORM/viewform?usp=pp_url&amp;entry.1000001=SAMPLE-CMP-008.SAMPLE-O-010&amp;utm_source=office-pantry&amp;utm_medium=qr&amp;utm_campaign=sample-cmp-008&amp;utm_content=sample-o-010</v>
      </c>
      <c r="H140" s="30" t="str">
        <f aca="false">IF(OR($A140="",$C140&lt;&gt;"qr"),"",$D140&amp;".png")</f>
        <v>SAMPLE-c008-o010-q.png</v>
      </c>
      <c r="I140" s="30" t="str">
        <f aca="true">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ustomFormat="false" ht="15" hidden="false" customHeight="false" outlineLevel="0" collapsed="false">
      <c r="A141" s="30" t="str">
        <f aca="false">IF(INDEX(approvals!$A$2:$A$251,INT((ROW()-2)/2)+1)="","",INDEX(approvals!$A$2:$A$251,INT((ROW()-2)/2)+1))</f>
        <v>SAMPLE-CMP-008</v>
      </c>
      <c r="B141" s="30" t="str">
        <f aca="false">IF(INDEX(approvals!$A$2:$A$251,INT((ROW()-2)/2)+1)="","",INDEX(approvals!$B$2:$B$251,INT((ROW()-2)/2)+1))</f>
        <v>SAMPLE-O-010</v>
      </c>
      <c r="C141" s="30" t="str">
        <f aca="false">IF($A141="","",IF(MOD(ROW()-2,2)=0,"qr","post"))</f>
        <v>post</v>
      </c>
      <c r="D141" s="30" t="str">
        <f aca="false">IF($A141="","",IF(LEFT($A141,7)="SAMPLE-","SAMPLE-","")&amp;LOWER(SUBSTITUTE(SUBSTITUTE($A141,"SAMPLE-",""),"CMP-","c"))&amp;"-"&amp;LOWER(SUBSTITUTE(SUBSTITUTE($B141,"SAMPLE-",""),"O-","o"))&amp;"-"&amp;IF($C141="qr","q","p"))</f>
        <v>SAMPLE-c008-o010-p</v>
      </c>
      <c r="E141" s="30" t="str">
        <f aca="false">IF($A141="","","https://"&amp;config!$B$9&amp;"/"&amp;$D141)</f>
        <v>https://go.example.com/SAMPLE-c008-o010-p</v>
      </c>
      <c r="F141" s="30" t="str">
        <f aca="false">IF($A141="","",$A141&amp;"."&amp;$B141)</f>
        <v>SAMPLE-CMP-008.SAMPLE-O-010</v>
      </c>
      <c r="G141" s="30" t="str">
        <f aca="false">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https://docs.google.com/forms/d/e/SAMPLE-CMP-008-FORM/viewform?usp=pp_url&amp;entry.1000001=SAMPLE-CMP-008.SAMPLE-O-010&amp;utm_source=office-pantry&amp;utm_medium=post&amp;utm_campaign=sample-cmp-008&amp;utm_content=sample-o-010</v>
      </c>
      <c r="H141" s="30" t="str">
        <f aca="false">IF(OR($A141="",$C141&lt;&gt;"qr"),"",$D141&amp;".png")</f>
        <v/>
      </c>
      <c r="I141" s="30" t="str">
        <f aca="true">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ustomFormat="false" ht="15" hidden="false" customHeight="false" outlineLevel="0" collapsed="false">
      <c r="A142" s="30" t="str">
        <f aca="false">IF(INDEX(approvals!$A$2:$A$251,INT((ROW()-2)/2)+1)="","",INDEX(approvals!$A$2:$A$251,INT((ROW()-2)/2)+1))</f>
        <v/>
      </c>
      <c r="B142" s="30" t="str">
        <f aca="false">IF(INDEX(approvals!$A$2:$A$251,INT((ROW()-2)/2)+1)="","",INDEX(approvals!$B$2:$B$251,INT((ROW()-2)/2)+1))</f>
        <v/>
      </c>
      <c r="C142" s="30" t="str">
        <f aca="false">IF($A142="","",IF(MOD(ROW()-2,2)=0,"qr","post"))</f>
        <v/>
      </c>
      <c r="D142" s="30" t="str">
        <f aca="false">IF($A142="","",IF(LEFT($A142,7)="SAMPLE-","SAMPLE-","")&amp;LOWER(SUBSTITUTE(SUBSTITUTE($A142,"SAMPLE-",""),"CMP-","c"))&amp;"-"&amp;LOWER(SUBSTITUTE(SUBSTITUTE($B142,"SAMPLE-",""),"O-","o"))&amp;"-"&amp;IF($C142="qr","q","p"))</f>
        <v/>
      </c>
      <c r="E142" s="30" t="str">
        <f aca="false">IF($A142="","","https://"&amp;config!$B$9&amp;"/"&amp;$D142)</f>
        <v/>
      </c>
      <c r="F142" s="30" t="str">
        <f aca="false">IF($A142="","",$A142&amp;"."&amp;$B142)</f>
        <v/>
      </c>
      <c r="G142" s="30" t="str">
        <f aca="false">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30" t="str">
        <f aca="false">IF(OR($A142="",$C142&lt;&gt;"qr"),"",$D142&amp;".png")</f>
        <v/>
      </c>
      <c r="I142" s="30" t="str">
        <f aca="true">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ustomFormat="false" ht="15" hidden="false" customHeight="false" outlineLevel="0" collapsed="false">
      <c r="A143" s="30" t="str">
        <f aca="false">IF(INDEX(approvals!$A$2:$A$251,INT((ROW()-2)/2)+1)="","",INDEX(approvals!$A$2:$A$251,INT((ROW()-2)/2)+1))</f>
        <v/>
      </c>
      <c r="B143" s="30" t="str">
        <f aca="false">IF(INDEX(approvals!$A$2:$A$251,INT((ROW()-2)/2)+1)="","",INDEX(approvals!$B$2:$B$251,INT((ROW()-2)/2)+1))</f>
        <v/>
      </c>
      <c r="C143" s="30" t="str">
        <f aca="false">IF($A143="","",IF(MOD(ROW()-2,2)=0,"qr","post"))</f>
        <v/>
      </c>
      <c r="D143" s="30" t="str">
        <f aca="false">IF($A143="","",IF(LEFT($A143,7)="SAMPLE-","SAMPLE-","")&amp;LOWER(SUBSTITUTE(SUBSTITUTE($A143,"SAMPLE-",""),"CMP-","c"))&amp;"-"&amp;LOWER(SUBSTITUTE(SUBSTITUTE($B143,"SAMPLE-",""),"O-","o"))&amp;"-"&amp;IF($C143="qr","q","p"))</f>
        <v/>
      </c>
      <c r="E143" s="30" t="str">
        <f aca="false">IF($A143="","","https://"&amp;config!$B$9&amp;"/"&amp;$D143)</f>
        <v/>
      </c>
      <c r="F143" s="30" t="str">
        <f aca="false">IF($A143="","",$A143&amp;"."&amp;$B143)</f>
        <v/>
      </c>
      <c r="G143" s="30" t="str">
        <f aca="false">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30" t="str">
        <f aca="false">IF(OR($A143="",$C143&lt;&gt;"qr"),"",$D143&amp;".png")</f>
        <v/>
      </c>
      <c r="I143" s="30" t="str">
        <f aca="true">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ustomFormat="false" ht="15" hidden="false" customHeight="false" outlineLevel="0" collapsed="false">
      <c r="A144" s="30" t="str">
        <f aca="false">IF(INDEX(approvals!$A$2:$A$251,INT((ROW()-2)/2)+1)="","",INDEX(approvals!$A$2:$A$251,INT((ROW()-2)/2)+1))</f>
        <v/>
      </c>
      <c r="B144" s="30" t="str">
        <f aca="false">IF(INDEX(approvals!$A$2:$A$251,INT((ROW()-2)/2)+1)="","",INDEX(approvals!$B$2:$B$251,INT((ROW()-2)/2)+1))</f>
        <v/>
      </c>
      <c r="C144" s="30" t="str">
        <f aca="false">IF($A144="","",IF(MOD(ROW()-2,2)=0,"qr","post"))</f>
        <v/>
      </c>
      <c r="D144" s="30" t="str">
        <f aca="false">IF($A144="","",IF(LEFT($A144,7)="SAMPLE-","SAMPLE-","")&amp;LOWER(SUBSTITUTE(SUBSTITUTE($A144,"SAMPLE-",""),"CMP-","c"))&amp;"-"&amp;LOWER(SUBSTITUTE(SUBSTITUTE($B144,"SAMPLE-",""),"O-","o"))&amp;"-"&amp;IF($C144="qr","q","p"))</f>
        <v/>
      </c>
      <c r="E144" s="30" t="str">
        <f aca="false">IF($A144="","","https://"&amp;config!$B$9&amp;"/"&amp;$D144)</f>
        <v/>
      </c>
      <c r="F144" s="30" t="str">
        <f aca="false">IF($A144="","",$A144&amp;"."&amp;$B144)</f>
        <v/>
      </c>
      <c r="G144" s="30" t="str">
        <f aca="false">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30" t="str">
        <f aca="false">IF(OR($A144="",$C144&lt;&gt;"qr"),"",$D144&amp;".png")</f>
        <v/>
      </c>
      <c r="I144" s="30" t="str">
        <f aca="true">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ustomFormat="false" ht="15" hidden="false" customHeight="false" outlineLevel="0" collapsed="false">
      <c r="A145" s="30" t="str">
        <f aca="false">IF(INDEX(approvals!$A$2:$A$251,INT((ROW()-2)/2)+1)="","",INDEX(approvals!$A$2:$A$251,INT((ROW()-2)/2)+1))</f>
        <v/>
      </c>
      <c r="B145" s="30" t="str">
        <f aca="false">IF(INDEX(approvals!$A$2:$A$251,INT((ROW()-2)/2)+1)="","",INDEX(approvals!$B$2:$B$251,INT((ROW()-2)/2)+1))</f>
        <v/>
      </c>
      <c r="C145" s="30" t="str">
        <f aca="false">IF($A145="","",IF(MOD(ROW()-2,2)=0,"qr","post"))</f>
        <v/>
      </c>
      <c r="D145" s="30" t="str">
        <f aca="false">IF($A145="","",IF(LEFT($A145,7)="SAMPLE-","SAMPLE-","")&amp;LOWER(SUBSTITUTE(SUBSTITUTE($A145,"SAMPLE-",""),"CMP-","c"))&amp;"-"&amp;LOWER(SUBSTITUTE(SUBSTITUTE($B145,"SAMPLE-",""),"O-","o"))&amp;"-"&amp;IF($C145="qr","q","p"))</f>
        <v/>
      </c>
      <c r="E145" s="30" t="str">
        <f aca="false">IF($A145="","","https://"&amp;config!$B$9&amp;"/"&amp;$D145)</f>
        <v/>
      </c>
      <c r="F145" s="30" t="str">
        <f aca="false">IF($A145="","",$A145&amp;"."&amp;$B145)</f>
        <v/>
      </c>
      <c r="G145" s="30" t="str">
        <f aca="false">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30" t="str">
        <f aca="false">IF(OR($A145="",$C145&lt;&gt;"qr"),"",$D145&amp;".png")</f>
        <v/>
      </c>
      <c r="I145" s="30" t="str">
        <f aca="true">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ustomFormat="false" ht="15" hidden="false" customHeight="false" outlineLevel="0" collapsed="false">
      <c r="A146" s="30" t="str">
        <f aca="false">IF(INDEX(approvals!$A$2:$A$251,INT((ROW()-2)/2)+1)="","",INDEX(approvals!$A$2:$A$251,INT((ROW()-2)/2)+1))</f>
        <v/>
      </c>
      <c r="B146" s="30" t="str">
        <f aca="false">IF(INDEX(approvals!$A$2:$A$251,INT((ROW()-2)/2)+1)="","",INDEX(approvals!$B$2:$B$251,INT((ROW()-2)/2)+1))</f>
        <v/>
      </c>
      <c r="C146" s="30" t="str">
        <f aca="false">IF($A146="","",IF(MOD(ROW()-2,2)=0,"qr","post"))</f>
        <v/>
      </c>
      <c r="D146" s="30" t="str">
        <f aca="false">IF($A146="","",IF(LEFT($A146,7)="SAMPLE-","SAMPLE-","")&amp;LOWER(SUBSTITUTE(SUBSTITUTE($A146,"SAMPLE-",""),"CMP-","c"))&amp;"-"&amp;LOWER(SUBSTITUTE(SUBSTITUTE($B146,"SAMPLE-",""),"O-","o"))&amp;"-"&amp;IF($C146="qr","q","p"))</f>
        <v/>
      </c>
      <c r="E146" s="30" t="str">
        <f aca="false">IF($A146="","","https://"&amp;config!$B$9&amp;"/"&amp;$D146)</f>
        <v/>
      </c>
      <c r="F146" s="30" t="str">
        <f aca="false">IF($A146="","",$A146&amp;"."&amp;$B146)</f>
        <v/>
      </c>
      <c r="G146" s="30" t="str">
        <f aca="false">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30" t="str">
        <f aca="false">IF(OR($A146="",$C146&lt;&gt;"qr"),"",$D146&amp;".png")</f>
        <v/>
      </c>
      <c r="I146" s="30" t="str">
        <f aca="true">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ustomFormat="false" ht="15" hidden="false" customHeight="false" outlineLevel="0" collapsed="false">
      <c r="A147" s="30" t="str">
        <f aca="false">IF(INDEX(approvals!$A$2:$A$251,INT((ROW()-2)/2)+1)="","",INDEX(approvals!$A$2:$A$251,INT((ROW()-2)/2)+1))</f>
        <v/>
      </c>
      <c r="B147" s="30" t="str">
        <f aca="false">IF(INDEX(approvals!$A$2:$A$251,INT((ROW()-2)/2)+1)="","",INDEX(approvals!$B$2:$B$251,INT((ROW()-2)/2)+1))</f>
        <v/>
      </c>
      <c r="C147" s="30" t="str">
        <f aca="false">IF($A147="","",IF(MOD(ROW()-2,2)=0,"qr","post"))</f>
        <v/>
      </c>
      <c r="D147" s="30" t="str">
        <f aca="false">IF($A147="","",IF(LEFT($A147,7)="SAMPLE-","SAMPLE-","")&amp;LOWER(SUBSTITUTE(SUBSTITUTE($A147,"SAMPLE-",""),"CMP-","c"))&amp;"-"&amp;LOWER(SUBSTITUTE(SUBSTITUTE($B147,"SAMPLE-",""),"O-","o"))&amp;"-"&amp;IF($C147="qr","q","p"))</f>
        <v/>
      </c>
      <c r="E147" s="30" t="str">
        <f aca="false">IF($A147="","","https://"&amp;config!$B$9&amp;"/"&amp;$D147)</f>
        <v/>
      </c>
      <c r="F147" s="30" t="str">
        <f aca="false">IF($A147="","",$A147&amp;"."&amp;$B147)</f>
        <v/>
      </c>
      <c r="G147" s="30" t="str">
        <f aca="false">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30" t="str">
        <f aca="false">IF(OR($A147="",$C147&lt;&gt;"qr"),"",$D147&amp;".png")</f>
        <v/>
      </c>
      <c r="I147" s="30" t="str">
        <f aca="true">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ustomFormat="false" ht="15" hidden="false" customHeight="false" outlineLevel="0" collapsed="false">
      <c r="A148" s="30" t="str">
        <f aca="false">IF(INDEX(approvals!$A$2:$A$251,INT((ROW()-2)/2)+1)="","",INDEX(approvals!$A$2:$A$251,INT((ROW()-2)/2)+1))</f>
        <v/>
      </c>
      <c r="B148" s="30" t="str">
        <f aca="false">IF(INDEX(approvals!$A$2:$A$251,INT((ROW()-2)/2)+1)="","",INDEX(approvals!$B$2:$B$251,INT((ROW()-2)/2)+1))</f>
        <v/>
      </c>
      <c r="C148" s="30" t="str">
        <f aca="false">IF($A148="","",IF(MOD(ROW()-2,2)=0,"qr","post"))</f>
        <v/>
      </c>
      <c r="D148" s="30" t="str">
        <f aca="false">IF($A148="","",IF(LEFT($A148,7)="SAMPLE-","SAMPLE-","")&amp;LOWER(SUBSTITUTE(SUBSTITUTE($A148,"SAMPLE-",""),"CMP-","c"))&amp;"-"&amp;LOWER(SUBSTITUTE(SUBSTITUTE($B148,"SAMPLE-",""),"O-","o"))&amp;"-"&amp;IF($C148="qr","q","p"))</f>
        <v/>
      </c>
      <c r="E148" s="30" t="str">
        <f aca="false">IF($A148="","","https://"&amp;config!$B$9&amp;"/"&amp;$D148)</f>
        <v/>
      </c>
      <c r="F148" s="30" t="str">
        <f aca="false">IF($A148="","",$A148&amp;"."&amp;$B148)</f>
        <v/>
      </c>
      <c r="G148" s="30" t="str">
        <f aca="false">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30" t="str">
        <f aca="false">IF(OR($A148="",$C148&lt;&gt;"qr"),"",$D148&amp;".png")</f>
        <v/>
      </c>
      <c r="I148" s="30" t="str">
        <f aca="true">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ustomFormat="false" ht="15" hidden="false" customHeight="false" outlineLevel="0" collapsed="false">
      <c r="A149" s="30" t="str">
        <f aca="false">IF(INDEX(approvals!$A$2:$A$251,INT((ROW()-2)/2)+1)="","",INDEX(approvals!$A$2:$A$251,INT((ROW()-2)/2)+1))</f>
        <v/>
      </c>
      <c r="B149" s="30" t="str">
        <f aca="false">IF(INDEX(approvals!$A$2:$A$251,INT((ROW()-2)/2)+1)="","",INDEX(approvals!$B$2:$B$251,INT((ROW()-2)/2)+1))</f>
        <v/>
      </c>
      <c r="C149" s="30" t="str">
        <f aca="false">IF($A149="","",IF(MOD(ROW()-2,2)=0,"qr","post"))</f>
        <v/>
      </c>
      <c r="D149" s="30" t="str">
        <f aca="false">IF($A149="","",IF(LEFT($A149,7)="SAMPLE-","SAMPLE-","")&amp;LOWER(SUBSTITUTE(SUBSTITUTE($A149,"SAMPLE-",""),"CMP-","c"))&amp;"-"&amp;LOWER(SUBSTITUTE(SUBSTITUTE($B149,"SAMPLE-",""),"O-","o"))&amp;"-"&amp;IF($C149="qr","q","p"))</f>
        <v/>
      </c>
      <c r="E149" s="30" t="str">
        <f aca="false">IF($A149="","","https://"&amp;config!$B$9&amp;"/"&amp;$D149)</f>
        <v/>
      </c>
      <c r="F149" s="30" t="str">
        <f aca="false">IF($A149="","",$A149&amp;"."&amp;$B149)</f>
        <v/>
      </c>
      <c r="G149" s="30" t="str">
        <f aca="false">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30" t="str">
        <f aca="false">IF(OR($A149="",$C149&lt;&gt;"qr"),"",$D149&amp;".png")</f>
        <v/>
      </c>
      <c r="I149" s="30" t="str">
        <f aca="true">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ustomFormat="false" ht="15" hidden="false" customHeight="false" outlineLevel="0" collapsed="false">
      <c r="A150" s="30" t="str">
        <f aca="false">IF(INDEX(approvals!$A$2:$A$251,INT((ROW()-2)/2)+1)="","",INDEX(approvals!$A$2:$A$251,INT((ROW()-2)/2)+1))</f>
        <v/>
      </c>
      <c r="B150" s="30" t="str">
        <f aca="false">IF(INDEX(approvals!$A$2:$A$251,INT((ROW()-2)/2)+1)="","",INDEX(approvals!$B$2:$B$251,INT((ROW()-2)/2)+1))</f>
        <v/>
      </c>
      <c r="C150" s="30" t="str">
        <f aca="false">IF($A150="","",IF(MOD(ROW()-2,2)=0,"qr","post"))</f>
        <v/>
      </c>
      <c r="D150" s="30" t="str">
        <f aca="false">IF($A150="","",IF(LEFT($A150,7)="SAMPLE-","SAMPLE-","")&amp;LOWER(SUBSTITUTE(SUBSTITUTE($A150,"SAMPLE-",""),"CMP-","c"))&amp;"-"&amp;LOWER(SUBSTITUTE(SUBSTITUTE($B150,"SAMPLE-",""),"O-","o"))&amp;"-"&amp;IF($C150="qr","q","p"))</f>
        <v/>
      </c>
      <c r="E150" s="30" t="str">
        <f aca="false">IF($A150="","","https://"&amp;config!$B$9&amp;"/"&amp;$D150)</f>
        <v/>
      </c>
      <c r="F150" s="30" t="str">
        <f aca="false">IF($A150="","",$A150&amp;"."&amp;$B150)</f>
        <v/>
      </c>
      <c r="G150" s="30" t="str">
        <f aca="false">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30" t="str">
        <f aca="false">IF(OR($A150="",$C150&lt;&gt;"qr"),"",$D150&amp;".png")</f>
        <v/>
      </c>
      <c r="I150" s="30" t="str">
        <f aca="true">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ustomFormat="false" ht="15" hidden="false" customHeight="false" outlineLevel="0" collapsed="false">
      <c r="A151" s="30" t="str">
        <f aca="false">IF(INDEX(approvals!$A$2:$A$251,INT((ROW()-2)/2)+1)="","",INDEX(approvals!$A$2:$A$251,INT((ROW()-2)/2)+1))</f>
        <v/>
      </c>
      <c r="B151" s="30" t="str">
        <f aca="false">IF(INDEX(approvals!$A$2:$A$251,INT((ROW()-2)/2)+1)="","",INDEX(approvals!$B$2:$B$251,INT((ROW()-2)/2)+1))</f>
        <v/>
      </c>
      <c r="C151" s="30" t="str">
        <f aca="false">IF($A151="","",IF(MOD(ROW()-2,2)=0,"qr","post"))</f>
        <v/>
      </c>
      <c r="D151" s="30" t="str">
        <f aca="false">IF($A151="","",IF(LEFT($A151,7)="SAMPLE-","SAMPLE-","")&amp;LOWER(SUBSTITUTE(SUBSTITUTE($A151,"SAMPLE-",""),"CMP-","c"))&amp;"-"&amp;LOWER(SUBSTITUTE(SUBSTITUTE($B151,"SAMPLE-",""),"O-","o"))&amp;"-"&amp;IF($C151="qr","q","p"))</f>
        <v/>
      </c>
      <c r="E151" s="30" t="str">
        <f aca="false">IF($A151="","","https://"&amp;config!$B$9&amp;"/"&amp;$D151)</f>
        <v/>
      </c>
      <c r="F151" s="30" t="str">
        <f aca="false">IF($A151="","",$A151&amp;"."&amp;$B151)</f>
        <v/>
      </c>
      <c r="G151" s="30" t="str">
        <f aca="false">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30" t="str">
        <f aca="false">IF(OR($A151="",$C151&lt;&gt;"qr"),"",$D151&amp;".png")</f>
        <v/>
      </c>
      <c r="I151" s="30" t="str">
        <f aca="true">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ustomFormat="false" ht="15" hidden="false" customHeight="false" outlineLevel="0" collapsed="false">
      <c r="A152" s="30" t="str">
        <f aca="false">IF(INDEX(approvals!$A$2:$A$251,INT((ROW()-2)/2)+1)="","",INDEX(approvals!$A$2:$A$251,INT((ROW()-2)/2)+1))</f>
        <v/>
      </c>
      <c r="B152" s="30" t="str">
        <f aca="false">IF(INDEX(approvals!$A$2:$A$251,INT((ROW()-2)/2)+1)="","",INDEX(approvals!$B$2:$B$251,INT((ROW()-2)/2)+1))</f>
        <v/>
      </c>
      <c r="C152" s="30" t="str">
        <f aca="false">IF($A152="","",IF(MOD(ROW()-2,2)=0,"qr","post"))</f>
        <v/>
      </c>
      <c r="D152" s="30" t="str">
        <f aca="false">IF($A152="","",IF(LEFT($A152,7)="SAMPLE-","SAMPLE-","")&amp;LOWER(SUBSTITUTE(SUBSTITUTE($A152,"SAMPLE-",""),"CMP-","c"))&amp;"-"&amp;LOWER(SUBSTITUTE(SUBSTITUTE($B152,"SAMPLE-",""),"O-","o"))&amp;"-"&amp;IF($C152="qr","q","p"))</f>
        <v/>
      </c>
      <c r="E152" s="30" t="str">
        <f aca="false">IF($A152="","","https://"&amp;config!$B$9&amp;"/"&amp;$D152)</f>
        <v/>
      </c>
      <c r="F152" s="30" t="str">
        <f aca="false">IF($A152="","",$A152&amp;"."&amp;$B152)</f>
        <v/>
      </c>
      <c r="G152" s="30" t="str">
        <f aca="false">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30" t="str">
        <f aca="false">IF(OR($A152="",$C152&lt;&gt;"qr"),"",$D152&amp;".png")</f>
        <v/>
      </c>
      <c r="I152" s="30" t="str">
        <f aca="true">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ustomFormat="false" ht="15" hidden="false" customHeight="false" outlineLevel="0" collapsed="false">
      <c r="A153" s="30" t="str">
        <f aca="false">IF(INDEX(approvals!$A$2:$A$251,INT((ROW()-2)/2)+1)="","",INDEX(approvals!$A$2:$A$251,INT((ROW()-2)/2)+1))</f>
        <v/>
      </c>
      <c r="B153" s="30" t="str">
        <f aca="false">IF(INDEX(approvals!$A$2:$A$251,INT((ROW()-2)/2)+1)="","",INDEX(approvals!$B$2:$B$251,INT((ROW()-2)/2)+1))</f>
        <v/>
      </c>
      <c r="C153" s="30" t="str">
        <f aca="false">IF($A153="","",IF(MOD(ROW()-2,2)=0,"qr","post"))</f>
        <v/>
      </c>
      <c r="D153" s="30" t="str">
        <f aca="false">IF($A153="","",IF(LEFT($A153,7)="SAMPLE-","SAMPLE-","")&amp;LOWER(SUBSTITUTE(SUBSTITUTE($A153,"SAMPLE-",""),"CMP-","c"))&amp;"-"&amp;LOWER(SUBSTITUTE(SUBSTITUTE($B153,"SAMPLE-",""),"O-","o"))&amp;"-"&amp;IF($C153="qr","q","p"))</f>
        <v/>
      </c>
      <c r="E153" s="30" t="str">
        <f aca="false">IF($A153="","","https://"&amp;config!$B$9&amp;"/"&amp;$D153)</f>
        <v/>
      </c>
      <c r="F153" s="30" t="str">
        <f aca="false">IF($A153="","",$A153&amp;"."&amp;$B153)</f>
        <v/>
      </c>
      <c r="G153" s="30" t="str">
        <f aca="false">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30" t="str">
        <f aca="false">IF(OR($A153="",$C153&lt;&gt;"qr"),"",$D153&amp;".png")</f>
        <v/>
      </c>
      <c r="I153" s="30" t="str">
        <f aca="true">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ustomFormat="false" ht="15" hidden="false" customHeight="false" outlineLevel="0" collapsed="false">
      <c r="A154" s="30" t="str">
        <f aca="false">IF(INDEX(approvals!$A$2:$A$251,INT((ROW()-2)/2)+1)="","",INDEX(approvals!$A$2:$A$251,INT((ROW()-2)/2)+1))</f>
        <v/>
      </c>
      <c r="B154" s="30" t="str">
        <f aca="false">IF(INDEX(approvals!$A$2:$A$251,INT((ROW()-2)/2)+1)="","",INDEX(approvals!$B$2:$B$251,INT((ROW()-2)/2)+1))</f>
        <v/>
      </c>
      <c r="C154" s="30" t="str">
        <f aca="false">IF($A154="","",IF(MOD(ROW()-2,2)=0,"qr","post"))</f>
        <v/>
      </c>
      <c r="D154" s="30" t="str">
        <f aca="false">IF($A154="","",IF(LEFT($A154,7)="SAMPLE-","SAMPLE-","")&amp;LOWER(SUBSTITUTE(SUBSTITUTE($A154,"SAMPLE-",""),"CMP-","c"))&amp;"-"&amp;LOWER(SUBSTITUTE(SUBSTITUTE($B154,"SAMPLE-",""),"O-","o"))&amp;"-"&amp;IF($C154="qr","q","p"))</f>
        <v/>
      </c>
      <c r="E154" s="30" t="str">
        <f aca="false">IF($A154="","","https://"&amp;config!$B$9&amp;"/"&amp;$D154)</f>
        <v/>
      </c>
      <c r="F154" s="30" t="str">
        <f aca="false">IF($A154="","",$A154&amp;"."&amp;$B154)</f>
        <v/>
      </c>
      <c r="G154" s="30" t="str">
        <f aca="false">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30" t="str">
        <f aca="false">IF(OR($A154="",$C154&lt;&gt;"qr"),"",$D154&amp;".png")</f>
        <v/>
      </c>
      <c r="I154" s="30" t="str">
        <f aca="true">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ustomFormat="false" ht="15" hidden="false" customHeight="false" outlineLevel="0" collapsed="false">
      <c r="A155" s="30" t="str">
        <f aca="false">IF(INDEX(approvals!$A$2:$A$251,INT((ROW()-2)/2)+1)="","",INDEX(approvals!$A$2:$A$251,INT((ROW()-2)/2)+1))</f>
        <v/>
      </c>
      <c r="B155" s="30" t="str">
        <f aca="false">IF(INDEX(approvals!$A$2:$A$251,INT((ROW()-2)/2)+1)="","",INDEX(approvals!$B$2:$B$251,INT((ROW()-2)/2)+1))</f>
        <v/>
      </c>
      <c r="C155" s="30" t="str">
        <f aca="false">IF($A155="","",IF(MOD(ROW()-2,2)=0,"qr","post"))</f>
        <v/>
      </c>
      <c r="D155" s="30" t="str">
        <f aca="false">IF($A155="","",IF(LEFT($A155,7)="SAMPLE-","SAMPLE-","")&amp;LOWER(SUBSTITUTE(SUBSTITUTE($A155,"SAMPLE-",""),"CMP-","c"))&amp;"-"&amp;LOWER(SUBSTITUTE(SUBSTITUTE($B155,"SAMPLE-",""),"O-","o"))&amp;"-"&amp;IF($C155="qr","q","p"))</f>
        <v/>
      </c>
      <c r="E155" s="30" t="str">
        <f aca="false">IF($A155="","","https://"&amp;config!$B$9&amp;"/"&amp;$D155)</f>
        <v/>
      </c>
      <c r="F155" s="30" t="str">
        <f aca="false">IF($A155="","",$A155&amp;"."&amp;$B155)</f>
        <v/>
      </c>
      <c r="G155" s="30" t="str">
        <f aca="false">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30" t="str">
        <f aca="false">IF(OR($A155="",$C155&lt;&gt;"qr"),"",$D155&amp;".png")</f>
        <v/>
      </c>
      <c r="I155" s="30" t="str">
        <f aca="true">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ustomFormat="false" ht="15" hidden="false" customHeight="false" outlineLevel="0" collapsed="false">
      <c r="A156" s="30" t="str">
        <f aca="false">IF(INDEX(approvals!$A$2:$A$251,INT((ROW()-2)/2)+1)="","",INDEX(approvals!$A$2:$A$251,INT((ROW()-2)/2)+1))</f>
        <v/>
      </c>
      <c r="B156" s="30" t="str">
        <f aca="false">IF(INDEX(approvals!$A$2:$A$251,INT((ROW()-2)/2)+1)="","",INDEX(approvals!$B$2:$B$251,INT((ROW()-2)/2)+1))</f>
        <v/>
      </c>
      <c r="C156" s="30" t="str">
        <f aca="false">IF($A156="","",IF(MOD(ROW()-2,2)=0,"qr","post"))</f>
        <v/>
      </c>
      <c r="D156" s="30" t="str">
        <f aca="false">IF($A156="","",IF(LEFT($A156,7)="SAMPLE-","SAMPLE-","")&amp;LOWER(SUBSTITUTE(SUBSTITUTE($A156,"SAMPLE-",""),"CMP-","c"))&amp;"-"&amp;LOWER(SUBSTITUTE(SUBSTITUTE($B156,"SAMPLE-",""),"O-","o"))&amp;"-"&amp;IF($C156="qr","q","p"))</f>
        <v/>
      </c>
      <c r="E156" s="30" t="str">
        <f aca="false">IF($A156="","","https://"&amp;config!$B$9&amp;"/"&amp;$D156)</f>
        <v/>
      </c>
      <c r="F156" s="30" t="str">
        <f aca="false">IF($A156="","",$A156&amp;"."&amp;$B156)</f>
        <v/>
      </c>
      <c r="G156" s="30" t="str">
        <f aca="false">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30" t="str">
        <f aca="false">IF(OR($A156="",$C156&lt;&gt;"qr"),"",$D156&amp;".png")</f>
        <v/>
      </c>
      <c r="I156" s="30" t="str">
        <f aca="true">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ustomFormat="false" ht="15" hidden="false" customHeight="false" outlineLevel="0" collapsed="false">
      <c r="A157" s="30" t="str">
        <f aca="false">IF(INDEX(approvals!$A$2:$A$251,INT((ROW()-2)/2)+1)="","",INDEX(approvals!$A$2:$A$251,INT((ROW()-2)/2)+1))</f>
        <v/>
      </c>
      <c r="B157" s="30" t="str">
        <f aca="false">IF(INDEX(approvals!$A$2:$A$251,INT((ROW()-2)/2)+1)="","",INDEX(approvals!$B$2:$B$251,INT((ROW()-2)/2)+1))</f>
        <v/>
      </c>
      <c r="C157" s="30" t="str">
        <f aca="false">IF($A157="","",IF(MOD(ROW()-2,2)=0,"qr","post"))</f>
        <v/>
      </c>
      <c r="D157" s="30" t="str">
        <f aca="false">IF($A157="","",IF(LEFT($A157,7)="SAMPLE-","SAMPLE-","")&amp;LOWER(SUBSTITUTE(SUBSTITUTE($A157,"SAMPLE-",""),"CMP-","c"))&amp;"-"&amp;LOWER(SUBSTITUTE(SUBSTITUTE($B157,"SAMPLE-",""),"O-","o"))&amp;"-"&amp;IF($C157="qr","q","p"))</f>
        <v/>
      </c>
      <c r="E157" s="30" t="str">
        <f aca="false">IF($A157="","","https://"&amp;config!$B$9&amp;"/"&amp;$D157)</f>
        <v/>
      </c>
      <c r="F157" s="30" t="str">
        <f aca="false">IF($A157="","",$A157&amp;"."&amp;$B157)</f>
        <v/>
      </c>
      <c r="G157" s="30" t="str">
        <f aca="false">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30" t="str">
        <f aca="false">IF(OR($A157="",$C157&lt;&gt;"qr"),"",$D157&amp;".png")</f>
        <v/>
      </c>
      <c r="I157" s="30" t="str">
        <f aca="true">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ustomFormat="false" ht="15" hidden="false" customHeight="false" outlineLevel="0" collapsed="false">
      <c r="A158" s="30" t="str">
        <f aca="false">IF(INDEX(approvals!$A$2:$A$251,INT((ROW()-2)/2)+1)="","",INDEX(approvals!$A$2:$A$251,INT((ROW()-2)/2)+1))</f>
        <v/>
      </c>
      <c r="B158" s="30" t="str">
        <f aca="false">IF(INDEX(approvals!$A$2:$A$251,INT((ROW()-2)/2)+1)="","",INDEX(approvals!$B$2:$B$251,INT((ROW()-2)/2)+1))</f>
        <v/>
      </c>
      <c r="C158" s="30" t="str">
        <f aca="false">IF($A158="","",IF(MOD(ROW()-2,2)=0,"qr","post"))</f>
        <v/>
      </c>
      <c r="D158" s="30" t="str">
        <f aca="false">IF($A158="","",IF(LEFT($A158,7)="SAMPLE-","SAMPLE-","")&amp;LOWER(SUBSTITUTE(SUBSTITUTE($A158,"SAMPLE-",""),"CMP-","c"))&amp;"-"&amp;LOWER(SUBSTITUTE(SUBSTITUTE($B158,"SAMPLE-",""),"O-","o"))&amp;"-"&amp;IF($C158="qr","q","p"))</f>
        <v/>
      </c>
      <c r="E158" s="30" t="str">
        <f aca="false">IF($A158="","","https://"&amp;config!$B$9&amp;"/"&amp;$D158)</f>
        <v/>
      </c>
      <c r="F158" s="30" t="str">
        <f aca="false">IF($A158="","",$A158&amp;"."&amp;$B158)</f>
        <v/>
      </c>
      <c r="G158" s="30" t="str">
        <f aca="false">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30" t="str">
        <f aca="false">IF(OR($A158="",$C158&lt;&gt;"qr"),"",$D158&amp;".png")</f>
        <v/>
      </c>
      <c r="I158" s="30" t="str">
        <f aca="true">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ustomFormat="false" ht="15" hidden="false" customHeight="false" outlineLevel="0" collapsed="false">
      <c r="A159" s="30" t="str">
        <f aca="false">IF(INDEX(approvals!$A$2:$A$251,INT((ROW()-2)/2)+1)="","",INDEX(approvals!$A$2:$A$251,INT((ROW()-2)/2)+1))</f>
        <v/>
      </c>
      <c r="B159" s="30" t="str">
        <f aca="false">IF(INDEX(approvals!$A$2:$A$251,INT((ROW()-2)/2)+1)="","",INDEX(approvals!$B$2:$B$251,INT((ROW()-2)/2)+1))</f>
        <v/>
      </c>
      <c r="C159" s="30" t="str">
        <f aca="false">IF($A159="","",IF(MOD(ROW()-2,2)=0,"qr","post"))</f>
        <v/>
      </c>
      <c r="D159" s="30" t="str">
        <f aca="false">IF($A159="","",IF(LEFT($A159,7)="SAMPLE-","SAMPLE-","")&amp;LOWER(SUBSTITUTE(SUBSTITUTE($A159,"SAMPLE-",""),"CMP-","c"))&amp;"-"&amp;LOWER(SUBSTITUTE(SUBSTITUTE($B159,"SAMPLE-",""),"O-","o"))&amp;"-"&amp;IF($C159="qr","q","p"))</f>
        <v/>
      </c>
      <c r="E159" s="30" t="str">
        <f aca="false">IF($A159="","","https://"&amp;config!$B$9&amp;"/"&amp;$D159)</f>
        <v/>
      </c>
      <c r="F159" s="30" t="str">
        <f aca="false">IF($A159="","",$A159&amp;"."&amp;$B159)</f>
        <v/>
      </c>
      <c r="G159" s="30" t="str">
        <f aca="false">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30" t="str">
        <f aca="false">IF(OR($A159="",$C159&lt;&gt;"qr"),"",$D159&amp;".png")</f>
        <v/>
      </c>
      <c r="I159" s="30" t="str">
        <f aca="true">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ustomFormat="false" ht="15" hidden="false" customHeight="false" outlineLevel="0" collapsed="false">
      <c r="A160" s="30" t="str">
        <f aca="false">IF(INDEX(approvals!$A$2:$A$251,INT((ROW()-2)/2)+1)="","",INDEX(approvals!$A$2:$A$251,INT((ROW()-2)/2)+1))</f>
        <v/>
      </c>
      <c r="B160" s="30" t="str">
        <f aca="false">IF(INDEX(approvals!$A$2:$A$251,INT((ROW()-2)/2)+1)="","",INDEX(approvals!$B$2:$B$251,INT((ROW()-2)/2)+1))</f>
        <v/>
      </c>
      <c r="C160" s="30" t="str">
        <f aca="false">IF($A160="","",IF(MOD(ROW()-2,2)=0,"qr","post"))</f>
        <v/>
      </c>
      <c r="D160" s="30" t="str">
        <f aca="false">IF($A160="","",IF(LEFT($A160,7)="SAMPLE-","SAMPLE-","")&amp;LOWER(SUBSTITUTE(SUBSTITUTE($A160,"SAMPLE-",""),"CMP-","c"))&amp;"-"&amp;LOWER(SUBSTITUTE(SUBSTITUTE($B160,"SAMPLE-",""),"O-","o"))&amp;"-"&amp;IF($C160="qr","q","p"))</f>
        <v/>
      </c>
      <c r="E160" s="30" t="str">
        <f aca="false">IF($A160="","","https://"&amp;config!$B$9&amp;"/"&amp;$D160)</f>
        <v/>
      </c>
      <c r="F160" s="30" t="str">
        <f aca="false">IF($A160="","",$A160&amp;"."&amp;$B160)</f>
        <v/>
      </c>
      <c r="G160" s="30" t="str">
        <f aca="false">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30" t="str">
        <f aca="false">IF(OR($A160="",$C160&lt;&gt;"qr"),"",$D160&amp;".png")</f>
        <v/>
      </c>
      <c r="I160" s="30" t="str">
        <f aca="true">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ustomFormat="false" ht="15" hidden="false" customHeight="false" outlineLevel="0" collapsed="false">
      <c r="A161" s="30" t="str">
        <f aca="false">IF(INDEX(approvals!$A$2:$A$251,INT((ROW()-2)/2)+1)="","",INDEX(approvals!$A$2:$A$251,INT((ROW()-2)/2)+1))</f>
        <v/>
      </c>
      <c r="B161" s="30" t="str">
        <f aca="false">IF(INDEX(approvals!$A$2:$A$251,INT((ROW()-2)/2)+1)="","",INDEX(approvals!$B$2:$B$251,INT((ROW()-2)/2)+1))</f>
        <v/>
      </c>
      <c r="C161" s="30" t="str">
        <f aca="false">IF($A161="","",IF(MOD(ROW()-2,2)=0,"qr","post"))</f>
        <v/>
      </c>
      <c r="D161" s="30" t="str">
        <f aca="false">IF($A161="","",IF(LEFT($A161,7)="SAMPLE-","SAMPLE-","")&amp;LOWER(SUBSTITUTE(SUBSTITUTE($A161,"SAMPLE-",""),"CMP-","c"))&amp;"-"&amp;LOWER(SUBSTITUTE(SUBSTITUTE($B161,"SAMPLE-",""),"O-","o"))&amp;"-"&amp;IF($C161="qr","q","p"))</f>
        <v/>
      </c>
      <c r="E161" s="30" t="str">
        <f aca="false">IF($A161="","","https://"&amp;config!$B$9&amp;"/"&amp;$D161)</f>
        <v/>
      </c>
      <c r="F161" s="30" t="str">
        <f aca="false">IF($A161="","",$A161&amp;"."&amp;$B161)</f>
        <v/>
      </c>
      <c r="G161" s="30" t="str">
        <f aca="false">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30" t="str">
        <f aca="false">IF(OR($A161="",$C161&lt;&gt;"qr"),"",$D161&amp;".png")</f>
        <v/>
      </c>
      <c r="I161" s="30" t="str">
        <f aca="true">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ustomFormat="false" ht="15" hidden="false" customHeight="false" outlineLevel="0" collapsed="false">
      <c r="A162" s="30" t="str">
        <f aca="false">IF(INDEX(approvals!$A$2:$A$251,INT((ROW()-2)/2)+1)="","",INDEX(approvals!$A$2:$A$251,INT((ROW()-2)/2)+1))</f>
        <v/>
      </c>
      <c r="B162" s="30" t="str">
        <f aca="false">IF(INDEX(approvals!$A$2:$A$251,INT((ROW()-2)/2)+1)="","",INDEX(approvals!$B$2:$B$251,INT((ROW()-2)/2)+1))</f>
        <v/>
      </c>
      <c r="C162" s="30" t="str">
        <f aca="false">IF($A162="","",IF(MOD(ROW()-2,2)=0,"qr","post"))</f>
        <v/>
      </c>
      <c r="D162" s="30" t="str">
        <f aca="false">IF($A162="","",IF(LEFT($A162,7)="SAMPLE-","SAMPLE-","")&amp;LOWER(SUBSTITUTE(SUBSTITUTE($A162,"SAMPLE-",""),"CMP-","c"))&amp;"-"&amp;LOWER(SUBSTITUTE(SUBSTITUTE($B162,"SAMPLE-",""),"O-","o"))&amp;"-"&amp;IF($C162="qr","q","p"))</f>
        <v/>
      </c>
      <c r="E162" s="30" t="str">
        <f aca="false">IF($A162="","","https://"&amp;config!$B$9&amp;"/"&amp;$D162)</f>
        <v/>
      </c>
      <c r="F162" s="30" t="str">
        <f aca="false">IF($A162="","",$A162&amp;"."&amp;$B162)</f>
        <v/>
      </c>
      <c r="G162" s="30" t="str">
        <f aca="false">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30" t="str">
        <f aca="false">IF(OR($A162="",$C162&lt;&gt;"qr"),"",$D162&amp;".png")</f>
        <v/>
      </c>
      <c r="I162" s="30" t="str">
        <f aca="true">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ustomFormat="false" ht="15" hidden="false" customHeight="false" outlineLevel="0" collapsed="false">
      <c r="A163" s="30" t="str">
        <f aca="false">IF(INDEX(approvals!$A$2:$A$251,INT((ROW()-2)/2)+1)="","",INDEX(approvals!$A$2:$A$251,INT((ROW()-2)/2)+1))</f>
        <v/>
      </c>
      <c r="B163" s="30" t="str">
        <f aca="false">IF(INDEX(approvals!$A$2:$A$251,INT((ROW()-2)/2)+1)="","",INDEX(approvals!$B$2:$B$251,INT((ROW()-2)/2)+1))</f>
        <v/>
      </c>
      <c r="C163" s="30" t="str">
        <f aca="false">IF($A163="","",IF(MOD(ROW()-2,2)=0,"qr","post"))</f>
        <v/>
      </c>
      <c r="D163" s="30" t="str">
        <f aca="false">IF($A163="","",IF(LEFT($A163,7)="SAMPLE-","SAMPLE-","")&amp;LOWER(SUBSTITUTE(SUBSTITUTE($A163,"SAMPLE-",""),"CMP-","c"))&amp;"-"&amp;LOWER(SUBSTITUTE(SUBSTITUTE($B163,"SAMPLE-",""),"O-","o"))&amp;"-"&amp;IF($C163="qr","q","p"))</f>
        <v/>
      </c>
      <c r="E163" s="30" t="str">
        <f aca="false">IF($A163="","","https://"&amp;config!$B$9&amp;"/"&amp;$D163)</f>
        <v/>
      </c>
      <c r="F163" s="30" t="str">
        <f aca="false">IF($A163="","",$A163&amp;"."&amp;$B163)</f>
        <v/>
      </c>
      <c r="G163" s="30" t="str">
        <f aca="false">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30" t="str">
        <f aca="false">IF(OR($A163="",$C163&lt;&gt;"qr"),"",$D163&amp;".png")</f>
        <v/>
      </c>
      <c r="I163" s="30" t="str">
        <f aca="true">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ustomFormat="false" ht="15" hidden="false" customHeight="false" outlineLevel="0" collapsed="false">
      <c r="A164" s="30" t="str">
        <f aca="false">IF(INDEX(approvals!$A$2:$A$251,INT((ROW()-2)/2)+1)="","",INDEX(approvals!$A$2:$A$251,INT((ROW()-2)/2)+1))</f>
        <v/>
      </c>
      <c r="B164" s="30" t="str">
        <f aca="false">IF(INDEX(approvals!$A$2:$A$251,INT((ROW()-2)/2)+1)="","",INDEX(approvals!$B$2:$B$251,INT((ROW()-2)/2)+1))</f>
        <v/>
      </c>
      <c r="C164" s="30" t="str">
        <f aca="false">IF($A164="","",IF(MOD(ROW()-2,2)=0,"qr","post"))</f>
        <v/>
      </c>
      <c r="D164" s="30" t="str">
        <f aca="false">IF($A164="","",IF(LEFT($A164,7)="SAMPLE-","SAMPLE-","")&amp;LOWER(SUBSTITUTE(SUBSTITUTE($A164,"SAMPLE-",""),"CMP-","c"))&amp;"-"&amp;LOWER(SUBSTITUTE(SUBSTITUTE($B164,"SAMPLE-",""),"O-","o"))&amp;"-"&amp;IF($C164="qr","q","p"))</f>
        <v/>
      </c>
      <c r="E164" s="30" t="str">
        <f aca="false">IF($A164="","","https://"&amp;config!$B$9&amp;"/"&amp;$D164)</f>
        <v/>
      </c>
      <c r="F164" s="30" t="str">
        <f aca="false">IF($A164="","",$A164&amp;"."&amp;$B164)</f>
        <v/>
      </c>
      <c r="G164" s="30" t="str">
        <f aca="false">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30" t="str">
        <f aca="false">IF(OR($A164="",$C164&lt;&gt;"qr"),"",$D164&amp;".png")</f>
        <v/>
      </c>
      <c r="I164" s="30" t="str">
        <f aca="true">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ustomFormat="false" ht="15" hidden="false" customHeight="false" outlineLevel="0" collapsed="false">
      <c r="A165" s="30" t="str">
        <f aca="false">IF(INDEX(approvals!$A$2:$A$251,INT((ROW()-2)/2)+1)="","",INDEX(approvals!$A$2:$A$251,INT((ROW()-2)/2)+1))</f>
        <v/>
      </c>
      <c r="B165" s="30" t="str">
        <f aca="false">IF(INDEX(approvals!$A$2:$A$251,INT((ROW()-2)/2)+1)="","",INDEX(approvals!$B$2:$B$251,INT((ROW()-2)/2)+1))</f>
        <v/>
      </c>
      <c r="C165" s="30" t="str">
        <f aca="false">IF($A165="","",IF(MOD(ROW()-2,2)=0,"qr","post"))</f>
        <v/>
      </c>
      <c r="D165" s="30" t="str">
        <f aca="false">IF($A165="","",IF(LEFT($A165,7)="SAMPLE-","SAMPLE-","")&amp;LOWER(SUBSTITUTE(SUBSTITUTE($A165,"SAMPLE-",""),"CMP-","c"))&amp;"-"&amp;LOWER(SUBSTITUTE(SUBSTITUTE($B165,"SAMPLE-",""),"O-","o"))&amp;"-"&amp;IF($C165="qr","q","p"))</f>
        <v/>
      </c>
      <c r="E165" s="30" t="str">
        <f aca="false">IF($A165="","","https://"&amp;config!$B$9&amp;"/"&amp;$D165)</f>
        <v/>
      </c>
      <c r="F165" s="30" t="str">
        <f aca="false">IF($A165="","",$A165&amp;"."&amp;$B165)</f>
        <v/>
      </c>
      <c r="G165" s="30" t="str">
        <f aca="false">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30" t="str">
        <f aca="false">IF(OR($A165="",$C165&lt;&gt;"qr"),"",$D165&amp;".png")</f>
        <v/>
      </c>
      <c r="I165" s="30" t="str">
        <f aca="true">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ustomFormat="false" ht="15" hidden="false" customHeight="false" outlineLevel="0" collapsed="false">
      <c r="A166" s="30" t="str">
        <f aca="false">IF(INDEX(approvals!$A$2:$A$251,INT((ROW()-2)/2)+1)="","",INDEX(approvals!$A$2:$A$251,INT((ROW()-2)/2)+1))</f>
        <v/>
      </c>
      <c r="B166" s="30" t="str">
        <f aca="false">IF(INDEX(approvals!$A$2:$A$251,INT((ROW()-2)/2)+1)="","",INDEX(approvals!$B$2:$B$251,INT((ROW()-2)/2)+1))</f>
        <v/>
      </c>
      <c r="C166" s="30" t="str">
        <f aca="false">IF($A166="","",IF(MOD(ROW()-2,2)=0,"qr","post"))</f>
        <v/>
      </c>
      <c r="D166" s="30" t="str">
        <f aca="false">IF($A166="","",IF(LEFT($A166,7)="SAMPLE-","SAMPLE-","")&amp;LOWER(SUBSTITUTE(SUBSTITUTE($A166,"SAMPLE-",""),"CMP-","c"))&amp;"-"&amp;LOWER(SUBSTITUTE(SUBSTITUTE($B166,"SAMPLE-",""),"O-","o"))&amp;"-"&amp;IF($C166="qr","q","p"))</f>
        <v/>
      </c>
      <c r="E166" s="30" t="str">
        <f aca="false">IF($A166="","","https://"&amp;config!$B$9&amp;"/"&amp;$D166)</f>
        <v/>
      </c>
      <c r="F166" s="30" t="str">
        <f aca="false">IF($A166="","",$A166&amp;"."&amp;$B166)</f>
        <v/>
      </c>
      <c r="G166" s="30" t="str">
        <f aca="false">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30" t="str">
        <f aca="false">IF(OR($A166="",$C166&lt;&gt;"qr"),"",$D166&amp;".png")</f>
        <v/>
      </c>
      <c r="I166" s="30" t="str">
        <f aca="true">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ustomFormat="false" ht="15" hidden="false" customHeight="false" outlineLevel="0" collapsed="false">
      <c r="A167" s="30" t="str">
        <f aca="false">IF(INDEX(approvals!$A$2:$A$251,INT((ROW()-2)/2)+1)="","",INDEX(approvals!$A$2:$A$251,INT((ROW()-2)/2)+1))</f>
        <v/>
      </c>
      <c r="B167" s="30" t="str">
        <f aca="false">IF(INDEX(approvals!$A$2:$A$251,INT((ROW()-2)/2)+1)="","",INDEX(approvals!$B$2:$B$251,INT((ROW()-2)/2)+1))</f>
        <v/>
      </c>
      <c r="C167" s="30" t="str">
        <f aca="false">IF($A167="","",IF(MOD(ROW()-2,2)=0,"qr","post"))</f>
        <v/>
      </c>
      <c r="D167" s="30" t="str">
        <f aca="false">IF($A167="","",IF(LEFT($A167,7)="SAMPLE-","SAMPLE-","")&amp;LOWER(SUBSTITUTE(SUBSTITUTE($A167,"SAMPLE-",""),"CMP-","c"))&amp;"-"&amp;LOWER(SUBSTITUTE(SUBSTITUTE($B167,"SAMPLE-",""),"O-","o"))&amp;"-"&amp;IF($C167="qr","q","p"))</f>
        <v/>
      </c>
      <c r="E167" s="30" t="str">
        <f aca="false">IF($A167="","","https://"&amp;config!$B$9&amp;"/"&amp;$D167)</f>
        <v/>
      </c>
      <c r="F167" s="30" t="str">
        <f aca="false">IF($A167="","",$A167&amp;"."&amp;$B167)</f>
        <v/>
      </c>
      <c r="G167" s="30" t="str">
        <f aca="false">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30" t="str">
        <f aca="false">IF(OR($A167="",$C167&lt;&gt;"qr"),"",$D167&amp;".png")</f>
        <v/>
      </c>
      <c r="I167" s="30" t="str">
        <f aca="true">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ustomFormat="false" ht="15" hidden="false" customHeight="false" outlineLevel="0" collapsed="false">
      <c r="A168" s="30" t="str">
        <f aca="false">IF(INDEX(approvals!$A$2:$A$251,INT((ROW()-2)/2)+1)="","",INDEX(approvals!$A$2:$A$251,INT((ROW()-2)/2)+1))</f>
        <v/>
      </c>
      <c r="B168" s="30" t="str">
        <f aca="false">IF(INDEX(approvals!$A$2:$A$251,INT((ROW()-2)/2)+1)="","",INDEX(approvals!$B$2:$B$251,INT((ROW()-2)/2)+1))</f>
        <v/>
      </c>
      <c r="C168" s="30" t="str">
        <f aca="false">IF($A168="","",IF(MOD(ROW()-2,2)=0,"qr","post"))</f>
        <v/>
      </c>
      <c r="D168" s="30" t="str">
        <f aca="false">IF($A168="","",IF(LEFT($A168,7)="SAMPLE-","SAMPLE-","")&amp;LOWER(SUBSTITUTE(SUBSTITUTE($A168,"SAMPLE-",""),"CMP-","c"))&amp;"-"&amp;LOWER(SUBSTITUTE(SUBSTITUTE($B168,"SAMPLE-",""),"O-","o"))&amp;"-"&amp;IF($C168="qr","q","p"))</f>
        <v/>
      </c>
      <c r="E168" s="30" t="str">
        <f aca="false">IF($A168="","","https://"&amp;config!$B$9&amp;"/"&amp;$D168)</f>
        <v/>
      </c>
      <c r="F168" s="30" t="str">
        <f aca="false">IF($A168="","",$A168&amp;"."&amp;$B168)</f>
        <v/>
      </c>
      <c r="G168" s="30" t="str">
        <f aca="false">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30" t="str">
        <f aca="false">IF(OR($A168="",$C168&lt;&gt;"qr"),"",$D168&amp;".png")</f>
        <v/>
      </c>
      <c r="I168" s="30" t="str">
        <f aca="true">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ustomFormat="false" ht="15" hidden="false" customHeight="false" outlineLevel="0" collapsed="false">
      <c r="A169" s="30" t="str">
        <f aca="false">IF(INDEX(approvals!$A$2:$A$251,INT((ROW()-2)/2)+1)="","",INDEX(approvals!$A$2:$A$251,INT((ROW()-2)/2)+1))</f>
        <v/>
      </c>
      <c r="B169" s="30" t="str">
        <f aca="false">IF(INDEX(approvals!$A$2:$A$251,INT((ROW()-2)/2)+1)="","",INDEX(approvals!$B$2:$B$251,INT((ROW()-2)/2)+1))</f>
        <v/>
      </c>
      <c r="C169" s="30" t="str">
        <f aca="false">IF($A169="","",IF(MOD(ROW()-2,2)=0,"qr","post"))</f>
        <v/>
      </c>
      <c r="D169" s="30" t="str">
        <f aca="false">IF($A169="","",IF(LEFT($A169,7)="SAMPLE-","SAMPLE-","")&amp;LOWER(SUBSTITUTE(SUBSTITUTE($A169,"SAMPLE-",""),"CMP-","c"))&amp;"-"&amp;LOWER(SUBSTITUTE(SUBSTITUTE($B169,"SAMPLE-",""),"O-","o"))&amp;"-"&amp;IF($C169="qr","q","p"))</f>
        <v/>
      </c>
      <c r="E169" s="30" t="str">
        <f aca="false">IF($A169="","","https://"&amp;config!$B$9&amp;"/"&amp;$D169)</f>
        <v/>
      </c>
      <c r="F169" s="30" t="str">
        <f aca="false">IF($A169="","",$A169&amp;"."&amp;$B169)</f>
        <v/>
      </c>
      <c r="G169" s="30" t="str">
        <f aca="false">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30" t="str">
        <f aca="false">IF(OR($A169="",$C169&lt;&gt;"qr"),"",$D169&amp;".png")</f>
        <v/>
      </c>
      <c r="I169" s="30" t="str">
        <f aca="true">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ustomFormat="false" ht="15" hidden="false" customHeight="false" outlineLevel="0" collapsed="false">
      <c r="A170" s="30" t="str">
        <f aca="false">IF(INDEX(approvals!$A$2:$A$251,INT((ROW()-2)/2)+1)="","",INDEX(approvals!$A$2:$A$251,INT((ROW()-2)/2)+1))</f>
        <v/>
      </c>
      <c r="B170" s="30" t="str">
        <f aca="false">IF(INDEX(approvals!$A$2:$A$251,INT((ROW()-2)/2)+1)="","",INDEX(approvals!$B$2:$B$251,INT((ROW()-2)/2)+1))</f>
        <v/>
      </c>
      <c r="C170" s="30" t="str">
        <f aca="false">IF($A170="","",IF(MOD(ROW()-2,2)=0,"qr","post"))</f>
        <v/>
      </c>
      <c r="D170" s="30" t="str">
        <f aca="false">IF($A170="","",IF(LEFT($A170,7)="SAMPLE-","SAMPLE-","")&amp;LOWER(SUBSTITUTE(SUBSTITUTE($A170,"SAMPLE-",""),"CMP-","c"))&amp;"-"&amp;LOWER(SUBSTITUTE(SUBSTITUTE($B170,"SAMPLE-",""),"O-","o"))&amp;"-"&amp;IF($C170="qr","q","p"))</f>
        <v/>
      </c>
      <c r="E170" s="30" t="str">
        <f aca="false">IF($A170="","","https://"&amp;config!$B$9&amp;"/"&amp;$D170)</f>
        <v/>
      </c>
      <c r="F170" s="30" t="str">
        <f aca="false">IF($A170="","",$A170&amp;"."&amp;$B170)</f>
        <v/>
      </c>
      <c r="G170" s="30" t="str">
        <f aca="false">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30" t="str">
        <f aca="false">IF(OR($A170="",$C170&lt;&gt;"qr"),"",$D170&amp;".png")</f>
        <v/>
      </c>
      <c r="I170" s="30" t="str">
        <f aca="true">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ustomFormat="false" ht="15" hidden="false" customHeight="false" outlineLevel="0" collapsed="false">
      <c r="A171" s="30" t="str">
        <f aca="false">IF(INDEX(approvals!$A$2:$A$251,INT((ROW()-2)/2)+1)="","",INDEX(approvals!$A$2:$A$251,INT((ROW()-2)/2)+1))</f>
        <v/>
      </c>
      <c r="B171" s="30" t="str">
        <f aca="false">IF(INDEX(approvals!$A$2:$A$251,INT((ROW()-2)/2)+1)="","",INDEX(approvals!$B$2:$B$251,INT((ROW()-2)/2)+1))</f>
        <v/>
      </c>
      <c r="C171" s="30" t="str">
        <f aca="false">IF($A171="","",IF(MOD(ROW()-2,2)=0,"qr","post"))</f>
        <v/>
      </c>
      <c r="D171" s="30" t="str">
        <f aca="false">IF($A171="","",IF(LEFT($A171,7)="SAMPLE-","SAMPLE-","")&amp;LOWER(SUBSTITUTE(SUBSTITUTE($A171,"SAMPLE-",""),"CMP-","c"))&amp;"-"&amp;LOWER(SUBSTITUTE(SUBSTITUTE($B171,"SAMPLE-",""),"O-","o"))&amp;"-"&amp;IF($C171="qr","q","p"))</f>
        <v/>
      </c>
      <c r="E171" s="30" t="str">
        <f aca="false">IF($A171="","","https://"&amp;config!$B$9&amp;"/"&amp;$D171)</f>
        <v/>
      </c>
      <c r="F171" s="30" t="str">
        <f aca="false">IF($A171="","",$A171&amp;"."&amp;$B171)</f>
        <v/>
      </c>
      <c r="G171" s="30" t="str">
        <f aca="false">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30" t="str">
        <f aca="false">IF(OR($A171="",$C171&lt;&gt;"qr"),"",$D171&amp;".png")</f>
        <v/>
      </c>
      <c r="I171" s="30" t="str">
        <f aca="true">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ustomFormat="false" ht="15" hidden="false" customHeight="false" outlineLevel="0" collapsed="false">
      <c r="A172" s="30" t="str">
        <f aca="false">IF(INDEX(approvals!$A$2:$A$251,INT((ROW()-2)/2)+1)="","",INDEX(approvals!$A$2:$A$251,INT((ROW()-2)/2)+1))</f>
        <v/>
      </c>
      <c r="B172" s="30" t="str">
        <f aca="false">IF(INDEX(approvals!$A$2:$A$251,INT((ROW()-2)/2)+1)="","",INDEX(approvals!$B$2:$B$251,INT((ROW()-2)/2)+1))</f>
        <v/>
      </c>
      <c r="C172" s="30" t="str">
        <f aca="false">IF($A172="","",IF(MOD(ROW()-2,2)=0,"qr","post"))</f>
        <v/>
      </c>
      <c r="D172" s="30" t="str">
        <f aca="false">IF($A172="","",IF(LEFT($A172,7)="SAMPLE-","SAMPLE-","")&amp;LOWER(SUBSTITUTE(SUBSTITUTE($A172,"SAMPLE-",""),"CMP-","c"))&amp;"-"&amp;LOWER(SUBSTITUTE(SUBSTITUTE($B172,"SAMPLE-",""),"O-","o"))&amp;"-"&amp;IF($C172="qr","q","p"))</f>
        <v/>
      </c>
      <c r="E172" s="30" t="str">
        <f aca="false">IF($A172="","","https://"&amp;config!$B$9&amp;"/"&amp;$D172)</f>
        <v/>
      </c>
      <c r="F172" s="30" t="str">
        <f aca="false">IF($A172="","",$A172&amp;"."&amp;$B172)</f>
        <v/>
      </c>
      <c r="G172" s="30" t="str">
        <f aca="false">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30" t="str">
        <f aca="false">IF(OR($A172="",$C172&lt;&gt;"qr"),"",$D172&amp;".png")</f>
        <v/>
      </c>
      <c r="I172" s="30" t="str">
        <f aca="true">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ustomFormat="false" ht="15" hidden="false" customHeight="false" outlineLevel="0" collapsed="false">
      <c r="A173" s="30" t="str">
        <f aca="false">IF(INDEX(approvals!$A$2:$A$251,INT((ROW()-2)/2)+1)="","",INDEX(approvals!$A$2:$A$251,INT((ROW()-2)/2)+1))</f>
        <v/>
      </c>
      <c r="B173" s="30" t="str">
        <f aca="false">IF(INDEX(approvals!$A$2:$A$251,INT((ROW()-2)/2)+1)="","",INDEX(approvals!$B$2:$B$251,INT((ROW()-2)/2)+1))</f>
        <v/>
      </c>
      <c r="C173" s="30" t="str">
        <f aca="false">IF($A173="","",IF(MOD(ROW()-2,2)=0,"qr","post"))</f>
        <v/>
      </c>
      <c r="D173" s="30" t="str">
        <f aca="false">IF($A173="","",IF(LEFT($A173,7)="SAMPLE-","SAMPLE-","")&amp;LOWER(SUBSTITUTE(SUBSTITUTE($A173,"SAMPLE-",""),"CMP-","c"))&amp;"-"&amp;LOWER(SUBSTITUTE(SUBSTITUTE($B173,"SAMPLE-",""),"O-","o"))&amp;"-"&amp;IF($C173="qr","q","p"))</f>
        <v/>
      </c>
      <c r="E173" s="30" t="str">
        <f aca="false">IF($A173="","","https://"&amp;config!$B$9&amp;"/"&amp;$D173)</f>
        <v/>
      </c>
      <c r="F173" s="30" t="str">
        <f aca="false">IF($A173="","",$A173&amp;"."&amp;$B173)</f>
        <v/>
      </c>
      <c r="G173" s="30" t="str">
        <f aca="false">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30" t="str">
        <f aca="false">IF(OR($A173="",$C173&lt;&gt;"qr"),"",$D173&amp;".png")</f>
        <v/>
      </c>
      <c r="I173" s="30" t="str">
        <f aca="true">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ustomFormat="false" ht="15" hidden="false" customHeight="false" outlineLevel="0" collapsed="false">
      <c r="A174" s="30" t="str">
        <f aca="false">IF(INDEX(approvals!$A$2:$A$251,INT((ROW()-2)/2)+1)="","",INDEX(approvals!$A$2:$A$251,INT((ROW()-2)/2)+1))</f>
        <v/>
      </c>
      <c r="B174" s="30" t="str">
        <f aca="false">IF(INDEX(approvals!$A$2:$A$251,INT((ROW()-2)/2)+1)="","",INDEX(approvals!$B$2:$B$251,INT((ROW()-2)/2)+1))</f>
        <v/>
      </c>
      <c r="C174" s="30" t="str">
        <f aca="false">IF($A174="","",IF(MOD(ROW()-2,2)=0,"qr","post"))</f>
        <v/>
      </c>
      <c r="D174" s="30" t="str">
        <f aca="false">IF($A174="","",IF(LEFT($A174,7)="SAMPLE-","SAMPLE-","")&amp;LOWER(SUBSTITUTE(SUBSTITUTE($A174,"SAMPLE-",""),"CMP-","c"))&amp;"-"&amp;LOWER(SUBSTITUTE(SUBSTITUTE($B174,"SAMPLE-",""),"O-","o"))&amp;"-"&amp;IF($C174="qr","q","p"))</f>
        <v/>
      </c>
      <c r="E174" s="30" t="str">
        <f aca="false">IF($A174="","","https://"&amp;config!$B$9&amp;"/"&amp;$D174)</f>
        <v/>
      </c>
      <c r="F174" s="30" t="str">
        <f aca="false">IF($A174="","",$A174&amp;"."&amp;$B174)</f>
        <v/>
      </c>
      <c r="G174" s="30" t="str">
        <f aca="false">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30" t="str">
        <f aca="false">IF(OR($A174="",$C174&lt;&gt;"qr"),"",$D174&amp;".png")</f>
        <v/>
      </c>
      <c r="I174" s="30" t="str">
        <f aca="true">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ustomFormat="false" ht="15" hidden="false" customHeight="false" outlineLevel="0" collapsed="false">
      <c r="A175" s="30" t="str">
        <f aca="false">IF(INDEX(approvals!$A$2:$A$251,INT((ROW()-2)/2)+1)="","",INDEX(approvals!$A$2:$A$251,INT((ROW()-2)/2)+1))</f>
        <v/>
      </c>
      <c r="B175" s="30" t="str">
        <f aca="false">IF(INDEX(approvals!$A$2:$A$251,INT((ROW()-2)/2)+1)="","",INDEX(approvals!$B$2:$B$251,INT((ROW()-2)/2)+1))</f>
        <v/>
      </c>
      <c r="C175" s="30" t="str">
        <f aca="false">IF($A175="","",IF(MOD(ROW()-2,2)=0,"qr","post"))</f>
        <v/>
      </c>
      <c r="D175" s="30" t="str">
        <f aca="false">IF($A175="","",IF(LEFT($A175,7)="SAMPLE-","SAMPLE-","")&amp;LOWER(SUBSTITUTE(SUBSTITUTE($A175,"SAMPLE-",""),"CMP-","c"))&amp;"-"&amp;LOWER(SUBSTITUTE(SUBSTITUTE($B175,"SAMPLE-",""),"O-","o"))&amp;"-"&amp;IF($C175="qr","q","p"))</f>
        <v/>
      </c>
      <c r="E175" s="30" t="str">
        <f aca="false">IF($A175="","","https://"&amp;config!$B$9&amp;"/"&amp;$D175)</f>
        <v/>
      </c>
      <c r="F175" s="30" t="str">
        <f aca="false">IF($A175="","",$A175&amp;"."&amp;$B175)</f>
        <v/>
      </c>
      <c r="G175" s="30" t="str">
        <f aca="false">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30" t="str">
        <f aca="false">IF(OR($A175="",$C175&lt;&gt;"qr"),"",$D175&amp;".png")</f>
        <v/>
      </c>
      <c r="I175" s="30" t="str">
        <f aca="true">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ustomFormat="false" ht="15" hidden="false" customHeight="false" outlineLevel="0" collapsed="false">
      <c r="A176" s="30" t="str">
        <f aca="false">IF(INDEX(approvals!$A$2:$A$251,INT((ROW()-2)/2)+1)="","",INDEX(approvals!$A$2:$A$251,INT((ROW()-2)/2)+1))</f>
        <v/>
      </c>
      <c r="B176" s="30" t="str">
        <f aca="false">IF(INDEX(approvals!$A$2:$A$251,INT((ROW()-2)/2)+1)="","",INDEX(approvals!$B$2:$B$251,INT((ROW()-2)/2)+1))</f>
        <v/>
      </c>
      <c r="C176" s="30" t="str">
        <f aca="false">IF($A176="","",IF(MOD(ROW()-2,2)=0,"qr","post"))</f>
        <v/>
      </c>
      <c r="D176" s="30" t="str">
        <f aca="false">IF($A176="","",IF(LEFT($A176,7)="SAMPLE-","SAMPLE-","")&amp;LOWER(SUBSTITUTE(SUBSTITUTE($A176,"SAMPLE-",""),"CMP-","c"))&amp;"-"&amp;LOWER(SUBSTITUTE(SUBSTITUTE($B176,"SAMPLE-",""),"O-","o"))&amp;"-"&amp;IF($C176="qr","q","p"))</f>
        <v/>
      </c>
      <c r="E176" s="30" t="str">
        <f aca="false">IF($A176="","","https://"&amp;config!$B$9&amp;"/"&amp;$D176)</f>
        <v/>
      </c>
      <c r="F176" s="30" t="str">
        <f aca="false">IF($A176="","",$A176&amp;"."&amp;$B176)</f>
        <v/>
      </c>
      <c r="G176" s="30" t="str">
        <f aca="false">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30" t="str">
        <f aca="false">IF(OR($A176="",$C176&lt;&gt;"qr"),"",$D176&amp;".png")</f>
        <v/>
      </c>
      <c r="I176" s="30" t="str">
        <f aca="true">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ustomFormat="false" ht="15" hidden="false" customHeight="false" outlineLevel="0" collapsed="false">
      <c r="A177" s="30" t="str">
        <f aca="false">IF(INDEX(approvals!$A$2:$A$251,INT((ROW()-2)/2)+1)="","",INDEX(approvals!$A$2:$A$251,INT((ROW()-2)/2)+1))</f>
        <v/>
      </c>
      <c r="B177" s="30" t="str">
        <f aca="false">IF(INDEX(approvals!$A$2:$A$251,INT((ROW()-2)/2)+1)="","",INDEX(approvals!$B$2:$B$251,INT((ROW()-2)/2)+1))</f>
        <v/>
      </c>
      <c r="C177" s="30" t="str">
        <f aca="false">IF($A177="","",IF(MOD(ROW()-2,2)=0,"qr","post"))</f>
        <v/>
      </c>
      <c r="D177" s="30" t="str">
        <f aca="false">IF($A177="","",IF(LEFT($A177,7)="SAMPLE-","SAMPLE-","")&amp;LOWER(SUBSTITUTE(SUBSTITUTE($A177,"SAMPLE-",""),"CMP-","c"))&amp;"-"&amp;LOWER(SUBSTITUTE(SUBSTITUTE($B177,"SAMPLE-",""),"O-","o"))&amp;"-"&amp;IF($C177="qr","q","p"))</f>
        <v/>
      </c>
      <c r="E177" s="30" t="str">
        <f aca="false">IF($A177="","","https://"&amp;config!$B$9&amp;"/"&amp;$D177)</f>
        <v/>
      </c>
      <c r="F177" s="30" t="str">
        <f aca="false">IF($A177="","",$A177&amp;"."&amp;$B177)</f>
        <v/>
      </c>
      <c r="G177" s="30" t="str">
        <f aca="false">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30" t="str">
        <f aca="false">IF(OR($A177="",$C177&lt;&gt;"qr"),"",$D177&amp;".png")</f>
        <v/>
      </c>
      <c r="I177" s="30" t="str">
        <f aca="true">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ustomFormat="false" ht="15" hidden="false" customHeight="false" outlineLevel="0" collapsed="false">
      <c r="A178" s="30" t="str">
        <f aca="false">IF(INDEX(approvals!$A$2:$A$251,INT((ROW()-2)/2)+1)="","",INDEX(approvals!$A$2:$A$251,INT((ROW()-2)/2)+1))</f>
        <v/>
      </c>
      <c r="B178" s="30" t="str">
        <f aca="false">IF(INDEX(approvals!$A$2:$A$251,INT((ROW()-2)/2)+1)="","",INDEX(approvals!$B$2:$B$251,INT((ROW()-2)/2)+1))</f>
        <v/>
      </c>
      <c r="C178" s="30" t="str">
        <f aca="false">IF($A178="","",IF(MOD(ROW()-2,2)=0,"qr","post"))</f>
        <v/>
      </c>
      <c r="D178" s="30" t="str">
        <f aca="false">IF($A178="","",IF(LEFT($A178,7)="SAMPLE-","SAMPLE-","")&amp;LOWER(SUBSTITUTE(SUBSTITUTE($A178,"SAMPLE-",""),"CMP-","c"))&amp;"-"&amp;LOWER(SUBSTITUTE(SUBSTITUTE($B178,"SAMPLE-",""),"O-","o"))&amp;"-"&amp;IF($C178="qr","q","p"))</f>
        <v/>
      </c>
      <c r="E178" s="30" t="str">
        <f aca="false">IF($A178="","","https://"&amp;config!$B$9&amp;"/"&amp;$D178)</f>
        <v/>
      </c>
      <c r="F178" s="30" t="str">
        <f aca="false">IF($A178="","",$A178&amp;"."&amp;$B178)</f>
        <v/>
      </c>
      <c r="G178" s="30" t="str">
        <f aca="false">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30" t="str">
        <f aca="false">IF(OR($A178="",$C178&lt;&gt;"qr"),"",$D178&amp;".png")</f>
        <v/>
      </c>
      <c r="I178" s="30" t="str">
        <f aca="true">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ustomFormat="false" ht="15" hidden="false" customHeight="false" outlineLevel="0" collapsed="false">
      <c r="A179" s="30" t="str">
        <f aca="false">IF(INDEX(approvals!$A$2:$A$251,INT((ROW()-2)/2)+1)="","",INDEX(approvals!$A$2:$A$251,INT((ROW()-2)/2)+1))</f>
        <v/>
      </c>
      <c r="B179" s="30" t="str">
        <f aca="false">IF(INDEX(approvals!$A$2:$A$251,INT((ROW()-2)/2)+1)="","",INDEX(approvals!$B$2:$B$251,INT((ROW()-2)/2)+1))</f>
        <v/>
      </c>
      <c r="C179" s="30" t="str">
        <f aca="false">IF($A179="","",IF(MOD(ROW()-2,2)=0,"qr","post"))</f>
        <v/>
      </c>
      <c r="D179" s="30" t="str">
        <f aca="false">IF($A179="","",IF(LEFT($A179,7)="SAMPLE-","SAMPLE-","")&amp;LOWER(SUBSTITUTE(SUBSTITUTE($A179,"SAMPLE-",""),"CMP-","c"))&amp;"-"&amp;LOWER(SUBSTITUTE(SUBSTITUTE($B179,"SAMPLE-",""),"O-","o"))&amp;"-"&amp;IF($C179="qr","q","p"))</f>
        <v/>
      </c>
      <c r="E179" s="30" t="str">
        <f aca="false">IF($A179="","","https://"&amp;config!$B$9&amp;"/"&amp;$D179)</f>
        <v/>
      </c>
      <c r="F179" s="30" t="str">
        <f aca="false">IF($A179="","",$A179&amp;"."&amp;$B179)</f>
        <v/>
      </c>
      <c r="G179" s="30" t="str">
        <f aca="false">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30" t="str">
        <f aca="false">IF(OR($A179="",$C179&lt;&gt;"qr"),"",$D179&amp;".png")</f>
        <v/>
      </c>
      <c r="I179" s="30" t="str">
        <f aca="true">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ustomFormat="false" ht="15" hidden="false" customHeight="false" outlineLevel="0" collapsed="false">
      <c r="A180" s="30" t="str">
        <f aca="false">IF(INDEX(approvals!$A$2:$A$251,INT((ROW()-2)/2)+1)="","",INDEX(approvals!$A$2:$A$251,INT((ROW()-2)/2)+1))</f>
        <v/>
      </c>
      <c r="B180" s="30" t="str">
        <f aca="false">IF(INDEX(approvals!$A$2:$A$251,INT((ROW()-2)/2)+1)="","",INDEX(approvals!$B$2:$B$251,INT((ROW()-2)/2)+1))</f>
        <v/>
      </c>
      <c r="C180" s="30" t="str">
        <f aca="false">IF($A180="","",IF(MOD(ROW()-2,2)=0,"qr","post"))</f>
        <v/>
      </c>
      <c r="D180" s="30" t="str">
        <f aca="false">IF($A180="","",IF(LEFT($A180,7)="SAMPLE-","SAMPLE-","")&amp;LOWER(SUBSTITUTE(SUBSTITUTE($A180,"SAMPLE-",""),"CMP-","c"))&amp;"-"&amp;LOWER(SUBSTITUTE(SUBSTITUTE($B180,"SAMPLE-",""),"O-","o"))&amp;"-"&amp;IF($C180="qr","q","p"))</f>
        <v/>
      </c>
      <c r="E180" s="30" t="str">
        <f aca="false">IF($A180="","","https://"&amp;config!$B$9&amp;"/"&amp;$D180)</f>
        <v/>
      </c>
      <c r="F180" s="30" t="str">
        <f aca="false">IF($A180="","",$A180&amp;"."&amp;$B180)</f>
        <v/>
      </c>
      <c r="G180" s="30" t="str">
        <f aca="false">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30" t="str">
        <f aca="false">IF(OR($A180="",$C180&lt;&gt;"qr"),"",$D180&amp;".png")</f>
        <v/>
      </c>
      <c r="I180" s="30" t="str">
        <f aca="true">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ustomFormat="false" ht="15" hidden="false" customHeight="false" outlineLevel="0" collapsed="false">
      <c r="A181" s="30" t="str">
        <f aca="false">IF(INDEX(approvals!$A$2:$A$251,INT((ROW()-2)/2)+1)="","",INDEX(approvals!$A$2:$A$251,INT((ROW()-2)/2)+1))</f>
        <v/>
      </c>
      <c r="B181" s="30" t="str">
        <f aca="false">IF(INDEX(approvals!$A$2:$A$251,INT((ROW()-2)/2)+1)="","",INDEX(approvals!$B$2:$B$251,INT((ROW()-2)/2)+1))</f>
        <v/>
      </c>
      <c r="C181" s="30" t="str">
        <f aca="false">IF($A181="","",IF(MOD(ROW()-2,2)=0,"qr","post"))</f>
        <v/>
      </c>
      <c r="D181" s="30" t="str">
        <f aca="false">IF($A181="","",IF(LEFT($A181,7)="SAMPLE-","SAMPLE-","")&amp;LOWER(SUBSTITUTE(SUBSTITUTE($A181,"SAMPLE-",""),"CMP-","c"))&amp;"-"&amp;LOWER(SUBSTITUTE(SUBSTITUTE($B181,"SAMPLE-",""),"O-","o"))&amp;"-"&amp;IF($C181="qr","q","p"))</f>
        <v/>
      </c>
      <c r="E181" s="30" t="str">
        <f aca="false">IF($A181="","","https://"&amp;config!$B$9&amp;"/"&amp;$D181)</f>
        <v/>
      </c>
      <c r="F181" s="30" t="str">
        <f aca="false">IF($A181="","",$A181&amp;"."&amp;$B181)</f>
        <v/>
      </c>
      <c r="G181" s="30" t="str">
        <f aca="false">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30" t="str">
        <f aca="false">IF(OR($A181="",$C181&lt;&gt;"qr"),"",$D181&amp;".png")</f>
        <v/>
      </c>
      <c r="I181" s="30" t="str">
        <f aca="true">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ustomFormat="false" ht="15" hidden="false" customHeight="false" outlineLevel="0" collapsed="false">
      <c r="A182" s="30" t="str">
        <f aca="false">IF(INDEX(approvals!$A$2:$A$251,INT((ROW()-2)/2)+1)="","",INDEX(approvals!$A$2:$A$251,INT((ROW()-2)/2)+1))</f>
        <v/>
      </c>
      <c r="B182" s="30" t="str">
        <f aca="false">IF(INDEX(approvals!$A$2:$A$251,INT((ROW()-2)/2)+1)="","",INDEX(approvals!$B$2:$B$251,INT((ROW()-2)/2)+1))</f>
        <v/>
      </c>
      <c r="C182" s="30" t="str">
        <f aca="false">IF($A182="","",IF(MOD(ROW()-2,2)=0,"qr","post"))</f>
        <v/>
      </c>
      <c r="D182" s="30" t="str">
        <f aca="false">IF($A182="","",IF(LEFT($A182,7)="SAMPLE-","SAMPLE-","")&amp;LOWER(SUBSTITUTE(SUBSTITUTE($A182,"SAMPLE-",""),"CMP-","c"))&amp;"-"&amp;LOWER(SUBSTITUTE(SUBSTITUTE($B182,"SAMPLE-",""),"O-","o"))&amp;"-"&amp;IF($C182="qr","q","p"))</f>
        <v/>
      </c>
      <c r="E182" s="30" t="str">
        <f aca="false">IF($A182="","","https://"&amp;config!$B$9&amp;"/"&amp;$D182)</f>
        <v/>
      </c>
      <c r="F182" s="30" t="str">
        <f aca="false">IF($A182="","",$A182&amp;"."&amp;$B182)</f>
        <v/>
      </c>
      <c r="G182" s="30" t="str">
        <f aca="false">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30" t="str">
        <f aca="false">IF(OR($A182="",$C182&lt;&gt;"qr"),"",$D182&amp;".png")</f>
        <v/>
      </c>
      <c r="I182" s="30" t="str">
        <f aca="true">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ustomFormat="false" ht="15" hidden="false" customHeight="false" outlineLevel="0" collapsed="false">
      <c r="A183" s="30" t="str">
        <f aca="false">IF(INDEX(approvals!$A$2:$A$251,INT((ROW()-2)/2)+1)="","",INDEX(approvals!$A$2:$A$251,INT((ROW()-2)/2)+1))</f>
        <v/>
      </c>
      <c r="B183" s="30" t="str">
        <f aca="false">IF(INDEX(approvals!$A$2:$A$251,INT((ROW()-2)/2)+1)="","",INDEX(approvals!$B$2:$B$251,INT((ROW()-2)/2)+1))</f>
        <v/>
      </c>
      <c r="C183" s="30" t="str">
        <f aca="false">IF($A183="","",IF(MOD(ROW()-2,2)=0,"qr","post"))</f>
        <v/>
      </c>
      <c r="D183" s="30" t="str">
        <f aca="false">IF($A183="","",IF(LEFT($A183,7)="SAMPLE-","SAMPLE-","")&amp;LOWER(SUBSTITUTE(SUBSTITUTE($A183,"SAMPLE-",""),"CMP-","c"))&amp;"-"&amp;LOWER(SUBSTITUTE(SUBSTITUTE($B183,"SAMPLE-",""),"O-","o"))&amp;"-"&amp;IF($C183="qr","q","p"))</f>
        <v/>
      </c>
      <c r="E183" s="30" t="str">
        <f aca="false">IF($A183="","","https://"&amp;config!$B$9&amp;"/"&amp;$D183)</f>
        <v/>
      </c>
      <c r="F183" s="30" t="str">
        <f aca="false">IF($A183="","",$A183&amp;"."&amp;$B183)</f>
        <v/>
      </c>
      <c r="G183" s="30" t="str">
        <f aca="false">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30" t="str">
        <f aca="false">IF(OR($A183="",$C183&lt;&gt;"qr"),"",$D183&amp;".png")</f>
        <v/>
      </c>
      <c r="I183" s="30" t="str">
        <f aca="true">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ustomFormat="false" ht="15" hidden="false" customHeight="false" outlineLevel="0" collapsed="false">
      <c r="A184" s="30" t="str">
        <f aca="false">IF(INDEX(approvals!$A$2:$A$251,INT((ROW()-2)/2)+1)="","",INDEX(approvals!$A$2:$A$251,INT((ROW()-2)/2)+1))</f>
        <v/>
      </c>
      <c r="B184" s="30" t="str">
        <f aca="false">IF(INDEX(approvals!$A$2:$A$251,INT((ROW()-2)/2)+1)="","",INDEX(approvals!$B$2:$B$251,INT((ROW()-2)/2)+1))</f>
        <v/>
      </c>
      <c r="C184" s="30" t="str">
        <f aca="false">IF($A184="","",IF(MOD(ROW()-2,2)=0,"qr","post"))</f>
        <v/>
      </c>
      <c r="D184" s="30" t="str">
        <f aca="false">IF($A184="","",IF(LEFT($A184,7)="SAMPLE-","SAMPLE-","")&amp;LOWER(SUBSTITUTE(SUBSTITUTE($A184,"SAMPLE-",""),"CMP-","c"))&amp;"-"&amp;LOWER(SUBSTITUTE(SUBSTITUTE($B184,"SAMPLE-",""),"O-","o"))&amp;"-"&amp;IF($C184="qr","q","p"))</f>
        <v/>
      </c>
      <c r="E184" s="30" t="str">
        <f aca="false">IF($A184="","","https://"&amp;config!$B$9&amp;"/"&amp;$D184)</f>
        <v/>
      </c>
      <c r="F184" s="30" t="str">
        <f aca="false">IF($A184="","",$A184&amp;"."&amp;$B184)</f>
        <v/>
      </c>
      <c r="G184" s="30" t="str">
        <f aca="false">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30" t="str">
        <f aca="false">IF(OR($A184="",$C184&lt;&gt;"qr"),"",$D184&amp;".png")</f>
        <v/>
      </c>
      <c r="I184" s="30" t="str">
        <f aca="true">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ustomFormat="false" ht="15" hidden="false" customHeight="false" outlineLevel="0" collapsed="false">
      <c r="A185" s="30" t="str">
        <f aca="false">IF(INDEX(approvals!$A$2:$A$251,INT((ROW()-2)/2)+1)="","",INDEX(approvals!$A$2:$A$251,INT((ROW()-2)/2)+1))</f>
        <v/>
      </c>
      <c r="B185" s="30" t="str">
        <f aca="false">IF(INDEX(approvals!$A$2:$A$251,INT((ROW()-2)/2)+1)="","",INDEX(approvals!$B$2:$B$251,INT((ROW()-2)/2)+1))</f>
        <v/>
      </c>
      <c r="C185" s="30" t="str">
        <f aca="false">IF($A185="","",IF(MOD(ROW()-2,2)=0,"qr","post"))</f>
        <v/>
      </c>
      <c r="D185" s="30" t="str">
        <f aca="false">IF($A185="","",IF(LEFT($A185,7)="SAMPLE-","SAMPLE-","")&amp;LOWER(SUBSTITUTE(SUBSTITUTE($A185,"SAMPLE-",""),"CMP-","c"))&amp;"-"&amp;LOWER(SUBSTITUTE(SUBSTITUTE($B185,"SAMPLE-",""),"O-","o"))&amp;"-"&amp;IF($C185="qr","q","p"))</f>
        <v/>
      </c>
      <c r="E185" s="30" t="str">
        <f aca="false">IF($A185="","","https://"&amp;config!$B$9&amp;"/"&amp;$D185)</f>
        <v/>
      </c>
      <c r="F185" s="30" t="str">
        <f aca="false">IF($A185="","",$A185&amp;"."&amp;$B185)</f>
        <v/>
      </c>
      <c r="G185" s="30" t="str">
        <f aca="false">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30" t="str">
        <f aca="false">IF(OR($A185="",$C185&lt;&gt;"qr"),"",$D185&amp;".png")</f>
        <v/>
      </c>
      <c r="I185" s="30" t="str">
        <f aca="true">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ustomFormat="false" ht="15" hidden="false" customHeight="false" outlineLevel="0" collapsed="false">
      <c r="A186" s="30" t="str">
        <f aca="false">IF(INDEX(approvals!$A$2:$A$251,INT((ROW()-2)/2)+1)="","",INDEX(approvals!$A$2:$A$251,INT((ROW()-2)/2)+1))</f>
        <v/>
      </c>
      <c r="B186" s="30" t="str">
        <f aca="false">IF(INDEX(approvals!$A$2:$A$251,INT((ROW()-2)/2)+1)="","",INDEX(approvals!$B$2:$B$251,INT((ROW()-2)/2)+1))</f>
        <v/>
      </c>
      <c r="C186" s="30" t="str">
        <f aca="false">IF($A186="","",IF(MOD(ROW()-2,2)=0,"qr","post"))</f>
        <v/>
      </c>
      <c r="D186" s="30" t="str">
        <f aca="false">IF($A186="","",IF(LEFT($A186,7)="SAMPLE-","SAMPLE-","")&amp;LOWER(SUBSTITUTE(SUBSTITUTE($A186,"SAMPLE-",""),"CMP-","c"))&amp;"-"&amp;LOWER(SUBSTITUTE(SUBSTITUTE($B186,"SAMPLE-",""),"O-","o"))&amp;"-"&amp;IF($C186="qr","q","p"))</f>
        <v/>
      </c>
      <c r="E186" s="30" t="str">
        <f aca="false">IF($A186="","","https://"&amp;config!$B$9&amp;"/"&amp;$D186)</f>
        <v/>
      </c>
      <c r="F186" s="30" t="str">
        <f aca="false">IF($A186="","",$A186&amp;"."&amp;$B186)</f>
        <v/>
      </c>
      <c r="G186" s="30" t="str">
        <f aca="false">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30" t="str">
        <f aca="false">IF(OR($A186="",$C186&lt;&gt;"qr"),"",$D186&amp;".png")</f>
        <v/>
      </c>
      <c r="I186" s="30" t="str">
        <f aca="true">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ustomFormat="false" ht="15" hidden="false" customHeight="false" outlineLevel="0" collapsed="false">
      <c r="A187" s="30" t="str">
        <f aca="false">IF(INDEX(approvals!$A$2:$A$251,INT((ROW()-2)/2)+1)="","",INDEX(approvals!$A$2:$A$251,INT((ROW()-2)/2)+1))</f>
        <v/>
      </c>
      <c r="B187" s="30" t="str">
        <f aca="false">IF(INDEX(approvals!$A$2:$A$251,INT((ROW()-2)/2)+1)="","",INDEX(approvals!$B$2:$B$251,INT((ROW()-2)/2)+1))</f>
        <v/>
      </c>
      <c r="C187" s="30" t="str">
        <f aca="false">IF($A187="","",IF(MOD(ROW()-2,2)=0,"qr","post"))</f>
        <v/>
      </c>
      <c r="D187" s="30" t="str">
        <f aca="false">IF($A187="","",IF(LEFT($A187,7)="SAMPLE-","SAMPLE-","")&amp;LOWER(SUBSTITUTE(SUBSTITUTE($A187,"SAMPLE-",""),"CMP-","c"))&amp;"-"&amp;LOWER(SUBSTITUTE(SUBSTITUTE($B187,"SAMPLE-",""),"O-","o"))&amp;"-"&amp;IF($C187="qr","q","p"))</f>
        <v/>
      </c>
      <c r="E187" s="30" t="str">
        <f aca="false">IF($A187="","","https://"&amp;config!$B$9&amp;"/"&amp;$D187)</f>
        <v/>
      </c>
      <c r="F187" s="30" t="str">
        <f aca="false">IF($A187="","",$A187&amp;"."&amp;$B187)</f>
        <v/>
      </c>
      <c r="G187" s="30" t="str">
        <f aca="false">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30" t="str">
        <f aca="false">IF(OR($A187="",$C187&lt;&gt;"qr"),"",$D187&amp;".png")</f>
        <v/>
      </c>
      <c r="I187" s="30" t="str">
        <f aca="true">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ustomFormat="false" ht="15" hidden="false" customHeight="false" outlineLevel="0" collapsed="false">
      <c r="A188" s="30" t="str">
        <f aca="false">IF(INDEX(approvals!$A$2:$A$251,INT((ROW()-2)/2)+1)="","",INDEX(approvals!$A$2:$A$251,INT((ROW()-2)/2)+1))</f>
        <v/>
      </c>
      <c r="B188" s="30" t="str">
        <f aca="false">IF(INDEX(approvals!$A$2:$A$251,INT((ROW()-2)/2)+1)="","",INDEX(approvals!$B$2:$B$251,INT((ROW()-2)/2)+1))</f>
        <v/>
      </c>
      <c r="C188" s="30" t="str">
        <f aca="false">IF($A188="","",IF(MOD(ROW()-2,2)=0,"qr","post"))</f>
        <v/>
      </c>
      <c r="D188" s="30" t="str">
        <f aca="false">IF($A188="","",IF(LEFT($A188,7)="SAMPLE-","SAMPLE-","")&amp;LOWER(SUBSTITUTE(SUBSTITUTE($A188,"SAMPLE-",""),"CMP-","c"))&amp;"-"&amp;LOWER(SUBSTITUTE(SUBSTITUTE($B188,"SAMPLE-",""),"O-","o"))&amp;"-"&amp;IF($C188="qr","q","p"))</f>
        <v/>
      </c>
      <c r="E188" s="30" t="str">
        <f aca="false">IF($A188="","","https://"&amp;config!$B$9&amp;"/"&amp;$D188)</f>
        <v/>
      </c>
      <c r="F188" s="30" t="str">
        <f aca="false">IF($A188="","",$A188&amp;"."&amp;$B188)</f>
        <v/>
      </c>
      <c r="G188" s="30" t="str">
        <f aca="false">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30" t="str">
        <f aca="false">IF(OR($A188="",$C188&lt;&gt;"qr"),"",$D188&amp;".png")</f>
        <v/>
      </c>
      <c r="I188" s="30" t="str">
        <f aca="true">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ustomFormat="false" ht="15" hidden="false" customHeight="false" outlineLevel="0" collapsed="false">
      <c r="A189" s="30" t="str">
        <f aca="false">IF(INDEX(approvals!$A$2:$A$251,INT((ROW()-2)/2)+1)="","",INDEX(approvals!$A$2:$A$251,INT((ROW()-2)/2)+1))</f>
        <v/>
      </c>
      <c r="B189" s="30" t="str">
        <f aca="false">IF(INDEX(approvals!$A$2:$A$251,INT((ROW()-2)/2)+1)="","",INDEX(approvals!$B$2:$B$251,INT((ROW()-2)/2)+1))</f>
        <v/>
      </c>
      <c r="C189" s="30" t="str">
        <f aca="false">IF($A189="","",IF(MOD(ROW()-2,2)=0,"qr","post"))</f>
        <v/>
      </c>
      <c r="D189" s="30" t="str">
        <f aca="false">IF($A189="","",IF(LEFT($A189,7)="SAMPLE-","SAMPLE-","")&amp;LOWER(SUBSTITUTE(SUBSTITUTE($A189,"SAMPLE-",""),"CMP-","c"))&amp;"-"&amp;LOWER(SUBSTITUTE(SUBSTITUTE($B189,"SAMPLE-",""),"O-","o"))&amp;"-"&amp;IF($C189="qr","q","p"))</f>
        <v/>
      </c>
      <c r="E189" s="30" t="str">
        <f aca="false">IF($A189="","","https://"&amp;config!$B$9&amp;"/"&amp;$D189)</f>
        <v/>
      </c>
      <c r="F189" s="30" t="str">
        <f aca="false">IF($A189="","",$A189&amp;"."&amp;$B189)</f>
        <v/>
      </c>
      <c r="G189" s="30" t="str">
        <f aca="false">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30" t="str">
        <f aca="false">IF(OR($A189="",$C189&lt;&gt;"qr"),"",$D189&amp;".png")</f>
        <v/>
      </c>
      <c r="I189" s="30" t="str">
        <f aca="true">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ustomFormat="false" ht="15" hidden="false" customHeight="false" outlineLevel="0" collapsed="false">
      <c r="A190" s="30" t="str">
        <f aca="false">IF(INDEX(approvals!$A$2:$A$251,INT((ROW()-2)/2)+1)="","",INDEX(approvals!$A$2:$A$251,INT((ROW()-2)/2)+1))</f>
        <v/>
      </c>
      <c r="B190" s="30" t="str">
        <f aca="false">IF(INDEX(approvals!$A$2:$A$251,INT((ROW()-2)/2)+1)="","",INDEX(approvals!$B$2:$B$251,INT((ROW()-2)/2)+1))</f>
        <v/>
      </c>
      <c r="C190" s="30" t="str">
        <f aca="false">IF($A190="","",IF(MOD(ROW()-2,2)=0,"qr","post"))</f>
        <v/>
      </c>
      <c r="D190" s="30" t="str">
        <f aca="false">IF($A190="","",IF(LEFT($A190,7)="SAMPLE-","SAMPLE-","")&amp;LOWER(SUBSTITUTE(SUBSTITUTE($A190,"SAMPLE-",""),"CMP-","c"))&amp;"-"&amp;LOWER(SUBSTITUTE(SUBSTITUTE($B190,"SAMPLE-",""),"O-","o"))&amp;"-"&amp;IF($C190="qr","q","p"))</f>
        <v/>
      </c>
      <c r="E190" s="30" t="str">
        <f aca="false">IF($A190="","","https://"&amp;config!$B$9&amp;"/"&amp;$D190)</f>
        <v/>
      </c>
      <c r="F190" s="30" t="str">
        <f aca="false">IF($A190="","",$A190&amp;"."&amp;$B190)</f>
        <v/>
      </c>
      <c r="G190" s="30" t="str">
        <f aca="false">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30" t="str">
        <f aca="false">IF(OR($A190="",$C190&lt;&gt;"qr"),"",$D190&amp;".png")</f>
        <v/>
      </c>
      <c r="I190" s="30" t="str">
        <f aca="true">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ustomFormat="false" ht="15" hidden="false" customHeight="false" outlineLevel="0" collapsed="false">
      <c r="A191" s="30" t="str">
        <f aca="false">IF(INDEX(approvals!$A$2:$A$251,INT((ROW()-2)/2)+1)="","",INDEX(approvals!$A$2:$A$251,INT((ROW()-2)/2)+1))</f>
        <v/>
      </c>
      <c r="B191" s="30" t="str">
        <f aca="false">IF(INDEX(approvals!$A$2:$A$251,INT((ROW()-2)/2)+1)="","",INDEX(approvals!$B$2:$B$251,INT((ROW()-2)/2)+1))</f>
        <v/>
      </c>
      <c r="C191" s="30" t="str">
        <f aca="false">IF($A191="","",IF(MOD(ROW()-2,2)=0,"qr","post"))</f>
        <v/>
      </c>
      <c r="D191" s="30" t="str">
        <f aca="false">IF($A191="","",IF(LEFT($A191,7)="SAMPLE-","SAMPLE-","")&amp;LOWER(SUBSTITUTE(SUBSTITUTE($A191,"SAMPLE-",""),"CMP-","c"))&amp;"-"&amp;LOWER(SUBSTITUTE(SUBSTITUTE($B191,"SAMPLE-",""),"O-","o"))&amp;"-"&amp;IF($C191="qr","q","p"))</f>
        <v/>
      </c>
      <c r="E191" s="30" t="str">
        <f aca="false">IF($A191="","","https://"&amp;config!$B$9&amp;"/"&amp;$D191)</f>
        <v/>
      </c>
      <c r="F191" s="30" t="str">
        <f aca="false">IF($A191="","",$A191&amp;"."&amp;$B191)</f>
        <v/>
      </c>
      <c r="G191" s="30" t="str">
        <f aca="false">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30" t="str">
        <f aca="false">IF(OR($A191="",$C191&lt;&gt;"qr"),"",$D191&amp;".png")</f>
        <v/>
      </c>
      <c r="I191" s="30" t="str">
        <f aca="true">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ustomFormat="false" ht="15" hidden="false" customHeight="false" outlineLevel="0" collapsed="false">
      <c r="A192" s="30" t="str">
        <f aca="false">IF(INDEX(approvals!$A$2:$A$251,INT((ROW()-2)/2)+1)="","",INDEX(approvals!$A$2:$A$251,INT((ROW()-2)/2)+1))</f>
        <v/>
      </c>
      <c r="B192" s="30" t="str">
        <f aca="false">IF(INDEX(approvals!$A$2:$A$251,INT((ROW()-2)/2)+1)="","",INDEX(approvals!$B$2:$B$251,INT((ROW()-2)/2)+1))</f>
        <v/>
      </c>
      <c r="C192" s="30" t="str">
        <f aca="false">IF($A192="","",IF(MOD(ROW()-2,2)=0,"qr","post"))</f>
        <v/>
      </c>
      <c r="D192" s="30" t="str">
        <f aca="false">IF($A192="","",IF(LEFT($A192,7)="SAMPLE-","SAMPLE-","")&amp;LOWER(SUBSTITUTE(SUBSTITUTE($A192,"SAMPLE-",""),"CMP-","c"))&amp;"-"&amp;LOWER(SUBSTITUTE(SUBSTITUTE($B192,"SAMPLE-",""),"O-","o"))&amp;"-"&amp;IF($C192="qr","q","p"))</f>
        <v/>
      </c>
      <c r="E192" s="30" t="str">
        <f aca="false">IF($A192="","","https://"&amp;config!$B$9&amp;"/"&amp;$D192)</f>
        <v/>
      </c>
      <c r="F192" s="30" t="str">
        <f aca="false">IF($A192="","",$A192&amp;"."&amp;$B192)</f>
        <v/>
      </c>
      <c r="G192" s="30" t="str">
        <f aca="false">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30" t="str">
        <f aca="false">IF(OR($A192="",$C192&lt;&gt;"qr"),"",$D192&amp;".png")</f>
        <v/>
      </c>
      <c r="I192" s="30" t="str">
        <f aca="true">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ustomFormat="false" ht="15" hidden="false" customHeight="false" outlineLevel="0" collapsed="false">
      <c r="A193" s="30" t="str">
        <f aca="false">IF(INDEX(approvals!$A$2:$A$251,INT((ROW()-2)/2)+1)="","",INDEX(approvals!$A$2:$A$251,INT((ROW()-2)/2)+1))</f>
        <v/>
      </c>
      <c r="B193" s="30" t="str">
        <f aca="false">IF(INDEX(approvals!$A$2:$A$251,INT((ROW()-2)/2)+1)="","",INDEX(approvals!$B$2:$B$251,INT((ROW()-2)/2)+1))</f>
        <v/>
      </c>
      <c r="C193" s="30" t="str">
        <f aca="false">IF($A193="","",IF(MOD(ROW()-2,2)=0,"qr","post"))</f>
        <v/>
      </c>
      <c r="D193" s="30" t="str">
        <f aca="false">IF($A193="","",IF(LEFT($A193,7)="SAMPLE-","SAMPLE-","")&amp;LOWER(SUBSTITUTE(SUBSTITUTE($A193,"SAMPLE-",""),"CMP-","c"))&amp;"-"&amp;LOWER(SUBSTITUTE(SUBSTITUTE($B193,"SAMPLE-",""),"O-","o"))&amp;"-"&amp;IF($C193="qr","q","p"))</f>
        <v/>
      </c>
      <c r="E193" s="30" t="str">
        <f aca="false">IF($A193="","","https://"&amp;config!$B$9&amp;"/"&amp;$D193)</f>
        <v/>
      </c>
      <c r="F193" s="30" t="str">
        <f aca="false">IF($A193="","",$A193&amp;"."&amp;$B193)</f>
        <v/>
      </c>
      <c r="G193" s="30" t="str">
        <f aca="false">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30" t="str">
        <f aca="false">IF(OR($A193="",$C193&lt;&gt;"qr"),"",$D193&amp;".png")</f>
        <v/>
      </c>
      <c r="I193" s="30" t="str">
        <f aca="true">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ustomFormat="false" ht="15" hidden="false" customHeight="false" outlineLevel="0" collapsed="false">
      <c r="A194" s="30" t="str">
        <f aca="false">IF(INDEX(approvals!$A$2:$A$251,INT((ROW()-2)/2)+1)="","",INDEX(approvals!$A$2:$A$251,INT((ROW()-2)/2)+1))</f>
        <v/>
      </c>
      <c r="B194" s="30" t="str">
        <f aca="false">IF(INDEX(approvals!$A$2:$A$251,INT((ROW()-2)/2)+1)="","",INDEX(approvals!$B$2:$B$251,INT((ROW()-2)/2)+1))</f>
        <v/>
      </c>
      <c r="C194" s="30" t="str">
        <f aca="false">IF($A194="","",IF(MOD(ROW()-2,2)=0,"qr","post"))</f>
        <v/>
      </c>
      <c r="D194" s="30" t="str">
        <f aca="false">IF($A194="","",IF(LEFT($A194,7)="SAMPLE-","SAMPLE-","")&amp;LOWER(SUBSTITUTE(SUBSTITUTE($A194,"SAMPLE-",""),"CMP-","c"))&amp;"-"&amp;LOWER(SUBSTITUTE(SUBSTITUTE($B194,"SAMPLE-",""),"O-","o"))&amp;"-"&amp;IF($C194="qr","q","p"))</f>
        <v/>
      </c>
      <c r="E194" s="30" t="str">
        <f aca="false">IF($A194="","","https://"&amp;config!$B$9&amp;"/"&amp;$D194)</f>
        <v/>
      </c>
      <c r="F194" s="30" t="str">
        <f aca="false">IF($A194="","",$A194&amp;"."&amp;$B194)</f>
        <v/>
      </c>
      <c r="G194" s="30" t="str">
        <f aca="false">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30" t="str">
        <f aca="false">IF(OR($A194="",$C194&lt;&gt;"qr"),"",$D194&amp;".png")</f>
        <v/>
      </c>
      <c r="I194" s="30" t="str">
        <f aca="true">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ustomFormat="false" ht="15" hidden="false" customHeight="false" outlineLevel="0" collapsed="false">
      <c r="A195" s="30" t="str">
        <f aca="false">IF(INDEX(approvals!$A$2:$A$251,INT((ROW()-2)/2)+1)="","",INDEX(approvals!$A$2:$A$251,INT((ROW()-2)/2)+1))</f>
        <v/>
      </c>
      <c r="B195" s="30" t="str">
        <f aca="false">IF(INDEX(approvals!$A$2:$A$251,INT((ROW()-2)/2)+1)="","",INDEX(approvals!$B$2:$B$251,INT((ROW()-2)/2)+1))</f>
        <v/>
      </c>
      <c r="C195" s="30" t="str">
        <f aca="false">IF($A195="","",IF(MOD(ROW()-2,2)=0,"qr","post"))</f>
        <v/>
      </c>
      <c r="D195" s="30" t="str">
        <f aca="false">IF($A195="","",IF(LEFT($A195,7)="SAMPLE-","SAMPLE-","")&amp;LOWER(SUBSTITUTE(SUBSTITUTE($A195,"SAMPLE-",""),"CMP-","c"))&amp;"-"&amp;LOWER(SUBSTITUTE(SUBSTITUTE($B195,"SAMPLE-",""),"O-","o"))&amp;"-"&amp;IF($C195="qr","q","p"))</f>
        <v/>
      </c>
      <c r="E195" s="30" t="str">
        <f aca="false">IF($A195="","","https://"&amp;config!$B$9&amp;"/"&amp;$D195)</f>
        <v/>
      </c>
      <c r="F195" s="30" t="str">
        <f aca="false">IF($A195="","",$A195&amp;"."&amp;$B195)</f>
        <v/>
      </c>
      <c r="G195" s="30" t="str">
        <f aca="false">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30" t="str">
        <f aca="false">IF(OR($A195="",$C195&lt;&gt;"qr"),"",$D195&amp;".png")</f>
        <v/>
      </c>
      <c r="I195" s="30" t="str">
        <f aca="true">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ustomFormat="false" ht="15" hidden="false" customHeight="false" outlineLevel="0" collapsed="false">
      <c r="A196" s="30" t="str">
        <f aca="false">IF(INDEX(approvals!$A$2:$A$251,INT((ROW()-2)/2)+1)="","",INDEX(approvals!$A$2:$A$251,INT((ROW()-2)/2)+1))</f>
        <v/>
      </c>
      <c r="B196" s="30" t="str">
        <f aca="false">IF(INDEX(approvals!$A$2:$A$251,INT((ROW()-2)/2)+1)="","",INDEX(approvals!$B$2:$B$251,INT((ROW()-2)/2)+1))</f>
        <v/>
      </c>
      <c r="C196" s="30" t="str">
        <f aca="false">IF($A196="","",IF(MOD(ROW()-2,2)=0,"qr","post"))</f>
        <v/>
      </c>
      <c r="D196" s="30" t="str">
        <f aca="false">IF($A196="","",IF(LEFT($A196,7)="SAMPLE-","SAMPLE-","")&amp;LOWER(SUBSTITUTE(SUBSTITUTE($A196,"SAMPLE-",""),"CMP-","c"))&amp;"-"&amp;LOWER(SUBSTITUTE(SUBSTITUTE($B196,"SAMPLE-",""),"O-","o"))&amp;"-"&amp;IF($C196="qr","q","p"))</f>
        <v/>
      </c>
      <c r="E196" s="30" t="str">
        <f aca="false">IF($A196="","","https://"&amp;config!$B$9&amp;"/"&amp;$D196)</f>
        <v/>
      </c>
      <c r="F196" s="30" t="str">
        <f aca="false">IF($A196="","",$A196&amp;"."&amp;$B196)</f>
        <v/>
      </c>
      <c r="G196" s="30" t="str">
        <f aca="false">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30" t="str">
        <f aca="false">IF(OR($A196="",$C196&lt;&gt;"qr"),"",$D196&amp;".png")</f>
        <v/>
      </c>
      <c r="I196" s="30" t="str">
        <f aca="true">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ustomFormat="false" ht="15" hidden="false" customHeight="false" outlineLevel="0" collapsed="false">
      <c r="A197" s="30" t="str">
        <f aca="false">IF(INDEX(approvals!$A$2:$A$251,INT((ROW()-2)/2)+1)="","",INDEX(approvals!$A$2:$A$251,INT((ROW()-2)/2)+1))</f>
        <v/>
      </c>
      <c r="B197" s="30" t="str">
        <f aca="false">IF(INDEX(approvals!$A$2:$A$251,INT((ROW()-2)/2)+1)="","",INDEX(approvals!$B$2:$B$251,INT((ROW()-2)/2)+1))</f>
        <v/>
      </c>
      <c r="C197" s="30" t="str">
        <f aca="false">IF($A197="","",IF(MOD(ROW()-2,2)=0,"qr","post"))</f>
        <v/>
      </c>
      <c r="D197" s="30" t="str">
        <f aca="false">IF($A197="","",IF(LEFT($A197,7)="SAMPLE-","SAMPLE-","")&amp;LOWER(SUBSTITUTE(SUBSTITUTE($A197,"SAMPLE-",""),"CMP-","c"))&amp;"-"&amp;LOWER(SUBSTITUTE(SUBSTITUTE($B197,"SAMPLE-",""),"O-","o"))&amp;"-"&amp;IF($C197="qr","q","p"))</f>
        <v/>
      </c>
      <c r="E197" s="30" t="str">
        <f aca="false">IF($A197="","","https://"&amp;config!$B$9&amp;"/"&amp;$D197)</f>
        <v/>
      </c>
      <c r="F197" s="30" t="str">
        <f aca="false">IF($A197="","",$A197&amp;"."&amp;$B197)</f>
        <v/>
      </c>
      <c r="G197" s="30" t="str">
        <f aca="false">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30" t="str">
        <f aca="false">IF(OR($A197="",$C197&lt;&gt;"qr"),"",$D197&amp;".png")</f>
        <v/>
      </c>
      <c r="I197" s="30" t="str">
        <f aca="true">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ustomFormat="false" ht="15" hidden="false" customHeight="false" outlineLevel="0" collapsed="false">
      <c r="A198" s="30" t="str">
        <f aca="false">IF(INDEX(approvals!$A$2:$A$251,INT((ROW()-2)/2)+1)="","",INDEX(approvals!$A$2:$A$251,INT((ROW()-2)/2)+1))</f>
        <v/>
      </c>
      <c r="B198" s="30" t="str">
        <f aca="false">IF(INDEX(approvals!$A$2:$A$251,INT((ROW()-2)/2)+1)="","",INDEX(approvals!$B$2:$B$251,INT((ROW()-2)/2)+1))</f>
        <v/>
      </c>
      <c r="C198" s="30" t="str">
        <f aca="false">IF($A198="","",IF(MOD(ROW()-2,2)=0,"qr","post"))</f>
        <v/>
      </c>
      <c r="D198" s="30" t="str">
        <f aca="false">IF($A198="","",IF(LEFT($A198,7)="SAMPLE-","SAMPLE-","")&amp;LOWER(SUBSTITUTE(SUBSTITUTE($A198,"SAMPLE-",""),"CMP-","c"))&amp;"-"&amp;LOWER(SUBSTITUTE(SUBSTITUTE($B198,"SAMPLE-",""),"O-","o"))&amp;"-"&amp;IF($C198="qr","q","p"))</f>
        <v/>
      </c>
      <c r="E198" s="30" t="str">
        <f aca="false">IF($A198="","","https://"&amp;config!$B$9&amp;"/"&amp;$D198)</f>
        <v/>
      </c>
      <c r="F198" s="30" t="str">
        <f aca="false">IF($A198="","",$A198&amp;"."&amp;$B198)</f>
        <v/>
      </c>
      <c r="G198" s="30" t="str">
        <f aca="false">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30" t="str">
        <f aca="false">IF(OR($A198="",$C198&lt;&gt;"qr"),"",$D198&amp;".png")</f>
        <v/>
      </c>
      <c r="I198" s="30" t="str">
        <f aca="true">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ustomFormat="false" ht="15" hidden="false" customHeight="false" outlineLevel="0" collapsed="false">
      <c r="A199" s="30" t="str">
        <f aca="false">IF(INDEX(approvals!$A$2:$A$251,INT((ROW()-2)/2)+1)="","",INDEX(approvals!$A$2:$A$251,INT((ROW()-2)/2)+1))</f>
        <v/>
      </c>
      <c r="B199" s="30" t="str">
        <f aca="false">IF(INDEX(approvals!$A$2:$A$251,INT((ROW()-2)/2)+1)="","",INDEX(approvals!$B$2:$B$251,INT((ROW()-2)/2)+1))</f>
        <v/>
      </c>
      <c r="C199" s="30" t="str">
        <f aca="false">IF($A199="","",IF(MOD(ROW()-2,2)=0,"qr","post"))</f>
        <v/>
      </c>
      <c r="D199" s="30" t="str">
        <f aca="false">IF($A199="","",IF(LEFT($A199,7)="SAMPLE-","SAMPLE-","")&amp;LOWER(SUBSTITUTE(SUBSTITUTE($A199,"SAMPLE-",""),"CMP-","c"))&amp;"-"&amp;LOWER(SUBSTITUTE(SUBSTITUTE($B199,"SAMPLE-",""),"O-","o"))&amp;"-"&amp;IF($C199="qr","q","p"))</f>
        <v/>
      </c>
      <c r="E199" s="30" t="str">
        <f aca="false">IF($A199="","","https://"&amp;config!$B$9&amp;"/"&amp;$D199)</f>
        <v/>
      </c>
      <c r="F199" s="30" t="str">
        <f aca="false">IF($A199="","",$A199&amp;"."&amp;$B199)</f>
        <v/>
      </c>
      <c r="G199" s="30" t="str">
        <f aca="false">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30" t="str">
        <f aca="false">IF(OR($A199="",$C199&lt;&gt;"qr"),"",$D199&amp;".png")</f>
        <v/>
      </c>
      <c r="I199" s="30" t="str">
        <f aca="true">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ustomFormat="false" ht="15" hidden="false" customHeight="false" outlineLevel="0" collapsed="false">
      <c r="A200" s="30" t="str">
        <f aca="false">IF(INDEX(approvals!$A$2:$A$251,INT((ROW()-2)/2)+1)="","",INDEX(approvals!$A$2:$A$251,INT((ROW()-2)/2)+1))</f>
        <v/>
      </c>
      <c r="B200" s="30" t="str">
        <f aca="false">IF(INDEX(approvals!$A$2:$A$251,INT((ROW()-2)/2)+1)="","",INDEX(approvals!$B$2:$B$251,INT((ROW()-2)/2)+1))</f>
        <v/>
      </c>
      <c r="C200" s="30" t="str">
        <f aca="false">IF($A200="","",IF(MOD(ROW()-2,2)=0,"qr","post"))</f>
        <v/>
      </c>
      <c r="D200" s="30" t="str">
        <f aca="false">IF($A200="","",IF(LEFT($A200,7)="SAMPLE-","SAMPLE-","")&amp;LOWER(SUBSTITUTE(SUBSTITUTE($A200,"SAMPLE-",""),"CMP-","c"))&amp;"-"&amp;LOWER(SUBSTITUTE(SUBSTITUTE($B200,"SAMPLE-",""),"O-","o"))&amp;"-"&amp;IF($C200="qr","q","p"))</f>
        <v/>
      </c>
      <c r="E200" s="30" t="str">
        <f aca="false">IF($A200="","","https://"&amp;config!$B$9&amp;"/"&amp;$D200)</f>
        <v/>
      </c>
      <c r="F200" s="30" t="str">
        <f aca="false">IF($A200="","",$A200&amp;"."&amp;$B200)</f>
        <v/>
      </c>
      <c r="G200" s="30" t="str">
        <f aca="false">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30" t="str">
        <f aca="false">IF(OR($A200="",$C200&lt;&gt;"qr"),"",$D200&amp;".png")</f>
        <v/>
      </c>
      <c r="I200" s="30" t="str">
        <f aca="true">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ustomFormat="false" ht="15" hidden="false" customHeight="false" outlineLevel="0" collapsed="false">
      <c r="A201" s="30" t="str">
        <f aca="false">IF(INDEX(approvals!$A$2:$A$251,INT((ROW()-2)/2)+1)="","",INDEX(approvals!$A$2:$A$251,INT((ROW()-2)/2)+1))</f>
        <v/>
      </c>
      <c r="B201" s="30" t="str">
        <f aca="false">IF(INDEX(approvals!$A$2:$A$251,INT((ROW()-2)/2)+1)="","",INDEX(approvals!$B$2:$B$251,INT((ROW()-2)/2)+1))</f>
        <v/>
      </c>
      <c r="C201" s="30" t="str">
        <f aca="false">IF($A201="","",IF(MOD(ROW()-2,2)=0,"qr","post"))</f>
        <v/>
      </c>
      <c r="D201" s="30" t="str">
        <f aca="false">IF($A201="","",IF(LEFT($A201,7)="SAMPLE-","SAMPLE-","")&amp;LOWER(SUBSTITUTE(SUBSTITUTE($A201,"SAMPLE-",""),"CMP-","c"))&amp;"-"&amp;LOWER(SUBSTITUTE(SUBSTITUTE($B201,"SAMPLE-",""),"O-","o"))&amp;"-"&amp;IF($C201="qr","q","p"))</f>
        <v/>
      </c>
      <c r="E201" s="30" t="str">
        <f aca="false">IF($A201="","","https://"&amp;config!$B$9&amp;"/"&amp;$D201)</f>
        <v/>
      </c>
      <c r="F201" s="30" t="str">
        <f aca="false">IF($A201="","",$A201&amp;"."&amp;$B201)</f>
        <v/>
      </c>
      <c r="G201" s="30" t="str">
        <f aca="false">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30" t="str">
        <f aca="false">IF(OR($A201="",$C201&lt;&gt;"qr"),"",$D201&amp;".png")</f>
        <v/>
      </c>
      <c r="I201" s="30" t="str">
        <f aca="true">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ustomFormat="false" ht="15" hidden="false" customHeight="false" outlineLevel="0" collapsed="false">
      <c r="A202" s="30" t="str">
        <f aca="false">IF(INDEX(approvals!$A$2:$A$251,INT((ROW()-2)/2)+1)="","",INDEX(approvals!$A$2:$A$251,INT((ROW()-2)/2)+1))</f>
        <v/>
      </c>
      <c r="B202" s="30" t="str">
        <f aca="false">IF(INDEX(approvals!$A$2:$A$251,INT((ROW()-2)/2)+1)="","",INDEX(approvals!$B$2:$B$251,INT((ROW()-2)/2)+1))</f>
        <v/>
      </c>
      <c r="C202" s="30" t="str">
        <f aca="false">IF($A202="","",IF(MOD(ROW()-2,2)=0,"qr","post"))</f>
        <v/>
      </c>
      <c r="D202" s="30" t="str">
        <f aca="false">IF($A202="","",IF(LEFT($A202,7)="SAMPLE-","SAMPLE-","")&amp;LOWER(SUBSTITUTE(SUBSTITUTE($A202,"SAMPLE-",""),"CMP-","c"))&amp;"-"&amp;LOWER(SUBSTITUTE(SUBSTITUTE($B202,"SAMPLE-",""),"O-","o"))&amp;"-"&amp;IF($C202="qr","q","p"))</f>
        <v/>
      </c>
      <c r="E202" s="30" t="str">
        <f aca="false">IF($A202="","","https://"&amp;config!$B$9&amp;"/"&amp;$D202)</f>
        <v/>
      </c>
      <c r="F202" s="30" t="str">
        <f aca="false">IF($A202="","",$A202&amp;"."&amp;$B202)</f>
        <v/>
      </c>
      <c r="G202" s="30" t="str">
        <f aca="false">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30" t="str">
        <f aca="false">IF(OR($A202="",$C202&lt;&gt;"qr"),"",$D202&amp;".png")</f>
        <v/>
      </c>
      <c r="I202" s="30" t="str">
        <f aca="true">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ustomFormat="false" ht="15" hidden="false" customHeight="false" outlineLevel="0" collapsed="false">
      <c r="A203" s="30" t="str">
        <f aca="false">IF(INDEX(approvals!$A$2:$A$251,INT((ROW()-2)/2)+1)="","",INDEX(approvals!$A$2:$A$251,INT((ROW()-2)/2)+1))</f>
        <v/>
      </c>
      <c r="B203" s="30" t="str">
        <f aca="false">IF(INDEX(approvals!$A$2:$A$251,INT((ROW()-2)/2)+1)="","",INDEX(approvals!$B$2:$B$251,INT((ROW()-2)/2)+1))</f>
        <v/>
      </c>
      <c r="C203" s="30" t="str">
        <f aca="false">IF($A203="","",IF(MOD(ROW()-2,2)=0,"qr","post"))</f>
        <v/>
      </c>
      <c r="D203" s="30" t="str">
        <f aca="false">IF($A203="","",IF(LEFT($A203,7)="SAMPLE-","SAMPLE-","")&amp;LOWER(SUBSTITUTE(SUBSTITUTE($A203,"SAMPLE-",""),"CMP-","c"))&amp;"-"&amp;LOWER(SUBSTITUTE(SUBSTITUTE($B203,"SAMPLE-",""),"O-","o"))&amp;"-"&amp;IF($C203="qr","q","p"))</f>
        <v/>
      </c>
      <c r="E203" s="30" t="str">
        <f aca="false">IF($A203="","","https://"&amp;config!$B$9&amp;"/"&amp;$D203)</f>
        <v/>
      </c>
      <c r="F203" s="30" t="str">
        <f aca="false">IF($A203="","",$A203&amp;"."&amp;$B203)</f>
        <v/>
      </c>
      <c r="G203" s="30" t="str">
        <f aca="false">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30" t="str">
        <f aca="false">IF(OR($A203="",$C203&lt;&gt;"qr"),"",$D203&amp;".png")</f>
        <v/>
      </c>
      <c r="I203" s="30" t="str">
        <f aca="true">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ustomFormat="false" ht="15" hidden="false" customHeight="false" outlineLevel="0" collapsed="false">
      <c r="A204" s="30" t="str">
        <f aca="false">IF(INDEX(approvals!$A$2:$A$251,INT((ROW()-2)/2)+1)="","",INDEX(approvals!$A$2:$A$251,INT((ROW()-2)/2)+1))</f>
        <v/>
      </c>
      <c r="B204" s="30" t="str">
        <f aca="false">IF(INDEX(approvals!$A$2:$A$251,INT((ROW()-2)/2)+1)="","",INDEX(approvals!$B$2:$B$251,INT((ROW()-2)/2)+1))</f>
        <v/>
      </c>
      <c r="C204" s="30" t="str">
        <f aca="false">IF($A204="","",IF(MOD(ROW()-2,2)=0,"qr","post"))</f>
        <v/>
      </c>
      <c r="D204" s="30" t="str">
        <f aca="false">IF($A204="","",IF(LEFT($A204,7)="SAMPLE-","SAMPLE-","")&amp;LOWER(SUBSTITUTE(SUBSTITUTE($A204,"SAMPLE-",""),"CMP-","c"))&amp;"-"&amp;LOWER(SUBSTITUTE(SUBSTITUTE($B204,"SAMPLE-",""),"O-","o"))&amp;"-"&amp;IF($C204="qr","q","p"))</f>
        <v/>
      </c>
      <c r="E204" s="30" t="str">
        <f aca="false">IF($A204="","","https://"&amp;config!$B$9&amp;"/"&amp;$D204)</f>
        <v/>
      </c>
      <c r="F204" s="30" t="str">
        <f aca="false">IF($A204="","",$A204&amp;"."&amp;$B204)</f>
        <v/>
      </c>
      <c r="G204" s="30" t="str">
        <f aca="false">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30" t="str">
        <f aca="false">IF(OR($A204="",$C204&lt;&gt;"qr"),"",$D204&amp;".png")</f>
        <v/>
      </c>
      <c r="I204" s="30" t="str">
        <f aca="true">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ustomFormat="false" ht="15" hidden="false" customHeight="false" outlineLevel="0" collapsed="false">
      <c r="A205" s="30" t="str">
        <f aca="false">IF(INDEX(approvals!$A$2:$A$251,INT((ROW()-2)/2)+1)="","",INDEX(approvals!$A$2:$A$251,INT((ROW()-2)/2)+1))</f>
        <v/>
      </c>
      <c r="B205" s="30" t="str">
        <f aca="false">IF(INDEX(approvals!$A$2:$A$251,INT((ROW()-2)/2)+1)="","",INDEX(approvals!$B$2:$B$251,INT((ROW()-2)/2)+1))</f>
        <v/>
      </c>
      <c r="C205" s="30" t="str">
        <f aca="false">IF($A205="","",IF(MOD(ROW()-2,2)=0,"qr","post"))</f>
        <v/>
      </c>
      <c r="D205" s="30" t="str">
        <f aca="false">IF($A205="","",IF(LEFT($A205,7)="SAMPLE-","SAMPLE-","")&amp;LOWER(SUBSTITUTE(SUBSTITUTE($A205,"SAMPLE-",""),"CMP-","c"))&amp;"-"&amp;LOWER(SUBSTITUTE(SUBSTITUTE($B205,"SAMPLE-",""),"O-","o"))&amp;"-"&amp;IF($C205="qr","q","p"))</f>
        <v/>
      </c>
      <c r="E205" s="30" t="str">
        <f aca="false">IF($A205="","","https://"&amp;config!$B$9&amp;"/"&amp;$D205)</f>
        <v/>
      </c>
      <c r="F205" s="30" t="str">
        <f aca="false">IF($A205="","",$A205&amp;"."&amp;$B205)</f>
        <v/>
      </c>
      <c r="G205" s="30" t="str">
        <f aca="false">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30" t="str">
        <f aca="false">IF(OR($A205="",$C205&lt;&gt;"qr"),"",$D205&amp;".png")</f>
        <v/>
      </c>
      <c r="I205" s="30" t="str">
        <f aca="true">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ustomFormat="false" ht="15" hidden="false" customHeight="false" outlineLevel="0" collapsed="false">
      <c r="A206" s="30" t="str">
        <f aca="false">IF(INDEX(approvals!$A$2:$A$251,INT((ROW()-2)/2)+1)="","",INDEX(approvals!$A$2:$A$251,INT((ROW()-2)/2)+1))</f>
        <v/>
      </c>
      <c r="B206" s="30" t="str">
        <f aca="false">IF(INDEX(approvals!$A$2:$A$251,INT((ROW()-2)/2)+1)="","",INDEX(approvals!$B$2:$B$251,INT((ROW()-2)/2)+1))</f>
        <v/>
      </c>
      <c r="C206" s="30" t="str">
        <f aca="false">IF($A206="","",IF(MOD(ROW()-2,2)=0,"qr","post"))</f>
        <v/>
      </c>
      <c r="D206" s="30" t="str">
        <f aca="false">IF($A206="","",IF(LEFT($A206,7)="SAMPLE-","SAMPLE-","")&amp;LOWER(SUBSTITUTE(SUBSTITUTE($A206,"SAMPLE-",""),"CMP-","c"))&amp;"-"&amp;LOWER(SUBSTITUTE(SUBSTITUTE($B206,"SAMPLE-",""),"O-","o"))&amp;"-"&amp;IF($C206="qr","q","p"))</f>
        <v/>
      </c>
      <c r="E206" s="30" t="str">
        <f aca="false">IF($A206="","","https://"&amp;config!$B$9&amp;"/"&amp;$D206)</f>
        <v/>
      </c>
      <c r="F206" s="30" t="str">
        <f aca="false">IF($A206="","",$A206&amp;"."&amp;$B206)</f>
        <v/>
      </c>
      <c r="G206" s="30" t="str">
        <f aca="false">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30" t="str">
        <f aca="false">IF(OR($A206="",$C206&lt;&gt;"qr"),"",$D206&amp;".png")</f>
        <v/>
      </c>
      <c r="I206" s="30" t="str">
        <f aca="true">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ustomFormat="false" ht="15" hidden="false" customHeight="false" outlineLevel="0" collapsed="false">
      <c r="A207" s="30" t="str">
        <f aca="false">IF(INDEX(approvals!$A$2:$A$251,INT((ROW()-2)/2)+1)="","",INDEX(approvals!$A$2:$A$251,INT((ROW()-2)/2)+1))</f>
        <v/>
      </c>
      <c r="B207" s="30" t="str">
        <f aca="false">IF(INDEX(approvals!$A$2:$A$251,INT((ROW()-2)/2)+1)="","",INDEX(approvals!$B$2:$B$251,INT((ROW()-2)/2)+1))</f>
        <v/>
      </c>
      <c r="C207" s="30" t="str">
        <f aca="false">IF($A207="","",IF(MOD(ROW()-2,2)=0,"qr","post"))</f>
        <v/>
      </c>
      <c r="D207" s="30" t="str">
        <f aca="false">IF($A207="","",IF(LEFT($A207,7)="SAMPLE-","SAMPLE-","")&amp;LOWER(SUBSTITUTE(SUBSTITUTE($A207,"SAMPLE-",""),"CMP-","c"))&amp;"-"&amp;LOWER(SUBSTITUTE(SUBSTITUTE($B207,"SAMPLE-",""),"O-","o"))&amp;"-"&amp;IF($C207="qr","q","p"))</f>
        <v/>
      </c>
      <c r="E207" s="30" t="str">
        <f aca="false">IF($A207="","","https://"&amp;config!$B$9&amp;"/"&amp;$D207)</f>
        <v/>
      </c>
      <c r="F207" s="30" t="str">
        <f aca="false">IF($A207="","",$A207&amp;"."&amp;$B207)</f>
        <v/>
      </c>
      <c r="G207" s="30" t="str">
        <f aca="false">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30" t="str">
        <f aca="false">IF(OR($A207="",$C207&lt;&gt;"qr"),"",$D207&amp;".png")</f>
        <v/>
      </c>
      <c r="I207" s="30" t="str">
        <f aca="true">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ustomFormat="false" ht="15" hidden="false" customHeight="false" outlineLevel="0" collapsed="false">
      <c r="A208" s="30" t="str">
        <f aca="false">IF(INDEX(approvals!$A$2:$A$251,INT((ROW()-2)/2)+1)="","",INDEX(approvals!$A$2:$A$251,INT((ROW()-2)/2)+1))</f>
        <v/>
      </c>
      <c r="B208" s="30" t="str">
        <f aca="false">IF(INDEX(approvals!$A$2:$A$251,INT((ROW()-2)/2)+1)="","",INDEX(approvals!$B$2:$B$251,INT((ROW()-2)/2)+1))</f>
        <v/>
      </c>
      <c r="C208" s="30" t="str">
        <f aca="false">IF($A208="","",IF(MOD(ROW()-2,2)=0,"qr","post"))</f>
        <v/>
      </c>
      <c r="D208" s="30" t="str">
        <f aca="false">IF($A208="","",IF(LEFT($A208,7)="SAMPLE-","SAMPLE-","")&amp;LOWER(SUBSTITUTE(SUBSTITUTE($A208,"SAMPLE-",""),"CMP-","c"))&amp;"-"&amp;LOWER(SUBSTITUTE(SUBSTITUTE($B208,"SAMPLE-",""),"O-","o"))&amp;"-"&amp;IF($C208="qr","q","p"))</f>
        <v/>
      </c>
      <c r="E208" s="30" t="str">
        <f aca="false">IF($A208="","","https://"&amp;config!$B$9&amp;"/"&amp;$D208)</f>
        <v/>
      </c>
      <c r="F208" s="30" t="str">
        <f aca="false">IF($A208="","",$A208&amp;"."&amp;$B208)</f>
        <v/>
      </c>
      <c r="G208" s="30" t="str">
        <f aca="false">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30" t="str">
        <f aca="false">IF(OR($A208="",$C208&lt;&gt;"qr"),"",$D208&amp;".png")</f>
        <v/>
      </c>
      <c r="I208" s="30" t="str">
        <f aca="true">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ustomFormat="false" ht="15" hidden="false" customHeight="false" outlineLevel="0" collapsed="false">
      <c r="A209" s="30" t="str">
        <f aca="false">IF(INDEX(approvals!$A$2:$A$251,INT((ROW()-2)/2)+1)="","",INDEX(approvals!$A$2:$A$251,INT((ROW()-2)/2)+1))</f>
        <v/>
      </c>
      <c r="B209" s="30" t="str">
        <f aca="false">IF(INDEX(approvals!$A$2:$A$251,INT((ROW()-2)/2)+1)="","",INDEX(approvals!$B$2:$B$251,INT((ROW()-2)/2)+1))</f>
        <v/>
      </c>
      <c r="C209" s="30" t="str">
        <f aca="false">IF($A209="","",IF(MOD(ROW()-2,2)=0,"qr","post"))</f>
        <v/>
      </c>
      <c r="D209" s="30" t="str">
        <f aca="false">IF($A209="","",IF(LEFT($A209,7)="SAMPLE-","SAMPLE-","")&amp;LOWER(SUBSTITUTE(SUBSTITUTE($A209,"SAMPLE-",""),"CMP-","c"))&amp;"-"&amp;LOWER(SUBSTITUTE(SUBSTITUTE($B209,"SAMPLE-",""),"O-","o"))&amp;"-"&amp;IF($C209="qr","q","p"))</f>
        <v/>
      </c>
      <c r="E209" s="30" t="str">
        <f aca="false">IF($A209="","","https://"&amp;config!$B$9&amp;"/"&amp;$D209)</f>
        <v/>
      </c>
      <c r="F209" s="30" t="str">
        <f aca="false">IF($A209="","",$A209&amp;"."&amp;$B209)</f>
        <v/>
      </c>
      <c r="G209" s="30" t="str">
        <f aca="false">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30" t="str">
        <f aca="false">IF(OR($A209="",$C209&lt;&gt;"qr"),"",$D209&amp;".png")</f>
        <v/>
      </c>
      <c r="I209" s="30" t="str">
        <f aca="true">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ustomFormat="false" ht="15" hidden="false" customHeight="false" outlineLevel="0" collapsed="false">
      <c r="A210" s="30" t="str">
        <f aca="false">IF(INDEX(approvals!$A$2:$A$251,INT((ROW()-2)/2)+1)="","",INDEX(approvals!$A$2:$A$251,INT((ROW()-2)/2)+1))</f>
        <v/>
      </c>
      <c r="B210" s="30" t="str">
        <f aca="false">IF(INDEX(approvals!$A$2:$A$251,INT((ROW()-2)/2)+1)="","",INDEX(approvals!$B$2:$B$251,INT((ROW()-2)/2)+1))</f>
        <v/>
      </c>
      <c r="C210" s="30" t="str">
        <f aca="false">IF($A210="","",IF(MOD(ROW()-2,2)=0,"qr","post"))</f>
        <v/>
      </c>
      <c r="D210" s="30" t="str">
        <f aca="false">IF($A210="","",IF(LEFT($A210,7)="SAMPLE-","SAMPLE-","")&amp;LOWER(SUBSTITUTE(SUBSTITUTE($A210,"SAMPLE-",""),"CMP-","c"))&amp;"-"&amp;LOWER(SUBSTITUTE(SUBSTITUTE($B210,"SAMPLE-",""),"O-","o"))&amp;"-"&amp;IF($C210="qr","q","p"))</f>
        <v/>
      </c>
      <c r="E210" s="30" t="str">
        <f aca="false">IF($A210="","","https://"&amp;config!$B$9&amp;"/"&amp;$D210)</f>
        <v/>
      </c>
      <c r="F210" s="30" t="str">
        <f aca="false">IF($A210="","",$A210&amp;"."&amp;$B210)</f>
        <v/>
      </c>
      <c r="G210" s="30" t="str">
        <f aca="false">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30" t="str">
        <f aca="false">IF(OR($A210="",$C210&lt;&gt;"qr"),"",$D210&amp;".png")</f>
        <v/>
      </c>
      <c r="I210" s="30" t="str">
        <f aca="true">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ustomFormat="false" ht="15" hidden="false" customHeight="false" outlineLevel="0" collapsed="false">
      <c r="A211" s="30" t="str">
        <f aca="false">IF(INDEX(approvals!$A$2:$A$251,INT((ROW()-2)/2)+1)="","",INDEX(approvals!$A$2:$A$251,INT((ROW()-2)/2)+1))</f>
        <v/>
      </c>
      <c r="B211" s="30" t="str">
        <f aca="false">IF(INDEX(approvals!$A$2:$A$251,INT((ROW()-2)/2)+1)="","",INDEX(approvals!$B$2:$B$251,INT((ROW()-2)/2)+1))</f>
        <v/>
      </c>
      <c r="C211" s="30" t="str">
        <f aca="false">IF($A211="","",IF(MOD(ROW()-2,2)=0,"qr","post"))</f>
        <v/>
      </c>
      <c r="D211" s="30" t="str">
        <f aca="false">IF($A211="","",IF(LEFT($A211,7)="SAMPLE-","SAMPLE-","")&amp;LOWER(SUBSTITUTE(SUBSTITUTE($A211,"SAMPLE-",""),"CMP-","c"))&amp;"-"&amp;LOWER(SUBSTITUTE(SUBSTITUTE($B211,"SAMPLE-",""),"O-","o"))&amp;"-"&amp;IF($C211="qr","q","p"))</f>
        <v/>
      </c>
      <c r="E211" s="30" t="str">
        <f aca="false">IF($A211="","","https://"&amp;config!$B$9&amp;"/"&amp;$D211)</f>
        <v/>
      </c>
      <c r="F211" s="30" t="str">
        <f aca="false">IF($A211="","",$A211&amp;"."&amp;$B211)</f>
        <v/>
      </c>
      <c r="G211" s="30" t="str">
        <f aca="false">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30" t="str">
        <f aca="false">IF(OR($A211="",$C211&lt;&gt;"qr"),"",$D211&amp;".png")</f>
        <v/>
      </c>
      <c r="I211" s="30" t="str">
        <f aca="true">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ustomFormat="false" ht="15" hidden="false" customHeight="false" outlineLevel="0" collapsed="false">
      <c r="A212" s="30" t="str">
        <f aca="false">IF(INDEX(approvals!$A$2:$A$251,INT((ROW()-2)/2)+1)="","",INDEX(approvals!$A$2:$A$251,INT((ROW()-2)/2)+1))</f>
        <v/>
      </c>
      <c r="B212" s="30" t="str">
        <f aca="false">IF(INDEX(approvals!$A$2:$A$251,INT((ROW()-2)/2)+1)="","",INDEX(approvals!$B$2:$B$251,INT((ROW()-2)/2)+1))</f>
        <v/>
      </c>
      <c r="C212" s="30" t="str">
        <f aca="false">IF($A212="","",IF(MOD(ROW()-2,2)=0,"qr","post"))</f>
        <v/>
      </c>
      <c r="D212" s="30" t="str">
        <f aca="false">IF($A212="","",IF(LEFT($A212,7)="SAMPLE-","SAMPLE-","")&amp;LOWER(SUBSTITUTE(SUBSTITUTE($A212,"SAMPLE-",""),"CMP-","c"))&amp;"-"&amp;LOWER(SUBSTITUTE(SUBSTITUTE($B212,"SAMPLE-",""),"O-","o"))&amp;"-"&amp;IF($C212="qr","q","p"))</f>
        <v/>
      </c>
      <c r="E212" s="30" t="str">
        <f aca="false">IF($A212="","","https://"&amp;config!$B$9&amp;"/"&amp;$D212)</f>
        <v/>
      </c>
      <c r="F212" s="30" t="str">
        <f aca="false">IF($A212="","",$A212&amp;"."&amp;$B212)</f>
        <v/>
      </c>
      <c r="G212" s="30" t="str">
        <f aca="false">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30" t="str">
        <f aca="false">IF(OR($A212="",$C212&lt;&gt;"qr"),"",$D212&amp;".png")</f>
        <v/>
      </c>
      <c r="I212" s="30" t="str">
        <f aca="true">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ustomFormat="false" ht="15" hidden="false" customHeight="false" outlineLevel="0" collapsed="false">
      <c r="A213" s="30" t="str">
        <f aca="false">IF(INDEX(approvals!$A$2:$A$251,INT((ROW()-2)/2)+1)="","",INDEX(approvals!$A$2:$A$251,INT((ROW()-2)/2)+1))</f>
        <v/>
      </c>
      <c r="B213" s="30" t="str">
        <f aca="false">IF(INDEX(approvals!$A$2:$A$251,INT((ROW()-2)/2)+1)="","",INDEX(approvals!$B$2:$B$251,INT((ROW()-2)/2)+1))</f>
        <v/>
      </c>
      <c r="C213" s="30" t="str">
        <f aca="false">IF($A213="","",IF(MOD(ROW()-2,2)=0,"qr","post"))</f>
        <v/>
      </c>
      <c r="D213" s="30" t="str">
        <f aca="false">IF($A213="","",IF(LEFT($A213,7)="SAMPLE-","SAMPLE-","")&amp;LOWER(SUBSTITUTE(SUBSTITUTE($A213,"SAMPLE-",""),"CMP-","c"))&amp;"-"&amp;LOWER(SUBSTITUTE(SUBSTITUTE($B213,"SAMPLE-",""),"O-","o"))&amp;"-"&amp;IF($C213="qr","q","p"))</f>
        <v/>
      </c>
      <c r="E213" s="30" t="str">
        <f aca="false">IF($A213="","","https://"&amp;config!$B$9&amp;"/"&amp;$D213)</f>
        <v/>
      </c>
      <c r="F213" s="30" t="str">
        <f aca="false">IF($A213="","",$A213&amp;"."&amp;$B213)</f>
        <v/>
      </c>
      <c r="G213" s="30" t="str">
        <f aca="false">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30" t="str">
        <f aca="false">IF(OR($A213="",$C213&lt;&gt;"qr"),"",$D213&amp;".png")</f>
        <v/>
      </c>
      <c r="I213" s="30" t="str">
        <f aca="true">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ustomFormat="false" ht="15" hidden="false" customHeight="false" outlineLevel="0" collapsed="false">
      <c r="A214" s="30" t="str">
        <f aca="false">IF(INDEX(approvals!$A$2:$A$251,INT((ROW()-2)/2)+1)="","",INDEX(approvals!$A$2:$A$251,INT((ROW()-2)/2)+1))</f>
        <v/>
      </c>
      <c r="B214" s="30" t="str">
        <f aca="false">IF(INDEX(approvals!$A$2:$A$251,INT((ROW()-2)/2)+1)="","",INDEX(approvals!$B$2:$B$251,INT((ROW()-2)/2)+1))</f>
        <v/>
      </c>
      <c r="C214" s="30" t="str">
        <f aca="false">IF($A214="","",IF(MOD(ROW()-2,2)=0,"qr","post"))</f>
        <v/>
      </c>
      <c r="D214" s="30" t="str">
        <f aca="false">IF($A214="","",IF(LEFT($A214,7)="SAMPLE-","SAMPLE-","")&amp;LOWER(SUBSTITUTE(SUBSTITUTE($A214,"SAMPLE-",""),"CMP-","c"))&amp;"-"&amp;LOWER(SUBSTITUTE(SUBSTITUTE($B214,"SAMPLE-",""),"O-","o"))&amp;"-"&amp;IF($C214="qr","q","p"))</f>
        <v/>
      </c>
      <c r="E214" s="30" t="str">
        <f aca="false">IF($A214="","","https://"&amp;config!$B$9&amp;"/"&amp;$D214)</f>
        <v/>
      </c>
      <c r="F214" s="30" t="str">
        <f aca="false">IF($A214="","",$A214&amp;"."&amp;$B214)</f>
        <v/>
      </c>
      <c r="G214" s="30" t="str">
        <f aca="false">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30" t="str">
        <f aca="false">IF(OR($A214="",$C214&lt;&gt;"qr"),"",$D214&amp;".png")</f>
        <v/>
      </c>
      <c r="I214" s="30" t="str">
        <f aca="true">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ustomFormat="false" ht="15" hidden="false" customHeight="false" outlineLevel="0" collapsed="false">
      <c r="A215" s="30" t="str">
        <f aca="false">IF(INDEX(approvals!$A$2:$A$251,INT((ROW()-2)/2)+1)="","",INDEX(approvals!$A$2:$A$251,INT((ROW()-2)/2)+1))</f>
        <v/>
      </c>
      <c r="B215" s="30" t="str">
        <f aca="false">IF(INDEX(approvals!$A$2:$A$251,INT((ROW()-2)/2)+1)="","",INDEX(approvals!$B$2:$B$251,INT((ROW()-2)/2)+1))</f>
        <v/>
      </c>
      <c r="C215" s="30" t="str">
        <f aca="false">IF($A215="","",IF(MOD(ROW()-2,2)=0,"qr","post"))</f>
        <v/>
      </c>
      <c r="D215" s="30" t="str">
        <f aca="false">IF($A215="","",IF(LEFT($A215,7)="SAMPLE-","SAMPLE-","")&amp;LOWER(SUBSTITUTE(SUBSTITUTE($A215,"SAMPLE-",""),"CMP-","c"))&amp;"-"&amp;LOWER(SUBSTITUTE(SUBSTITUTE($B215,"SAMPLE-",""),"O-","o"))&amp;"-"&amp;IF($C215="qr","q","p"))</f>
        <v/>
      </c>
      <c r="E215" s="30" t="str">
        <f aca="false">IF($A215="","","https://"&amp;config!$B$9&amp;"/"&amp;$D215)</f>
        <v/>
      </c>
      <c r="F215" s="30" t="str">
        <f aca="false">IF($A215="","",$A215&amp;"."&amp;$B215)</f>
        <v/>
      </c>
      <c r="G215" s="30" t="str">
        <f aca="false">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30" t="str">
        <f aca="false">IF(OR($A215="",$C215&lt;&gt;"qr"),"",$D215&amp;".png")</f>
        <v/>
      </c>
      <c r="I215" s="30" t="str">
        <f aca="true">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ustomFormat="false" ht="15" hidden="false" customHeight="false" outlineLevel="0" collapsed="false">
      <c r="A216" s="30" t="str">
        <f aca="false">IF(INDEX(approvals!$A$2:$A$251,INT((ROW()-2)/2)+1)="","",INDEX(approvals!$A$2:$A$251,INT((ROW()-2)/2)+1))</f>
        <v/>
      </c>
      <c r="B216" s="30" t="str">
        <f aca="false">IF(INDEX(approvals!$A$2:$A$251,INT((ROW()-2)/2)+1)="","",INDEX(approvals!$B$2:$B$251,INT((ROW()-2)/2)+1))</f>
        <v/>
      </c>
      <c r="C216" s="30" t="str">
        <f aca="false">IF($A216="","",IF(MOD(ROW()-2,2)=0,"qr","post"))</f>
        <v/>
      </c>
      <c r="D216" s="30" t="str">
        <f aca="false">IF($A216="","",IF(LEFT($A216,7)="SAMPLE-","SAMPLE-","")&amp;LOWER(SUBSTITUTE(SUBSTITUTE($A216,"SAMPLE-",""),"CMP-","c"))&amp;"-"&amp;LOWER(SUBSTITUTE(SUBSTITUTE($B216,"SAMPLE-",""),"O-","o"))&amp;"-"&amp;IF($C216="qr","q","p"))</f>
        <v/>
      </c>
      <c r="E216" s="30" t="str">
        <f aca="false">IF($A216="","","https://"&amp;config!$B$9&amp;"/"&amp;$D216)</f>
        <v/>
      </c>
      <c r="F216" s="30" t="str">
        <f aca="false">IF($A216="","",$A216&amp;"."&amp;$B216)</f>
        <v/>
      </c>
      <c r="G216" s="30" t="str">
        <f aca="false">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30" t="str">
        <f aca="false">IF(OR($A216="",$C216&lt;&gt;"qr"),"",$D216&amp;".png")</f>
        <v/>
      </c>
      <c r="I216" s="30" t="str">
        <f aca="true">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ustomFormat="false" ht="15" hidden="false" customHeight="false" outlineLevel="0" collapsed="false">
      <c r="A217" s="30" t="str">
        <f aca="false">IF(INDEX(approvals!$A$2:$A$251,INT((ROW()-2)/2)+1)="","",INDEX(approvals!$A$2:$A$251,INT((ROW()-2)/2)+1))</f>
        <v/>
      </c>
      <c r="B217" s="30" t="str">
        <f aca="false">IF(INDEX(approvals!$A$2:$A$251,INT((ROW()-2)/2)+1)="","",INDEX(approvals!$B$2:$B$251,INT((ROW()-2)/2)+1))</f>
        <v/>
      </c>
      <c r="C217" s="30" t="str">
        <f aca="false">IF($A217="","",IF(MOD(ROW()-2,2)=0,"qr","post"))</f>
        <v/>
      </c>
      <c r="D217" s="30" t="str">
        <f aca="false">IF($A217="","",IF(LEFT($A217,7)="SAMPLE-","SAMPLE-","")&amp;LOWER(SUBSTITUTE(SUBSTITUTE($A217,"SAMPLE-",""),"CMP-","c"))&amp;"-"&amp;LOWER(SUBSTITUTE(SUBSTITUTE($B217,"SAMPLE-",""),"O-","o"))&amp;"-"&amp;IF($C217="qr","q","p"))</f>
        <v/>
      </c>
      <c r="E217" s="30" t="str">
        <f aca="false">IF($A217="","","https://"&amp;config!$B$9&amp;"/"&amp;$D217)</f>
        <v/>
      </c>
      <c r="F217" s="30" t="str">
        <f aca="false">IF($A217="","",$A217&amp;"."&amp;$B217)</f>
        <v/>
      </c>
      <c r="G217" s="30" t="str">
        <f aca="false">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30" t="str">
        <f aca="false">IF(OR($A217="",$C217&lt;&gt;"qr"),"",$D217&amp;".png")</f>
        <v/>
      </c>
      <c r="I217" s="30" t="str">
        <f aca="true">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ustomFormat="false" ht="15" hidden="false" customHeight="false" outlineLevel="0" collapsed="false">
      <c r="A218" s="30" t="str">
        <f aca="false">IF(INDEX(approvals!$A$2:$A$251,INT((ROW()-2)/2)+1)="","",INDEX(approvals!$A$2:$A$251,INT((ROW()-2)/2)+1))</f>
        <v/>
      </c>
      <c r="B218" s="30" t="str">
        <f aca="false">IF(INDEX(approvals!$A$2:$A$251,INT((ROW()-2)/2)+1)="","",INDEX(approvals!$B$2:$B$251,INT((ROW()-2)/2)+1))</f>
        <v/>
      </c>
      <c r="C218" s="30" t="str">
        <f aca="false">IF($A218="","",IF(MOD(ROW()-2,2)=0,"qr","post"))</f>
        <v/>
      </c>
      <c r="D218" s="30" t="str">
        <f aca="false">IF($A218="","",IF(LEFT($A218,7)="SAMPLE-","SAMPLE-","")&amp;LOWER(SUBSTITUTE(SUBSTITUTE($A218,"SAMPLE-",""),"CMP-","c"))&amp;"-"&amp;LOWER(SUBSTITUTE(SUBSTITUTE($B218,"SAMPLE-",""),"O-","o"))&amp;"-"&amp;IF($C218="qr","q","p"))</f>
        <v/>
      </c>
      <c r="E218" s="30" t="str">
        <f aca="false">IF($A218="","","https://"&amp;config!$B$9&amp;"/"&amp;$D218)</f>
        <v/>
      </c>
      <c r="F218" s="30" t="str">
        <f aca="false">IF($A218="","",$A218&amp;"."&amp;$B218)</f>
        <v/>
      </c>
      <c r="G218" s="30" t="str">
        <f aca="false">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30" t="str">
        <f aca="false">IF(OR($A218="",$C218&lt;&gt;"qr"),"",$D218&amp;".png")</f>
        <v/>
      </c>
      <c r="I218" s="30" t="str">
        <f aca="true">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ustomFormat="false" ht="15" hidden="false" customHeight="false" outlineLevel="0" collapsed="false">
      <c r="A219" s="30" t="str">
        <f aca="false">IF(INDEX(approvals!$A$2:$A$251,INT((ROW()-2)/2)+1)="","",INDEX(approvals!$A$2:$A$251,INT((ROW()-2)/2)+1))</f>
        <v/>
      </c>
      <c r="B219" s="30" t="str">
        <f aca="false">IF(INDEX(approvals!$A$2:$A$251,INT((ROW()-2)/2)+1)="","",INDEX(approvals!$B$2:$B$251,INT((ROW()-2)/2)+1))</f>
        <v/>
      </c>
      <c r="C219" s="30" t="str">
        <f aca="false">IF($A219="","",IF(MOD(ROW()-2,2)=0,"qr","post"))</f>
        <v/>
      </c>
      <c r="D219" s="30" t="str">
        <f aca="false">IF($A219="","",IF(LEFT($A219,7)="SAMPLE-","SAMPLE-","")&amp;LOWER(SUBSTITUTE(SUBSTITUTE($A219,"SAMPLE-",""),"CMP-","c"))&amp;"-"&amp;LOWER(SUBSTITUTE(SUBSTITUTE($B219,"SAMPLE-",""),"O-","o"))&amp;"-"&amp;IF($C219="qr","q","p"))</f>
        <v/>
      </c>
      <c r="E219" s="30" t="str">
        <f aca="false">IF($A219="","","https://"&amp;config!$B$9&amp;"/"&amp;$D219)</f>
        <v/>
      </c>
      <c r="F219" s="30" t="str">
        <f aca="false">IF($A219="","",$A219&amp;"."&amp;$B219)</f>
        <v/>
      </c>
      <c r="G219" s="30" t="str">
        <f aca="false">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30" t="str">
        <f aca="false">IF(OR($A219="",$C219&lt;&gt;"qr"),"",$D219&amp;".png")</f>
        <v/>
      </c>
      <c r="I219" s="30" t="str">
        <f aca="true">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ustomFormat="false" ht="15" hidden="false" customHeight="false" outlineLevel="0" collapsed="false">
      <c r="A220" s="30" t="str">
        <f aca="false">IF(INDEX(approvals!$A$2:$A$251,INT((ROW()-2)/2)+1)="","",INDEX(approvals!$A$2:$A$251,INT((ROW()-2)/2)+1))</f>
        <v/>
      </c>
      <c r="B220" s="30" t="str">
        <f aca="false">IF(INDEX(approvals!$A$2:$A$251,INT((ROW()-2)/2)+1)="","",INDEX(approvals!$B$2:$B$251,INT((ROW()-2)/2)+1))</f>
        <v/>
      </c>
      <c r="C220" s="30" t="str">
        <f aca="false">IF($A220="","",IF(MOD(ROW()-2,2)=0,"qr","post"))</f>
        <v/>
      </c>
      <c r="D220" s="30" t="str">
        <f aca="false">IF($A220="","",IF(LEFT($A220,7)="SAMPLE-","SAMPLE-","")&amp;LOWER(SUBSTITUTE(SUBSTITUTE($A220,"SAMPLE-",""),"CMP-","c"))&amp;"-"&amp;LOWER(SUBSTITUTE(SUBSTITUTE($B220,"SAMPLE-",""),"O-","o"))&amp;"-"&amp;IF($C220="qr","q","p"))</f>
        <v/>
      </c>
      <c r="E220" s="30" t="str">
        <f aca="false">IF($A220="","","https://"&amp;config!$B$9&amp;"/"&amp;$D220)</f>
        <v/>
      </c>
      <c r="F220" s="30" t="str">
        <f aca="false">IF($A220="","",$A220&amp;"."&amp;$B220)</f>
        <v/>
      </c>
      <c r="G220" s="30" t="str">
        <f aca="false">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30" t="str">
        <f aca="false">IF(OR($A220="",$C220&lt;&gt;"qr"),"",$D220&amp;".png")</f>
        <v/>
      </c>
      <c r="I220" s="30" t="str">
        <f aca="true">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ustomFormat="false" ht="15" hidden="false" customHeight="false" outlineLevel="0" collapsed="false">
      <c r="A221" s="30" t="str">
        <f aca="false">IF(INDEX(approvals!$A$2:$A$251,INT((ROW()-2)/2)+1)="","",INDEX(approvals!$A$2:$A$251,INT((ROW()-2)/2)+1))</f>
        <v/>
      </c>
      <c r="B221" s="30" t="str">
        <f aca="false">IF(INDEX(approvals!$A$2:$A$251,INT((ROW()-2)/2)+1)="","",INDEX(approvals!$B$2:$B$251,INT((ROW()-2)/2)+1))</f>
        <v/>
      </c>
      <c r="C221" s="30" t="str">
        <f aca="false">IF($A221="","",IF(MOD(ROW()-2,2)=0,"qr","post"))</f>
        <v/>
      </c>
      <c r="D221" s="30" t="str">
        <f aca="false">IF($A221="","",IF(LEFT($A221,7)="SAMPLE-","SAMPLE-","")&amp;LOWER(SUBSTITUTE(SUBSTITUTE($A221,"SAMPLE-",""),"CMP-","c"))&amp;"-"&amp;LOWER(SUBSTITUTE(SUBSTITUTE($B221,"SAMPLE-",""),"O-","o"))&amp;"-"&amp;IF($C221="qr","q","p"))</f>
        <v/>
      </c>
      <c r="E221" s="30" t="str">
        <f aca="false">IF($A221="","","https://"&amp;config!$B$9&amp;"/"&amp;$D221)</f>
        <v/>
      </c>
      <c r="F221" s="30" t="str">
        <f aca="false">IF($A221="","",$A221&amp;"."&amp;$B221)</f>
        <v/>
      </c>
      <c r="G221" s="30" t="str">
        <f aca="false">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30" t="str">
        <f aca="false">IF(OR($A221="",$C221&lt;&gt;"qr"),"",$D221&amp;".png")</f>
        <v/>
      </c>
      <c r="I221" s="30" t="str">
        <f aca="true">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ustomFormat="false" ht="15" hidden="false" customHeight="false" outlineLevel="0" collapsed="false">
      <c r="A222" s="30" t="str">
        <f aca="false">IF(INDEX(approvals!$A$2:$A$251,INT((ROW()-2)/2)+1)="","",INDEX(approvals!$A$2:$A$251,INT((ROW()-2)/2)+1))</f>
        <v/>
      </c>
      <c r="B222" s="30" t="str">
        <f aca="false">IF(INDEX(approvals!$A$2:$A$251,INT((ROW()-2)/2)+1)="","",INDEX(approvals!$B$2:$B$251,INT((ROW()-2)/2)+1))</f>
        <v/>
      </c>
      <c r="C222" s="30" t="str">
        <f aca="false">IF($A222="","",IF(MOD(ROW()-2,2)=0,"qr","post"))</f>
        <v/>
      </c>
      <c r="D222" s="30" t="str">
        <f aca="false">IF($A222="","",IF(LEFT($A222,7)="SAMPLE-","SAMPLE-","")&amp;LOWER(SUBSTITUTE(SUBSTITUTE($A222,"SAMPLE-",""),"CMP-","c"))&amp;"-"&amp;LOWER(SUBSTITUTE(SUBSTITUTE($B222,"SAMPLE-",""),"O-","o"))&amp;"-"&amp;IF($C222="qr","q","p"))</f>
        <v/>
      </c>
      <c r="E222" s="30" t="str">
        <f aca="false">IF($A222="","","https://"&amp;config!$B$9&amp;"/"&amp;$D222)</f>
        <v/>
      </c>
      <c r="F222" s="30" t="str">
        <f aca="false">IF($A222="","",$A222&amp;"."&amp;$B222)</f>
        <v/>
      </c>
      <c r="G222" s="30" t="str">
        <f aca="false">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30" t="str">
        <f aca="false">IF(OR($A222="",$C222&lt;&gt;"qr"),"",$D222&amp;".png")</f>
        <v/>
      </c>
      <c r="I222" s="30" t="str">
        <f aca="true">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ustomFormat="false" ht="15" hidden="false" customHeight="false" outlineLevel="0" collapsed="false">
      <c r="A223" s="30" t="str">
        <f aca="false">IF(INDEX(approvals!$A$2:$A$251,INT((ROW()-2)/2)+1)="","",INDEX(approvals!$A$2:$A$251,INT((ROW()-2)/2)+1))</f>
        <v/>
      </c>
      <c r="B223" s="30" t="str">
        <f aca="false">IF(INDEX(approvals!$A$2:$A$251,INT((ROW()-2)/2)+1)="","",INDEX(approvals!$B$2:$B$251,INT((ROW()-2)/2)+1))</f>
        <v/>
      </c>
      <c r="C223" s="30" t="str">
        <f aca="false">IF($A223="","",IF(MOD(ROW()-2,2)=0,"qr","post"))</f>
        <v/>
      </c>
      <c r="D223" s="30" t="str">
        <f aca="false">IF($A223="","",IF(LEFT($A223,7)="SAMPLE-","SAMPLE-","")&amp;LOWER(SUBSTITUTE(SUBSTITUTE($A223,"SAMPLE-",""),"CMP-","c"))&amp;"-"&amp;LOWER(SUBSTITUTE(SUBSTITUTE($B223,"SAMPLE-",""),"O-","o"))&amp;"-"&amp;IF($C223="qr","q","p"))</f>
        <v/>
      </c>
      <c r="E223" s="30" t="str">
        <f aca="false">IF($A223="","","https://"&amp;config!$B$9&amp;"/"&amp;$D223)</f>
        <v/>
      </c>
      <c r="F223" s="30" t="str">
        <f aca="false">IF($A223="","",$A223&amp;"."&amp;$B223)</f>
        <v/>
      </c>
      <c r="G223" s="30" t="str">
        <f aca="false">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30" t="str">
        <f aca="false">IF(OR($A223="",$C223&lt;&gt;"qr"),"",$D223&amp;".png")</f>
        <v/>
      </c>
      <c r="I223" s="30" t="str">
        <f aca="true">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ustomFormat="false" ht="15" hidden="false" customHeight="false" outlineLevel="0" collapsed="false">
      <c r="A224" s="30" t="str">
        <f aca="false">IF(INDEX(approvals!$A$2:$A$251,INT((ROW()-2)/2)+1)="","",INDEX(approvals!$A$2:$A$251,INT((ROW()-2)/2)+1))</f>
        <v/>
      </c>
      <c r="B224" s="30" t="str">
        <f aca="false">IF(INDEX(approvals!$A$2:$A$251,INT((ROW()-2)/2)+1)="","",INDEX(approvals!$B$2:$B$251,INT((ROW()-2)/2)+1))</f>
        <v/>
      </c>
      <c r="C224" s="30" t="str">
        <f aca="false">IF($A224="","",IF(MOD(ROW()-2,2)=0,"qr","post"))</f>
        <v/>
      </c>
      <c r="D224" s="30" t="str">
        <f aca="false">IF($A224="","",IF(LEFT($A224,7)="SAMPLE-","SAMPLE-","")&amp;LOWER(SUBSTITUTE(SUBSTITUTE($A224,"SAMPLE-",""),"CMP-","c"))&amp;"-"&amp;LOWER(SUBSTITUTE(SUBSTITUTE($B224,"SAMPLE-",""),"O-","o"))&amp;"-"&amp;IF($C224="qr","q","p"))</f>
        <v/>
      </c>
      <c r="E224" s="30" t="str">
        <f aca="false">IF($A224="","","https://"&amp;config!$B$9&amp;"/"&amp;$D224)</f>
        <v/>
      </c>
      <c r="F224" s="30" t="str">
        <f aca="false">IF($A224="","",$A224&amp;"."&amp;$B224)</f>
        <v/>
      </c>
      <c r="G224" s="30" t="str">
        <f aca="false">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30" t="str">
        <f aca="false">IF(OR($A224="",$C224&lt;&gt;"qr"),"",$D224&amp;".png")</f>
        <v/>
      </c>
      <c r="I224" s="30" t="str">
        <f aca="true">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ustomFormat="false" ht="15" hidden="false" customHeight="false" outlineLevel="0" collapsed="false">
      <c r="A225" s="30" t="str">
        <f aca="false">IF(INDEX(approvals!$A$2:$A$251,INT((ROW()-2)/2)+1)="","",INDEX(approvals!$A$2:$A$251,INT((ROW()-2)/2)+1))</f>
        <v/>
      </c>
      <c r="B225" s="30" t="str">
        <f aca="false">IF(INDEX(approvals!$A$2:$A$251,INT((ROW()-2)/2)+1)="","",INDEX(approvals!$B$2:$B$251,INT((ROW()-2)/2)+1))</f>
        <v/>
      </c>
      <c r="C225" s="30" t="str">
        <f aca="false">IF($A225="","",IF(MOD(ROW()-2,2)=0,"qr","post"))</f>
        <v/>
      </c>
      <c r="D225" s="30" t="str">
        <f aca="false">IF($A225="","",IF(LEFT($A225,7)="SAMPLE-","SAMPLE-","")&amp;LOWER(SUBSTITUTE(SUBSTITUTE($A225,"SAMPLE-",""),"CMP-","c"))&amp;"-"&amp;LOWER(SUBSTITUTE(SUBSTITUTE($B225,"SAMPLE-",""),"O-","o"))&amp;"-"&amp;IF($C225="qr","q","p"))</f>
        <v/>
      </c>
      <c r="E225" s="30" t="str">
        <f aca="false">IF($A225="","","https://"&amp;config!$B$9&amp;"/"&amp;$D225)</f>
        <v/>
      </c>
      <c r="F225" s="30" t="str">
        <f aca="false">IF($A225="","",$A225&amp;"."&amp;$B225)</f>
        <v/>
      </c>
      <c r="G225" s="30" t="str">
        <f aca="false">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30" t="str">
        <f aca="false">IF(OR($A225="",$C225&lt;&gt;"qr"),"",$D225&amp;".png")</f>
        <v/>
      </c>
      <c r="I225" s="30" t="str">
        <f aca="true">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ustomFormat="false" ht="15" hidden="false" customHeight="false" outlineLevel="0" collapsed="false">
      <c r="A226" s="30" t="str">
        <f aca="false">IF(INDEX(approvals!$A$2:$A$251,INT((ROW()-2)/2)+1)="","",INDEX(approvals!$A$2:$A$251,INT((ROW()-2)/2)+1))</f>
        <v/>
      </c>
      <c r="B226" s="30" t="str">
        <f aca="false">IF(INDEX(approvals!$A$2:$A$251,INT((ROW()-2)/2)+1)="","",INDEX(approvals!$B$2:$B$251,INT((ROW()-2)/2)+1))</f>
        <v/>
      </c>
      <c r="C226" s="30" t="str">
        <f aca="false">IF($A226="","",IF(MOD(ROW()-2,2)=0,"qr","post"))</f>
        <v/>
      </c>
      <c r="D226" s="30" t="str">
        <f aca="false">IF($A226="","",IF(LEFT($A226,7)="SAMPLE-","SAMPLE-","")&amp;LOWER(SUBSTITUTE(SUBSTITUTE($A226,"SAMPLE-",""),"CMP-","c"))&amp;"-"&amp;LOWER(SUBSTITUTE(SUBSTITUTE($B226,"SAMPLE-",""),"O-","o"))&amp;"-"&amp;IF($C226="qr","q","p"))</f>
        <v/>
      </c>
      <c r="E226" s="30" t="str">
        <f aca="false">IF($A226="","","https://"&amp;config!$B$9&amp;"/"&amp;$D226)</f>
        <v/>
      </c>
      <c r="F226" s="30" t="str">
        <f aca="false">IF($A226="","",$A226&amp;"."&amp;$B226)</f>
        <v/>
      </c>
      <c r="G226" s="30" t="str">
        <f aca="false">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30" t="str">
        <f aca="false">IF(OR($A226="",$C226&lt;&gt;"qr"),"",$D226&amp;".png")</f>
        <v/>
      </c>
      <c r="I226" s="30" t="str">
        <f aca="true">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ustomFormat="false" ht="15" hidden="false" customHeight="false" outlineLevel="0" collapsed="false">
      <c r="A227" s="30" t="str">
        <f aca="false">IF(INDEX(approvals!$A$2:$A$251,INT((ROW()-2)/2)+1)="","",INDEX(approvals!$A$2:$A$251,INT((ROW()-2)/2)+1))</f>
        <v/>
      </c>
      <c r="B227" s="30" t="str">
        <f aca="false">IF(INDEX(approvals!$A$2:$A$251,INT((ROW()-2)/2)+1)="","",INDEX(approvals!$B$2:$B$251,INT((ROW()-2)/2)+1))</f>
        <v/>
      </c>
      <c r="C227" s="30" t="str">
        <f aca="false">IF($A227="","",IF(MOD(ROW()-2,2)=0,"qr","post"))</f>
        <v/>
      </c>
      <c r="D227" s="30" t="str">
        <f aca="false">IF($A227="","",IF(LEFT($A227,7)="SAMPLE-","SAMPLE-","")&amp;LOWER(SUBSTITUTE(SUBSTITUTE($A227,"SAMPLE-",""),"CMP-","c"))&amp;"-"&amp;LOWER(SUBSTITUTE(SUBSTITUTE($B227,"SAMPLE-",""),"O-","o"))&amp;"-"&amp;IF($C227="qr","q","p"))</f>
        <v/>
      </c>
      <c r="E227" s="30" t="str">
        <f aca="false">IF($A227="","","https://"&amp;config!$B$9&amp;"/"&amp;$D227)</f>
        <v/>
      </c>
      <c r="F227" s="30" t="str">
        <f aca="false">IF($A227="","",$A227&amp;"."&amp;$B227)</f>
        <v/>
      </c>
      <c r="G227" s="30" t="str">
        <f aca="false">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30" t="str">
        <f aca="false">IF(OR($A227="",$C227&lt;&gt;"qr"),"",$D227&amp;".png")</f>
        <v/>
      </c>
      <c r="I227" s="30" t="str">
        <f aca="true">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ustomFormat="false" ht="15" hidden="false" customHeight="false" outlineLevel="0" collapsed="false">
      <c r="A228" s="30" t="str">
        <f aca="false">IF(INDEX(approvals!$A$2:$A$251,INT((ROW()-2)/2)+1)="","",INDEX(approvals!$A$2:$A$251,INT((ROW()-2)/2)+1))</f>
        <v/>
      </c>
      <c r="B228" s="30" t="str">
        <f aca="false">IF(INDEX(approvals!$A$2:$A$251,INT((ROW()-2)/2)+1)="","",INDEX(approvals!$B$2:$B$251,INT((ROW()-2)/2)+1))</f>
        <v/>
      </c>
      <c r="C228" s="30" t="str">
        <f aca="false">IF($A228="","",IF(MOD(ROW()-2,2)=0,"qr","post"))</f>
        <v/>
      </c>
      <c r="D228" s="30" t="str">
        <f aca="false">IF($A228="","",IF(LEFT($A228,7)="SAMPLE-","SAMPLE-","")&amp;LOWER(SUBSTITUTE(SUBSTITUTE($A228,"SAMPLE-",""),"CMP-","c"))&amp;"-"&amp;LOWER(SUBSTITUTE(SUBSTITUTE($B228,"SAMPLE-",""),"O-","o"))&amp;"-"&amp;IF($C228="qr","q","p"))</f>
        <v/>
      </c>
      <c r="E228" s="30" t="str">
        <f aca="false">IF($A228="","","https://"&amp;config!$B$9&amp;"/"&amp;$D228)</f>
        <v/>
      </c>
      <c r="F228" s="30" t="str">
        <f aca="false">IF($A228="","",$A228&amp;"."&amp;$B228)</f>
        <v/>
      </c>
      <c r="G228" s="30" t="str">
        <f aca="false">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30" t="str">
        <f aca="false">IF(OR($A228="",$C228&lt;&gt;"qr"),"",$D228&amp;".png")</f>
        <v/>
      </c>
      <c r="I228" s="30" t="str">
        <f aca="true">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ustomFormat="false" ht="15" hidden="false" customHeight="false" outlineLevel="0" collapsed="false">
      <c r="A229" s="30" t="str">
        <f aca="false">IF(INDEX(approvals!$A$2:$A$251,INT((ROW()-2)/2)+1)="","",INDEX(approvals!$A$2:$A$251,INT((ROW()-2)/2)+1))</f>
        <v/>
      </c>
      <c r="B229" s="30" t="str">
        <f aca="false">IF(INDEX(approvals!$A$2:$A$251,INT((ROW()-2)/2)+1)="","",INDEX(approvals!$B$2:$B$251,INT((ROW()-2)/2)+1))</f>
        <v/>
      </c>
      <c r="C229" s="30" t="str">
        <f aca="false">IF($A229="","",IF(MOD(ROW()-2,2)=0,"qr","post"))</f>
        <v/>
      </c>
      <c r="D229" s="30" t="str">
        <f aca="false">IF($A229="","",IF(LEFT($A229,7)="SAMPLE-","SAMPLE-","")&amp;LOWER(SUBSTITUTE(SUBSTITUTE($A229,"SAMPLE-",""),"CMP-","c"))&amp;"-"&amp;LOWER(SUBSTITUTE(SUBSTITUTE($B229,"SAMPLE-",""),"O-","o"))&amp;"-"&amp;IF($C229="qr","q","p"))</f>
        <v/>
      </c>
      <c r="E229" s="30" t="str">
        <f aca="false">IF($A229="","","https://"&amp;config!$B$9&amp;"/"&amp;$D229)</f>
        <v/>
      </c>
      <c r="F229" s="30" t="str">
        <f aca="false">IF($A229="","",$A229&amp;"."&amp;$B229)</f>
        <v/>
      </c>
      <c r="G229" s="30" t="str">
        <f aca="false">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30" t="str">
        <f aca="false">IF(OR($A229="",$C229&lt;&gt;"qr"),"",$D229&amp;".png")</f>
        <v/>
      </c>
      <c r="I229" s="30" t="str">
        <f aca="true">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ustomFormat="false" ht="15" hidden="false" customHeight="false" outlineLevel="0" collapsed="false">
      <c r="A230" s="30" t="str">
        <f aca="false">IF(INDEX(approvals!$A$2:$A$251,INT((ROW()-2)/2)+1)="","",INDEX(approvals!$A$2:$A$251,INT((ROW()-2)/2)+1))</f>
        <v/>
      </c>
      <c r="B230" s="30" t="str">
        <f aca="false">IF(INDEX(approvals!$A$2:$A$251,INT((ROW()-2)/2)+1)="","",INDEX(approvals!$B$2:$B$251,INT((ROW()-2)/2)+1))</f>
        <v/>
      </c>
      <c r="C230" s="30" t="str">
        <f aca="false">IF($A230="","",IF(MOD(ROW()-2,2)=0,"qr","post"))</f>
        <v/>
      </c>
      <c r="D230" s="30" t="str">
        <f aca="false">IF($A230="","",IF(LEFT($A230,7)="SAMPLE-","SAMPLE-","")&amp;LOWER(SUBSTITUTE(SUBSTITUTE($A230,"SAMPLE-",""),"CMP-","c"))&amp;"-"&amp;LOWER(SUBSTITUTE(SUBSTITUTE($B230,"SAMPLE-",""),"O-","o"))&amp;"-"&amp;IF($C230="qr","q","p"))</f>
        <v/>
      </c>
      <c r="E230" s="30" t="str">
        <f aca="false">IF($A230="","","https://"&amp;config!$B$9&amp;"/"&amp;$D230)</f>
        <v/>
      </c>
      <c r="F230" s="30" t="str">
        <f aca="false">IF($A230="","",$A230&amp;"."&amp;$B230)</f>
        <v/>
      </c>
      <c r="G230" s="30" t="str">
        <f aca="false">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30" t="str">
        <f aca="false">IF(OR($A230="",$C230&lt;&gt;"qr"),"",$D230&amp;".png")</f>
        <v/>
      </c>
      <c r="I230" s="30" t="str">
        <f aca="true">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ustomFormat="false" ht="15" hidden="false" customHeight="false" outlineLevel="0" collapsed="false">
      <c r="A231" s="30" t="str">
        <f aca="false">IF(INDEX(approvals!$A$2:$A$251,INT((ROW()-2)/2)+1)="","",INDEX(approvals!$A$2:$A$251,INT((ROW()-2)/2)+1))</f>
        <v/>
      </c>
      <c r="B231" s="30" t="str">
        <f aca="false">IF(INDEX(approvals!$A$2:$A$251,INT((ROW()-2)/2)+1)="","",INDEX(approvals!$B$2:$B$251,INT((ROW()-2)/2)+1))</f>
        <v/>
      </c>
      <c r="C231" s="30" t="str">
        <f aca="false">IF($A231="","",IF(MOD(ROW()-2,2)=0,"qr","post"))</f>
        <v/>
      </c>
      <c r="D231" s="30" t="str">
        <f aca="false">IF($A231="","",IF(LEFT($A231,7)="SAMPLE-","SAMPLE-","")&amp;LOWER(SUBSTITUTE(SUBSTITUTE($A231,"SAMPLE-",""),"CMP-","c"))&amp;"-"&amp;LOWER(SUBSTITUTE(SUBSTITUTE($B231,"SAMPLE-",""),"O-","o"))&amp;"-"&amp;IF($C231="qr","q","p"))</f>
        <v/>
      </c>
      <c r="E231" s="30" t="str">
        <f aca="false">IF($A231="","","https://"&amp;config!$B$9&amp;"/"&amp;$D231)</f>
        <v/>
      </c>
      <c r="F231" s="30" t="str">
        <f aca="false">IF($A231="","",$A231&amp;"."&amp;$B231)</f>
        <v/>
      </c>
      <c r="G231" s="30" t="str">
        <f aca="false">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30" t="str">
        <f aca="false">IF(OR($A231="",$C231&lt;&gt;"qr"),"",$D231&amp;".png")</f>
        <v/>
      </c>
      <c r="I231" s="30" t="str">
        <f aca="true">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ustomFormat="false" ht="15" hidden="false" customHeight="false" outlineLevel="0" collapsed="false">
      <c r="A232" s="30" t="str">
        <f aca="false">IF(INDEX(approvals!$A$2:$A$251,INT((ROW()-2)/2)+1)="","",INDEX(approvals!$A$2:$A$251,INT((ROW()-2)/2)+1))</f>
        <v/>
      </c>
      <c r="B232" s="30" t="str">
        <f aca="false">IF(INDEX(approvals!$A$2:$A$251,INT((ROW()-2)/2)+1)="","",INDEX(approvals!$B$2:$B$251,INT((ROW()-2)/2)+1))</f>
        <v/>
      </c>
      <c r="C232" s="30" t="str">
        <f aca="false">IF($A232="","",IF(MOD(ROW()-2,2)=0,"qr","post"))</f>
        <v/>
      </c>
      <c r="D232" s="30" t="str">
        <f aca="false">IF($A232="","",IF(LEFT($A232,7)="SAMPLE-","SAMPLE-","")&amp;LOWER(SUBSTITUTE(SUBSTITUTE($A232,"SAMPLE-",""),"CMP-","c"))&amp;"-"&amp;LOWER(SUBSTITUTE(SUBSTITUTE($B232,"SAMPLE-",""),"O-","o"))&amp;"-"&amp;IF($C232="qr","q","p"))</f>
        <v/>
      </c>
      <c r="E232" s="30" t="str">
        <f aca="false">IF($A232="","","https://"&amp;config!$B$9&amp;"/"&amp;$D232)</f>
        <v/>
      </c>
      <c r="F232" s="30" t="str">
        <f aca="false">IF($A232="","",$A232&amp;"."&amp;$B232)</f>
        <v/>
      </c>
      <c r="G232" s="30" t="str">
        <f aca="false">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30" t="str">
        <f aca="false">IF(OR($A232="",$C232&lt;&gt;"qr"),"",$D232&amp;".png")</f>
        <v/>
      </c>
      <c r="I232" s="30" t="str">
        <f aca="true">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ustomFormat="false" ht="15" hidden="false" customHeight="false" outlineLevel="0" collapsed="false">
      <c r="A233" s="30" t="str">
        <f aca="false">IF(INDEX(approvals!$A$2:$A$251,INT((ROW()-2)/2)+1)="","",INDEX(approvals!$A$2:$A$251,INT((ROW()-2)/2)+1))</f>
        <v/>
      </c>
      <c r="B233" s="30" t="str">
        <f aca="false">IF(INDEX(approvals!$A$2:$A$251,INT((ROW()-2)/2)+1)="","",INDEX(approvals!$B$2:$B$251,INT((ROW()-2)/2)+1))</f>
        <v/>
      </c>
      <c r="C233" s="30" t="str">
        <f aca="false">IF($A233="","",IF(MOD(ROW()-2,2)=0,"qr","post"))</f>
        <v/>
      </c>
      <c r="D233" s="30" t="str">
        <f aca="false">IF($A233="","",IF(LEFT($A233,7)="SAMPLE-","SAMPLE-","")&amp;LOWER(SUBSTITUTE(SUBSTITUTE($A233,"SAMPLE-",""),"CMP-","c"))&amp;"-"&amp;LOWER(SUBSTITUTE(SUBSTITUTE($B233,"SAMPLE-",""),"O-","o"))&amp;"-"&amp;IF($C233="qr","q","p"))</f>
        <v/>
      </c>
      <c r="E233" s="30" t="str">
        <f aca="false">IF($A233="","","https://"&amp;config!$B$9&amp;"/"&amp;$D233)</f>
        <v/>
      </c>
      <c r="F233" s="30" t="str">
        <f aca="false">IF($A233="","",$A233&amp;"."&amp;$B233)</f>
        <v/>
      </c>
      <c r="G233" s="30" t="str">
        <f aca="false">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30" t="str">
        <f aca="false">IF(OR($A233="",$C233&lt;&gt;"qr"),"",$D233&amp;".png")</f>
        <v/>
      </c>
      <c r="I233" s="30" t="str">
        <f aca="true">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ustomFormat="false" ht="15" hidden="false" customHeight="false" outlineLevel="0" collapsed="false">
      <c r="A234" s="30" t="str">
        <f aca="false">IF(INDEX(approvals!$A$2:$A$251,INT((ROW()-2)/2)+1)="","",INDEX(approvals!$A$2:$A$251,INT((ROW()-2)/2)+1))</f>
        <v/>
      </c>
      <c r="B234" s="30" t="str">
        <f aca="false">IF(INDEX(approvals!$A$2:$A$251,INT((ROW()-2)/2)+1)="","",INDEX(approvals!$B$2:$B$251,INT((ROW()-2)/2)+1))</f>
        <v/>
      </c>
      <c r="C234" s="30" t="str">
        <f aca="false">IF($A234="","",IF(MOD(ROW()-2,2)=0,"qr","post"))</f>
        <v/>
      </c>
      <c r="D234" s="30" t="str">
        <f aca="false">IF($A234="","",IF(LEFT($A234,7)="SAMPLE-","SAMPLE-","")&amp;LOWER(SUBSTITUTE(SUBSTITUTE($A234,"SAMPLE-",""),"CMP-","c"))&amp;"-"&amp;LOWER(SUBSTITUTE(SUBSTITUTE($B234,"SAMPLE-",""),"O-","o"))&amp;"-"&amp;IF($C234="qr","q","p"))</f>
        <v/>
      </c>
      <c r="E234" s="30" t="str">
        <f aca="false">IF($A234="","","https://"&amp;config!$B$9&amp;"/"&amp;$D234)</f>
        <v/>
      </c>
      <c r="F234" s="30" t="str">
        <f aca="false">IF($A234="","",$A234&amp;"."&amp;$B234)</f>
        <v/>
      </c>
      <c r="G234" s="30" t="str">
        <f aca="false">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30" t="str">
        <f aca="false">IF(OR($A234="",$C234&lt;&gt;"qr"),"",$D234&amp;".png")</f>
        <v/>
      </c>
      <c r="I234" s="30" t="str">
        <f aca="true">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ustomFormat="false" ht="15" hidden="false" customHeight="false" outlineLevel="0" collapsed="false">
      <c r="A235" s="30" t="str">
        <f aca="false">IF(INDEX(approvals!$A$2:$A$251,INT((ROW()-2)/2)+1)="","",INDEX(approvals!$A$2:$A$251,INT((ROW()-2)/2)+1))</f>
        <v/>
      </c>
      <c r="B235" s="30" t="str">
        <f aca="false">IF(INDEX(approvals!$A$2:$A$251,INT((ROW()-2)/2)+1)="","",INDEX(approvals!$B$2:$B$251,INT((ROW()-2)/2)+1))</f>
        <v/>
      </c>
      <c r="C235" s="30" t="str">
        <f aca="false">IF($A235="","",IF(MOD(ROW()-2,2)=0,"qr","post"))</f>
        <v/>
      </c>
      <c r="D235" s="30" t="str">
        <f aca="false">IF($A235="","",IF(LEFT($A235,7)="SAMPLE-","SAMPLE-","")&amp;LOWER(SUBSTITUTE(SUBSTITUTE($A235,"SAMPLE-",""),"CMP-","c"))&amp;"-"&amp;LOWER(SUBSTITUTE(SUBSTITUTE($B235,"SAMPLE-",""),"O-","o"))&amp;"-"&amp;IF($C235="qr","q","p"))</f>
        <v/>
      </c>
      <c r="E235" s="30" t="str">
        <f aca="false">IF($A235="","","https://"&amp;config!$B$9&amp;"/"&amp;$D235)</f>
        <v/>
      </c>
      <c r="F235" s="30" t="str">
        <f aca="false">IF($A235="","",$A235&amp;"."&amp;$B235)</f>
        <v/>
      </c>
      <c r="G235" s="30" t="str">
        <f aca="false">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30" t="str">
        <f aca="false">IF(OR($A235="",$C235&lt;&gt;"qr"),"",$D235&amp;".png")</f>
        <v/>
      </c>
      <c r="I235" s="30" t="str">
        <f aca="true">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ustomFormat="false" ht="15" hidden="false" customHeight="false" outlineLevel="0" collapsed="false">
      <c r="A236" s="30" t="str">
        <f aca="false">IF(INDEX(approvals!$A$2:$A$251,INT((ROW()-2)/2)+1)="","",INDEX(approvals!$A$2:$A$251,INT((ROW()-2)/2)+1))</f>
        <v/>
      </c>
      <c r="B236" s="30" t="str">
        <f aca="false">IF(INDEX(approvals!$A$2:$A$251,INT((ROW()-2)/2)+1)="","",INDEX(approvals!$B$2:$B$251,INT((ROW()-2)/2)+1))</f>
        <v/>
      </c>
      <c r="C236" s="30" t="str">
        <f aca="false">IF($A236="","",IF(MOD(ROW()-2,2)=0,"qr","post"))</f>
        <v/>
      </c>
      <c r="D236" s="30" t="str">
        <f aca="false">IF($A236="","",IF(LEFT($A236,7)="SAMPLE-","SAMPLE-","")&amp;LOWER(SUBSTITUTE(SUBSTITUTE($A236,"SAMPLE-",""),"CMP-","c"))&amp;"-"&amp;LOWER(SUBSTITUTE(SUBSTITUTE($B236,"SAMPLE-",""),"O-","o"))&amp;"-"&amp;IF($C236="qr","q","p"))</f>
        <v/>
      </c>
      <c r="E236" s="30" t="str">
        <f aca="false">IF($A236="","","https://"&amp;config!$B$9&amp;"/"&amp;$D236)</f>
        <v/>
      </c>
      <c r="F236" s="30" t="str">
        <f aca="false">IF($A236="","",$A236&amp;"."&amp;$B236)</f>
        <v/>
      </c>
      <c r="G236" s="30" t="str">
        <f aca="false">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30" t="str">
        <f aca="false">IF(OR($A236="",$C236&lt;&gt;"qr"),"",$D236&amp;".png")</f>
        <v/>
      </c>
      <c r="I236" s="30" t="str">
        <f aca="true">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ustomFormat="false" ht="15" hidden="false" customHeight="false" outlineLevel="0" collapsed="false">
      <c r="A237" s="30" t="str">
        <f aca="false">IF(INDEX(approvals!$A$2:$A$251,INT((ROW()-2)/2)+1)="","",INDEX(approvals!$A$2:$A$251,INT((ROW()-2)/2)+1))</f>
        <v/>
      </c>
      <c r="B237" s="30" t="str">
        <f aca="false">IF(INDEX(approvals!$A$2:$A$251,INT((ROW()-2)/2)+1)="","",INDEX(approvals!$B$2:$B$251,INT((ROW()-2)/2)+1))</f>
        <v/>
      </c>
      <c r="C237" s="30" t="str">
        <f aca="false">IF($A237="","",IF(MOD(ROW()-2,2)=0,"qr","post"))</f>
        <v/>
      </c>
      <c r="D237" s="30" t="str">
        <f aca="false">IF($A237="","",IF(LEFT($A237,7)="SAMPLE-","SAMPLE-","")&amp;LOWER(SUBSTITUTE(SUBSTITUTE($A237,"SAMPLE-",""),"CMP-","c"))&amp;"-"&amp;LOWER(SUBSTITUTE(SUBSTITUTE($B237,"SAMPLE-",""),"O-","o"))&amp;"-"&amp;IF($C237="qr","q","p"))</f>
        <v/>
      </c>
      <c r="E237" s="30" t="str">
        <f aca="false">IF($A237="","","https://"&amp;config!$B$9&amp;"/"&amp;$D237)</f>
        <v/>
      </c>
      <c r="F237" s="30" t="str">
        <f aca="false">IF($A237="","",$A237&amp;"."&amp;$B237)</f>
        <v/>
      </c>
      <c r="G237" s="30" t="str">
        <f aca="false">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30" t="str">
        <f aca="false">IF(OR($A237="",$C237&lt;&gt;"qr"),"",$D237&amp;".png")</f>
        <v/>
      </c>
      <c r="I237" s="30" t="str">
        <f aca="true">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ustomFormat="false" ht="15" hidden="false" customHeight="false" outlineLevel="0" collapsed="false">
      <c r="A238" s="30" t="str">
        <f aca="false">IF(INDEX(approvals!$A$2:$A$251,INT((ROW()-2)/2)+1)="","",INDEX(approvals!$A$2:$A$251,INT((ROW()-2)/2)+1))</f>
        <v/>
      </c>
      <c r="B238" s="30" t="str">
        <f aca="false">IF(INDEX(approvals!$A$2:$A$251,INT((ROW()-2)/2)+1)="","",INDEX(approvals!$B$2:$B$251,INT((ROW()-2)/2)+1))</f>
        <v/>
      </c>
      <c r="C238" s="30" t="str">
        <f aca="false">IF($A238="","",IF(MOD(ROW()-2,2)=0,"qr","post"))</f>
        <v/>
      </c>
      <c r="D238" s="30" t="str">
        <f aca="false">IF($A238="","",IF(LEFT($A238,7)="SAMPLE-","SAMPLE-","")&amp;LOWER(SUBSTITUTE(SUBSTITUTE($A238,"SAMPLE-",""),"CMP-","c"))&amp;"-"&amp;LOWER(SUBSTITUTE(SUBSTITUTE($B238,"SAMPLE-",""),"O-","o"))&amp;"-"&amp;IF($C238="qr","q","p"))</f>
        <v/>
      </c>
      <c r="E238" s="30" t="str">
        <f aca="false">IF($A238="","","https://"&amp;config!$B$9&amp;"/"&amp;$D238)</f>
        <v/>
      </c>
      <c r="F238" s="30" t="str">
        <f aca="false">IF($A238="","",$A238&amp;"."&amp;$B238)</f>
        <v/>
      </c>
      <c r="G238" s="30" t="str">
        <f aca="false">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30" t="str">
        <f aca="false">IF(OR($A238="",$C238&lt;&gt;"qr"),"",$D238&amp;".png")</f>
        <v/>
      </c>
      <c r="I238" s="30" t="str">
        <f aca="true">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ustomFormat="false" ht="15" hidden="false" customHeight="false" outlineLevel="0" collapsed="false">
      <c r="A239" s="30" t="str">
        <f aca="false">IF(INDEX(approvals!$A$2:$A$251,INT((ROW()-2)/2)+1)="","",INDEX(approvals!$A$2:$A$251,INT((ROW()-2)/2)+1))</f>
        <v/>
      </c>
      <c r="B239" s="30" t="str">
        <f aca="false">IF(INDEX(approvals!$A$2:$A$251,INT((ROW()-2)/2)+1)="","",INDEX(approvals!$B$2:$B$251,INT((ROW()-2)/2)+1))</f>
        <v/>
      </c>
      <c r="C239" s="30" t="str">
        <f aca="false">IF($A239="","",IF(MOD(ROW()-2,2)=0,"qr","post"))</f>
        <v/>
      </c>
      <c r="D239" s="30" t="str">
        <f aca="false">IF($A239="","",IF(LEFT($A239,7)="SAMPLE-","SAMPLE-","")&amp;LOWER(SUBSTITUTE(SUBSTITUTE($A239,"SAMPLE-",""),"CMP-","c"))&amp;"-"&amp;LOWER(SUBSTITUTE(SUBSTITUTE($B239,"SAMPLE-",""),"O-","o"))&amp;"-"&amp;IF($C239="qr","q","p"))</f>
        <v/>
      </c>
      <c r="E239" s="30" t="str">
        <f aca="false">IF($A239="","","https://"&amp;config!$B$9&amp;"/"&amp;$D239)</f>
        <v/>
      </c>
      <c r="F239" s="30" t="str">
        <f aca="false">IF($A239="","",$A239&amp;"."&amp;$B239)</f>
        <v/>
      </c>
      <c r="G239" s="30" t="str">
        <f aca="false">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30" t="str">
        <f aca="false">IF(OR($A239="",$C239&lt;&gt;"qr"),"",$D239&amp;".png")</f>
        <v/>
      </c>
      <c r="I239" s="30" t="str">
        <f aca="true">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ustomFormat="false" ht="15" hidden="false" customHeight="false" outlineLevel="0" collapsed="false">
      <c r="A240" s="30" t="str">
        <f aca="false">IF(INDEX(approvals!$A$2:$A$251,INT((ROW()-2)/2)+1)="","",INDEX(approvals!$A$2:$A$251,INT((ROW()-2)/2)+1))</f>
        <v/>
      </c>
      <c r="B240" s="30" t="str">
        <f aca="false">IF(INDEX(approvals!$A$2:$A$251,INT((ROW()-2)/2)+1)="","",INDEX(approvals!$B$2:$B$251,INT((ROW()-2)/2)+1))</f>
        <v/>
      </c>
      <c r="C240" s="30" t="str">
        <f aca="false">IF($A240="","",IF(MOD(ROW()-2,2)=0,"qr","post"))</f>
        <v/>
      </c>
      <c r="D240" s="30" t="str">
        <f aca="false">IF($A240="","",IF(LEFT($A240,7)="SAMPLE-","SAMPLE-","")&amp;LOWER(SUBSTITUTE(SUBSTITUTE($A240,"SAMPLE-",""),"CMP-","c"))&amp;"-"&amp;LOWER(SUBSTITUTE(SUBSTITUTE($B240,"SAMPLE-",""),"O-","o"))&amp;"-"&amp;IF($C240="qr","q","p"))</f>
        <v/>
      </c>
      <c r="E240" s="30" t="str">
        <f aca="false">IF($A240="","","https://"&amp;config!$B$9&amp;"/"&amp;$D240)</f>
        <v/>
      </c>
      <c r="F240" s="30" t="str">
        <f aca="false">IF($A240="","",$A240&amp;"."&amp;$B240)</f>
        <v/>
      </c>
      <c r="G240" s="30" t="str">
        <f aca="false">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30" t="str">
        <f aca="false">IF(OR($A240="",$C240&lt;&gt;"qr"),"",$D240&amp;".png")</f>
        <v/>
      </c>
      <c r="I240" s="30" t="str">
        <f aca="true">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ustomFormat="false" ht="15" hidden="false" customHeight="false" outlineLevel="0" collapsed="false">
      <c r="A241" s="30" t="str">
        <f aca="false">IF(INDEX(approvals!$A$2:$A$251,INT((ROW()-2)/2)+1)="","",INDEX(approvals!$A$2:$A$251,INT((ROW()-2)/2)+1))</f>
        <v/>
      </c>
      <c r="B241" s="30" t="str">
        <f aca="false">IF(INDEX(approvals!$A$2:$A$251,INT((ROW()-2)/2)+1)="","",INDEX(approvals!$B$2:$B$251,INT((ROW()-2)/2)+1))</f>
        <v/>
      </c>
      <c r="C241" s="30" t="str">
        <f aca="false">IF($A241="","",IF(MOD(ROW()-2,2)=0,"qr","post"))</f>
        <v/>
      </c>
      <c r="D241" s="30" t="str">
        <f aca="false">IF($A241="","",IF(LEFT($A241,7)="SAMPLE-","SAMPLE-","")&amp;LOWER(SUBSTITUTE(SUBSTITUTE($A241,"SAMPLE-",""),"CMP-","c"))&amp;"-"&amp;LOWER(SUBSTITUTE(SUBSTITUTE($B241,"SAMPLE-",""),"O-","o"))&amp;"-"&amp;IF($C241="qr","q","p"))</f>
        <v/>
      </c>
      <c r="E241" s="30" t="str">
        <f aca="false">IF($A241="","","https://"&amp;config!$B$9&amp;"/"&amp;$D241)</f>
        <v/>
      </c>
      <c r="F241" s="30" t="str">
        <f aca="false">IF($A241="","",$A241&amp;"."&amp;$B241)</f>
        <v/>
      </c>
      <c r="G241" s="30" t="str">
        <f aca="false">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30" t="str">
        <f aca="false">IF(OR($A241="",$C241&lt;&gt;"qr"),"",$D241&amp;".png")</f>
        <v/>
      </c>
      <c r="I241" s="30" t="str">
        <f aca="true">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ustomFormat="false" ht="15" hidden="false" customHeight="false" outlineLevel="0" collapsed="false">
      <c r="A242" s="30" t="str">
        <f aca="false">IF(INDEX(approvals!$A$2:$A$251,INT((ROW()-2)/2)+1)="","",INDEX(approvals!$A$2:$A$251,INT((ROW()-2)/2)+1))</f>
        <v/>
      </c>
      <c r="B242" s="30" t="str">
        <f aca="false">IF(INDEX(approvals!$A$2:$A$251,INT((ROW()-2)/2)+1)="","",INDEX(approvals!$B$2:$B$251,INT((ROW()-2)/2)+1))</f>
        <v/>
      </c>
      <c r="C242" s="30" t="str">
        <f aca="false">IF($A242="","",IF(MOD(ROW()-2,2)=0,"qr","post"))</f>
        <v/>
      </c>
      <c r="D242" s="30" t="str">
        <f aca="false">IF($A242="","",IF(LEFT($A242,7)="SAMPLE-","SAMPLE-","")&amp;LOWER(SUBSTITUTE(SUBSTITUTE($A242,"SAMPLE-",""),"CMP-","c"))&amp;"-"&amp;LOWER(SUBSTITUTE(SUBSTITUTE($B242,"SAMPLE-",""),"O-","o"))&amp;"-"&amp;IF($C242="qr","q","p"))</f>
        <v/>
      </c>
      <c r="E242" s="30" t="str">
        <f aca="false">IF($A242="","","https://"&amp;config!$B$9&amp;"/"&amp;$D242)</f>
        <v/>
      </c>
      <c r="F242" s="30" t="str">
        <f aca="false">IF($A242="","",$A242&amp;"."&amp;$B242)</f>
        <v/>
      </c>
      <c r="G242" s="30" t="str">
        <f aca="false">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30" t="str">
        <f aca="false">IF(OR($A242="",$C242&lt;&gt;"qr"),"",$D242&amp;".png")</f>
        <v/>
      </c>
      <c r="I242" s="30" t="str">
        <f aca="true">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ustomFormat="false" ht="15" hidden="false" customHeight="false" outlineLevel="0" collapsed="false">
      <c r="A243" s="30" t="str">
        <f aca="false">IF(INDEX(approvals!$A$2:$A$251,INT((ROW()-2)/2)+1)="","",INDEX(approvals!$A$2:$A$251,INT((ROW()-2)/2)+1))</f>
        <v/>
      </c>
      <c r="B243" s="30" t="str">
        <f aca="false">IF(INDEX(approvals!$A$2:$A$251,INT((ROW()-2)/2)+1)="","",INDEX(approvals!$B$2:$B$251,INT((ROW()-2)/2)+1))</f>
        <v/>
      </c>
      <c r="C243" s="30" t="str">
        <f aca="false">IF($A243="","",IF(MOD(ROW()-2,2)=0,"qr","post"))</f>
        <v/>
      </c>
      <c r="D243" s="30" t="str">
        <f aca="false">IF($A243="","",IF(LEFT($A243,7)="SAMPLE-","SAMPLE-","")&amp;LOWER(SUBSTITUTE(SUBSTITUTE($A243,"SAMPLE-",""),"CMP-","c"))&amp;"-"&amp;LOWER(SUBSTITUTE(SUBSTITUTE($B243,"SAMPLE-",""),"O-","o"))&amp;"-"&amp;IF($C243="qr","q","p"))</f>
        <v/>
      </c>
      <c r="E243" s="30" t="str">
        <f aca="false">IF($A243="","","https://"&amp;config!$B$9&amp;"/"&amp;$D243)</f>
        <v/>
      </c>
      <c r="F243" s="30" t="str">
        <f aca="false">IF($A243="","",$A243&amp;"."&amp;$B243)</f>
        <v/>
      </c>
      <c r="G243" s="30" t="str">
        <f aca="false">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30" t="str">
        <f aca="false">IF(OR($A243="",$C243&lt;&gt;"qr"),"",$D243&amp;".png")</f>
        <v/>
      </c>
      <c r="I243" s="30" t="str">
        <f aca="true">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ustomFormat="false" ht="15" hidden="false" customHeight="false" outlineLevel="0" collapsed="false">
      <c r="A244" s="30" t="str">
        <f aca="false">IF(INDEX(approvals!$A$2:$A$251,INT((ROW()-2)/2)+1)="","",INDEX(approvals!$A$2:$A$251,INT((ROW()-2)/2)+1))</f>
        <v/>
      </c>
      <c r="B244" s="30" t="str">
        <f aca="false">IF(INDEX(approvals!$A$2:$A$251,INT((ROW()-2)/2)+1)="","",INDEX(approvals!$B$2:$B$251,INT((ROW()-2)/2)+1))</f>
        <v/>
      </c>
      <c r="C244" s="30" t="str">
        <f aca="false">IF($A244="","",IF(MOD(ROW()-2,2)=0,"qr","post"))</f>
        <v/>
      </c>
      <c r="D244" s="30" t="str">
        <f aca="false">IF($A244="","",IF(LEFT($A244,7)="SAMPLE-","SAMPLE-","")&amp;LOWER(SUBSTITUTE(SUBSTITUTE($A244,"SAMPLE-",""),"CMP-","c"))&amp;"-"&amp;LOWER(SUBSTITUTE(SUBSTITUTE($B244,"SAMPLE-",""),"O-","o"))&amp;"-"&amp;IF($C244="qr","q","p"))</f>
        <v/>
      </c>
      <c r="E244" s="30" t="str">
        <f aca="false">IF($A244="","","https://"&amp;config!$B$9&amp;"/"&amp;$D244)</f>
        <v/>
      </c>
      <c r="F244" s="30" t="str">
        <f aca="false">IF($A244="","",$A244&amp;"."&amp;$B244)</f>
        <v/>
      </c>
      <c r="G244" s="30" t="str">
        <f aca="false">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30" t="str">
        <f aca="false">IF(OR($A244="",$C244&lt;&gt;"qr"),"",$D244&amp;".png")</f>
        <v/>
      </c>
      <c r="I244" s="30" t="str">
        <f aca="true">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ustomFormat="false" ht="15" hidden="false" customHeight="false" outlineLevel="0" collapsed="false">
      <c r="A245" s="30" t="str">
        <f aca="false">IF(INDEX(approvals!$A$2:$A$251,INT((ROW()-2)/2)+1)="","",INDEX(approvals!$A$2:$A$251,INT((ROW()-2)/2)+1))</f>
        <v/>
      </c>
      <c r="B245" s="30" t="str">
        <f aca="false">IF(INDEX(approvals!$A$2:$A$251,INT((ROW()-2)/2)+1)="","",INDEX(approvals!$B$2:$B$251,INT((ROW()-2)/2)+1))</f>
        <v/>
      </c>
      <c r="C245" s="30" t="str">
        <f aca="false">IF($A245="","",IF(MOD(ROW()-2,2)=0,"qr","post"))</f>
        <v/>
      </c>
      <c r="D245" s="30" t="str">
        <f aca="false">IF($A245="","",IF(LEFT($A245,7)="SAMPLE-","SAMPLE-","")&amp;LOWER(SUBSTITUTE(SUBSTITUTE($A245,"SAMPLE-",""),"CMP-","c"))&amp;"-"&amp;LOWER(SUBSTITUTE(SUBSTITUTE($B245,"SAMPLE-",""),"O-","o"))&amp;"-"&amp;IF($C245="qr","q","p"))</f>
        <v/>
      </c>
      <c r="E245" s="30" t="str">
        <f aca="false">IF($A245="","","https://"&amp;config!$B$9&amp;"/"&amp;$D245)</f>
        <v/>
      </c>
      <c r="F245" s="30" t="str">
        <f aca="false">IF($A245="","",$A245&amp;"."&amp;$B245)</f>
        <v/>
      </c>
      <c r="G245" s="30" t="str">
        <f aca="false">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30" t="str">
        <f aca="false">IF(OR($A245="",$C245&lt;&gt;"qr"),"",$D245&amp;".png")</f>
        <v/>
      </c>
      <c r="I245" s="30" t="str">
        <f aca="true">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ustomFormat="false" ht="15" hidden="false" customHeight="false" outlineLevel="0" collapsed="false">
      <c r="A246" s="30" t="str">
        <f aca="false">IF(INDEX(approvals!$A$2:$A$251,INT((ROW()-2)/2)+1)="","",INDEX(approvals!$A$2:$A$251,INT((ROW()-2)/2)+1))</f>
        <v/>
      </c>
      <c r="B246" s="30" t="str">
        <f aca="false">IF(INDEX(approvals!$A$2:$A$251,INT((ROW()-2)/2)+1)="","",INDEX(approvals!$B$2:$B$251,INT((ROW()-2)/2)+1))</f>
        <v/>
      </c>
      <c r="C246" s="30" t="str">
        <f aca="false">IF($A246="","",IF(MOD(ROW()-2,2)=0,"qr","post"))</f>
        <v/>
      </c>
      <c r="D246" s="30" t="str">
        <f aca="false">IF($A246="","",IF(LEFT($A246,7)="SAMPLE-","SAMPLE-","")&amp;LOWER(SUBSTITUTE(SUBSTITUTE($A246,"SAMPLE-",""),"CMP-","c"))&amp;"-"&amp;LOWER(SUBSTITUTE(SUBSTITUTE($B246,"SAMPLE-",""),"O-","o"))&amp;"-"&amp;IF($C246="qr","q","p"))</f>
        <v/>
      </c>
      <c r="E246" s="30" t="str">
        <f aca="false">IF($A246="","","https://"&amp;config!$B$9&amp;"/"&amp;$D246)</f>
        <v/>
      </c>
      <c r="F246" s="30" t="str">
        <f aca="false">IF($A246="","",$A246&amp;"."&amp;$B246)</f>
        <v/>
      </c>
      <c r="G246" s="30" t="str">
        <f aca="false">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30" t="str">
        <f aca="false">IF(OR($A246="",$C246&lt;&gt;"qr"),"",$D246&amp;".png")</f>
        <v/>
      </c>
      <c r="I246" s="30" t="str">
        <f aca="true">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ustomFormat="false" ht="15" hidden="false" customHeight="false" outlineLevel="0" collapsed="false">
      <c r="A247" s="30" t="str">
        <f aca="false">IF(INDEX(approvals!$A$2:$A$251,INT((ROW()-2)/2)+1)="","",INDEX(approvals!$A$2:$A$251,INT((ROW()-2)/2)+1))</f>
        <v/>
      </c>
      <c r="B247" s="30" t="str">
        <f aca="false">IF(INDEX(approvals!$A$2:$A$251,INT((ROW()-2)/2)+1)="","",INDEX(approvals!$B$2:$B$251,INT((ROW()-2)/2)+1))</f>
        <v/>
      </c>
      <c r="C247" s="30" t="str">
        <f aca="false">IF($A247="","",IF(MOD(ROW()-2,2)=0,"qr","post"))</f>
        <v/>
      </c>
      <c r="D247" s="30" t="str">
        <f aca="false">IF($A247="","",IF(LEFT($A247,7)="SAMPLE-","SAMPLE-","")&amp;LOWER(SUBSTITUTE(SUBSTITUTE($A247,"SAMPLE-",""),"CMP-","c"))&amp;"-"&amp;LOWER(SUBSTITUTE(SUBSTITUTE($B247,"SAMPLE-",""),"O-","o"))&amp;"-"&amp;IF($C247="qr","q","p"))</f>
        <v/>
      </c>
      <c r="E247" s="30" t="str">
        <f aca="false">IF($A247="","","https://"&amp;config!$B$9&amp;"/"&amp;$D247)</f>
        <v/>
      </c>
      <c r="F247" s="30" t="str">
        <f aca="false">IF($A247="","",$A247&amp;"."&amp;$B247)</f>
        <v/>
      </c>
      <c r="G247" s="30" t="str">
        <f aca="false">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30" t="str">
        <f aca="false">IF(OR($A247="",$C247&lt;&gt;"qr"),"",$D247&amp;".png")</f>
        <v/>
      </c>
      <c r="I247" s="30" t="str">
        <f aca="true">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ustomFormat="false" ht="15" hidden="false" customHeight="false" outlineLevel="0" collapsed="false">
      <c r="A248" s="30" t="str">
        <f aca="false">IF(INDEX(approvals!$A$2:$A$251,INT((ROW()-2)/2)+1)="","",INDEX(approvals!$A$2:$A$251,INT((ROW()-2)/2)+1))</f>
        <v/>
      </c>
      <c r="B248" s="30" t="str">
        <f aca="false">IF(INDEX(approvals!$A$2:$A$251,INT((ROW()-2)/2)+1)="","",INDEX(approvals!$B$2:$B$251,INT((ROW()-2)/2)+1))</f>
        <v/>
      </c>
      <c r="C248" s="30" t="str">
        <f aca="false">IF($A248="","",IF(MOD(ROW()-2,2)=0,"qr","post"))</f>
        <v/>
      </c>
      <c r="D248" s="30" t="str">
        <f aca="false">IF($A248="","",IF(LEFT($A248,7)="SAMPLE-","SAMPLE-","")&amp;LOWER(SUBSTITUTE(SUBSTITUTE($A248,"SAMPLE-",""),"CMP-","c"))&amp;"-"&amp;LOWER(SUBSTITUTE(SUBSTITUTE($B248,"SAMPLE-",""),"O-","o"))&amp;"-"&amp;IF($C248="qr","q","p"))</f>
        <v/>
      </c>
      <c r="E248" s="30" t="str">
        <f aca="false">IF($A248="","","https://"&amp;config!$B$9&amp;"/"&amp;$D248)</f>
        <v/>
      </c>
      <c r="F248" s="30" t="str">
        <f aca="false">IF($A248="","",$A248&amp;"."&amp;$B248)</f>
        <v/>
      </c>
      <c r="G248" s="30" t="str">
        <f aca="false">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30" t="str">
        <f aca="false">IF(OR($A248="",$C248&lt;&gt;"qr"),"",$D248&amp;".png")</f>
        <v/>
      </c>
      <c r="I248" s="30" t="str">
        <f aca="true">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ustomFormat="false" ht="15" hidden="false" customHeight="false" outlineLevel="0" collapsed="false">
      <c r="A249" s="30" t="str">
        <f aca="false">IF(INDEX(approvals!$A$2:$A$251,INT((ROW()-2)/2)+1)="","",INDEX(approvals!$A$2:$A$251,INT((ROW()-2)/2)+1))</f>
        <v/>
      </c>
      <c r="B249" s="30" t="str">
        <f aca="false">IF(INDEX(approvals!$A$2:$A$251,INT((ROW()-2)/2)+1)="","",INDEX(approvals!$B$2:$B$251,INT((ROW()-2)/2)+1))</f>
        <v/>
      </c>
      <c r="C249" s="30" t="str">
        <f aca="false">IF($A249="","",IF(MOD(ROW()-2,2)=0,"qr","post"))</f>
        <v/>
      </c>
      <c r="D249" s="30" t="str">
        <f aca="false">IF($A249="","",IF(LEFT($A249,7)="SAMPLE-","SAMPLE-","")&amp;LOWER(SUBSTITUTE(SUBSTITUTE($A249,"SAMPLE-",""),"CMP-","c"))&amp;"-"&amp;LOWER(SUBSTITUTE(SUBSTITUTE($B249,"SAMPLE-",""),"O-","o"))&amp;"-"&amp;IF($C249="qr","q","p"))</f>
        <v/>
      </c>
      <c r="E249" s="30" t="str">
        <f aca="false">IF($A249="","","https://"&amp;config!$B$9&amp;"/"&amp;$D249)</f>
        <v/>
      </c>
      <c r="F249" s="30" t="str">
        <f aca="false">IF($A249="","",$A249&amp;"."&amp;$B249)</f>
        <v/>
      </c>
      <c r="G249" s="30" t="str">
        <f aca="false">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30" t="str">
        <f aca="false">IF(OR($A249="",$C249&lt;&gt;"qr"),"",$D249&amp;".png")</f>
        <v/>
      </c>
      <c r="I249" s="30" t="str">
        <f aca="true">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ustomFormat="false" ht="15" hidden="false" customHeight="false" outlineLevel="0" collapsed="false">
      <c r="A250" s="30" t="str">
        <f aca="false">IF(INDEX(approvals!$A$2:$A$251,INT((ROW()-2)/2)+1)="","",INDEX(approvals!$A$2:$A$251,INT((ROW()-2)/2)+1))</f>
        <v/>
      </c>
      <c r="B250" s="30" t="str">
        <f aca="false">IF(INDEX(approvals!$A$2:$A$251,INT((ROW()-2)/2)+1)="","",INDEX(approvals!$B$2:$B$251,INT((ROW()-2)/2)+1))</f>
        <v/>
      </c>
      <c r="C250" s="30" t="str">
        <f aca="false">IF($A250="","",IF(MOD(ROW()-2,2)=0,"qr","post"))</f>
        <v/>
      </c>
      <c r="D250" s="30" t="str">
        <f aca="false">IF($A250="","",IF(LEFT($A250,7)="SAMPLE-","SAMPLE-","")&amp;LOWER(SUBSTITUTE(SUBSTITUTE($A250,"SAMPLE-",""),"CMP-","c"))&amp;"-"&amp;LOWER(SUBSTITUTE(SUBSTITUTE($B250,"SAMPLE-",""),"O-","o"))&amp;"-"&amp;IF($C250="qr","q","p"))</f>
        <v/>
      </c>
      <c r="E250" s="30" t="str">
        <f aca="false">IF($A250="","","https://"&amp;config!$B$9&amp;"/"&amp;$D250)</f>
        <v/>
      </c>
      <c r="F250" s="30" t="str">
        <f aca="false">IF($A250="","",$A250&amp;"."&amp;$B250)</f>
        <v/>
      </c>
      <c r="G250" s="30" t="str">
        <f aca="false">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30" t="str">
        <f aca="false">IF(OR($A250="",$C250&lt;&gt;"qr"),"",$D250&amp;".png")</f>
        <v/>
      </c>
      <c r="I250" s="30" t="str">
        <f aca="true">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ustomFormat="false" ht="15" hidden="false" customHeight="false" outlineLevel="0" collapsed="false">
      <c r="A251" s="30" t="str">
        <f aca="false">IF(INDEX(approvals!$A$2:$A$251,INT((ROW()-2)/2)+1)="","",INDEX(approvals!$A$2:$A$251,INT((ROW()-2)/2)+1))</f>
        <v/>
      </c>
      <c r="B251" s="30" t="str">
        <f aca="false">IF(INDEX(approvals!$A$2:$A$251,INT((ROW()-2)/2)+1)="","",INDEX(approvals!$B$2:$B$251,INT((ROW()-2)/2)+1))</f>
        <v/>
      </c>
      <c r="C251" s="30" t="str">
        <f aca="false">IF($A251="","",IF(MOD(ROW()-2,2)=0,"qr","post"))</f>
        <v/>
      </c>
      <c r="D251" s="30" t="str">
        <f aca="false">IF($A251="","",IF(LEFT($A251,7)="SAMPLE-","SAMPLE-","")&amp;LOWER(SUBSTITUTE(SUBSTITUTE($A251,"SAMPLE-",""),"CMP-","c"))&amp;"-"&amp;LOWER(SUBSTITUTE(SUBSTITUTE($B251,"SAMPLE-",""),"O-","o"))&amp;"-"&amp;IF($C251="qr","q","p"))</f>
        <v/>
      </c>
      <c r="E251" s="30" t="str">
        <f aca="false">IF($A251="","","https://"&amp;config!$B$9&amp;"/"&amp;$D251)</f>
        <v/>
      </c>
      <c r="F251" s="30" t="str">
        <f aca="false">IF($A251="","",$A251&amp;"."&amp;$B251)</f>
        <v/>
      </c>
      <c r="G251" s="30" t="str">
        <f aca="false">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30" t="str">
        <f aca="false">IF(OR($A251="",$C251&lt;&gt;"qr"),"",$D251&amp;".png")</f>
        <v/>
      </c>
      <c r="I251" s="30" t="str">
        <f aca="true">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ustomFormat="false" ht="15" hidden="false" customHeight="false" outlineLevel="0" collapsed="false">
      <c r="A252" s="30" t="str">
        <f aca="false">IF(INDEX(approvals!$A$2:$A$251,INT((ROW()-2)/2)+1)="","",INDEX(approvals!$A$2:$A$251,INT((ROW()-2)/2)+1))</f>
        <v/>
      </c>
      <c r="B252" s="30" t="str">
        <f aca="false">IF(INDEX(approvals!$A$2:$A$251,INT((ROW()-2)/2)+1)="","",INDEX(approvals!$B$2:$B$251,INT((ROW()-2)/2)+1))</f>
        <v/>
      </c>
      <c r="C252" s="30" t="str">
        <f aca="false">IF($A252="","",IF(MOD(ROW()-2,2)=0,"qr","post"))</f>
        <v/>
      </c>
      <c r="D252" s="30" t="str">
        <f aca="false">IF($A252="","",IF(LEFT($A252,7)="SAMPLE-","SAMPLE-","")&amp;LOWER(SUBSTITUTE(SUBSTITUTE($A252,"SAMPLE-",""),"CMP-","c"))&amp;"-"&amp;LOWER(SUBSTITUTE(SUBSTITUTE($B252,"SAMPLE-",""),"O-","o"))&amp;"-"&amp;IF($C252="qr","q","p"))</f>
        <v/>
      </c>
      <c r="E252" s="30" t="str">
        <f aca="false">IF($A252="","","https://"&amp;config!$B$9&amp;"/"&amp;$D252)</f>
        <v/>
      </c>
      <c r="F252" s="30" t="str">
        <f aca="false">IF($A252="","",$A252&amp;"."&amp;$B252)</f>
        <v/>
      </c>
      <c r="G252" s="30" t="str">
        <f aca="false">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30" t="str">
        <f aca="false">IF(OR($A252="",$C252&lt;&gt;"qr"),"",$D252&amp;".png")</f>
        <v/>
      </c>
      <c r="I252" s="30" t="str">
        <f aca="true">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ustomFormat="false" ht="15" hidden="false" customHeight="false" outlineLevel="0" collapsed="false">
      <c r="A253" s="30" t="str">
        <f aca="false">IF(INDEX(approvals!$A$2:$A$251,INT((ROW()-2)/2)+1)="","",INDEX(approvals!$A$2:$A$251,INT((ROW()-2)/2)+1))</f>
        <v/>
      </c>
      <c r="B253" s="30" t="str">
        <f aca="false">IF(INDEX(approvals!$A$2:$A$251,INT((ROW()-2)/2)+1)="","",INDEX(approvals!$B$2:$B$251,INT((ROW()-2)/2)+1))</f>
        <v/>
      </c>
      <c r="C253" s="30" t="str">
        <f aca="false">IF($A253="","",IF(MOD(ROW()-2,2)=0,"qr","post"))</f>
        <v/>
      </c>
      <c r="D253" s="30" t="str">
        <f aca="false">IF($A253="","",IF(LEFT($A253,7)="SAMPLE-","SAMPLE-","")&amp;LOWER(SUBSTITUTE(SUBSTITUTE($A253,"SAMPLE-",""),"CMP-","c"))&amp;"-"&amp;LOWER(SUBSTITUTE(SUBSTITUTE($B253,"SAMPLE-",""),"O-","o"))&amp;"-"&amp;IF($C253="qr","q","p"))</f>
        <v/>
      </c>
      <c r="E253" s="30" t="str">
        <f aca="false">IF($A253="","","https://"&amp;config!$B$9&amp;"/"&amp;$D253)</f>
        <v/>
      </c>
      <c r="F253" s="30" t="str">
        <f aca="false">IF($A253="","",$A253&amp;"."&amp;$B253)</f>
        <v/>
      </c>
      <c r="G253" s="30" t="str">
        <f aca="false">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30" t="str">
        <f aca="false">IF(OR($A253="",$C253&lt;&gt;"qr"),"",$D253&amp;".png")</f>
        <v/>
      </c>
      <c r="I253" s="30" t="str">
        <f aca="true">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ustomFormat="false" ht="15" hidden="false" customHeight="false" outlineLevel="0" collapsed="false">
      <c r="A254" s="30" t="str">
        <f aca="false">IF(INDEX(approvals!$A$2:$A$251,INT((ROW()-2)/2)+1)="","",INDEX(approvals!$A$2:$A$251,INT((ROW()-2)/2)+1))</f>
        <v/>
      </c>
      <c r="B254" s="30" t="str">
        <f aca="false">IF(INDEX(approvals!$A$2:$A$251,INT((ROW()-2)/2)+1)="","",INDEX(approvals!$B$2:$B$251,INT((ROW()-2)/2)+1))</f>
        <v/>
      </c>
      <c r="C254" s="30" t="str">
        <f aca="false">IF($A254="","",IF(MOD(ROW()-2,2)=0,"qr","post"))</f>
        <v/>
      </c>
      <c r="D254" s="30" t="str">
        <f aca="false">IF($A254="","",IF(LEFT($A254,7)="SAMPLE-","SAMPLE-","")&amp;LOWER(SUBSTITUTE(SUBSTITUTE($A254,"SAMPLE-",""),"CMP-","c"))&amp;"-"&amp;LOWER(SUBSTITUTE(SUBSTITUTE($B254,"SAMPLE-",""),"O-","o"))&amp;"-"&amp;IF($C254="qr","q","p"))</f>
        <v/>
      </c>
      <c r="E254" s="30" t="str">
        <f aca="false">IF($A254="","","https://"&amp;config!$B$9&amp;"/"&amp;$D254)</f>
        <v/>
      </c>
      <c r="F254" s="30" t="str">
        <f aca="false">IF($A254="","",$A254&amp;"."&amp;$B254)</f>
        <v/>
      </c>
      <c r="G254" s="30" t="str">
        <f aca="false">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30" t="str">
        <f aca="false">IF(OR($A254="",$C254&lt;&gt;"qr"),"",$D254&amp;".png")</f>
        <v/>
      </c>
      <c r="I254" s="30" t="str">
        <f aca="true">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ustomFormat="false" ht="15" hidden="false" customHeight="false" outlineLevel="0" collapsed="false">
      <c r="A255" s="30" t="str">
        <f aca="false">IF(INDEX(approvals!$A$2:$A$251,INT((ROW()-2)/2)+1)="","",INDEX(approvals!$A$2:$A$251,INT((ROW()-2)/2)+1))</f>
        <v/>
      </c>
      <c r="B255" s="30" t="str">
        <f aca="false">IF(INDEX(approvals!$A$2:$A$251,INT((ROW()-2)/2)+1)="","",INDEX(approvals!$B$2:$B$251,INT((ROW()-2)/2)+1))</f>
        <v/>
      </c>
      <c r="C255" s="30" t="str">
        <f aca="false">IF($A255="","",IF(MOD(ROW()-2,2)=0,"qr","post"))</f>
        <v/>
      </c>
      <c r="D255" s="30" t="str">
        <f aca="false">IF($A255="","",IF(LEFT($A255,7)="SAMPLE-","SAMPLE-","")&amp;LOWER(SUBSTITUTE(SUBSTITUTE($A255,"SAMPLE-",""),"CMP-","c"))&amp;"-"&amp;LOWER(SUBSTITUTE(SUBSTITUTE($B255,"SAMPLE-",""),"O-","o"))&amp;"-"&amp;IF($C255="qr","q","p"))</f>
        <v/>
      </c>
      <c r="E255" s="30" t="str">
        <f aca="false">IF($A255="","","https://"&amp;config!$B$9&amp;"/"&amp;$D255)</f>
        <v/>
      </c>
      <c r="F255" s="30" t="str">
        <f aca="false">IF($A255="","",$A255&amp;"."&amp;$B255)</f>
        <v/>
      </c>
      <c r="G255" s="30" t="str">
        <f aca="false">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30" t="str">
        <f aca="false">IF(OR($A255="",$C255&lt;&gt;"qr"),"",$D255&amp;".png")</f>
        <v/>
      </c>
      <c r="I255" s="30" t="str">
        <f aca="true">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ustomFormat="false" ht="15" hidden="false" customHeight="false" outlineLevel="0" collapsed="false">
      <c r="A256" s="30" t="str">
        <f aca="false">IF(INDEX(approvals!$A$2:$A$251,INT((ROW()-2)/2)+1)="","",INDEX(approvals!$A$2:$A$251,INT((ROW()-2)/2)+1))</f>
        <v/>
      </c>
      <c r="B256" s="30" t="str">
        <f aca="false">IF(INDEX(approvals!$A$2:$A$251,INT((ROW()-2)/2)+1)="","",INDEX(approvals!$B$2:$B$251,INT((ROW()-2)/2)+1))</f>
        <v/>
      </c>
      <c r="C256" s="30" t="str">
        <f aca="false">IF($A256="","",IF(MOD(ROW()-2,2)=0,"qr","post"))</f>
        <v/>
      </c>
      <c r="D256" s="30" t="str">
        <f aca="false">IF($A256="","",IF(LEFT($A256,7)="SAMPLE-","SAMPLE-","")&amp;LOWER(SUBSTITUTE(SUBSTITUTE($A256,"SAMPLE-",""),"CMP-","c"))&amp;"-"&amp;LOWER(SUBSTITUTE(SUBSTITUTE($B256,"SAMPLE-",""),"O-","o"))&amp;"-"&amp;IF($C256="qr","q","p"))</f>
        <v/>
      </c>
      <c r="E256" s="30" t="str">
        <f aca="false">IF($A256="","","https://"&amp;config!$B$9&amp;"/"&amp;$D256)</f>
        <v/>
      </c>
      <c r="F256" s="30" t="str">
        <f aca="false">IF($A256="","",$A256&amp;"."&amp;$B256)</f>
        <v/>
      </c>
      <c r="G256" s="30" t="str">
        <f aca="false">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30" t="str">
        <f aca="false">IF(OR($A256="",$C256&lt;&gt;"qr"),"",$D256&amp;".png")</f>
        <v/>
      </c>
      <c r="I256" s="30" t="str">
        <f aca="true">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ustomFormat="false" ht="15" hidden="false" customHeight="false" outlineLevel="0" collapsed="false">
      <c r="A257" s="30" t="str">
        <f aca="false">IF(INDEX(approvals!$A$2:$A$251,INT((ROW()-2)/2)+1)="","",INDEX(approvals!$A$2:$A$251,INT((ROW()-2)/2)+1))</f>
        <v/>
      </c>
      <c r="B257" s="30" t="str">
        <f aca="false">IF(INDEX(approvals!$A$2:$A$251,INT((ROW()-2)/2)+1)="","",INDEX(approvals!$B$2:$B$251,INT((ROW()-2)/2)+1))</f>
        <v/>
      </c>
      <c r="C257" s="30" t="str">
        <f aca="false">IF($A257="","",IF(MOD(ROW()-2,2)=0,"qr","post"))</f>
        <v/>
      </c>
      <c r="D257" s="30" t="str">
        <f aca="false">IF($A257="","",IF(LEFT($A257,7)="SAMPLE-","SAMPLE-","")&amp;LOWER(SUBSTITUTE(SUBSTITUTE($A257,"SAMPLE-",""),"CMP-","c"))&amp;"-"&amp;LOWER(SUBSTITUTE(SUBSTITUTE($B257,"SAMPLE-",""),"O-","o"))&amp;"-"&amp;IF($C257="qr","q","p"))</f>
        <v/>
      </c>
      <c r="E257" s="30" t="str">
        <f aca="false">IF($A257="","","https://"&amp;config!$B$9&amp;"/"&amp;$D257)</f>
        <v/>
      </c>
      <c r="F257" s="30" t="str">
        <f aca="false">IF($A257="","",$A257&amp;"."&amp;$B257)</f>
        <v/>
      </c>
      <c r="G257" s="30" t="str">
        <f aca="false">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30" t="str">
        <f aca="false">IF(OR($A257="",$C257&lt;&gt;"qr"),"",$D257&amp;".png")</f>
        <v/>
      </c>
      <c r="I257" s="30" t="str">
        <f aca="true">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ustomFormat="false" ht="15" hidden="false" customHeight="false" outlineLevel="0" collapsed="false">
      <c r="A258" s="30" t="str">
        <f aca="false">IF(INDEX(approvals!$A$2:$A$251,INT((ROW()-2)/2)+1)="","",INDEX(approvals!$A$2:$A$251,INT((ROW()-2)/2)+1))</f>
        <v/>
      </c>
      <c r="B258" s="30" t="str">
        <f aca="false">IF(INDEX(approvals!$A$2:$A$251,INT((ROW()-2)/2)+1)="","",INDEX(approvals!$B$2:$B$251,INT((ROW()-2)/2)+1))</f>
        <v/>
      </c>
      <c r="C258" s="30" t="str">
        <f aca="false">IF($A258="","",IF(MOD(ROW()-2,2)=0,"qr","post"))</f>
        <v/>
      </c>
      <c r="D258" s="30" t="str">
        <f aca="false">IF($A258="","",IF(LEFT($A258,7)="SAMPLE-","SAMPLE-","")&amp;LOWER(SUBSTITUTE(SUBSTITUTE($A258,"SAMPLE-",""),"CMP-","c"))&amp;"-"&amp;LOWER(SUBSTITUTE(SUBSTITUTE($B258,"SAMPLE-",""),"O-","o"))&amp;"-"&amp;IF($C258="qr","q","p"))</f>
        <v/>
      </c>
      <c r="E258" s="30" t="str">
        <f aca="false">IF($A258="","","https://"&amp;config!$B$9&amp;"/"&amp;$D258)</f>
        <v/>
      </c>
      <c r="F258" s="30" t="str">
        <f aca="false">IF($A258="","",$A258&amp;"."&amp;$B258)</f>
        <v/>
      </c>
      <c r="G258" s="30" t="str">
        <f aca="false">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30" t="str">
        <f aca="false">IF(OR($A258="",$C258&lt;&gt;"qr"),"",$D258&amp;".png")</f>
        <v/>
      </c>
      <c r="I258" s="30" t="str">
        <f aca="true">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ustomFormat="false" ht="15" hidden="false" customHeight="false" outlineLevel="0" collapsed="false">
      <c r="A259" s="30" t="str">
        <f aca="false">IF(INDEX(approvals!$A$2:$A$251,INT((ROW()-2)/2)+1)="","",INDEX(approvals!$A$2:$A$251,INT((ROW()-2)/2)+1))</f>
        <v/>
      </c>
      <c r="B259" s="30" t="str">
        <f aca="false">IF(INDEX(approvals!$A$2:$A$251,INT((ROW()-2)/2)+1)="","",INDEX(approvals!$B$2:$B$251,INT((ROW()-2)/2)+1))</f>
        <v/>
      </c>
      <c r="C259" s="30" t="str">
        <f aca="false">IF($A259="","",IF(MOD(ROW()-2,2)=0,"qr","post"))</f>
        <v/>
      </c>
      <c r="D259" s="30" t="str">
        <f aca="false">IF($A259="","",IF(LEFT($A259,7)="SAMPLE-","SAMPLE-","")&amp;LOWER(SUBSTITUTE(SUBSTITUTE($A259,"SAMPLE-",""),"CMP-","c"))&amp;"-"&amp;LOWER(SUBSTITUTE(SUBSTITUTE($B259,"SAMPLE-",""),"O-","o"))&amp;"-"&amp;IF($C259="qr","q","p"))</f>
        <v/>
      </c>
      <c r="E259" s="30" t="str">
        <f aca="false">IF($A259="","","https://"&amp;config!$B$9&amp;"/"&amp;$D259)</f>
        <v/>
      </c>
      <c r="F259" s="30" t="str">
        <f aca="false">IF($A259="","",$A259&amp;"."&amp;$B259)</f>
        <v/>
      </c>
      <c r="G259" s="30" t="str">
        <f aca="false">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30" t="str">
        <f aca="false">IF(OR($A259="",$C259&lt;&gt;"qr"),"",$D259&amp;".png")</f>
        <v/>
      </c>
      <c r="I259" s="30" t="str">
        <f aca="true">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ustomFormat="false" ht="15" hidden="false" customHeight="false" outlineLevel="0" collapsed="false">
      <c r="A260" s="30" t="str">
        <f aca="false">IF(INDEX(approvals!$A$2:$A$251,INT((ROW()-2)/2)+1)="","",INDEX(approvals!$A$2:$A$251,INT((ROW()-2)/2)+1))</f>
        <v/>
      </c>
      <c r="B260" s="30" t="str">
        <f aca="false">IF(INDEX(approvals!$A$2:$A$251,INT((ROW()-2)/2)+1)="","",INDEX(approvals!$B$2:$B$251,INT((ROW()-2)/2)+1))</f>
        <v/>
      </c>
      <c r="C260" s="30" t="str">
        <f aca="false">IF($A260="","",IF(MOD(ROW()-2,2)=0,"qr","post"))</f>
        <v/>
      </c>
      <c r="D260" s="30" t="str">
        <f aca="false">IF($A260="","",IF(LEFT($A260,7)="SAMPLE-","SAMPLE-","")&amp;LOWER(SUBSTITUTE(SUBSTITUTE($A260,"SAMPLE-",""),"CMP-","c"))&amp;"-"&amp;LOWER(SUBSTITUTE(SUBSTITUTE($B260,"SAMPLE-",""),"O-","o"))&amp;"-"&amp;IF($C260="qr","q","p"))</f>
        <v/>
      </c>
      <c r="E260" s="30" t="str">
        <f aca="false">IF($A260="","","https://"&amp;config!$B$9&amp;"/"&amp;$D260)</f>
        <v/>
      </c>
      <c r="F260" s="30" t="str">
        <f aca="false">IF($A260="","",$A260&amp;"."&amp;$B260)</f>
        <v/>
      </c>
      <c r="G260" s="30" t="str">
        <f aca="false">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30" t="str">
        <f aca="false">IF(OR($A260="",$C260&lt;&gt;"qr"),"",$D260&amp;".png")</f>
        <v/>
      </c>
      <c r="I260" s="30" t="str">
        <f aca="true">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ustomFormat="false" ht="15" hidden="false" customHeight="false" outlineLevel="0" collapsed="false">
      <c r="A261" s="30" t="str">
        <f aca="false">IF(INDEX(approvals!$A$2:$A$251,INT((ROW()-2)/2)+1)="","",INDEX(approvals!$A$2:$A$251,INT((ROW()-2)/2)+1))</f>
        <v/>
      </c>
      <c r="B261" s="30" t="str">
        <f aca="false">IF(INDEX(approvals!$A$2:$A$251,INT((ROW()-2)/2)+1)="","",INDEX(approvals!$B$2:$B$251,INT((ROW()-2)/2)+1))</f>
        <v/>
      </c>
      <c r="C261" s="30" t="str">
        <f aca="false">IF($A261="","",IF(MOD(ROW()-2,2)=0,"qr","post"))</f>
        <v/>
      </c>
      <c r="D261" s="30" t="str">
        <f aca="false">IF($A261="","",IF(LEFT($A261,7)="SAMPLE-","SAMPLE-","")&amp;LOWER(SUBSTITUTE(SUBSTITUTE($A261,"SAMPLE-",""),"CMP-","c"))&amp;"-"&amp;LOWER(SUBSTITUTE(SUBSTITUTE($B261,"SAMPLE-",""),"O-","o"))&amp;"-"&amp;IF($C261="qr","q","p"))</f>
        <v/>
      </c>
      <c r="E261" s="30" t="str">
        <f aca="false">IF($A261="","","https://"&amp;config!$B$9&amp;"/"&amp;$D261)</f>
        <v/>
      </c>
      <c r="F261" s="30" t="str">
        <f aca="false">IF($A261="","",$A261&amp;"."&amp;$B261)</f>
        <v/>
      </c>
      <c r="G261" s="30" t="str">
        <f aca="false">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30" t="str">
        <f aca="false">IF(OR($A261="",$C261&lt;&gt;"qr"),"",$D261&amp;".png")</f>
        <v/>
      </c>
      <c r="I261" s="30" t="str">
        <f aca="true">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ustomFormat="false" ht="15" hidden="false" customHeight="false" outlineLevel="0" collapsed="false">
      <c r="A262" s="30" t="str">
        <f aca="false">IF(INDEX(approvals!$A$2:$A$251,INT((ROW()-2)/2)+1)="","",INDEX(approvals!$A$2:$A$251,INT((ROW()-2)/2)+1))</f>
        <v/>
      </c>
      <c r="B262" s="30" t="str">
        <f aca="false">IF(INDEX(approvals!$A$2:$A$251,INT((ROW()-2)/2)+1)="","",INDEX(approvals!$B$2:$B$251,INT((ROW()-2)/2)+1))</f>
        <v/>
      </c>
      <c r="C262" s="30" t="str">
        <f aca="false">IF($A262="","",IF(MOD(ROW()-2,2)=0,"qr","post"))</f>
        <v/>
      </c>
      <c r="D262" s="30" t="str">
        <f aca="false">IF($A262="","",IF(LEFT($A262,7)="SAMPLE-","SAMPLE-","")&amp;LOWER(SUBSTITUTE(SUBSTITUTE($A262,"SAMPLE-",""),"CMP-","c"))&amp;"-"&amp;LOWER(SUBSTITUTE(SUBSTITUTE($B262,"SAMPLE-",""),"O-","o"))&amp;"-"&amp;IF($C262="qr","q","p"))</f>
        <v/>
      </c>
      <c r="E262" s="30" t="str">
        <f aca="false">IF($A262="","","https://"&amp;config!$B$9&amp;"/"&amp;$D262)</f>
        <v/>
      </c>
      <c r="F262" s="30" t="str">
        <f aca="false">IF($A262="","",$A262&amp;"."&amp;$B262)</f>
        <v/>
      </c>
      <c r="G262" s="30" t="str">
        <f aca="false">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30" t="str">
        <f aca="false">IF(OR($A262="",$C262&lt;&gt;"qr"),"",$D262&amp;".png")</f>
        <v/>
      </c>
      <c r="I262" s="30" t="str">
        <f aca="true">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ustomFormat="false" ht="15" hidden="false" customHeight="false" outlineLevel="0" collapsed="false">
      <c r="A263" s="30" t="str">
        <f aca="false">IF(INDEX(approvals!$A$2:$A$251,INT((ROW()-2)/2)+1)="","",INDEX(approvals!$A$2:$A$251,INT((ROW()-2)/2)+1))</f>
        <v/>
      </c>
      <c r="B263" s="30" t="str">
        <f aca="false">IF(INDEX(approvals!$A$2:$A$251,INT((ROW()-2)/2)+1)="","",INDEX(approvals!$B$2:$B$251,INT((ROW()-2)/2)+1))</f>
        <v/>
      </c>
      <c r="C263" s="30" t="str">
        <f aca="false">IF($A263="","",IF(MOD(ROW()-2,2)=0,"qr","post"))</f>
        <v/>
      </c>
      <c r="D263" s="30" t="str">
        <f aca="false">IF($A263="","",IF(LEFT($A263,7)="SAMPLE-","SAMPLE-","")&amp;LOWER(SUBSTITUTE(SUBSTITUTE($A263,"SAMPLE-",""),"CMP-","c"))&amp;"-"&amp;LOWER(SUBSTITUTE(SUBSTITUTE($B263,"SAMPLE-",""),"O-","o"))&amp;"-"&amp;IF($C263="qr","q","p"))</f>
        <v/>
      </c>
      <c r="E263" s="30" t="str">
        <f aca="false">IF($A263="","","https://"&amp;config!$B$9&amp;"/"&amp;$D263)</f>
        <v/>
      </c>
      <c r="F263" s="30" t="str">
        <f aca="false">IF($A263="","",$A263&amp;"."&amp;$B263)</f>
        <v/>
      </c>
      <c r="G263" s="30" t="str">
        <f aca="false">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30" t="str">
        <f aca="false">IF(OR($A263="",$C263&lt;&gt;"qr"),"",$D263&amp;".png")</f>
        <v/>
      </c>
      <c r="I263" s="30" t="str">
        <f aca="true">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ustomFormat="false" ht="15" hidden="false" customHeight="false" outlineLevel="0" collapsed="false">
      <c r="A264" s="30" t="str">
        <f aca="false">IF(INDEX(approvals!$A$2:$A$251,INT((ROW()-2)/2)+1)="","",INDEX(approvals!$A$2:$A$251,INT((ROW()-2)/2)+1))</f>
        <v/>
      </c>
      <c r="B264" s="30" t="str">
        <f aca="false">IF(INDEX(approvals!$A$2:$A$251,INT((ROW()-2)/2)+1)="","",INDEX(approvals!$B$2:$B$251,INT((ROW()-2)/2)+1))</f>
        <v/>
      </c>
      <c r="C264" s="30" t="str">
        <f aca="false">IF($A264="","",IF(MOD(ROW()-2,2)=0,"qr","post"))</f>
        <v/>
      </c>
      <c r="D264" s="30" t="str">
        <f aca="false">IF($A264="","",IF(LEFT($A264,7)="SAMPLE-","SAMPLE-","")&amp;LOWER(SUBSTITUTE(SUBSTITUTE($A264,"SAMPLE-",""),"CMP-","c"))&amp;"-"&amp;LOWER(SUBSTITUTE(SUBSTITUTE($B264,"SAMPLE-",""),"O-","o"))&amp;"-"&amp;IF($C264="qr","q","p"))</f>
        <v/>
      </c>
      <c r="E264" s="30" t="str">
        <f aca="false">IF($A264="","","https://"&amp;config!$B$9&amp;"/"&amp;$D264)</f>
        <v/>
      </c>
      <c r="F264" s="30" t="str">
        <f aca="false">IF($A264="","",$A264&amp;"."&amp;$B264)</f>
        <v/>
      </c>
      <c r="G264" s="30" t="str">
        <f aca="false">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30" t="str">
        <f aca="false">IF(OR($A264="",$C264&lt;&gt;"qr"),"",$D264&amp;".png")</f>
        <v/>
      </c>
      <c r="I264" s="30" t="str">
        <f aca="true">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ustomFormat="false" ht="15" hidden="false" customHeight="false" outlineLevel="0" collapsed="false">
      <c r="A265" s="30" t="str">
        <f aca="false">IF(INDEX(approvals!$A$2:$A$251,INT((ROW()-2)/2)+1)="","",INDEX(approvals!$A$2:$A$251,INT((ROW()-2)/2)+1))</f>
        <v/>
      </c>
      <c r="B265" s="30" t="str">
        <f aca="false">IF(INDEX(approvals!$A$2:$A$251,INT((ROW()-2)/2)+1)="","",INDEX(approvals!$B$2:$B$251,INT((ROW()-2)/2)+1))</f>
        <v/>
      </c>
      <c r="C265" s="30" t="str">
        <f aca="false">IF($A265="","",IF(MOD(ROW()-2,2)=0,"qr","post"))</f>
        <v/>
      </c>
      <c r="D265" s="30" t="str">
        <f aca="false">IF($A265="","",IF(LEFT($A265,7)="SAMPLE-","SAMPLE-","")&amp;LOWER(SUBSTITUTE(SUBSTITUTE($A265,"SAMPLE-",""),"CMP-","c"))&amp;"-"&amp;LOWER(SUBSTITUTE(SUBSTITUTE($B265,"SAMPLE-",""),"O-","o"))&amp;"-"&amp;IF($C265="qr","q","p"))</f>
        <v/>
      </c>
      <c r="E265" s="30" t="str">
        <f aca="false">IF($A265="","","https://"&amp;config!$B$9&amp;"/"&amp;$D265)</f>
        <v/>
      </c>
      <c r="F265" s="30" t="str">
        <f aca="false">IF($A265="","",$A265&amp;"."&amp;$B265)</f>
        <v/>
      </c>
      <c r="G265" s="30" t="str">
        <f aca="false">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30" t="str">
        <f aca="false">IF(OR($A265="",$C265&lt;&gt;"qr"),"",$D265&amp;".png")</f>
        <v/>
      </c>
      <c r="I265" s="30" t="str">
        <f aca="true">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ustomFormat="false" ht="15" hidden="false" customHeight="false" outlineLevel="0" collapsed="false">
      <c r="A266" s="30" t="str">
        <f aca="false">IF(INDEX(approvals!$A$2:$A$251,INT((ROW()-2)/2)+1)="","",INDEX(approvals!$A$2:$A$251,INT((ROW()-2)/2)+1))</f>
        <v/>
      </c>
      <c r="B266" s="30" t="str">
        <f aca="false">IF(INDEX(approvals!$A$2:$A$251,INT((ROW()-2)/2)+1)="","",INDEX(approvals!$B$2:$B$251,INT((ROW()-2)/2)+1))</f>
        <v/>
      </c>
      <c r="C266" s="30" t="str">
        <f aca="false">IF($A266="","",IF(MOD(ROW()-2,2)=0,"qr","post"))</f>
        <v/>
      </c>
      <c r="D266" s="30" t="str">
        <f aca="false">IF($A266="","",IF(LEFT($A266,7)="SAMPLE-","SAMPLE-","")&amp;LOWER(SUBSTITUTE(SUBSTITUTE($A266,"SAMPLE-",""),"CMP-","c"))&amp;"-"&amp;LOWER(SUBSTITUTE(SUBSTITUTE($B266,"SAMPLE-",""),"O-","o"))&amp;"-"&amp;IF($C266="qr","q","p"))</f>
        <v/>
      </c>
      <c r="E266" s="30" t="str">
        <f aca="false">IF($A266="","","https://"&amp;config!$B$9&amp;"/"&amp;$D266)</f>
        <v/>
      </c>
      <c r="F266" s="30" t="str">
        <f aca="false">IF($A266="","",$A266&amp;"."&amp;$B266)</f>
        <v/>
      </c>
      <c r="G266" s="30" t="str">
        <f aca="false">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30" t="str">
        <f aca="false">IF(OR($A266="",$C266&lt;&gt;"qr"),"",$D266&amp;".png")</f>
        <v/>
      </c>
      <c r="I266" s="30" t="str">
        <f aca="true">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ustomFormat="false" ht="15" hidden="false" customHeight="false" outlineLevel="0" collapsed="false">
      <c r="A267" s="30" t="str">
        <f aca="false">IF(INDEX(approvals!$A$2:$A$251,INT((ROW()-2)/2)+1)="","",INDEX(approvals!$A$2:$A$251,INT((ROW()-2)/2)+1))</f>
        <v/>
      </c>
      <c r="B267" s="30" t="str">
        <f aca="false">IF(INDEX(approvals!$A$2:$A$251,INT((ROW()-2)/2)+1)="","",INDEX(approvals!$B$2:$B$251,INT((ROW()-2)/2)+1))</f>
        <v/>
      </c>
      <c r="C267" s="30" t="str">
        <f aca="false">IF($A267="","",IF(MOD(ROW()-2,2)=0,"qr","post"))</f>
        <v/>
      </c>
      <c r="D267" s="30" t="str">
        <f aca="false">IF($A267="","",IF(LEFT($A267,7)="SAMPLE-","SAMPLE-","")&amp;LOWER(SUBSTITUTE(SUBSTITUTE($A267,"SAMPLE-",""),"CMP-","c"))&amp;"-"&amp;LOWER(SUBSTITUTE(SUBSTITUTE($B267,"SAMPLE-",""),"O-","o"))&amp;"-"&amp;IF($C267="qr","q","p"))</f>
        <v/>
      </c>
      <c r="E267" s="30" t="str">
        <f aca="false">IF($A267="","","https://"&amp;config!$B$9&amp;"/"&amp;$D267)</f>
        <v/>
      </c>
      <c r="F267" s="30" t="str">
        <f aca="false">IF($A267="","",$A267&amp;"."&amp;$B267)</f>
        <v/>
      </c>
      <c r="G267" s="30" t="str">
        <f aca="false">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30" t="str">
        <f aca="false">IF(OR($A267="",$C267&lt;&gt;"qr"),"",$D267&amp;".png")</f>
        <v/>
      </c>
      <c r="I267" s="30" t="str">
        <f aca="true">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ustomFormat="false" ht="15" hidden="false" customHeight="false" outlineLevel="0" collapsed="false">
      <c r="A268" s="30" t="str">
        <f aca="false">IF(INDEX(approvals!$A$2:$A$251,INT((ROW()-2)/2)+1)="","",INDEX(approvals!$A$2:$A$251,INT((ROW()-2)/2)+1))</f>
        <v/>
      </c>
      <c r="B268" s="30" t="str">
        <f aca="false">IF(INDEX(approvals!$A$2:$A$251,INT((ROW()-2)/2)+1)="","",INDEX(approvals!$B$2:$B$251,INT((ROW()-2)/2)+1))</f>
        <v/>
      </c>
      <c r="C268" s="30" t="str">
        <f aca="false">IF($A268="","",IF(MOD(ROW()-2,2)=0,"qr","post"))</f>
        <v/>
      </c>
      <c r="D268" s="30" t="str">
        <f aca="false">IF($A268="","",IF(LEFT($A268,7)="SAMPLE-","SAMPLE-","")&amp;LOWER(SUBSTITUTE(SUBSTITUTE($A268,"SAMPLE-",""),"CMP-","c"))&amp;"-"&amp;LOWER(SUBSTITUTE(SUBSTITUTE($B268,"SAMPLE-",""),"O-","o"))&amp;"-"&amp;IF($C268="qr","q","p"))</f>
        <v/>
      </c>
      <c r="E268" s="30" t="str">
        <f aca="false">IF($A268="","","https://"&amp;config!$B$9&amp;"/"&amp;$D268)</f>
        <v/>
      </c>
      <c r="F268" s="30" t="str">
        <f aca="false">IF($A268="","",$A268&amp;"."&amp;$B268)</f>
        <v/>
      </c>
      <c r="G268" s="30" t="str">
        <f aca="false">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30" t="str">
        <f aca="false">IF(OR($A268="",$C268&lt;&gt;"qr"),"",$D268&amp;".png")</f>
        <v/>
      </c>
      <c r="I268" s="30" t="str">
        <f aca="true">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ustomFormat="false" ht="15" hidden="false" customHeight="false" outlineLevel="0" collapsed="false">
      <c r="A269" s="30" t="str">
        <f aca="false">IF(INDEX(approvals!$A$2:$A$251,INT((ROW()-2)/2)+1)="","",INDEX(approvals!$A$2:$A$251,INT((ROW()-2)/2)+1))</f>
        <v/>
      </c>
      <c r="B269" s="30" t="str">
        <f aca="false">IF(INDEX(approvals!$A$2:$A$251,INT((ROW()-2)/2)+1)="","",INDEX(approvals!$B$2:$B$251,INT((ROW()-2)/2)+1))</f>
        <v/>
      </c>
      <c r="C269" s="30" t="str">
        <f aca="false">IF($A269="","",IF(MOD(ROW()-2,2)=0,"qr","post"))</f>
        <v/>
      </c>
      <c r="D269" s="30" t="str">
        <f aca="false">IF($A269="","",IF(LEFT($A269,7)="SAMPLE-","SAMPLE-","")&amp;LOWER(SUBSTITUTE(SUBSTITUTE($A269,"SAMPLE-",""),"CMP-","c"))&amp;"-"&amp;LOWER(SUBSTITUTE(SUBSTITUTE($B269,"SAMPLE-",""),"O-","o"))&amp;"-"&amp;IF($C269="qr","q","p"))</f>
        <v/>
      </c>
      <c r="E269" s="30" t="str">
        <f aca="false">IF($A269="","","https://"&amp;config!$B$9&amp;"/"&amp;$D269)</f>
        <v/>
      </c>
      <c r="F269" s="30" t="str">
        <f aca="false">IF($A269="","",$A269&amp;"."&amp;$B269)</f>
        <v/>
      </c>
      <c r="G269" s="30" t="str">
        <f aca="false">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30" t="str">
        <f aca="false">IF(OR($A269="",$C269&lt;&gt;"qr"),"",$D269&amp;".png")</f>
        <v/>
      </c>
      <c r="I269" s="30" t="str">
        <f aca="true">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ustomFormat="false" ht="15" hidden="false" customHeight="false" outlineLevel="0" collapsed="false">
      <c r="A270" s="30" t="str">
        <f aca="false">IF(INDEX(approvals!$A$2:$A$251,INT((ROW()-2)/2)+1)="","",INDEX(approvals!$A$2:$A$251,INT((ROW()-2)/2)+1))</f>
        <v/>
      </c>
      <c r="B270" s="30" t="str">
        <f aca="false">IF(INDEX(approvals!$A$2:$A$251,INT((ROW()-2)/2)+1)="","",INDEX(approvals!$B$2:$B$251,INT((ROW()-2)/2)+1))</f>
        <v/>
      </c>
      <c r="C270" s="30" t="str">
        <f aca="false">IF($A270="","",IF(MOD(ROW()-2,2)=0,"qr","post"))</f>
        <v/>
      </c>
      <c r="D270" s="30" t="str">
        <f aca="false">IF($A270="","",IF(LEFT($A270,7)="SAMPLE-","SAMPLE-","")&amp;LOWER(SUBSTITUTE(SUBSTITUTE($A270,"SAMPLE-",""),"CMP-","c"))&amp;"-"&amp;LOWER(SUBSTITUTE(SUBSTITUTE($B270,"SAMPLE-",""),"O-","o"))&amp;"-"&amp;IF($C270="qr","q","p"))</f>
        <v/>
      </c>
      <c r="E270" s="30" t="str">
        <f aca="false">IF($A270="","","https://"&amp;config!$B$9&amp;"/"&amp;$D270)</f>
        <v/>
      </c>
      <c r="F270" s="30" t="str">
        <f aca="false">IF($A270="","",$A270&amp;"."&amp;$B270)</f>
        <v/>
      </c>
      <c r="G270" s="30" t="str">
        <f aca="false">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30" t="str">
        <f aca="false">IF(OR($A270="",$C270&lt;&gt;"qr"),"",$D270&amp;".png")</f>
        <v/>
      </c>
      <c r="I270" s="30" t="str">
        <f aca="true">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ustomFormat="false" ht="15" hidden="false" customHeight="false" outlineLevel="0" collapsed="false">
      <c r="A271" s="30" t="str">
        <f aca="false">IF(INDEX(approvals!$A$2:$A$251,INT((ROW()-2)/2)+1)="","",INDEX(approvals!$A$2:$A$251,INT((ROW()-2)/2)+1))</f>
        <v/>
      </c>
      <c r="B271" s="30" t="str">
        <f aca="false">IF(INDEX(approvals!$A$2:$A$251,INT((ROW()-2)/2)+1)="","",INDEX(approvals!$B$2:$B$251,INT((ROW()-2)/2)+1))</f>
        <v/>
      </c>
      <c r="C271" s="30" t="str">
        <f aca="false">IF($A271="","",IF(MOD(ROW()-2,2)=0,"qr","post"))</f>
        <v/>
      </c>
      <c r="D271" s="30" t="str">
        <f aca="false">IF($A271="","",IF(LEFT($A271,7)="SAMPLE-","SAMPLE-","")&amp;LOWER(SUBSTITUTE(SUBSTITUTE($A271,"SAMPLE-",""),"CMP-","c"))&amp;"-"&amp;LOWER(SUBSTITUTE(SUBSTITUTE($B271,"SAMPLE-",""),"O-","o"))&amp;"-"&amp;IF($C271="qr","q","p"))</f>
        <v/>
      </c>
      <c r="E271" s="30" t="str">
        <f aca="false">IF($A271="","","https://"&amp;config!$B$9&amp;"/"&amp;$D271)</f>
        <v/>
      </c>
      <c r="F271" s="30" t="str">
        <f aca="false">IF($A271="","",$A271&amp;"."&amp;$B271)</f>
        <v/>
      </c>
      <c r="G271" s="30" t="str">
        <f aca="false">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30" t="str">
        <f aca="false">IF(OR($A271="",$C271&lt;&gt;"qr"),"",$D271&amp;".png")</f>
        <v/>
      </c>
      <c r="I271" s="30" t="str">
        <f aca="true">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ustomFormat="false" ht="15" hidden="false" customHeight="false" outlineLevel="0" collapsed="false">
      <c r="A272" s="30" t="str">
        <f aca="false">IF(INDEX(approvals!$A$2:$A$251,INT((ROW()-2)/2)+1)="","",INDEX(approvals!$A$2:$A$251,INT((ROW()-2)/2)+1))</f>
        <v/>
      </c>
      <c r="B272" s="30" t="str">
        <f aca="false">IF(INDEX(approvals!$A$2:$A$251,INT((ROW()-2)/2)+1)="","",INDEX(approvals!$B$2:$B$251,INT((ROW()-2)/2)+1))</f>
        <v/>
      </c>
      <c r="C272" s="30" t="str">
        <f aca="false">IF($A272="","",IF(MOD(ROW()-2,2)=0,"qr","post"))</f>
        <v/>
      </c>
      <c r="D272" s="30" t="str">
        <f aca="false">IF($A272="","",IF(LEFT($A272,7)="SAMPLE-","SAMPLE-","")&amp;LOWER(SUBSTITUTE(SUBSTITUTE($A272,"SAMPLE-",""),"CMP-","c"))&amp;"-"&amp;LOWER(SUBSTITUTE(SUBSTITUTE($B272,"SAMPLE-",""),"O-","o"))&amp;"-"&amp;IF($C272="qr","q","p"))</f>
        <v/>
      </c>
      <c r="E272" s="30" t="str">
        <f aca="false">IF($A272="","","https://"&amp;config!$B$9&amp;"/"&amp;$D272)</f>
        <v/>
      </c>
      <c r="F272" s="30" t="str">
        <f aca="false">IF($A272="","",$A272&amp;"."&amp;$B272)</f>
        <v/>
      </c>
      <c r="G272" s="30" t="str">
        <f aca="false">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30" t="str">
        <f aca="false">IF(OR($A272="",$C272&lt;&gt;"qr"),"",$D272&amp;".png")</f>
        <v/>
      </c>
      <c r="I272" s="30" t="str">
        <f aca="true">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ustomFormat="false" ht="15" hidden="false" customHeight="false" outlineLevel="0" collapsed="false">
      <c r="A273" s="30" t="str">
        <f aca="false">IF(INDEX(approvals!$A$2:$A$251,INT((ROW()-2)/2)+1)="","",INDEX(approvals!$A$2:$A$251,INT((ROW()-2)/2)+1))</f>
        <v/>
      </c>
      <c r="B273" s="30" t="str">
        <f aca="false">IF(INDEX(approvals!$A$2:$A$251,INT((ROW()-2)/2)+1)="","",INDEX(approvals!$B$2:$B$251,INT((ROW()-2)/2)+1))</f>
        <v/>
      </c>
      <c r="C273" s="30" t="str">
        <f aca="false">IF($A273="","",IF(MOD(ROW()-2,2)=0,"qr","post"))</f>
        <v/>
      </c>
      <c r="D273" s="30" t="str">
        <f aca="false">IF($A273="","",IF(LEFT($A273,7)="SAMPLE-","SAMPLE-","")&amp;LOWER(SUBSTITUTE(SUBSTITUTE($A273,"SAMPLE-",""),"CMP-","c"))&amp;"-"&amp;LOWER(SUBSTITUTE(SUBSTITUTE($B273,"SAMPLE-",""),"O-","o"))&amp;"-"&amp;IF($C273="qr","q","p"))</f>
        <v/>
      </c>
      <c r="E273" s="30" t="str">
        <f aca="false">IF($A273="","","https://"&amp;config!$B$9&amp;"/"&amp;$D273)</f>
        <v/>
      </c>
      <c r="F273" s="30" t="str">
        <f aca="false">IF($A273="","",$A273&amp;"."&amp;$B273)</f>
        <v/>
      </c>
      <c r="G273" s="30" t="str">
        <f aca="false">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30" t="str">
        <f aca="false">IF(OR($A273="",$C273&lt;&gt;"qr"),"",$D273&amp;".png")</f>
        <v/>
      </c>
      <c r="I273" s="30" t="str">
        <f aca="true">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ustomFormat="false" ht="15" hidden="false" customHeight="false" outlineLevel="0" collapsed="false">
      <c r="A274" s="30" t="str">
        <f aca="false">IF(INDEX(approvals!$A$2:$A$251,INT((ROW()-2)/2)+1)="","",INDEX(approvals!$A$2:$A$251,INT((ROW()-2)/2)+1))</f>
        <v/>
      </c>
      <c r="B274" s="30" t="str">
        <f aca="false">IF(INDEX(approvals!$A$2:$A$251,INT((ROW()-2)/2)+1)="","",INDEX(approvals!$B$2:$B$251,INT((ROW()-2)/2)+1))</f>
        <v/>
      </c>
      <c r="C274" s="30" t="str">
        <f aca="false">IF($A274="","",IF(MOD(ROW()-2,2)=0,"qr","post"))</f>
        <v/>
      </c>
      <c r="D274" s="30" t="str">
        <f aca="false">IF($A274="","",IF(LEFT($A274,7)="SAMPLE-","SAMPLE-","")&amp;LOWER(SUBSTITUTE(SUBSTITUTE($A274,"SAMPLE-",""),"CMP-","c"))&amp;"-"&amp;LOWER(SUBSTITUTE(SUBSTITUTE($B274,"SAMPLE-",""),"O-","o"))&amp;"-"&amp;IF($C274="qr","q","p"))</f>
        <v/>
      </c>
      <c r="E274" s="30" t="str">
        <f aca="false">IF($A274="","","https://"&amp;config!$B$9&amp;"/"&amp;$D274)</f>
        <v/>
      </c>
      <c r="F274" s="30" t="str">
        <f aca="false">IF($A274="","",$A274&amp;"."&amp;$B274)</f>
        <v/>
      </c>
      <c r="G274" s="30" t="str">
        <f aca="false">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30" t="str">
        <f aca="false">IF(OR($A274="",$C274&lt;&gt;"qr"),"",$D274&amp;".png")</f>
        <v/>
      </c>
      <c r="I274" s="30" t="str">
        <f aca="true">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ustomFormat="false" ht="15" hidden="false" customHeight="false" outlineLevel="0" collapsed="false">
      <c r="A275" s="30" t="str">
        <f aca="false">IF(INDEX(approvals!$A$2:$A$251,INT((ROW()-2)/2)+1)="","",INDEX(approvals!$A$2:$A$251,INT((ROW()-2)/2)+1))</f>
        <v/>
      </c>
      <c r="B275" s="30" t="str">
        <f aca="false">IF(INDEX(approvals!$A$2:$A$251,INT((ROW()-2)/2)+1)="","",INDEX(approvals!$B$2:$B$251,INT((ROW()-2)/2)+1))</f>
        <v/>
      </c>
      <c r="C275" s="30" t="str">
        <f aca="false">IF($A275="","",IF(MOD(ROW()-2,2)=0,"qr","post"))</f>
        <v/>
      </c>
      <c r="D275" s="30" t="str">
        <f aca="false">IF($A275="","",IF(LEFT($A275,7)="SAMPLE-","SAMPLE-","")&amp;LOWER(SUBSTITUTE(SUBSTITUTE($A275,"SAMPLE-",""),"CMP-","c"))&amp;"-"&amp;LOWER(SUBSTITUTE(SUBSTITUTE($B275,"SAMPLE-",""),"O-","o"))&amp;"-"&amp;IF($C275="qr","q","p"))</f>
        <v/>
      </c>
      <c r="E275" s="30" t="str">
        <f aca="false">IF($A275="","","https://"&amp;config!$B$9&amp;"/"&amp;$D275)</f>
        <v/>
      </c>
      <c r="F275" s="30" t="str">
        <f aca="false">IF($A275="","",$A275&amp;"."&amp;$B275)</f>
        <v/>
      </c>
      <c r="G275" s="30" t="str">
        <f aca="false">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30" t="str">
        <f aca="false">IF(OR($A275="",$C275&lt;&gt;"qr"),"",$D275&amp;".png")</f>
        <v/>
      </c>
      <c r="I275" s="30" t="str">
        <f aca="true">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ustomFormat="false" ht="15" hidden="false" customHeight="false" outlineLevel="0" collapsed="false">
      <c r="A276" s="30" t="str">
        <f aca="false">IF(INDEX(approvals!$A$2:$A$251,INT((ROW()-2)/2)+1)="","",INDEX(approvals!$A$2:$A$251,INT((ROW()-2)/2)+1))</f>
        <v/>
      </c>
      <c r="B276" s="30" t="str">
        <f aca="false">IF(INDEX(approvals!$A$2:$A$251,INT((ROW()-2)/2)+1)="","",INDEX(approvals!$B$2:$B$251,INT((ROW()-2)/2)+1))</f>
        <v/>
      </c>
      <c r="C276" s="30" t="str">
        <f aca="false">IF($A276="","",IF(MOD(ROW()-2,2)=0,"qr","post"))</f>
        <v/>
      </c>
      <c r="D276" s="30" t="str">
        <f aca="false">IF($A276="","",IF(LEFT($A276,7)="SAMPLE-","SAMPLE-","")&amp;LOWER(SUBSTITUTE(SUBSTITUTE($A276,"SAMPLE-",""),"CMP-","c"))&amp;"-"&amp;LOWER(SUBSTITUTE(SUBSTITUTE($B276,"SAMPLE-",""),"O-","o"))&amp;"-"&amp;IF($C276="qr","q","p"))</f>
        <v/>
      </c>
      <c r="E276" s="30" t="str">
        <f aca="false">IF($A276="","","https://"&amp;config!$B$9&amp;"/"&amp;$D276)</f>
        <v/>
      </c>
      <c r="F276" s="30" t="str">
        <f aca="false">IF($A276="","",$A276&amp;"."&amp;$B276)</f>
        <v/>
      </c>
      <c r="G276" s="30" t="str">
        <f aca="false">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30" t="str">
        <f aca="false">IF(OR($A276="",$C276&lt;&gt;"qr"),"",$D276&amp;".png")</f>
        <v/>
      </c>
      <c r="I276" s="30" t="str">
        <f aca="true">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ustomFormat="false" ht="15" hidden="false" customHeight="false" outlineLevel="0" collapsed="false">
      <c r="A277" s="30" t="str">
        <f aca="false">IF(INDEX(approvals!$A$2:$A$251,INT((ROW()-2)/2)+1)="","",INDEX(approvals!$A$2:$A$251,INT((ROW()-2)/2)+1))</f>
        <v/>
      </c>
      <c r="B277" s="30" t="str">
        <f aca="false">IF(INDEX(approvals!$A$2:$A$251,INT((ROW()-2)/2)+1)="","",INDEX(approvals!$B$2:$B$251,INT((ROW()-2)/2)+1))</f>
        <v/>
      </c>
      <c r="C277" s="30" t="str">
        <f aca="false">IF($A277="","",IF(MOD(ROW()-2,2)=0,"qr","post"))</f>
        <v/>
      </c>
      <c r="D277" s="30" t="str">
        <f aca="false">IF($A277="","",IF(LEFT($A277,7)="SAMPLE-","SAMPLE-","")&amp;LOWER(SUBSTITUTE(SUBSTITUTE($A277,"SAMPLE-",""),"CMP-","c"))&amp;"-"&amp;LOWER(SUBSTITUTE(SUBSTITUTE($B277,"SAMPLE-",""),"O-","o"))&amp;"-"&amp;IF($C277="qr","q","p"))</f>
        <v/>
      </c>
      <c r="E277" s="30" t="str">
        <f aca="false">IF($A277="","","https://"&amp;config!$B$9&amp;"/"&amp;$D277)</f>
        <v/>
      </c>
      <c r="F277" s="30" t="str">
        <f aca="false">IF($A277="","",$A277&amp;"."&amp;$B277)</f>
        <v/>
      </c>
      <c r="G277" s="30" t="str">
        <f aca="false">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30" t="str">
        <f aca="false">IF(OR($A277="",$C277&lt;&gt;"qr"),"",$D277&amp;".png")</f>
        <v/>
      </c>
      <c r="I277" s="30" t="str">
        <f aca="true">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ustomFormat="false" ht="15" hidden="false" customHeight="false" outlineLevel="0" collapsed="false">
      <c r="A278" s="30" t="str">
        <f aca="false">IF(INDEX(approvals!$A$2:$A$251,INT((ROW()-2)/2)+1)="","",INDEX(approvals!$A$2:$A$251,INT((ROW()-2)/2)+1))</f>
        <v/>
      </c>
      <c r="B278" s="30" t="str">
        <f aca="false">IF(INDEX(approvals!$A$2:$A$251,INT((ROW()-2)/2)+1)="","",INDEX(approvals!$B$2:$B$251,INT((ROW()-2)/2)+1))</f>
        <v/>
      </c>
      <c r="C278" s="30" t="str">
        <f aca="false">IF($A278="","",IF(MOD(ROW()-2,2)=0,"qr","post"))</f>
        <v/>
      </c>
      <c r="D278" s="30" t="str">
        <f aca="false">IF($A278="","",IF(LEFT($A278,7)="SAMPLE-","SAMPLE-","")&amp;LOWER(SUBSTITUTE(SUBSTITUTE($A278,"SAMPLE-",""),"CMP-","c"))&amp;"-"&amp;LOWER(SUBSTITUTE(SUBSTITUTE($B278,"SAMPLE-",""),"O-","o"))&amp;"-"&amp;IF($C278="qr","q","p"))</f>
        <v/>
      </c>
      <c r="E278" s="30" t="str">
        <f aca="false">IF($A278="","","https://"&amp;config!$B$9&amp;"/"&amp;$D278)</f>
        <v/>
      </c>
      <c r="F278" s="30" t="str">
        <f aca="false">IF($A278="","",$A278&amp;"."&amp;$B278)</f>
        <v/>
      </c>
      <c r="G278" s="30" t="str">
        <f aca="false">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30" t="str">
        <f aca="false">IF(OR($A278="",$C278&lt;&gt;"qr"),"",$D278&amp;".png")</f>
        <v/>
      </c>
      <c r="I278" s="30" t="str">
        <f aca="true">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ustomFormat="false" ht="15" hidden="false" customHeight="false" outlineLevel="0" collapsed="false">
      <c r="A279" s="30" t="str">
        <f aca="false">IF(INDEX(approvals!$A$2:$A$251,INT((ROW()-2)/2)+1)="","",INDEX(approvals!$A$2:$A$251,INT((ROW()-2)/2)+1))</f>
        <v/>
      </c>
      <c r="B279" s="30" t="str">
        <f aca="false">IF(INDEX(approvals!$A$2:$A$251,INT((ROW()-2)/2)+1)="","",INDEX(approvals!$B$2:$B$251,INT((ROW()-2)/2)+1))</f>
        <v/>
      </c>
      <c r="C279" s="30" t="str">
        <f aca="false">IF($A279="","",IF(MOD(ROW()-2,2)=0,"qr","post"))</f>
        <v/>
      </c>
      <c r="D279" s="30" t="str">
        <f aca="false">IF($A279="","",IF(LEFT($A279,7)="SAMPLE-","SAMPLE-","")&amp;LOWER(SUBSTITUTE(SUBSTITUTE($A279,"SAMPLE-",""),"CMP-","c"))&amp;"-"&amp;LOWER(SUBSTITUTE(SUBSTITUTE($B279,"SAMPLE-",""),"O-","o"))&amp;"-"&amp;IF($C279="qr","q","p"))</f>
        <v/>
      </c>
      <c r="E279" s="30" t="str">
        <f aca="false">IF($A279="","","https://"&amp;config!$B$9&amp;"/"&amp;$D279)</f>
        <v/>
      </c>
      <c r="F279" s="30" t="str">
        <f aca="false">IF($A279="","",$A279&amp;"."&amp;$B279)</f>
        <v/>
      </c>
      <c r="G279" s="30" t="str">
        <f aca="false">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30" t="str">
        <f aca="false">IF(OR($A279="",$C279&lt;&gt;"qr"),"",$D279&amp;".png")</f>
        <v/>
      </c>
      <c r="I279" s="30" t="str">
        <f aca="true">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ustomFormat="false" ht="15" hidden="false" customHeight="false" outlineLevel="0" collapsed="false">
      <c r="A280" s="30" t="str">
        <f aca="false">IF(INDEX(approvals!$A$2:$A$251,INT((ROW()-2)/2)+1)="","",INDEX(approvals!$A$2:$A$251,INT((ROW()-2)/2)+1))</f>
        <v/>
      </c>
      <c r="B280" s="30" t="str">
        <f aca="false">IF(INDEX(approvals!$A$2:$A$251,INT((ROW()-2)/2)+1)="","",INDEX(approvals!$B$2:$B$251,INT((ROW()-2)/2)+1))</f>
        <v/>
      </c>
      <c r="C280" s="30" t="str">
        <f aca="false">IF($A280="","",IF(MOD(ROW()-2,2)=0,"qr","post"))</f>
        <v/>
      </c>
      <c r="D280" s="30" t="str">
        <f aca="false">IF($A280="","",IF(LEFT($A280,7)="SAMPLE-","SAMPLE-","")&amp;LOWER(SUBSTITUTE(SUBSTITUTE($A280,"SAMPLE-",""),"CMP-","c"))&amp;"-"&amp;LOWER(SUBSTITUTE(SUBSTITUTE($B280,"SAMPLE-",""),"O-","o"))&amp;"-"&amp;IF($C280="qr","q","p"))</f>
        <v/>
      </c>
      <c r="E280" s="30" t="str">
        <f aca="false">IF($A280="","","https://"&amp;config!$B$9&amp;"/"&amp;$D280)</f>
        <v/>
      </c>
      <c r="F280" s="30" t="str">
        <f aca="false">IF($A280="","",$A280&amp;"."&amp;$B280)</f>
        <v/>
      </c>
      <c r="G280" s="30" t="str">
        <f aca="false">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30" t="str">
        <f aca="false">IF(OR($A280="",$C280&lt;&gt;"qr"),"",$D280&amp;".png")</f>
        <v/>
      </c>
      <c r="I280" s="30" t="str">
        <f aca="true">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ustomFormat="false" ht="15" hidden="false" customHeight="false" outlineLevel="0" collapsed="false">
      <c r="A281" s="30" t="str">
        <f aca="false">IF(INDEX(approvals!$A$2:$A$251,INT((ROW()-2)/2)+1)="","",INDEX(approvals!$A$2:$A$251,INT((ROW()-2)/2)+1))</f>
        <v/>
      </c>
      <c r="B281" s="30" t="str">
        <f aca="false">IF(INDEX(approvals!$A$2:$A$251,INT((ROW()-2)/2)+1)="","",INDEX(approvals!$B$2:$B$251,INT((ROW()-2)/2)+1))</f>
        <v/>
      </c>
      <c r="C281" s="30" t="str">
        <f aca="false">IF($A281="","",IF(MOD(ROW()-2,2)=0,"qr","post"))</f>
        <v/>
      </c>
      <c r="D281" s="30" t="str">
        <f aca="false">IF($A281="","",IF(LEFT($A281,7)="SAMPLE-","SAMPLE-","")&amp;LOWER(SUBSTITUTE(SUBSTITUTE($A281,"SAMPLE-",""),"CMP-","c"))&amp;"-"&amp;LOWER(SUBSTITUTE(SUBSTITUTE($B281,"SAMPLE-",""),"O-","o"))&amp;"-"&amp;IF($C281="qr","q","p"))</f>
        <v/>
      </c>
      <c r="E281" s="30" t="str">
        <f aca="false">IF($A281="","","https://"&amp;config!$B$9&amp;"/"&amp;$D281)</f>
        <v/>
      </c>
      <c r="F281" s="30" t="str">
        <f aca="false">IF($A281="","",$A281&amp;"."&amp;$B281)</f>
        <v/>
      </c>
      <c r="G281" s="30" t="str">
        <f aca="false">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30" t="str">
        <f aca="false">IF(OR($A281="",$C281&lt;&gt;"qr"),"",$D281&amp;".png")</f>
        <v/>
      </c>
      <c r="I281" s="30" t="str">
        <f aca="true">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ustomFormat="false" ht="15" hidden="false" customHeight="false" outlineLevel="0" collapsed="false">
      <c r="A282" s="30" t="str">
        <f aca="false">IF(INDEX(approvals!$A$2:$A$251,INT((ROW()-2)/2)+1)="","",INDEX(approvals!$A$2:$A$251,INT((ROW()-2)/2)+1))</f>
        <v/>
      </c>
      <c r="B282" s="30" t="str">
        <f aca="false">IF(INDEX(approvals!$A$2:$A$251,INT((ROW()-2)/2)+1)="","",INDEX(approvals!$B$2:$B$251,INT((ROW()-2)/2)+1))</f>
        <v/>
      </c>
      <c r="C282" s="30" t="str">
        <f aca="false">IF($A282="","",IF(MOD(ROW()-2,2)=0,"qr","post"))</f>
        <v/>
      </c>
      <c r="D282" s="30" t="str">
        <f aca="false">IF($A282="","",IF(LEFT($A282,7)="SAMPLE-","SAMPLE-","")&amp;LOWER(SUBSTITUTE(SUBSTITUTE($A282,"SAMPLE-",""),"CMP-","c"))&amp;"-"&amp;LOWER(SUBSTITUTE(SUBSTITUTE($B282,"SAMPLE-",""),"O-","o"))&amp;"-"&amp;IF($C282="qr","q","p"))</f>
        <v/>
      </c>
      <c r="E282" s="30" t="str">
        <f aca="false">IF($A282="","","https://"&amp;config!$B$9&amp;"/"&amp;$D282)</f>
        <v/>
      </c>
      <c r="F282" s="30" t="str">
        <f aca="false">IF($A282="","",$A282&amp;"."&amp;$B282)</f>
        <v/>
      </c>
      <c r="G282" s="30" t="str">
        <f aca="false">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30" t="str">
        <f aca="false">IF(OR($A282="",$C282&lt;&gt;"qr"),"",$D282&amp;".png")</f>
        <v/>
      </c>
      <c r="I282" s="30" t="str">
        <f aca="true">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ustomFormat="false" ht="15" hidden="false" customHeight="false" outlineLevel="0" collapsed="false">
      <c r="A283" s="30" t="str">
        <f aca="false">IF(INDEX(approvals!$A$2:$A$251,INT((ROW()-2)/2)+1)="","",INDEX(approvals!$A$2:$A$251,INT((ROW()-2)/2)+1))</f>
        <v/>
      </c>
      <c r="B283" s="30" t="str">
        <f aca="false">IF(INDEX(approvals!$A$2:$A$251,INT((ROW()-2)/2)+1)="","",INDEX(approvals!$B$2:$B$251,INT((ROW()-2)/2)+1))</f>
        <v/>
      </c>
      <c r="C283" s="30" t="str">
        <f aca="false">IF($A283="","",IF(MOD(ROW()-2,2)=0,"qr","post"))</f>
        <v/>
      </c>
      <c r="D283" s="30" t="str">
        <f aca="false">IF($A283="","",IF(LEFT($A283,7)="SAMPLE-","SAMPLE-","")&amp;LOWER(SUBSTITUTE(SUBSTITUTE($A283,"SAMPLE-",""),"CMP-","c"))&amp;"-"&amp;LOWER(SUBSTITUTE(SUBSTITUTE($B283,"SAMPLE-",""),"O-","o"))&amp;"-"&amp;IF($C283="qr","q","p"))</f>
        <v/>
      </c>
      <c r="E283" s="30" t="str">
        <f aca="false">IF($A283="","","https://"&amp;config!$B$9&amp;"/"&amp;$D283)</f>
        <v/>
      </c>
      <c r="F283" s="30" t="str">
        <f aca="false">IF($A283="","",$A283&amp;"."&amp;$B283)</f>
        <v/>
      </c>
      <c r="G283" s="30" t="str">
        <f aca="false">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30" t="str">
        <f aca="false">IF(OR($A283="",$C283&lt;&gt;"qr"),"",$D283&amp;".png")</f>
        <v/>
      </c>
      <c r="I283" s="30" t="str">
        <f aca="true">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ustomFormat="false" ht="15" hidden="false" customHeight="false" outlineLevel="0" collapsed="false">
      <c r="A284" s="30" t="str">
        <f aca="false">IF(INDEX(approvals!$A$2:$A$251,INT((ROW()-2)/2)+1)="","",INDEX(approvals!$A$2:$A$251,INT((ROW()-2)/2)+1))</f>
        <v/>
      </c>
      <c r="B284" s="30" t="str">
        <f aca="false">IF(INDEX(approvals!$A$2:$A$251,INT((ROW()-2)/2)+1)="","",INDEX(approvals!$B$2:$B$251,INT((ROW()-2)/2)+1))</f>
        <v/>
      </c>
      <c r="C284" s="30" t="str">
        <f aca="false">IF($A284="","",IF(MOD(ROW()-2,2)=0,"qr","post"))</f>
        <v/>
      </c>
      <c r="D284" s="30" t="str">
        <f aca="false">IF($A284="","",IF(LEFT($A284,7)="SAMPLE-","SAMPLE-","")&amp;LOWER(SUBSTITUTE(SUBSTITUTE($A284,"SAMPLE-",""),"CMP-","c"))&amp;"-"&amp;LOWER(SUBSTITUTE(SUBSTITUTE($B284,"SAMPLE-",""),"O-","o"))&amp;"-"&amp;IF($C284="qr","q","p"))</f>
        <v/>
      </c>
      <c r="E284" s="30" t="str">
        <f aca="false">IF($A284="","","https://"&amp;config!$B$9&amp;"/"&amp;$D284)</f>
        <v/>
      </c>
      <c r="F284" s="30" t="str">
        <f aca="false">IF($A284="","",$A284&amp;"."&amp;$B284)</f>
        <v/>
      </c>
      <c r="G284" s="30" t="str">
        <f aca="false">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30" t="str">
        <f aca="false">IF(OR($A284="",$C284&lt;&gt;"qr"),"",$D284&amp;".png")</f>
        <v/>
      </c>
      <c r="I284" s="30" t="str">
        <f aca="true">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ustomFormat="false" ht="15" hidden="false" customHeight="false" outlineLevel="0" collapsed="false">
      <c r="A285" s="30" t="str">
        <f aca="false">IF(INDEX(approvals!$A$2:$A$251,INT((ROW()-2)/2)+1)="","",INDEX(approvals!$A$2:$A$251,INT((ROW()-2)/2)+1))</f>
        <v/>
      </c>
      <c r="B285" s="30" t="str">
        <f aca="false">IF(INDEX(approvals!$A$2:$A$251,INT((ROW()-2)/2)+1)="","",INDEX(approvals!$B$2:$B$251,INT((ROW()-2)/2)+1))</f>
        <v/>
      </c>
      <c r="C285" s="30" t="str">
        <f aca="false">IF($A285="","",IF(MOD(ROW()-2,2)=0,"qr","post"))</f>
        <v/>
      </c>
      <c r="D285" s="30" t="str">
        <f aca="false">IF($A285="","",IF(LEFT($A285,7)="SAMPLE-","SAMPLE-","")&amp;LOWER(SUBSTITUTE(SUBSTITUTE($A285,"SAMPLE-",""),"CMP-","c"))&amp;"-"&amp;LOWER(SUBSTITUTE(SUBSTITUTE($B285,"SAMPLE-",""),"O-","o"))&amp;"-"&amp;IF($C285="qr","q","p"))</f>
        <v/>
      </c>
      <c r="E285" s="30" t="str">
        <f aca="false">IF($A285="","","https://"&amp;config!$B$9&amp;"/"&amp;$D285)</f>
        <v/>
      </c>
      <c r="F285" s="30" t="str">
        <f aca="false">IF($A285="","",$A285&amp;"."&amp;$B285)</f>
        <v/>
      </c>
      <c r="G285" s="30" t="str">
        <f aca="false">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30" t="str">
        <f aca="false">IF(OR($A285="",$C285&lt;&gt;"qr"),"",$D285&amp;".png")</f>
        <v/>
      </c>
      <c r="I285" s="30" t="str">
        <f aca="true">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ustomFormat="false" ht="15" hidden="false" customHeight="false" outlineLevel="0" collapsed="false">
      <c r="A286" s="30" t="str">
        <f aca="false">IF(INDEX(approvals!$A$2:$A$251,INT((ROW()-2)/2)+1)="","",INDEX(approvals!$A$2:$A$251,INT((ROW()-2)/2)+1))</f>
        <v/>
      </c>
      <c r="B286" s="30" t="str">
        <f aca="false">IF(INDEX(approvals!$A$2:$A$251,INT((ROW()-2)/2)+1)="","",INDEX(approvals!$B$2:$B$251,INT((ROW()-2)/2)+1))</f>
        <v/>
      </c>
      <c r="C286" s="30" t="str">
        <f aca="false">IF($A286="","",IF(MOD(ROW()-2,2)=0,"qr","post"))</f>
        <v/>
      </c>
      <c r="D286" s="30" t="str">
        <f aca="false">IF($A286="","",IF(LEFT($A286,7)="SAMPLE-","SAMPLE-","")&amp;LOWER(SUBSTITUTE(SUBSTITUTE($A286,"SAMPLE-",""),"CMP-","c"))&amp;"-"&amp;LOWER(SUBSTITUTE(SUBSTITUTE($B286,"SAMPLE-",""),"O-","o"))&amp;"-"&amp;IF($C286="qr","q","p"))</f>
        <v/>
      </c>
      <c r="E286" s="30" t="str">
        <f aca="false">IF($A286="","","https://"&amp;config!$B$9&amp;"/"&amp;$D286)</f>
        <v/>
      </c>
      <c r="F286" s="30" t="str">
        <f aca="false">IF($A286="","",$A286&amp;"."&amp;$B286)</f>
        <v/>
      </c>
      <c r="G286" s="30" t="str">
        <f aca="false">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30" t="str">
        <f aca="false">IF(OR($A286="",$C286&lt;&gt;"qr"),"",$D286&amp;".png")</f>
        <v/>
      </c>
      <c r="I286" s="30" t="str">
        <f aca="true">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ustomFormat="false" ht="15" hidden="false" customHeight="false" outlineLevel="0" collapsed="false">
      <c r="A287" s="30" t="str">
        <f aca="false">IF(INDEX(approvals!$A$2:$A$251,INT((ROW()-2)/2)+1)="","",INDEX(approvals!$A$2:$A$251,INT((ROW()-2)/2)+1))</f>
        <v/>
      </c>
      <c r="B287" s="30" t="str">
        <f aca="false">IF(INDEX(approvals!$A$2:$A$251,INT((ROW()-2)/2)+1)="","",INDEX(approvals!$B$2:$B$251,INT((ROW()-2)/2)+1))</f>
        <v/>
      </c>
      <c r="C287" s="30" t="str">
        <f aca="false">IF($A287="","",IF(MOD(ROW()-2,2)=0,"qr","post"))</f>
        <v/>
      </c>
      <c r="D287" s="30" t="str">
        <f aca="false">IF($A287="","",IF(LEFT($A287,7)="SAMPLE-","SAMPLE-","")&amp;LOWER(SUBSTITUTE(SUBSTITUTE($A287,"SAMPLE-",""),"CMP-","c"))&amp;"-"&amp;LOWER(SUBSTITUTE(SUBSTITUTE($B287,"SAMPLE-",""),"O-","o"))&amp;"-"&amp;IF($C287="qr","q","p"))</f>
        <v/>
      </c>
      <c r="E287" s="30" t="str">
        <f aca="false">IF($A287="","","https://"&amp;config!$B$9&amp;"/"&amp;$D287)</f>
        <v/>
      </c>
      <c r="F287" s="30" t="str">
        <f aca="false">IF($A287="","",$A287&amp;"."&amp;$B287)</f>
        <v/>
      </c>
      <c r="G287" s="30" t="str">
        <f aca="false">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30" t="str">
        <f aca="false">IF(OR($A287="",$C287&lt;&gt;"qr"),"",$D287&amp;".png")</f>
        <v/>
      </c>
      <c r="I287" s="30" t="str">
        <f aca="true">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ustomFormat="false" ht="15" hidden="false" customHeight="false" outlineLevel="0" collapsed="false">
      <c r="A288" s="30" t="str">
        <f aca="false">IF(INDEX(approvals!$A$2:$A$251,INT((ROW()-2)/2)+1)="","",INDEX(approvals!$A$2:$A$251,INT((ROW()-2)/2)+1))</f>
        <v/>
      </c>
      <c r="B288" s="30" t="str">
        <f aca="false">IF(INDEX(approvals!$A$2:$A$251,INT((ROW()-2)/2)+1)="","",INDEX(approvals!$B$2:$B$251,INT((ROW()-2)/2)+1))</f>
        <v/>
      </c>
      <c r="C288" s="30" t="str">
        <f aca="false">IF($A288="","",IF(MOD(ROW()-2,2)=0,"qr","post"))</f>
        <v/>
      </c>
      <c r="D288" s="30" t="str">
        <f aca="false">IF($A288="","",IF(LEFT($A288,7)="SAMPLE-","SAMPLE-","")&amp;LOWER(SUBSTITUTE(SUBSTITUTE($A288,"SAMPLE-",""),"CMP-","c"))&amp;"-"&amp;LOWER(SUBSTITUTE(SUBSTITUTE($B288,"SAMPLE-",""),"O-","o"))&amp;"-"&amp;IF($C288="qr","q","p"))</f>
        <v/>
      </c>
      <c r="E288" s="30" t="str">
        <f aca="false">IF($A288="","","https://"&amp;config!$B$9&amp;"/"&amp;$D288)</f>
        <v/>
      </c>
      <c r="F288" s="30" t="str">
        <f aca="false">IF($A288="","",$A288&amp;"."&amp;$B288)</f>
        <v/>
      </c>
      <c r="G288" s="30" t="str">
        <f aca="false">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30" t="str">
        <f aca="false">IF(OR($A288="",$C288&lt;&gt;"qr"),"",$D288&amp;".png")</f>
        <v/>
      </c>
      <c r="I288" s="30" t="str">
        <f aca="true">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ustomFormat="false" ht="15" hidden="false" customHeight="false" outlineLevel="0" collapsed="false">
      <c r="A289" s="30" t="str">
        <f aca="false">IF(INDEX(approvals!$A$2:$A$251,INT((ROW()-2)/2)+1)="","",INDEX(approvals!$A$2:$A$251,INT((ROW()-2)/2)+1))</f>
        <v/>
      </c>
      <c r="B289" s="30" t="str">
        <f aca="false">IF(INDEX(approvals!$A$2:$A$251,INT((ROW()-2)/2)+1)="","",INDEX(approvals!$B$2:$B$251,INT((ROW()-2)/2)+1))</f>
        <v/>
      </c>
      <c r="C289" s="30" t="str">
        <f aca="false">IF($A289="","",IF(MOD(ROW()-2,2)=0,"qr","post"))</f>
        <v/>
      </c>
      <c r="D289" s="30" t="str">
        <f aca="false">IF($A289="","",IF(LEFT($A289,7)="SAMPLE-","SAMPLE-","")&amp;LOWER(SUBSTITUTE(SUBSTITUTE($A289,"SAMPLE-",""),"CMP-","c"))&amp;"-"&amp;LOWER(SUBSTITUTE(SUBSTITUTE($B289,"SAMPLE-",""),"O-","o"))&amp;"-"&amp;IF($C289="qr","q","p"))</f>
        <v/>
      </c>
      <c r="E289" s="30" t="str">
        <f aca="false">IF($A289="","","https://"&amp;config!$B$9&amp;"/"&amp;$D289)</f>
        <v/>
      </c>
      <c r="F289" s="30" t="str">
        <f aca="false">IF($A289="","",$A289&amp;"."&amp;$B289)</f>
        <v/>
      </c>
      <c r="G289" s="30" t="str">
        <f aca="false">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30" t="str">
        <f aca="false">IF(OR($A289="",$C289&lt;&gt;"qr"),"",$D289&amp;".png")</f>
        <v/>
      </c>
      <c r="I289" s="30" t="str">
        <f aca="true">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ustomFormat="false" ht="15" hidden="false" customHeight="false" outlineLevel="0" collapsed="false">
      <c r="A290" s="30" t="str">
        <f aca="false">IF(INDEX(approvals!$A$2:$A$251,INT((ROW()-2)/2)+1)="","",INDEX(approvals!$A$2:$A$251,INT((ROW()-2)/2)+1))</f>
        <v/>
      </c>
      <c r="B290" s="30" t="str">
        <f aca="false">IF(INDEX(approvals!$A$2:$A$251,INT((ROW()-2)/2)+1)="","",INDEX(approvals!$B$2:$B$251,INT((ROW()-2)/2)+1))</f>
        <v/>
      </c>
      <c r="C290" s="30" t="str">
        <f aca="false">IF($A290="","",IF(MOD(ROW()-2,2)=0,"qr","post"))</f>
        <v/>
      </c>
      <c r="D290" s="30" t="str">
        <f aca="false">IF($A290="","",IF(LEFT($A290,7)="SAMPLE-","SAMPLE-","")&amp;LOWER(SUBSTITUTE(SUBSTITUTE($A290,"SAMPLE-",""),"CMP-","c"))&amp;"-"&amp;LOWER(SUBSTITUTE(SUBSTITUTE($B290,"SAMPLE-",""),"O-","o"))&amp;"-"&amp;IF($C290="qr","q","p"))</f>
        <v/>
      </c>
      <c r="E290" s="30" t="str">
        <f aca="false">IF($A290="","","https://"&amp;config!$B$9&amp;"/"&amp;$D290)</f>
        <v/>
      </c>
      <c r="F290" s="30" t="str">
        <f aca="false">IF($A290="","",$A290&amp;"."&amp;$B290)</f>
        <v/>
      </c>
      <c r="G290" s="30" t="str">
        <f aca="false">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30" t="str">
        <f aca="false">IF(OR($A290="",$C290&lt;&gt;"qr"),"",$D290&amp;".png")</f>
        <v/>
      </c>
      <c r="I290" s="30" t="str">
        <f aca="true">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ustomFormat="false" ht="15" hidden="false" customHeight="false" outlineLevel="0" collapsed="false">
      <c r="A291" s="30" t="str">
        <f aca="false">IF(INDEX(approvals!$A$2:$A$251,INT((ROW()-2)/2)+1)="","",INDEX(approvals!$A$2:$A$251,INT((ROW()-2)/2)+1))</f>
        <v/>
      </c>
      <c r="B291" s="30" t="str">
        <f aca="false">IF(INDEX(approvals!$A$2:$A$251,INT((ROW()-2)/2)+1)="","",INDEX(approvals!$B$2:$B$251,INT((ROW()-2)/2)+1))</f>
        <v/>
      </c>
      <c r="C291" s="30" t="str">
        <f aca="false">IF($A291="","",IF(MOD(ROW()-2,2)=0,"qr","post"))</f>
        <v/>
      </c>
      <c r="D291" s="30" t="str">
        <f aca="false">IF($A291="","",IF(LEFT($A291,7)="SAMPLE-","SAMPLE-","")&amp;LOWER(SUBSTITUTE(SUBSTITUTE($A291,"SAMPLE-",""),"CMP-","c"))&amp;"-"&amp;LOWER(SUBSTITUTE(SUBSTITUTE($B291,"SAMPLE-",""),"O-","o"))&amp;"-"&amp;IF($C291="qr","q","p"))</f>
        <v/>
      </c>
      <c r="E291" s="30" t="str">
        <f aca="false">IF($A291="","","https://"&amp;config!$B$9&amp;"/"&amp;$D291)</f>
        <v/>
      </c>
      <c r="F291" s="30" t="str">
        <f aca="false">IF($A291="","",$A291&amp;"."&amp;$B291)</f>
        <v/>
      </c>
      <c r="G291" s="30" t="str">
        <f aca="false">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30" t="str">
        <f aca="false">IF(OR($A291="",$C291&lt;&gt;"qr"),"",$D291&amp;".png")</f>
        <v/>
      </c>
      <c r="I291" s="30" t="str">
        <f aca="true">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ustomFormat="false" ht="15" hidden="false" customHeight="false" outlineLevel="0" collapsed="false">
      <c r="A292" s="30" t="str">
        <f aca="false">IF(INDEX(approvals!$A$2:$A$251,INT((ROW()-2)/2)+1)="","",INDEX(approvals!$A$2:$A$251,INT((ROW()-2)/2)+1))</f>
        <v/>
      </c>
      <c r="B292" s="30" t="str">
        <f aca="false">IF(INDEX(approvals!$A$2:$A$251,INT((ROW()-2)/2)+1)="","",INDEX(approvals!$B$2:$B$251,INT((ROW()-2)/2)+1))</f>
        <v/>
      </c>
      <c r="C292" s="30" t="str">
        <f aca="false">IF($A292="","",IF(MOD(ROW()-2,2)=0,"qr","post"))</f>
        <v/>
      </c>
      <c r="D292" s="30" t="str">
        <f aca="false">IF($A292="","",IF(LEFT($A292,7)="SAMPLE-","SAMPLE-","")&amp;LOWER(SUBSTITUTE(SUBSTITUTE($A292,"SAMPLE-",""),"CMP-","c"))&amp;"-"&amp;LOWER(SUBSTITUTE(SUBSTITUTE($B292,"SAMPLE-",""),"O-","o"))&amp;"-"&amp;IF($C292="qr","q","p"))</f>
        <v/>
      </c>
      <c r="E292" s="30" t="str">
        <f aca="false">IF($A292="","","https://"&amp;config!$B$9&amp;"/"&amp;$D292)</f>
        <v/>
      </c>
      <c r="F292" s="30" t="str">
        <f aca="false">IF($A292="","",$A292&amp;"."&amp;$B292)</f>
        <v/>
      </c>
      <c r="G292" s="30" t="str">
        <f aca="false">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30" t="str">
        <f aca="false">IF(OR($A292="",$C292&lt;&gt;"qr"),"",$D292&amp;".png")</f>
        <v/>
      </c>
      <c r="I292" s="30" t="str">
        <f aca="true">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ustomFormat="false" ht="15" hidden="false" customHeight="false" outlineLevel="0" collapsed="false">
      <c r="A293" s="30" t="str">
        <f aca="false">IF(INDEX(approvals!$A$2:$A$251,INT((ROW()-2)/2)+1)="","",INDEX(approvals!$A$2:$A$251,INT((ROW()-2)/2)+1))</f>
        <v/>
      </c>
      <c r="B293" s="30" t="str">
        <f aca="false">IF(INDEX(approvals!$A$2:$A$251,INT((ROW()-2)/2)+1)="","",INDEX(approvals!$B$2:$B$251,INT((ROW()-2)/2)+1))</f>
        <v/>
      </c>
      <c r="C293" s="30" t="str">
        <f aca="false">IF($A293="","",IF(MOD(ROW()-2,2)=0,"qr","post"))</f>
        <v/>
      </c>
      <c r="D293" s="30" t="str">
        <f aca="false">IF($A293="","",IF(LEFT($A293,7)="SAMPLE-","SAMPLE-","")&amp;LOWER(SUBSTITUTE(SUBSTITUTE($A293,"SAMPLE-",""),"CMP-","c"))&amp;"-"&amp;LOWER(SUBSTITUTE(SUBSTITUTE($B293,"SAMPLE-",""),"O-","o"))&amp;"-"&amp;IF($C293="qr","q","p"))</f>
        <v/>
      </c>
      <c r="E293" s="30" t="str">
        <f aca="false">IF($A293="","","https://"&amp;config!$B$9&amp;"/"&amp;$D293)</f>
        <v/>
      </c>
      <c r="F293" s="30" t="str">
        <f aca="false">IF($A293="","",$A293&amp;"."&amp;$B293)</f>
        <v/>
      </c>
      <c r="G293" s="30" t="str">
        <f aca="false">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30" t="str">
        <f aca="false">IF(OR($A293="",$C293&lt;&gt;"qr"),"",$D293&amp;".png")</f>
        <v/>
      </c>
      <c r="I293" s="30" t="str">
        <f aca="true">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ustomFormat="false" ht="15" hidden="false" customHeight="false" outlineLevel="0" collapsed="false">
      <c r="A294" s="30" t="str">
        <f aca="false">IF(INDEX(approvals!$A$2:$A$251,INT((ROW()-2)/2)+1)="","",INDEX(approvals!$A$2:$A$251,INT((ROW()-2)/2)+1))</f>
        <v/>
      </c>
      <c r="B294" s="30" t="str">
        <f aca="false">IF(INDEX(approvals!$A$2:$A$251,INT((ROW()-2)/2)+1)="","",INDEX(approvals!$B$2:$B$251,INT((ROW()-2)/2)+1))</f>
        <v/>
      </c>
      <c r="C294" s="30" t="str">
        <f aca="false">IF($A294="","",IF(MOD(ROW()-2,2)=0,"qr","post"))</f>
        <v/>
      </c>
      <c r="D294" s="30" t="str">
        <f aca="false">IF($A294="","",IF(LEFT($A294,7)="SAMPLE-","SAMPLE-","")&amp;LOWER(SUBSTITUTE(SUBSTITUTE($A294,"SAMPLE-",""),"CMP-","c"))&amp;"-"&amp;LOWER(SUBSTITUTE(SUBSTITUTE($B294,"SAMPLE-",""),"O-","o"))&amp;"-"&amp;IF($C294="qr","q","p"))</f>
        <v/>
      </c>
      <c r="E294" s="30" t="str">
        <f aca="false">IF($A294="","","https://"&amp;config!$B$9&amp;"/"&amp;$D294)</f>
        <v/>
      </c>
      <c r="F294" s="30" t="str">
        <f aca="false">IF($A294="","",$A294&amp;"."&amp;$B294)</f>
        <v/>
      </c>
      <c r="G294" s="30" t="str">
        <f aca="false">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30" t="str">
        <f aca="false">IF(OR($A294="",$C294&lt;&gt;"qr"),"",$D294&amp;".png")</f>
        <v/>
      </c>
      <c r="I294" s="30" t="str">
        <f aca="true">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ustomFormat="false" ht="15" hidden="false" customHeight="false" outlineLevel="0" collapsed="false">
      <c r="A295" s="30" t="str">
        <f aca="false">IF(INDEX(approvals!$A$2:$A$251,INT((ROW()-2)/2)+1)="","",INDEX(approvals!$A$2:$A$251,INT((ROW()-2)/2)+1))</f>
        <v/>
      </c>
      <c r="B295" s="30" t="str">
        <f aca="false">IF(INDEX(approvals!$A$2:$A$251,INT((ROW()-2)/2)+1)="","",INDEX(approvals!$B$2:$B$251,INT((ROW()-2)/2)+1))</f>
        <v/>
      </c>
      <c r="C295" s="30" t="str">
        <f aca="false">IF($A295="","",IF(MOD(ROW()-2,2)=0,"qr","post"))</f>
        <v/>
      </c>
      <c r="D295" s="30" t="str">
        <f aca="false">IF($A295="","",IF(LEFT($A295,7)="SAMPLE-","SAMPLE-","")&amp;LOWER(SUBSTITUTE(SUBSTITUTE($A295,"SAMPLE-",""),"CMP-","c"))&amp;"-"&amp;LOWER(SUBSTITUTE(SUBSTITUTE($B295,"SAMPLE-",""),"O-","o"))&amp;"-"&amp;IF($C295="qr","q","p"))</f>
        <v/>
      </c>
      <c r="E295" s="30" t="str">
        <f aca="false">IF($A295="","","https://"&amp;config!$B$9&amp;"/"&amp;$D295)</f>
        <v/>
      </c>
      <c r="F295" s="30" t="str">
        <f aca="false">IF($A295="","",$A295&amp;"."&amp;$B295)</f>
        <v/>
      </c>
      <c r="G295" s="30" t="str">
        <f aca="false">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30" t="str">
        <f aca="false">IF(OR($A295="",$C295&lt;&gt;"qr"),"",$D295&amp;".png")</f>
        <v/>
      </c>
      <c r="I295" s="30" t="str">
        <f aca="true">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ustomFormat="false" ht="15" hidden="false" customHeight="false" outlineLevel="0" collapsed="false">
      <c r="A296" s="30" t="str">
        <f aca="false">IF(INDEX(approvals!$A$2:$A$251,INT((ROW()-2)/2)+1)="","",INDEX(approvals!$A$2:$A$251,INT((ROW()-2)/2)+1))</f>
        <v/>
      </c>
      <c r="B296" s="30" t="str">
        <f aca="false">IF(INDEX(approvals!$A$2:$A$251,INT((ROW()-2)/2)+1)="","",INDEX(approvals!$B$2:$B$251,INT((ROW()-2)/2)+1))</f>
        <v/>
      </c>
      <c r="C296" s="30" t="str">
        <f aca="false">IF($A296="","",IF(MOD(ROW()-2,2)=0,"qr","post"))</f>
        <v/>
      </c>
      <c r="D296" s="30" t="str">
        <f aca="false">IF($A296="","",IF(LEFT($A296,7)="SAMPLE-","SAMPLE-","")&amp;LOWER(SUBSTITUTE(SUBSTITUTE($A296,"SAMPLE-",""),"CMP-","c"))&amp;"-"&amp;LOWER(SUBSTITUTE(SUBSTITUTE($B296,"SAMPLE-",""),"O-","o"))&amp;"-"&amp;IF($C296="qr","q","p"))</f>
        <v/>
      </c>
      <c r="E296" s="30" t="str">
        <f aca="false">IF($A296="","","https://"&amp;config!$B$9&amp;"/"&amp;$D296)</f>
        <v/>
      </c>
      <c r="F296" s="30" t="str">
        <f aca="false">IF($A296="","",$A296&amp;"."&amp;$B296)</f>
        <v/>
      </c>
      <c r="G296" s="30" t="str">
        <f aca="false">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30" t="str">
        <f aca="false">IF(OR($A296="",$C296&lt;&gt;"qr"),"",$D296&amp;".png")</f>
        <v/>
      </c>
      <c r="I296" s="30" t="str">
        <f aca="true">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ustomFormat="false" ht="15" hidden="false" customHeight="false" outlineLevel="0" collapsed="false">
      <c r="A297" s="30" t="str">
        <f aca="false">IF(INDEX(approvals!$A$2:$A$251,INT((ROW()-2)/2)+1)="","",INDEX(approvals!$A$2:$A$251,INT((ROW()-2)/2)+1))</f>
        <v/>
      </c>
      <c r="B297" s="30" t="str">
        <f aca="false">IF(INDEX(approvals!$A$2:$A$251,INT((ROW()-2)/2)+1)="","",INDEX(approvals!$B$2:$B$251,INT((ROW()-2)/2)+1))</f>
        <v/>
      </c>
      <c r="C297" s="30" t="str">
        <f aca="false">IF($A297="","",IF(MOD(ROW()-2,2)=0,"qr","post"))</f>
        <v/>
      </c>
      <c r="D297" s="30" t="str">
        <f aca="false">IF($A297="","",IF(LEFT($A297,7)="SAMPLE-","SAMPLE-","")&amp;LOWER(SUBSTITUTE(SUBSTITUTE($A297,"SAMPLE-",""),"CMP-","c"))&amp;"-"&amp;LOWER(SUBSTITUTE(SUBSTITUTE($B297,"SAMPLE-",""),"O-","o"))&amp;"-"&amp;IF($C297="qr","q","p"))</f>
        <v/>
      </c>
      <c r="E297" s="30" t="str">
        <f aca="false">IF($A297="","","https://"&amp;config!$B$9&amp;"/"&amp;$D297)</f>
        <v/>
      </c>
      <c r="F297" s="30" t="str">
        <f aca="false">IF($A297="","",$A297&amp;"."&amp;$B297)</f>
        <v/>
      </c>
      <c r="G297" s="30" t="str">
        <f aca="false">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30" t="str">
        <f aca="false">IF(OR($A297="",$C297&lt;&gt;"qr"),"",$D297&amp;".png")</f>
        <v/>
      </c>
      <c r="I297" s="30" t="str">
        <f aca="true">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ustomFormat="false" ht="15" hidden="false" customHeight="false" outlineLevel="0" collapsed="false">
      <c r="A298" s="30" t="str">
        <f aca="false">IF(INDEX(approvals!$A$2:$A$251,INT((ROW()-2)/2)+1)="","",INDEX(approvals!$A$2:$A$251,INT((ROW()-2)/2)+1))</f>
        <v/>
      </c>
      <c r="B298" s="30" t="str">
        <f aca="false">IF(INDEX(approvals!$A$2:$A$251,INT((ROW()-2)/2)+1)="","",INDEX(approvals!$B$2:$B$251,INT((ROW()-2)/2)+1))</f>
        <v/>
      </c>
      <c r="C298" s="30" t="str">
        <f aca="false">IF($A298="","",IF(MOD(ROW()-2,2)=0,"qr","post"))</f>
        <v/>
      </c>
      <c r="D298" s="30" t="str">
        <f aca="false">IF($A298="","",IF(LEFT($A298,7)="SAMPLE-","SAMPLE-","")&amp;LOWER(SUBSTITUTE(SUBSTITUTE($A298,"SAMPLE-",""),"CMP-","c"))&amp;"-"&amp;LOWER(SUBSTITUTE(SUBSTITUTE($B298,"SAMPLE-",""),"O-","o"))&amp;"-"&amp;IF($C298="qr","q","p"))</f>
        <v/>
      </c>
      <c r="E298" s="30" t="str">
        <f aca="false">IF($A298="","","https://"&amp;config!$B$9&amp;"/"&amp;$D298)</f>
        <v/>
      </c>
      <c r="F298" s="30" t="str">
        <f aca="false">IF($A298="","",$A298&amp;"."&amp;$B298)</f>
        <v/>
      </c>
      <c r="G298" s="30" t="str">
        <f aca="false">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30" t="str">
        <f aca="false">IF(OR($A298="",$C298&lt;&gt;"qr"),"",$D298&amp;".png")</f>
        <v/>
      </c>
      <c r="I298" s="30" t="str">
        <f aca="true">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ustomFormat="false" ht="15" hidden="false" customHeight="false" outlineLevel="0" collapsed="false">
      <c r="A299" s="30" t="str">
        <f aca="false">IF(INDEX(approvals!$A$2:$A$251,INT((ROW()-2)/2)+1)="","",INDEX(approvals!$A$2:$A$251,INT((ROW()-2)/2)+1))</f>
        <v/>
      </c>
      <c r="B299" s="30" t="str">
        <f aca="false">IF(INDEX(approvals!$A$2:$A$251,INT((ROW()-2)/2)+1)="","",INDEX(approvals!$B$2:$B$251,INT((ROW()-2)/2)+1))</f>
        <v/>
      </c>
      <c r="C299" s="30" t="str">
        <f aca="false">IF($A299="","",IF(MOD(ROW()-2,2)=0,"qr","post"))</f>
        <v/>
      </c>
      <c r="D299" s="30" t="str">
        <f aca="false">IF($A299="","",IF(LEFT($A299,7)="SAMPLE-","SAMPLE-","")&amp;LOWER(SUBSTITUTE(SUBSTITUTE($A299,"SAMPLE-",""),"CMP-","c"))&amp;"-"&amp;LOWER(SUBSTITUTE(SUBSTITUTE($B299,"SAMPLE-",""),"O-","o"))&amp;"-"&amp;IF($C299="qr","q","p"))</f>
        <v/>
      </c>
      <c r="E299" s="30" t="str">
        <f aca="false">IF($A299="","","https://"&amp;config!$B$9&amp;"/"&amp;$D299)</f>
        <v/>
      </c>
      <c r="F299" s="30" t="str">
        <f aca="false">IF($A299="","",$A299&amp;"."&amp;$B299)</f>
        <v/>
      </c>
      <c r="G299" s="30" t="str">
        <f aca="false">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30" t="str">
        <f aca="false">IF(OR($A299="",$C299&lt;&gt;"qr"),"",$D299&amp;".png")</f>
        <v/>
      </c>
      <c r="I299" s="30" t="str">
        <f aca="true">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ustomFormat="false" ht="15" hidden="false" customHeight="false" outlineLevel="0" collapsed="false">
      <c r="A300" s="30" t="str">
        <f aca="false">IF(INDEX(approvals!$A$2:$A$251,INT((ROW()-2)/2)+1)="","",INDEX(approvals!$A$2:$A$251,INT((ROW()-2)/2)+1))</f>
        <v/>
      </c>
      <c r="B300" s="30" t="str">
        <f aca="false">IF(INDEX(approvals!$A$2:$A$251,INT((ROW()-2)/2)+1)="","",INDEX(approvals!$B$2:$B$251,INT((ROW()-2)/2)+1))</f>
        <v/>
      </c>
      <c r="C300" s="30" t="str">
        <f aca="false">IF($A300="","",IF(MOD(ROW()-2,2)=0,"qr","post"))</f>
        <v/>
      </c>
      <c r="D300" s="30" t="str">
        <f aca="false">IF($A300="","",IF(LEFT($A300,7)="SAMPLE-","SAMPLE-","")&amp;LOWER(SUBSTITUTE(SUBSTITUTE($A300,"SAMPLE-",""),"CMP-","c"))&amp;"-"&amp;LOWER(SUBSTITUTE(SUBSTITUTE($B300,"SAMPLE-",""),"O-","o"))&amp;"-"&amp;IF($C300="qr","q","p"))</f>
        <v/>
      </c>
      <c r="E300" s="30" t="str">
        <f aca="false">IF($A300="","","https://"&amp;config!$B$9&amp;"/"&amp;$D300)</f>
        <v/>
      </c>
      <c r="F300" s="30" t="str">
        <f aca="false">IF($A300="","",$A300&amp;"."&amp;$B300)</f>
        <v/>
      </c>
      <c r="G300" s="30" t="str">
        <f aca="false">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30" t="str">
        <f aca="false">IF(OR($A300="",$C300&lt;&gt;"qr"),"",$D300&amp;".png")</f>
        <v/>
      </c>
      <c r="I300" s="30" t="str">
        <f aca="true">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ustomFormat="false" ht="15" hidden="false" customHeight="false" outlineLevel="0" collapsed="false">
      <c r="A301" s="30" t="str">
        <f aca="false">IF(INDEX(approvals!$A$2:$A$251,INT((ROW()-2)/2)+1)="","",INDEX(approvals!$A$2:$A$251,INT((ROW()-2)/2)+1))</f>
        <v/>
      </c>
      <c r="B301" s="30" t="str">
        <f aca="false">IF(INDEX(approvals!$A$2:$A$251,INT((ROW()-2)/2)+1)="","",INDEX(approvals!$B$2:$B$251,INT((ROW()-2)/2)+1))</f>
        <v/>
      </c>
      <c r="C301" s="30" t="str">
        <f aca="false">IF($A301="","",IF(MOD(ROW()-2,2)=0,"qr","post"))</f>
        <v/>
      </c>
      <c r="D301" s="30" t="str">
        <f aca="false">IF($A301="","",IF(LEFT($A301,7)="SAMPLE-","SAMPLE-","")&amp;LOWER(SUBSTITUTE(SUBSTITUTE($A301,"SAMPLE-",""),"CMP-","c"))&amp;"-"&amp;LOWER(SUBSTITUTE(SUBSTITUTE($B301,"SAMPLE-",""),"O-","o"))&amp;"-"&amp;IF($C301="qr","q","p"))</f>
        <v/>
      </c>
      <c r="E301" s="30" t="str">
        <f aca="false">IF($A301="","","https://"&amp;config!$B$9&amp;"/"&amp;$D301)</f>
        <v/>
      </c>
      <c r="F301" s="30" t="str">
        <f aca="false">IF($A301="","",$A301&amp;"."&amp;$B301)</f>
        <v/>
      </c>
      <c r="G301" s="30" t="str">
        <f aca="false">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30" t="str">
        <f aca="false">IF(OR($A301="",$C301&lt;&gt;"qr"),"",$D301&amp;".png")</f>
        <v/>
      </c>
      <c r="I301" s="30" t="str">
        <f aca="true">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ustomFormat="false" ht="15" hidden="false" customHeight="false" outlineLevel="0" collapsed="false">
      <c r="A302" s="30" t="str">
        <f aca="false">IF(INDEX(approvals!$A$2:$A$251,INT((ROW()-2)/2)+1)="","",INDEX(approvals!$A$2:$A$251,INT((ROW()-2)/2)+1))</f>
        <v/>
      </c>
      <c r="B302" s="30" t="str">
        <f aca="false">IF(INDEX(approvals!$A$2:$A$251,INT((ROW()-2)/2)+1)="","",INDEX(approvals!$B$2:$B$251,INT((ROW()-2)/2)+1))</f>
        <v/>
      </c>
      <c r="C302" s="30" t="str">
        <f aca="false">IF($A302="","",IF(MOD(ROW()-2,2)=0,"qr","post"))</f>
        <v/>
      </c>
      <c r="D302" s="30" t="str">
        <f aca="false">IF($A302="","",IF(LEFT($A302,7)="SAMPLE-","SAMPLE-","")&amp;LOWER(SUBSTITUTE(SUBSTITUTE($A302,"SAMPLE-",""),"CMP-","c"))&amp;"-"&amp;LOWER(SUBSTITUTE(SUBSTITUTE($B302,"SAMPLE-",""),"O-","o"))&amp;"-"&amp;IF($C302="qr","q","p"))</f>
        <v/>
      </c>
      <c r="E302" s="30" t="str">
        <f aca="false">IF($A302="","","https://"&amp;config!$B$9&amp;"/"&amp;$D302)</f>
        <v/>
      </c>
      <c r="F302" s="30" t="str">
        <f aca="false">IF($A302="","",$A302&amp;"."&amp;$B302)</f>
        <v/>
      </c>
      <c r="G302" s="30" t="str">
        <f aca="false">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30" t="str">
        <f aca="false">IF(OR($A302="",$C302&lt;&gt;"qr"),"",$D302&amp;".png")</f>
        <v/>
      </c>
      <c r="I302" s="30" t="str">
        <f aca="true">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ustomFormat="false" ht="15" hidden="false" customHeight="false" outlineLevel="0" collapsed="false">
      <c r="A303" s="30" t="str">
        <f aca="false">IF(INDEX(approvals!$A$2:$A$251,INT((ROW()-2)/2)+1)="","",INDEX(approvals!$A$2:$A$251,INT((ROW()-2)/2)+1))</f>
        <v/>
      </c>
      <c r="B303" s="30" t="str">
        <f aca="false">IF(INDEX(approvals!$A$2:$A$251,INT((ROW()-2)/2)+1)="","",INDEX(approvals!$B$2:$B$251,INT((ROW()-2)/2)+1))</f>
        <v/>
      </c>
      <c r="C303" s="30" t="str">
        <f aca="false">IF($A303="","",IF(MOD(ROW()-2,2)=0,"qr","post"))</f>
        <v/>
      </c>
      <c r="D303" s="30" t="str">
        <f aca="false">IF($A303="","",IF(LEFT($A303,7)="SAMPLE-","SAMPLE-","")&amp;LOWER(SUBSTITUTE(SUBSTITUTE($A303,"SAMPLE-",""),"CMP-","c"))&amp;"-"&amp;LOWER(SUBSTITUTE(SUBSTITUTE($B303,"SAMPLE-",""),"O-","o"))&amp;"-"&amp;IF($C303="qr","q","p"))</f>
        <v/>
      </c>
      <c r="E303" s="30" t="str">
        <f aca="false">IF($A303="","","https://"&amp;config!$B$9&amp;"/"&amp;$D303)</f>
        <v/>
      </c>
      <c r="F303" s="30" t="str">
        <f aca="false">IF($A303="","",$A303&amp;"."&amp;$B303)</f>
        <v/>
      </c>
      <c r="G303" s="30" t="str">
        <f aca="false">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30" t="str">
        <f aca="false">IF(OR($A303="",$C303&lt;&gt;"qr"),"",$D303&amp;".png")</f>
        <v/>
      </c>
      <c r="I303" s="30" t="str">
        <f aca="true">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ustomFormat="false" ht="15" hidden="false" customHeight="false" outlineLevel="0" collapsed="false">
      <c r="A304" s="30" t="str">
        <f aca="false">IF(INDEX(approvals!$A$2:$A$251,INT((ROW()-2)/2)+1)="","",INDEX(approvals!$A$2:$A$251,INT((ROW()-2)/2)+1))</f>
        <v/>
      </c>
      <c r="B304" s="30" t="str">
        <f aca="false">IF(INDEX(approvals!$A$2:$A$251,INT((ROW()-2)/2)+1)="","",INDEX(approvals!$B$2:$B$251,INT((ROW()-2)/2)+1))</f>
        <v/>
      </c>
      <c r="C304" s="30" t="str">
        <f aca="false">IF($A304="","",IF(MOD(ROW()-2,2)=0,"qr","post"))</f>
        <v/>
      </c>
      <c r="D304" s="30" t="str">
        <f aca="false">IF($A304="","",IF(LEFT($A304,7)="SAMPLE-","SAMPLE-","")&amp;LOWER(SUBSTITUTE(SUBSTITUTE($A304,"SAMPLE-",""),"CMP-","c"))&amp;"-"&amp;LOWER(SUBSTITUTE(SUBSTITUTE($B304,"SAMPLE-",""),"O-","o"))&amp;"-"&amp;IF($C304="qr","q","p"))</f>
        <v/>
      </c>
      <c r="E304" s="30" t="str">
        <f aca="false">IF($A304="","","https://"&amp;config!$B$9&amp;"/"&amp;$D304)</f>
        <v/>
      </c>
      <c r="F304" s="30" t="str">
        <f aca="false">IF($A304="","",$A304&amp;"."&amp;$B304)</f>
        <v/>
      </c>
      <c r="G304" s="30" t="str">
        <f aca="false">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30" t="str">
        <f aca="false">IF(OR($A304="",$C304&lt;&gt;"qr"),"",$D304&amp;".png")</f>
        <v/>
      </c>
      <c r="I304" s="30" t="str">
        <f aca="true">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ustomFormat="false" ht="15" hidden="false" customHeight="false" outlineLevel="0" collapsed="false">
      <c r="A305" s="30" t="str">
        <f aca="false">IF(INDEX(approvals!$A$2:$A$251,INT((ROW()-2)/2)+1)="","",INDEX(approvals!$A$2:$A$251,INT((ROW()-2)/2)+1))</f>
        <v/>
      </c>
      <c r="B305" s="30" t="str">
        <f aca="false">IF(INDEX(approvals!$A$2:$A$251,INT((ROW()-2)/2)+1)="","",INDEX(approvals!$B$2:$B$251,INT((ROW()-2)/2)+1))</f>
        <v/>
      </c>
      <c r="C305" s="30" t="str">
        <f aca="false">IF($A305="","",IF(MOD(ROW()-2,2)=0,"qr","post"))</f>
        <v/>
      </c>
      <c r="D305" s="30" t="str">
        <f aca="false">IF($A305="","",IF(LEFT($A305,7)="SAMPLE-","SAMPLE-","")&amp;LOWER(SUBSTITUTE(SUBSTITUTE($A305,"SAMPLE-",""),"CMP-","c"))&amp;"-"&amp;LOWER(SUBSTITUTE(SUBSTITUTE($B305,"SAMPLE-",""),"O-","o"))&amp;"-"&amp;IF($C305="qr","q","p"))</f>
        <v/>
      </c>
      <c r="E305" s="30" t="str">
        <f aca="false">IF($A305="","","https://"&amp;config!$B$9&amp;"/"&amp;$D305)</f>
        <v/>
      </c>
      <c r="F305" s="30" t="str">
        <f aca="false">IF($A305="","",$A305&amp;"."&amp;$B305)</f>
        <v/>
      </c>
      <c r="G305" s="30" t="str">
        <f aca="false">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30" t="str">
        <f aca="false">IF(OR($A305="",$C305&lt;&gt;"qr"),"",$D305&amp;".png")</f>
        <v/>
      </c>
      <c r="I305" s="30" t="str">
        <f aca="true">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ustomFormat="false" ht="15" hidden="false" customHeight="false" outlineLevel="0" collapsed="false">
      <c r="A306" s="30" t="str">
        <f aca="false">IF(INDEX(approvals!$A$2:$A$251,INT((ROW()-2)/2)+1)="","",INDEX(approvals!$A$2:$A$251,INT((ROW()-2)/2)+1))</f>
        <v/>
      </c>
      <c r="B306" s="30" t="str">
        <f aca="false">IF(INDEX(approvals!$A$2:$A$251,INT((ROW()-2)/2)+1)="","",INDEX(approvals!$B$2:$B$251,INT((ROW()-2)/2)+1))</f>
        <v/>
      </c>
      <c r="C306" s="30" t="str">
        <f aca="false">IF($A306="","",IF(MOD(ROW()-2,2)=0,"qr","post"))</f>
        <v/>
      </c>
      <c r="D306" s="30" t="str">
        <f aca="false">IF($A306="","",IF(LEFT($A306,7)="SAMPLE-","SAMPLE-","")&amp;LOWER(SUBSTITUTE(SUBSTITUTE($A306,"SAMPLE-",""),"CMP-","c"))&amp;"-"&amp;LOWER(SUBSTITUTE(SUBSTITUTE($B306,"SAMPLE-",""),"O-","o"))&amp;"-"&amp;IF($C306="qr","q","p"))</f>
        <v/>
      </c>
      <c r="E306" s="30" t="str">
        <f aca="false">IF($A306="","","https://"&amp;config!$B$9&amp;"/"&amp;$D306)</f>
        <v/>
      </c>
      <c r="F306" s="30" t="str">
        <f aca="false">IF($A306="","",$A306&amp;"."&amp;$B306)</f>
        <v/>
      </c>
      <c r="G306" s="30" t="str">
        <f aca="false">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30" t="str">
        <f aca="false">IF(OR($A306="",$C306&lt;&gt;"qr"),"",$D306&amp;".png")</f>
        <v/>
      </c>
      <c r="I306" s="30" t="str">
        <f aca="true">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ustomFormat="false" ht="15" hidden="false" customHeight="false" outlineLevel="0" collapsed="false">
      <c r="A307" s="30" t="str">
        <f aca="false">IF(INDEX(approvals!$A$2:$A$251,INT((ROW()-2)/2)+1)="","",INDEX(approvals!$A$2:$A$251,INT((ROW()-2)/2)+1))</f>
        <v/>
      </c>
      <c r="B307" s="30" t="str">
        <f aca="false">IF(INDEX(approvals!$A$2:$A$251,INT((ROW()-2)/2)+1)="","",INDEX(approvals!$B$2:$B$251,INT((ROW()-2)/2)+1))</f>
        <v/>
      </c>
      <c r="C307" s="30" t="str">
        <f aca="false">IF($A307="","",IF(MOD(ROW()-2,2)=0,"qr","post"))</f>
        <v/>
      </c>
      <c r="D307" s="30" t="str">
        <f aca="false">IF($A307="","",IF(LEFT($A307,7)="SAMPLE-","SAMPLE-","")&amp;LOWER(SUBSTITUTE(SUBSTITUTE($A307,"SAMPLE-",""),"CMP-","c"))&amp;"-"&amp;LOWER(SUBSTITUTE(SUBSTITUTE($B307,"SAMPLE-",""),"O-","o"))&amp;"-"&amp;IF($C307="qr","q","p"))</f>
        <v/>
      </c>
      <c r="E307" s="30" t="str">
        <f aca="false">IF($A307="","","https://"&amp;config!$B$9&amp;"/"&amp;$D307)</f>
        <v/>
      </c>
      <c r="F307" s="30" t="str">
        <f aca="false">IF($A307="","",$A307&amp;"."&amp;$B307)</f>
        <v/>
      </c>
      <c r="G307" s="30" t="str">
        <f aca="false">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30" t="str">
        <f aca="false">IF(OR($A307="",$C307&lt;&gt;"qr"),"",$D307&amp;".png")</f>
        <v/>
      </c>
      <c r="I307" s="30" t="str">
        <f aca="true">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ustomFormat="false" ht="15" hidden="false" customHeight="false" outlineLevel="0" collapsed="false">
      <c r="A308" s="30" t="str">
        <f aca="false">IF(INDEX(approvals!$A$2:$A$251,INT((ROW()-2)/2)+1)="","",INDEX(approvals!$A$2:$A$251,INT((ROW()-2)/2)+1))</f>
        <v/>
      </c>
      <c r="B308" s="30" t="str">
        <f aca="false">IF(INDEX(approvals!$A$2:$A$251,INT((ROW()-2)/2)+1)="","",INDEX(approvals!$B$2:$B$251,INT((ROW()-2)/2)+1))</f>
        <v/>
      </c>
      <c r="C308" s="30" t="str">
        <f aca="false">IF($A308="","",IF(MOD(ROW()-2,2)=0,"qr","post"))</f>
        <v/>
      </c>
      <c r="D308" s="30" t="str">
        <f aca="false">IF($A308="","",IF(LEFT($A308,7)="SAMPLE-","SAMPLE-","")&amp;LOWER(SUBSTITUTE(SUBSTITUTE($A308,"SAMPLE-",""),"CMP-","c"))&amp;"-"&amp;LOWER(SUBSTITUTE(SUBSTITUTE($B308,"SAMPLE-",""),"O-","o"))&amp;"-"&amp;IF($C308="qr","q","p"))</f>
        <v/>
      </c>
      <c r="E308" s="30" t="str">
        <f aca="false">IF($A308="","","https://"&amp;config!$B$9&amp;"/"&amp;$D308)</f>
        <v/>
      </c>
      <c r="F308" s="30" t="str">
        <f aca="false">IF($A308="","",$A308&amp;"."&amp;$B308)</f>
        <v/>
      </c>
      <c r="G308" s="30" t="str">
        <f aca="false">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30" t="str">
        <f aca="false">IF(OR($A308="",$C308&lt;&gt;"qr"),"",$D308&amp;".png")</f>
        <v/>
      </c>
      <c r="I308" s="30" t="str">
        <f aca="true">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ustomFormat="false" ht="15" hidden="false" customHeight="false" outlineLevel="0" collapsed="false">
      <c r="A309" s="30" t="str">
        <f aca="false">IF(INDEX(approvals!$A$2:$A$251,INT((ROW()-2)/2)+1)="","",INDEX(approvals!$A$2:$A$251,INT((ROW()-2)/2)+1))</f>
        <v/>
      </c>
      <c r="B309" s="30" t="str">
        <f aca="false">IF(INDEX(approvals!$A$2:$A$251,INT((ROW()-2)/2)+1)="","",INDEX(approvals!$B$2:$B$251,INT((ROW()-2)/2)+1))</f>
        <v/>
      </c>
      <c r="C309" s="30" t="str">
        <f aca="false">IF($A309="","",IF(MOD(ROW()-2,2)=0,"qr","post"))</f>
        <v/>
      </c>
      <c r="D309" s="30" t="str">
        <f aca="false">IF($A309="","",IF(LEFT($A309,7)="SAMPLE-","SAMPLE-","")&amp;LOWER(SUBSTITUTE(SUBSTITUTE($A309,"SAMPLE-",""),"CMP-","c"))&amp;"-"&amp;LOWER(SUBSTITUTE(SUBSTITUTE($B309,"SAMPLE-",""),"O-","o"))&amp;"-"&amp;IF($C309="qr","q","p"))</f>
        <v/>
      </c>
      <c r="E309" s="30" t="str">
        <f aca="false">IF($A309="","","https://"&amp;config!$B$9&amp;"/"&amp;$D309)</f>
        <v/>
      </c>
      <c r="F309" s="30" t="str">
        <f aca="false">IF($A309="","",$A309&amp;"."&amp;$B309)</f>
        <v/>
      </c>
      <c r="G309" s="30" t="str">
        <f aca="false">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30" t="str">
        <f aca="false">IF(OR($A309="",$C309&lt;&gt;"qr"),"",$D309&amp;".png")</f>
        <v/>
      </c>
      <c r="I309" s="30" t="str">
        <f aca="true">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ustomFormat="false" ht="15" hidden="false" customHeight="false" outlineLevel="0" collapsed="false">
      <c r="A310" s="30" t="str">
        <f aca="false">IF(INDEX(approvals!$A$2:$A$251,INT((ROW()-2)/2)+1)="","",INDEX(approvals!$A$2:$A$251,INT((ROW()-2)/2)+1))</f>
        <v/>
      </c>
      <c r="B310" s="30" t="str">
        <f aca="false">IF(INDEX(approvals!$A$2:$A$251,INT((ROW()-2)/2)+1)="","",INDEX(approvals!$B$2:$B$251,INT((ROW()-2)/2)+1))</f>
        <v/>
      </c>
      <c r="C310" s="30" t="str">
        <f aca="false">IF($A310="","",IF(MOD(ROW()-2,2)=0,"qr","post"))</f>
        <v/>
      </c>
      <c r="D310" s="30" t="str">
        <f aca="false">IF($A310="","",IF(LEFT($A310,7)="SAMPLE-","SAMPLE-","")&amp;LOWER(SUBSTITUTE(SUBSTITUTE($A310,"SAMPLE-",""),"CMP-","c"))&amp;"-"&amp;LOWER(SUBSTITUTE(SUBSTITUTE($B310,"SAMPLE-",""),"O-","o"))&amp;"-"&amp;IF($C310="qr","q","p"))</f>
        <v/>
      </c>
      <c r="E310" s="30" t="str">
        <f aca="false">IF($A310="","","https://"&amp;config!$B$9&amp;"/"&amp;$D310)</f>
        <v/>
      </c>
      <c r="F310" s="30" t="str">
        <f aca="false">IF($A310="","",$A310&amp;"."&amp;$B310)</f>
        <v/>
      </c>
      <c r="G310" s="30" t="str">
        <f aca="false">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30" t="str">
        <f aca="false">IF(OR($A310="",$C310&lt;&gt;"qr"),"",$D310&amp;".png")</f>
        <v/>
      </c>
      <c r="I310" s="30" t="str">
        <f aca="true">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ustomFormat="false" ht="15" hidden="false" customHeight="false" outlineLevel="0" collapsed="false">
      <c r="A311" s="30" t="str">
        <f aca="false">IF(INDEX(approvals!$A$2:$A$251,INT((ROW()-2)/2)+1)="","",INDEX(approvals!$A$2:$A$251,INT((ROW()-2)/2)+1))</f>
        <v/>
      </c>
      <c r="B311" s="30" t="str">
        <f aca="false">IF(INDEX(approvals!$A$2:$A$251,INT((ROW()-2)/2)+1)="","",INDEX(approvals!$B$2:$B$251,INT((ROW()-2)/2)+1))</f>
        <v/>
      </c>
      <c r="C311" s="30" t="str">
        <f aca="false">IF($A311="","",IF(MOD(ROW()-2,2)=0,"qr","post"))</f>
        <v/>
      </c>
      <c r="D311" s="30" t="str">
        <f aca="false">IF($A311="","",IF(LEFT($A311,7)="SAMPLE-","SAMPLE-","")&amp;LOWER(SUBSTITUTE(SUBSTITUTE($A311,"SAMPLE-",""),"CMP-","c"))&amp;"-"&amp;LOWER(SUBSTITUTE(SUBSTITUTE($B311,"SAMPLE-",""),"O-","o"))&amp;"-"&amp;IF($C311="qr","q","p"))</f>
        <v/>
      </c>
      <c r="E311" s="30" t="str">
        <f aca="false">IF($A311="","","https://"&amp;config!$B$9&amp;"/"&amp;$D311)</f>
        <v/>
      </c>
      <c r="F311" s="30" t="str">
        <f aca="false">IF($A311="","",$A311&amp;"."&amp;$B311)</f>
        <v/>
      </c>
      <c r="G311" s="30" t="str">
        <f aca="false">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30" t="str">
        <f aca="false">IF(OR($A311="",$C311&lt;&gt;"qr"),"",$D311&amp;".png")</f>
        <v/>
      </c>
      <c r="I311" s="30" t="str">
        <f aca="true">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ustomFormat="false" ht="15" hidden="false" customHeight="false" outlineLevel="0" collapsed="false">
      <c r="A312" s="30" t="str">
        <f aca="false">IF(INDEX(approvals!$A$2:$A$251,INT((ROW()-2)/2)+1)="","",INDEX(approvals!$A$2:$A$251,INT((ROW()-2)/2)+1))</f>
        <v/>
      </c>
      <c r="B312" s="30" t="str">
        <f aca="false">IF(INDEX(approvals!$A$2:$A$251,INT((ROW()-2)/2)+1)="","",INDEX(approvals!$B$2:$B$251,INT((ROW()-2)/2)+1))</f>
        <v/>
      </c>
      <c r="C312" s="30" t="str">
        <f aca="false">IF($A312="","",IF(MOD(ROW()-2,2)=0,"qr","post"))</f>
        <v/>
      </c>
      <c r="D312" s="30" t="str">
        <f aca="false">IF($A312="","",IF(LEFT($A312,7)="SAMPLE-","SAMPLE-","")&amp;LOWER(SUBSTITUTE(SUBSTITUTE($A312,"SAMPLE-",""),"CMP-","c"))&amp;"-"&amp;LOWER(SUBSTITUTE(SUBSTITUTE($B312,"SAMPLE-",""),"O-","o"))&amp;"-"&amp;IF($C312="qr","q","p"))</f>
        <v/>
      </c>
      <c r="E312" s="30" t="str">
        <f aca="false">IF($A312="","","https://"&amp;config!$B$9&amp;"/"&amp;$D312)</f>
        <v/>
      </c>
      <c r="F312" s="30" t="str">
        <f aca="false">IF($A312="","",$A312&amp;"."&amp;$B312)</f>
        <v/>
      </c>
      <c r="G312" s="30" t="str">
        <f aca="false">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30" t="str">
        <f aca="false">IF(OR($A312="",$C312&lt;&gt;"qr"),"",$D312&amp;".png")</f>
        <v/>
      </c>
      <c r="I312" s="30" t="str">
        <f aca="true">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ustomFormat="false" ht="15" hidden="false" customHeight="false" outlineLevel="0" collapsed="false">
      <c r="A313" s="30" t="str">
        <f aca="false">IF(INDEX(approvals!$A$2:$A$251,INT((ROW()-2)/2)+1)="","",INDEX(approvals!$A$2:$A$251,INT((ROW()-2)/2)+1))</f>
        <v/>
      </c>
      <c r="B313" s="30" t="str">
        <f aca="false">IF(INDEX(approvals!$A$2:$A$251,INT((ROW()-2)/2)+1)="","",INDEX(approvals!$B$2:$B$251,INT((ROW()-2)/2)+1))</f>
        <v/>
      </c>
      <c r="C313" s="30" t="str">
        <f aca="false">IF($A313="","",IF(MOD(ROW()-2,2)=0,"qr","post"))</f>
        <v/>
      </c>
      <c r="D313" s="30" t="str">
        <f aca="false">IF($A313="","",IF(LEFT($A313,7)="SAMPLE-","SAMPLE-","")&amp;LOWER(SUBSTITUTE(SUBSTITUTE($A313,"SAMPLE-",""),"CMP-","c"))&amp;"-"&amp;LOWER(SUBSTITUTE(SUBSTITUTE($B313,"SAMPLE-",""),"O-","o"))&amp;"-"&amp;IF($C313="qr","q","p"))</f>
        <v/>
      </c>
      <c r="E313" s="30" t="str">
        <f aca="false">IF($A313="","","https://"&amp;config!$B$9&amp;"/"&amp;$D313)</f>
        <v/>
      </c>
      <c r="F313" s="30" t="str">
        <f aca="false">IF($A313="","",$A313&amp;"."&amp;$B313)</f>
        <v/>
      </c>
      <c r="G313" s="30" t="str">
        <f aca="false">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30" t="str">
        <f aca="false">IF(OR($A313="",$C313&lt;&gt;"qr"),"",$D313&amp;".png")</f>
        <v/>
      </c>
      <c r="I313" s="30" t="str">
        <f aca="true">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ustomFormat="false" ht="15" hidden="false" customHeight="false" outlineLevel="0" collapsed="false">
      <c r="A314" s="30" t="str">
        <f aca="false">IF(INDEX(approvals!$A$2:$A$251,INT((ROW()-2)/2)+1)="","",INDEX(approvals!$A$2:$A$251,INT((ROW()-2)/2)+1))</f>
        <v/>
      </c>
      <c r="B314" s="30" t="str">
        <f aca="false">IF(INDEX(approvals!$A$2:$A$251,INT((ROW()-2)/2)+1)="","",INDEX(approvals!$B$2:$B$251,INT((ROW()-2)/2)+1))</f>
        <v/>
      </c>
      <c r="C314" s="30" t="str">
        <f aca="false">IF($A314="","",IF(MOD(ROW()-2,2)=0,"qr","post"))</f>
        <v/>
      </c>
      <c r="D314" s="30" t="str">
        <f aca="false">IF($A314="","",IF(LEFT($A314,7)="SAMPLE-","SAMPLE-","")&amp;LOWER(SUBSTITUTE(SUBSTITUTE($A314,"SAMPLE-",""),"CMP-","c"))&amp;"-"&amp;LOWER(SUBSTITUTE(SUBSTITUTE($B314,"SAMPLE-",""),"O-","o"))&amp;"-"&amp;IF($C314="qr","q","p"))</f>
        <v/>
      </c>
      <c r="E314" s="30" t="str">
        <f aca="false">IF($A314="","","https://"&amp;config!$B$9&amp;"/"&amp;$D314)</f>
        <v/>
      </c>
      <c r="F314" s="30" t="str">
        <f aca="false">IF($A314="","",$A314&amp;"."&amp;$B314)</f>
        <v/>
      </c>
      <c r="G314" s="30" t="str">
        <f aca="false">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30" t="str">
        <f aca="false">IF(OR($A314="",$C314&lt;&gt;"qr"),"",$D314&amp;".png")</f>
        <v/>
      </c>
      <c r="I314" s="30" t="str">
        <f aca="true">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ustomFormat="false" ht="15" hidden="false" customHeight="false" outlineLevel="0" collapsed="false">
      <c r="A315" s="30" t="str">
        <f aca="false">IF(INDEX(approvals!$A$2:$A$251,INT((ROW()-2)/2)+1)="","",INDEX(approvals!$A$2:$A$251,INT((ROW()-2)/2)+1))</f>
        <v/>
      </c>
      <c r="B315" s="30" t="str">
        <f aca="false">IF(INDEX(approvals!$A$2:$A$251,INT((ROW()-2)/2)+1)="","",INDEX(approvals!$B$2:$B$251,INT((ROW()-2)/2)+1))</f>
        <v/>
      </c>
      <c r="C315" s="30" t="str">
        <f aca="false">IF($A315="","",IF(MOD(ROW()-2,2)=0,"qr","post"))</f>
        <v/>
      </c>
      <c r="D315" s="30" t="str">
        <f aca="false">IF($A315="","",IF(LEFT($A315,7)="SAMPLE-","SAMPLE-","")&amp;LOWER(SUBSTITUTE(SUBSTITUTE($A315,"SAMPLE-",""),"CMP-","c"))&amp;"-"&amp;LOWER(SUBSTITUTE(SUBSTITUTE($B315,"SAMPLE-",""),"O-","o"))&amp;"-"&amp;IF($C315="qr","q","p"))</f>
        <v/>
      </c>
      <c r="E315" s="30" t="str">
        <f aca="false">IF($A315="","","https://"&amp;config!$B$9&amp;"/"&amp;$D315)</f>
        <v/>
      </c>
      <c r="F315" s="30" t="str">
        <f aca="false">IF($A315="","",$A315&amp;"."&amp;$B315)</f>
        <v/>
      </c>
      <c r="G315" s="30" t="str">
        <f aca="false">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30" t="str">
        <f aca="false">IF(OR($A315="",$C315&lt;&gt;"qr"),"",$D315&amp;".png")</f>
        <v/>
      </c>
      <c r="I315" s="30" t="str">
        <f aca="true">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ustomFormat="false" ht="15" hidden="false" customHeight="false" outlineLevel="0" collapsed="false">
      <c r="A316" s="30" t="str">
        <f aca="false">IF(INDEX(approvals!$A$2:$A$251,INT((ROW()-2)/2)+1)="","",INDEX(approvals!$A$2:$A$251,INT((ROW()-2)/2)+1))</f>
        <v/>
      </c>
      <c r="B316" s="30" t="str">
        <f aca="false">IF(INDEX(approvals!$A$2:$A$251,INT((ROW()-2)/2)+1)="","",INDEX(approvals!$B$2:$B$251,INT((ROW()-2)/2)+1))</f>
        <v/>
      </c>
      <c r="C316" s="30" t="str">
        <f aca="false">IF($A316="","",IF(MOD(ROW()-2,2)=0,"qr","post"))</f>
        <v/>
      </c>
      <c r="D316" s="30" t="str">
        <f aca="false">IF($A316="","",IF(LEFT($A316,7)="SAMPLE-","SAMPLE-","")&amp;LOWER(SUBSTITUTE(SUBSTITUTE($A316,"SAMPLE-",""),"CMP-","c"))&amp;"-"&amp;LOWER(SUBSTITUTE(SUBSTITUTE($B316,"SAMPLE-",""),"O-","o"))&amp;"-"&amp;IF($C316="qr","q","p"))</f>
        <v/>
      </c>
      <c r="E316" s="30" t="str">
        <f aca="false">IF($A316="","","https://"&amp;config!$B$9&amp;"/"&amp;$D316)</f>
        <v/>
      </c>
      <c r="F316" s="30" t="str">
        <f aca="false">IF($A316="","",$A316&amp;"."&amp;$B316)</f>
        <v/>
      </c>
      <c r="G316" s="30" t="str">
        <f aca="false">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30" t="str">
        <f aca="false">IF(OR($A316="",$C316&lt;&gt;"qr"),"",$D316&amp;".png")</f>
        <v/>
      </c>
      <c r="I316" s="30" t="str">
        <f aca="true">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ustomFormat="false" ht="15" hidden="false" customHeight="false" outlineLevel="0" collapsed="false">
      <c r="A317" s="30" t="str">
        <f aca="false">IF(INDEX(approvals!$A$2:$A$251,INT((ROW()-2)/2)+1)="","",INDEX(approvals!$A$2:$A$251,INT((ROW()-2)/2)+1))</f>
        <v/>
      </c>
      <c r="B317" s="30" t="str">
        <f aca="false">IF(INDEX(approvals!$A$2:$A$251,INT((ROW()-2)/2)+1)="","",INDEX(approvals!$B$2:$B$251,INT((ROW()-2)/2)+1))</f>
        <v/>
      </c>
      <c r="C317" s="30" t="str">
        <f aca="false">IF($A317="","",IF(MOD(ROW()-2,2)=0,"qr","post"))</f>
        <v/>
      </c>
      <c r="D317" s="30" t="str">
        <f aca="false">IF($A317="","",IF(LEFT($A317,7)="SAMPLE-","SAMPLE-","")&amp;LOWER(SUBSTITUTE(SUBSTITUTE($A317,"SAMPLE-",""),"CMP-","c"))&amp;"-"&amp;LOWER(SUBSTITUTE(SUBSTITUTE($B317,"SAMPLE-",""),"O-","o"))&amp;"-"&amp;IF($C317="qr","q","p"))</f>
        <v/>
      </c>
      <c r="E317" s="30" t="str">
        <f aca="false">IF($A317="","","https://"&amp;config!$B$9&amp;"/"&amp;$D317)</f>
        <v/>
      </c>
      <c r="F317" s="30" t="str">
        <f aca="false">IF($A317="","",$A317&amp;"."&amp;$B317)</f>
        <v/>
      </c>
      <c r="G317" s="30" t="str">
        <f aca="false">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30" t="str">
        <f aca="false">IF(OR($A317="",$C317&lt;&gt;"qr"),"",$D317&amp;".png")</f>
        <v/>
      </c>
      <c r="I317" s="30" t="str">
        <f aca="true">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ustomFormat="false" ht="15" hidden="false" customHeight="false" outlineLevel="0" collapsed="false">
      <c r="A318" s="30" t="str">
        <f aca="false">IF(INDEX(approvals!$A$2:$A$251,INT((ROW()-2)/2)+1)="","",INDEX(approvals!$A$2:$A$251,INT((ROW()-2)/2)+1))</f>
        <v/>
      </c>
      <c r="B318" s="30" t="str">
        <f aca="false">IF(INDEX(approvals!$A$2:$A$251,INT((ROW()-2)/2)+1)="","",INDEX(approvals!$B$2:$B$251,INT((ROW()-2)/2)+1))</f>
        <v/>
      </c>
      <c r="C318" s="30" t="str">
        <f aca="false">IF($A318="","",IF(MOD(ROW()-2,2)=0,"qr","post"))</f>
        <v/>
      </c>
      <c r="D318" s="30" t="str">
        <f aca="false">IF($A318="","",IF(LEFT($A318,7)="SAMPLE-","SAMPLE-","")&amp;LOWER(SUBSTITUTE(SUBSTITUTE($A318,"SAMPLE-",""),"CMP-","c"))&amp;"-"&amp;LOWER(SUBSTITUTE(SUBSTITUTE($B318,"SAMPLE-",""),"O-","o"))&amp;"-"&amp;IF($C318="qr","q","p"))</f>
        <v/>
      </c>
      <c r="E318" s="30" t="str">
        <f aca="false">IF($A318="","","https://"&amp;config!$B$9&amp;"/"&amp;$D318)</f>
        <v/>
      </c>
      <c r="F318" s="30" t="str">
        <f aca="false">IF($A318="","",$A318&amp;"."&amp;$B318)</f>
        <v/>
      </c>
      <c r="G318" s="30" t="str">
        <f aca="false">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30" t="str">
        <f aca="false">IF(OR($A318="",$C318&lt;&gt;"qr"),"",$D318&amp;".png")</f>
        <v/>
      </c>
      <c r="I318" s="30" t="str">
        <f aca="true">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ustomFormat="false" ht="15" hidden="false" customHeight="false" outlineLevel="0" collapsed="false">
      <c r="A319" s="30" t="str">
        <f aca="false">IF(INDEX(approvals!$A$2:$A$251,INT((ROW()-2)/2)+1)="","",INDEX(approvals!$A$2:$A$251,INT((ROW()-2)/2)+1))</f>
        <v/>
      </c>
      <c r="B319" s="30" t="str">
        <f aca="false">IF(INDEX(approvals!$A$2:$A$251,INT((ROW()-2)/2)+1)="","",INDEX(approvals!$B$2:$B$251,INT((ROW()-2)/2)+1))</f>
        <v/>
      </c>
      <c r="C319" s="30" t="str">
        <f aca="false">IF($A319="","",IF(MOD(ROW()-2,2)=0,"qr","post"))</f>
        <v/>
      </c>
      <c r="D319" s="30" t="str">
        <f aca="false">IF($A319="","",IF(LEFT($A319,7)="SAMPLE-","SAMPLE-","")&amp;LOWER(SUBSTITUTE(SUBSTITUTE($A319,"SAMPLE-",""),"CMP-","c"))&amp;"-"&amp;LOWER(SUBSTITUTE(SUBSTITUTE($B319,"SAMPLE-",""),"O-","o"))&amp;"-"&amp;IF($C319="qr","q","p"))</f>
        <v/>
      </c>
      <c r="E319" s="30" t="str">
        <f aca="false">IF($A319="","","https://"&amp;config!$B$9&amp;"/"&amp;$D319)</f>
        <v/>
      </c>
      <c r="F319" s="30" t="str">
        <f aca="false">IF($A319="","",$A319&amp;"."&amp;$B319)</f>
        <v/>
      </c>
      <c r="G319" s="30" t="str">
        <f aca="false">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30" t="str">
        <f aca="false">IF(OR($A319="",$C319&lt;&gt;"qr"),"",$D319&amp;".png")</f>
        <v/>
      </c>
      <c r="I319" s="30" t="str">
        <f aca="true">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ustomFormat="false" ht="15" hidden="false" customHeight="false" outlineLevel="0" collapsed="false">
      <c r="A320" s="30" t="str">
        <f aca="false">IF(INDEX(approvals!$A$2:$A$251,INT((ROW()-2)/2)+1)="","",INDEX(approvals!$A$2:$A$251,INT((ROW()-2)/2)+1))</f>
        <v/>
      </c>
      <c r="B320" s="30" t="str">
        <f aca="false">IF(INDEX(approvals!$A$2:$A$251,INT((ROW()-2)/2)+1)="","",INDEX(approvals!$B$2:$B$251,INT((ROW()-2)/2)+1))</f>
        <v/>
      </c>
      <c r="C320" s="30" t="str">
        <f aca="false">IF($A320="","",IF(MOD(ROW()-2,2)=0,"qr","post"))</f>
        <v/>
      </c>
      <c r="D320" s="30" t="str">
        <f aca="false">IF($A320="","",IF(LEFT($A320,7)="SAMPLE-","SAMPLE-","")&amp;LOWER(SUBSTITUTE(SUBSTITUTE($A320,"SAMPLE-",""),"CMP-","c"))&amp;"-"&amp;LOWER(SUBSTITUTE(SUBSTITUTE($B320,"SAMPLE-",""),"O-","o"))&amp;"-"&amp;IF($C320="qr","q","p"))</f>
        <v/>
      </c>
      <c r="E320" s="30" t="str">
        <f aca="false">IF($A320="","","https://"&amp;config!$B$9&amp;"/"&amp;$D320)</f>
        <v/>
      </c>
      <c r="F320" s="30" t="str">
        <f aca="false">IF($A320="","",$A320&amp;"."&amp;$B320)</f>
        <v/>
      </c>
      <c r="G320" s="30" t="str">
        <f aca="false">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30" t="str">
        <f aca="false">IF(OR($A320="",$C320&lt;&gt;"qr"),"",$D320&amp;".png")</f>
        <v/>
      </c>
      <c r="I320" s="30" t="str">
        <f aca="true">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ustomFormat="false" ht="15" hidden="false" customHeight="false" outlineLevel="0" collapsed="false">
      <c r="A321" s="30" t="str">
        <f aca="false">IF(INDEX(approvals!$A$2:$A$251,INT((ROW()-2)/2)+1)="","",INDEX(approvals!$A$2:$A$251,INT((ROW()-2)/2)+1))</f>
        <v/>
      </c>
      <c r="B321" s="30" t="str">
        <f aca="false">IF(INDEX(approvals!$A$2:$A$251,INT((ROW()-2)/2)+1)="","",INDEX(approvals!$B$2:$B$251,INT((ROW()-2)/2)+1))</f>
        <v/>
      </c>
      <c r="C321" s="30" t="str">
        <f aca="false">IF($A321="","",IF(MOD(ROW()-2,2)=0,"qr","post"))</f>
        <v/>
      </c>
      <c r="D321" s="30" t="str">
        <f aca="false">IF($A321="","",IF(LEFT($A321,7)="SAMPLE-","SAMPLE-","")&amp;LOWER(SUBSTITUTE(SUBSTITUTE($A321,"SAMPLE-",""),"CMP-","c"))&amp;"-"&amp;LOWER(SUBSTITUTE(SUBSTITUTE($B321,"SAMPLE-",""),"O-","o"))&amp;"-"&amp;IF($C321="qr","q","p"))</f>
        <v/>
      </c>
      <c r="E321" s="30" t="str">
        <f aca="false">IF($A321="","","https://"&amp;config!$B$9&amp;"/"&amp;$D321)</f>
        <v/>
      </c>
      <c r="F321" s="30" t="str">
        <f aca="false">IF($A321="","",$A321&amp;"."&amp;$B321)</f>
        <v/>
      </c>
      <c r="G321" s="30" t="str">
        <f aca="false">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30" t="str">
        <f aca="false">IF(OR($A321="",$C321&lt;&gt;"qr"),"",$D321&amp;".png")</f>
        <v/>
      </c>
      <c r="I321" s="30" t="str">
        <f aca="true">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ustomFormat="false" ht="15" hidden="false" customHeight="false" outlineLevel="0" collapsed="false">
      <c r="A322" s="30" t="str">
        <f aca="false">IF(INDEX(approvals!$A$2:$A$251,INT((ROW()-2)/2)+1)="","",INDEX(approvals!$A$2:$A$251,INT((ROW()-2)/2)+1))</f>
        <v/>
      </c>
      <c r="B322" s="30" t="str">
        <f aca="false">IF(INDEX(approvals!$A$2:$A$251,INT((ROW()-2)/2)+1)="","",INDEX(approvals!$B$2:$B$251,INT((ROW()-2)/2)+1))</f>
        <v/>
      </c>
      <c r="C322" s="30" t="str">
        <f aca="false">IF($A322="","",IF(MOD(ROW()-2,2)=0,"qr","post"))</f>
        <v/>
      </c>
      <c r="D322" s="30" t="str">
        <f aca="false">IF($A322="","",IF(LEFT($A322,7)="SAMPLE-","SAMPLE-","")&amp;LOWER(SUBSTITUTE(SUBSTITUTE($A322,"SAMPLE-",""),"CMP-","c"))&amp;"-"&amp;LOWER(SUBSTITUTE(SUBSTITUTE($B322,"SAMPLE-",""),"O-","o"))&amp;"-"&amp;IF($C322="qr","q","p"))</f>
        <v/>
      </c>
      <c r="E322" s="30" t="str">
        <f aca="false">IF($A322="","","https://"&amp;config!$B$9&amp;"/"&amp;$D322)</f>
        <v/>
      </c>
      <c r="F322" s="30" t="str">
        <f aca="false">IF($A322="","",$A322&amp;"."&amp;$B322)</f>
        <v/>
      </c>
      <c r="G322" s="30" t="str">
        <f aca="false">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30" t="str">
        <f aca="false">IF(OR($A322="",$C322&lt;&gt;"qr"),"",$D322&amp;".png")</f>
        <v/>
      </c>
      <c r="I322" s="30" t="str">
        <f aca="true">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ustomFormat="false" ht="15" hidden="false" customHeight="false" outlineLevel="0" collapsed="false">
      <c r="A323" s="30" t="str">
        <f aca="false">IF(INDEX(approvals!$A$2:$A$251,INT((ROW()-2)/2)+1)="","",INDEX(approvals!$A$2:$A$251,INT((ROW()-2)/2)+1))</f>
        <v/>
      </c>
      <c r="B323" s="30" t="str">
        <f aca="false">IF(INDEX(approvals!$A$2:$A$251,INT((ROW()-2)/2)+1)="","",INDEX(approvals!$B$2:$B$251,INT((ROW()-2)/2)+1))</f>
        <v/>
      </c>
      <c r="C323" s="30" t="str">
        <f aca="false">IF($A323="","",IF(MOD(ROW()-2,2)=0,"qr","post"))</f>
        <v/>
      </c>
      <c r="D323" s="30" t="str">
        <f aca="false">IF($A323="","",IF(LEFT($A323,7)="SAMPLE-","SAMPLE-","")&amp;LOWER(SUBSTITUTE(SUBSTITUTE($A323,"SAMPLE-",""),"CMP-","c"))&amp;"-"&amp;LOWER(SUBSTITUTE(SUBSTITUTE($B323,"SAMPLE-",""),"O-","o"))&amp;"-"&amp;IF($C323="qr","q","p"))</f>
        <v/>
      </c>
      <c r="E323" s="30" t="str">
        <f aca="false">IF($A323="","","https://"&amp;config!$B$9&amp;"/"&amp;$D323)</f>
        <v/>
      </c>
      <c r="F323" s="30" t="str">
        <f aca="false">IF($A323="","",$A323&amp;"."&amp;$B323)</f>
        <v/>
      </c>
      <c r="G323" s="30" t="str">
        <f aca="false">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30" t="str">
        <f aca="false">IF(OR($A323="",$C323&lt;&gt;"qr"),"",$D323&amp;".png")</f>
        <v/>
      </c>
      <c r="I323" s="30" t="str">
        <f aca="true">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ustomFormat="false" ht="15" hidden="false" customHeight="false" outlineLevel="0" collapsed="false">
      <c r="A324" s="30" t="str">
        <f aca="false">IF(INDEX(approvals!$A$2:$A$251,INT((ROW()-2)/2)+1)="","",INDEX(approvals!$A$2:$A$251,INT((ROW()-2)/2)+1))</f>
        <v/>
      </c>
      <c r="B324" s="30" t="str">
        <f aca="false">IF(INDEX(approvals!$A$2:$A$251,INT((ROW()-2)/2)+1)="","",INDEX(approvals!$B$2:$B$251,INT((ROW()-2)/2)+1))</f>
        <v/>
      </c>
      <c r="C324" s="30" t="str">
        <f aca="false">IF($A324="","",IF(MOD(ROW()-2,2)=0,"qr","post"))</f>
        <v/>
      </c>
      <c r="D324" s="30" t="str">
        <f aca="false">IF($A324="","",IF(LEFT($A324,7)="SAMPLE-","SAMPLE-","")&amp;LOWER(SUBSTITUTE(SUBSTITUTE($A324,"SAMPLE-",""),"CMP-","c"))&amp;"-"&amp;LOWER(SUBSTITUTE(SUBSTITUTE($B324,"SAMPLE-",""),"O-","o"))&amp;"-"&amp;IF($C324="qr","q","p"))</f>
        <v/>
      </c>
      <c r="E324" s="30" t="str">
        <f aca="false">IF($A324="","","https://"&amp;config!$B$9&amp;"/"&amp;$D324)</f>
        <v/>
      </c>
      <c r="F324" s="30" t="str">
        <f aca="false">IF($A324="","",$A324&amp;"."&amp;$B324)</f>
        <v/>
      </c>
      <c r="G324" s="30" t="str">
        <f aca="false">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30" t="str">
        <f aca="false">IF(OR($A324="",$C324&lt;&gt;"qr"),"",$D324&amp;".png")</f>
        <v/>
      </c>
      <c r="I324" s="30" t="str">
        <f aca="true">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ustomFormat="false" ht="15" hidden="false" customHeight="false" outlineLevel="0" collapsed="false">
      <c r="A325" s="30" t="str">
        <f aca="false">IF(INDEX(approvals!$A$2:$A$251,INT((ROW()-2)/2)+1)="","",INDEX(approvals!$A$2:$A$251,INT((ROW()-2)/2)+1))</f>
        <v/>
      </c>
      <c r="B325" s="30" t="str">
        <f aca="false">IF(INDEX(approvals!$A$2:$A$251,INT((ROW()-2)/2)+1)="","",INDEX(approvals!$B$2:$B$251,INT((ROW()-2)/2)+1))</f>
        <v/>
      </c>
      <c r="C325" s="30" t="str">
        <f aca="false">IF($A325="","",IF(MOD(ROW()-2,2)=0,"qr","post"))</f>
        <v/>
      </c>
      <c r="D325" s="30" t="str">
        <f aca="false">IF($A325="","",IF(LEFT($A325,7)="SAMPLE-","SAMPLE-","")&amp;LOWER(SUBSTITUTE(SUBSTITUTE($A325,"SAMPLE-",""),"CMP-","c"))&amp;"-"&amp;LOWER(SUBSTITUTE(SUBSTITUTE($B325,"SAMPLE-",""),"O-","o"))&amp;"-"&amp;IF($C325="qr","q","p"))</f>
        <v/>
      </c>
      <c r="E325" s="30" t="str">
        <f aca="false">IF($A325="","","https://"&amp;config!$B$9&amp;"/"&amp;$D325)</f>
        <v/>
      </c>
      <c r="F325" s="30" t="str">
        <f aca="false">IF($A325="","",$A325&amp;"."&amp;$B325)</f>
        <v/>
      </c>
      <c r="G325" s="30" t="str">
        <f aca="false">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30" t="str">
        <f aca="false">IF(OR($A325="",$C325&lt;&gt;"qr"),"",$D325&amp;".png")</f>
        <v/>
      </c>
      <c r="I325" s="30" t="str">
        <f aca="true">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ustomFormat="false" ht="15" hidden="false" customHeight="false" outlineLevel="0" collapsed="false">
      <c r="A326" s="30" t="str">
        <f aca="false">IF(INDEX(approvals!$A$2:$A$251,INT((ROW()-2)/2)+1)="","",INDEX(approvals!$A$2:$A$251,INT((ROW()-2)/2)+1))</f>
        <v/>
      </c>
      <c r="B326" s="30" t="str">
        <f aca="false">IF(INDEX(approvals!$A$2:$A$251,INT((ROW()-2)/2)+1)="","",INDEX(approvals!$B$2:$B$251,INT((ROW()-2)/2)+1))</f>
        <v/>
      </c>
      <c r="C326" s="30" t="str">
        <f aca="false">IF($A326="","",IF(MOD(ROW()-2,2)=0,"qr","post"))</f>
        <v/>
      </c>
      <c r="D326" s="30" t="str">
        <f aca="false">IF($A326="","",IF(LEFT($A326,7)="SAMPLE-","SAMPLE-","")&amp;LOWER(SUBSTITUTE(SUBSTITUTE($A326,"SAMPLE-",""),"CMP-","c"))&amp;"-"&amp;LOWER(SUBSTITUTE(SUBSTITUTE($B326,"SAMPLE-",""),"O-","o"))&amp;"-"&amp;IF($C326="qr","q","p"))</f>
        <v/>
      </c>
      <c r="E326" s="30" t="str">
        <f aca="false">IF($A326="","","https://"&amp;config!$B$9&amp;"/"&amp;$D326)</f>
        <v/>
      </c>
      <c r="F326" s="30" t="str">
        <f aca="false">IF($A326="","",$A326&amp;"."&amp;$B326)</f>
        <v/>
      </c>
      <c r="G326" s="30" t="str">
        <f aca="false">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30" t="str">
        <f aca="false">IF(OR($A326="",$C326&lt;&gt;"qr"),"",$D326&amp;".png")</f>
        <v/>
      </c>
      <c r="I326" s="30" t="str">
        <f aca="true">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ustomFormat="false" ht="15" hidden="false" customHeight="false" outlineLevel="0" collapsed="false">
      <c r="A327" s="30" t="str">
        <f aca="false">IF(INDEX(approvals!$A$2:$A$251,INT((ROW()-2)/2)+1)="","",INDEX(approvals!$A$2:$A$251,INT((ROW()-2)/2)+1))</f>
        <v/>
      </c>
      <c r="B327" s="30" t="str">
        <f aca="false">IF(INDEX(approvals!$A$2:$A$251,INT((ROW()-2)/2)+1)="","",INDEX(approvals!$B$2:$B$251,INT((ROW()-2)/2)+1))</f>
        <v/>
      </c>
      <c r="C327" s="30" t="str">
        <f aca="false">IF($A327="","",IF(MOD(ROW()-2,2)=0,"qr","post"))</f>
        <v/>
      </c>
      <c r="D327" s="30" t="str">
        <f aca="false">IF($A327="","",IF(LEFT($A327,7)="SAMPLE-","SAMPLE-","")&amp;LOWER(SUBSTITUTE(SUBSTITUTE($A327,"SAMPLE-",""),"CMP-","c"))&amp;"-"&amp;LOWER(SUBSTITUTE(SUBSTITUTE($B327,"SAMPLE-",""),"O-","o"))&amp;"-"&amp;IF($C327="qr","q","p"))</f>
        <v/>
      </c>
      <c r="E327" s="30" t="str">
        <f aca="false">IF($A327="","","https://"&amp;config!$B$9&amp;"/"&amp;$D327)</f>
        <v/>
      </c>
      <c r="F327" s="30" t="str">
        <f aca="false">IF($A327="","",$A327&amp;"."&amp;$B327)</f>
        <v/>
      </c>
      <c r="G327" s="30" t="str">
        <f aca="false">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30" t="str">
        <f aca="false">IF(OR($A327="",$C327&lt;&gt;"qr"),"",$D327&amp;".png")</f>
        <v/>
      </c>
      <c r="I327" s="30" t="str">
        <f aca="true">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ustomFormat="false" ht="15" hidden="false" customHeight="false" outlineLevel="0" collapsed="false">
      <c r="A328" s="30" t="str">
        <f aca="false">IF(INDEX(approvals!$A$2:$A$251,INT((ROW()-2)/2)+1)="","",INDEX(approvals!$A$2:$A$251,INT((ROW()-2)/2)+1))</f>
        <v/>
      </c>
      <c r="B328" s="30" t="str">
        <f aca="false">IF(INDEX(approvals!$A$2:$A$251,INT((ROW()-2)/2)+1)="","",INDEX(approvals!$B$2:$B$251,INT((ROW()-2)/2)+1))</f>
        <v/>
      </c>
      <c r="C328" s="30" t="str">
        <f aca="false">IF($A328="","",IF(MOD(ROW()-2,2)=0,"qr","post"))</f>
        <v/>
      </c>
      <c r="D328" s="30" t="str">
        <f aca="false">IF($A328="","",IF(LEFT($A328,7)="SAMPLE-","SAMPLE-","")&amp;LOWER(SUBSTITUTE(SUBSTITUTE($A328,"SAMPLE-",""),"CMP-","c"))&amp;"-"&amp;LOWER(SUBSTITUTE(SUBSTITUTE($B328,"SAMPLE-",""),"O-","o"))&amp;"-"&amp;IF($C328="qr","q","p"))</f>
        <v/>
      </c>
      <c r="E328" s="30" t="str">
        <f aca="false">IF($A328="","","https://"&amp;config!$B$9&amp;"/"&amp;$D328)</f>
        <v/>
      </c>
      <c r="F328" s="30" t="str">
        <f aca="false">IF($A328="","",$A328&amp;"."&amp;$B328)</f>
        <v/>
      </c>
      <c r="G328" s="30" t="str">
        <f aca="false">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30" t="str">
        <f aca="false">IF(OR($A328="",$C328&lt;&gt;"qr"),"",$D328&amp;".png")</f>
        <v/>
      </c>
      <c r="I328" s="30" t="str">
        <f aca="true">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ustomFormat="false" ht="15" hidden="false" customHeight="false" outlineLevel="0" collapsed="false">
      <c r="A329" s="30" t="str">
        <f aca="false">IF(INDEX(approvals!$A$2:$A$251,INT((ROW()-2)/2)+1)="","",INDEX(approvals!$A$2:$A$251,INT((ROW()-2)/2)+1))</f>
        <v/>
      </c>
      <c r="B329" s="30" t="str">
        <f aca="false">IF(INDEX(approvals!$A$2:$A$251,INT((ROW()-2)/2)+1)="","",INDEX(approvals!$B$2:$B$251,INT((ROW()-2)/2)+1))</f>
        <v/>
      </c>
      <c r="C329" s="30" t="str">
        <f aca="false">IF($A329="","",IF(MOD(ROW()-2,2)=0,"qr","post"))</f>
        <v/>
      </c>
      <c r="D329" s="30" t="str">
        <f aca="false">IF($A329="","",IF(LEFT($A329,7)="SAMPLE-","SAMPLE-","")&amp;LOWER(SUBSTITUTE(SUBSTITUTE($A329,"SAMPLE-",""),"CMP-","c"))&amp;"-"&amp;LOWER(SUBSTITUTE(SUBSTITUTE($B329,"SAMPLE-",""),"O-","o"))&amp;"-"&amp;IF($C329="qr","q","p"))</f>
        <v/>
      </c>
      <c r="E329" s="30" t="str">
        <f aca="false">IF($A329="","","https://"&amp;config!$B$9&amp;"/"&amp;$D329)</f>
        <v/>
      </c>
      <c r="F329" s="30" t="str">
        <f aca="false">IF($A329="","",$A329&amp;"."&amp;$B329)</f>
        <v/>
      </c>
      <c r="G329" s="30" t="str">
        <f aca="false">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30" t="str">
        <f aca="false">IF(OR($A329="",$C329&lt;&gt;"qr"),"",$D329&amp;".png")</f>
        <v/>
      </c>
      <c r="I329" s="30" t="str">
        <f aca="true">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ustomFormat="false" ht="15" hidden="false" customHeight="false" outlineLevel="0" collapsed="false">
      <c r="A330" s="30" t="str">
        <f aca="false">IF(INDEX(approvals!$A$2:$A$251,INT((ROW()-2)/2)+1)="","",INDEX(approvals!$A$2:$A$251,INT((ROW()-2)/2)+1))</f>
        <v/>
      </c>
      <c r="B330" s="30" t="str">
        <f aca="false">IF(INDEX(approvals!$A$2:$A$251,INT((ROW()-2)/2)+1)="","",INDEX(approvals!$B$2:$B$251,INT((ROW()-2)/2)+1))</f>
        <v/>
      </c>
      <c r="C330" s="30" t="str">
        <f aca="false">IF($A330="","",IF(MOD(ROW()-2,2)=0,"qr","post"))</f>
        <v/>
      </c>
      <c r="D330" s="30" t="str">
        <f aca="false">IF($A330="","",IF(LEFT($A330,7)="SAMPLE-","SAMPLE-","")&amp;LOWER(SUBSTITUTE(SUBSTITUTE($A330,"SAMPLE-",""),"CMP-","c"))&amp;"-"&amp;LOWER(SUBSTITUTE(SUBSTITUTE($B330,"SAMPLE-",""),"O-","o"))&amp;"-"&amp;IF($C330="qr","q","p"))</f>
        <v/>
      </c>
      <c r="E330" s="30" t="str">
        <f aca="false">IF($A330="","","https://"&amp;config!$B$9&amp;"/"&amp;$D330)</f>
        <v/>
      </c>
      <c r="F330" s="30" t="str">
        <f aca="false">IF($A330="","",$A330&amp;"."&amp;$B330)</f>
        <v/>
      </c>
      <c r="G330" s="30" t="str">
        <f aca="false">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30" t="str">
        <f aca="false">IF(OR($A330="",$C330&lt;&gt;"qr"),"",$D330&amp;".png")</f>
        <v/>
      </c>
      <c r="I330" s="30" t="str">
        <f aca="true">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ustomFormat="false" ht="15" hidden="false" customHeight="false" outlineLevel="0" collapsed="false">
      <c r="A331" s="30" t="str">
        <f aca="false">IF(INDEX(approvals!$A$2:$A$251,INT((ROW()-2)/2)+1)="","",INDEX(approvals!$A$2:$A$251,INT((ROW()-2)/2)+1))</f>
        <v/>
      </c>
      <c r="B331" s="30" t="str">
        <f aca="false">IF(INDEX(approvals!$A$2:$A$251,INT((ROW()-2)/2)+1)="","",INDEX(approvals!$B$2:$B$251,INT((ROW()-2)/2)+1))</f>
        <v/>
      </c>
      <c r="C331" s="30" t="str">
        <f aca="false">IF($A331="","",IF(MOD(ROW()-2,2)=0,"qr","post"))</f>
        <v/>
      </c>
      <c r="D331" s="30" t="str">
        <f aca="false">IF($A331="","",IF(LEFT($A331,7)="SAMPLE-","SAMPLE-","")&amp;LOWER(SUBSTITUTE(SUBSTITUTE($A331,"SAMPLE-",""),"CMP-","c"))&amp;"-"&amp;LOWER(SUBSTITUTE(SUBSTITUTE($B331,"SAMPLE-",""),"O-","o"))&amp;"-"&amp;IF($C331="qr","q","p"))</f>
        <v/>
      </c>
      <c r="E331" s="30" t="str">
        <f aca="false">IF($A331="","","https://"&amp;config!$B$9&amp;"/"&amp;$D331)</f>
        <v/>
      </c>
      <c r="F331" s="30" t="str">
        <f aca="false">IF($A331="","",$A331&amp;"."&amp;$B331)</f>
        <v/>
      </c>
      <c r="G331" s="30" t="str">
        <f aca="false">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30" t="str">
        <f aca="false">IF(OR($A331="",$C331&lt;&gt;"qr"),"",$D331&amp;".png")</f>
        <v/>
      </c>
      <c r="I331" s="30" t="str">
        <f aca="true">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ustomFormat="false" ht="15" hidden="false" customHeight="false" outlineLevel="0" collapsed="false">
      <c r="A332" s="30" t="str">
        <f aca="false">IF(INDEX(approvals!$A$2:$A$251,INT((ROW()-2)/2)+1)="","",INDEX(approvals!$A$2:$A$251,INT((ROW()-2)/2)+1))</f>
        <v/>
      </c>
      <c r="B332" s="30" t="str">
        <f aca="false">IF(INDEX(approvals!$A$2:$A$251,INT((ROW()-2)/2)+1)="","",INDEX(approvals!$B$2:$B$251,INT((ROW()-2)/2)+1))</f>
        <v/>
      </c>
      <c r="C332" s="30" t="str">
        <f aca="false">IF($A332="","",IF(MOD(ROW()-2,2)=0,"qr","post"))</f>
        <v/>
      </c>
      <c r="D332" s="30" t="str">
        <f aca="false">IF($A332="","",IF(LEFT($A332,7)="SAMPLE-","SAMPLE-","")&amp;LOWER(SUBSTITUTE(SUBSTITUTE($A332,"SAMPLE-",""),"CMP-","c"))&amp;"-"&amp;LOWER(SUBSTITUTE(SUBSTITUTE($B332,"SAMPLE-",""),"O-","o"))&amp;"-"&amp;IF($C332="qr","q","p"))</f>
        <v/>
      </c>
      <c r="E332" s="30" t="str">
        <f aca="false">IF($A332="","","https://"&amp;config!$B$9&amp;"/"&amp;$D332)</f>
        <v/>
      </c>
      <c r="F332" s="30" t="str">
        <f aca="false">IF($A332="","",$A332&amp;"."&amp;$B332)</f>
        <v/>
      </c>
      <c r="G332" s="30" t="str">
        <f aca="false">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30" t="str">
        <f aca="false">IF(OR($A332="",$C332&lt;&gt;"qr"),"",$D332&amp;".png")</f>
        <v/>
      </c>
      <c r="I332" s="30" t="str">
        <f aca="true">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ustomFormat="false" ht="15" hidden="false" customHeight="false" outlineLevel="0" collapsed="false">
      <c r="A333" s="30" t="str">
        <f aca="false">IF(INDEX(approvals!$A$2:$A$251,INT((ROW()-2)/2)+1)="","",INDEX(approvals!$A$2:$A$251,INT((ROW()-2)/2)+1))</f>
        <v/>
      </c>
      <c r="B333" s="30" t="str">
        <f aca="false">IF(INDEX(approvals!$A$2:$A$251,INT((ROW()-2)/2)+1)="","",INDEX(approvals!$B$2:$B$251,INT((ROW()-2)/2)+1))</f>
        <v/>
      </c>
      <c r="C333" s="30" t="str">
        <f aca="false">IF($A333="","",IF(MOD(ROW()-2,2)=0,"qr","post"))</f>
        <v/>
      </c>
      <c r="D333" s="30" t="str">
        <f aca="false">IF($A333="","",IF(LEFT($A333,7)="SAMPLE-","SAMPLE-","")&amp;LOWER(SUBSTITUTE(SUBSTITUTE($A333,"SAMPLE-",""),"CMP-","c"))&amp;"-"&amp;LOWER(SUBSTITUTE(SUBSTITUTE($B333,"SAMPLE-",""),"O-","o"))&amp;"-"&amp;IF($C333="qr","q","p"))</f>
        <v/>
      </c>
      <c r="E333" s="30" t="str">
        <f aca="false">IF($A333="","","https://"&amp;config!$B$9&amp;"/"&amp;$D333)</f>
        <v/>
      </c>
      <c r="F333" s="30" t="str">
        <f aca="false">IF($A333="","",$A333&amp;"."&amp;$B333)</f>
        <v/>
      </c>
      <c r="G333" s="30" t="str">
        <f aca="false">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30" t="str">
        <f aca="false">IF(OR($A333="",$C333&lt;&gt;"qr"),"",$D333&amp;".png")</f>
        <v/>
      </c>
      <c r="I333" s="30" t="str">
        <f aca="true">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ustomFormat="false" ht="15" hidden="false" customHeight="false" outlineLevel="0" collapsed="false">
      <c r="A334" s="30" t="str">
        <f aca="false">IF(INDEX(approvals!$A$2:$A$251,INT((ROW()-2)/2)+1)="","",INDEX(approvals!$A$2:$A$251,INT((ROW()-2)/2)+1))</f>
        <v/>
      </c>
      <c r="B334" s="30" t="str">
        <f aca="false">IF(INDEX(approvals!$A$2:$A$251,INT((ROW()-2)/2)+1)="","",INDEX(approvals!$B$2:$B$251,INT((ROW()-2)/2)+1))</f>
        <v/>
      </c>
      <c r="C334" s="30" t="str">
        <f aca="false">IF($A334="","",IF(MOD(ROW()-2,2)=0,"qr","post"))</f>
        <v/>
      </c>
      <c r="D334" s="30" t="str">
        <f aca="false">IF($A334="","",IF(LEFT($A334,7)="SAMPLE-","SAMPLE-","")&amp;LOWER(SUBSTITUTE(SUBSTITUTE($A334,"SAMPLE-",""),"CMP-","c"))&amp;"-"&amp;LOWER(SUBSTITUTE(SUBSTITUTE($B334,"SAMPLE-",""),"O-","o"))&amp;"-"&amp;IF($C334="qr","q","p"))</f>
        <v/>
      </c>
      <c r="E334" s="30" t="str">
        <f aca="false">IF($A334="","","https://"&amp;config!$B$9&amp;"/"&amp;$D334)</f>
        <v/>
      </c>
      <c r="F334" s="30" t="str">
        <f aca="false">IF($A334="","",$A334&amp;"."&amp;$B334)</f>
        <v/>
      </c>
      <c r="G334" s="30" t="str">
        <f aca="false">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30" t="str">
        <f aca="false">IF(OR($A334="",$C334&lt;&gt;"qr"),"",$D334&amp;".png")</f>
        <v/>
      </c>
      <c r="I334" s="30" t="str">
        <f aca="true">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ustomFormat="false" ht="15" hidden="false" customHeight="false" outlineLevel="0" collapsed="false">
      <c r="A335" s="30" t="str">
        <f aca="false">IF(INDEX(approvals!$A$2:$A$251,INT((ROW()-2)/2)+1)="","",INDEX(approvals!$A$2:$A$251,INT((ROW()-2)/2)+1))</f>
        <v/>
      </c>
      <c r="B335" s="30" t="str">
        <f aca="false">IF(INDEX(approvals!$A$2:$A$251,INT((ROW()-2)/2)+1)="","",INDEX(approvals!$B$2:$B$251,INT((ROW()-2)/2)+1))</f>
        <v/>
      </c>
      <c r="C335" s="30" t="str">
        <f aca="false">IF($A335="","",IF(MOD(ROW()-2,2)=0,"qr","post"))</f>
        <v/>
      </c>
      <c r="D335" s="30" t="str">
        <f aca="false">IF($A335="","",IF(LEFT($A335,7)="SAMPLE-","SAMPLE-","")&amp;LOWER(SUBSTITUTE(SUBSTITUTE($A335,"SAMPLE-",""),"CMP-","c"))&amp;"-"&amp;LOWER(SUBSTITUTE(SUBSTITUTE($B335,"SAMPLE-",""),"O-","o"))&amp;"-"&amp;IF($C335="qr","q","p"))</f>
        <v/>
      </c>
      <c r="E335" s="30" t="str">
        <f aca="false">IF($A335="","","https://"&amp;config!$B$9&amp;"/"&amp;$D335)</f>
        <v/>
      </c>
      <c r="F335" s="30" t="str">
        <f aca="false">IF($A335="","",$A335&amp;"."&amp;$B335)</f>
        <v/>
      </c>
      <c r="G335" s="30" t="str">
        <f aca="false">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30" t="str">
        <f aca="false">IF(OR($A335="",$C335&lt;&gt;"qr"),"",$D335&amp;".png")</f>
        <v/>
      </c>
      <c r="I335" s="30" t="str">
        <f aca="true">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ustomFormat="false" ht="15" hidden="false" customHeight="false" outlineLevel="0" collapsed="false">
      <c r="A336" s="30" t="str">
        <f aca="false">IF(INDEX(approvals!$A$2:$A$251,INT((ROW()-2)/2)+1)="","",INDEX(approvals!$A$2:$A$251,INT((ROW()-2)/2)+1))</f>
        <v/>
      </c>
      <c r="B336" s="30" t="str">
        <f aca="false">IF(INDEX(approvals!$A$2:$A$251,INT((ROW()-2)/2)+1)="","",INDEX(approvals!$B$2:$B$251,INT((ROW()-2)/2)+1))</f>
        <v/>
      </c>
      <c r="C336" s="30" t="str">
        <f aca="false">IF($A336="","",IF(MOD(ROW()-2,2)=0,"qr","post"))</f>
        <v/>
      </c>
      <c r="D336" s="30" t="str">
        <f aca="false">IF($A336="","",IF(LEFT($A336,7)="SAMPLE-","SAMPLE-","")&amp;LOWER(SUBSTITUTE(SUBSTITUTE($A336,"SAMPLE-",""),"CMP-","c"))&amp;"-"&amp;LOWER(SUBSTITUTE(SUBSTITUTE($B336,"SAMPLE-",""),"O-","o"))&amp;"-"&amp;IF($C336="qr","q","p"))</f>
        <v/>
      </c>
      <c r="E336" s="30" t="str">
        <f aca="false">IF($A336="","","https://"&amp;config!$B$9&amp;"/"&amp;$D336)</f>
        <v/>
      </c>
      <c r="F336" s="30" t="str">
        <f aca="false">IF($A336="","",$A336&amp;"."&amp;$B336)</f>
        <v/>
      </c>
      <c r="G336" s="30" t="str">
        <f aca="false">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30" t="str">
        <f aca="false">IF(OR($A336="",$C336&lt;&gt;"qr"),"",$D336&amp;".png")</f>
        <v/>
      </c>
      <c r="I336" s="30" t="str">
        <f aca="true">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ustomFormat="false" ht="15" hidden="false" customHeight="false" outlineLevel="0" collapsed="false">
      <c r="A337" s="30" t="str">
        <f aca="false">IF(INDEX(approvals!$A$2:$A$251,INT((ROW()-2)/2)+1)="","",INDEX(approvals!$A$2:$A$251,INT((ROW()-2)/2)+1))</f>
        <v/>
      </c>
      <c r="B337" s="30" t="str">
        <f aca="false">IF(INDEX(approvals!$A$2:$A$251,INT((ROW()-2)/2)+1)="","",INDEX(approvals!$B$2:$B$251,INT((ROW()-2)/2)+1))</f>
        <v/>
      </c>
      <c r="C337" s="30" t="str">
        <f aca="false">IF($A337="","",IF(MOD(ROW()-2,2)=0,"qr","post"))</f>
        <v/>
      </c>
      <c r="D337" s="30" t="str">
        <f aca="false">IF($A337="","",IF(LEFT($A337,7)="SAMPLE-","SAMPLE-","")&amp;LOWER(SUBSTITUTE(SUBSTITUTE($A337,"SAMPLE-",""),"CMP-","c"))&amp;"-"&amp;LOWER(SUBSTITUTE(SUBSTITUTE($B337,"SAMPLE-",""),"O-","o"))&amp;"-"&amp;IF($C337="qr","q","p"))</f>
        <v/>
      </c>
      <c r="E337" s="30" t="str">
        <f aca="false">IF($A337="","","https://"&amp;config!$B$9&amp;"/"&amp;$D337)</f>
        <v/>
      </c>
      <c r="F337" s="30" t="str">
        <f aca="false">IF($A337="","",$A337&amp;"."&amp;$B337)</f>
        <v/>
      </c>
      <c r="G337" s="30" t="str">
        <f aca="false">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30" t="str">
        <f aca="false">IF(OR($A337="",$C337&lt;&gt;"qr"),"",$D337&amp;".png")</f>
        <v/>
      </c>
      <c r="I337" s="30" t="str">
        <f aca="true">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ustomFormat="false" ht="15" hidden="false" customHeight="false" outlineLevel="0" collapsed="false">
      <c r="A338" s="30" t="str">
        <f aca="false">IF(INDEX(approvals!$A$2:$A$251,INT((ROW()-2)/2)+1)="","",INDEX(approvals!$A$2:$A$251,INT((ROW()-2)/2)+1))</f>
        <v/>
      </c>
      <c r="B338" s="30" t="str">
        <f aca="false">IF(INDEX(approvals!$A$2:$A$251,INT((ROW()-2)/2)+1)="","",INDEX(approvals!$B$2:$B$251,INT((ROW()-2)/2)+1))</f>
        <v/>
      </c>
      <c r="C338" s="30" t="str">
        <f aca="false">IF($A338="","",IF(MOD(ROW()-2,2)=0,"qr","post"))</f>
        <v/>
      </c>
      <c r="D338" s="30" t="str">
        <f aca="false">IF($A338="","",IF(LEFT($A338,7)="SAMPLE-","SAMPLE-","")&amp;LOWER(SUBSTITUTE(SUBSTITUTE($A338,"SAMPLE-",""),"CMP-","c"))&amp;"-"&amp;LOWER(SUBSTITUTE(SUBSTITUTE($B338,"SAMPLE-",""),"O-","o"))&amp;"-"&amp;IF($C338="qr","q","p"))</f>
        <v/>
      </c>
      <c r="E338" s="30" t="str">
        <f aca="false">IF($A338="","","https://"&amp;config!$B$9&amp;"/"&amp;$D338)</f>
        <v/>
      </c>
      <c r="F338" s="30" t="str">
        <f aca="false">IF($A338="","",$A338&amp;"."&amp;$B338)</f>
        <v/>
      </c>
      <c r="G338" s="30" t="str">
        <f aca="false">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30" t="str">
        <f aca="false">IF(OR($A338="",$C338&lt;&gt;"qr"),"",$D338&amp;".png")</f>
        <v/>
      </c>
      <c r="I338" s="30" t="str">
        <f aca="true">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ustomFormat="false" ht="15" hidden="false" customHeight="false" outlineLevel="0" collapsed="false">
      <c r="A339" s="30" t="str">
        <f aca="false">IF(INDEX(approvals!$A$2:$A$251,INT((ROW()-2)/2)+1)="","",INDEX(approvals!$A$2:$A$251,INT((ROW()-2)/2)+1))</f>
        <v/>
      </c>
      <c r="B339" s="30" t="str">
        <f aca="false">IF(INDEX(approvals!$A$2:$A$251,INT((ROW()-2)/2)+1)="","",INDEX(approvals!$B$2:$B$251,INT((ROW()-2)/2)+1))</f>
        <v/>
      </c>
      <c r="C339" s="30" t="str">
        <f aca="false">IF($A339="","",IF(MOD(ROW()-2,2)=0,"qr","post"))</f>
        <v/>
      </c>
      <c r="D339" s="30" t="str">
        <f aca="false">IF($A339="","",IF(LEFT($A339,7)="SAMPLE-","SAMPLE-","")&amp;LOWER(SUBSTITUTE(SUBSTITUTE($A339,"SAMPLE-",""),"CMP-","c"))&amp;"-"&amp;LOWER(SUBSTITUTE(SUBSTITUTE($B339,"SAMPLE-",""),"O-","o"))&amp;"-"&amp;IF($C339="qr","q","p"))</f>
        <v/>
      </c>
      <c r="E339" s="30" t="str">
        <f aca="false">IF($A339="","","https://"&amp;config!$B$9&amp;"/"&amp;$D339)</f>
        <v/>
      </c>
      <c r="F339" s="30" t="str">
        <f aca="false">IF($A339="","",$A339&amp;"."&amp;$B339)</f>
        <v/>
      </c>
      <c r="G339" s="30" t="str">
        <f aca="false">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30" t="str">
        <f aca="false">IF(OR($A339="",$C339&lt;&gt;"qr"),"",$D339&amp;".png")</f>
        <v/>
      </c>
      <c r="I339" s="30" t="str">
        <f aca="true">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ustomFormat="false" ht="15" hidden="false" customHeight="false" outlineLevel="0" collapsed="false">
      <c r="A340" s="30" t="str">
        <f aca="false">IF(INDEX(approvals!$A$2:$A$251,INT((ROW()-2)/2)+1)="","",INDEX(approvals!$A$2:$A$251,INT((ROW()-2)/2)+1))</f>
        <v/>
      </c>
      <c r="B340" s="30" t="str">
        <f aca="false">IF(INDEX(approvals!$A$2:$A$251,INT((ROW()-2)/2)+1)="","",INDEX(approvals!$B$2:$B$251,INT((ROW()-2)/2)+1))</f>
        <v/>
      </c>
      <c r="C340" s="30" t="str">
        <f aca="false">IF($A340="","",IF(MOD(ROW()-2,2)=0,"qr","post"))</f>
        <v/>
      </c>
      <c r="D340" s="30" t="str">
        <f aca="false">IF($A340="","",IF(LEFT($A340,7)="SAMPLE-","SAMPLE-","")&amp;LOWER(SUBSTITUTE(SUBSTITUTE($A340,"SAMPLE-",""),"CMP-","c"))&amp;"-"&amp;LOWER(SUBSTITUTE(SUBSTITUTE($B340,"SAMPLE-",""),"O-","o"))&amp;"-"&amp;IF($C340="qr","q","p"))</f>
        <v/>
      </c>
      <c r="E340" s="30" t="str">
        <f aca="false">IF($A340="","","https://"&amp;config!$B$9&amp;"/"&amp;$D340)</f>
        <v/>
      </c>
      <c r="F340" s="30" t="str">
        <f aca="false">IF($A340="","",$A340&amp;"."&amp;$B340)</f>
        <v/>
      </c>
      <c r="G340" s="30" t="str">
        <f aca="false">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30" t="str">
        <f aca="false">IF(OR($A340="",$C340&lt;&gt;"qr"),"",$D340&amp;".png")</f>
        <v/>
      </c>
      <c r="I340" s="30" t="str">
        <f aca="true">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ustomFormat="false" ht="15" hidden="false" customHeight="false" outlineLevel="0" collapsed="false">
      <c r="A341" s="30" t="str">
        <f aca="false">IF(INDEX(approvals!$A$2:$A$251,INT((ROW()-2)/2)+1)="","",INDEX(approvals!$A$2:$A$251,INT((ROW()-2)/2)+1))</f>
        <v/>
      </c>
      <c r="B341" s="30" t="str">
        <f aca="false">IF(INDEX(approvals!$A$2:$A$251,INT((ROW()-2)/2)+1)="","",INDEX(approvals!$B$2:$B$251,INT((ROW()-2)/2)+1))</f>
        <v/>
      </c>
      <c r="C341" s="30" t="str">
        <f aca="false">IF($A341="","",IF(MOD(ROW()-2,2)=0,"qr","post"))</f>
        <v/>
      </c>
      <c r="D341" s="30" t="str">
        <f aca="false">IF($A341="","",IF(LEFT($A341,7)="SAMPLE-","SAMPLE-","")&amp;LOWER(SUBSTITUTE(SUBSTITUTE($A341,"SAMPLE-",""),"CMP-","c"))&amp;"-"&amp;LOWER(SUBSTITUTE(SUBSTITUTE($B341,"SAMPLE-",""),"O-","o"))&amp;"-"&amp;IF($C341="qr","q","p"))</f>
        <v/>
      </c>
      <c r="E341" s="30" t="str">
        <f aca="false">IF($A341="","","https://"&amp;config!$B$9&amp;"/"&amp;$D341)</f>
        <v/>
      </c>
      <c r="F341" s="30" t="str">
        <f aca="false">IF($A341="","",$A341&amp;"."&amp;$B341)</f>
        <v/>
      </c>
      <c r="G341" s="30" t="str">
        <f aca="false">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30" t="str">
        <f aca="false">IF(OR($A341="",$C341&lt;&gt;"qr"),"",$D341&amp;".png")</f>
        <v/>
      </c>
      <c r="I341" s="30" t="str">
        <f aca="true">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ustomFormat="false" ht="15" hidden="false" customHeight="false" outlineLevel="0" collapsed="false">
      <c r="A342" s="30" t="str">
        <f aca="false">IF(INDEX(approvals!$A$2:$A$251,INT((ROW()-2)/2)+1)="","",INDEX(approvals!$A$2:$A$251,INT((ROW()-2)/2)+1))</f>
        <v/>
      </c>
      <c r="B342" s="30" t="str">
        <f aca="false">IF(INDEX(approvals!$A$2:$A$251,INT((ROW()-2)/2)+1)="","",INDEX(approvals!$B$2:$B$251,INT((ROW()-2)/2)+1))</f>
        <v/>
      </c>
      <c r="C342" s="30" t="str">
        <f aca="false">IF($A342="","",IF(MOD(ROW()-2,2)=0,"qr","post"))</f>
        <v/>
      </c>
      <c r="D342" s="30" t="str">
        <f aca="false">IF($A342="","",IF(LEFT($A342,7)="SAMPLE-","SAMPLE-","")&amp;LOWER(SUBSTITUTE(SUBSTITUTE($A342,"SAMPLE-",""),"CMP-","c"))&amp;"-"&amp;LOWER(SUBSTITUTE(SUBSTITUTE($B342,"SAMPLE-",""),"O-","o"))&amp;"-"&amp;IF($C342="qr","q","p"))</f>
        <v/>
      </c>
      <c r="E342" s="30" t="str">
        <f aca="false">IF($A342="","","https://"&amp;config!$B$9&amp;"/"&amp;$D342)</f>
        <v/>
      </c>
      <c r="F342" s="30" t="str">
        <f aca="false">IF($A342="","",$A342&amp;"."&amp;$B342)</f>
        <v/>
      </c>
      <c r="G342" s="30" t="str">
        <f aca="false">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30" t="str">
        <f aca="false">IF(OR($A342="",$C342&lt;&gt;"qr"),"",$D342&amp;".png")</f>
        <v/>
      </c>
      <c r="I342" s="30" t="str">
        <f aca="true">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ustomFormat="false" ht="15" hidden="false" customHeight="false" outlineLevel="0" collapsed="false">
      <c r="A343" s="30" t="str">
        <f aca="false">IF(INDEX(approvals!$A$2:$A$251,INT((ROW()-2)/2)+1)="","",INDEX(approvals!$A$2:$A$251,INT((ROW()-2)/2)+1))</f>
        <v/>
      </c>
      <c r="B343" s="30" t="str">
        <f aca="false">IF(INDEX(approvals!$A$2:$A$251,INT((ROW()-2)/2)+1)="","",INDEX(approvals!$B$2:$B$251,INT((ROW()-2)/2)+1))</f>
        <v/>
      </c>
      <c r="C343" s="30" t="str">
        <f aca="false">IF($A343="","",IF(MOD(ROW()-2,2)=0,"qr","post"))</f>
        <v/>
      </c>
      <c r="D343" s="30" t="str">
        <f aca="false">IF($A343="","",IF(LEFT($A343,7)="SAMPLE-","SAMPLE-","")&amp;LOWER(SUBSTITUTE(SUBSTITUTE($A343,"SAMPLE-",""),"CMP-","c"))&amp;"-"&amp;LOWER(SUBSTITUTE(SUBSTITUTE($B343,"SAMPLE-",""),"O-","o"))&amp;"-"&amp;IF($C343="qr","q","p"))</f>
        <v/>
      </c>
      <c r="E343" s="30" t="str">
        <f aca="false">IF($A343="","","https://"&amp;config!$B$9&amp;"/"&amp;$D343)</f>
        <v/>
      </c>
      <c r="F343" s="30" t="str">
        <f aca="false">IF($A343="","",$A343&amp;"."&amp;$B343)</f>
        <v/>
      </c>
      <c r="G343" s="30" t="str">
        <f aca="false">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30" t="str">
        <f aca="false">IF(OR($A343="",$C343&lt;&gt;"qr"),"",$D343&amp;".png")</f>
        <v/>
      </c>
      <c r="I343" s="30" t="str">
        <f aca="true">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ustomFormat="false" ht="15" hidden="false" customHeight="false" outlineLevel="0" collapsed="false">
      <c r="A344" s="30" t="str">
        <f aca="false">IF(INDEX(approvals!$A$2:$A$251,INT((ROW()-2)/2)+1)="","",INDEX(approvals!$A$2:$A$251,INT((ROW()-2)/2)+1))</f>
        <v/>
      </c>
      <c r="B344" s="30" t="str">
        <f aca="false">IF(INDEX(approvals!$A$2:$A$251,INT((ROW()-2)/2)+1)="","",INDEX(approvals!$B$2:$B$251,INT((ROW()-2)/2)+1))</f>
        <v/>
      </c>
      <c r="C344" s="30" t="str">
        <f aca="false">IF($A344="","",IF(MOD(ROW()-2,2)=0,"qr","post"))</f>
        <v/>
      </c>
      <c r="D344" s="30" t="str">
        <f aca="false">IF($A344="","",IF(LEFT($A344,7)="SAMPLE-","SAMPLE-","")&amp;LOWER(SUBSTITUTE(SUBSTITUTE($A344,"SAMPLE-",""),"CMP-","c"))&amp;"-"&amp;LOWER(SUBSTITUTE(SUBSTITUTE($B344,"SAMPLE-",""),"O-","o"))&amp;"-"&amp;IF($C344="qr","q","p"))</f>
        <v/>
      </c>
      <c r="E344" s="30" t="str">
        <f aca="false">IF($A344="","","https://"&amp;config!$B$9&amp;"/"&amp;$D344)</f>
        <v/>
      </c>
      <c r="F344" s="30" t="str">
        <f aca="false">IF($A344="","",$A344&amp;"."&amp;$B344)</f>
        <v/>
      </c>
      <c r="G344" s="30" t="str">
        <f aca="false">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30" t="str">
        <f aca="false">IF(OR($A344="",$C344&lt;&gt;"qr"),"",$D344&amp;".png")</f>
        <v/>
      </c>
      <c r="I344" s="30" t="str">
        <f aca="true">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ustomFormat="false" ht="15" hidden="false" customHeight="false" outlineLevel="0" collapsed="false">
      <c r="A345" s="30" t="str">
        <f aca="false">IF(INDEX(approvals!$A$2:$A$251,INT((ROW()-2)/2)+1)="","",INDEX(approvals!$A$2:$A$251,INT((ROW()-2)/2)+1))</f>
        <v/>
      </c>
      <c r="B345" s="30" t="str">
        <f aca="false">IF(INDEX(approvals!$A$2:$A$251,INT((ROW()-2)/2)+1)="","",INDEX(approvals!$B$2:$B$251,INT((ROW()-2)/2)+1))</f>
        <v/>
      </c>
      <c r="C345" s="30" t="str">
        <f aca="false">IF($A345="","",IF(MOD(ROW()-2,2)=0,"qr","post"))</f>
        <v/>
      </c>
      <c r="D345" s="30" t="str">
        <f aca="false">IF($A345="","",IF(LEFT($A345,7)="SAMPLE-","SAMPLE-","")&amp;LOWER(SUBSTITUTE(SUBSTITUTE($A345,"SAMPLE-",""),"CMP-","c"))&amp;"-"&amp;LOWER(SUBSTITUTE(SUBSTITUTE($B345,"SAMPLE-",""),"O-","o"))&amp;"-"&amp;IF($C345="qr","q","p"))</f>
        <v/>
      </c>
      <c r="E345" s="30" t="str">
        <f aca="false">IF($A345="","","https://"&amp;config!$B$9&amp;"/"&amp;$D345)</f>
        <v/>
      </c>
      <c r="F345" s="30" t="str">
        <f aca="false">IF($A345="","",$A345&amp;"."&amp;$B345)</f>
        <v/>
      </c>
      <c r="G345" s="30" t="str">
        <f aca="false">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30" t="str">
        <f aca="false">IF(OR($A345="",$C345&lt;&gt;"qr"),"",$D345&amp;".png")</f>
        <v/>
      </c>
      <c r="I345" s="30" t="str">
        <f aca="true">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ustomFormat="false" ht="15" hidden="false" customHeight="false" outlineLevel="0" collapsed="false">
      <c r="A346" s="30" t="str">
        <f aca="false">IF(INDEX(approvals!$A$2:$A$251,INT((ROW()-2)/2)+1)="","",INDEX(approvals!$A$2:$A$251,INT((ROW()-2)/2)+1))</f>
        <v/>
      </c>
      <c r="B346" s="30" t="str">
        <f aca="false">IF(INDEX(approvals!$A$2:$A$251,INT((ROW()-2)/2)+1)="","",INDEX(approvals!$B$2:$B$251,INT((ROW()-2)/2)+1))</f>
        <v/>
      </c>
      <c r="C346" s="30" t="str">
        <f aca="false">IF($A346="","",IF(MOD(ROW()-2,2)=0,"qr","post"))</f>
        <v/>
      </c>
      <c r="D346" s="30" t="str">
        <f aca="false">IF($A346="","",IF(LEFT($A346,7)="SAMPLE-","SAMPLE-","")&amp;LOWER(SUBSTITUTE(SUBSTITUTE($A346,"SAMPLE-",""),"CMP-","c"))&amp;"-"&amp;LOWER(SUBSTITUTE(SUBSTITUTE($B346,"SAMPLE-",""),"O-","o"))&amp;"-"&amp;IF($C346="qr","q","p"))</f>
        <v/>
      </c>
      <c r="E346" s="30" t="str">
        <f aca="false">IF($A346="","","https://"&amp;config!$B$9&amp;"/"&amp;$D346)</f>
        <v/>
      </c>
      <c r="F346" s="30" t="str">
        <f aca="false">IF($A346="","",$A346&amp;"."&amp;$B346)</f>
        <v/>
      </c>
      <c r="G346" s="30" t="str">
        <f aca="false">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30" t="str">
        <f aca="false">IF(OR($A346="",$C346&lt;&gt;"qr"),"",$D346&amp;".png")</f>
        <v/>
      </c>
      <c r="I346" s="30" t="str">
        <f aca="true">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ustomFormat="false" ht="15" hidden="false" customHeight="false" outlineLevel="0" collapsed="false">
      <c r="A347" s="30" t="str">
        <f aca="false">IF(INDEX(approvals!$A$2:$A$251,INT((ROW()-2)/2)+1)="","",INDEX(approvals!$A$2:$A$251,INT((ROW()-2)/2)+1))</f>
        <v/>
      </c>
      <c r="B347" s="30" t="str">
        <f aca="false">IF(INDEX(approvals!$A$2:$A$251,INT((ROW()-2)/2)+1)="","",INDEX(approvals!$B$2:$B$251,INT((ROW()-2)/2)+1))</f>
        <v/>
      </c>
      <c r="C347" s="30" t="str">
        <f aca="false">IF($A347="","",IF(MOD(ROW()-2,2)=0,"qr","post"))</f>
        <v/>
      </c>
      <c r="D347" s="30" t="str">
        <f aca="false">IF($A347="","",IF(LEFT($A347,7)="SAMPLE-","SAMPLE-","")&amp;LOWER(SUBSTITUTE(SUBSTITUTE($A347,"SAMPLE-",""),"CMP-","c"))&amp;"-"&amp;LOWER(SUBSTITUTE(SUBSTITUTE($B347,"SAMPLE-",""),"O-","o"))&amp;"-"&amp;IF($C347="qr","q","p"))</f>
        <v/>
      </c>
      <c r="E347" s="30" t="str">
        <f aca="false">IF($A347="","","https://"&amp;config!$B$9&amp;"/"&amp;$D347)</f>
        <v/>
      </c>
      <c r="F347" s="30" t="str">
        <f aca="false">IF($A347="","",$A347&amp;"."&amp;$B347)</f>
        <v/>
      </c>
      <c r="G347" s="30" t="str">
        <f aca="false">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30" t="str">
        <f aca="false">IF(OR($A347="",$C347&lt;&gt;"qr"),"",$D347&amp;".png")</f>
        <v/>
      </c>
      <c r="I347" s="30" t="str">
        <f aca="true">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ustomFormat="false" ht="15" hidden="false" customHeight="false" outlineLevel="0" collapsed="false">
      <c r="A348" s="30" t="str">
        <f aca="false">IF(INDEX(approvals!$A$2:$A$251,INT((ROW()-2)/2)+1)="","",INDEX(approvals!$A$2:$A$251,INT((ROW()-2)/2)+1))</f>
        <v/>
      </c>
      <c r="B348" s="30" t="str">
        <f aca="false">IF(INDEX(approvals!$A$2:$A$251,INT((ROW()-2)/2)+1)="","",INDEX(approvals!$B$2:$B$251,INT((ROW()-2)/2)+1))</f>
        <v/>
      </c>
      <c r="C348" s="30" t="str">
        <f aca="false">IF($A348="","",IF(MOD(ROW()-2,2)=0,"qr","post"))</f>
        <v/>
      </c>
      <c r="D348" s="30" t="str">
        <f aca="false">IF($A348="","",IF(LEFT($A348,7)="SAMPLE-","SAMPLE-","")&amp;LOWER(SUBSTITUTE(SUBSTITUTE($A348,"SAMPLE-",""),"CMP-","c"))&amp;"-"&amp;LOWER(SUBSTITUTE(SUBSTITUTE($B348,"SAMPLE-",""),"O-","o"))&amp;"-"&amp;IF($C348="qr","q","p"))</f>
        <v/>
      </c>
      <c r="E348" s="30" t="str">
        <f aca="false">IF($A348="","","https://"&amp;config!$B$9&amp;"/"&amp;$D348)</f>
        <v/>
      </c>
      <c r="F348" s="30" t="str">
        <f aca="false">IF($A348="","",$A348&amp;"."&amp;$B348)</f>
        <v/>
      </c>
      <c r="G348" s="30" t="str">
        <f aca="false">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30" t="str">
        <f aca="false">IF(OR($A348="",$C348&lt;&gt;"qr"),"",$D348&amp;".png")</f>
        <v/>
      </c>
      <c r="I348" s="30" t="str">
        <f aca="true">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ustomFormat="false" ht="15" hidden="false" customHeight="false" outlineLevel="0" collapsed="false">
      <c r="A349" s="30" t="str">
        <f aca="false">IF(INDEX(approvals!$A$2:$A$251,INT((ROW()-2)/2)+1)="","",INDEX(approvals!$A$2:$A$251,INT((ROW()-2)/2)+1))</f>
        <v/>
      </c>
      <c r="B349" s="30" t="str">
        <f aca="false">IF(INDEX(approvals!$A$2:$A$251,INT((ROW()-2)/2)+1)="","",INDEX(approvals!$B$2:$B$251,INT((ROW()-2)/2)+1))</f>
        <v/>
      </c>
      <c r="C349" s="30" t="str">
        <f aca="false">IF($A349="","",IF(MOD(ROW()-2,2)=0,"qr","post"))</f>
        <v/>
      </c>
      <c r="D349" s="30" t="str">
        <f aca="false">IF($A349="","",IF(LEFT($A349,7)="SAMPLE-","SAMPLE-","")&amp;LOWER(SUBSTITUTE(SUBSTITUTE($A349,"SAMPLE-",""),"CMP-","c"))&amp;"-"&amp;LOWER(SUBSTITUTE(SUBSTITUTE($B349,"SAMPLE-",""),"O-","o"))&amp;"-"&amp;IF($C349="qr","q","p"))</f>
        <v/>
      </c>
      <c r="E349" s="30" t="str">
        <f aca="false">IF($A349="","","https://"&amp;config!$B$9&amp;"/"&amp;$D349)</f>
        <v/>
      </c>
      <c r="F349" s="30" t="str">
        <f aca="false">IF($A349="","",$A349&amp;"."&amp;$B349)</f>
        <v/>
      </c>
      <c r="G349" s="30" t="str">
        <f aca="false">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30" t="str">
        <f aca="false">IF(OR($A349="",$C349&lt;&gt;"qr"),"",$D349&amp;".png")</f>
        <v/>
      </c>
      <c r="I349" s="30" t="str">
        <f aca="true">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ustomFormat="false" ht="15" hidden="false" customHeight="false" outlineLevel="0" collapsed="false">
      <c r="A350" s="30" t="str">
        <f aca="false">IF(INDEX(approvals!$A$2:$A$251,INT((ROW()-2)/2)+1)="","",INDEX(approvals!$A$2:$A$251,INT((ROW()-2)/2)+1))</f>
        <v/>
      </c>
      <c r="B350" s="30" t="str">
        <f aca="false">IF(INDEX(approvals!$A$2:$A$251,INT((ROW()-2)/2)+1)="","",INDEX(approvals!$B$2:$B$251,INT((ROW()-2)/2)+1))</f>
        <v/>
      </c>
      <c r="C350" s="30" t="str">
        <f aca="false">IF($A350="","",IF(MOD(ROW()-2,2)=0,"qr","post"))</f>
        <v/>
      </c>
      <c r="D350" s="30" t="str">
        <f aca="false">IF($A350="","",IF(LEFT($A350,7)="SAMPLE-","SAMPLE-","")&amp;LOWER(SUBSTITUTE(SUBSTITUTE($A350,"SAMPLE-",""),"CMP-","c"))&amp;"-"&amp;LOWER(SUBSTITUTE(SUBSTITUTE($B350,"SAMPLE-",""),"O-","o"))&amp;"-"&amp;IF($C350="qr","q","p"))</f>
        <v/>
      </c>
      <c r="E350" s="30" t="str">
        <f aca="false">IF($A350="","","https://"&amp;config!$B$9&amp;"/"&amp;$D350)</f>
        <v/>
      </c>
      <c r="F350" s="30" t="str">
        <f aca="false">IF($A350="","",$A350&amp;"."&amp;$B350)</f>
        <v/>
      </c>
      <c r="G350" s="30" t="str">
        <f aca="false">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30" t="str">
        <f aca="false">IF(OR($A350="",$C350&lt;&gt;"qr"),"",$D350&amp;".png")</f>
        <v/>
      </c>
      <c r="I350" s="30" t="str">
        <f aca="true">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ustomFormat="false" ht="15" hidden="false" customHeight="false" outlineLevel="0" collapsed="false">
      <c r="A351" s="30" t="str">
        <f aca="false">IF(INDEX(approvals!$A$2:$A$251,INT((ROW()-2)/2)+1)="","",INDEX(approvals!$A$2:$A$251,INT((ROW()-2)/2)+1))</f>
        <v/>
      </c>
      <c r="B351" s="30" t="str">
        <f aca="false">IF(INDEX(approvals!$A$2:$A$251,INT((ROW()-2)/2)+1)="","",INDEX(approvals!$B$2:$B$251,INT((ROW()-2)/2)+1))</f>
        <v/>
      </c>
      <c r="C351" s="30" t="str">
        <f aca="false">IF($A351="","",IF(MOD(ROW()-2,2)=0,"qr","post"))</f>
        <v/>
      </c>
      <c r="D351" s="30" t="str">
        <f aca="false">IF($A351="","",IF(LEFT($A351,7)="SAMPLE-","SAMPLE-","")&amp;LOWER(SUBSTITUTE(SUBSTITUTE($A351,"SAMPLE-",""),"CMP-","c"))&amp;"-"&amp;LOWER(SUBSTITUTE(SUBSTITUTE($B351,"SAMPLE-",""),"O-","o"))&amp;"-"&amp;IF($C351="qr","q","p"))</f>
        <v/>
      </c>
      <c r="E351" s="30" t="str">
        <f aca="false">IF($A351="","","https://"&amp;config!$B$9&amp;"/"&amp;$D351)</f>
        <v/>
      </c>
      <c r="F351" s="30" t="str">
        <f aca="false">IF($A351="","",$A351&amp;"."&amp;$B351)</f>
        <v/>
      </c>
      <c r="G351" s="30" t="str">
        <f aca="false">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30" t="str">
        <f aca="false">IF(OR($A351="",$C351&lt;&gt;"qr"),"",$D351&amp;".png")</f>
        <v/>
      </c>
      <c r="I351" s="30" t="str">
        <f aca="true">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ustomFormat="false" ht="15" hidden="false" customHeight="false" outlineLevel="0" collapsed="false">
      <c r="A352" s="30" t="str">
        <f aca="false">IF(INDEX(approvals!$A$2:$A$251,INT((ROW()-2)/2)+1)="","",INDEX(approvals!$A$2:$A$251,INT((ROW()-2)/2)+1))</f>
        <v/>
      </c>
      <c r="B352" s="30" t="str">
        <f aca="false">IF(INDEX(approvals!$A$2:$A$251,INT((ROW()-2)/2)+1)="","",INDEX(approvals!$B$2:$B$251,INT((ROW()-2)/2)+1))</f>
        <v/>
      </c>
      <c r="C352" s="30" t="str">
        <f aca="false">IF($A352="","",IF(MOD(ROW()-2,2)=0,"qr","post"))</f>
        <v/>
      </c>
      <c r="D352" s="30" t="str">
        <f aca="false">IF($A352="","",IF(LEFT($A352,7)="SAMPLE-","SAMPLE-","")&amp;LOWER(SUBSTITUTE(SUBSTITUTE($A352,"SAMPLE-",""),"CMP-","c"))&amp;"-"&amp;LOWER(SUBSTITUTE(SUBSTITUTE($B352,"SAMPLE-",""),"O-","o"))&amp;"-"&amp;IF($C352="qr","q","p"))</f>
        <v/>
      </c>
      <c r="E352" s="30" t="str">
        <f aca="false">IF($A352="","","https://"&amp;config!$B$9&amp;"/"&amp;$D352)</f>
        <v/>
      </c>
      <c r="F352" s="30" t="str">
        <f aca="false">IF($A352="","",$A352&amp;"."&amp;$B352)</f>
        <v/>
      </c>
      <c r="G352" s="30" t="str">
        <f aca="false">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30" t="str">
        <f aca="false">IF(OR($A352="",$C352&lt;&gt;"qr"),"",$D352&amp;".png")</f>
        <v/>
      </c>
      <c r="I352" s="30" t="str">
        <f aca="true">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ustomFormat="false" ht="15" hidden="false" customHeight="false" outlineLevel="0" collapsed="false">
      <c r="A353" s="30" t="str">
        <f aca="false">IF(INDEX(approvals!$A$2:$A$251,INT((ROW()-2)/2)+1)="","",INDEX(approvals!$A$2:$A$251,INT((ROW()-2)/2)+1))</f>
        <v/>
      </c>
      <c r="B353" s="30" t="str">
        <f aca="false">IF(INDEX(approvals!$A$2:$A$251,INT((ROW()-2)/2)+1)="","",INDEX(approvals!$B$2:$B$251,INT((ROW()-2)/2)+1))</f>
        <v/>
      </c>
      <c r="C353" s="30" t="str">
        <f aca="false">IF($A353="","",IF(MOD(ROW()-2,2)=0,"qr","post"))</f>
        <v/>
      </c>
      <c r="D353" s="30" t="str">
        <f aca="false">IF($A353="","",IF(LEFT($A353,7)="SAMPLE-","SAMPLE-","")&amp;LOWER(SUBSTITUTE(SUBSTITUTE($A353,"SAMPLE-",""),"CMP-","c"))&amp;"-"&amp;LOWER(SUBSTITUTE(SUBSTITUTE($B353,"SAMPLE-",""),"O-","o"))&amp;"-"&amp;IF($C353="qr","q","p"))</f>
        <v/>
      </c>
      <c r="E353" s="30" t="str">
        <f aca="false">IF($A353="","","https://"&amp;config!$B$9&amp;"/"&amp;$D353)</f>
        <v/>
      </c>
      <c r="F353" s="30" t="str">
        <f aca="false">IF($A353="","",$A353&amp;"."&amp;$B353)</f>
        <v/>
      </c>
      <c r="G353" s="30" t="str">
        <f aca="false">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30" t="str">
        <f aca="false">IF(OR($A353="",$C353&lt;&gt;"qr"),"",$D353&amp;".png")</f>
        <v/>
      </c>
      <c r="I353" s="30" t="str">
        <f aca="true">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ustomFormat="false" ht="15" hidden="false" customHeight="false" outlineLevel="0" collapsed="false">
      <c r="A354" s="30" t="str">
        <f aca="false">IF(INDEX(approvals!$A$2:$A$251,INT((ROW()-2)/2)+1)="","",INDEX(approvals!$A$2:$A$251,INT((ROW()-2)/2)+1))</f>
        <v/>
      </c>
      <c r="B354" s="30" t="str">
        <f aca="false">IF(INDEX(approvals!$A$2:$A$251,INT((ROW()-2)/2)+1)="","",INDEX(approvals!$B$2:$B$251,INT((ROW()-2)/2)+1))</f>
        <v/>
      </c>
      <c r="C354" s="30" t="str">
        <f aca="false">IF($A354="","",IF(MOD(ROW()-2,2)=0,"qr","post"))</f>
        <v/>
      </c>
      <c r="D354" s="30" t="str">
        <f aca="false">IF($A354="","",IF(LEFT($A354,7)="SAMPLE-","SAMPLE-","")&amp;LOWER(SUBSTITUTE(SUBSTITUTE($A354,"SAMPLE-",""),"CMP-","c"))&amp;"-"&amp;LOWER(SUBSTITUTE(SUBSTITUTE($B354,"SAMPLE-",""),"O-","o"))&amp;"-"&amp;IF($C354="qr","q","p"))</f>
        <v/>
      </c>
      <c r="E354" s="30" t="str">
        <f aca="false">IF($A354="","","https://"&amp;config!$B$9&amp;"/"&amp;$D354)</f>
        <v/>
      </c>
      <c r="F354" s="30" t="str">
        <f aca="false">IF($A354="","",$A354&amp;"."&amp;$B354)</f>
        <v/>
      </c>
      <c r="G354" s="30" t="str">
        <f aca="false">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30" t="str">
        <f aca="false">IF(OR($A354="",$C354&lt;&gt;"qr"),"",$D354&amp;".png")</f>
        <v/>
      </c>
      <c r="I354" s="30" t="str">
        <f aca="true">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ustomFormat="false" ht="15" hidden="false" customHeight="false" outlineLevel="0" collapsed="false">
      <c r="A355" s="30" t="str">
        <f aca="false">IF(INDEX(approvals!$A$2:$A$251,INT((ROW()-2)/2)+1)="","",INDEX(approvals!$A$2:$A$251,INT((ROW()-2)/2)+1))</f>
        <v/>
      </c>
      <c r="B355" s="30" t="str">
        <f aca="false">IF(INDEX(approvals!$A$2:$A$251,INT((ROW()-2)/2)+1)="","",INDEX(approvals!$B$2:$B$251,INT((ROW()-2)/2)+1))</f>
        <v/>
      </c>
      <c r="C355" s="30" t="str">
        <f aca="false">IF($A355="","",IF(MOD(ROW()-2,2)=0,"qr","post"))</f>
        <v/>
      </c>
      <c r="D355" s="30" t="str">
        <f aca="false">IF($A355="","",IF(LEFT($A355,7)="SAMPLE-","SAMPLE-","")&amp;LOWER(SUBSTITUTE(SUBSTITUTE($A355,"SAMPLE-",""),"CMP-","c"))&amp;"-"&amp;LOWER(SUBSTITUTE(SUBSTITUTE($B355,"SAMPLE-",""),"O-","o"))&amp;"-"&amp;IF($C355="qr","q","p"))</f>
        <v/>
      </c>
      <c r="E355" s="30" t="str">
        <f aca="false">IF($A355="","","https://"&amp;config!$B$9&amp;"/"&amp;$D355)</f>
        <v/>
      </c>
      <c r="F355" s="30" t="str">
        <f aca="false">IF($A355="","",$A355&amp;"."&amp;$B355)</f>
        <v/>
      </c>
      <c r="G355" s="30" t="str">
        <f aca="false">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30" t="str">
        <f aca="false">IF(OR($A355="",$C355&lt;&gt;"qr"),"",$D355&amp;".png")</f>
        <v/>
      </c>
      <c r="I355" s="30" t="str">
        <f aca="true">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ustomFormat="false" ht="15" hidden="false" customHeight="false" outlineLevel="0" collapsed="false">
      <c r="A356" s="30" t="str">
        <f aca="false">IF(INDEX(approvals!$A$2:$A$251,INT((ROW()-2)/2)+1)="","",INDEX(approvals!$A$2:$A$251,INT((ROW()-2)/2)+1))</f>
        <v/>
      </c>
      <c r="B356" s="30" t="str">
        <f aca="false">IF(INDEX(approvals!$A$2:$A$251,INT((ROW()-2)/2)+1)="","",INDEX(approvals!$B$2:$B$251,INT((ROW()-2)/2)+1))</f>
        <v/>
      </c>
      <c r="C356" s="30" t="str">
        <f aca="false">IF($A356="","",IF(MOD(ROW()-2,2)=0,"qr","post"))</f>
        <v/>
      </c>
      <c r="D356" s="30" t="str">
        <f aca="false">IF($A356="","",IF(LEFT($A356,7)="SAMPLE-","SAMPLE-","")&amp;LOWER(SUBSTITUTE(SUBSTITUTE($A356,"SAMPLE-",""),"CMP-","c"))&amp;"-"&amp;LOWER(SUBSTITUTE(SUBSTITUTE($B356,"SAMPLE-",""),"O-","o"))&amp;"-"&amp;IF($C356="qr","q","p"))</f>
        <v/>
      </c>
      <c r="E356" s="30" t="str">
        <f aca="false">IF($A356="","","https://"&amp;config!$B$9&amp;"/"&amp;$D356)</f>
        <v/>
      </c>
      <c r="F356" s="30" t="str">
        <f aca="false">IF($A356="","",$A356&amp;"."&amp;$B356)</f>
        <v/>
      </c>
      <c r="G356" s="30" t="str">
        <f aca="false">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30" t="str">
        <f aca="false">IF(OR($A356="",$C356&lt;&gt;"qr"),"",$D356&amp;".png")</f>
        <v/>
      </c>
      <c r="I356" s="30" t="str">
        <f aca="true">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ustomFormat="false" ht="15" hidden="false" customHeight="false" outlineLevel="0" collapsed="false">
      <c r="A357" s="30" t="str">
        <f aca="false">IF(INDEX(approvals!$A$2:$A$251,INT((ROW()-2)/2)+1)="","",INDEX(approvals!$A$2:$A$251,INT((ROW()-2)/2)+1))</f>
        <v/>
      </c>
      <c r="B357" s="30" t="str">
        <f aca="false">IF(INDEX(approvals!$A$2:$A$251,INT((ROW()-2)/2)+1)="","",INDEX(approvals!$B$2:$B$251,INT((ROW()-2)/2)+1))</f>
        <v/>
      </c>
      <c r="C357" s="30" t="str">
        <f aca="false">IF($A357="","",IF(MOD(ROW()-2,2)=0,"qr","post"))</f>
        <v/>
      </c>
      <c r="D357" s="30" t="str">
        <f aca="false">IF($A357="","",IF(LEFT($A357,7)="SAMPLE-","SAMPLE-","")&amp;LOWER(SUBSTITUTE(SUBSTITUTE($A357,"SAMPLE-",""),"CMP-","c"))&amp;"-"&amp;LOWER(SUBSTITUTE(SUBSTITUTE($B357,"SAMPLE-",""),"O-","o"))&amp;"-"&amp;IF($C357="qr","q","p"))</f>
        <v/>
      </c>
      <c r="E357" s="30" t="str">
        <f aca="false">IF($A357="","","https://"&amp;config!$B$9&amp;"/"&amp;$D357)</f>
        <v/>
      </c>
      <c r="F357" s="30" t="str">
        <f aca="false">IF($A357="","",$A357&amp;"."&amp;$B357)</f>
        <v/>
      </c>
      <c r="G357" s="30" t="str">
        <f aca="false">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30" t="str">
        <f aca="false">IF(OR($A357="",$C357&lt;&gt;"qr"),"",$D357&amp;".png")</f>
        <v/>
      </c>
      <c r="I357" s="30" t="str">
        <f aca="true">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ustomFormat="false" ht="15" hidden="false" customHeight="false" outlineLevel="0" collapsed="false">
      <c r="A358" s="30" t="str">
        <f aca="false">IF(INDEX(approvals!$A$2:$A$251,INT((ROW()-2)/2)+1)="","",INDEX(approvals!$A$2:$A$251,INT((ROW()-2)/2)+1))</f>
        <v/>
      </c>
      <c r="B358" s="30" t="str">
        <f aca="false">IF(INDEX(approvals!$A$2:$A$251,INT((ROW()-2)/2)+1)="","",INDEX(approvals!$B$2:$B$251,INT((ROW()-2)/2)+1))</f>
        <v/>
      </c>
      <c r="C358" s="30" t="str">
        <f aca="false">IF($A358="","",IF(MOD(ROW()-2,2)=0,"qr","post"))</f>
        <v/>
      </c>
      <c r="D358" s="30" t="str">
        <f aca="false">IF($A358="","",IF(LEFT($A358,7)="SAMPLE-","SAMPLE-","")&amp;LOWER(SUBSTITUTE(SUBSTITUTE($A358,"SAMPLE-",""),"CMP-","c"))&amp;"-"&amp;LOWER(SUBSTITUTE(SUBSTITUTE($B358,"SAMPLE-",""),"O-","o"))&amp;"-"&amp;IF($C358="qr","q","p"))</f>
        <v/>
      </c>
      <c r="E358" s="30" t="str">
        <f aca="false">IF($A358="","","https://"&amp;config!$B$9&amp;"/"&amp;$D358)</f>
        <v/>
      </c>
      <c r="F358" s="30" t="str">
        <f aca="false">IF($A358="","",$A358&amp;"."&amp;$B358)</f>
        <v/>
      </c>
      <c r="G358" s="30" t="str">
        <f aca="false">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30" t="str">
        <f aca="false">IF(OR($A358="",$C358&lt;&gt;"qr"),"",$D358&amp;".png")</f>
        <v/>
      </c>
      <c r="I358" s="30" t="str">
        <f aca="true">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ustomFormat="false" ht="15" hidden="false" customHeight="false" outlineLevel="0" collapsed="false">
      <c r="A359" s="30" t="str">
        <f aca="false">IF(INDEX(approvals!$A$2:$A$251,INT((ROW()-2)/2)+1)="","",INDEX(approvals!$A$2:$A$251,INT((ROW()-2)/2)+1))</f>
        <v/>
      </c>
      <c r="B359" s="30" t="str">
        <f aca="false">IF(INDEX(approvals!$A$2:$A$251,INT((ROW()-2)/2)+1)="","",INDEX(approvals!$B$2:$B$251,INT((ROW()-2)/2)+1))</f>
        <v/>
      </c>
      <c r="C359" s="30" t="str">
        <f aca="false">IF($A359="","",IF(MOD(ROW()-2,2)=0,"qr","post"))</f>
        <v/>
      </c>
      <c r="D359" s="30" t="str">
        <f aca="false">IF($A359="","",IF(LEFT($A359,7)="SAMPLE-","SAMPLE-","")&amp;LOWER(SUBSTITUTE(SUBSTITUTE($A359,"SAMPLE-",""),"CMP-","c"))&amp;"-"&amp;LOWER(SUBSTITUTE(SUBSTITUTE($B359,"SAMPLE-",""),"O-","o"))&amp;"-"&amp;IF($C359="qr","q","p"))</f>
        <v/>
      </c>
      <c r="E359" s="30" t="str">
        <f aca="false">IF($A359="","","https://"&amp;config!$B$9&amp;"/"&amp;$D359)</f>
        <v/>
      </c>
      <c r="F359" s="30" t="str">
        <f aca="false">IF($A359="","",$A359&amp;"."&amp;$B359)</f>
        <v/>
      </c>
      <c r="G359" s="30" t="str">
        <f aca="false">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30" t="str">
        <f aca="false">IF(OR($A359="",$C359&lt;&gt;"qr"),"",$D359&amp;".png")</f>
        <v/>
      </c>
      <c r="I359" s="30" t="str">
        <f aca="true">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ustomFormat="false" ht="15" hidden="false" customHeight="false" outlineLevel="0" collapsed="false">
      <c r="A360" s="30" t="str">
        <f aca="false">IF(INDEX(approvals!$A$2:$A$251,INT((ROW()-2)/2)+1)="","",INDEX(approvals!$A$2:$A$251,INT((ROW()-2)/2)+1))</f>
        <v/>
      </c>
      <c r="B360" s="30" t="str">
        <f aca="false">IF(INDEX(approvals!$A$2:$A$251,INT((ROW()-2)/2)+1)="","",INDEX(approvals!$B$2:$B$251,INT((ROW()-2)/2)+1))</f>
        <v/>
      </c>
      <c r="C360" s="30" t="str">
        <f aca="false">IF($A360="","",IF(MOD(ROW()-2,2)=0,"qr","post"))</f>
        <v/>
      </c>
      <c r="D360" s="30" t="str">
        <f aca="false">IF($A360="","",IF(LEFT($A360,7)="SAMPLE-","SAMPLE-","")&amp;LOWER(SUBSTITUTE(SUBSTITUTE($A360,"SAMPLE-",""),"CMP-","c"))&amp;"-"&amp;LOWER(SUBSTITUTE(SUBSTITUTE($B360,"SAMPLE-",""),"O-","o"))&amp;"-"&amp;IF($C360="qr","q","p"))</f>
        <v/>
      </c>
      <c r="E360" s="30" t="str">
        <f aca="false">IF($A360="","","https://"&amp;config!$B$9&amp;"/"&amp;$D360)</f>
        <v/>
      </c>
      <c r="F360" s="30" t="str">
        <f aca="false">IF($A360="","",$A360&amp;"."&amp;$B360)</f>
        <v/>
      </c>
      <c r="G360" s="30" t="str">
        <f aca="false">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30" t="str">
        <f aca="false">IF(OR($A360="",$C360&lt;&gt;"qr"),"",$D360&amp;".png")</f>
        <v/>
      </c>
      <c r="I360" s="30" t="str">
        <f aca="true">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ustomFormat="false" ht="15" hidden="false" customHeight="false" outlineLevel="0" collapsed="false">
      <c r="A361" s="30" t="str">
        <f aca="false">IF(INDEX(approvals!$A$2:$A$251,INT((ROW()-2)/2)+1)="","",INDEX(approvals!$A$2:$A$251,INT((ROW()-2)/2)+1))</f>
        <v/>
      </c>
      <c r="B361" s="30" t="str">
        <f aca="false">IF(INDEX(approvals!$A$2:$A$251,INT((ROW()-2)/2)+1)="","",INDEX(approvals!$B$2:$B$251,INT((ROW()-2)/2)+1))</f>
        <v/>
      </c>
      <c r="C361" s="30" t="str">
        <f aca="false">IF($A361="","",IF(MOD(ROW()-2,2)=0,"qr","post"))</f>
        <v/>
      </c>
      <c r="D361" s="30" t="str">
        <f aca="false">IF($A361="","",IF(LEFT($A361,7)="SAMPLE-","SAMPLE-","")&amp;LOWER(SUBSTITUTE(SUBSTITUTE($A361,"SAMPLE-",""),"CMP-","c"))&amp;"-"&amp;LOWER(SUBSTITUTE(SUBSTITUTE($B361,"SAMPLE-",""),"O-","o"))&amp;"-"&amp;IF($C361="qr","q","p"))</f>
        <v/>
      </c>
      <c r="E361" s="30" t="str">
        <f aca="false">IF($A361="","","https://"&amp;config!$B$9&amp;"/"&amp;$D361)</f>
        <v/>
      </c>
      <c r="F361" s="30" t="str">
        <f aca="false">IF($A361="","",$A361&amp;"."&amp;$B361)</f>
        <v/>
      </c>
      <c r="G361" s="30" t="str">
        <f aca="false">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30" t="str">
        <f aca="false">IF(OR($A361="",$C361&lt;&gt;"qr"),"",$D361&amp;".png")</f>
        <v/>
      </c>
      <c r="I361" s="30" t="str">
        <f aca="true">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ustomFormat="false" ht="15" hidden="false" customHeight="false" outlineLevel="0" collapsed="false">
      <c r="A362" s="30" t="str">
        <f aca="false">IF(INDEX(approvals!$A$2:$A$251,INT((ROW()-2)/2)+1)="","",INDEX(approvals!$A$2:$A$251,INT((ROW()-2)/2)+1))</f>
        <v/>
      </c>
      <c r="B362" s="30" t="str">
        <f aca="false">IF(INDEX(approvals!$A$2:$A$251,INT((ROW()-2)/2)+1)="","",INDEX(approvals!$B$2:$B$251,INT((ROW()-2)/2)+1))</f>
        <v/>
      </c>
      <c r="C362" s="30" t="str">
        <f aca="false">IF($A362="","",IF(MOD(ROW()-2,2)=0,"qr","post"))</f>
        <v/>
      </c>
      <c r="D362" s="30" t="str">
        <f aca="false">IF($A362="","",IF(LEFT($A362,7)="SAMPLE-","SAMPLE-","")&amp;LOWER(SUBSTITUTE(SUBSTITUTE($A362,"SAMPLE-",""),"CMP-","c"))&amp;"-"&amp;LOWER(SUBSTITUTE(SUBSTITUTE($B362,"SAMPLE-",""),"O-","o"))&amp;"-"&amp;IF($C362="qr","q","p"))</f>
        <v/>
      </c>
      <c r="E362" s="30" t="str">
        <f aca="false">IF($A362="","","https://"&amp;config!$B$9&amp;"/"&amp;$D362)</f>
        <v/>
      </c>
      <c r="F362" s="30" t="str">
        <f aca="false">IF($A362="","",$A362&amp;"."&amp;$B362)</f>
        <v/>
      </c>
      <c r="G362" s="30" t="str">
        <f aca="false">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30" t="str">
        <f aca="false">IF(OR($A362="",$C362&lt;&gt;"qr"),"",$D362&amp;".png")</f>
        <v/>
      </c>
      <c r="I362" s="30" t="str">
        <f aca="true">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ustomFormat="false" ht="15" hidden="false" customHeight="false" outlineLevel="0" collapsed="false">
      <c r="A363" s="30" t="str">
        <f aca="false">IF(INDEX(approvals!$A$2:$A$251,INT((ROW()-2)/2)+1)="","",INDEX(approvals!$A$2:$A$251,INT((ROW()-2)/2)+1))</f>
        <v/>
      </c>
      <c r="B363" s="30" t="str">
        <f aca="false">IF(INDEX(approvals!$A$2:$A$251,INT((ROW()-2)/2)+1)="","",INDEX(approvals!$B$2:$B$251,INT((ROW()-2)/2)+1))</f>
        <v/>
      </c>
      <c r="C363" s="30" t="str">
        <f aca="false">IF($A363="","",IF(MOD(ROW()-2,2)=0,"qr","post"))</f>
        <v/>
      </c>
      <c r="D363" s="30" t="str">
        <f aca="false">IF($A363="","",IF(LEFT($A363,7)="SAMPLE-","SAMPLE-","")&amp;LOWER(SUBSTITUTE(SUBSTITUTE($A363,"SAMPLE-",""),"CMP-","c"))&amp;"-"&amp;LOWER(SUBSTITUTE(SUBSTITUTE($B363,"SAMPLE-",""),"O-","o"))&amp;"-"&amp;IF($C363="qr","q","p"))</f>
        <v/>
      </c>
      <c r="E363" s="30" t="str">
        <f aca="false">IF($A363="","","https://"&amp;config!$B$9&amp;"/"&amp;$D363)</f>
        <v/>
      </c>
      <c r="F363" s="30" t="str">
        <f aca="false">IF($A363="","",$A363&amp;"."&amp;$B363)</f>
        <v/>
      </c>
      <c r="G363" s="30" t="str">
        <f aca="false">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30" t="str">
        <f aca="false">IF(OR($A363="",$C363&lt;&gt;"qr"),"",$D363&amp;".png")</f>
        <v/>
      </c>
      <c r="I363" s="30" t="str">
        <f aca="true">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ustomFormat="false" ht="15" hidden="false" customHeight="false" outlineLevel="0" collapsed="false">
      <c r="A364" s="30" t="str">
        <f aca="false">IF(INDEX(approvals!$A$2:$A$251,INT((ROW()-2)/2)+1)="","",INDEX(approvals!$A$2:$A$251,INT((ROW()-2)/2)+1))</f>
        <v/>
      </c>
      <c r="B364" s="30" t="str">
        <f aca="false">IF(INDEX(approvals!$A$2:$A$251,INT((ROW()-2)/2)+1)="","",INDEX(approvals!$B$2:$B$251,INT((ROW()-2)/2)+1))</f>
        <v/>
      </c>
      <c r="C364" s="30" t="str">
        <f aca="false">IF($A364="","",IF(MOD(ROW()-2,2)=0,"qr","post"))</f>
        <v/>
      </c>
      <c r="D364" s="30" t="str">
        <f aca="false">IF($A364="","",IF(LEFT($A364,7)="SAMPLE-","SAMPLE-","")&amp;LOWER(SUBSTITUTE(SUBSTITUTE($A364,"SAMPLE-",""),"CMP-","c"))&amp;"-"&amp;LOWER(SUBSTITUTE(SUBSTITUTE($B364,"SAMPLE-",""),"O-","o"))&amp;"-"&amp;IF($C364="qr","q","p"))</f>
        <v/>
      </c>
      <c r="E364" s="30" t="str">
        <f aca="false">IF($A364="","","https://"&amp;config!$B$9&amp;"/"&amp;$D364)</f>
        <v/>
      </c>
      <c r="F364" s="30" t="str">
        <f aca="false">IF($A364="","",$A364&amp;"."&amp;$B364)</f>
        <v/>
      </c>
      <c r="G364" s="30" t="str">
        <f aca="false">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30" t="str">
        <f aca="false">IF(OR($A364="",$C364&lt;&gt;"qr"),"",$D364&amp;".png")</f>
        <v/>
      </c>
      <c r="I364" s="30" t="str">
        <f aca="true">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ustomFormat="false" ht="15" hidden="false" customHeight="false" outlineLevel="0" collapsed="false">
      <c r="A365" s="30" t="str">
        <f aca="false">IF(INDEX(approvals!$A$2:$A$251,INT((ROW()-2)/2)+1)="","",INDEX(approvals!$A$2:$A$251,INT((ROW()-2)/2)+1))</f>
        <v/>
      </c>
      <c r="B365" s="30" t="str">
        <f aca="false">IF(INDEX(approvals!$A$2:$A$251,INT((ROW()-2)/2)+1)="","",INDEX(approvals!$B$2:$B$251,INT((ROW()-2)/2)+1))</f>
        <v/>
      </c>
      <c r="C365" s="30" t="str">
        <f aca="false">IF($A365="","",IF(MOD(ROW()-2,2)=0,"qr","post"))</f>
        <v/>
      </c>
      <c r="D365" s="30" t="str">
        <f aca="false">IF($A365="","",IF(LEFT($A365,7)="SAMPLE-","SAMPLE-","")&amp;LOWER(SUBSTITUTE(SUBSTITUTE($A365,"SAMPLE-",""),"CMP-","c"))&amp;"-"&amp;LOWER(SUBSTITUTE(SUBSTITUTE($B365,"SAMPLE-",""),"O-","o"))&amp;"-"&amp;IF($C365="qr","q","p"))</f>
        <v/>
      </c>
      <c r="E365" s="30" t="str">
        <f aca="false">IF($A365="","","https://"&amp;config!$B$9&amp;"/"&amp;$D365)</f>
        <v/>
      </c>
      <c r="F365" s="30" t="str">
        <f aca="false">IF($A365="","",$A365&amp;"."&amp;$B365)</f>
        <v/>
      </c>
      <c r="G365" s="30" t="str">
        <f aca="false">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30" t="str">
        <f aca="false">IF(OR($A365="",$C365&lt;&gt;"qr"),"",$D365&amp;".png")</f>
        <v/>
      </c>
      <c r="I365" s="30" t="str">
        <f aca="true">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ustomFormat="false" ht="15" hidden="false" customHeight="false" outlineLevel="0" collapsed="false">
      <c r="A366" s="30" t="str">
        <f aca="false">IF(INDEX(approvals!$A$2:$A$251,INT((ROW()-2)/2)+1)="","",INDEX(approvals!$A$2:$A$251,INT((ROW()-2)/2)+1))</f>
        <v/>
      </c>
      <c r="B366" s="30" t="str">
        <f aca="false">IF(INDEX(approvals!$A$2:$A$251,INT((ROW()-2)/2)+1)="","",INDEX(approvals!$B$2:$B$251,INT((ROW()-2)/2)+1))</f>
        <v/>
      </c>
      <c r="C366" s="30" t="str">
        <f aca="false">IF($A366="","",IF(MOD(ROW()-2,2)=0,"qr","post"))</f>
        <v/>
      </c>
      <c r="D366" s="30" t="str">
        <f aca="false">IF($A366="","",IF(LEFT($A366,7)="SAMPLE-","SAMPLE-","")&amp;LOWER(SUBSTITUTE(SUBSTITUTE($A366,"SAMPLE-",""),"CMP-","c"))&amp;"-"&amp;LOWER(SUBSTITUTE(SUBSTITUTE($B366,"SAMPLE-",""),"O-","o"))&amp;"-"&amp;IF($C366="qr","q","p"))</f>
        <v/>
      </c>
      <c r="E366" s="30" t="str">
        <f aca="false">IF($A366="","","https://"&amp;config!$B$9&amp;"/"&amp;$D366)</f>
        <v/>
      </c>
      <c r="F366" s="30" t="str">
        <f aca="false">IF($A366="","",$A366&amp;"."&amp;$B366)</f>
        <v/>
      </c>
      <c r="G366" s="30" t="str">
        <f aca="false">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30" t="str">
        <f aca="false">IF(OR($A366="",$C366&lt;&gt;"qr"),"",$D366&amp;".png")</f>
        <v/>
      </c>
      <c r="I366" s="30" t="str">
        <f aca="true">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ustomFormat="false" ht="15" hidden="false" customHeight="false" outlineLevel="0" collapsed="false">
      <c r="A367" s="30" t="str">
        <f aca="false">IF(INDEX(approvals!$A$2:$A$251,INT((ROW()-2)/2)+1)="","",INDEX(approvals!$A$2:$A$251,INT((ROW()-2)/2)+1))</f>
        <v/>
      </c>
      <c r="B367" s="30" t="str">
        <f aca="false">IF(INDEX(approvals!$A$2:$A$251,INT((ROW()-2)/2)+1)="","",INDEX(approvals!$B$2:$B$251,INT((ROW()-2)/2)+1))</f>
        <v/>
      </c>
      <c r="C367" s="30" t="str">
        <f aca="false">IF($A367="","",IF(MOD(ROW()-2,2)=0,"qr","post"))</f>
        <v/>
      </c>
      <c r="D367" s="30" t="str">
        <f aca="false">IF($A367="","",IF(LEFT($A367,7)="SAMPLE-","SAMPLE-","")&amp;LOWER(SUBSTITUTE(SUBSTITUTE($A367,"SAMPLE-",""),"CMP-","c"))&amp;"-"&amp;LOWER(SUBSTITUTE(SUBSTITUTE($B367,"SAMPLE-",""),"O-","o"))&amp;"-"&amp;IF($C367="qr","q","p"))</f>
        <v/>
      </c>
      <c r="E367" s="30" t="str">
        <f aca="false">IF($A367="","","https://"&amp;config!$B$9&amp;"/"&amp;$D367)</f>
        <v/>
      </c>
      <c r="F367" s="30" t="str">
        <f aca="false">IF($A367="","",$A367&amp;"."&amp;$B367)</f>
        <v/>
      </c>
      <c r="G367" s="30" t="str">
        <f aca="false">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30" t="str">
        <f aca="false">IF(OR($A367="",$C367&lt;&gt;"qr"),"",$D367&amp;".png")</f>
        <v/>
      </c>
      <c r="I367" s="30" t="str">
        <f aca="true">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ustomFormat="false" ht="15" hidden="false" customHeight="false" outlineLevel="0" collapsed="false">
      <c r="A368" s="30" t="str">
        <f aca="false">IF(INDEX(approvals!$A$2:$A$251,INT((ROW()-2)/2)+1)="","",INDEX(approvals!$A$2:$A$251,INT((ROW()-2)/2)+1))</f>
        <v/>
      </c>
      <c r="B368" s="30" t="str">
        <f aca="false">IF(INDEX(approvals!$A$2:$A$251,INT((ROW()-2)/2)+1)="","",INDEX(approvals!$B$2:$B$251,INT((ROW()-2)/2)+1))</f>
        <v/>
      </c>
      <c r="C368" s="30" t="str">
        <f aca="false">IF($A368="","",IF(MOD(ROW()-2,2)=0,"qr","post"))</f>
        <v/>
      </c>
      <c r="D368" s="30" t="str">
        <f aca="false">IF($A368="","",IF(LEFT($A368,7)="SAMPLE-","SAMPLE-","")&amp;LOWER(SUBSTITUTE(SUBSTITUTE($A368,"SAMPLE-",""),"CMP-","c"))&amp;"-"&amp;LOWER(SUBSTITUTE(SUBSTITUTE($B368,"SAMPLE-",""),"O-","o"))&amp;"-"&amp;IF($C368="qr","q","p"))</f>
        <v/>
      </c>
      <c r="E368" s="30" t="str">
        <f aca="false">IF($A368="","","https://"&amp;config!$B$9&amp;"/"&amp;$D368)</f>
        <v/>
      </c>
      <c r="F368" s="30" t="str">
        <f aca="false">IF($A368="","",$A368&amp;"."&amp;$B368)</f>
        <v/>
      </c>
      <c r="G368" s="30" t="str">
        <f aca="false">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30" t="str">
        <f aca="false">IF(OR($A368="",$C368&lt;&gt;"qr"),"",$D368&amp;".png")</f>
        <v/>
      </c>
      <c r="I368" s="30" t="str">
        <f aca="true">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ustomFormat="false" ht="15" hidden="false" customHeight="false" outlineLevel="0" collapsed="false">
      <c r="A369" s="30" t="str">
        <f aca="false">IF(INDEX(approvals!$A$2:$A$251,INT((ROW()-2)/2)+1)="","",INDEX(approvals!$A$2:$A$251,INT((ROW()-2)/2)+1))</f>
        <v/>
      </c>
      <c r="B369" s="30" t="str">
        <f aca="false">IF(INDEX(approvals!$A$2:$A$251,INT((ROW()-2)/2)+1)="","",INDEX(approvals!$B$2:$B$251,INT((ROW()-2)/2)+1))</f>
        <v/>
      </c>
      <c r="C369" s="30" t="str">
        <f aca="false">IF($A369="","",IF(MOD(ROW()-2,2)=0,"qr","post"))</f>
        <v/>
      </c>
      <c r="D369" s="30" t="str">
        <f aca="false">IF($A369="","",IF(LEFT($A369,7)="SAMPLE-","SAMPLE-","")&amp;LOWER(SUBSTITUTE(SUBSTITUTE($A369,"SAMPLE-",""),"CMP-","c"))&amp;"-"&amp;LOWER(SUBSTITUTE(SUBSTITUTE($B369,"SAMPLE-",""),"O-","o"))&amp;"-"&amp;IF($C369="qr","q","p"))</f>
        <v/>
      </c>
      <c r="E369" s="30" t="str">
        <f aca="false">IF($A369="","","https://"&amp;config!$B$9&amp;"/"&amp;$D369)</f>
        <v/>
      </c>
      <c r="F369" s="30" t="str">
        <f aca="false">IF($A369="","",$A369&amp;"."&amp;$B369)</f>
        <v/>
      </c>
      <c r="G369" s="30" t="str">
        <f aca="false">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30" t="str">
        <f aca="false">IF(OR($A369="",$C369&lt;&gt;"qr"),"",$D369&amp;".png")</f>
        <v/>
      </c>
      <c r="I369" s="30" t="str">
        <f aca="true">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ustomFormat="false" ht="15" hidden="false" customHeight="false" outlineLevel="0" collapsed="false">
      <c r="A370" s="30" t="str">
        <f aca="false">IF(INDEX(approvals!$A$2:$A$251,INT((ROW()-2)/2)+1)="","",INDEX(approvals!$A$2:$A$251,INT((ROW()-2)/2)+1))</f>
        <v/>
      </c>
      <c r="B370" s="30" t="str">
        <f aca="false">IF(INDEX(approvals!$A$2:$A$251,INT((ROW()-2)/2)+1)="","",INDEX(approvals!$B$2:$B$251,INT((ROW()-2)/2)+1))</f>
        <v/>
      </c>
      <c r="C370" s="30" t="str">
        <f aca="false">IF($A370="","",IF(MOD(ROW()-2,2)=0,"qr","post"))</f>
        <v/>
      </c>
      <c r="D370" s="30" t="str">
        <f aca="false">IF($A370="","",IF(LEFT($A370,7)="SAMPLE-","SAMPLE-","")&amp;LOWER(SUBSTITUTE(SUBSTITUTE($A370,"SAMPLE-",""),"CMP-","c"))&amp;"-"&amp;LOWER(SUBSTITUTE(SUBSTITUTE($B370,"SAMPLE-",""),"O-","o"))&amp;"-"&amp;IF($C370="qr","q","p"))</f>
        <v/>
      </c>
      <c r="E370" s="30" t="str">
        <f aca="false">IF($A370="","","https://"&amp;config!$B$9&amp;"/"&amp;$D370)</f>
        <v/>
      </c>
      <c r="F370" s="30" t="str">
        <f aca="false">IF($A370="","",$A370&amp;"."&amp;$B370)</f>
        <v/>
      </c>
      <c r="G370" s="30" t="str">
        <f aca="false">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30" t="str">
        <f aca="false">IF(OR($A370="",$C370&lt;&gt;"qr"),"",$D370&amp;".png")</f>
        <v/>
      </c>
      <c r="I370" s="30" t="str">
        <f aca="true">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ustomFormat="false" ht="15" hidden="false" customHeight="false" outlineLevel="0" collapsed="false">
      <c r="A371" s="30" t="str">
        <f aca="false">IF(INDEX(approvals!$A$2:$A$251,INT((ROW()-2)/2)+1)="","",INDEX(approvals!$A$2:$A$251,INT((ROW()-2)/2)+1))</f>
        <v/>
      </c>
      <c r="B371" s="30" t="str">
        <f aca="false">IF(INDEX(approvals!$A$2:$A$251,INT((ROW()-2)/2)+1)="","",INDEX(approvals!$B$2:$B$251,INT((ROW()-2)/2)+1))</f>
        <v/>
      </c>
      <c r="C371" s="30" t="str">
        <f aca="false">IF($A371="","",IF(MOD(ROW()-2,2)=0,"qr","post"))</f>
        <v/>
      </c>
      <c r="D371" s="30" t="str">
        <f aca="false">IF($A371="","",IF(LEFT($A371,7)="SAMPLE-","SAMPLE-","")&amp;LOWER(SUBSTITUTE(SUBSTITUTE($A371,"SAMPLE-",""),"CMP-","c"))&amp;"-"&amp;LOWER(SUBSTITUTE(SUBSTITUTE($B371,"SAMPLE-",""),"O-","o"))&amp;"-"&amp;IF($C371="qr","q","p"))</f>
        <v/>
      </c>
      <c r="E371" s="30" t="str">
        <f aca="false">IF($A371="","","https://"&amp;config!$B$9&amp;"/"&amp;$D371)</f>
        <v/>
      </c>
      <c r="F371" s="30" t="str">
        <f aca="false">IF($A371="","",$A371&amp;"."&amp;$B371)</f>
        <v/>
      </c>
      <c r="G371" s="30" t="str">
        <f aca="false">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30" t="str">
        <f aca="false">IF(OR($A371="",$C371&lt;&gt;"qr"),"",$D371&amp;".png")</f>
        <v/>
      </c>
      <c r="I371" s="30" t="str">
        <f aca="true">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ustomFormat="false" ht="15" hidden="false" customHeight="false" outlineLevel="0" collapsed="false">
      <c r="A372" s="30" t="str">
        <f aca="false">IF(INDEX(approvals!$A$2:$A$251,INT((ROW()-2)/2)+1)="","",INDEX(approvals!$A$2:$A$251,INT((ROW()-2)/2)+1))</f>
        <v/>
      </c>
      <c r="B372" s="30" t="str">
        <f aca="false">IF(INDEX(approvals!$A$2:$A$251,INT((ROW()-2)/2)+1)="","",INDEX(approvals!$B$2:$B$251,INT((ROW()-2)/2)+1))</f>
        <v/>
      </c>
      <c r="C372" s="30" t="str">
        <f aca="false">IF($A372="","",IF(MOD(ROW()-2,2)=0,"qr","post"))</f>
        <v/>
      </c>
      <c r="D372" s="30" t="str">
        <f aca="false">IF($A372="","",IF(LEFT($A372,7)="SAMPLE-","SAMPLE-","")&amp;LOWER(SUBSTITUTE(SUBSTITUTE($A372,"SAMPLE-",""),"CMP-","c"))&amp;"-"&amp;LOWER(SUBSTITUTE(SUBSTITUTE($B372,"SAMPLE-",""),"O-","o"))&amp;"-"&amp;IF($C372="qr","q","p"))</f>
        <v/>
      </c>
      <c r="E372" s="30" t="str">
        <f aca="false">IF($A372="","","https://"&amp;config!$B$9&amp;"/"&amp;$D372)</f>
        <v/>
      </c>
      <c r="F372" s="30" t="str">
        <f aca="false">IF($A372="","",$A372&amp;"."&amp;$B372)</f>
        <v/>
      </c>
      <c r="G372" s="30" t="str">
        <f aca="false">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30" t="str">
        <f aca="false">IF(OR($A372="",$C372&lt;&gt;"qr"),"",$D372&amp;".png")</f>
        <v/>
      </c>
      <c r="I372" s="30" t="str">
        <f aca="true">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ustomFormat="false" ht="15" hidden="false" customHeight="false" outlineLevel="0" collapsed="false">
      <c r="A373" s="30" t="str">
        <f aca="false">IF(INDEX(approvals!$A$2:$A$251,INT((ROW()-2)/2)+1)="","",INDEX(approvals!$A$2:$A$251,INT((ROW()-2)/2)+1))</f>
        <v/>
      </c>
      <c r="B373" s="30" t="str">
        <f aca="false">IF(INDEX(approvals!$A$2:$A$251,INT((ROW()-2)/2)+1)="","",INDEX(approvals!$B$2:$B$251,INT((ROW()-2)/2)+1))</f>
        <v/>
      </c>
      <c r="C373" s="30" t="str">
        <f aca="false">IF($A373="","",IF(MOD(ROW()-2,2)=0,"qr","post"))</f>
        <v/>
      </c>
      <c r="D373" s="30" t="str">
        <f aca="false">IF($A373="","",IF(LEFT($A373,7)="SAMPLE-","SAMPLE-","")&amp;LOWER(SUBSTITUTE(SUBSTITUTE($A373,"SAMPLE-",""),"CMP-","c"))&amp;"-"&amp;LOWER(SUBSTITUTE(SUBSTITUTE($B373,"SAMPLE-",""),"O-","o"))&amp;"-"&amp;IF($C373="qr","q","p"))</f>
        <v/>
      </c>
      <c r="E373" s="30" t="str">
        <f aca="false">IF($A373="","","https://"&amp;config!$B$9&amp;"/"&amp;$D373)</f>
        <v/>
      </c>
      <c r="F373" s="30" t="str">
        <f aca="false">IF($A373="","",$A373&amp;"."&amp;$B373)</f>
        <v/>
      </c>
      <c r="G373" s="30" t="str">
        <f aca="false">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30" t="str">
        <f aca="false">IF(OR($A373="",$C373&lt;&gt;"qr"),"",$D373&amp;".png")</f>
        <v/>
      </c>
      <c r="I373" s="30" t="str">
        <f aca="true">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ustomFormat="false" ht="15" hidden="false" customHeight="false" outlineLevel="0" collapsed="false">
      <c r="A374" s="30" t="str">
        <f aca="false">IF(INDEX(approvals!$A$2:$A$251,INT((ROW()-2)/2)+1)="","",INDEX(approvals!$A$2:$A$251,INT((ROW()-2)/2)+1))</f>
        <v/>
      </c>
      <c r="B374" s="30" t="str">
        <f aca="false">IF(INDEX(approvals!$A$2:$A$251,INT((ROW()-2)/2)+1)="","",INDEX(approvals!$B$2:$B$251,INT((ROW()-2)/2)+1))</f>
        <v/>
      </c>
      <c r="C374" s="30" t="str">
        <f aca="false">IF($A374="","",IF(MOD(ROW()-2,2)=0,"qr","post"))</f>
        <v/>
      </c>
      <c r="D374" s="30" t="str">
        <f aca="false">IF($A374="","",IF(LEFT($A374,7)="SAMPLE-","SAMPLE-","")&amp;LOWER(SUBSTITUTE(SUBSTITUTE($A374,"SAMPLE-",""),"CMP-","c"))&amp;"-"&amp;LOWER(SUBSTITUTE(SUBSTITUTE($B374,"SAMPLE-",""),"O-","o"))&amp;"-"&amp;IF($C374="qr","q","p"))</f>
        <v/>
      </c>
      <c r="E374" s="30" t="str">
        <f aca="false">IF($A374="","","https://"&amp;config!$B$9&amp;"/"&amp;$D374)</f>
        <v/>
      </c>
      <c r="F374" s="30" t="str">
        <f aca="false">IF($A374="","",$A374&amp;"."&amp;$B374)</f>
        <v/>
      </c>
      <c r="G374" s="30" t="str">
        <f aca="false">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30" t="str">
        <f aca="false">IF(OR($A374="",$C374&lt;&gt;"qr"),"",$D374&amp;".png")</f>
        <v/>
      </c>
      <c r="I374" s="30" t="str">
        <f aca="true">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ustomFormat="false" ht="15" hidden="false" customHeight="false" outlineLevel="0" collapsed="false">
      <c r="A375" s="30" t="str">
        <f aca="false">IF(INDEX(approvals!$A$2:$A$251,INT((ROW()-2)/2)+1)="","",INDEX(approvals!$A$2:$A$251,INT((ROW()-2)/2)+1))</f>
        <v/>
      </c>
      <c r="B375" s="30" t="str">
        <f aca="false">IF(INDEX(approvals!$A$2:$A$251,INT((ROW()-2)/2)+1)="","",INDEX(approvals!$B$2:$B$251,INT((ROW()-2)/2)+1))</f>
        <v/>
      </c>
      <c r="C375" s="30" t="str">
        <f aca="false">IF($A375="","",IF(MOD(ROW()-2,2)=0,"qr","post"))</f>
        <v/>
      </c>
      <c r="D375" s="30" t="str">
        <f aca="false">IF($A375="","",IF(LEFT($A375,7)="SAMPLE-","SAMPLE-","")&amp;LOWER(SUBSTITUTE(SUBSTITUTE($A375,"SAMPLE-",""),"CMP-","c"))&amp;"-"&amp;LOWER(SUBSTITUTE(SUBSTITUTE($B375,"SAMPLE-",""),"O-","o"))&amp;"-"&amp;IF($C375="qr","q","p"))</f>
        <v/>
      </c>
      <c r="E375" s="30" t="str">
        <f aca="false">IF($A375="","","https://"&amp;config!$B$9&amp;"/"&amp;$D375)</f>
        <v/>
      </c>
      <c r="F375" s="30" t="str">
        <f aca="false">IF($A375="","",$A375&amp;"."&amp;$B375)</f>
        <v/>
      </c>
      <c r="G375" s="30" t="str">
        <f aca="false">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30" t="str">
        <f aca="false">IF(OR($A375="",$C375&lt;&gt;"qr"),"",$D375&amp;".png")</f>
        <v/>
      </c>
      <c r="I375" s="30" t="str">
        <f aca="true">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ustomFormat="false" ht="15" hidden="false" customHeight="false" outlineLevel="0" collapsed="false">
      <c r="A376" s="30" t="str">
        <f aca="false">IF(INDEX(approvals!$A$2:$A$251,INT((ROW()-2)/2)+1)="","",INDEX(approvals!$A$2:$A$251,INT((ROW()-2)/2)+1))</f>
        <v/>
      </c>
      <c r="B376" s="30" t="str">
        <f aca="false">IF(INDEX(approvals!$A$2:$A$251,INT((ROW()-2)/2)+1)="","",INDEX(approvals!$B$2:$B$251,INT((ROW()-2)/2)+1))</f>
        <v/>
      </c>
      <c r="C376" s="30" t="str">
        <f aca="false">IF($A376="","",IF(MOD(ROW()-2,2)=0,"qr","post"))</f>
        <v/>
      </c>
      <c r="D376" s="30" t="str">
        <f aca="false">IF($A376="","",IF(LEFT($A376,7)="SAMPLE-","SAMPLE-","")&amp;LOWER(SUBSTITUTE(SUBSTITUTE($A376,"SAMPLE-",""),"CMP-","c"))&amp;"-"&amp;LOWER(SUBSTITUTE(SUBSTITUTE($B376,"SAMPLE-",""),"O-","o"))&amp;"-"&amp;IF($C376="qr","q","p"))</f>
        <v/>
      </c>
      <c r="E376" s="30" t="str">
        <f aca="false">IF($A376="","","https://"&amp;config!$B$9&amp;"/"&amp;$D376)</f>
        <v/>
      </c>
      <c r="F376" s="30" t="str">
        <f aca="false">IF($A376="","",$A376&amp;"."&amp;$B376)</f>
        <v/>
      </c>
      <c r="G376" s="30" t="str">
        <f aca="false">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30" t="str">
        <f aca="false">IF(OR($A376="",$C376&lt;&gt;"qr"),"",$D376&amp;".png")</f>
        <v/>
      </c>
      <c r="I376" s="30" t="str">
        <f aca="true">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ustomFormat="false" ht="15" hidden="false" customHeight="false" outlineLevel="0" collapsed="false">
      <c r="A377" s="30" t="str">
        <f aca="false">IF(INDEX(approvals!$A$2:$A$251,INT((ROW()-2)/2)+1)="","",INDEX(approvals!$A$2:$A$251,INT((ROW()-2)/2)+1))</f>
        <v/>
      </c>
      <c r="B377" s="30" t="str">
        <f aca="false">IF(INDEX(approvals!$A$2:$A$251,INT((ROW()-2)/2)+1)="","",INDEX(approvals!$B$2:$B$251,INT((ROW()-2)/2)+1))</f>
        <v/>
      </c>
      <c r="C377" s="30" t="str">
        <f aca="false">IF($A377="","",IF(MOD(ROW()-2,2)=0,"qr","post"))</f>
        <v/>
      </c>
      <c r="D377" s="30" t="str">
        <f aca="false">IF($A377="","",IF(LEFT($A377,7)="SAMPLE-","SAMPLE-","")&amp;LOWER(SUBSTITUTE(SUBSTITUTE($A377,"SAMPLE-",""),"CMP-","c"))&amp;"-"&amp;LOWER(SUBSTITUTE(SUBSTITUTE($B377,"SAMPLE-",""),"O-","o"))&amp;"-"&amp;IF($C377="qr","q","p"))</f>
        <v/>
      </c>
      <c r="E377" s="30" t="str">
        <f aca="false">IF($A377="","","https://"&amp;config!$B$9&amp;"/"&amp;$D377)</f>
        <v/>
      </c>
      <c r="F377" s="30" t="str">
        <f aca="false">IF($A377="","",$A377&amp;"."&amp;$B377)</f>
        <v/>
      </c>
      <c r="G377" s="30" t="str">
        <f aca="false">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30" t="str">
        <f aca="false">IF(OR($A377="",$C377&lt;&gt;"qr"),"",$D377&amp;".png")</f>
        <v/>
      </c>
      <c r="I377" s="30" t="str">
        <f aca="true">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ustomFormat="false" ht="15" hidden="false" customHeight="false" outlineLevel="0" collapsed="false">
      <c r="A378" s="30" t="str">
        <f aca="false">IF(INDEX(approvals!$A$2:$A$251,INT((ROW()-2)/2)+1)="","",INDEX(approvals!$A$2:$A$251,INT((ROW()-2)/2)+1))</f>
        <v/>
      </c>
      <c r="B378" s="30" t="str">
        <f aca="false">IF(INDEX(approvals!$A$2:$A$251,INT((ROW()-2)/2)+1)="","",INDEX(approvals!$B$2:$B$251,INT((ROW()-2)/2)+1))</f>
        <v/>
      </c>
      <c r="C378" s="30" t="str">
        <f aca="false">IF($A378="","",IF(MOD(ROW()-2,2)=0,"qr","post"))</f>
        <v/>
      </c>
      <c r="D378" s="30" t="str">
        <f aca="false">IF($A378="","",IF(LEFT($A378,7)="SAMPLE-","SAMPLE-","")&amp;LOWER(SUBSTITUTE(SUBSTITUTE($A378,"SAMPLE-",""),"CMP-","c"))&amp;"-"&amp;LOWER(SUBSTITUTE(SUBSTITUTE($B378,"SAMPLE-",""),"O-","o"))&amp;"-"&amp;IF($C378="qr","q","p"))</f>
        <v/>
      </c>
      <c r="E378" s="30" t="str">
        <f aca="false">IF($A378="","","https://"&amp;config!$B$9&amp;"/"&amp;$D378)</f>
        <v/>
      </c>
      <c r="F378" s="30" t="str">
        <f aca="false">IF($A378="","",$A378&amp;"."&amp;$B378)</f>
        <v/>
      </c>
      <c r="G378" s="30" t="str">
        <f aca="false">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30" t="str">
        <f aca="false">IF(OR($A378="",$C378&lt;&gt;"qr"),"",$D378&amp;".png")</f>
        <v/>
      </c>
      <c r="I378" s="30" t="str">
        <f aca="true">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ustomFormat="false" ht="15" hidden="false" customHeight="false" outlineLevel="0" collapsed="false">
      <c r="A379" s="30" t="str">
        <f aca="false">IF(INDEX(approvals!$A$2:$A$251,INT((ROW()-2)/2)+1)="","",INDEX(approvals!$A$2:$A$251,INT((ROW()-2)/2)+1))</f>
        <v/>
      </c>
      <c r="B379" s="30" t="str">
        <f aca="false">IF(INDEX(approvals!$A$2:$A$251,INT((ROW()-2)/2)+1)="","",INDEX(approvals!$B$2:$B$251,INT((ROW()-2)/2)+1))</f>
        <v/>
      </c>
      <c r="C379" s="30" t="str">
        <f aca="false">IF($A379="","",IF(MOD(ROW()-2,2)=0,"qr","post"))</f>
        <v/>
      </c>
      <c r="D379" s="30" t="str">
        <f aca="false">IF($A379="","",IF(LEFT($A379,7)="SAMPLE-","SAMPLE-","")&amp;LOWER(SUBSTITUTE(SUBSTITUTE($A379,"SAMPLE-",""),"CMP-","c"))&amp;"-"&amp;LOWER(SUBSTITUTE(SUBSTITUTE($B379,"SAMPLE-",""),"O-","o"))&amp;"-"&amp;IF($C379="qr","q","p"))</f>
        <v/>
      </c>
      <c r="E379" s="30" t="str">
        <f aca="false">IF($A379="","","https://"&amp;config!$B$9&amp;"/"&amp;$D379)</f>
        <v/>
      </c>
      <c r="F379" s="30" t="str">
        <f aca="false">IF($A379="","",$A379&amp;"."&amp;$B379)</f>
        <v/>
      </c>
      <c r="G379" s="30" t="str">
        <f aca="false">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30" t="str">
        <f aca="false">IF(OR($A379="",$C379&lt;&gt;"qr"),"",$D379&amp;".png")</f>
        <v/>
      </c>
      <c r="I379" s="30" t="str">
        <f aca="true">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ustomFormat="false" ht="15" hidden="false" customHeight="false" outlineLevel="0" collapsed="false">
      <c r="A380" s="30" t="str">
        <f aca="false">IF(INDEX(approvals!$A$2:$A$251,INT((ROW()-2)/2)+1)="","",INDEX(approvals!$A$2:$A$251,INT((ROW()-2)/2)+1))</f>
        <v/>
      </c>
      <c r="B380" s="30" t="str">
        <f aca="false">IF(INDEX(approvals!$A$2:$A$251,INT((ROW()-2)/2)+1)="","",INDEX(approvals!$B$2:$B$251,INT((ROW()-2)/2)+1))</f>
        <v/>
      </c>
      <c r="C380" s="30" t="str">
        <f aca="false">IF($A380="","",IF(MOD(ROW()-2,2)=0,"qr","post"))</f>
        <v/>
      </c>
      <c r="D380" s="30" t="str">
        <f aca="false">IF($A380="","",IF(LEFT($A380,7)="SAMPLE-","SAMPLE-","")&amp;LOWER(SUBSTITUTE(SUBSTITUTE($A380,"SAMPLE-",""),"CMP-","c"))&amp;"-"&amp;LOWER(SUBSTITUTE(SUBSTITUTE($B380,"SAMPLE-",""),"O-","o"))&amp;"-"&amp;IF($C380="qr","q","p"))</f>
        <v/>
      </c>
      <c r="E380" s="30" t="str">
        <f aca="false">IF($A380="","","https://"&amp;config!$B$9&amp;"/"&amp;$D380)</f>
        <v/>
      </c>
      <c r="F380" s="30" t="str">
        <f aca="false">IF($A380="","",$A380&amp;"."&amp;$B380)</f>
        <v/>
      </c>
      <c r="G380" s="30" t="str">
        <f aca="false">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30" t="str">
        <f aca="false">IF(OR($A380="",$C380&lt;&gt;"qr"),"",$D380&amp;".png")</f>
        <v/>
      </c>
      <c r="I380" s="30" t="str">
        <f aca="true">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ustomFormat="false" ht="15" hidden="false" customHeight="false" outlineLevel="0" collapsed="false">
      <c r="A381" s="30" t="str">
        <f aca="false">IF(INDEX(approvals!$A$2:$A$251,INT((ROW()-2)/2)+1)="","",INDEX(approvals!$A$2:$A$251,INT((ROW()-2)/2)+1))</f>
        <v/>
      </c>
      <c r="B381" s="30" t="str">
        <f aca="false">IF(INDEX(approvals!$A$2:$A$251,INT((ROW()-2)/2)+1)="","",INDEX(approvals!$B$2:$B$251,INT((ROW()-2)/2)+1))</f>
        <v/>
      </c>
      <c r="C381" s="30" t="str">
        <f aca="false">IF($A381="","",IF(MOD(ROW()-2,2)=0,"qr","post"))</f>
        <v/>
      </c>
      <c r="D381" s="30" t="str">
        <f aca="false">IF($A381="","",IF(LEFT($A381,7)="SAMPLE-","SAMPLE-","")&amp;LOWER(SUBSTITUTE(SUBSTITUTE($A381,"SAMPLE-",""),"CMP-","c"))&amp;"-"&amp;LOWER(SUBSTITUTE(SUBSTITUTE($B381,"SAMPLE-",""),"O-","o"))&amp;"-"&amp;IF($C381="qr","q","p"))</f>
        <v/>
      </c>
      <c r="E381" s="30" t="str">
        <f aca="false">IF($A381="","","https://"&amp;config!$B$9&amp;"/"&amp;$D381)</f>
        <v/>
      </c>
      <c r="F381" s="30" t="str">
        <f aca="false">IF($A381="","",$A381&amp;"."&amp;$B381)</f>
        <v/>
      </c>
      <c r="G381" s="30" t="str">
        <f aca="false">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30" t="str">
        <f aca="false">IF(OR($A381="",$C381&lt;&gt;"qr"),"",$D381&amp;".png")</f>
        <v/>
      </c>
      <c r="I381" s="30" t="str">
        <f aca="true">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ustomFormat="false" ht="15" hidden="false" customHeight="false" outlineLevel="0" collapsed="false">
      <c r="A382" s="30" t="str">
        <f aca="false">IF(INDEX(approvals!$A$2:$A$251,INT((ROW()-2)/2)+1)="","",INDEX(approvals!$A$2:$A$251,INT((ROW()-2)/2)+1))</f>
        <v/>
      </c>
      <c r="B382" s="30" t="str">
        <f aca="false">IF(INDEX(approvals!$A$2:$A$251,INT((ROW()-2)/2)+1)="","",INDEX(approvals!$B$2:$B$251,INT((ROW()-2)/2)+1))</f>
        <v/>
      </c>
      <c r="C382" s="30" t="str">
        <f aca="false">IF($A382="","",IF(MOD(ROW()-2,2)=0,"qr","post"))</f>
        <v/>
      </c>
      <c r="D382" s="30" t="str">
        <f aca="false">IF($A382="","",IF(LEFT($A382,7)="SAMPLE-","SAMPLE-","")&amp;LOWER(SUBSTITUTE(SUBSTITUTE($A382,"SAMPLE-",""),"CMP-","c"))&amp;"-"&amp;LOWER(SUBSTITUTE(SUBSTITUTE($B382,"SAMPLE-",""),"O-","o"))&amp;"-"&amp;IF($C382="qr","q","p"))</f>
        <v/>
      </c>
      <c r="E382" s="30" t="str">
        <f aca="false">IF($A382="","","https://"&amp;config!$B$9&amp;"/"&amp;$D382)</f>
        <v/>
      </c>
      <c r="F382" s="30" t="str">
        <f aca="false">IF($A382="","",$A382&amp;"."&amp;$B382)</f>
        <v/>
      </c>
      <c r="G382" s="30" t="str">
        <f aca="false">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30" t="str">
        <f aca="false">IF(OR($A382="",$C382&lt;&gt;"qr"),"",$D382&amp;".png")</f>
        <v/>
      </c>
      <c r="I382" s="30" t="str">
        <f aca="true">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ustomFormat="false" ht="15" hidden="false" customHeight="false" outlineLevel="0" collapsed="false">
      <c r="A383" s="30" t="str">
        <f aca="false">IF(INDEX(approvals!$A$2:$A$251,INT((ROW()-2)/2)+1)="","",INDEX(approvals!$A$2:$A$251,INT((ROW()-2)/2)+1))</f>
        <v/>
      </c>
      <c r="B383" s="30" t="str">
        <f aca="false">IF(INDEX(approvals!$A$2:$A$251,INT((ROW()-2)/2)+1)="","",INDEX(approvals!$B$2:$B$251,INT((ROW()-2)/2)+1))</f>
        <v/>
      </c>
      <c r="C383" s="30" t="str">
        <f aca="false">IF($A383="","",IF(MOD(ROW()-2,2)=0,"qr","post"))</f>
        <v/>
      </c>
      <c r="D383" s="30" t="str">
        <f aca="false">IF($A383="","",IF(LEFT($A383,7)="SAMPLE-","SAMPLE-","")&amp;LOWER(SUBSTITUTE(SUBSTITUTE($A383,"SAMPLE-",""),"CMP-","c"))&amp;"-"&amp;LOWER(SUBSTITUTE(SUBSTITUTE($B383,"SAMPLE-",""),"O-","o"))&amp;"-"&amp;IF($C383="qr","q","p"))</f>
        <v/>
      </c>
      <c r="E383" s="30" t="str">
        <f aca="false">IF($A383="","","https://"&amp;config!$B$9&amp;"/"&amp;$D383)</f>
        <v/>
      </c>
      <c r="F383" s="30" t="str">
        <f aca="false">IF($A383="","",$A383&amp;"."&amp;$B383)</f>
        <v/>
      </c>
      <c r="G383" s="30" t="str">
        <f aca="false">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30" t="str">
        <f aca="false">IF(OR($A383="",$C383&lt;&gt;"qr"),"",$D383&amp;".png")</f>
        <v/>
      </c>
      <c r="I383" s="30" t="str">
        <f aca="true">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ustomFormat="false" ht="15" hidden="false" customHeight="false" outlineLevel="0" collapsed="false">
      <c r="A384" s="30" t="str">
        <f aca="false">IF(INDEX(approvals!$A$2:$A$251,INT((ROW()-2)/2)+1)="","",INDEX(approvals!$A$2:$A$251,INT((ROW()-2)/2)+1))</f>
        <v/>
      </c>
      <c r="B384" s="30" t="str">
        <f aca="false">IF(INDEX(approvals!$A$2:$A$251,INT((ROW()-2)/2)+1)="","",INDEX(approvals!$B$2:$B$251,INT((ROW()-2)/2)+1))</f>
        <v/>
      </c>
      <c r="C384" s="30" t="str">
        <f aca="false">IF($A384="","",IF(MOD(ROW()-2,2)=0,"qr","post"))</f>
        <v/>
      </c>
      <c r="D384" s="30" t="str">
        <f aca="false">IF($A384="","",IF(LEFT($A384,7)="SAMPLE-","SAMPLE-","")&amp;LOWER(SUBSTITUTE(SUBSTITUTE($A384,"SAMPLE-",""),"CMP-","c"))&amp;"-"&amp;LOWER(SUBSTITUTE(SUBSTITUTE($B384,"SAMPLE-",""),"O-","o"))&amp;"-"&amp;IF($C384="qr","q","p"))</f>
        <v/>
      </c>
      <c r="E384" s="30" t="str">
        <f aca="false">IF($A384="","","https://"&amp;config!$B$9&amp;"/"&amp;$D384)</f>
        <v/>
      </c>
      <c r="F384" s="30" t="str">
        <f aca="false">IF($A384="","",$A384&amp;"."&amp;$B384)</f>
        <v/>
      </c>
      <c r="G384" s="30" t="str">
        <f aca="false">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30" t="str">
        <f aca="false">IF(OR($A384="",$C384&lt;&gt;"qr"),"",$D384&amp;".png")</f>
        <v/>
      </c>
      <c r="I384" s="30" t="str">
        <f aca="true">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ustomFormat="false" ht="15" hidden="false" customHeight="false" outlineLevel="0" collapsed="false">
      <c r="A385" s="30" t="str">
        <f aca="false">IF(INDEX(approvals!$A$2:$A$251,INT((ROW()-2)/2)+1)="","",INDEX(approvals!$A$2:$A$251,INT((ROW()-2)/2)+1))</f>
        <v/>
      </c>
      <c r="B385" s="30" t="str">
        <f aca="false">IF(INDEX(approvals!$A$2:$A$251,INT((ROW()-2)/2)+1)="","",INDEX(approvals!$B$2:$B$251,INT((ROW()-2)/2)+1))</f>
        <v/>
      </c>
      <c r="C385" s="30" t="str">
        <f aca="false">IF($A385="","",IF(MOD(ROW()-2,2)=0,"qr","post"))</f>
        <v/>
      </c>
      <c r="D385" s="30" t="str">
        <f aca="false">IF($A385="","",IF(LEFT($A385,7)="SAMPLE-","SAMPLE-","")&amp;LOWER(SUBSTITUTE(SUBSTITUTE($A385,"SAMPLE-",""),"CMP-","c"))&amp;"-"&amp;LOWER(SUBSTITUTE(SUBSTITUTE($B385,"SAMPLE-",""),"O-","o"))&amp;"-"&amp;IF($C385="qr","q","p"))</f>
        <v/>
      </c>
      <c r="E385" s="30" t="str">
        <f aca="false">IF($A385="","","https://"&amp;config!$B$9&amp;"/"&amp;$D385)</f>
        <v/>
      </c>
      <c r="F385" s="30" t="str">
        <f aca="false">IF($A385="","",$A385&amp;"."&amp;$B385)</f>
        <v/>
      </c>
      <c r="G385" s="30" t="str">
        <f aca="false">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30" t="str">
        <f aca="false">IF(OR($A385="",$C385&lt;&gt;"qr"),"",$D385&amp;".png")</f>
        <v/>
      </c>
      <c r="I385" s="30" t="str">
        <f aca="true">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ustomFormat="false" ht="15" hidden="false" customHeight="false" outlineLevel="0" collapsed="false">
      <c r="A386" s="30" t="str">
        <f aca="false">IF(INDEX(approvals!$A$2:$A$251,INT((ROW()-2)/2)+1)="","",INDEX(approvals!$A$2:$A$251,INT((ROW()-2)/2)+1))</f>
        <v/>
      </c>
      <c r="B386" s="30" t="str">
        <f aca="false">IF(INDEX(approvals!$A$2:$A$251,INT((ROW()-2)/2)+1)="","",INDEX(approvals!$B$2:$B$251,INT((ROW()-2)/2)+1))</f>
        <v/>
      </c>
      <c r="C386" s="30" t="str">
        <f aca="false">IF($A386="","",IF(MOD(ROW()-2,2)=0,"qr","post"))</f>
        <v/>
      </c>
      <c r="D386" s="30" t="str">
        <f aca="false">IF($A386="","",IF(LEFT($A386,7)="SAMPLE-","SAMPLE-","")&amp;LOWER(SUBSTITUTE(SUBSTITUTE($A386,"SAMPLE-",""),"CMP-","c"))&amp;"-"&amp;LOWER(SUBSTITUTE(SUBSTITUTE($B386,"SAMPLE-",""),"O-","o"))&amp;"-"&amp;IF($C386="qr","q","p"))</f>
        <v/>
      </c>
      <c r="E386" s="30" t="str">
        <f aca="false">IF($A386="","","https://"&amp;config!$B$9&amp;"/"&amp;$D386)</f>
        <v/>
      </c>
      <c r="F386" s="30" t="str">
        <f aca="false">IF($A386="","",$A386&amp;"."&amp;$B386)</f>
        <v/>
      </c>
      <c r="G386" s="30" t="str">
        <f aca="false">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30" t="str">
        <f aca="false">IF(OR($A386="",$C386&lt;&gt;"qr"),"",$D386&amp;".png")</f>
        <v/>
      </c>
      <c r="I386" s="30" t="str">
        <f aca="true">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ustomFormat="false" ht="15" hidden="false" customHeight="false" outlineLevel="0" collapsed="false">
      <c r="A387" s="30" t="str">
        <f aca="false">IF(INDEX(approvals!$A$2:$A$251,INT((ROW()-2)/2)+1)="","",INDEX(approvals!$A$2:$A$251,INT((ROW()-2)/2)+1))</f>
        <v/>
      </c>
      <c r="B387" s="30" t="str">
        <f aca="false">IF(INDEX(approvals!$A$2:$A$251,INT((ROW()-2)/2)+1)="","",INDEX(approvals!$B$2:$B$251,INT((ROW()-2)/2)+1))</f>
        <v/>
      </c>
      <c r="C387" s="30" t="str">
        <f aca="false">IF($A387="","",IF(MOD(ROW()-2,2)=0,"qr","post"))</f>
        <v/>
      </c>
      <c r="D387" s="30" t="str">
        <f aca="false">IF($A387="","",IF(LEFT($A387,7)="SAMPLE-","SAMPLE-","")&amp;LOWER(SUBSTITUTE(SUBSTITUTE($A387,"SAMPLE-",""),"CMP-","c"))&amp;"-"&amp;LOWER(SUBSTITUTE(SUBSTITUTE($B387,"SAMPLE-",""),"O-","o"))&amp;"-"&amp;IF($C387="qr","q","p"))</f>
        <v/>
      </c>
      <c r="E387" s="30" t="str">
        <f aca="false">IF($A387="","","https://"&amp;config!$B$9&amp;"/"&amp;$D387)</f>
        <v/>
      </c>
      <c r="F387" s="30" t="str">
        <f aca="false">IF($A387="","",$A387&amp;"."&amp;$B387)</f>
        <v/>
      </c>
      <c r="G387" s="30" t="str">
        <f aca="false">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30" t="str">
        <f aca="false">IF(OR($A387="",$C387&lt;&gt;"qr"),"",$D387&amp;".png")</f>
        <v/>
      </c>
      <c r="I387" s="30" t="str">
        <f aca="true">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ustomFormat="false" ht="15" hidden="false" customHeight="false" outlineLevel="0" collapsed="false">
      <c r="A388" s="30" t="str">
        <f aca="false">IF(INDEX(approvals!$A$2:$A$251,INT((ROW()-2)/2)+1)="","",INDEX(approvals!$A$2:$A$251,INT((ROW()-2)/2)+1))</f>
        <v/>
      </c>
      <c r="B388" s="30" t="str">
        <f aca="false">IF(INDEX(approvals!$A$2:$A$251,INT((ROW()-2)/2)+1)="","",INDEX(approvals!$B$2:$B$251,INT((ROW()-2)/2)+1))</f>
        <v/>
      </c>
      <c r="C388" s="30" t="str">
        <f aca="false">IF($A388="","",IF(MOD(ROW()-2,2)=0,"qr","post"))</f>
        <v/>
      </c>
      <c r="D388" s="30" t="str">
        <f aca="false">IF($A388="","",IF(LEFT($A388,7)="SAMPLE-","SAMPLE-","")&amp;LOWER(SUBSTITUTE(SUBSTITUTE($A388,"SAMPLE-",""),"CMP-","c"))&amp;"-"&amp;LOWER(SUBSTITUTE(SUBSTITUTE($B388,"SAMPLE-",""),"O-","o"))&amp;"-"&amp;IF($C388="qr","q","p"))</f>
        <v/>
      </c>
      <c r="E388" s="30" t="str">
        <f aca="false">IF($A388="","","https://"&amp;config!$B$9&amp;"/"&amp;$D388)</f>
        <v/>
      </c>
      <c r="F388" s="30" t="str">
        <f aca="false">IF($A388="","",$A388&amp;"."&amp;$B388)</f>
        <v/>
      </c>
      <c r="G388" s="30" t="str">
        <f aca="false">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30" t="str">
        <f aca="false">IF(OR($A388="",$C388&lt;&gt;"qr"),"",$D388&amp;".png")</f>
        <v/>
      </c>
      <c r="I388" s="30" t="str">
        <f aca="true">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ustomFormat="false" ht="15" hidden="false" customHeight="false" outlineLevel="0" collapsed="false">
      <c r="A389" s="30" t="str">
        <f aca="false">IF(INDEX(approvals!$A$2:$A$251,INT((ROW()-2)/2)+1)="","",INDEX(approvals!$A$2:$A$251,INT((ROW()-2)/2)+1))</f>
        <v/>
      </c>
      <c r="B389" s="30" t="str">
        <f aca="false">IF(INDEX(approvals!$A$2:$A$251,INT((ROW()-2)/2)+1)="","",INDEX(approvals!$B$2:$B$251,INT((ROW()-2)/2)+1))</f>
        <v/>
      </c>
      <c r="C389" s="30" t="str">
        <f aca="false">IF($A389="","",IF(MOD(ROW()-2,2)=0,"qr","post"))</f>
        <v/>
      </c>
      <c r="D389" s="30" t="str">
        <f aca="false">IF($A389="","",IF(LEFT($A389,7)="SAMPLE-","SAMPLE-","")&amp;LOWER(SUBSTITUTE(SUBSTITUTE($A389,"SAMPLE-",""),"CMP-","c"))&amp;"-"&amp;LOWER(SUBSTITUTE(SUBSTITUTE($B389,"SAMPLE-",""),"O-","o"))&amp;"-"&amp;IF($C389="qr","q","p"))</f>
        <v/>
      </c>
      <c r="E389" s="30" t="str">
        <f aca="false">IF($A389="","","https://"&amp;config!$B$9&amp;"/"&amp;$D389)</f>
        <v/>
      </c>
      <c r="F389" s="30" t="str">
        <f aca="false">IF($A389="","",$A389&amp;"."&amp;$B389)</f>
        <v/>
      </c>
      <c r="G389" s="30" t="str">
        <f aca="false">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30" t="str">
        <f aca="false">IF(OR($A389="",$C389&lt;&gt;"qr"),"",$D389&amp;".png")</f>
        <v/>
      </c>
      <c r="I389" s="30" t="str">
        <f aca="true">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ustomFormat="false" ht="15" hidden="false" customHeight="false" outlineLevel="0" collapsed="false">
      <c r="A390" s="30" t="str">
        <f aca="false">IF(INDEX(approvals!$A$2:$A$251,INT((ROW()-2)/2)+1)="","",INDEX(approvals!$A$2:$A$251,INT((ROW()-2)/2)+1))</f>
        <v/>
      </c>
      <c r="B390" s="30" t="str">
        <f aca="false">IF(INDEX(approvals!$A$2:$A$251,INT((ROW()-2)/2)+1)="","",INDEX(approvals!$B$2:$B$251,INT((ROW()-2)/2)+1))</f>
        <v/>
      </c>
      <c r="C390" s="30" t="str">
        <f aca="false">IF($A390="","",IF(MOD(ROW()-2,2)=0,"qr","post"))</f>
        <v/>
      </c>
      <c r="D390" s="30" t="str">
        <f aca="false">IF($A390="","",IF(LEFT($A390,7)="SAMPLE-","SAMPLE-","")&amp;LOWER(SUBSTITUTE(SUBSTITUTE($A390,"SAMPLE-",""),"CMP-","c"))&amp;"-"&amp;LOWER(SUBSTITUTE(SUBSTITUTE($B390,"SAMPLE-",""),"O-","o"))&amp;"-"&amp;IF($C390="qr","q","p"))</f>
        <v/>
      </c>
      <c r="E390" s="30" t="str">
        <f aca="false">IF($A390="","","https://"&amp;config!$B$9&amp;"/"&amp;$D390)</f>
        <v/>
      </c>
      <c r="F390" s="30" t="str">
        <f aca="false">IF($A390="","",$A390&amp;"."&amp;$B390)</f>
        <v/>
      </c>
      <c r="G390" s="30" t="str">
        <f aca="false">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30" t="str">
        <f aca="false">IF(OR($A390="",$C390&lt;&gt;"qr"),"",$D390&amp;".png")</f>
        <v/>
      </c>
      <c r="I390" s="30" t="str">
        <f aca="true">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ustomFormat="false" ht="15" hidden="false" customHeight="false" outlineLevel="0" collapsed="false">
      <c r="A391" s="30" t="str">
        <f aca="false">IF(INDEX(approvals!$A$2:$A$251,INT((ROW()-2)/2)+1)="","",INDEX(approvals!$A$2:$A$251,INT((ROW()-2)/2)+1))</f>
        <v/>
      </c>
      <c r="B391" s="30" t="str">
        <f aca="false">IF(INDEX(approvals!$A$2:$A$251,INT((ROW()-2)/2)+1)="","",INDEX(approvals!$B$2:$B$251,INT((ROW()-2)/2)+1))</f>
        <v/>
      </c>
      <c r="C391" s="30" t="str">
        <f aca="false">IF($A391="","",IF(MOD(ROW()-2,2)=0,"qr","post"))</f>
        <v/>
      </c>
      <c r="D391" s="30" t="str">
        <f aca="false">IF($A391="","",IF(LEFT($A391,7)="SAMPLE-","SAMPLE-","")&amp;LOWER(SUBSTITUTE(SUBSTITUTE($A391,"SAMPLE-",""),"CMP-","c"))&amp;"-"&amp;LOWER(SUBSTITUTE(SUBSTITUTE($B391,"SAMPLE-",""),"O-","o"))&amp;"-"&amp;IF($C391="qr","q","p"))</f>
        <v/>
      </c>
      <c r="E391" s="30" t="str">
        <f aca="false">IF($A391="","","https://"&amp;config!$B$9&amp;"/"&amp;$D391)</f>
        <v/>
      </c>
      <c r="F391" s="30" t="str">
        <f aca="false">IF($A391="","",$A391&amp;"."&amp;$B391)</f>
        <v/>
      </c>
      <c r="G391" s="30" t="str">
        <f aca="false">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30" t="str">
        <f aca="false">IF(OR($A391="",$C391&lt;&gt;"qr"),"",$D391&amp;".png")</f>
        <v/>
      </c>
      <c r="I391" s="30" t="str">
        <f aca="true">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ustomFormat="false" ht="15" hidden="false" customHeight="false" outlineLevel="0" collapsed="false">
      <c r="A392" s="30" t="str">
        <f aca="false">IF(INDEX(approvals!$A$2:$A$251,INT((ROW()-2)/2)+1)="","",INDEX(approvals!$A$2:$A$251,INT((ROW()-2)/2)+1))</f>
        <v/>
      </c>
      <c r="B392" s="30" t="str">
        <f aca="false">IF(INDEX(approvals!$A$2:$A$251,INT((ROW()-2)/2)+1)="","",INDEX(approvals!$B$2:$B$251,INT((ROW()-2)/2)+1))</f>
        <v/>
      </c>
      <c r="C392" s="30" t="str">
        <f aca="false">IF($A392="","",IF(MOD(ROW()-2,2)=0,"qr","post"))</f>
        <v/>
      </c>
      <c r="D392" s="30" t="str">
        <f aca="false">IF($A392="","",IF(LEFT($A392,7)="SAMPLE-","SAMPLE-","")&amp;LOWER(SUBSTITUTE(SUBSTITUTE($A392,"SAMPLE-",""),"CMP-","c"))&amp;"-"&amp;LOWER(SUBSTITUTE(SUBSTITUTE($B392,"SAMPLE-",""),"O-","o"))&amp;"-"&amp;IF($C392="qr","q","p"))</f>
        <v/>
      </c>
      <c r="E392" s="30" t="str">
        <f aca="false">IF($A392="","","https://"&amp;config!$B$9&amp;"/"&amp;$D392)</f>
        <v/>
      </c>
      <c r="F392" s="30" t="str">
        <f aca="false">IF($A392="","",$A392&amp;"."&amp;$B392)</f>
        <v/>
      </c>
      <c r="G392" s="30" t="str">
        <f aca="false">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30" t="str">
        <f aca="false">IF(OR($A392="",$C392&lt;&gt;"qr"),"",$D392&amp;".png")</f>
        <v/>
      </c>
      <c r="I392" s="30" t="str">
        <f aca="true">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ustomFormat="false" ht="15" hidden="false" customHeight="false" outlineLevel="0" collapsed="false">
      <c r="A393" s="30" t="str">
        <f aca="false">IF(INDEX(approvals!$A$2:$A$251,INT((ROW()-2)/2)+1)="","",INDEX(approvals!$A$2:$A$251,INT((ROW()-2)/2)+1))</f>
        <v/>
      </c>
      <c r="B393" s="30" t="str">
        <f aca="false">IF(INDEX(approvals!$A$2:$A$251,INT((ROW()-2)/2)+1)="","",INDEX(approvals!$B$2:$B$251,INT((ROW()-2)/2)+1))</f>
        <v/>
      </c>
      <c r="C393" s="30" t="str">
        <f aca="false">IF($A393="","",IF(MOD(ROW()-2,2)=0,"qr","post"))</f>
        <v/>
      </c>
      <c r="D393" s="30" t="str">
        <f aca="false">IF($A393="","",IF(LEFT($A393,7)="SAMPLE-","SAMPLE-","")&amp;LOWER(SUBSTITUTE(SUBSTITUTE($A393,"SAMPLE-",""),"CMP-","c"))&amp;"-"&amp;LOWER(SUBSTITUTE(SUBSTITUTE($B393,"SAMPLE-",""),"O-","o"))&amp;"-"&amp;IF($C393="qr","q","p"))</f>
        <v/>
      </c>
      <c r="E393" s="30" t="str">
        <f aca="false">IF($A393="","","https://"&amp;config!$B$9&amp;"/"&amp;$D393)</f>
        <v/>
      </c>
      <c r="F393" s="30" t="str">
        <f aca="false">IF($A393="","",$A393&amp;"."&amp;$B393)</f>
        <v/>
      </c>
      <c r="G393" s="30" t="str">
        <f aca="false">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30" t="str">
        <f aca="false">IF(OR($A393="",$C393&lt;&gt;"qr"),"",$D393&amp;".png")</f>
        <v/>
      </c>
      <c r="I393" s="30" t="str">
        <f aca="true">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ustomFormat="false" ht="15" hidden="false" customHeight="false" outlineLevel="0" collapsed="false">
      <c r="A394" s="30" t="str">
        <f aca="false">IF(INDEX(approvals!$A$2:$A$251,INT((ROW()-2)/2)+1)="","",INDEX(approvals!$A$2:$A$251,INT((ROW()-2)/2)+1))</f>
        <v/>
      </c>
      <c r="B394" s="30" t="str">
        <f aca="false">IF(INDEX(approvals!$A$2:$A$251,INT((ROW()-2)/2)+1)="","",INDEX(approvals!$B$2:$B$251,INT((ROW()-2)/2)+1))</f>
        <v/>
      </c>
      <c r="C394" s="30" t="str">
        <f aca="false">IF($A394="","",IF(MOD(ROW()-2,2)=0,"qr","post"))</f>
        <v/>
      </c>
      <c r="D394" s="30" t="str">
        <f aca="false">IF($A394="","",IF(LEFT($A394,7)="SAMPLE-","SAMPLE-","")&amp;LOWER(SUBSTITUTE(SUBSTITUTE($A394,"SAMPLE-",""),"CMP-","c"))&amp;"-"&amp;LOWER(SUBSTITUTE(SUBSTITUTE($B394,"SAMPLE-",""),"O-","o"))&amp;"-"&amp;IF($C394="qr","q","p"))</f>
        <v/>
      </c>
      <c r="E394" s="30" t="str">
        <f aca="false">IF($A394="","","https://"&amp;config!$B$9&amp;"/"&amp;$D394)</f>
        <v/>
      </c>
      <c r="F394" s="30" t="str">
        <f aca="false">IF($A394="","",$A394&amp;"."&amp;$B394)</f>
        <v/>
      </c>
      <c r="G394" s="30" t="str">
        <f aca="false">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30" t="str">
        <f aca="false">IF(OR($A394="",$C394&lt;&gt;"qr"),"",$D394&amp;".png")</f>
        <v/>
      </c>
      <c r="I394" s="30" t="str">
        <f aca="true">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ustomFormat="false" ht="15" hidden="false" customHeight="false" outlineLevel="0" collapsed="false">
      <c r="A395" s="30" t="str">
        <f aca="false">IF(INDEX(approvals!$A$2:$A$251,INT((ROW()-2)/2)+1)="","",INDEX(approvals!$A$2:$A$251,INT((ROW()-2)/2)+1))</f>
        <v/>
      </c>
      <c r="B395" s="30" t="str">
        <f aca="false">IF(INDEX(approvals!$A$2:$A$251,INT((ROW()-2)/2)+1)="","",INDEX(approvals!$B$2:$B$251,INT((ROW()-2)/2)+1))</f>
        <v/>
      </c>
      <c r="C395" s="30" t="str">
        <f aca="false">IF($A395="","",IF(MOD(ROW()-2,2)=0,"qr","post"))</f>
        <v/>
      </c>
      <c r="D395" s="30" t="str">
        <f aca="false">IF($A395="","",IF(LEFT($A395,7)="SAMPLE-","SAMPLE-","")&amp;LOWER(SUBSTITUTE(SUBSTITUTE($A395,"SAMPLE-",""),"CMP-","c"))&amp;"-"&amp;LOWER(SUBSTITUTE(SUBSTITUTE($B395,"SAMPLE-",""),"O-","o"))&amp;"-"&amp;IF($C395="qr","q","p"))</f>
        <v/>
      </c>
      <c r="E395" s="30" t="str">
        <f aca="false">IF($A395="","","https://"&amp;config!$B$9&amp;"/"&amp;$D395)</f>
        <v/>
      </c>
      <c r="F395" s="30" t="str">
        <f aca="false">IF($A395="","",$A395&amp;"."&amp;$B395)</f>
        <v/>
      </c>
      <c r="G395" s="30" t="str">
        <f aca="false">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30" t="str">
        <f aca="false">IF(OR($A395="",$C395&lt;&gt;"qr"),"",$D395&amp;".png")</f>
        <v/>
      </c>
      <c r="I395" s="30" t="str">
        <f aca="true">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ustomFormat="false" ht="15" hidden="false" customHeight="false" outlineLevel="0" collapsed="false">
      <c r="A396" s="30" t="str">
        <f aca="false">IF(INDEX(approvals!$A$2:$A$251,INT((ROW()-2)/2)+1)="","",INDEX(approvals!$A$2:$A$251,INT((ROW()-2)/2)+1))</f>
        <v/>
      </c>
      <c r="B396" s="30" t="str">
        <f aca="false">IF(INDEX(approvals!$A$2:$A$251,INT((ROW()-2)/2)+1)="","",INDEX(approvals!$B$2:$B$251,INT((ROW()-2)/2)+1))</f>
        <v/>
      </c>
      <c r="C396" s="30" t="str">
        <f aca="false">IF($A396="","",IF(MOD(ROW()-2,2)=0,"qr","post"))</f>
        <v/>
      </c>
      <c r="D396" s="30" t="str">
        <f aca="false">IF($A396="","",IF(LEFT($A396,7)="SAMPLE-","SAMPLE-","")&amp;LOWER(SUBSTITUTE(SUBSTITUTE($A396,"SAMPLE-",""),"CMP-","c"))&amp;"-"&amp;LOWER(SUBSTITUTE(SUBSTITUTE($B396,"SAMPLE-",""),"O-","o"))&amp;"-"&amp;IF($C396="qr","q","p"))</f>
        <v/>
      </c>
      <c r="E396" s="30" t="str">
        <f aca="false">IF($A396="","","https://"&amp;config!$B$9&amp;"/"&amp;$D396)</f>
        <v/>
      </c>
      <c r="F396" s="30" t="str">
        <f aca="false">IF($A396="","",$A396&amp;"."&amp;$B396)</f>
        <v/>
      </c>
      <c r="G396" s="30" t="str">
        <f aca="false">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30" t="str">
        <f aca="false">IF(OR($A396="",$C396&lt;&gt;"qr"),"",$D396&amp;".png")</f>
        <v/>
      </c>
      <c r="I396" s="30" t="str">
        <f aca="true">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ustomFormat="false" ht="15" hidden="false" customHeight="false" outlineLevel="0" collapsed="false">
      <c r="A397" s="30" t="str">
        <f aca="false">IF(INDEX(approvals!$A$2:$A$251,INT((ROW()-2)/2)+1)="","",INDEX(approvals!$A$2:$A$251,INT((ROW()-2)/2)+1))</f>
        <v/>
      </c>
      <c r="B397" s="30" t="str">
        <f aca="false">IF(INDEX(approvals!$A$2:$A$251,INT((ROW()-2)/2)+1)="","",INDEX(approvals!$B$2:$B$251,INT((ROW()-2)/2)+1))</f>
        <v/>
      </c>
      <c r="C397" s="30" t="str">
        <f aca="false">IF($A397="","",IF(MOD(ROW()-2,2)=0,"qr","post"))</f>
        <v/>
      </c>
      <c r="D397" s="30" t="str">
        <f aca="false">IF($A397="","",IF(LEFT($A397,7)="SAMPLE-","SAMPLE-","")&amp;LOWER(SUBSTITUTE(SUBSTITUTE($A397,"SAMPLE-",""),"CMP-","c"))&amp;"-"&amp;LOWER(SUBSTITUTE(SUBSTITUTE($B397,"SAMPLE-",""),"O-","o"))&amp;"-"&amp;IF($C397="qr","q","p"))</f>
        <v/>
      </c>
      <c r="E397" s="30" t="str">
        <f aca="false">IF($A397="","","https://"&amp;config!$B$9&amp;"/"&amp;$D397)</f>
        <v/>
      </c>
      <c r="F397" s="30" t="str">
        <f aca="false">IF($A397="","",$A397&amp;"."&amp;$B397)</f>
        <v/>
      </c>
      <c r="G397" s="30" t="str">
        <f aca="false">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30" t="str">
        <f aca="false">IF(OR($A397="",$C397&lt;&gt;"qr"),"",$D397&amp;".png")</f>
        <v/>
      </c>
      <c r="I397" s="30" t="str">
        <f aca="true">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ustomFormat="false" ht="15" hidden="false" customHeight="false" outlineLevel="0" collapsed="false">
      <c r="A398" s="30" t="str">
        <f aca="false">IF(INDEX(approvals!$A$2:$A$251,INT((ROW()-2)/2)+1)="","",INDEX(approvals!$A$2:$A$251,INT((ROW()-2)/2)+1))</f>
        <v/>
      </c>
      <c r="B398" s="30" t="str">
        <f aca="false">IF(INDEX(approvals!$A$2:$A$251,INT((ROW()-2)/2)+1)="","",INDEX(approvals!$B$2:$B$251,INT((ROW()-2)/2)+1))</f>
        <v/>
      </c>
      <c r="C398" s="30" t="str">
        <f aca="false">IF($A398="","",IF(MOD(ROW()-2,2)=0,"qr","post"))</f>
        <v/>
      </c>
      <c r="D398" s="30" t="str">
        <f aca="false">IF($A398="","",IF(LEFT($A398,7)="SAMPLE-","SAMPLE-","")&amp;LOWER(SUBSTITUTE(SUBSTITUTE($A398,"SAMPLE-",""),"CMP-","c"))&amp;"-"&amp;LOWER(SUBSTITUTE(SUBSTITUTE($B398,"SAMPLE-",""),"O-","o"))&amp;"-"&amp;IF($C398="qr","q","p"))</f>
        <v/>
      </c>
      <c r="E398" s="30" t="str">
        <f aca="false">IF($A398="","","https://"&amp;config!$B$9&amp;"/"&amp;$D398)</f>
        <v/>
      </c>
      <c r="F398" s="30" t="str">
        <f aca="false">IF($A398="","",$A398&amp;"."&amp;$B398)</f>
        <v/>
      </c>
      <c r="G398" s="30" t="str">
        <f aca="false">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30" t="str">
        <f aca="false">IF(OR($A398="",$C398&lt;&gt;"qr"),"",$D398&amp;".png")</f>
        <v/>
      </c>
      <c r="I398" s="30" t="str">
        <f aca="true">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ustomFormat="false" ht="15" hidden="false" customHeight="false" outlineLevel="0" collapsed="false">
      <c r="A399" s="30" t="str">
        <f aca="false">IF(INDEX(approvals!$A$2:$A$251,INT((ROW()-2)/2)+1)="","",INDEX(approvals!$A$2:$A$251,INT((ROW()-2)/2)+1))</f>
        <v/>
      </c>
      <c r="B399" s="30" t="str">
        <f aca="false">IF(INDEX(approvals!$A$2:$A$251,INT((ROW()-2)/2)+1)="","",INDEX(approvals!$B$2:$B$251,INT((ROW()-2)/2)+1))</f>
        <v/>
      </c>
      <c r="C399" s="30" t="str">
        <f aca="false">IF($A399="","",IF(MOD(ROW()-2,2)=0,"qr","post"))</f>
        <v/>
      </c>
      <c r="D399" s="30" t="str">
        <f aca="false">IF($A399="","",IF(LEFT($A399,7)="SAMPLE-","SAMPLE-","")&amp;LOWER(SUBSTITUTE(SUBSTITUTE($A399,"SAMPLE-",""),"CMP-","c"))&amp;"-"&amp;LOWER(SUBSTITUTE(SUBSTITUTE($B399,"SAMPLE-",""),"O-","o"))&amp;"-"&amp;IF($C399="qr","q","p"))</f>
        <v/>
      </c>
      <c r="E399" s="30" t="str">
        <f aca="false">IF($A399="","","https://"&amp;config!$B$9&amp;"/"&amp;$D399)</f>
        <v/>
      </c>
      <c r="F399" s="30" t="str">
        <f aca="false">IF($A399="","",$A399&amp;"."&amp;$B399)</f>
        <v/>
      </c>
      <c r="G399" s="30" t="str">
        <f aca="false">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30" t="str">
        <f aca="false">IF(OR($A399="",$C399&lt;&gt;"qr"),"",$D399&amp;".png")</f>
        <v/>
      </c>
      <c r="I399" s="30" t="str">
        <f aca="true">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ustomFormat="false" ht="15" hidden="false" customHeight="false" outlineLevel="0" collapsed="false">
      <c r="A400" s="30" t="str">
        <f aca="false">IF(INDEX(approvals!$A$2:$A$251,INT((ROW()-2)/2)+1)="","",INDEX(approvals!$A$2:$A$251,INT((ROW()-2)/2)+1))</f>
        <v/>
      </c>
      <c r="B400" s="30" t="str">
        <f aca="false">IF(INDEX(approvals!$A$2:$A$251,INT((ROW()-2)/2)+1)="","",INDEX(approvals!$B$2:$B$251,INT((ROW()-2)/2)+1))</f>
        <v/>
      </c>
      <c r="C400" s="30" t="str">
        <f aca="false">IF($A400="","",IF(MOD(ROW()-2,2)=0,"qr","post"))</f>
        <v/>
      </c>
      <c r="D400" s="30" t="str">
        <f aca="false">IF($A400="","",IF(LEFT($A400,7)="SAMPLE-","SAMPLE-","")&amp;LOWER(SUBSTITUTE(SUBSTITUTE($A400,"SAMPLE-",""),"CMP-","c"))&amp;"-"&amp;LOWER(SUBSTITUTE(SUBSTITUTE($B400,"SAMPLE-",""),"O-","o"))&amp;"-"&amp;IF($C400="qr","q","p"))</f>
        <v/>
      </c>
      <c r="E400" s="30" t="str">
        <f aca="false">IF($A400="","","https://"&amp;config!$B$9&amp;"/"&amp;$D400)</f>
        <v/>
      </c>
      <c r="F400" s="30" t="str">
        <f aca="false">IF($A400="","",$A400&amp;"."&amp;$B400)</f>
        <v/>
      </c>
      <c r="G400" s="30" t="str">
        <f aca="false">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30" t="str">
        <f aca="false">IF(OR($A400="",$C400&lt;&gt;"qr"),"",$D400&amp;".png")</f>
        <v/>
      </c>
      <c r="I400" s="30" t="str">
        <f aca="true">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ustomFormat="false" ht="15" hidden="false" customHeight="false" outlineLevel="0" collapsed="false">
      <c r="A401" s="30" t="str">
        <f aca="false">IF(INDEX(approvals!$A$2:$A$251,INT((ROW()-2)/2)+1)="","",INDEX(approvals!$A$2:$A$251,INT((ROW()-2)/2)+1))</f>
        <v/>
      </c>
      <c r="B401" s="30" t="str">
        <f aca="false">IF(INDEX(approvals!$A$2:$A$251,INT((ROW()-2)/2)+1)="","",INDEX(approvals!$B$2:$B$251,INT((ROW()-2)/2)+1))</f>
        <v/>
      </c>
      <c r="C401" s="30" t="str">
        <f aca="false">IF($A401="","",IF(MOD(ROW()-2,2)=0,"qr","post"))</f>
        <v/>
      </c>
      <c r="D401" s="30" t="str">
        <f aca="false">IF($A401="","",IF(LEFT($A401,7)="SAMPLE-","SAMPLE-","")&amp;LOWER(SUBSTITUTE(SUBSTITUTE($A401,"SAMPLE-",""),"CMP-","c"))&amp;"-"&amp;LOWER(SUBSTITUTE(SUBSTITUTE($B401,"SAMPLE-",""),"O-","o"))&amp;"-"&amp;IF($C401="qr","q","p"))</f>
        <v/>
      </c>
      <c r="E401" s="30" t="str">
        <f aca="false">IF($A401="","","https://"&amp;config!$B$9&amp;"/"&amp;$D401)</f>
        <v/>
      </c>
      <c r="F401" s="30" t="str">
        <f aca="false">IF($A401="","",$A401&amp;"."&amp;$B401)</f>
        <v/>
      </c>
      <c r="G401" s="30" t="str">
        <f aca="false">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30" t="str">
        <f aca="false">IF(OR($A401="",$C401&lt;&gt;"qr"),"",$D401&amp;".png")</f>
        <v/>
      </c>
      <c r="I401" s="30" t="str">
        <f aca="true">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ustomFormat="false" ht="15" hidden="false" customHeight="false" outlineLevel="0" collapsed="false">
      <c r="A402" s="30" t="str">
        <f aca="false">IF(INDEX(approvals!$A$2:$A$251,INT((ROW()-2)/2)+1)="","",INDEX(approvals!$A$2:$A$251,INT((ROW()-2)/2)+1))</f>
        <v/>
      </c>
      <c r="B402" s="30" t="str">
        <f aca="false">IF(INDEX(approvals!$A$2:$A$251,INT((ROW()-2)/2)+1)="","",INDEX(approvals!$B$2:$B$251,INT((ROW()-2)/2)+1))</f>
        <v/>
      </c>
      <c r="C402" s="30" t="str">
        <f aca="false">IF($A402="","",IF(MOD(ROW()-2,2)=0,"qr","post"))</f>
        <v/>
      </c>
      <c r="D402" s="30" t="str">
        <f aca="false">IF($A402="","",IF(LEFT($A402,7)="SAMPLE-","SAMPLE-","")&amp;LOWER(SUBSTITUTE(SUBSTITUTE($A402,"SAMPLE-",""),"CMP-","c"))&amp;"-"&amp;LOWER(SUBSTITUTE(SUBSTITUTE($B402,"SAMPLE-",""),"O-","o"))&amp;"-"&amp;IF($C402="qr","q","p"))</f>
        <v/>
      </c>
      <c r="E402" s="30" t="str">
        <f aca="false">IF($A402="","","https://"&amp;config!$B$9&amp;"/"&amp;$D402)</f>
        <v/>
      </c>
      <c r="F402" s="30" t="str">
        <f aca="false">IF($A402="","",$A402&amp;"."&amp;$B402)</f>
        <v/>
      </c>
      <c r="G402" s="30" t="str">
        <f aca="false">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30" t="str">
        <f aca="false">IF(OR($A402="",$C402&lt;&gt;"qr"),"",$D402&amp;".png")</f>
        <v/>
      </c>
      <c r="I402" s="30" t="str">
        <f aca="true">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ustomFormat="false" ht="15" hidden="false" customHeight="false" outlineLevel="0" collapsed="false">
      <c r="A403" s="30" t="str">
        <f aca="false">IF(INDEX(approvals!$A$2:$A$251,INT((ROW()-2)/2)+1)="","",INDEX(approvals!$A$2:$A$251,INT((ROW()-2)/2)+1))</f>
        <v/>
      </c>
      <c r="B403" s="30" t="str">
        <f aca="false">IF(INDEX(approvals!$A$2:$A$251,INT((ROW()-2)/2)+1)="","",INDEX(approvals!$B$2:$B$251,INT((ROW()-2)/2)+1))</f>
        <v/>
      </c>
      <c r="C403" s="30" t="str">
        <f aca="false">IF($A403="","",IF(MOD(ROW()-2,2)=0,"qr","post"))</f>
        <v/>
      </c>
      <c r="D403" s="30" t="str">
        <f aca="false">IF($A403="","",IF(LEFT($A403,7)="SAMPLE-","SAMPLE-","")&amp;LOWER(SUBSTITUTE(SUBSTITUTE($A403,"SAMPLE-",""),"CMP-","c"))&amp;"-"&amp;LOWER(SUBSTITUTE(SUBSTITUTE($B403,"SAMPLE-",""),"O-","o"))&amp;"-"&amp;IF($C403="qr","q","p"))</f>
        <v/>
      </c>
      <c r="E403" s="30" t="str">
        <f aca="false">IF($A403="","","https://"&amp;config!$B$9&amp;"/"&amp;$D403)</f>
        <v/>
      </c>
      <c r="F403" s="30" t="str">
        <f aca="false">IF($A403="","",$A403&amp;"."&amp;$B403)</f>
        <v/>
      </c>
      <c r="G403" s="30" t="str">
        <f aca="false">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30" t="str">
        <f aca="false">IF(OR($A403="",$C403&lt;&gt;"qr"),"",$D403&amp;".png")</f>
        <v/>
      </c>
      <c r="I403" s="30" t="str">
        <f aca="true">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ustomFormat="false" ht="15" hidden="false" customHeight="false" outlineLevel="0" collapsed="false">
      <c r="A404" s="30" t="str">
        <f aca="false">IF(INDEX(approvals!$A$2:$A$251,INT((ROW()-2)/2)+1)="","",INDEX(approvals!$A$2:$A$251,INT((ROW()-2)/2)+1))</f>
        <v/>
      </c>
      <c r="B404" s="30" t="str">
        <f aca="false">IF(INDEX(approvals!$A$2:$A$251,INT((ROW()-2)/2)+1)="","",INDEX(approvals!$B$2:$B$251,INT((ROW()-2)/2)+1))</f>
        <v/>
      </c>
      <c r="C404" s="30" t="str">
        <f aca="false">IF($A404="","",IF(MOD(ROW()-2,2)=0,"qr","post"))</f>
        <v/>
      </c>
      <c r="D404" s="30" t="str">
        <f aca="false">IF($A404="","",IF(LEFT($A404,7)="SAMPLE-","SAMPLE-","")&amp;LOWER(SUBSTITUTE(SUBSTITUTE($A404,"SAMPLE-",""),"CMP-","c"))&amp;"-"&amp;LOWER(SUBSTITUTE(SUBSTITUTE($B404,"SAMPLE-",""),"O-","o"))&amp;"-"&amp;IF($C404="qr","q","p"))</f>
        <v/>
      </c>
      <c r="E404" s="30" t="str">
        <f aca="false">IF($A404="","","https://"&amp;config!$B$9&amp;"/"&amp;$D404)</f>
        <v/>
      </c>
      <c r="F404" s="30" t="str">
        <f aca="false">IF($A404="","",$A404&amp;"."&amp;$B404)</f>
        <v/>
      </c>
      <c r="G404" s="30" t="str">
        <f aca="false">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30" t="str">
        <f aca="false">IF(OR($A404="",$C404&lt;&gt;"qr"),"",$D404&amp;".png")</f>
        <v/>
      </c>
      <c r="I404" s="30" t="str">
        <f aca="true">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ustomFormat="false" ht="15" hidden="false" customHeight="false" outlineLevel="0" collapsed="false">
      <c r="A405" s="30" t="str">
        <f aca="false">IF(INDEX(approvals!$A$2:$A$251,INT((ROW()-2)/2)+1)="","",INDEX(approvals!$A$2:$A$251,INT((ROW()-2)/2)+1))</f>
        <v/>
      </c>
      <c r="B405" s="30" t="str">
        <f aca="false">IF(INDEX(approvals!$A$2:$A$251,INT((ROW()-2)/2)+1)="","",INDEX(approvals!$B$2:$B$251,INT((ROW()-2)/2)+1))</f>
        <v/>
      </c>
      <c r="C405" s="30" t="str">
        <f aca="false">IF($A405="","",IF(MOD(ROW()-2,2)=0,"qr","post"))</f>
        <v/>
      </c>
      <c r="D405" s="30" t="str">
        <f aca="false">IF($A405="","",IF(LEFT($A405,7)="SAMPLE-","SAMPLE-","")&amp;LOWER(SUBSTITUTE(SUBSTITUTE($A405,"SAMPLE-",""),"CMP-","c"))&amp;"-"&amp;LOWER(SUBSTITUTE(SUBSTITUTE($B405,"SAMPLE-",""),"O-","o"))&amp;"-"&amp;IF($C405="qr","q","p"))</f>
        <v/>
      </c>
      <c r="E405" s="30" t="str">
        <f aca="false">IF($A405="","","https://"&amp;config!$B$9&amp;"/"&amp;$D405)</f>
        <v/>
      </c>
      <c r="F405" s="30" t="str">
        <f aca="false">IF($A405="","",$A405&amp;"."&amp;$B405)</f>
        <v/>
      </c>
      <c r="G405" s="30" t="str">
        <f aca="false">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30" t="str">
        <f aca="false">IF(OR($A405="",$C405&lt;&gt;"qr"),"",$D405&amp;".png")</f>
        <v/>
      </c>
      <c r="I405" s="30" t="str">
        <f aca="true">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ustomFormat="false" ht="15" hidden="false" customHeight="false" outlineLevel="0" collapsed="false">
      <c r="A406" s="30" t="str">
        <f aca="false">IF(INDEX(approvals!$A$2:$A$251,INT((ROW()-2)/2)+1)="","",INDEX(approvals!$A$2:$A$251,INT((ROW()-2)/2)+1))</f>
        <v/>
      </c>
      <c r="B406" s="30" t="str">
        <f aca="false">IF(INDEX(approvals!$A$2:$A$251,INT((ROW()-2)/2)+1)="","",INDEX(approvals!$B$2:$B$251,INT((ROW()-2)/2)+1))</f>
        <v/>
      </c>
      <c r="C406" s="30" t="str">
        <f aca="false">IF($A406="","",IF(MOD(ROW()-2,2)=0,"qr","post"))</f>
        <v/>
      </c>
      <c r="D406" s="30" t="str">
        <f aca="false">IF($A406="","",IF(LEFT($A406,7)="SAMPLE-","SAMPLE-","")&amp;LOWER(SUBSTITUTE(SUBSTITUTE($A406,"SAMPLE-",""),"CMP-","c"))&amp;"-"&amp;LOWER(SUBSTITUTE(SUBSTITUTE($B406,"SAMPLE-",""),"O-","o"))&amp;"-"&amp;IF($C406="qr","q","p"))</f>
        <v/>
      </c>
      <c r="E406" s="30" t="str">
        <f aca="false">IF($A406="","","https://"&amp;config!$B$9&amp;"/"&amp;$D406)</f>
        <v/>
      </c>
      <c r="F406" s="30" t="str">
        <f aca="false">IF($A406="","",$A406&amp;"."&amp;$B406)</f>
        <v/>
      </c>
      <c r="G406" s="30" t="str">
        <f aca="false">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30" t="str">
        <f aca="false">IF(OR($A406="",$C406&lt;&gt;"qr"),"",$D406&amp;".png")</f>
        <v/>
      </c>
      <c r="I406" s="30" t="str">
        <f aca="true">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ustomFormat="false" ht="15" hidden="false" customHeight="false" outlineLevel="0" collapsed="false">
      <c r="A407" s="30" t="str">
        <f aca="false">IF(INDEX(approvals!$A$2:$A$251,INT((ROW()-2)/2)+1)="","",INDEX(approvals!$A$2:$A$251,INT((ROW()-2)/2)+1))</f>
        <v/>
      </c>
      <c r="B407" s="30" t="str">
        <f aca="false">IF(INDEX(approvals!$A$2:$A$251,INT((ROW()-2)/2)+1)="","",INDEX(approvals!$B$2:$B$251,INT((ROW()-2)/2)+1))</f>
        <v/>
      </c>
      <c r="C407" s="30" t="str">
        <f aca="false">IF($A407="","",IF(MOD(ROW()-2,2)=0,"qr","post"))</f>
        <v/>
      </c>
      <c r="D407" s="30" t="str">
        <f aca="false">IF($A407="","",IF(LEFT($A407,7)="SAMPLE-","SAMPLE-","")&amp;LOWER(SUBSTITUTE(SUBSTITUTE($A407,"SAMPLE-",""),"CMP-","c"))&amp;"-"&amp;LOWER(SUBSTITUTE(SUBSTITUTE($B407,"SAMPLE-",""),"O-","o"))&amp;"-"&amp;IF($C407="qr","q","p"))</f>
        <v/>
      </c>
      <c r="E407" s="30" t="str">
        <f aca="false">IF($A407="","","https://"&amp;config!$B$9&amp;"/"&amp;$D407)</f>
        <v/>
      </c>
      <c r="F407" s="30" t="str">
        <f aca="false">IF($A407="","",$A407&amp;"."&amp;$B407)</f>
        <v/>
      </c>
      <c r="G407" s="30" t="str">
        <f aca="false">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30" t="str">
        <f aca="false">IF(OR($A407="",$C407&lt;&gt;"qr"),"",$D407&amp;".png")</f>
        <v/>
      </c>
      <c r="I407" s="30" t="str">
        <f aca="true">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ustomFormat="false" ht="15" hidden="false" customHeight="false" outlineLevel="0" collapsed="false">
      <c r="A408" s="30" t="str">
        <f aca="false">IF(INDEX(approvals!$A$2:$A$251,INT((ROW()-2)/2)+1)="","",INDEX(approvals!$A$2:$A$251,INT((ROW()-2)/2)+1))</f>
        <v/>
      </c>
      <c r="B408" s="30" t="str">
        <f aca="false">IF(INDEX(approvals!$A$2:$A$251,INT((ROW()-2)/2)+1)="","",INDEX(approvals!$B$2:$B$251,INT((ROW()-2)/2)+1))</f>
        <v/>
      </c>
      <c r="C408" s="30" t="str">
        <f aca="false">IF($A408="","",IF(MOD(ROW()-2,2)=0,"qr","post"))</f>
        <v/>
      </c>
      <c r="D408" s="30" t="str">
        <f aca="false">IF($A408="","",IF(LEFT($A408,7)="SAMPLE-","SAMPLE-","")&amp;LOWER(SUBSTITUTE(SUBSTITUTE($A408,"SAMPLE-",""),"CMP-","c"))&amp;"-"&amp;LOWER(SUBSTITUTE(SUBSTITUTE($B408,"SAMPLE-",""),"O-","o"))&amp;"-"&amp;IF($C408="qr","q","p"))</f>
        <v/>
      </c>
      <c r="E408" s="30" t="str">
        <f aca="false">IF($A408="","","https://"&amp;config!$B$9&amp;"/"&amp;$D408)</f>
        <v/>
      </c>
      <c r="F408" s="30" t="str">
        <f aca="false">IF($A408="","",$A408&amp;"."&amp;$B408)</f>
        <v/>
      </c>
      <c r="G408" s="30" t="str">
        <f aca="false">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30" t="str">
        <f aca="false">IF(OR($A408="",$C408&lt;&gt;"qr"),"",$D408&amp;".png")</f>
        <v/>
      </c>
      <c r="I408" s="30" t="str">
        <f aca="true">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ustomFormat="false" ht="15" hidden="false" customHeight="false" outlineLevel="0" collapsed="false">
      <c r="A409" s="30" t="str">
        <f aca="false">IF(INDEX(approvals!$A$2:$A$251,INT((ROW()-2)/2)+1)="","",INDEX(approvals!$A$2:$A$251,INT((ROW()-2)/2)+1))</f>
        <v/>
      </c>
      <c r="B409" s="30" t="str">
        <f aca="false">IF(INDEX(approvals!$A$2:$A$251,INT((ROW()-2)/2)+1)="","",INDEX(approvals!$B$2:$B$251,INT((ROW()-2)/2)+1))</f>
        <v/>
      </c>
      <c r="C409" s="30" t="str">
        <f aca="false">IF($A409="","",IF(MOD(ROW()-2,2)=0,"qr","post"))</f>
        <v/>
      </c>
      <c r="D409" s="30" t="str">
        <f aca="false">IF($A409="","",IF(LEFT($A409,7)="SAMPLE-","SAMPLE-","")&amp;LOWER(SUBSTITUTE(SUBSTITUTE($A409,"SAMPLE-",""),"CMP-","c"))&amp;"-"&amp;LOWER(SUBSTITUTE(SUBSTITUTE($B409,"SAMPLE-",""),"O-","o"))&amp;"-"&amp;IF($C409="qr","q","p"))</f>
        <v/>
      </c>
      <c r="E409" s="30" t="str">
        <f aca="false">IF($A409="","","https://"&amp;config!$B$9&amp;"/"&amp;$D409)</f>
        <v/>
      </c>
      <c r="F409" s="30" t="str">
        <f aca="false">IF($A409="","",$A409&amp;"."&amp;$B409)</f>
        <v/>
      </c>
      <c r="G409" s="30" t="str">
        <f aca="false">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30" t="str">
        <f aca="false">IF(OR($A409="",$C409&lt;&gt;"qr"),"",$D409&amp;".png")</f>
        <v/>
      </c>
      <c r="I409" s="30" t="str">
        <f aca="true">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ustomFormat="false" ht="15" hidden="false" customHeight="false" outlineLevel="0" collapsed="false">
      <c r="A410" s="30" t="str">
        <f aca="false">IF(INDEX(approvals!$A$2:$A$251,INT((ROW()-2)/2)+1)="","",INDEX(approvals!$A$2:$A$251,INT((ROW()-2)/2)+1))</f>
        <v/>
      </c>
      <c r="B410" s="30" t="str">
        <f aca="false">IF(INDEX(approvals!$A$2:$A$251,INT((ROW()-2)/2)+1)="","",INDEX(approvals!$B$2:$B$251,INT((ROW()-2)/2)+1))</f>
        <v/>
      </c>
      <c r="C410" s="30" t="str">
        <f aca="false">IF($A410="","",IF(MOD(ROW()-2,2)=0,"qr","post"))</f>
        <v/>
      </c>
      <c r="D410" s="30" t="str">
        <f aca="false">IF($A410="","",IF(LEFT($A410,7)="SAMPLE-","SAMPLE-","")&amp;LOWER(SUBSTITUTE(SUBSTITUTE($A410,"SAMPLE-",""),"CMP-","c"))&amp;"-"&amp;LOWER(SUBSTITUTE(SUBSTITUTE($B410,"SAMPLE-",""),"O-","o"))&amp;"-"&amp;IF($C410="qr","q","p"))</f>
        <v/>
      </c>
      <c r="E410" s="30" t="str">
        <f aca="false">IF($A410="","","https://"&amp;config!$B$9&amp;"/"&amp;$D410)</f>
        <v/>
      </c>
      <c r="F410" s="30" t="str">
        <f aca="false">IF($A410="","",$A410&amp;"."&amp;$B410)</f>
        <v/>
      </c>
      <c r="G410" s="30" t="str">
        <f aca="false">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30" t="str">
        <f aca="false">IF(OR($A410="",$C410&lt;&gt;"qr"),"",$D410&amp;".png")</f>
        <v/>
      </c>
      <c r="I410" s="30" t="str">
        <f aca="true">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ustomFormat="false" ht="15" hidden="false" customHeight="false" outlineLevel="0" collapsed="false">
      <c r="A411" s="30" t="str">
        <f aca="false">IF(INDEX(approvals!$A$2:$A$251,INT((ROW()-2)/2)+1)="","",INDEX(approvals!$A$2:$A$251,INT((ROW()-2)/2)+1))</f>
        <v/>
      </c>
      <c r="B411" s="30" t="str">
        <f aca="false">IF(INDEX(approvals!$A$2:$A$251,INT((ROW()-2)/2)+1)="","",INDEX(approvals!$B$2:$B$251,INT((ROW()-2)/2)+1))</f>
        <v/>
      </c>
      <c r="C411" s="30" t="str">
        <f aca="false">IF($A411="","",IF(MOD(ROW()-2,2)=0,"qr","post"))</f>
        <v/>
      </c>
      <c r="D411" s="30" t="str">
        <f aca="false">IF($A411="","",IF(LEFT($A411,7)="SAMPLE-","SAMPLE-","")&amp;LOWER(SUBSTITUTE(SUBSTITUTE($A411,"SAMPLE-",""),"CMP-","c"))&amp;"-"&amp;LOWER(SUBSTITUTE(SUBSTITUTE($B411,"SAMPLE-",""),"O-","o"))&amp;"-"&amp;IF($C411="qr","q","p"))</f>
        <v/>
      </c>
      <c r="E411" s="30" t="str">
        <f aca="false">IF($A411="","","https://"&amp;config!$B$9&amp;"/"&amp;$D411)</f>
        <v/>
      </c>
      <c r="F411" s="30" t="str">
        <f aca="false">IF($A411="","",$A411&amp;"."&amp;$B411)</f>
        <v/>
      </c>
      <c r="G411" s="30" t="str">
        <f aca="false">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30" t="str">
        <f aca="false">IF(OR($A411="",$C411&lt;&gt;"qr"),"",$D411&amp;".png")</f>
        <v/>
      </c>
      <c r="I411" s="30" t="str">
        <f aca="true">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ustomFormat="false" ht="15" hidden="false" customHeight="false" outlineLevel="0" collapsed="false">
      <c r="A412" s="30" t="str">
        <f aca="false">IF(INDEX(approvals!$A$2:$A$251,INT((ROW()-2)/2)+1)="","",INDEX(approvals!$A$2:$A$251,INT((ROW()-2)/2)+1))</f>
        <v/>
      </c>
      <c r="B412" s="30" t="str">
        <f aca="false">IF(INDEX(approvals!$A$2:$A$251,INT((ROW()-2)/2)+1)="","",INDEX(approvals!$B$2:$B$251,INT((ROW()-2)/2)+1))</f>
        <v/>
      </c>
      <c r="C412" s="30" t="str">
        <f aca="false">IF($A412="","",IF(MOD(ROW()-2,2)=0,"qr","post"))</f>
        <v/>
      </c>
      <c r="D412" s="30" t="str">
        <f aca="false">IF($A412="","",IF(LEFT($A412,7)="SAMPLE-","SAMPLE-","")&amp;LOWER(SUBSTITUTE(SUBSTITUTE($A412,"SAMPLE-",""),"CMP-","c"))&amp;"-"&amp;LOWER(SUBSTITUTE(SUBSTITUTE($B412,"SAMPLE-",""),"O-","o"))&amp;"-"&amp;IF($C412="qr","q","p"))</f>
        <v/>
      </c>
      <c r="E412" s="30" t="str">
        <f aca="false">IF($A412="","","https://"&amp;config!$B$9&amp;"/"&amp;$D412)</f>
        <v/>
      </c>
      <c r="F412" s="30" t="str">
        <f aca="false">IF($A412="","",$A412&amp;"."&amp;$B412)</f>
        <v/>
      </c>
      <c r="G412" s="30" t="str">
        <f aca="false">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30" t="str">
        <f aca="false">IF(OR($A412="",$C412&lt;&gt;"qr"),"",$D412&amp;".png")</f>
        <v/>
      </c>
      <c r="I412" s="30" t="str">
        <f aca="true">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ustomFormat="false" ht="15" hidden="false" customHeight="false" outlineLevel="0" collapsed="false">
      <c r="A413" s="30" t="str">
        <f aca="false">IF(INDEX(approvals!$A$2:$A$251,INT((ROW()-2)/2)+1)="","",INDEX(approvals!$A$2:$A$251,INT((ROW()-2)/2)+1))</f>
        <v/>
      </c>
      <c r="B413" s="30" t="str">
        <f aca="false">IF(INDEX(approvals!$A$2:$A$251,INT((ROW()-2)/2)+1)="","",INDEX(approvals!$B$2:$B$251,INT((ROW()-2)/2)+1))</f>
        <v/>
      </c>
      <c r="C413" s="30" t="str">
        <f aca="false">IF($A413="","",IF(MOD(ROW()-2,2)=0,"qr","post"))</f>
        <v/>
      </c>
      <c r="D413" s="30" t="str">
        <f aca="false">IF($A413="","",IF(LEFT($A413,7)="SAMPLE-","SAMPLE-","")&amp;LOWER(SUBSTITUTE(SUBSTITUTE($A413,"SAMPLE-",""),"CMP-","c"))&amp;"-"&amp;LOWER(SUBSTITUTE(SUBSTITUTE($B413,"SAMPLE-",""),"O-","o"))&amp;"-"&amp;IF($C413="qr","q","p"))</f>
        <v/>
      </c>
      <c r="E413" s="30" t="str">
        <f aca="false">IF($A413="","","https://"&amp;config!$B$9&amp;"/"&amp;$D413)</f>
        <v/>
      </c>
      <c r="F413" s="30" t="str">
        <f aca="false">IF($A413="","",$A413&amp;"."&amp;$B413)</f>
        <v/>
      </c>
      <c r="G413" s="30" t="str">
        <f aca="false">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30" t="str">
        <f aca="false">IF(OR($A413="",$C413&lt;&gt;"qr"),"",$D413&amp;".png")</f>
        <v/>
      </c>
      <c r="I413" s="30" t="str">
        <f aca="true">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ustomFormat="false" ht="15" hidden="false" customHeight="false" outlineLevel="0" collapsed="false">
      <c r="A414" s="30" t="str">
        <f aca="false">IF(INDEX(approvals!$A$2:$A$251,INT((ROW()-2)/2)+1)="","",INDEX(approvals!$A$2:$A$251,INT((ROW()-2)/2)+1))</f>
        <v/>
      </c>
      <c r="B414" s="30" t="str">
        <f aca="false">IF(INDEX(approvals!$A$2:$A$251,INT((ROW()-2)/2)+1)="","",INDEX(approvals!$B$2:$B$251,INT((ROW()-2)/2)+1))</f>
        <v/>
      </c>
      <c r="C414" s="30" t="str">
        <f aca="false">IF($A414="","",IF(MOD(ROW()-2,2)=0,"qr","post"))</f>
        <v/>
      </c>
      <c r="D414" s="30" t="str">
        <f aca="false">IF($A414="","",IF(LEFT($A414,7)="SAMPLE-","SAMPLE-","")&amp;LOWER(SUBSTITUTE(SUBSTITUTE($A414,"SAMPLE-",""),"CMP-","c"))&amp;"-"&amp;LOWER(SUBSTITUTE(SUBSTITUTE($B414,"SAMPLE-",""),"O-","o"))&amp;"-"&amp;IF($C414="qr","q","p"))</f>
        <v/>
      </c>
      <c r="E414" s="30" t="str">
        <f aca="false">IF($A414="","","https://"&amp;config!$B$9&amp;"/"&amp;$D414)</f>
        <v/>
      </c>
      <c r="F414" s="30" t="str">
        <f aca="false">IF($A414="","",$A414&amp;"."&amp;$B414)</f>
        <v/>
      </c>
      <c r="G414" s="30" t="str">
        <f aca="false">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30" t="str">
        <f aca="false">IF(OR($A414="",$C414&lt;&gt;"qr"),"",$D414&amp;".png")</f>
        <v/>
      </c>
      <c r="I414" s="30" t="str">
        <f aca="true">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ustomFormat="false" ht="15" hidden="false" customHeight="false" outlineLevel="0" collapsed="false">
      <c r="A415" s="30" t="str">
        <f aca="false">IF(INDEX(approvals!$A$2:$A$251,INT((ROW()-2)/2)+1)="","",INDEX(approvals!$A$2:$A$251,INT((ROW()-2)/2)+1))</f>
        <v/>
      </c>
      <c r="B415" s="30" t="str">
        <f aca="false">IF(INDEX(approvals!$A$2:$A$251,INT((ROW()-2)/2)+1)="","",INDEX(approvals!$B$2:$B$251,INT((ROW()-2)/2)+1))</f>
        <v/>
      </c>
      <c r="C415" s="30" t="str">
        <f aca="false">IF($A415="","",IF(MOD(ROW()-2,2)=0,"qr","post"))</f>
        <v/>
      </c>
      <c r="D415" s="30" t="str">
        <f aca="false">IF($A415="","",IF(LEFT($A415,7)="SAMPLE-","SAMPLE-","")&amp;LOWER(SUBSTITUTE(SUBSTITUTE($A415,"SAMPLE-",""),"CMP-","c"))&amp;"-"&amp;LOWER(SUBSTITUTE(SUBSTITUTE($B415,"SAMPLE-",""),"O-","o"))&amp;"-"&amp;IF($C415="qr","q","p"))</f>
        <v/>
      </c>
      <c r="E415" s="30" t="str">
        <f aca="false">IF($A415="","","https://"&amp;config!$B$9&amp;"/"&amp;$D415)</f>
        <v/>
      </c>
      <c r="F415" s="30" t="str">
        <f aca="false">IF($A415="","",$A415&amp;"."&amp;$B415)</f>
        <v/>
      </c>
      <c r="G415" s="30" t="str">
        <f aca="false">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30" t="str">
        <f aca="false">IF(OR($A415="",$C415&lt;&gt;"qr"),"",$D415&amp;".png")</f>
        <v/>
      </c>
      <c r="I415" s="30" t="str">
        <f aca="true">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ustomFormat="false" ht="15" hidden="false" customHeight="false" outlineLevel="0" collapsed="false">
      <c r="A416" s="30" t="str">
        <f aca="false">IF(INDEX(approvals!$A$2:$A$251,INT((ROW()-2)/2)+1)="","",INDEX(approvals!$A$2:$A$251,INT((ROW()-2)/2)+1))</f>
        <v/>
      </c>
      <c r="B416" s="30" t="str">
        <f aca="false">IF(INDEX(approvals!$A$2:$A$251,INT((ROW()-2)/2)+1)="","",INDEX(approvals!$B$2:$B$251,INT((ROW()-2)/2)+1))</f>
        <v/>
      </c>
      <c r="C416" s="30" t="str">
        <f aca="false">IF($A416="","",IF(MOD(ROW()-2,2)=0,"qr","post"))</f>
        <v/>
      </c>
      <c r="D416" s="30" t="str">
        <f aca="false">IF($A416="","",IF(LEFT($A416,7)="SAMPLE-","SAMPLE-","")&amp;LOWER(SUBSTITUTE(SUBSTITUTE($A416,"SAMPLE-",""),"CMP-","c"))&amp;"-"&amp;LOWER(SUBSTITUTE(SUBSTITUTE($B416,"SAMPLE-",""),"O-","o"))&amp;"-"&amp;IF($C416="qr","q","p"))</f>
        <v/>
      </c>
      <c r="E416" s="30" t="str">
        <f aca="false">IF($A416="","","https://"&amp;config!$B$9&amp;"/"&amp;$D416)</f>
        <v/>
      </c>
      <c r="F416" s="30" t="str">
        <f aca="false">IF($A416="","",$A416&amp;"."&amp;$B416)</f>
        <v/>
      </c>
      <c r="G416" s="30" t="str">
        <f aca="false">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30" t="str">
        <f aca="false">IF(OR($A416="",$C416&lt;&gt;"qr"),"",$D416&amp;".png")</f>
        <v/>
      </c>
      <c r="I416" s="30" t="str">
        <f aca="true">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ustomFormat="false" ht="15" hidden="false" customHeight="false" outlineLevel="0" collapsed="false">
      <c r="A417" s="30" t="str">
        <f aca="false">IF(INDEX(approvals!$A$2:$A$251,INT((ROW()-2)/2)+1)="","",INDEX(approvals!$A$2:$A$251,INT((ROW()-2)/2)+1))</f>
        <v/>
      </c>
      <c r="B417" s="30" t="str">
        <f aca="false">IF(INDEX(approvals!$A$2:$A$251,INT((ROW()-2)/2)+1)="","",INDEX(approvals!$B$2:$B$251,INT((ROW()-2)/2)+1))</f>
        <v/>
      </c>
      <c r="C417" s="30" t="str">
        <f aca="false">IF($A417="","",IF(MOD(ROW()-2,2)=0,"qr","post"))</f>
        <v/>
      </c>
      <c r="D417" s="30" t="str">
        <f aca="false">IF($A417="","",IF(LEFT($A417,7)="SAMPLE-","SAMPLE-","")&amp;LOWER(SUBSTITUTE(SUBSTITUTE($A417,"SAMPLE-",""),"CMP-","c"))&amp;"-"&amp;LOWER(SUBSTITUTE(SUBSTITUTE($B417,"SAMPLE-",""),"O-","o"))&amp;"-"&amp;IF($C417="qr","q","p"))</f>
        <v/>
      </c>
      <c r="E417" s="30" t="str">
        <f aca="false">IF($A417="","","https://"&amp;config!$B$9&amp;"/"&amp;$D417)</f>
        <v/>
      </c>
      <c r="F417" s="30" t="str">
        <f aca="false">IF($A417="","",$A417&amp;"."&amp;$B417)</f>
        <v/>
      </c>
      <c r="G417" s="30" t="str">
        <f aca="false">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30" t="str">
        <f aca="false">IF(OR($A417="",$C417&lt;&gt;"qr"),"",$D417&amp;".png")</f>
        <v/>
      </c>
      <c r="I417" s="30" t="str">
        <f aca="true">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ustomFormat="false" ht="15" hidden="false" customHeight="false" outlineLevel="0" collapsed="false">
      <c r="A418" s="30" t="str">
        <f aca="false">IF(INDEX(approvals!$A$2:$A$251,INT((ROW()-2)/2)+1)="","",INDEX(approvals!$A$2:$A$251,INT((ROW()-2)/2)+1))</f>
        <v/>
      </c>
      <c r="B418" s="30" t="str">
        <f aca="false">IF(INDEX(approvals!$A$2:$A$251,INT((ROW()-2)/2)+1)="","",INDEX(approvals!$B$2:$B$251,INT((ROW()-2)/2)+1))</f>
        <v/>
      </c>
      <c r="C418" s="30" t="str">
        <f aca="false">IF($A418="","",IF(MOD(ROW()-2,2)=0,"qr","post"))</f>
        <v/>
      </c>
      <c r="D418" s="30" t="str">
        <f aca="false">IF($A418="","",IF(LEFT($A418,7)="SAMPLE-","SAMPLE-","")&amp;LOWER(SUBSTITUTE(SUBSTITUTE($A418,"SAMPLE-",""),"CMP-","c"))&amp;"-"&amp;LOWER(SUBSTITUTE(SUBSTITUTE($B418,"SAMPLE-",""),"O-","o"))&amp;"-"&amp;IF($C418="qr","q","p"))</f>
        <v/>
      </c>
      <c r="E418" s="30" t="str">
        <f aca="false">IF($A418="","","https://"&amp;config!$B$9&amp;"/"&amp;$D418)</f>
        <v/>
      </c>
      <c r="F418" s="30" t="str">
        <f aca="false">IF($A418="","",$A418&amp;"."&amp;$B418)</f>
        <v/>
      </c>
      <c r="G418" s="30" t="str">
        <f aca="false">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30" t="str">
        <f aca="false">IF(OR($A418="",$C418&lt;&gt;"qr"),"",$D418&amp;".png")</f>
        <v/>
      </c>
      <c r="I418" s="30" t="str">
        <f aca="true">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ustomFormat="false" ht="15" hidden="false" customHeight="false" outlineLevel="0" collapsed="false">
      <c r="A419" s="30" t="str">
        <f aca="false">IF(INDEX(approvals!$A$2:$A$251,INT((ROW()-2)/2)+1)="","",INDEX(approvals!$A$2:$A$251,INT((ROW()-2)/2)+1))</f>
        <v/>
      </c>
      <c r="B419" s="30" t="str">
        <f aca="false">IF(INDEX(approvals!$A$2:$A$251,INT((ROW()-2)/2)+1)="","",INDEX(approvals!$B$2:$B$251,INT((ROW()-2)/2)+1))</f>
        <v/>
      </c>
      <c r="C419" s="30" t="str">
        <f aca="false">IF($A419="","",IF(MOD(ROW()-2,2)=0,"qr","post"))</f>
        <v/>
      </c>
      <c r="D419" s="30" t="str">
        <f aca="false">IF($A419="","",IF(LEFT($A419,7)="SAMPLE-","SAMPLE-","")&amp;LOWER(SUBSTITUTE(SUBSTITUTE($A419,"SAMPLE-",""),"CMP-","c"))&amp;"-"&amp;LOWER(SUBSTITUTE(SUBSTITUTE($B419,"SAMPLE-",""),"O-","o"))&amp;"-"&amp;IF($C419="qr","q","p"))</f>
        <v/>
      </c>
      <c r="E419" s="30" t="str">
        <f aca="false">IF($A419="","","https://"&amp;config!$B$9&amp;"/"&amp;$D419)</f>
        <v/>
      </c>
      <c r="F419" s="30" t="str">
        <f aca="false">IF($A419="","",$A419&amp;"."&amp;$B419)</f>
        <v/>
      </c>
      <c r="G419" s="30" t="str">
        <f aca="false">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30" t="str">
        <f aca="false">IF(OR($A419="",$C419&lt;&gt;"qr"),"",$D419&amp;".png")</f>
        <v/>
      </c>
      <c r="I419" s="30" t="str">
        <f aca="true">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ustomFormat="false" ht="15" hidden="false" customHeight="false" outlineLevel="0" collapsed="false">
      <c r="A420" s="30" t="str">
        <f aca="false">IF(INDEX(approvals!$A$2:$A$251,INT((ROW()-2)/2)+1)="","",INDEX(approvals!$A$2:$A$251,INT((ROW()-2)/2)+1))</f>
        <v/>
      </c>
      <c r="B420" s="30" t="str">
        <f aca="false">IF(INDEX(approvals!$A$2:$A$251,INT((ROW()-2)/2)+1)="","",INDEX(approvals!$B$2:$B$251,INT((ROW()-2)/2)+1))</f>
        <v/>
      </c>
      <c r="C420" s="30" t="str">
        <f aca="false">IF($A420="","",IF(MOD(ROW()-2,2)=0,"qr","post"))</f>
        <v/>
      </c>
      <c r="D420" s="30" t="str">
        <f aca="false">IF($A420="","",IF(LEFT($A420,7)="SAMPLE-","SAMPLE-","")&amp;LOWER(SUBSTITUTE(SUBSTITUTE($A420,"SAMPLE-",""),"CMP-","c"))&amp;"-"&amp;LOWER(SUBSTITUTE(SUBSTITUTE($B420,"SAMPLE-",""),"O-","o"))&amp;"-"&amp;IF($C420="qr","q","p"))</f>
        <v/>
      </c>
      <c r="E420" s="30" t="str">
        <f aca="false">IF($A420="","","https://"&amp;config!$B$9&amp;"/"&amp;$D420)</f>
        <v/>
      </c>
      <c r="F420" s="30" t="str">
        <f aca="false">IF($A420="","",$A420&amp;"."&amp;$B420)</f>
        <v/>
      </c>
      <c r="G420" s="30" t="str">
        <f aca="false">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30" t="str">
        <f aca="false">IF(OR($A420="",$C420&lt;&gt;"qr"),"",$D420&amp;".png")</f>
        <v/>
      </c>
      <c r="I420" s="30" t="str">
        <f aca="true">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ustomFormat="false" ht="15" hidden="false" customHeight="false" outlineLevel="0" collapsed="false">
      <c r="A421" s="30" t="str">
        <f aca="false">IF(INDEX(approvals!$A$2:$A$251,INT((ROW()-2)/2)+1)="","",INDEX(approvals!$A$2:$A$251,INT((ROW()-2)/2)+1))</f>
        <v/>
      </c>
      <c r="B421" s="30" t="str">
        <f aca="false">IF(INDEX(approvals!$A$2:$A$251,INT((ROW()-2)/2)+1)="","",INDEX(approvals!$B$2:$B$251,INT((ROW()-2)/2)+1))</f>
        <v/>
      </c>
      <c r="C421" s="30" t="str">
        <f aca="false">IF($A421="","",IF(MOD(ROW()-2,2)=0,"qr","post"))</f>
        <v/>
      </c>
      <c r="D421" s="30" t="str">
        <f aca="false">IF($A421="","",IF(LEFT($A421,7)="SAMPLE-","SAMPLE-","")&amp;LOWER(SUBSTITUTE(SUBSTITUTE($A421,"SAMPLE-",""),"CMP-","c"))&amp;"-"&amp;LOWER(SUBSTITUTE(SUBSTITUTE($B421,"SAMPLE-",""),"O-","o"))&amp;"-"&amp;IF($C421="qr","q","p"))</f>
        <v/>
      </c>
      <c r="E421" s="30" t="str">
        <f aca="false">IF($A421="","","https://"&amp;config!$B$9&amp;"/"&amp;$D421)</f>
        <v/>
      </c>
      <c r="F421" s="30" t="str">
        <f aca="false">IF($A421="","",$A421&amp;"."&amp;$B421)</f>
        <v/>
      </c>
      <c r="G421" s="30" t="str">
        <f aca="false">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30" t="str">
        <f aca="false">IF(OR($A421="",$C421&lt;&gt;"qr"),"",$D421&amp;".png")</f>
        <v/>
      </c>
      <c r="I421" s="30" t="str">
        <f aca="true">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ustomFormat="false" ht="15" hidden="false" customHeight="false" outlineLevel="0" collapsed="false">
      <c r="A422" s="30" t="str">
        <f aca="false">IF(INDEX(approvals!$A$2:$A$251,INT((ROW()-2)/2)+1)="","",INDEX(approvals!$A$2:$A$251,INT((ROW()-2)/2)+1))</f>
        <v/>
      </c>
      <c r="B422" s="30" t="str">
        <f aca="false">IF(INDEX(approvals!$A$2:$A$251,INT((ROW()-2)/2)+1)="","",INDEX(approvals!$B$2:$B$251,INT((ROW()-2)/2)+1))</f>
        <v/>
      </c>
      <c r="C422" s="30" t="str">
        <f aca="false">IF($A422="","",IF(MOD(ROW()-2,2)=0,"qr","post"))</f>
        <v/>
      </c>
      <c r="D422" s="30" t="str">
        <f aca="false">IF($A422="","",IF(LEFT($A422,7)="SAMPLE-","SAMPLE-","")&amp;LOWER(SUBSTITUTE(SUBSTITUTE($A422,"SAMPLE-",""),"CMP-","c"))&amp;"-"&amp;LOWER(SUBSTITUTE(SUBSTITUTE($B422,"SAMPLE-",""),"O-","o"))&amp;"-"&amp;IF($C422="qr","q","p"))</f>
        <v/>
      </c>
      <c r="E422" s="30" t="str">
        <f aca="false">IF($A422="","","https://"&amp;config!$B$9&amp;"/"&amp;$D422)</f>
        <v/>
      </c>
      <c r="F422" s="30" t="str">
        <f aca="false">IF($A422="","",$A422&amp;"."&amp;$B422)</f>
        <v/>
      </c>
      <c r="G422" s="30" t="str">
        <f aca="false">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30" t="str">
        <f aca="false">IF(OR($A422="",$C422&lt;&gt;"qr"),"",$D422&amp;".png")</f>
        <v/>
      </c>
      <c r="I422" s="30" t="str">
        <f aca="true">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ustomFormat="false" ht="15" hidden="false" customHeight="false" outlineLevel="0" collapsed="false">
      <c r="A423" s="30" t="str">
        <f aca="false">IF(INDEX(approvals!$A$2:$A$251,INT((ROW()-2)/2)+1)="","",INDEX(approvals!$A$2:$A$251,INT((ROW()-2)/2)+1))</f>
        <v/>
      </c>
      <c r="B423" s="30" t="str">
        <f aca="false">IF(INDEX(approvals!$A$2:$A$251,INT((ROW()-2)/2)+1)="","",INDEX(approvals!$B$2:$B$251,INT((ROW()-2)/2)+1))</f>
        <v/>
      </c>
      <c r="C423" s="30" t="str">
        <f aca="false">IF($A423="","",IF(MOD(ROW()-2,2)=0,"qr","post"))</f>
        <v/>
      </c>
      <c r="D423" s="30" t="str">
        <f aca="false">IF($A423="","",IF(LEFT($A423,7)="SAMPLE-","SAMPLE-","")&amp;LOWER(SUBSTITUTE(SUBSTITUTE($A423,"SAMPLE-",""),"CMP-","c"))&amp;"-"&amp;LOWER(SUBSTITUTE(SUBSTITUTE($B423,"SAMPLE-",""),"O-","o"))&amp;"-"&amp;IF($C423="qr","q","p"))</f>
        <v/>
      </c>
      <c r="E423" s="30" t="str">
        <f aca="false">IF($A423="","","https://"&amp;config!$B$9&amp;"/"&amp;$D423)</f>
        <v/>
      </c>
      <c r="F423" s="30" t="str">
        <f aca="false">IF($A423="","",$A423&amp;"."&amp;$B423)</f>
        <v/>
      </c>
      <c r="G423" s="30" t="str">
        <f aca="false">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30" t="str">
        <f aca="false">IF(OR($A423="",$C423&lt;&gt;"qr"),"",$D423&amp;".png")</f>
        <v/>
      </c>
      <c r="I423" s="30" t="str">
        <f aca="true">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ustomFormat="false" ht="15" hidden="false" customHeight="false" outlineLevel="0" collapsed="false">
      <c r="A424" s="30" t="str">
        <f aca="false">IF(INDEX(approvals!$A$2:$A$251,INT((ROW()-2)/2)+1)="","",INDEX(approvals!$A$2:$A$251,INT((ROW()-2)/2)+1))</f>
        <v/>
      </c>
      <c r="B424" s="30" t="str">
        <f aca="false">IF(INDEX(approvals!$A$2:$A$251,INT((ROW()-2)/2)+1)="","",INDEX(approvals!$B$2:$B$251,INT((ROW()-2)/2)+1))</f>
        <v/>
      </c>
      <c r="C424" s="30" t="str">
        <f aca="false">IF($A424="","",IF(MOD(ROW()-2,2)=0,"qr","post"))</f>
        <v/>
      </c>
      <c r="D424" s="30" t="str">
        <f aca="false">IF($A424="","",IF(LEFT($A424,7)="SAMPLE-","SAMPLE-","")&amp;LOWER(SUBSTITUTE(SUBSTITUTE($A424,"SAMPLE-",""),"CMP-","c"))&amp;"-"&amp;LOWER(SUBSTITUTE(SUBSTITUTE($B424,"SAMPLE-",""),"O-","o"))&amp;"-"&amp;IF($C424="qr","q","p"))</f>
        <v/>
      </c>
      <c r="E424" s="30" t="str">
        <f aca="false">IF($A424="","","https://"&amp;config!$B$9&amp;"/"&amp;$D424)</f>
        <v/>
      </c>
      <c r="F424" s="30" t="str">
        <f aca="false">IF($A424="","",$A424&amp;"."&amp;$B424)</f>
        <v/>
      </c>
      <c r="G424" s="30" t="str">
        <f aca="false">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30" t="str">
        <f aca="false">IF(OR($A424="",$C424&lt;&gt;"qr"),"",$D424&amp;".png")</f>
        <v/>
      </c>
      <c r="I424" s="30" t="str">
        <f aca="true">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ustomFormat="false" ht="15" hidden="false" customHeight="false" outlineLevel="0" collapsed="false">
      <c r="A425" s="30" t="str">
        <f aca="false">IF(INDEX(approvals!$A$2:$A$251,INT((ROW()-2)/2)+1)="","",INDEX(approvals!$A$2:$A$251,INT((ROW()-2)/2)+1))</f>
        <v/>
      </c>
      <c r="B425" s="30" t="str">
        <f aca="false">IF(INDEX(approvals!$A$2:$A$251,INT((ROW()-2)/2)+1)="","",INDEX(approvals!$B$2:$B$251,INT((ROW()-2)/2)+1))</f>
        <v/>
      </c>
      <c r="C425" s="30" t="str">
        <f aca="false">IF($A425="","",IF(MOD(ROW()-2,2)=0,"qr","post"))</f>
        <v/>
      </c>
      <c r="D425" s="30" t="str">
        <f aca="false">IF($A425="","",IF(LEFT($A425,7)="SAMPLE-","SAMPLE-","")&amp;LOWER(SUBSTITUTE(SUBSTITUTE($A425,"SAMPLE-",""),"CMP-","c"))&amp;"-"&amp;LOWER(SUBSTITUTE(SUBSTITUTE($B425,"SAMPLE-",""),"O-","o"))&amp;"-"&amp;IF($C425="qr","q","p"))</f>
        <v/>
      </c>
      <c r="E425" s="30" t="str">
        <f aca="false">IF($A425="","","https://"&amp;config!$B$9&amp;"/"&amp;$D425)</f>
        <v/>
      </c>
      <c r="F425" s="30" t="str">
        <f aca="false">IF($A425="","",$A425&amp;"."&amp;$B425)</f>
        <v/>
      </c>
      <c r="G425" s="30" t="str">
        <f aca="false">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30" t="str">
        <f aca="false">IF(OR($A425="",$C425&lt;&gt;"qr"),"",$D425&amp;".png")</f>
        <v/>
      </c>
      <c r="I425" s="30" t="str">
        <f aca="true">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ustomFormat="false" ht="15" hidden="false" customHeight="false" outlineLevel="0" collapsed="false">
      <c r="A426" s="30" t="str">
        <f aca="false">IF(INDEX(approvals!$A$2:$A$251,INT((ROW()-2)/2)+1)="","",INDEX(approvals!$A$2:$A$251,INT((ROW()-2)/2)+1))</f>
        <v/>
      </c>
      <c r="B426" s="30" t="str">
        <f aca="false">IF(INDEX(approvals!$A$2:$A$251,INT((ROW()-2)/2)+1)="","",INDEX(approvals!$B$2:$B$251,INT((ROW()-2)/2)+1))</f>
        <v/>
      </c>
      <c r="C426" s="30" t="str">
        <f aca="false">IF($A426="","",IF(MOD(ROW()-2,2)=0,"qr","post"))</f>
        <v/>
      </c>
      <c r="D426" s="30" t="str">
        <f aca="false">IF($A426="","",IF(LEFT($A426,7)="SAMPLE-","SAMPLE-","")&amp;LOWER(SUBSTITUTE(SUBSTITUTE($A426,"SAMPLE-",""),"CMP-","c"))&amp;"-"&amp;LOWER(SUBSTITUTE(SUBSTITUTE($B426,"SAMPLE-",""),"O-","o"))&amp;"-"&amp;IF($C426="qr","q","p"))</f>
        <v/>
      </c>
      <c r="E426" s="30" t="str">
        <f aca="false">IF($A426="","","https://"&amp;config!$B$9&amp;"/"&amp;$D426)</f>
        <v/>
      </c>
      <c r="F426" s="30" t="str">
        <f aca="false">IF($A426="","",$A426&amp;"."&amp;$B426)</f>
        <v/>
      </c>
      <c r="G426" s="30" t="str">
        <f aca="false">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30" t="str">
        <f aca="false">IF(OR($A426="",$C426&lt;&gt;"qr"),"",$D426&amp;".png")</f>
        <v/>
      </c>
      <c r="I426" s="30" t="str">
        <f aca="true">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ustomFormat="false" ht="15" hidden="false" customHeight="false" outlineLevel="0" collapsed="false">
      <c r="A427" s="30" t="str">
        <f aca="false">IF(INDEX(approvals!$A$2:$A$251,INT((ROW()-2)/2)+1)="","",INDEX(approvals!$A$2:$A$251,INT((ROW()-2)/2)+1))</f>
        <v/>
      </c>
      <c r="B427" s="30" t="str">
        <f aca="false">IF(INDEX(approvals!$A$2:$A$251,INT((ROW()-2)/2)+1)="","",INDEX(approvals!$B$2:$B$251,INT((ROW()-2)/2)+1))</f>
        <v/>
      </c>
      <c r="C427" s="30" t="str">
        <f aca="false">IF($A427="","",IF(MOD(ROW()-2,2)=0,"qr","post"))</f>
        <v/>
      </c>
      <c r="D427" s="30" t="str">
        <f aca="false">IF($A427="","",IF(LEFT($A427,7)="SAMPLE-","SAMPLE-","")&amp;LOWER(SUBSTITUTE(SUBSTITUTE($A427,"SAMPLE-",""),"CMP-","c"))&amp;"-"&amp;LOWER(SUBSTITUTE(SUBSTITUTE($B427,"SAMPLE-",""),"O-","o"))&amp;"-"&amp;IF($C427="qr","q","p"))</f>
        <v/>
      </c>
      <c r="E427" s="30" t="str">
        <f aca="false">IF($A427="","","https://"&amp;config!$B$9&amp;"/"&amp;$D427)</f>
        <v/>
      </c>
      <c r="F427" s="30" t="str">
        <f aca="false">IF($A427="","",$A427&amp;"."&amp;$B427)</f>
        <v/>
      </c>
      <c r="G427" s="30" t="str">
        <f aca="false">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30" t="str">
        <f aca="false">IF(OR($A427="",$C427&lt;&gt;"qr"),"",$D427&amp;".png")</f>
        <v/>
      </c>
      <c r="I427" s="30" t="str">
        <f aca="true">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ustomFormat="false" ht="15" hidden="false" customHeight="false" outlineLevel="0" collapsed="false">
      <c r="A428" s="30" t="str">
        <f aca="false">IF(INDEX(approvals!$A$2:$A$251,INT((ROW()-2)/2)+1)="","",INDEX(approvals!$A$2:$A$251,INT((ROW()-2)/2)+1))</f>
        <v/>
      </c>
      <c r="B428" s="30" t="str">
        <f aca="false">IF(INDEX(approvals!$A$2:$A$251,INT((ROW()-2)/2)+1)="","",INDEX(approvals!$B$2:$B$251,INT((ROW()-2)/2)+1))</f>
        <v/>
      </c>
      <c r="C428" s="30" t="str">
        <f aca="false">IF($A428="","",IF(MOD(ROW()-2,2)=0,"qr","post"))</f>
        <v/>
      </c>
      <c r="D428" s="30" t="str">
        <f aca="false">IF($A428="","",IF(LEFT($A428,7)="SAMPLE-","SAMPLE-","")&amp;LOWER(SUBSTITUTE(SUBSTITUTE($A428,"SAMPLE-",""),"CMP-","c"))&amp;"-"&amp;LOWER(SUBSTITUTE(SUBSTITUTE($B428,"SAMPLE-",""),"O-","o"))&amp;"-"&amp;IF($C428="qr","q","p"))</f>
        <v/>
      </c>
      <c r="E428" s="30" t="str">
        <f aca="false">IF($A428="","","https://"&amp;config!$B$9&amp;"/"&amp;$D428)</f>
        <v/>
      </c>
      <c r="F428" s="30" t="str">
        <f aca="false">IF($A428="","",$A428&amp;"."&amp;$B428)</f>
        <v/>
      </c>
      <c r="G428" s="30" t="str">
        <f aca="false">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30" t="str">
        <f aca="false">IF(OR($A428="",$C428&lt;&gt;"qr"),"",$D428&amp;".png")</f>
        <v/>
      </c>
      <c r="I428" s="30" t="str">
        <f aca="true">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ustomFormat="false" ht="15" hidden="false" customHeight="false" outlineLevel="0" collapsed="false">
      <c r="A429" s="30" t="str">
        <f aca="false">IF(INDEX(approvals!$A$2:$A$251,INT((ROW()-2)/2)+1)="","",INDEX(approvals!$A$2:$A$251,INT((ROW()-2)/2)+1))</f>
        <v/>
      </c>
      <c r="B429" s="30" t="str">
        <f aca="false">IF(INDEX(approvals!$A$2:$A$251,INT((ROW()-2)/2)+1)="","",INDEX(approvals!$B$2:$B$251,INT((ROW()-2)/2)+1))</f>
        <v/>
      </c>
      <c r="C429" s="30" t="str">
        <f aca="false">IF($A429="","",IF(MOD(ROW()-2,2)=0,"qr","post"))</f>
        <v/>
      </c>
      <c r="D429" s="30" t="str">
        <f aca="false">IF($A429="","",IF(LEFT($A429,7)="SAMPLE-","SAMPLE-","")&amp;LOWER(SUBSTITUTE(SUBSTITUTE($A429,"SAMPLE-",""),"CMP-","c"))&amp;"-"&amp;LOWER(SUBSTITUTE(SUBSTITUTE($B429,"SAMPLE-",""),"O-","o"))&amp;"-"&amp;IF($C429="qr","q","p"))</f>
        <v/>
      </c>
      <c r="E429" s="30" t="str">
        <f aca="false">IF($A429="","","https://"&amp;config!$B$9&amp;"/"&amp;$D429)</f>
        <v/>
      </c>
      <c r="F429" s="30" t="str">
        <f aca="false">IF($A429="","",$A429&amp;"."&amp;$B429)</f>
        <v/>
      </c>
      <c r="G429" s="30" t="str">
        <f aca="false">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30" t="str">
        <f aca="false">IF(OR($A429="",$C429&lt;&gt;"qr"),"",$D429&amp;".png")</f>
        <v/>
      </c>
      <c r="I429" s="30" t="str">
        <f aca="true">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ustomFormat="false" ht="15" hidden="false" customHeight="false" outlineLevel="0" collapsed="false">
      <c r="A430" s="30" t="str">
        <f aca="false">IF(INDEX(approvals!$A$2:$A$251,INT((ROW()-2)/2)+1)="","",INDEX(approvals!$A$2:$A$251,INT((ROW()-2)/2)+1))</f>
        <v/>
      </c>
      <c r="B430" s="30" t="str">
        <f aca="false">IF(INDEX(approvals!$A$2:$A$251,INT((ROW()-2)/2)+1)="","",INDEX(approvals!$B$2:$B$251,INT((ROW()-2)/2)+1))</f>
        <v/>
      </c>
      <c r="C430" s="30" t="str">
        <f aca="false">IF($A430="","",IF(MOD(ROW()-2,2)=0,"qr","post"))</f>
        <v/>
      </c>
      <c r="D430" s="30" t="str">
        <f aca="false">IF($A430="","",IF(LEFT($A430,7)="SAMPLE-","SAMPLE-","")&amp;LOWER(SUBSTITUTE(SUBSTITUTE($A430,"SAMPLE-",""),"CMP-","c"))&amp;"-"&amp;LOWER(SUBSTITUTE(SUBSTITUTE($B430,"SAMPLE-",""),"O-","o"))&amp;"-"&amp;IF($C430="qr","q","p"))</f>
        <v/>
      </c>
      <c r="E430" s="30" t="str">
        <f aca="false">IF($A430="","","https://"&amp;config!$B$9&amp;"/"&amp;$D430)</f>
        <v/>
      </c>
      <c r="F430" s="30" t="str">
        <f aca="false">IF($A430="","",$A430&amp;"."&amp;$B430)</f>
        <v/>
      </c>
      <c r="G430" s="30" t="str">
        <f aca="false">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30" t="str">
        <f aca="false">IF(OR($A430="",$C430&lt;&gt;"qr"),"",$D430&amp;".png")</f>
        <v/>
      </c>
      <c r="I430" s="30" t="str">
        <f aca="true">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ustomFormat="false" ht="15" hidden="false" customHeight="false" outlineLevel="0" collapsed="false">
      <c r="A431" s="30" t="str">
        <f aca="false">IF(INDEX(approvals!$A$2:$A$251,INT((ROW()-2)/2)+1)="","",INDEX(approvals!$A$2:$A$251,INT((ROW()-2)/2)+1))</f>
        <v/>
      </c>
      <c r="B431" s="30" t="str">
        <f aca="false">IF(INDEX(approvals!$A$2:$A$251,INT((ROW()-2)/2)+1)="","",INDEX(approvals!$B$2:$B$251,INT((ROW()-2)/2)+1))</f>
        <v/>
      </c>
      <c r="C431" s="30" t="str">
        <f aca="false">IF($A431="","",IF(MOD(ROW()-2,2)=0,"qr","post"))</f>
        <v/>
      </c>
      <c r="D431" s="30" t="str">
        <f aca="false">IF($A431="","",IF(LEFT($A431,7)="SAMPLE-","SAMPLE-","")&amp;LOWER(SUBSTITUTE(SUBSTITUTE($A431,"SAMPLE-",""),"CMP-","c"))&amp;"-"&amp;LOWER(SUBSTITUTE(SUBSTITUTE($B431,"SAMPLE-",""),"O-","o"))&amp;"-"&amp;IF($C431="qr","q","p"))</f>
        <v/>
      </c>
      <c r="E431" s="30" t="str">
        <f aca="false">IF($A431="","","https://"&amp;config!$B$9&amp;"/"&amp;$D431)</f>
        <v/>
      </c>
      <c r="F431" s="30" t="str">
        <f aca="false">IF($A431="","",$A431&amp;"."&amp;$B431)</f>
        <v/>
      </c>
      <c r="G431" s="30" t="str">
        <f aca="false">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30" t="str">
        <f aca="false">IF(OR($A431="",$C431&lt;&gt;"qr"),"",$D431&amp;".png")</f>
        <v/>
      </c>
      <c r="I431" s="30" t="str">
        <f aca="true">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ustomFormat="false" ht="15" hidden="false" customHeight="false" outlineLevel="0" collapsed="false">
      <c r="A432" s="30" t="str">
        <f aca="false">IF(INDEX(approvals!$A$2:$A$251,INT((ROW()-2)/2)+1)="","",INDEX(approvals!$A$2:$A$251,INT((ROW()-2)/2)+1))</f>
        <v/>
      </c>
      <c r="B432" s="30" t="str">
        <f aca="false">IF(INDEX(approvals!$A$2:$A$251,INT((ROW()-2)/2)+1)="","",INDEX(approvals!$B$2:$B$251,INT((ROW()-2)/2)+1))</f>
        <v/>
      </c>
      <c r="C432" s="30" t="str">
        <f aca="false">IF($A432="","",IF(MOD(ROW()-2,2)=0,"qr","post"))</f>
        <v/>
      </c>
      <c r="D432" s="30" t="str">
        <f aca="false">IF($A432="","",IF(LEFT($A432,7)="SAMPLE-","SAMPLE-","")&amp;LOWER(SUBSTITUTE(SUBSTITUTE($A432,"SAMPLE-",""),"CMP-","c"))&amp;"-"&amp;LOWER(SUBSTITUTE(SUBSTITUTE($B432,"SAMPLE-",""),"O-","o"))&amp;"-"&amp;IF($C432="qr","q","p"))</f>
        <v/>
      </c>
      <c r="E432" s="30" t="str">
        <f aca="false">IF($A432="","","https://"&amp;config!$B$9&amp;"/"&amp;$D432)</f>
        <v/>
      </c>
      <c r="F432" s="30" t="str">
        <f aca="false">IF($A432="","",$A432&amp;"."&amp;$B432)</f>
        <v/>
      </c>
      <c r="G432" s="30" t="str">
        <f aca="false">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30" t="str">
        <f aca="false">IF(OR($A432="",$C432&lt;&gt;"qr"),"",$D432&amp;".png")</f>
        <v/>
      </c>
      <c r="I432" s="30" t="str">
        <f aca="true">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ustomFormat="false" ht="15" hidden="false" customHeight="false" outlineLevel="0" collapsed="false">
      <c r="A433" s="30" t="str">
        <f aca="false">IF(INDEX(approvals!$A$2:$A$251,INT((ROW()-2)/2)+1)="","",INDEX(approvals!$A$2:$A$251,INT((ROW()-2)/2)+1))</f>
        <v/>
      </c>
      <c r="B433" s="30" t="str">
        <f aca="false">IF(INDEX(approvals!$A$2:$A$251,INT((ROW()-2)/2)+1)="","",INDEX(approvals!$B$2:$B$251,INT((ROW()-2)/2)+1))</f>
        <v/>
      </c>
      <c r="C433" s="30" t="str">
        <f aca="false">IF($A433="","",IF(MOD(ROW()-2,2)=0,"qr","post"))</f>
        <v/>
      </c>
      <c r="D433" s="30" t="str">
        <f aca="false">IF($A433="","",IF(LEFT($A433,7)="SAMPLE-","SAMPLE-","")&amp;LOWER(SUBSTITUTE(SUBSTITUTE($A433,"SAMPLE-",""),"CMP-","c"))&amp;"-"&amp;LOWER(SUBSTITUTE(SUBSTITUTE($B433,"SAMPLE-",""),"O-","o"))&amp;"-"&amp;IF($C433="qr","q","p"))</f>
        <v/>
      </c>
      <c r="E433" s="30" t="str">
        <f aca="false">IF($A433="","","https://"&amp;config!$B$9&amp;"/"&amp;$D433)</f>
        <v/>
      </c>
      <c r="F433" s="30" t="str">
        <f aca="false">IF($A433="","",$A433&amp;"."&amp;$B433)</f>
        <v/>
      </c>
      <c r="G433" s="30" t="str">
        <f aca="false">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30" t="str">
        <f aca="false">IF(OR($A433="",$C433&lt;&gt;"qr"),"",$D433&amp;".png")</f>
        <v/>
      </c>
      <c r="I433" s="30" t="str">
        <f aca="true">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ustomFormat="false" ht="15" hidden="false" customHeight="false" outlineLevel="0" collapsed="false">
      <c r="A434" s="30" t="str">
        <f aca="false">IF(INDEX(approvals!$A$2:$A$251,INT((ROW()-2)/2)+1)="","",INDEX(approvals!$A$2:$A$251,INT((ROW()-2)/2)+1))</f>
        <v/>
      </c>
      <c r="B434" s="30" t="str">
        <f aca="false">IF(INDEX(approvals!$A$2:$A$251,INT((ROW()-2)/2)+1)="","",INDEX(approvals!$B$2:$B$251,INT((ROW()-2)/2)+1))</f>
        <v/>
      </c>
      <c r="C434" s="30" t="str">
        <f aca="false">IF($A434="","",IF(MOD(ROW()-2,2)=0,"qr","post"))</f>
        <v/>
      </c>
      <c r="D434" s="30" t="str">
        <f aca="false">IF($A434="","",IF(LEFT($A434,7)="SAMPLE-","SAMPLE-","")&amp;LOWER(SUBSTITUTE(SUBSTITUTE($A434,"SAMPLE-",""),"CMP-","c"))&amp;"-"&amp;LOWER(SUBSTITUTE(SUBSTITUTE($B434,"SAMPLE-",""),"O-","o"))&amp;"-"&amp;IF($C434="qr","q","p"))</f>
        <v/>
      </c>
      <c r="E434" s="30" t="str">
        <f aca="false">IF($A434="","","https://"&amp;config!$B$9&amp;"/"&amp;$D434)</f>
        <v/>
      </c>
      <c r="F434" s="30" t="str">
        <f aca="false">IF($A434="","",$A434&amp;"."&amp;$B434)</f>
        <v/>
      </c>
      <c r="G434" s="30" t="str">
        <f aca="false">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30" t="str">
        <f aca="false">IF(OR($A434="",$C434&lt;&gt;"qr"),"",$D434&amp;".png")</f>
        <v/>
      </c>
      <c r="I434" s="30" t="str">
        <f aca="true">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ustomFormat="false" ht="15" hidden="false" customHeight="false" outlineLevel="0" collapsed="false">
      <c r="A435" s="30" t="str">
        <f aca="false">IF(INDEX(approvals!$A$2:$A$251,INT((ROW()-2)/2)+1)="","",INDEX(approvals!$A$2:$A$251,INT((ROW()-2)/2)+1))</f>
        <v/>
      </c>
      <c r="B435" s="30" t="str">
        <f aca="false">IF(INDEX(approvals!$A$2:$A$251,INT((ROW()-2)/2)+1)="","",INDEX(approvals!$B$2:$B$251,INT((ROW()-2)/2)+1))</f>
        <v/>
      </c>
      <c r="C435" s="30" t="str">
        <f aca="false">IF($A435="","",IF(MOD(ROW()-2,2)=0,"qr","post"))</f>
        <v/>
      </c>
      <c r="D435" s="30" t="str">
        <f aca="false">IF($A435="","",IF(LEFT($A435,7)="SAMPLE-","SAMPLE-","")&amp;LOWER(SUBSTITUTE(SUBSTITUTE($A435,"SAMPLE-",""),"CMP-","c"))&amp;"-"&amp;LOWER(SUBSTITUTE(SUBSTITUTE($B435,"SAMPLE-",""),"O-","o"))&amp;"-"&amp;IF($C435="qr","q","p"))</f>
        <v/>
      </c>
      <c r="E435" s="30" t="str">
        <f aca="false">IF($A435="","","https://"&amp;config!$B$9&amp;"/"&amp;$D435)</f>
        <v/>
      </c>
      <c r="F435" s="30" t="str">
        <f aca="false">IF($A435="","",$A435&amp;"."&amp;$B435)</f>
        <v/>
      </c>
      <c r="G435" s="30" t="str">
        <f aca="false">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30" t="str">
        <f aca="false">IF(OR($A435="",$C435&lt;&gt;"qr"),"",$D435&amp;".png")</f>
        <v/>
      </c>
      <c r="I435" s="30" t="str">
        <f aca="true">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ustomFormat="false" ht="15" hidden="false" customHeight="false" outlineLevel="0" collapsed="false">
      <c r="A436" s="30" t="str">
        <f aca="false">IF(INDEX(approvals!$A$2:$A$251,INT((ROW()-2)/2)+1)="","",INDEX(approvals!$A$2:$A$251,INT((ROW()-2)/2)+1))</f>
        <v/>
      </c>
      <c r="B436" s="30" t="str">
        <f aca="false">IF(INDEX(approvals!$A$2:$A$251,INT((ROW()-2)/2)+1)="","",INDEX(approvals!$B$2:$B$251,INT((ROW()-2)/2)+1))</f>
        <v/>
      </c>
      <c r="C436" s="30" t="str">
        <f aca="false">IF($A436="","",IF(MOD(ROW()-2,2)=0,"qr","post"))</f>
        <v/>
      </c>
      <c r="D436" s="30" t="str">
        <f aca="false">IF($A436="","",IF(LEFT($A436,7)="SAMPLE-","SAMPLE-","")&amp;LOWER(SUBSTITUTE(SUBSTITUTE($A436,"SAMPLE-",""),"CMP-","c"))&amp;"-"&amp;LOWER(SUBSTITUTE(SUBSTITUTE($B436,"SAMPLE-",""),"O-","o"))&amp;"-"&amp;IF($C436="qr","q","p"))</f>
        <v/>
      </c>
      <c r="E436" s="30" t="str">
        <f aca="false">IF($A436="","","https://"&amp;config!$B$9&amp;"/"&amp;$D436)</f>
        <v/>
      </c>
      <c r="F436" s="30" t="str">
        <f aca="false">IF($A436="","",$A436&amp;"."&amp;$B436)</f>
        <v/>
      </c>
      <c r="G436" s="30" t="str">
        <f aca="false">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30" t="str">
        <f aca="false">IF(OR($A436="",$C436&lt;&gt;"qr"),"",$D436&amp;".png")</f>
        <v/>
      </c>
      <c r="I436" s="30" t="str">
        <f aca="true">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ustomFormat="false" ht="15" hidden="false" customHeight="false" outlineLevel="0" collapsed="false">
      <c r="A437" s="30" t="str">
        <f aca="false">IF(INDEX(approvals!$A$2:$A$251,INT((ROW()-2)/2)+1)="","",INDEX(approvals!$A$2:$A$251,INT((ROW()-2)/2)+1))</f>
        <v/>
      </c>
      <c r="B437" s="30" t="str">
        <f aca="false">IF(INDEX(approvals!$A$2:$A$251,INT((ROW()-2)/2)+1)="","",INDEX(approvals!$B$2:$B$251,INT((ROW()-2)/2)+1))</f>
        <v/>
      </c>
      <c r="C437" s="30" t="str">
        <f aca="false">IF($A437="","",IF(MOD(ROW()-2,2)=0,"qr","post"))</f>
        <v/>
      </c>
      <c r="D437" s="30" t="str">
        <f aca="false">IF($A437="","",IF(LEFT($A437,7)="SAMPLE-","SAMPLE-","")&amp;LOWER(SUBSTITUTE(SUBSTITUTE($A437,"SAMPLE-",""),"CMP-","c"))&amp;"-"&amp;LOWER(SUBSTITUTE(SUBSTITUTE($B437,"SAMPLE-",""),"O-","o"))&amp;"-"&amp;IF($C437="qr","q","p"))</f>
        <v/>
      </c>
      <c r="E437" s="30" t="str">
        <f aca="false">IF($A437="","","https://"&amp;config!$B$9&amp;"/"&amp;$D437)</f>
        <v/>
      </c>
      <c r="F437" s="30" t="str">
        <f aca="false">IF($A437="","",$A437&amp;"."&amp;$B437)</f>
        <v/>
      </c>
      <c r="G437" s="30" t="str">
        <f aca="false">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30" t="str">
        <f aca="false">IF(OR($A437="",$C437&lt;&gt;"qr"),"",$D437&amp;".png")</f>
        <v/>
      </c>
      <c r="I437" s="30" t="str">
        <f aca="true">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ustomFormat="false" ht="15" hidden="false" customHeight="false" outlineLevel="0" collapsed="false">
      <c r="A438" s="30" t="str">
        <f aca="false">IF(INDEX(approvals!$A$2:$A$251,INT((ROW()-2)/2)+1)="","",INDEX(approvals!$A$2:$A$251,INT((ROW()-2)/2)+1))</f>
        <v/>
      </c>
      <c r="B438" s="30" t="str">
        <f aca="false">IF(INDEX(approvals!$A$2:$A$251,INT((ROW()-2)/2)+1)="","",INDEX(approvals!$B$2:$B$251,INT((ROW()-2)/2)+1))</f>
        <v/>
      </c>
      <c r="C438" s="30" t="str">
        <f aca="false">IF($A438="","",IF(MOD(ROW()-2,2)=0,"qr","post"))</f>
        <v/>
      </c>
      <c r="D438" s="30" t="str">
        <f aca="false">IF($A438="","",IF(LEFT($A438,7)="SAMPLE-","SAMPLE-","")&amp;LOWER(SUBSTITUTE(SUBSTITUTE($A438,"SAMPLE-",""),"CMP-","c"))&amp;"-"&amp;LOWER(SUBSTITUTE(SUBSTITUTE($B438,"SAMPLE-",""),"O-","o"))&amp;"-"&amp;IF($C438="qr","q","p"))</f>
        <v/>
      </c>
      <c r="E438" s="30" t="str">
        <f aca="false">IF($A438="","","https://"&amp;config!$B$9&amp;"/"&amp;$D438)</f>
        <v/>
      </c>
      <c r="F438" s="30" t="str">
        <f aca="false">IF($A438="","",$A438&amp;"."&amp;$B438)</f>
        <v/>
      </c>
      <c r="G438" s="30" t="str">
        <f aca="false">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30" t="str">
        <f aca="false">IF(OR($A438="",$C438&lt;&gt;"qr"),"",$D438&amp;".png")</f>
        <v/>
      </c>
      <c r="I438" s="30" t="str">
        <f aca="true">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ustomFormat="false" ht="15" hidden="false" customHeight="false" outlineLevel="0" collapsed="false">
      <c r="A439" s="30" t="str">
        <f aca="false">IF(INDEX(approvals!$A$2:$A$251,INT((ROW()-2)/2)+1)="","",INDEX(approvals!$A$2:$A$251,INT((ROW()-2)/2)+1))</f>
        <v/>
      </c>
      <c r="B439" s="30" t="str">
        <f aca="false">IF(INDEX(approvals!$A$2:$A$251,INT((ROW()-2)/2)+1)="","",INDEX(approvals!$B$2:$B$251,INT((ROW()-2)/2)+1))</f>
        <v/>
      </c>
      <c r="C439" s="30" t="str">
        <f aca="false">IF($A439="","",IF(MOD(ROW()-2,2)=0,"qr","post"))</f>
        <v/>
      </c>
      <c r="D439" s="30" t="str">
        <f aca="false">IF($A439="","",IF(LEFT($A439,7)="SAMPLE-","SAMPLE-","")&amp;LOWER(SUBSTITUTE(SUBSTITUTE($A439,"SAMPLE-",""),"CMP-","c"))&amp;"-"&amp;LOWER(SUBSTITUTE(SUBSTITUTE($B439,"SAMPLE-",""),"O-","o"))&amp;"-"&amp;IF($C439="qr","q","p"))</f>
        <v/>
      </c>
      <c r="E439" s="30" t="str">
        <f aca="false">IF($A439="","","https://"&amp;config!$B$9&amp;"/"&amp;$D439)</f>
        <v/>
      </c>
      <c r="F439" s="30" t="str">
        <f aca="false">IF($A439="","",$A439&amp;"."&amp;$B439)</f>
        <v/>
      </c>
      <c r="G439" s="30" t="str">
        <f aca="false">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30" t="str">
        <f aca="false">IF(OR($A439="",$C439&lt;&gt;"qr"),"",$D439&amp;".png")</f>
        <v/>
      </c>
      <c r="I439" s="30" t="str">
        <f aca="true">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ustomFormat="false" ht="15" hidden="false" customHeight="false" outlineLevel="0" collapsed="false">
      <c r="A440" s="30" t="str">
        <f aca="false">IF(INDEX(approvals!$A$2:$A$251,INT((ROW()-2)/2)+1)="","",INDEX(approvals!$A$2:$A$251,INT((ROW()-2)/2)+1))</f>
        <v/>
      </c>
      <c r="B440" s="30" t="str">
        <f aca="false">IF(INDEX(approvals!$A$2:$A$251,INT((ROW()-2)/2)+1)="","",INDEX(approvals!$B$2:$B$251,INT((ROW()-2)/2)+1))</f>
        <v/>
      </c>
      <c r="C440" s="30" t="str">
        <f aca="false">IF($A440="","",IF(MOD(ROW()-2,2)=0,"qr","post"))</f>
        <v/>
      </c>
      <c r="D440" s="30" t="str">
        <f aca="false">IF($A440="","",IF(LEFT($A440,7)="SAMPLE-","SAMPLE-","")&amp;LOWER(SUBSTITUTE(SUBSTITUTE($A440,"SAMPLE-",""),"CMP-","c"))&amp;"-"&amp;LOWER(SUBSTITUTE(SUBSTITUTE($B440,"SAMPLE-",""),"O-","o"))&amp;"-"&amp;IF($C440="qr","q","p"))</f>
        <v/>
      </c>
      <c r="E440" s="30" t="str">
        <f aca="false">IF($A440="","","https://"&amp;config!$B$9&amp;"/"&amp;$D440)</f>
        <v/>
      </c>
      <c r="F440" s="30" t="str">
        <f aca="false">IF($A440="","",$A440&amp;"."&amp;$B440)</f>
        <v/>
      </c>
      <c r="G440" s="30" t="str">
        <f aca="false">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30" t="str">
        <f aca="false">IF(OR($A440="",$C440&lt;&gt;"qr"),"",$D440&amp;".png")</f>
        <v/>
      </c>
      <c r="I440" s="30" t="str">
        <f aca="true">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ustomFormat="false" ht="15" hidden="false" customHeight="false" outlineLevel="0" collapsed="false">
      <c r="A441" s="30" t="str">
        <f aca="false">IF(INDEX(approvals!$A$2:$A$251,INT((ROW()-2)/2)+1)="","",INDEX(approvals!$A$2:$A$251,INT((ROW()-2)/2)+1))</f>
        <v/>
      </c>
      <c r="B441" s="30" t="str">
        <f aca="false">IF(INDEX(approvals!$A$2:$A$251,INT((ROW()-2)/2)+1)="","",INDEX(approvals!$B$2:$B$251,INT((ROW()-2)/2)+1))</f>
        <v/>
      </c>
      <c r="C441" s="30" t="str">
        <f aca="false">IF($A441="","",IF(MOD(ROW()-2,2)=0,"qr","post"))</f>
        <v/>
      </c>
      <c r="D441" s="30" t="str">
        <f aca="false">IF($A441="","",IF(LEFT($A441,7)="SAMPLE-","SAMPLE-","")&amp;LOWER(SUBSTITUTE(SUBSTITUTE($A441,"SAMPLE-",""),"CMP-","c"))&amp;"-"&amp;LOWER(SUBSTITUTE(SUBSTITUTE($B441,"SAMPLE-",""),"O-","o"))&amp;"-"&amp;IF($C441="qr","q","p"))</f>
        <v/>
      </c>
      <c r="E441" s="30" t="str">
        <f aca="false">IF($A441="","","https://"&amp;config!$B$9&amp;"/"&amp;$D441)</f>
        <v/>
      </c>
      <c r="F441" s="30" t="str">
        <f aca="false">IF($A441="","",$A441&amp;"."&amp;$B441)</f>
        <v/>
      </c>
      <c r="G441" s="30" t="str">
        <f aca="false">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30" t="str">
        <f aca="false">IF(OR($A441="",$C441&lt;&gt;"qr"),"",$D441&amp;".png")</f>
        <v/>
      </c>
      <c r="I441" s="30" t="str">
        <f aca="true">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ustomFormat="false" ht="15" hidden="false" customHeight="false" outlineLevel="0" collapsed="false">
      <c r="A442" s="30" t="str">
        <f aca="false">IF(INDEX(approvals!$A$2:$A$251,INT((ROW()-2)/2)+1)="","",INDEX(approvals!$A$2:$A$251,INT((ROW()-2)/2)+1))</f>
        <v/>
      </c>
      <c r="B442" s="30" t="str">
        <f aca="false">IF(INDEX(approvals!$A$2:$A$251,INT((ROW()-2)/2)+1)="","",INDEX(approvals!$B$2:$B$251,INT((ROW()-2)/2)+1))</f>
        <v/>
      </c>
      <c r="C442" s="30" t="str">
        <f aca="false">IF($A442="","",IF(MOD(ROW()-2,2)=0,"qr","post"))</f>
        <v/>
      </c>
      <c r="D442" s="30" t="str">
        <f aca="false">IF($A442="","",IF(LEFT($A442,7)="SAMPLE-","SAMPLE-","")&amp;LOWER(SUBSTITUTE(SUBSTITUTE($A442,"SAMPLE-",""),"CMP-","c"))&amp;"-"&amp;LOWER(SUBSTITUTE(SUBSTITUTE($B442,"SAMPLE-",""),"O-","o"))&amp;"-"&amp;IF($C442="qr","q","p"))</f>
        <v/>
      </c>
      <c r="E442" s="30" t="str">
        <f aca="false">IF($A442="","","https://"&amp;config!$B$9&amp;"/"&amp;$D442)</f>
        <v/>
      </c>
      <c r="F442" s="30" t="str">
        <f aca="false">IF($A442="","",$A442&amp;"."&amp;$B442)</f>
        <v/>
      </c>
      <c r="G442" s="30" t="str">
        <f aca="false">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30" t="str">
        <f aca="false">IF(OR($A442="",$C442&lt;&gt;"qr"),"",$D442&amp;".png")</f>
        <v/>
      </c>
      <c r="I442" s="30" t="str">
        <f aca="true">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ustomFormat="false" ht="15" hidden="false" customHeight="false" outlineLevel="0" collapsed="false">
      <c r="A443" s="30" t="str">
        <f aca="false">IF(INDEX(approvals!$A$2:$A$251,INT((ROW()-2)/2)+1)="","",INDEX(approvals!$A$2:$A$251,INT((ROW()-2)/2)+1))</f>
        <v/>
      </c>
      <c r="B443" s="30" t="str">
        <f aca="false">IF(INDEX(approvals!$A$2:$A$251,INT((ROW()-2)/2)+1)="","",INDEX(approvals!$B$2:$B$251,INT((ROW()-2)/2)+1))</f>
        <v/>
      </c>
      <c r="C443" s="30" t="str">
        <f aca="false">IF($A443="","",IF(MOD(ROW()-2,2)=0,"qr","post"))</f>
        <v/>
      </c>
      <c r="D443" s="30" t="str">
        <f aca="false">IF($A443="","",IF(LEFT($A443,7)="SAMPLE-","SAMPLE-","")&amp;LOWER(SUBSTITUTE(SUBSTITUTE($A443,"SAMPLE-",""),"CMP-","c"))&amp;"-"&amp;LOWER(SUBSTITUTE(SUBSTITUTE($B443,"SAMPLE-",""),"O-","o"))&amp;"-"&amp;IF($C443="qr","q","p"))</f>
        <v/>
      </c>
      <c r="E443" s="30" t="str">
        <f aca="false">IF($A443="","","https://"&amp;config!$B$9&amp;"/"&amp;$D443)</f>
        <v/>
      </c>
      <c r="F443" s="30" t="str">
        <f aca="false">IF($A443="","",$A443&amp;"."&amp;$B443)</f>
        <v/>
      </c>
      <c r="G443" s="30" t="str">
        <f aca="false">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30" t="str">
        <f aca="false">IF(OR($A443="",$C443&lt;&gt;"qr"),"",$D443&amp;".png")</f>
        <v/>
      </c>
      <c r="I443" s="30" t="str">
        <f aca="true">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ustomFormat="false" ht="15" hidden="false" customHeight="false" outlineLevel="0" collapsed="false">
      <c r="A444" s="30" t="str">
        <f aca="false">IF(INDEX(approvals!$A$2:$A$251,INT((ROW()-2)/2)+1)="","",INDEX(approvals!$A$2:$A$251,INT((ROW()-2)/2)+1))</f>
        <v/>
      </c>
      <c r="B444" s="30" t="str">
        <f aca="false">IF(INDEX(approvals!$A$2:$A$251,INT((ROW()-2)/2)+1)="","",INDEX(approvals!$B$2:$B$251,INT((ROW()-2)/2)+1))</f>
        <v/>
      </c>
      <c r="C444" s="30" t="str">
        <f aca="false">IF($A444="","",IF(MOD(ROW()-2,2)=0,"qr","post"))</f>
        <v/>
      </c>
      <c r="D444" s="30" t="str">
        <f aca="false">IF($A444="","",IF(LEFT($A444,7)="SAMPLE-","SAMPLE-","")&amp;LOWER(SUBSTITUTE(SUBSTITUTE($A444,"SAMPLE-",""),"CMP-","c"))&amp;"-"&amp;LOWER(SUBSTITUTE(SUBSTITUTE($B444,"SAMPLE-",""),"O-","o"))&amp;"-"&amp;IF($C444="qr","q","p"))</f>
        <v/>
      </c>
      <c r="E444" s="30" t="str">
        <f aca="false">IF($A444="","","https://"&amp;config!$B$9&amp;"/"&amp;$D444)</f>
        <v/>
      </c>
      <c r="F444" s="30" t="str">
        <f aca="false">IF($A444="","",$A444&amp;"."&amp;$B444)</f>
        <v/>
      </c>
      <c r="G444" s="30" t="str">
        <f aca="false">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30" t="str">
        <f aca="false">IF(OR($A444="",$C444&lt;&gt;"qr"),"",$D444&amp;".png")</f>
        <v/>
      </c>
      <c r="I444" s="30" t="str">
        <f aca="true">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ustomFormat="false" ht="15" hidden="false" customHeight="false" outlineLevel="0" collapsed="false">
      <c r="A445" s="30" t="str">
        <f aca="false">IF(INDEX(approvals!$A$2:$A$251,INT((ROW()-2)/2)+1)="","",INDEX(approvals!$A$2:$A$251,INT((ROW()-2)/2)+1))</f>
        <v/>
      </c>
      <c r="B445" s="30" t="str">
        <f aca="false">IF(INDEX(approvals!$A$2:$A$251,INT((ROW()-2)/2)+1)="","",INDEX(approvals!$B$2:$B$251,INT((ROW()-2)/2)+1))</f>
        <v/>
      </c>
      <c r="C445" s="30" t="str">
        <f aca="false">IF($A445="","",IF(MOD(ROW()-2,2)=0,"qr","post"))</f>
        <v/>
      </c>
      <c r="D445" s="30" t="str">
        <f aca="false">IF($A445="","",IF(LEFT($A445,7)="SAMPLE-","SAMPLE-","")&amp;LOWER(SUBSTITUTE(SUBSTITUTE($A445,"SAMPLE-",""),"CMP-","c"))&amp;"-"&amp;LOWER(SUBSTITUTE(SUBSTITUTE($B445,"SAMPLE-",""),"O-","o"))&amp;"-"&amp;IF($C445="qr","q","p"))</f>
        <v/>
      </c>
      <c r="E445" s="30" t="str">
        <f aca="false">IF($A445="","","https://"&amp;config!$B$9&amp;"/"&amp;$D445)</f>
        <v/>
      </c>
      <c r="F445" s="30" t="str">
        <f aca="false">IF($A445="","",$A445&amp;"."&amp;$B445)</f>
        <v/>
      </c>
      <c r="G445" s="30" t="str">
        <f aca="false">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30" t="str">
        <f aca="false">IF(OR($A445="",$C445&lt;&gt;"qr"),"",$D445&amp;".png")</f>
        <v/>
      </c>
      <c r="I445" s="30" t="str">
        <f aca="true">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ustomFormat="false" ht="15" hidden="false" customHeight="false" outlineLevel="0" collapsed="false">
      <c r="A446" s="30" t="str">
        <f aca="false">IF(INDEX(approvals!$A$2:$A$251,INT((ROW()-2)/2)+1)="","",INDEX(approvals!$A$2:$A$251,INT((ROW()-2)/2)+1))</f>
        <v/>
      </c>
      <c r="B446" s="30" t="str">
        <f aca="false">IF(INDEX(approvals!$A$2:$A$251,INT((ROW()-2)/2)+1)="","",INDEX(approvals!$B$2:$B$251,INT((ROW()-2)/2)+1))</f>
        <v/>
      </c>
      <c r="C446" s="30" t="str">
        <f aca="false">IF($A446="","",IF(MOD(ROW()-2,2)=0,"qr","post"))</f>
        <v/>
      </c>
      <c r="D446" s="30" t="str">
        <f aca="false">IF($A446="","",IF(LEFT($A446,7)="SAMPLE-","SAMPLE-","")&amp;LOWER(SUBSTITUTE(SUBSTITUTE($A446,"SAMPLE-",""),"CMP-","c"))&amp;"-"&amp;LOWER(SUBSTITUTE(SUBSTITUTE($B446,"SAMPLE-",""),"O-","o"))&amp;"-"&amp;IF($C446="qr","q","p"))</f>
        <v/>
      </c>
      <c r="E446" s="30" t="str">
        <f aca="false">IF($A446="","","https://"&amp;config!$B$9&amp;"/"&amp;$D446)</f>
        <v/>
      </c>
      <c r="F446" s="30" t="str">
        <f aca="false">IF($A446="","",$A446&amp;"."&amp;$B446)</f>
        <v/>
      </c>
      <c r="G446" s="30" t="str">
        <f aca="false">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30" t="str">
        <f aca="false">IF(OR($A446="",$C446&lt;&gt;"qr"),"",$D446&amp;".png")</f>
        <v/>
      </c>
      <c r="I446" s="30" t="str">
        <f aca="true">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ustomFormat="false" ht="15" hidden="false" customHeight="false" outlineLevel="0" collapsed="false">
      <c r="A447" s="30" t="str">
        <f aca="false">IF(INDEX(approvals!$A$2:$A$251,INT((ROW()-2)/2)+1)="","",INDEX(approvals!$A$2:$A$251,INT((ROW()-2)/2)+1))</f>
        <v/>
      </c>
      <c r="B447" s="30" t="str">
        <f aca="false">IF(INDEX(approvals!$A$2:$A$251,INT((ROW()-2)/2)+1)="","",INDEX(approvals!$B$2:$B$251,INT((ROW()-2)/2)+1))</f>
        <v/>
      </c>
      <c r="C447" s="30" t="str">
        <f aca="false">IF($A447="","",IF(MOD(ROW()-2,2)=0,"qr","post"))</f>
        <v/>
      </c>
      <c r="D447" s="30" t="str">
        <f aca="false">IF($A447="","",IF(LEFT($A447,7)="SAMPLE-","SAMPLE-","")&amp;LOWER(SUBSTITUTE(SUBSTITUTE($A447,"SAMPLE-",""),"CMP-","c"))&amp;"-"&amp;LOWER(SUBSTITUTE(SUBSTITUTE($B447,"SAMPLE-",""),"O-","o"))&amp;"-"&amp;IF($C447="qr","q","p"))</f>
        <v/>
      </c>
      <c r="E447" s="30" t="str">
        <f aca="false">IF($A447="","","https://"&amp;config!$B$9&amp;"/"&amp;$D447)</f>
        <v/>
      </c>
      <c r="F447" s="30" t="str">
        <f aca="false">IF($A447="","",$A447&amp;"."&amp;$B447)</f>
        <v/>
      </c>
      <c r="G447" s="30" t="str">
        <f aca="false">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30" t="str">
        <f aca="false">IF(OR($A447="",$C447&lt;&gt;"qr"),"",$D447&amp;".png")</f>
        <v/>
      </c>
      <c r="I447" s="30" t="str">
        <f aca="true">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ustomFormat="false" ht="15" hidden="false" customHeight="false" outlineLevel="0" collapsed="false">
      <c r="A448" s="30" t="str">
        <f aca="false">IF(INDEX(approvals!$A$2:$A$251,INT((ROW()-2)/2)+1)="","",INDEX(approvals!$A$2:$A$251,INT((ROW()-2)/2)+1))</f>
        <v/>
      </c>
      <c r="B448" s="30" t="str">
        <f aca="false">IF(INDEX(approvals!$A$2:$A$251,INT((ROW()-2)/2)+1)="","",INDEX(approvals!$B$2:$B$251,INT((ROW()-2)/2)+1))</f>
        <v/>
      </c>
      <c r="C448" s="30" t="str">
        <f aca="false">IF($A448="","",IF(MOD(ROW()-2,2)=0,"qr","post"))</f>
        <v/>
      </c>
      <c r="D448" s="30" t="str">
        <f aca="false">IF($A448="","",IF(LEFT($A448,7)="SAMPLE-","SAMPLE-","")&amp;LOWER(SUBSTITUTE(SUBSTITUTE($A448,"SAMPLE-",""),"CMP-","c"))&amp;"-"&amp;LOWER(SUBSTITUTE(SUBSTITUTE($B448,"SAMPLE-",""),"O-","o"))&amp;"-"&amp;IF($C448="qr","q","p"))</f>
        <v/>
      </c>
      <c r="E448" s="30" t="str">
        <f aca="false">IF($A448="","","https://"&amp;config!$B$9&amp;"/"&amp;$D448)</f>
        <v/>
      </c>
      <c r="F448" s="30" t="str">
        <f aca="false">IF($A448="","",$A448&amp;"."&amp;$B448)</f>
        <v/>
      </c>
      <c r="G448" s="30" t="str">
        <f aca="false">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30" t="str">
        <f aca="false">IF(OR($A448="",$C448&lt;&gt;"qr"),"",$D448&amp;".png")</f>
        <v/>
      </c>
      <c r="I448" s="30" t="str">
        <f aca="true">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ustomFormat="false" ht="15" hidden="false" customHeight="false" outlineLevel="0" collapsed="false">
      <c r="A449" s="30" t="str">
        <f aca="false">IF(INDEX(approvals!$A$2:$A$251,INT((ROW()-2)/2)+1)="","",INDEX(approvals!$A$2:$A$251,INT((ROW()-2)/2)+1))</f>
        <v/>
      </c>
      <c r="B449" s="30" t="str">
        <f aca="false">IF(INDEX(approvals!$A$2:$A$251,INT((ROW()-2)/2)+1)="","",INDEX(approvals!$B$2:$B$251,INT((ROW()-2)/2)+1))</f>
        <v/>
      </c>
      <c r="C449" s="30" t="str">
        <f aca="false">IF($A449="","",IF(MOD(ROW()-2,2)=0,"qr","post"))</f>
        <v/>
      </c>
      <c r="D449" s="30" t="str">
        <f aca="false">IF($A449="","",IF(LEFT($A449,7)="SAMPLE-","SAMPLE-","")&amp;LOWER(SUBSTITUTE(SUBSTITUTE($A449,"SAMPLE-",""),"CMP-","c"))&amp;"-"&amp;LOWER(SUBSTITUTE(SUBSTITUTE($B449,"SAMPLE-",""),"O-","o"))&amp;"-"&amp;IF($C449="qr","q","p"))</f>
        <v/>
      </c>
      <c r="E449" s="30" t="str">
        <f aca="false">IF($A449="","","https://"&amp;config!$B$9&amp;"/"&amp;$D449)</f>
        <v/>
      </c>
      <c r="F449" s="30" t="str">
        <f aca="false">IF($A449="","",$A449&amp;"."&amp;$B449)</f>
        <v/>
      </c>
      <c r="G449" s="30" t="str">
        <f aca="false">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30" t="str">
        <f aca="false">IF(OR($A449="",$C449&lt;&gt;"qr"),"",$D449&amp;".png")</f>
        <v/>
      </c>
      <c r="I449" s="30" t="str">
        <f aca="true">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ustomFormat="false" ht="15" hidden="false" customHeight="false" outlineLevel="0" collapsed="false">
      <c r="A450" s="30" t="str">
        <f aca="false">IF(INDEX(approvals!$A$2:$A$251,INT((ROW()-2)/2)+1)="","",INDEX(approvals!$A$2:$A$251,INT((ROW()-2)/2)+1))</f>
        <v/>
      </c>
      <c r="B450" s="30" t="str">
        <f aca="false">IF(INDEX(approvals!$A$2:$A$251,INT((ROW()-2)/2)+1)="","",INDEX(approvals!$B$2:$B$251,INT((ROW()-2)/2)+1))</f>
        <v/>
      </c>
      <c r="C450" s="30" t="str">
        <f aca="false">IF($A450="","",IF(MOD(ROW()-2,2)=0,"qr","post"))</f>
        <v/>
      </c>
      <c r="D450" s="30" t="str">
        <f aca="false">IF($A450="","",IF(LEFT($A450,7)="SAMPLE-","SAMPLE-","")&amp;LOWER(SUBSTITUTE(SUBSTITUTE($A450,"SAMPLE-",""),"CMP-","c"))&amp;"-"&amp;LOWER(SUBSTITUTE(SUBSTITUTE($B450,"SAMPLE-",""),"O-","o"))&amp;"-"&amp;IF($C450="qr","q","p"))</f>
        <v/>
      </c>
      <c r="E450" s="30" t="str">
        <f aca="false">IF($A450="","","https://"&amp;config!$B$9&amp;"/"&amp;$D450)</f>
        <v/>
      </c>
      <c r="F450" s="30" t="str">
        <f aca="false">IF($A450="","",$A450&amp;"."&amp;$B450)</f>
        <v/>
      </c>
      <c r="G450" s="30" t="str">
        <f aca="false">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30" t="str">
        <f aca="false">IF(OR($A450="",$C450&lt;&gt;"qr"),"",$D450&amp;".png")</f>
        <v/>
      </c>
      <c r="I450" s="30" t="str">
        <f aca="true">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ustomFormat="false" ht="15" hidden="false" customHeight="false" outlineLevel="0" collapsed="false">
      <c r="A451" s="30" t="str">
        <f aca="false">IF(INDEX(approvals!$A$2:$A$251,INT((ROW()-2)/2)+1)="","",INDEX(approvals!$A$2:$A$251,INT((ROW()-2)/2)+1))</f>
        <v/>
      </c>
      <c r="B451" s="30" t="str">
        <f aca="false">IF(INDEX(approvals!$A$2:$A$251,INT((ROW()-2)/2)+1)="","",INDEX(approvals!$B$2:$B$251,INT((ROW()-2)/2)+1))</f>
        <v/>
      </c>
      <c r="C451" s="30" t="str">
        <f aca="false">IF($A451="","",IF(MOD(ROW()-2,2)=0,"qr","post"))</f>
        <v/>
      </c>
      <c r="D451" s="30" t="str">
        <f aca="false">IF($A451="","",IF(LEFT($A451,7)="SAMPLE-","SAMPLE-","")&amp;LOWER(SUBSTITUTE(SUBSTITUTE($A451,"SAMPLE-",""),"CMP-","c"))&amp;"-"&amp;LOWER(SUBSTITUTE(SUBSTITUTE($B451,"SAMPLE-",""),"O-","o"))&amp;"-"&amp;IF($C451="qr","q","p"))</f>
        <v/>
      </c>
      <c r="E451" s="30" t="str">
        <f aca="false">IF($A451="","","https://"&amp;config!$B$9&amp;"/"&amp;$D451)</f>
        <v/>
      </c>
      <c r="F451" s="30" t="str">
        <f aca="false">IF($A451="","",$A451&amp;"."&amp;$B451)</f>
        <v/>
      </c>
      <c r="G451" s="30" t="str">
        <f aca="false">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30" t="str">
        <f aca="false">IF(OR($A451="",$C451&lt;&gt;"qr"),"",$D451&amp;".png")</f>
        <v/>
      </c>
      <c r="I451" s="30" t="str">
        <f aca="true">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ustomFormat="false" ht="15" hidden="false" customHeight="false" outlineLevel="0" collapsed="false">
      <c r="A452" s="30" t="str">
        <f aca="false">IF(INDEX(approvals!$A$2:$A$251,INT((ROW()-2)/2)+1)="","",INDEX(approvals!$A$2:$A$251,INT((ROW()-2)/2)+1))</f>
        <v/>
      </c>
      <c r="B452" s="30" t="str">
        <f aca="false">IF(INDEX(approvals!$A$2:$A$251,INT((ROW()-2)/2)+1)="","",INDEX(approvals!$B$2:$B$251,INT((ROW()-2)/2)+1))</f>
        <v/>
      </c>
      <c r="C452" s="30" t="str">
        <f aca="false">IF($A452="","",IF(MOD(ROW()-2,2)=0,"qr","post"))</f>
        <v/>
      </c>
      <c r="D452" s="30" t="str">
        <f aca="false">IF($A452="","",IF(LEFT($A452,7)="SAMPLE-","SAMPLE-","")&amp;LOWER(SUBSTITUTE(SUBSTITUTE($A452,"SAMPLE-",""),"CMP-","c"))&amp;"-"&amp;LOWER(SUBSTITUTE(SUBSTITUTE($B452,"SAMPLE-",""),"O-","o"))&amp;"-"&amp;IF($C452="qr","q","p"))</f>
        <v/>
      </c>
      <c r="E452" s="30" t="str">
        <f aca="false">IF($A452="","","https://"&amp;config!$B$9&amp;"/"&amp;$D452)</f>
        <v/>
      </c>
      <c r="F452" s="30" t="str">
        <f aca="false">IF($A452="","",$A452&amp;"."&amp;$B452)</f>
        <v/>
      </c>
      <c r="G452" s="30" t="str">
        <f aca="false">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30" t="str">
        <f aca="false">IF(OR($A452="",$C452&lt;&gt;"qr"),"",$D452&amp;".png")</f>
        <v/>
      </c>
      <c r="I452" s="30" t="str">
        <f aca="true">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ustomFormat="false" ht="15" hidden="false" customHeight="false" outlineLevel="0" collapsed="false">
      <c r="A453" s="30" t="str">
        <f aca="false">IF(INDEX(approvals!$A$2:$A$251,INT((ROW()-2)/2)+1)="","",INDEX(approvals!$A$2:$A$251,INT((ROW()-2)/2)+1))</f>
        <v/>
      </c>
      <c r="B453" s="30" t="str">
        <f aca="false">IF(INDEX(approvals!$A$2:$A$251,INT((ROW()-2)/2)+1)="","",INDEX(approvals!$B$2:$B$251,INT((ROW()-2)/2)+1))</f>
        <v/>
      </c>
      <c r="C453" s="30" t="str">
        <f aca="false">IF($A453="","",IF(MOD(ROW()-2,2)=0,"qr","post"))</f>
        <v/>
      </c>
      <c r="D453" s="30" t="str">
        <f aca="false">IF($A453="","",IF(LEFT($A453,7)="SAMPLE-","SAMPLE-","")&amp;LOWER(SUBSTITUTE(SUBSTITUTE($A453,"SAMPLE-",""),"CMP-","c"))&amp;"-"&amp;LOWER(SUBSTITUTE(SUBSTITUTE($B453,"SAMPLE-",""),"O-","o"))&amp;"-"&amp;IF($C453="qr","q","p"))</f>
        <v/>
      </c>
      <c r="E453" s="30" t="str">
        <f aca="false">IF($A453="","","https://"&amp;config!$B$9&amp;"/"&amp;$D453)</f>
        <v/>
      </c>
      <c r="F453" s="30" t="str">
        <f aca="false">IF($A453="","",$A453&amp;"."&amp;$B453)</f>
        <v/>
      </c>
      <c r="G453" s="30" t="str">
        <f aca="false">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30" t="str">
        <f aca="false">IF(OR($A453="",$C453&lt;&gt;"qr"),"",$D453&amp;".png")</f>
        <v/>
      </c>
      <c r="I453" s="30" t="str">
        <f aca="true">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ustomFormat="false" ht="15" hidden="false" customHeight="false" outlineLevel="0" collapsed="false">
      <c r="A454" s="30" t="str">
        <f aca="false">IF(INDEX(approvals!$A$2:$A$251,INT((ROW()-2)/2)+1)="","",INDEX(approvals!$A$2:$A$251,INT((ROW()-2)/2)+1))</f>
        <v/>
      </c>
      <c r="B454" s="30" t="str">
        <f aca="false">IF(INDEX(approvals!$A$2:$A$251,INT((ROW()-2)/2)+1)="","",INDEX(approvals!$B$2:$B$251,INT((ROW()-2)/2)+1))</f>
        <v/>
      </c>
      <c r="C454" s="30" t="str">
        <f aca="false">IF($A454="","",IF(MOD(ROW()-2,2)=0,"qr","post"))</f>
        <v/>
      </c>
      <c r="D454" s="30" t="str">
        <f aca="false">IF($A454="","",IF(LEFT($A454,7)="SAMPLE-","SAMPLE-","")&amp;LOWER(SUBSTITUTE(SUBSTITUTE($A454,"SAMPLE-",""),"CMP-","c"))&amp;"-"&amp;LOWER(SUBSTITUTE(SUBSTITUTE($B454,"SAMPLE-",""),"O-","o"))&amp;"-"&amp;IF($C454="qr","q","p"))</f>
        <v/>
      </c>
      <c r="E454" s="30" t="str">
        <f aca="false">IF($A454="","","https://"&amp;config!$B$9&amp;"/"&amp;$D454)</f>
        <v/>
      </c>
      <c r="F454" s="30" t="str">
        <f aca="false">IF($A454="","",$A454&amp;"."&amp;$B454)</f>
        <v/>
      </c>
      <c r="G454" s="30" t="str">
        <f aca="false">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30" t="str">
        <f aca="false">IF(OR($A454="",$C454&lt;&gt;"qr"),"",$D454&amp;".png")</f>
        <v/>
      </c>
      <c r="I454" s="30" t="str">
        <f aca="true">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ustomFormat="false" ht="15" hidden="false" customHeight="false" outlineLevel="0" collapsed="false">
      <c r="A455" s="30" t="str">
        <f aca="false">IF(INDEX(approvals!$A$2:$A$251,INT((ROW()-2)/2)+1)="","",INDEX(approvals!$A$2:$A$251,INT((ROW()-2)/2)+1))</f>
        <v/>
      </c>
      <c r="B455" s="30" t="str">
        <f aca="false">IF(INDEX(approvals!$A$2:$A$251,INT((ROW()-2)/2)+1)="","",INDEX(approvals!$B$2:$B$251,INT((ROW()-2)/2)+1))</f>
        <v/>
      </c>
      <c r="C455" s="30" t="str">
        <f aca="false">IF($A455="","",IF(MOD(ROW()-2,2)=0,"qr","post"))</f>
        <v/>
      </c>
      <c r="D455" s="30" t="str">
        <f aca="false">IF($A455="","",IF(LEFT($A455,7)="SAMPLE-","SAMPLE-","")&amp;LOWER(SUBSTITUTE(SUBSTITUTE($A455,"SAMPLE-",""),"CMP-","c"))&amp;"-"&amp;LOWER(SUBSTITUTE(SUBSTITUTE($B455,"SAMPLE-",""),"O-","o"))&amp;"-"&amp;IF($C455="qr","q","p"))</f>
        <v/>
      </c>
      <c r="E455" s="30" t="str">
        <f aca="false">IF($A455="","","https://"&amp;config!$B$9&amp;"/"&amp;$D455)</f>
        <v/>
      </c>
      <c r="F455" s="30" t="str">
        <f aca="false">IF($A455="","",$A455&amp;"."&amp;$B455)</f>
        <v/>
      </c>
      <c r="G455" s="30" t="str">
        <f aca="false">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30" t="str">
        <f aca="false">IF(OR($A455="",$C455&lt;&gt;"qr"),"",$D455&amp;".png")</f>
        <v/>
      </c>
      <c r="I455" s="30" t="str">
        <f aca="true">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ustomFormat="false" ht="15" hidden="false" customHeight="false" outlineLevel="0" collapsed="false">
      <c r="A456" s="30" t="str">
        <f aca="false">IF(INDEX(approvals!$A$2:$A$251,INT((ROW()-2)/2)+1)="","",INDEX(approvals!$A$2:$A$251,INT((ROW()-2)/2)+1))</f>
        <v/>
      </c>
      <c r="B456" s="30" t="str">
        <f aca="false">IF(INDEX(approvals!$A$2:$A$251,INT((ROW()-2)/2)+1)="","",INDEX(approvals!$B$2:$B$251,INT((ROW()-2)/2)+1))</f>
        <v/>
      </c>
      <c r="C456" s="30" t="str">
        <f aca="false">IF($A456="","",IF(MOD(ROW()-2,2)=0,"qr","post"))</f>
        <v/>
      </c>
      <c r="D456" s="30" t="str">
        <f aca="false">IF($A456="","",IF(LEFT($A456,7)="SAMPLE-","SAMPLE-","")&amp;LOWER(SUBSTITUTE(SUBSTITUTE($A456,"SAMPLE-",""),"CMP-","c"))&amp;"-"&amp;LOWER(SUBSTITUTE(SUBSTITUTE($B456,"SAMPLE-",""),"O-","o"))&amp;"-"&amp;IF($C456="qr","q","p"))</f>
        <v/>
      </c>
      <c r="E456" s="30" t="str">
        <f aca="false">IF($A456="","","https://"&amp;config!$B$9&amp;"/"&amp;$D456)</f>
        <v/>
      </c>
      <c r="F456" s="30" t="str">
        <f aca="false">IF($A456="","",$A456&amp;"."&amp;$B456)</f>
        <v/>
      </c>
      <c r="G456" s="30" t="str">
        <f aca="false">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30" t="str">
        <f aca="false">IF(OR($A456="",$C456&lt;&gt;"qr"),"",$D456&amp;".png")</f>
        <v/>
      </c>
      <c r="I456" s="30" t="str">
        <f aca="true">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ustomFormat="false" ht="15" hidden="false" customHeight="false" outlineLevel="0" collapsed="false">
      <c r="A457" s="30" t="str">
        <f aca="false">IF(INDEX(approvals!$A$2:$A$251,INT((ROW()-2)/2)+1)="","",INDEX(approvals!$A$2:$A$251,INT((ROW()-2)/2)+1))</f>
        <v/>
      </c>
      <c r="B457" s="30" t="str">
        <f aca="false">IF(INDEX(approvals!$A$2:$A$251,INT((ROW()-2)/2)+1)="","",INDEX(approvals!$B$2:$B$251,INT((ROW()-2)/2)+1))</f>
        <v/>
      </c>
      <c r="C457" s="30" t="str">
        <f aca="false">IF($A457="","",IF(MOD(ROW()-2,2)=0,"qr","post"))</f>
        <v/>
      </c>
      <c r="D457" s="30" t="str">
        <f aca="false">IF($A457="","",IF(LEFT($A457,7)="SAMPLE-","SAMPLE-","")&amp;LOWER(SUBSTITUTE(SUBSTITUTE($A457,"SAMPLE-",""),"CMP-","c"))&amp;"-"&amp;LOWER(SUBSTITUTE(SUBSTITUTE($B457,"SAMPLE-",""),"O-","o"))&amp;"-"&amp;IF($C457="qr","q","p"))</f>
        <v/>
      </c>
      <c r="E457" s="30" t="str">
        <f aca="false">IF($A457="","","https://"&amp;config!$B$9&amp;"/"&amp;$D457)</f>
        <v/>
      </c>
      <c r="F457" s="30" t="str">
        <f aca="false">IF($A457="","",$A457&amp;"."&amp;$B457)</f>
        <v/>
      </c>
      <c r="G457" s="30" t="str">
        <f aca="false">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30" t="str">
        <f aca="false">IF(OR($A457="",$C457&lt;&gt;"qr"),"",$D457&amp;".png")</f>
        <v/>
      </c>
      <c r="I457" s="30" t="str">
        <f aca="true">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ustomFormat="false" ht="15" hidden="false" customHeight="false" outlineLevel="0" collapsed="false">
      <c r="A458" s="30" t="str">
        <f aca="false">IF(INDEX(approvals!$A$2:$A$251,INT((ROW()-2)/2)+1)="","",INDEX(approvals!$A$2:$A$251,INT((ROW()-2)/2)+1))</f>
        <v/>
      </c>
      <c r="B458" s="30" t="str">
        <f aca="false">IF(INDEX(approvals!$A$2:$A$251,INT((ROW()-2)/2)+1)="","",INDEX(approvals!$B$2:$B$251,INT((ROW()-2)/2)+1))</f>
        <v/>
      </c>
      <c r="C458" s="30" t="str">
        <f aca="false">IF($A458="","",IF(MOD(ROW()-2,2)=0,"qr","post"))</f>
        <v/>
      </c>
      <c r="D458" s="30" t="str">
        <f aca="false">IF($A458="","",IF(LEFT($A458,7)="SAMPLE-","SAMPLE-","")&amp;LOWER(SUBSTITUTE(SUBSTITUTE($A458,"SAMPLE-",""),"CMP-","c"))&amp;"-"&amp;LOWER(SUBSTITUTE(SUBSTITUTE($B458,"SAMPLE-",""),"O-","o"))&amp;"-"&amp;IF($C458="qr","q","p"))</f>
        <v/>
      </c>
      <c r="E458" s="30" t="str">
        <f aca="false">IF($A458="","","https://"&amp;config!$B$9&amp;"/"&amp;$D458)</f>
        <v/>
      </c>
      <c r="F458" s="30" t="str">
        <f aca="false">IF($A458="","",$A458&amp;"."&amp;$B458)</f>
        <v/>
      </c>
      <c r="G458" s="30" t="str">
        <f aca="false">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30" t="str">
        <f aca="false">IF(OR($A458="",$C458&lt;&gt;"qr"),"",$D458&amp;".png")</f>
        <v/>
      </c>
      <c r="I458" s="30" t="str">
        <f aca="true">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ustomFormat="false" ht="15" hidden="false" customHeight="false" outlineLevel="0" collapsed="false">
      <c r="A459" s="30" t="str">
        <f aca="false">IF(INDEX(approvals!$A$2:$A$251,INT((ROW()-2)/2)+1)="","",INDEX(approvals!$A$2:$A$251,INT((ROW()-2)/2)+1))</f>
        <v/>
      </c>
      <c r="B459" s="30" t="str">
        <f aca="false">IF(INDEX(approvals!$A$2:$A$251,INT((ROW()-2)/2)+1)="","",INDEX(approvals!$B$2:$B$251,INT((ROW()-2)/2)+1))</f>
        <v/>
      </c>
      <c r="C459" s="30" t="str">
        <f aca="false">IF($A459="","",IF(MOD(ROW()-2,2)=0,"qr","post"))</f>
        <v/>
      </c>
      <c r="D459" s="30" t="str">
        <f aca="false">IF($A459="","",IF(LEFT($A459,7)="SAMPLE-","SAMPLE-","")&amp;LOWER(SUBSTITUTE(SUBSTITUTE($A459,"SAMPLE-",""),"CMP-","c"))&amp;"-"&amp;LOWER(SUBSTITUTE(SUBSTITUTE($B459,"SAMPLE-",""),"O-","o"))&amp;"-"&amp;IF($C459="qr","q","p"))</f>
        <v/>
      </c>
      <c r="E459" s="30" t="str">
        <f aca="false">IF($A459="","","https://"&amp;config!$B$9&amp;"/"&amp;$D459)</f>
        <v/>
      </c>
      <c r="F459" s="30" t="str">
        <f aca="false">IF($A459="","",$A459&amp;"."&amp;$B459)</f>
        <v/>
      </c>
      <c r="G459" s="30" t="str">
        <f aca="false">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30" t="str">
        <f aca="false">IF(OR($A459="",$C459&lt;&gt;"qr"),"",$D459&amp;".png")</f>
        <v/>
      </c>
      <c r="I459" s="30" t="str">
        <f aca="true">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ustomFormat="false" ht="15" hidden="false" customHeight="false" outlineLevel="0" collapsed="false">
      <c r="A460" s="30" t="str">
        <f aca="false">IF(INDEX(approvals!$A$2:$A$251,INT((ROW()-2)/2)+1)="","",INDEX(approvals!$A$2:$A$251,INT((ROW()-2)/2)+1))</f>
        <v/>
      </c>
      <c r="B460" s="30" t="str">
        <f aca="false">IF(INDEX(approvals!$A$2:$A$251,INT((ROW()-2)/2)+1)="","",INDEX(approvals!$B$2:$B$251,INT((ROW()-2)/2)+1))</f>
        <v/>
      </c>
      <c r="C460" s="30" t="str">
        <f aca="false">IF($A460="","",IF(MOD(ROW()-2,2)=0,"qr","post"))</f>
        <v/>
      </c>
      <c r="D460" s="30" t="str">
        <f aca="false">IF($A460="","",IF(LEFT($A460,7)="SAMPLE-","SAMPLE-","")&amp;LOWER(SUBSTITUTE(SUBSTITUTE($A460,"SAMPLE-",""),"CMP-","c"))&amp;"-"&amp;LOWER(SUBSTITUTE(SUBSTITUTE($B460,"SAMPLE-",""),"O-","o"))&amp;"-"&amp;IF($C460="qr","q","p"))</f>
        <v/>
      </c>
      <c r="E460" s="30" t="str">
        <f aca="false">IF($A460="","","https://"&amp;config!$B$9&amp;"/"&amp;$D460)</f>
        <v/>
      </c>
      <c r="F460" s="30" t="str">
        <f aca="false">IF($A460="","",$A460&amp;"."&amp;$B460)</f>
        <v/>
      </c>
      <c r="G460" s="30" t="str">
        <f aca="false">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30" t="str">
        <f aca="false">IF(OR($A460="",$C460&lt;&gt;"qr"),"",$D460&amp;".png")</f>
        <v/>
      </c>
      <c r="I460" s="30" t="str">
        <f aca="true">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ustomFormat="false" ht="15" hidden="false" customHeight="false" outlineLevel="0" collapsed="false">
      <c r="A461" s="30" t="str">
        <f aca="false">IF(INDEX(approvals!$A$2:$A$251,INT((ROW()-2)/2)+1)="","",INDEX(approvals!$A$2:$A$251,INT((ROW()-2)/2)+1))</f>
        <v/>
      </c>
      <c r="B461" s="30" t="str">
        <f aca="false">IF(INDEX(approvals!$A$2:$A$251,INT((ROW()-2)/2)+1)="","",INDEX(approvals!$B$2:$B$251,INT((ROW()-2)/2)+1))</f>
        <v/>
      </c>
      <c r="C461" s="30" t="str">
        <f aca="false">IF($A461="","",IF(MOD(ROW()-2,2)=0,"qr","post"))</f>
        <v/>
      </c>
      <c r="D461" s="30" t="str">
        <f aca="false">IF($A461="","",IF(LEFT($A461,7)="SAMPLE-","SAMPLE-","")&amp;LOWER(SUBSTITUTE(SUBSTITUTE($A461,"SAMPLE-",""),"CMP-","c"))&amp;"-"&amp;LOWER(SUBSTITUTE(SUBSTITUTE($B461,"SAMPLE-",""),"O-","o"))&amp;"-"&amp;IF($C461="qr","q","p"))</f>
        <v/>
      </c>
      <c r="E461" s="30" t="str">
        <f aca="false">IF($A461="","","https://"&amp;config!$B$9&amp;"/"&amp;$D461)</f>
        <v/>
      </c>
      <c r="F461" s="30" t="str">
        <f aca="false">IF($A461="","",$A461&amp;"."&amp;$B461)</f>
        <v/>
      </c>
      <c r="G461" s="30" t="str">
        <f aca="false">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30" t="str">
        <f aca="false">IF(OR($A461="",$C461&lt;&gt;"qr"),"",$D461&amp;".png")</f>
        <v/>
      </c>
      <c r="I461" s="30" t="str">
        <f aca="true">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ustomFormat="false" ht="15" hidden="false" customHeight="false" outlineLevel="0" collapsed="false">
      <c r="A462" s="30" t="str">
        <f aca="false">IF(INDEX(approvals!$A$2:$A$251,INT((ROW()-2)/2)+1)="","",INDEX(approvals!$A$2:$A$251,INT((ROW()-2)/2)+1))</f>
        <v/>
      </c>
      <c r="B462" s="30" t="str">
        <f aca="false">IF(INDEX(approvals!$A$2:$A$251,INT((ROW()-2)/2)+1)="","",INDEX(approvals!$B$2:$B$251,INT((ROW()-2)/2)+1))</f>
        <v/>
      </c>
      <c r="C462" s="30" t="str">
        <f aca="false">IF($A462="","",IF(MOD(ROW()-2,2)=0,"qr","post"))</f>
        <v/>
      </c>
      <c r="D462" s="30" t="str">
        <f aca="false">IF($A462="","",IF(LEFT($A462,7)="SAMPLE-","SAMPLE-","")&amp;LOWER(SUBSTITUTE(SUBSTITUTE($A462,"SAMPLE-",""),"CMP-","c"))&amp;"-"&amp;LOWER(SUBSTITUTE(SUBSTITUTE($B462,"SAMPLE-",""),"O-","o"))&amp;"-"&amp;IF($C462="qr","q","p"))</f>
        <v/>
      </c>
      <c r="E462" s="30" t="str">
        <f aca="false">IF($A462="","","https://"&amp;config!$B$9&amp;"/"&amp;$D462)</f>
        <v/>
      </c>
      <c r="F462" s="30" t="str">
        <f aca="false">IF($A462="","",$A462&amp;"."&amp;$B462)</f>
        <v/>
      </c>
      <c r="G462" s="30" t="str">
        <f aca="false">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30" t="str">
        <f aca="false">IF(OR($A462="",$C462&lt;&gt;"qr"),"",$D462&amp;".png")</f>
        <v/>
      </c>
      <c r="I462" s="30" t="str">
        <f aca="true">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ustomFormat="false" ht="15" hidden="false" customHeight="false" outlineLevel="0" collapsed="false">
      <c r="A463" s="30" t="str">
        <f aca="false">IF(INDEX(approvals!$A$2:$A$251,INT((ROW()-2)/2)+1)="","",INDEX(approvals!$A$2:$A$251,INT((ROW()-2)/2)+1))</f>
        <v/>
      </c>
      <c r="B463" s="30" t="str">
        <f aca="false">IF(INDEX(approvals!$A$2:$A$251,INT((ROW()-2)/2)+1)="","",INDEX(approvals!$B$2:$B$251,INT((ROW()-2)/2)+1))</f>
        <v/>
      </c>
      <c r="C463" s="30" t="str">
        <f aca="false">IF($A463="","",IF(MOD(ROW()-2,2)=0,"qr","post"))</f>
        <v/>
      </c>
      <c r="D463" s="30" t="str">
        <f aca="false">IF($A463="","",IF(LEFT($A463,7)="SAMPLE-","SAMPLE-","")&amp;LOWER(SUBSTITUTE(SUBSTITUTE($A463,"SAMPLE-",""),"CMP-","c"))&amp;"-"&amp;LOWER(SUBSTITUTE(SUBSTITUTE($B463,"SAMPLE-",""),"O-","o"))&amp;"-"&amp;IF($C463="qr","q","p"))</f>
        <v/>
      </c>
      <c r="E463" s="30" t="str">
        <f aca="false">IF($A463="","","https://"&amp;config!$B$9&amp;"/"&amp;$D463)</f>
        <v/>
      </c>
      <c r="F463" s="30" t="str">
        <f aca="false">IF($A463="","",$A463&amp;"."&amp;$B463)</f>
        <v/>
      </c>
      <c r="G463" s="30" t="str">
        <f aca="false">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30" t="str">
        <f aca="false">IF(OR($A463="",$C463&lt;&gt;"qr"),"",$D463&amp;".png")</f>
        <v/>
      </c>
      <c r="I463" s="30" t="str">
        <f aca="true">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ustomFormat="false" ht="15" hidden="false" customHeight="false" outlineLevel="0" collapsed="false">
      <c r="A464" s="30" t="str">
        <f aca="false">IF(INDEX(approvals!$A$2:$A$251,INT((ROW()-2)/2)+1)="","",INDEX(approvals!$A$2:$A$251,INT((ROW()-2)/2)+1))</f>
        <v/>
      </c>
      <c r="B464" s="30" t="str">
        <f aca="false">IF(INDEX(approvals!$A$2:$A$251,INT((ROW()-2)/2)+1)="","",INDEX(approvals!$B$2:$B$251,INT((ROW()-2)/2)+1))</f>
        <v/>
      </c>
      <c r="C464" s="30" t="str">
        <f aca="false">IF($A464="","",IF(MOD(ROW()-2,2)=0,"qr","post"))</f>
        <v/>
      </c>
      <c r="D464" s="30" t="str">
        <f aca="false">IF($A464="","",IF(LEFT($A464,7)="SAMPLE-","SAMPLE-","")&amp;LOWER(SUBSTITUTE(SUBSTITUTE($A464,"SAMPLE-",""),"CMP-","c"))&amp;"-"&amp;LOWER(SUBSTITUTE(SUBSTITUTE($B464,"SAMPLE-",""),"O-","o"))&amp;"-"&amp;IF($C464="qr","q","p"))</f>
        <v/>
      </c>
      <c r="E464" s="30" t="str">
        <f aca="false">IF($A464="","","https://"&amp;config!$B$9&amp;"/"&amp;$D464)</f>
        <v/>
      </c>
      <c r="F464" s="30" t="str">
        <f aca="false">IF($A464="","",$A464&amp;"."&amp;$B464)</f>
        <v/>
      </c>
      <c r="G464" s="30" t="str">
        <f aca="false">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30" t="str">
        <f aca="false">IF(OR($A464="",$C464&lt;&gt;"qr"),"",$D464&amp;".png")</f>
        <v/>
      </c>
      <c r="I464" s="30" t="str">
        <f aca="true">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ustomFormat="false" ht="15" hidden="false" customHeight="false" outlineLevel="0" collapsed="false">
      <c r="A465" s="30" t="str">
        <f aca="false">IF(INDEX(approvals!$A$2:$A$251,INT((ROW()-2)/2)+1)="","",INDEX(approvals!$A$2:$A$251,INT((ROW()-2)/2)+1))</f>
        <v/>
      </c>
      <c r="B465" s="30" t="str">
        <f aca="false">IF(INDEX(approvals!$A$2:$A$251,INT((ROW()-2)/2)+1)="","",INDEX(approvals!$B$2:$B$251,INT((ROW()-2)/2)+1))</f>
        <v/>
      </c>
      <c r="C465" s="30" t="str">
        <f aca="false">IF($A465="","",IF(MOD(ROW()-2,2)=0,"qr","post"))</f>
        <v/>
      </c>
      <c r="D465" s="30" t="str">
        <f aca="false">IF($A465="","",IF(LEFT($A465,7)="SAMPLE-","SAMPLE-","")&amp;LOWER(SUBSTITUTE(SUBSTITUTE($A465,"SAMPLE-",""),"CMP-","c"))&amp;"-"&amp;LOWER(SUBSTITUTE(SUBSTITUTE($B465,"SAMPLE-",""),"O-","o"))&amp;"-"&amp;IF($C465="qr","q","p"))</f>
        <v/>
      </c>
      <c r="E465" s="30" t="str">
        <f aca="false">IF($A465="","","https://"&amp;config!$B$9&amp;"/"&amp;$D465)</f>
        <v/>
      </c>
      <c r="F465" s="30" t="str">
        <f aca="false">IF($A465="","",$A465&amp;"."&amp;$B465)</f>
        <v/>
      </c>
      <c r="G465" s="30" t="str">
        <f aca="false">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30" t="str">
        <f aca="false">IF(OR($A465="",$C465&lt;&gt;"qr"),"",$D465&amp;".png")</f>
        <v/>
      </c>
      <c r="I465" s="30" t="str">
        <f aca="true">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ustomFormat="false" ht="15" hidden="false" customHeight="false" outlineLevel="0" collapsed="false">
      <c r="A466" s="30" t="str">
        <f aca="false">IF(INDEX(approvals!$A$2:$A$251,INT((ROW()-2)/2)+1)="","",INDEX(approvals!$A$2:$A$251,INT((ROW()-2)/2)+1))</f>
        <v/>
      </c>
      <c r="B466" s="30" t="str">
        <f aca="false">IF(INDEX(approvals!$A$2:$A$251,INT((ROW()-2)/2)+1)="","",INDEX(approvals!$B$2:$B$251,INT((ROW()-2)/2)+1))</f>
        <v/>
      </c>
      <c r="C466" s="30" t="str">
        <f aca="false">IF($A466="","",IF(MOD(ROW()-2,2)=0,"qr","post"))</f>
        <v/>
      </c>
      <c r="D466" s="30" t="str">
        <f aca="false">IF($A466="","",IF(LEFT($A466,7)="SAMPLE-","SAMPLE-","")&amp;LOWER(SUBSTITUTE(SUBSTITUTE($A466,"SAMPLE-",""),"CMP-","c"))&amp;"-"&amp;LOWER(SUBSTITUTE(SUBSTITUTE($B466,"SAMPLE-",""),"O-","o"))&amp;"-"&amp;IF($C466="qr","q","p"))</f>
        <v/>
      </c>
      <c r="E466" s="30" t="str">
        <f aca="false">IF($A466="","","https://"&amp;config!$B$9&amp;"/"&amp;$D466)</f>
        <v/>
      </c>
      <c r="F466" s="30" t="str">
        <f aca="false">IF($A466="","",$A466&amp;"."&amp;$B466)</f>
        <v/>
      </c>
      <c r="G466" s="30" t="str">
        <f aca="false">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30" t="str">
        <f aca="false">IF(OR($A466="",$C466&lt;&gt;"qr"),"",$D466&amp;".png")</f>
        <v/>
      </c>
      <c r="I466" s="30" t="str">
        <f aca="true">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ustomFormat="false" ht="15" hidden="false" customHeight="false" outlineLevel="0" collapsed="false">
      <c r="A467" s="30" t="str">
        <f aca="false">IF(INDEX(approvals!$A$2:$A$251,INT((ROW()-2)/2)+1)="","",INDEX(approvals!$A$2:$A$251,INT((ROW()-2)/2)+1))</f>
        <v/>
      </c>
      <c r="B467" s="30" t="str">
        <f aca="false">IF(INDEX(approvals!$A$2:$A$251,INT((ROW()-2)/2)+1)="","",INDEX(approvals!$B$2:$B$251,INT((ROW()-2)/2)+1))</f>
        <v/>
      </c>
      <c r="C467" s="30" t="str">
        <f aca="false">IF($A467="","",IF(MOD(ROW()-2,2)=0,"qr","post"))</f>
        <v/>
      </c>
      <c r="D467" s="30" t="str">
        <f aca="false">IF($A467="","",IF(LEFT($A467,7)="SAMPLE-","SAMPLE-","")&amp;LOWER(SUBSTITUTE(SUBSTITUTE($A467,"SAMPLE-",""),"CMP-","c"))&amp;"-"&amp;LOWER(SUBSTITUTE(SUBSTITUTE($B467,"SAMPLE-",""),"O-","o"))&amp;"-"&amp;IF($C467="qr","q","p"))</f>
        <v/>
      </c>
      <c r="E467" s="30" t="str">
        <f aca="false">IF($A467="","","https://"&amp;config!$B$9&amp;"/"&amp;$D467)</f>
        <v/>
      </c>
      <c r="F467" s="30" t="str">
        <f aca="false">IF($A467="","",$A467&amp;"."&amp;$B467)</f>
        <v/>
      </c>
      <c r="G467" s="30" t="str">
        <f aca="false">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30" t="str">
        <f aca="false">IF(OR($A467="",$C467&lt;&gt;"qr"),"",$D467&amp;".png")</f>
        <v/>
      </c>
      <c r="I467" s="30" t="str">
        <f aca="true">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ustomFormat="false" ht="15" hidden="false" customHeight="false" outlineLevel="0" collapsed="false">
      <c r="A468" s="30" t="str">
        <f aca="false">IF(INDEX(approvals!$A$2:$A$251,INT((ROW()-2)/2)+1)="","",INDEX(approvals!$A$2:$A$251,INT((ROW()-2)/2)+1))</f>
        <v/>
      </c>
      <c r="B468" s="30" t="str">
        <f aca="false">IF(INDEX(approvals!$A$2:$A$251,INT((ROW()-2)/2)+1)="","",INDEX(approvals!$B$2:$B$251,INT((ROW()-2)/2)+1))</f>
        <v/>
      </c>
      <c r="C468" s="30" t="str">
        <f aca="false">IF($A468="","",IF(MOD(ROW()-2,2)=0,"qr","post"))</f>
        <v/>
      </c>
      <c r="D468" s="30" t="str">
        <f aca="false">IF($A468="","",IF(LEFT($A468,7)="SAMPLE-","SAMPLE-","")&amp;LOWER(SUBSTITUTE(SUBSTITUTE($A468,"SAMPLE-",""),"CMP-","c"))&amp;"-"&amp;LOWER(SUBSTITUTE(SUBSTITUTE($B468,"SAMPLE-",""),"O-","o"))&amp;"-"&amp;IF($C468="qr","q","p"))</f>
        <v/>
      </c>
      <c r="E468" s="30" t="str">
        <f aca="false">IF($A468="","","https://"&amp;config!$B$9&amp;"/"&amp;$D468)</f>
        <v/>
      </c>
      <c r="F468" s="30" t="str">
        <f aca="false">IF($A468="","",$A468&amp;"."&amp;$B468)</f>
        <v/>
      </c>
      <c r="G468" s="30" t="str">
        <f aca="false">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30" t="str">
        <f aca="false">IF(OR($A468="",$C468&lt;&gt;"qr"),"",$D468&amp;".png")</f>
        <v/>
      </c>
      <c r="I468" s="30" t="str">
        <f aca="true">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ustomFormat="false" ht="15" hidden="false" customHeight="false" outlineLevel="0" collapsed="false">
      <c r="A469" s="30" t="str">
        <f aca="false">IF(INDEX(approvals!$A$2:$A$251,INT((ROW()-2)/2)+1)="","",INDEX(approvals!$A$2:$A$251,INT((ROW()-2)/2)+1))</f>
        <v/>
      </c>
      <c r="B469" s="30" t="str">
        <f aca="false">IF(INDEX(approvals!$A$2:$A$251,INT((ROW()-2)/2)+1)="","",INDEX(approvals!$B$2:$B$251,INT((ROW()-2)/2)+1))</f>
        <v/>
      </c>
      <c r="C469" s="30" t="str">
        <f aca="false">IF($A469="","",IF(MOD(ROW()-2,2)=0,"qr","post"))</f>
        <v/>
      </c>
      <c r="D469" s="30" t="str">
        <f aca="false">IF($A469="","",IF(LEFT($A469,7)="SAMPLE-","SAMPLE-","")&amp;LOWER(SUBSTITUTE(SUBSTITUTE($A469,"SAMPLE-",""),"CMP-","c"))&amp;"-"&amp;LOWER(SUBSTITUTE(SUBSTITUTE($B469,"SAMPLE-",""),"O-","o"))&amp;"-"&amp;IF($C469="qr","q","p"))</f>
        <v/>
      </c>
      <c r="E469" s="30" t="str">
        <f aca="false">IF($A469="","","https://"&amp;config!$B$9&amp;"/"&amp;$D469)</f>
        <v/>
      </c>
      <c r="F469" s="30" t="str">
        <f aca="false">IF($A469="","",$A469&amp;"."&amp;$B469)</f>
        <v/>
      </c>
      <c r="G469" s="30" t="str">
        <f aca="false">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30" t="str">
        <f aca="false">IF(OR($A469="",$C469&lt;&gt;"qr"),"",$D469&amp;".png")</f>
        <v/>
      </c>
      <c r="I469" s="30" t="str">
        <f aca="true">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ustomFormat="false" ht="15" hidden="false" customHeight="false" outlineLevel="0" collapsed="false">
      <c r="A470" s="30" t="str">
        <f aca="false">IF(INDEX(approvals!$A$2:$A$251,INT((ROW()-2)/2)+1)="","",INDEX(approvals!$A$2:$A$251,INT((ROW()-2)/2)+1))</f>
        <v/>
      </c>
      <c r="B470" s="30" t="str">
        <f aca="false">IF(INDEX(approvals!$A$2:$A$251,INT((ROW()-2)/2)+1)="","",INDEX(approvals!$B$2:$B$251,INT((ROW()-2)/2)+1))</f>
        <v/>
      </c>
      <c r="C470" s="30" t="str">
        <f aca="false">IF($A470="","",IF(MOD(ROW()-2,2)=0,"qr","post"))</f>
        <v/>
      </c>
      <c r="D470" s="30" t="str">
        <f aca="false">IF($A470="","",IF(LEFT($A470,7)="SAMPLE-","SAMPLE-","")&amp;LOWER(SUBSTITUTE(SUBSTITUTE($A470,"SAMPLE-",""),"CMP-","c"))&amp;"-"&amp;LOWER(SUBSTITUTE(SUBSTITUTE($B470,"SAMPLE-",""),"O-","o"))&amp;"-"&amp;IF($C470="qr","q","p"))</f>
        <v/>
      </c>
      <c r="E470" s="30" t="str">
        <f aca="false">IF($A470="","","https://"&amp;config!$B$9&amp;"/"&amp;$D470)</f>
        <v/>
      </c>
      <c r="F470" s="30" t="str">
        <f aca="false">IF($A470="","",$A470&amp;"."&amp;$B470)</f>
        <v/>
      </c>
      <c r="G470" s="30" t="str">
        <f aca="false">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30" t="str">
        <f aca="false">IF(OR($A470="",$C470&lt;&gt;"qr"),"",$D470&amp;".png")</f>
        <v/>
      </c>
      <c r="I470" s="30" t="str">
        <f aca="true">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ustomFormat="false" ht="15" hidden="false" customHeight="false" outlineLevel="0" collapsed="false">
      <c r="A471" s="30" t="str">
        <f aca="false">IF(INDEX(approvals!$A$2:$A$251,INT((ROW()-2)/2)+1)="","",INDEX(approvals!$A$2:$A$251,INT((ROW()-2)/2)+1))</f>
        <v/>
      </c>
      <c r="B471" s="30" t="str">
        <f aca="false">IF(INDEX(approvals!$A$2:$A$251,INT((ROW()-2)/2)+1)="","",INDEX(approvals!$B$2:$B$251,INT((ROW()-2)/2)+1))</f>
        <v/>
      </c>
      <c r="C471" s="30" t="str">
        <f aca="false">IF($A471="","",IF(MOD(ROW()-2,2)=0,"qr","post"))</f>
        <v/>
      </c>
      <c r="D471" s="30" t="str">
        <f aca="false">IF($A471="","",IF(LEFT($A471,7)="SAMPLE-","SAMPLE-","")&amp;LOWER(SUBSTITUTE(SUBSTITUTE($A471,"SAMPLE-",""),"CMP-","c"))&amp;"-"&amp;LOWER(SUBSTITUTE(SUBSTITUTE($B471,"SAMPLE-",""),"O-","o"))&amp;"-"&amp;IF($C471="qr","q","p"))</f>
        <v/>
      </c>
      <c r="E471" s="30" t="str">
        <f aca="false">IF($A471="","","https://"&amp;config!$B$9&amp;"/"&amp;$D471)</f>
        <v/>
      </c>
      <c r="F471" s="30" t="str">
        <f aca="false">IF($A471="","",$A471&amp;"."&amp;$B471)</f>
        <v/>
      </c>
      <c r="G471" s="30" t="str">
        <f aca="false">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30" t="str">
        <f aca="false">IF(OR($A471="",$C471&lt;&gt;"qr"),"",$D471&amp;".png")</f>
        <v/>
      </c>
      <c r="I471" s="30" t="str">
        <f aca="true">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ustomFormat="false" ht="15" hidden="false" customHeight="false" outlineLevel="0" collapsed="false">
      <c r="A472" s="30" t="str">
        <f aca="false">IF(INDEX(approvals!$A$2:$A$251,INT((ROW()-2)/2)+1)="","",INDEX(approvals!$A$2:$A$251,INT((ROW()-2)/2)+1))</f>
        <v/>
      </c>
      <c r="B472" s="30" t="str">
        <f aca="false">IF(INDEX(approvals!$A$2:$A$251,INT((ROW()-2)/2)+1)="","",INDEX(approvals!$B$2:$B$251,INT((ROW()-2)/2)+1))</f>
        <v/>
      </c>
      <c r="C472" s="30" t="str">
        <f aca="false">IF($A472="","",IF(MOD(ROW()-2,2)=0,"qr","post"))</f>
        <v/>
      </c>
      <c r="D472" s="30" t="str">
        <f aca="false">IF($A472="","",IF(LEFT($A472,7)="SAMPLE-","SAMPLE-","")&amp;LOWER(SUBSTITUTE(SUBSTITUTE($A472,"SAMPLE-",""),"CMP-","c"))&amp;"-"&amp;LOWER(SUBSTITUTE(SUBSTITUTE($B472,"SAMPLE-",""),"O-","o"))&amp;"-"&amp;IF($C472="qr","q","p"))</f>
        <v/>
      </c>
      <c r="E472" s="30" t="str">
        <f aca="false">IF($A472="","","https://"&amp;config!$B$9&amp;"/"&amp;$D472)</f>
        <v/>
      </c>
      <c r="F472" s="30" t="str">
        <f aca="false">IF($A472="","",$A472&amp;"."&amp;$B472)</f>
        <v/>
      </c>
      <c r="G472" s="30" t="str">
        <f aca="false">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30" t="str">
        <f aca="false">IF(OR($A472="",$C472&lt;&gt;"qr"),"",$D472&amp;".png")</f>
        <v/>
      </c>
      <c r="I472" s="30" t="str">
        <f aca="true">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ustomFormat="false" ht="15" hidden="false" customHeight="false" outlineLevel="0" collapsed="false">
      <c r="A473" s="30" t="str">
        <f aca="false">IF(INDEX(approvals!$A$2:$A$251,INT((ROW()-2)/2)+1)="","",INDEX(approvals!$A$2:$A$251,INT((ROW()-2)/2)+1))</f>
        <v/>
      </c>
      <c r="B473" s="30" t="str">
        <f aca="false">IF(INDEX(approvals!$A$2:$A$251,INT((ROW()-2)/2)+1)="","",INDEX(approvals!$B$2:$B$251,INT((ROW()-2)/2)+1))</f>
        <v/>
      </c>
      <c r="C473" s="30" t="str">
        <f aca="false">IF($A473="","",IF(MOD(ROW()-2,2)=0,"qr","post"))</f>
        <v/>
      </c>
      <c r="D473" s="30" t="str">
        <f aca="false">IF($A473="","",IF(LEFT($A473,7)="SAMPLE-","SAMPLE-","")&amp;LOWER(SUBSTITUTE(SUBSTITUTE($A473,"SAMPLE-",""),"CMP-","c"))&amp;"-"&amp;LOWER(SUBSTITUTE(SUBSTITUTE($B473,"SAMPLE-",""),"O-","o"))&amp;"-"&amp;IF($C473="qr","q","p"))</f>
        <v/>
      </c>
      <c r="E473" s="30" t="str">
        <f aca="false">IF($A473="","","https://"&amp;config!$B$9&amp;"/"&amp;$D473)</f>
        <v/>
      </c>
      <c r="F473" s="30" t="str">
        <f aca="false">IF($A473="","",$A473&amp;"."&amp;$B473)</f>
        <v/>
      </c>
      <c r="G473" s="30" t="str">
        <f aca="false">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30" t="str">
        <f aca="false">IF(OR($A473="",$C473&lt;&gt;"qr"),"",$D473&amp;".png")</f>
        <v/>
      </c>
      <c r="I473" s="30" t="str">
        <f aca="true">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ustomFormat="false" ht="15" hidden="false" customHeight="false" outlineLevel="0" collapsed="false">
      <c r="A474" s="30" t="str">
        <f aca="false">IF(INDEX(approvals!$A$2:$A$251,INT((ROW()-2)/2)+1)="","",INDEX(approvals!$A$2:$A$251,INT((ROW()-2)/2)+1))</f>
        <v/>
      </c>
      <c r="B474" s="30" t="str">
        <f aca="false">IF(INDEX(approvals!$A$2:$A$251,INT((ROW()-2)/2)+1)="","",INDEX(approvals!$B$2:$B$251,INT((ROW()-2)/2)+1))</f>
        <v/>
      </c>
      <c r="C474" s="30" t="str">
        <f aca="false">IF($A474="","",IF(MOD(ROW()-2,2)=0,"qr","post"))</f>
        <v/>
      </c>
      <c r="D474" s="30" t="str">
        <f aca="false">IF($A474="","",IF(LEFT($A474,7)="SAMPLE-","SAMPLE-","")&amp;LOWER(SUBSTITUTE(SUBSTITUTE($A474,"SAMPLE-",""),"CMP-","c"))&amp;"-"&amp;LOWER(SUBSTITUTE(SUBSTITUTE($B474,"SAMPLE-",""),"O-","o"))&amp;"-"&amp;IF($C474="qr","q","p"))</f>
        <v/>
      </c>
      <c r="E474" s="30" t="str">
        <f aca="false">IF($A474="","","https://"&amp;config!$B$9&amp;"/"&amp;$D474)</f>
        <v/>
      </c>
      <c r="F474" s="30" t="str">
        <f aca="false">IF($A474="","",$A474&amp;"."&amp;$B474)</f>
        <v/>
      </c>
      <c r="G474" s="30" t="str">
        <f aca="false">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30" t="str">
        <f aca="false">IF(OR($A474="",$C474&lt;&gt;"qr"),"",$D474&amp;".png")</f>
        <v/>
      </c>
      <c r="I474" s="30" t="str">
        <f aca="true">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ustomFormat="false" ht="15" hidden="false" customHeight="false" outlineLevel="0" collapsed="false">
      <c r="A475" s="30" t="str">
        <f aca="false">IF(INDEX(approvals!$A$2:$A$251,INT((ROW()-2)/2)+1)="","",INDEX(approvals!$A$2:$A$251,INT((ROW()-2)/2)+1))</f>
        <v/>
      </c>
      <c r="B475" s="30" t="str">
        <f aca="false">IF(INDEX(approvals!$A$2:$A$251,INT((ROW()-2)/2)+1)="","",INDEX(approvals!$B$2:$B$251,INT((ROW()-2)/2)+1))</f>
        <v/>
      </c>
      <c r="C475" s="30" t="str">
        <f aca="false">IF($A475="","",IF(MOD(ROW()-2,2)=0,"qr","post"))</f>
        <v/>
      </c>
      <c r="D475" s="30" t="str">
        <f aca="false">IF($A475="","",IF(LEFT($A475,7)="SAMPLE-","SAMPLE-","")&amp;LOWER(SUBSTITUTE(SUBSTITUTE($A475,"SAMPLE-",""),"CMP-","c"))&amp;"-"&amp;LOWER(SUBSTITUTE(SUBSTITUTE($B475,"SAMPLE-",""),"O-","o"))&amp;"-"&amp;IF($C475="qr","q","p"))</f>
        <v/>
      </c>
      <c r="E475" s="30" t="str">
        <f aca="false">IF($A475="","","https://"&amp;config!$B$9&amp;"/"&amp;$D475)</f>
        <v/>
      </c>
      <c r="F475" s="30" t="str">
        <f aca="false">IF($A475="","",$A475&amp;"."&amp;$B475)</f>
        <v/>
      </c>
      <c r="G475" s="30" t="str">
        <f aca="false">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30" t="str">
        <f aca="false">IF(OR($A475="",$C475&lt;&gt;"qr"),"",$D475&amp;".png")</f>
        <v/>
      </c>
      <c r="I475" s="30" t="str">
        <f aca="true">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ustomFormat="false" ht="15" hidden="false" customHeight="false" outlineLevel="0" collapsed="false">
      <c r="A476" s="30" t="str">
        <f aca="false">IF(INDEX(approvals!$A$2:$A$251,INT((ROW()-2)/2)+1)="","",INDEX(approvals!$A$2:$A$251,INT((ROW()-2)/2)+1))</f>
        <v/>
      </c>
      <c r="B476" s="30" t="str">
        <f aca="false">IF(INDEX(approvals!$A$2:$A$251,INT((ROW()-2)/2)+1)="","",INDEX(approvals!$B$2:$B$251,INT((ROW()-2)/2)+1))</f>
        <v/>
      </c>
      <c r="C476" s="30" t="str">
        <f aca="false">IF($A476="","",IF(MOD(ROW()-2,2)=0,"qr","post"))</f>
        <v/>
      </c>
      <c r="D476" s="30" t="str">
        <f aca="false">IF($A476="","",IF(LEFT($A476,7)="SAMPLE-","SAMPLE-","")&amp;LOWER(SUBSTITUTE(SUBSTITUTE($A476,"SAMPLE-",""),"CMP-","c"))&amp;"-"&amp;LOWER(SUBSTITUTE(SUBSTITUTE($B476,"SAMPLE-",""),"O-","o"))&amp;"-"&amp;IF($C476="qr","q","p"))</f>
        <v/>
      </c>
      <c r="E476" s="30" t="str">
        <f aca="false">IF($A476="","","https://"&amp;config!$B$9&amp;"/"&amp;$D476)</f>
        <v/>
      </c>
      <c r="F476" s="30" t="str">
        <f aca="false">IF($A476="","",$A476&amp;"."&amp;$B476)</f>
        <v/>
      </c>
      <c r="G476" s="30" t="str">
        <f aca="false">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30" t="str">
        <f aca="false">IF(OR($A476="",$C476&lt;&gt;"qr"),"",$D476&amp;".png")</f>
        <v/>
      </c>
      <c r="I476" s="30" t="str">
        <f aca="true">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ustomFormat="false" ht="15" hidden="false" customHeight="false" outlineLevel="0" collapsed="false">
      <c r="A477" s="30" t="str">
        <f aca="false">IF(INDEX(approvals!$A$2:$A$251,INT((ROW()-2)/2)+1)="","",INDEX(approvals!$A$2:$A$251,INT((ROW()-2)/2)+1))</f>
        <v/>
      </c>
      <c r="B477" s="30" t="str">
        <f aca="false">IF(INDEX(approvals!$A$2:$A$251,INT((ROW()-2)/2)+1)="","",INDEX(approvals!$B$2:$B$251,INT((ROW()-2)/2)+1))</f>
        <v/>
      </c>
      <c r="C477" s="30" t="str">
        <f aca="false">IF($A477="","",IF(MOD(ROW()-2,2)=0,"qr","post"))</f>
        <v/>
      </c>
      <c r="D477" s="30" t="str">
        <f aca="false">IF($A477="","",IF(LEFT($A477,7)="SAMPLE-","SAMPLE-","")&amp;LOWER(SUBSTITUTE(SUBSTITUTE($A477,"SAMPLE-",""),"CMP-","c"))&amp;"-"&amp;LOWER(SUBSTITUTE(SUBSTITUTE($B477,"SAMPLE-",""),"O-","o"))&amp;"-"&amp;IF($C477="qr","q","p"))</f>
        <v/>
      </c>
      <c r="E477" s="30" t="str">
        <f aca="false">IF($A477="","","https://"&amp;config!$B$9&amp;"/"&amp;$D477)</f>
        <v/>
      </c>
      <c r="F477" s="30" t="str">
        <f aca="false">IF($A477="","",$A477&amp;"."&amp;$B477)</f>
        <v/>
      </c>
      <c r="G477" s="30" t="str">
        <f aca="false">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30" t="str">
        <f aca="false">IF(OR($A477="",$C477&lt;&gt;"qr"),"",$D477&amp;".png")</f>
        <v/>
      </c>
      <c r="I477" s="30" t="str">
        <f aca="true">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ustomFormat="false" ht="15" hidden="false" customHeight="false" outlineLevel="0" collapsed="false">
      <c r="A478" s="30" t="str">
        <f aca="false">IF(INDEX(approvals!$A$2:$A$251,INT((ROW()-2)/2)+1)="","",INDEX(approvals!$A$2:$A$251,INT((ROW()-2)/2)+1))</f>
        <v/>
      </c>
      <c r="B478" s="30" t="str">
        <f aca="false">IF(INDEX(approvals!$A$2:$A$251,INT((ROW()-2)/2)+1)="","",INDEX(approvals!$B$2:$B$251,INT((ROW()-2)/2)+1))</f>
        <v/>
      </c>
      <c r="C478" s="30" t="str">
        <f aca="false">IF($A478="","",IF(MOD(ROW()-2,2)=0,"qr","post"))</f>
        <v/>
      </c>
      <c r="D478" s="30" t="str">
        <f aca="false">IF($A478="","",IF(LEFT($A478,7)="SAMPLE-","SAMPLE-","")&amp;LOWER(SUBSTITUTE(SUBSTITUTE($A478,"SAMPLE-",""),"CMP-","c"))&amp;"-"&amp;LOWER(SUBSTITUTE(SUBSTITUTE($B478,"SAMPLE-",""),"O-","o"))&amp;"-"&amp;IF($C478="qr","q","p"))</f>
        <v/>
      </c>
      <c r="E478" s="30" t="str">
        <f aca="false">IF($A478="","","https://"&amp;config!$B$9&amp;"/"&amp;$D478)</f>
        <v/>
      </c>
      <c r="F478" s="30" t="str">
        <f aca="false">IF($A478="","",$A478&amp;"."&amp;$B478)</f>
        <v/>
      </c>
      <c r="G478" s="30" t="str">
        <f aca="false">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30" t="str">
        <f aca="false">IF(OR($A478="",$C478&lt;&gt;"qr"),"",$D478&amp;".png")</f>
        <v/>
      </c>
      <c r="I478" s="30" t="str">
        <f aca="true">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ustomFormat="false" ht="15" hidden="false" customHeight="false" outlineLevel="0" collapsed="false">
      <c r="A479" s="30" t="str">
        <f aca="false">IF(INDEX(approvals!$A$2:$A$251,INT((ROW()-2)/2)+1)="","",INDEX(approvals!$A$2:$A$251,INT((ROW()-2)/2)+1))</f>
        <v/>
      </c>
      <c r="B479" s="30" t="str">
        <f aca="false">IF(INDEX(approvals!$A$2:$A$251,INT((ROW()-2)/2)+1)="","",INDEX(approvals!$B$2:$B$251,INT((ROW()-2)/2)+1))</f>
        <v/>
      </c>
      <c r="C479" s="30" t="str">
        <f aca="false">IF($A479="","",IF(MOD(ROW()-2,2)=0,"qr","post"))</f>
        <v/>
      </c>
      <c r="D479" s="30" t="str">
        <f aca="false">IF($A479="","",IF(LEFT($A479,7)="SAMPLE-","SAMPLE-","")&amp;LOWER(SUBSTITUTE(SUBSTITUTE($A479,"SAMPLE-",""),"CMP-","c"))&amp;"-"&amp;LOWER(SUBSTITUTE(SUBSTITUTE($B479,"SAMPLE-",""),"O-","o"))&amp;"-"&amp;IF($C479="qr","q","p"))</f>
        <v/>
      </c>
      <c r="E479" s="30" t="str">
        <f aca="false">IF($A479="","","https://"&amp;config!$B$9&amp;"/"&amp;$D479)</f>
        <v/>
      </c>
      <c r="F479" s="30" t="str">
        <f aca="false">IF($A479="","",$A479&amp;"."&amp;$B479)</f>
        <v/>
      </c>
      <c r="G479" s="30" t="str">
        <f aca="false">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30" t="str">
        <f aca="false">IF(OR($A479="",$C479&lt;&gt;"qr"),"",$D479&amp;".png")</f>
        <v/>
      </c>
      <c r="I479" s="30" t="str">
        <f aca="true">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ustomFormat="false" ht="15" hidden="false" customHeight="false" outlineLevel="0" collapsed="false">
      <c r="A480" s="30" t="str">
        <f aca="false">IF(INDEX(approvals!$A$2:$A$251,INT((ROW()-2)/2)+1)="","",INDEX(approvals!$A$2:$A$251,INT((ROW()-2)/2)+1))</f>
        <v/>
      </c>
      <c r="B480" s="30" t="str">
        <f aca="false">IF(INDEX(approvals!$A$2:$A$251,INT((ROW()-2)/2)+1)="","",INDEX(approvals!$B$2:$B$251,INT((ROW()-2)/2)+1))</f>
        <v/>
      </c>
      <c r="C480" s="30" t="str">
        <f aca="false">IF($A480="","",IF(MOD(ROW()-2,2)=0,"qr","post"))</f>
        <v/>
      </c>
      <c r="D480" s="30" t="str">
        <f aca="false">IF($A480="","",IF(LEFT($A480,7)="SAMPLE-","SAMPLE-","")&amp;LOWER(SUBSTITUTE(SUBSTITUTE($A480,"SAMPLE-",""),"CMP-","c"))&amp;"-"&amp;LOWER(SUBSTITUTE(SUBSTITUTE($B480,"SAMPLE-",""),"O-","o"))&amp;"-"&amp;IF($C480="qr","q","p"))</f>
        <v/>
      </c>
      <c r="E480" s="30" t="str">
        <f aca="false">IF($A480="","","https://"&amp;config!$B$9&amp;"/"&amp;$D480)</f>
        <v/>
      </c>
      <c r="F480" s="30" t="str">
        <f aca="false">IF($A480="","",$A480&amp;"."&amp;$B480)</f>
        <v/>
      </c>
      <c r="G480" s="30" t="str">
        <f aca="false">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30" t="str">
        <f aca="false">IF(OR($A480="",$C480&lt;&gt;"qr"),"",$D480&amp;".png")</f>
        <v/>
      </c>
      <c r="I480" s="30" t="str">
        <f aca="true">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ustomFormat="false" ht="15" hidden="false" customHeight="false" outlineLevel="0" collapsed="false">
      <c r="A481" s="30" t="str">
        <f aca="false">IF(INDEX(approvals!$A$2:$A$251,INT((ROW()-2)/2)+1)="","",INDEX(approvals!$A$2:$A$251,INT((ROW()-2)/2)+1))</f>
        <v/>
      </c>
      <c r="B481" s="30" t="str">
        <f aca="false">IF(INDEX(approvals!$A$2:$A$251,INT((ROW()-2)/2)+1)="","",INDEX(approvals!$B$2:$B$251,INT((ROW()-2)/2)+1))</f>
        <v/>
      </c>
      <c r="C481" s="30" t="str">
        <f aca="false">IF($A481="","",IF(MOD(ROW()-2,2)=0,"qr","post"))</f>
        <v/>
      </c>
      <c r="D481" s="30" t="str">
        <f aca="false">IF($A481="","",IF(LEFT($A481,7)="SAMPLE-","SAMPLE-","")&amp;LOWER(SUBSTITUTE(SUBSTITUTE($A481,"SAMPLE-",""),"CMP-","c"))&amp;"-"&amp;LOWER(SUBSTITUTE(SUBSTITUTE($B481,"SAMPLE-",""),"O-","o"))&amp;"-"&amp;IF($C481="qr","q","p"))</f>
        <v/>
      </c>
      <c r="E481" s="30" t="str">
        <f aca="false">IF($A481="","","https://"&amp;config!$B$9&amp;"/"&amp;$D481)</f>
        <v/>
      </c>
      <c r="F481" s="30" t="str">
        <f aca="false">IF($A481="","",$A481&amp;"."&amp;$B481)</f>
        <v/>
      </c>
      <c r="G481" s="30" t="str">
        <f aca="false">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30" t="str">
        <f aca="false">IF(OR($A481="",$C481&lt;&gt;"qr"),"",$D481&amp;".png")</f>
        <v/>
      </c>
      <c r="I481" s="30" t="str">
        <f aca="true">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ustomFormat="false" ht="15" hidden="false" customHeight="false" outlineLevel="0" collapsed="false">
      <c r="A482" s="30" t="str">
        <f aca="false">IF(INDEX(approvals!$A$2:$A$251,INT((ROW()-2)/2)+1)="","",INDEX(approvals!$A$2:$A$251,INT((ROW()-2)/2)+1))</f>
        <v/>
      </c>
      <c r="B482" s="30" t="str">
        <f aca="false">IF(INDEX(approvals!$A$2:$A$251,INT((ROW()-2)/2)+1)="","",INDEX(approvals!$B$2:$B$251,INT((ROW()-2)/2)+1))</f>
        <v/>
      </c>
      <c r="C482" s="30" t="str">
        <f aca="false">IF($A482="","",IF(MOD(ROW()-2,2)=0,"qr","post"))</f>
        <v/>
      </c>
      <c r="D482" s="30" t="str">
        <f aca="false">IF($A482="","",IF(LEFT($A482,7)="SAMPLE-","SAMPLE-","")&amp;LOWER(SUBSTITUTE(SUBSTITUTE($A482,"SAMPLE-",""),"CMP-","c"))&amp;"-"&amp;LOWER(SUBSTITUTE(SUBSTITUTE($B482,"SAMPLE-",""),"O-","o"))&amp;"-"&amp;IF($C482="qr","q","p"))</f>
        <v/>
      </c>
      <c r="E482" s="30" t="str">
        <f aca="false">IF($A482="","","https://"&amp;config!$B$9&amp;"/"&amp;$D482)</f>
        <v/>
      </c>
      <c r="F482" s="30" t="str">
        <f aca="false">IF($A482="","",$A482&amp;"."&amp;$B482)</f>
        <v/>
      </c>
      <c r="G482" s="30" t="str">
        <f aca="false">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30" t="str">
        <f aca="false">IF(OR($A482="",$C482&lt;&gt;"qr"),"",$D482&amp;".png")</f>
        <v/>
      </c>
      <c r="I482" s="30" t="str">
        <f aca="true">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ustomFormat="false" ht="15" hidden="false" customHeight="false" outlineLevel="0" collapsed="false">
      <c r="A483" s="30" t="str">
        <f aca="false">IF(INDEX(approvals!$A$2:$A$251,INT((ROW()-2)/2)+1)="","",INDEX(approvals!$A$2:$A$251,INT((ROW()-2)/2)+1))</f>
        <v/>
      </c>
      <c r="B483" s="30" t="str">
        <f aca="false">IF(INDEX(approvals!$A$2:$A$251,INT((ROW()-2)/2)+1)="","",INDEX(approvals!$B$2:$B$251,INT((ROW()-2)/2)+1))</f>
        <v/>
      </c>
      <c r="C483" s="30" t="str">
        <f aca="false">IF($A483="","",IF(MOD(ROW()-2,2)=0,"qr","post"))</f>
        <v/>
      </c>
      <c r="D483" s="30" t="str">
        <f aca="false">IF($A483="","",IF(LEFT($A483,7)="SAMPLE-","SAMPLE-","")&amp;LOWER(SUBSTITUTE(SUBSTITUTE($A483,"SAMPLE-",""),"CMP-","c"))&amp;"-"&amp;LOWER(SUBSTITUTE(SUBSTITUTE($B483,"SAMPLE-",""),"O-","o"))&amp;"-"&amp;IF($C483="qr","q","p"))</f>
        <v/>
      </c>
      <c r="E483" s="30" t="str">
        <f aca="false">IF($A483="","","https://"&amp;config!$B$9&amp;"/"&amp;$D483)</f>
        <v/>
      </c>
      <c r="F483" s="30" t="str">
        <f aca="false">IF($A483="","",$A483&amp;"."&amp;$B483)</f>
        <v/>
      </c>
      <c r="G483" s="30" t="str">
        <f aca="false">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30" t="str">
        <f aca="false">IF(OR($A483="",$C483&lt;&gt;"qr"),"",$D483&amp;".png")</f>
        <v/>
      </c>
      <c r="I483" s="30" t="str">
        <f aca="true">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ustomFormat="false" ht="15" hidden="false" customHeight="false" outlineLevel="0" collapsed="false">
      <c r="A484" s="30" t="str">
        <f aca="false">IF(INDEX(approvals!$A$2:$A$251,INT((ROW()-2)/2)+1)="","",INDEX(approvals!$A$2:$A$251,INT((ROW()-2)/2)+1))</f>
        <v/>
      </c>
      <c r="B484" s="30" t="str">
        <f aca="false">IF(INDEX(approvals!$A$2:$A$251,INT((ROW()-2)/2)+1)="","",INDEX(approvals!$B$2:$B$251,INT((ROW()-2)/2)+1))</f>
        <v/>
      </c>
      <c r="C484" s="30" t="str">
        <f aca="false">IF($A484="","",IF(MOD(ROW()-2,2)=0,"qr","post"))</f>
        <v/>
      </c>
      <c r="D484" s="30" t="str">
        <f aca="false">IF($A484="","",IF(LEFT($A484,7)="SAMPLE-","SAMPLE-","")&amp;LOWER(SUBSTITUTE(SUBSTITUTE($A484,"SAMPLE-",""),"CMP-","c"))&amp;"-"&amp;LOWER(SUBSTITUTE(SUBSTITUTE($B484,"SAMPLE-",""),"O-","o"))&amp;"-"&amp;IF($C484="qr","q","p"))</f>
        <v/>
      </c>
      <c r="E484" s="30" t="str">
        <f aca="false">IF($A484="","","https://"&amp;config!$B$9&amp;"/"&amp;$D484)</f>
        <v/>
      </c>
      <c r="F484" s="30" t="str">
        <f aca="false">IF($A484="","",$A484&amp;"."&amp;$B484)</f>
        <v/>
      </c>
      <c r="G484" s="30" t="str">
        <f aca="false">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30" t="str">
        <f aca="false">IF(OR($A484="",$C484&lt;&gt;"qr"),"",$D484&amp;".png")</f>
        <v/>
      </c>
      <c r="I484" s="30" t="str">
        <f aca="true">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ustomFormat="false" ht="15" hidden="false" customHeight="false" outlineLevel="0" collapsed="false">
      <c r="A485" s="30" t="str">
        <f aca="false">IF(INDEX(approvals!$A$2:$A$251,INT((ROW()-2)/2)+1)="","",INDEX(approvals!$A$2:$A$251,INT((ROW()-2)/2)+1))</f>
        <v/>
      </c>
      <c r="B485" s="30" t="str">
        <f aca="false">IF(INDEX(approvals!$A$2:$A$251,INT((ROW()-2)/2)+1)="","",INDEX(approvals!$B$2:$B$251,INT((ROW()-2)/2)+1))</f>
        <v/>
      </c>
      <c r="C485" s="30" t="str">
        <f aca="false">IF($A485="","",IF(MOD(ROW()-2,2)=0,"qr","post"))</f>
        <v/>
      </c>
      <c r="D485" s="30" t="str">
        <f aca="false">IF($A485="","",IF(LEFT($A485,7)="SAMPLE-","SAMPLE-","")&amp;LOWER(SUBSTITUTE(SUBSTITUTE($A485,"SAMPLE-",""),"CMP-","c"))&amp;"-"&amp;LOWER(SUBSTITUTE(SUBSTITUTE($B485,"SAMPLE-",""),"O-","o"))&amp;"-"&amp;IF($C485="qr","q","p"))</f>
        <v/>
      </c>
      <c r="E485" s="30" t="str">
        <f aca="false">IF($A485="","","https://"&amp;config!$B$9&amp;"/"&amp;$D485)</f>
        <v/>
      </c>
      <c r="F485" s="30" t="str">
        <f aca="false">IF($A485="","",$A485&amp;"."&amp;$B485)</f>
        <v/>
      </c>
      <c r="G485" s="30" t="str">
        <f aca="false">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30" t="str">
        <f aca="false">IF(OR($A485="",$C485&lt;&gt;"qr"),"",$D485&amp;".png")</f>
        <v/>
      </c>
      <c r="I485" s="30" t="str">
        <f aca="true">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ustomFormat="false" ht="15" hidden="false" customHeight="false" outlineLevel="0" collapsed="false">
      <c r="A486" s="30" t="str">
        <f aca="false">IF(INDEX(approvals!$A$2:$A$251,INT((ROW()-2)/2)+1)="","",INDEX(approvals!$A$2:$A$251,INT((ROW()-2)/2)+1))</f>
        <v/>
      </c>
      <c r="B486" s="30" t="str">
        <f aca="false">IF(INDEX(approvals!$A$2:$A$251,INT((ROW()-2)/2)+1)="","",INDEX(approvals!$B$2:$B$251,INT((ROW()-2)/2)+1))</f>
        <v/>
      </c>
      <c r="C486" s="30" t="str">
        <f aca="false">IF($A486="","",IF(MOD(ROW()-2,2)=0,"qr","post"))</f>
        <v/>
      </c>
      <c r="D486" s="30" t="str">
        <f aca="false">IF($A486="","",IF(LEFT($A486,7)="SAMPLE-","SAMPLE-","")&amp;LOWER(SUBSTITUTE(SUBSTITUTE($A486,"SAMPLE-",""),"CMP-","c"))&amp;"-"&amp;LOWER(SUBSTITUTE(SUBSTITUTE($B486,"SAMPLE-",""),"O-","o"))&amp;"-"&amp;IF($C486="qr","q","p"))</f>
        <v/>
      </c>
      <c r="E486" s="30" t="str">
        <f aca="false">IF($A486="","","https://"&amp;config!$B$9&amp;"/"&amp;$D486)</f>
        <v/>
      </c>
      <c r="F486" s="30" t="str">
        <f aca="false">IF($A486="","",$A486&amp;"."&amp;$B486)</f>
        <v/>
      </c>
      <c r="G486" s="30" t="str">
        <f aca="false">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30" t="str">
        <f aca="false">IF(OR($A486="",$C486&lt;&gt;"qr"),"",$D486&amp;".png")</f>
        <v/>
      </c>
      <c r="I486" s="30" t="str">
        <f aca="true">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ustomFormat="false" ht="15" hidden="false" customHeight="false" outlineLevel="0" collapsed="false">
      <c r="A487" s="30" t="str">
        <f aca="false">IF(INDEX(approvals!$A$2:$A$251,INT((ROW()-2)/2)+1)="","",INDEX(approvals!$A$2:$A$251,INT((ROW()-2)/2)+1))</f>
        <v/>
      </c>
      <c r="B487" s="30" t="str">
        <f aca="false">IF(INDEX(approvals!$A$2:$A$251,INT((ROW()-2)/2)+1)="","",INDEX(approvals!$B$2:$B$251,INT((ROW()-2)/2)+1))</f>
        <v/>
      </c>
      <c r="C487" s="30" t="str">
        <f aca="false">IF($A487="","",IF(MOD(ROW()-2,2)=0,"qr","post"))</f>
        <v/>
      </c>
      <c r="D487" s="30" t="str">
        <f aca="false">IF($A487="","",IF(LEFT($A487,7)="SAMPLE-","SAMPLE-","")&amp;LOWER(SUBSTITUTE(SUBSTITUTE($A487,"SAMPLE-",""),"CMP-","c"))&amp;"-"&amp;LOWER(SUBSTITUTE(SUBSTITUTE($B487,"SAMPLE-",""),"O-","o"))&amp;"-"&amp;IF($C487="qr","q","p"))</f>
        <v/>
      </c>
      <c r="E487" s="30" t="str">
        <f aca="false">IF($A487="","","https://"&amp;config!$B$9&amp;"/"&amp;$D487)</f>
        <v/>
      </c>
      <c r="F487" s="30" t="str">
        <f aca="false">IF($A487="","",$A487&amp;"."&amp;$B487)</f>
        <v/>
      </c>
      <c r="G487" s="30" t="str">
        <f aca="false">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30" t="str">
        <f aca="false">IF(OR($A487="",$C487&lt;&gt;"qr"),"",$D487&amp;".png")</f>
        <v/>
      </c>
      <c r="I487" s="30" t="str">
        <f aca="true">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ustomFormat="false" ht="15" hidden="false" customHeight="false" outlineLevel="0" collapsed="false">
      <c r="A488" s="30" t="str">
        <f aca="false">IF(INDEX(approvals!$A$2:$A$251,INT((ROW()-2)/2)+1)="","",INDEX(approvals!$A$2:$A$251,INT((ROW()-2)/2)+1))</f>
        <v/>
      </c>
      <c r="B488" s="30" t="str">
        <f aca="false">IF(INDEX(approvals!$A$2:$A$251,INT((ROW()-2)/2)+1)="","",INDEX(approvals!$B$2:$B$251,INT((ROW()-2)/2)+1))</f>
        <v/>
      </c>
      <c r="C488" s="30" t="str">
        <f aca="false">IF($A488="","",IF(MOD(ROW()-2,2)=0,"qr","post"))</f>
        <v/>
      </c>
      <c r="D488" s="30" t="str">
        <f aca="false">IF($A488="","",IF(LEFT($A488,7)="SAMPLE-","SAMPLE-","")&amp;LOWER(SUBSTITUTE(SUBSTITUTE($A488,"SAMPLE-",""),"CMP-","c"))&amp;"-"&amp;LOWER(SUBSTITUTE(SUBSTITUTE($B488,"SAMPLE-",""),"O-","o"))&amp;"-"&amp;IF($C488="qr","q","p"))</f>
        <v/>
      </c>
      <c r="E488" s="30" t="str">
        <f aca="false">IF($A488="","","https://"&amp;config!$B$9&amp;"/"&amp;$D488)</f>
        <v/>
      </c>
      <c r="F488" s="30" t="str">
        <f aca="false">IF($A488="","",$A488&amp;"."&amp;$B488)</f>
        <v/>
      </c>
      <c r="G488" s="30" t="str">
        <f aca="false">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30" t="str">
        <f aca="false">IF(OR($A488="",$C488&lt;&gt;"qr"),"",$D488&amp;".png")</f>
        <v/>
      </c>
      <c r="I488" s="30" t="str">
        <f aca="true">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ustomFormat="false" ht="15" hidden="false" customHeight="false" outlineLevel="0" collapsed="false">
      <c r="A489" s="30" t="str">
        <f aca="false">IF(INDEX(approvals!$A$2:$A$251,INT((ROW()-2)/2)+1)="","",INDEX(approvals!$A$2:$A$251,INT((ROW()-2)/2)+1))</f>
        <v/>
      </c>
      <c r="B489" s="30" t="str">
        <f aca="false">IF(INDEX(approvals!$A$2:$A$251,INT((ROW()-2)/2)+1)="","",INDEX(approvals!$B$2:$B$251,INT((ROW()-2)/2)+1))</f>
        <v/>
      </c>
      <c r="C489" s="30" t="str">
        <f aca="false">IF($A489="","",IF(MOD(ROW()-2,2)=0,"qr","post"))</f>
        <v/>
      </c>
      <c r="D489" s="30" t="str">
        <f aca="false">IF($A489="","",IF(LEFT($A489,7)="SAMPLE-","SAMPLE-","")&amp;LOWER(SUBSTITUTE(SUBSTITUTE($A489,"SAMPLE-",""),"CMP-","c"))&amp;"-"&amp;LOWER(SUBSTITUTE(SUBSTITUTE($B489,"SAMPLE-",""),"O-","o"))&amp;"-"&amp;IF($C489="qr","q","p"))</f>
        <v/>
      </c>
      <c r="E489" s="30" t="str">
        <f aca="false">IF($A489="","","https://"&amp;config!$B$9&amp;"/"&amp;$D489)</f>
        <v/>
      </c>
      <c r="F489" s="30" t="str">
        <f aca="false">IF($A489="","",$A489&amp;"."&amp;$B489)</f>
        <v/>
      </c>
      <c r="G489" s="30" t="str">
        <f aca="false">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30" t="str">
        <f aca="false">IF(OR($A489="",$C489&lt;&gt;"qr"),"",$D489&amp;".png")</f>
        <v/>
      </c>
      <c r="I489" s="30" t="str">
        <f aca="true">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ustomFormat="false" ht="15" hidden="false" customHeight="false" outlineLevel="0" collapsed="false">
      <c r="A490" s="30" t="str">
        <f aca="false">IF(INDEX(approvals!$A$2:$A$251,INT((ROW()-2)/2)+1)="","",INDEX(approvals!$A$2:$A$251,INT((ROW()-2)/2)+1))</f>
        <v/>
      </c>
      <c r="B490" s="30" t="str">
        <f aca="false">IF(INDEX(approvals!$A$2:$A$251,INT((ROW()-2)/2)+1)="","",INDEX(approvals!$B$2:$B$251,INT((ROW()-2)/2)+1))</f>
        <v/>
      </c>
      <c r="C490" s="30" t="str">
        <f aca="false">IF($A490="","",IF(MOD(ROW()-2,2)=0,"qr","post"))</f>
        <v/>
      </c>
      <c r="D490" s="30" t="str">
        <f aca="false">IF($A490="","",IF(LEFT($A490,7)="SAMPLE-","SAMPLE-","")&amp;LOWER(SUBSTITUTE(SUBSTITUTE($A490,"SAMPLE-",""),"CMP-","c"))&amp;"-"&amp;LOWER(SUBSTITUTE(SUBSTITUTE($B490,"SAMPLE-",""),"O-","o"))&amp;"-"&amp;IF($C490="qr","q","p"))</f>
        <v/>
      </c>
      <c r="E490" s="30" t="str">
        <f aca="false">IF($A490="","","https://"&amp;config!$B$9&amp;"/"&amp;$D490)</f>
        <v/>
      </c>
      <c r="F490" s="30" t="str">
        <f aca="false">IF($A490="","",$A490&amp;"."&amp;$B490)</f>
        <v/>
      </c>
      <c r="G490" s="30" t="str">
        <f aca="false">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30" t="str">
        <f aca="false">IF(OR($A490="",$C490&lt;&gt;"qr"),"",$D490&amp;".png")</f>
        <v/>
      </c>
      <c r="I490" s="30" t="str">
        <f aca="true">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ustomFormat="false" ht="15" hidden="false" customHeight="false" outlineLevel="0" collapsed="false">
      <c r="A491" s="30" t="str">
        <f aca="false">IF(INDEX(approvals!$A$2:$A$251,INT((ROW()-2)/2)+1)="","",INDEX(approvals!$A$2:$A$251,INT((ROW()-2)/2)+1))</f>
        <v/>
      </c>
      <c r="B491" s="30" t="str">
        <f aca="false">IF(INDEX(approvals!$A$2:$A$251,INT((ROW()-2)/2)+1)="","",INDEX(approvals!$B$2:$B$251,INT((ROW()-2)/2)+1))</f>
        <v/>
      </c>
      <c r="C491" s="30" t="str">
        <f aca="false">IF($A491="","",IF(MOD(ROW()-2,2)=0,"qr","post"))</f>
        <v/>
      </c>
      <c r="D491" s="30" t="str">
        <f aca="false">IF($A491="","",IF(LEFT($A491,7)="SAMPLE-","SAMPLE-","")&amp;LOWER(SUBSTITUTE(SUBSTITUTE($A491,"SAMPLE-",""),"CMP-","c"))&amp;"-"&amp;LOWER(SUBSTITUTE(SUBSTITUTE($B491,"SAMPLE-",""),"O-","o"))&amp;"-"&amp;IF($C491="qr","q","p"))</f>
        <v/>
      </c>
      <c r="E491" s="30" t="str">
        <f aca="false">IF($A491="","","https://"&amp;config!$B$9&amp;"/"&amp;$D491)</f>
        <v/>
      </c>
      <c r="F491" s="30" t="str">
        <f aca="false">IF($A491="","",$A491&amp;"."&amp;$B491)</f>
        <v/>
      </c>
      <c r="G491" s="30" t="str">
        <f aca="false">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30" t="str">
        <f aca="false">IF(OR($A491="",$C491&lt;&gt;"qr"),"",$D491&amp;".png")</f>
        <v/>
      </c>
      <c r="I491" s="30" t="str">
        <f aca="true">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ustomFormat="false" ht="15" hidden="false" customHeight="false" outlineLevel="0" collapsed="false">
      <c r="A492" s="30" t="str">
        <f aca="false">IF(INDEX(approvals!$A$2:$A$251,INT((ROW()-2)/2)+1)="","",INDEX(approvals!$A$2:$A$251,INT((ROW()-2)/2)+1))</f>
        <v/>
      </c>
      <c r="B492" s="30" t="str">
        <f aca="false">IF(INDEX(approvals!$A$2:$A$251,INT((ROW()-2)/2)+1)="","",INDEX(approvals!$B$2:$B$251,INT((ROW()-2)/2)+1))</f>
        <v/>
      </c>
      <c r="C492" s="30" t="str">
        <f aca="false">IF($A492="","",IF(MOD(ROW()-2,2)=0,"qr","post"))</f>
        <v/>
      </c>
      <c r="D492" s="30" t="str">
        <f aca="false">IF($A492="","",IF(LEFT($A492,7)="SAMPLE-","SAMPLE-","")&amp;LOWER(SUBSTITUTE(SUBSTITUTE($A492,"SAMPLE-",""),"CMP-","c"))&amp;"-"&amp;LOWER(SUBSTITUTE(SUBSTITUTE($B492,"SAMPLE-",""),"O-","o"))&amp;"-"&amp;IF($C492="qr","q","p"))</f>
        <v/>
      </c>
      <c r="E492" s="30" t="str">
        <f aca="false">IF($A492="","","https://"&amp;config!$B$9&amp;"/"&amp;$D492)</f>
        <v/>
      </c>
      <c r="F492" s="30" t="str">
        <f aca="false">IF($A492="","",$A492&amp;"."&amp;$B492)</f>
        <v/>
      </c>
      <c r="G492" s="30" t="str">
        <f aca="false">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30" t="str">
        <f aca="false">IF(OR($A492="",$C492&lt;&gt;"qr"),"",$D492&amp;".png")</f>
        <v/>
      </c>
      <c r="I492" s="30" t="str">
        <f aca="true">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ustomFormat="false" ht="15" hidden="false" customHeight="false" outlineLevel="0" collapsed="false">
      <c r="A493" s="30" t="str">
        <f aca="false">IF(INDEX(approvals!$A$2:$A$251,INT((ROW()-2)/2)+1)="","",INDEX(approvals!$A$2:$A$251,INT((ROW()-2)/2)+1))</f>
        <v/>
      </c>
      <c r="B493" s="30" t="str">
        <f aca="false">IF(INDEX(approvals!$A$2:$A$251,INT((ROW()-2)/2)+1)="","",INDEX(approvals!$B$2:$B$251,INT((ROW()-2)/2)+1))</f>
        <v/>
      </c>
      <c r="C493" s="30" t="str">
        <f aca="false">IF($A493="","",IF(MOD(ROW()-2,2)=0,"qr","post"))</f>
        <v/>
      </c>
      <c r="D493" s="30" t="str">
        <f aca="false">IF($A493="","",IF(LEFT($A493,7)="SAMPLE-","SAMPLE-","")&amp;LOWER(SUBSTITUTE(SUBSTITUTE($A493,"SAMPLE-",""),"CMP-","c"))&amp;"-"&amp;LOWER(SUBSTITUTE(SUBSTITUTE($B493,"SAMPLE-",""),"O-","o"))&amp;"-"&amp;IF($C493="qr","q","p"))</f>
        <v/>
      </c>
      <c r="E493" s="30" t="str">
        <f aca="false">IF($A493="","","https://"&amp;config!$B$9&amp;"/"&amp;$D493)</f>
        <v/>
      </c>
      <c r="F493" s="30" t="str">
        <f aca="false">IF($A493="","",$A493&amp;"."&amp;$B493)</f>
        <v/>
      </c>
      <c r="G493" s="30" t="str">
        <f aca="false">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30" t="str">
        <f aca="false">IF(OR($A493="",$C493&lt;&gt;"qr"),"",$D493&amp;".png")</f>
        <v/>
      </c>
      <c r="I493" s="30" t="str">
        <f aca="true">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ustomFormat="false" ht="15" hidden="false" customHeight="false" outlineLevel="0" collapsed="false">
      <c r="A494" s="30" t="str">
        <f aca="false">IF(INDEX(approvals!$A$2:$A$251,INT((ROW()-2)/2)+1)="","",INDEX(approvals!$A$2:$A$251,INT((ROW()-2)/2)+1))</f>
        <v/>
      </c>
      <c r="B494" s="30" t="str">
        <f aca="false">IF(INDEX(approvals!$A$2:$A$251,INT((ROW()-2)/2)+1)="","",INDEX(approvals!$B$2:$B$251,INT((ROW()-2)/2)+1))</f>
        <v/>
      </c>
      <c r="C494" s="30" t="str">
        <f aca="false">IF($A494="","",IF(MOD(ROW()-2,2)=0,"qr","post"))</f>
        <v/>
      </c>
      <c r="D494" s="30" t="str">
        <f aca="false">IF($A494="","",IF(LEFT($A494,7)="SAMPLE-","SAMPLE-","")&amp;LOWER(SUBSTITUTE(SUBSTITUTE($A494,"SAMPLE-",""),"CMP-","c"))&amp;"-"&amp;LOWER(SUBSTITUTE(SUBSTITUTE($B494,"SAMPLE-",""),"O-","o"))&amp;"-"&amp;IF($C494="qr","q","p"))</f>
        <v/>
      </c>
      <c r="E494" s="30" t="str">
        <f aca="false">IF($A494="","","https://"&amp;config!$B$9&amp;"/"&amp;$D494)</f>
        <v/>
      </c>
      <c r="F494" s="30" t="str">
        <f aca="false">IF($A494="","",$A494&amp;"."&amp;$B494)</f>
        <v/>
      </c>
      <c r="G494" s="30" t="str">
        <f aca="false">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30" t="str">
        <f aca="false">IF(OR($A494="",$C494&lt;&gt;"qr"),"",$D494&amp;".png")</f>
        <v/>
      </c>
      <c r="I494" s="30" t="str">
        <f aca="true">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ustomFormat="false" ht="15" hidden="false" customHeight="false" outlineLevel="0" collapsed="false">
      <c r="A495" s="30" t="str">
        <f aca="false">IF(INDEX(approvals!$A$2:$A$251,INT((ROW()-2)/2)+1)="","",INDEX(approvals!$A$2:$A$251,INT((ROW()-2)/2)+1))</f>
        <v/>
      </c>
      <c r="B495" s="30" t="str">
        <f aca="false">IF(INDEX(approvals!$A$2:$A$251,INT((ROW()-2)/2)+1)="","",INDEX(approvals!$B$2:$B$251,INT((ROW()-2)/2)+1))</f>
        <v/>
      </c>
      <c r="C495" s="30" t="str">
        <f aca="false">IF($A495="","",IF(MOD(ROW()-2,2)=0,"qr","post"))</f>
        <v/>
      </c>
      <c r="D495" s="30" t="str">
        <f aca="false">IF($A495="","",IF(LEFT($A495,7)="SAMPLE-","SAMPLE-","")&amp;LOWER(SUBSTITUTE(SUBSTITUTE($A495,"SAMPLE-",""),"CMP-","c"))&amp;"-"&amp;LOWER(SUBSTITUTE(SUBSTITUTE($B495,"SAMPLE-",""),"O-","o"))&amp;"-"&amp;IF($C495="qr","q","p"))</f>
        <v/>
      </c>
      <c r="E495" s="30" t="str">
        <f aca="false">IF($A495="","","https://"&amp;config!$B$9&amp;"/"&amp;$D495)</f>
        <v/>
      </c>
      <c r="F495" s="30" t="str">
        <f aca="false">IF($A495="","",$A495&amp;"."&amp;$B495)</f>
        <v/>
      </c>
      <c r="G495" s="30" t="str">
        <f aca="false">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30" t="str">
        <f aca="false">IF(OR($A495="",$C495&lt;&gt;"qr"),"",$D495&amp;".png")</f>
        <v/>
      </c>
      <c r="I495" s="30" t="str">
        <f aca="true">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ustomFormat="false" ht="15" hidden="false" customHeight="false" outlineLevel="0" collapsed="false">
      <c r="A496" s="30" t="str">
        <f aca="false">IF(INDEX(approvals!$A$2:$A$251,INT((ROW()-2)/2)+1)="","",INDEX(approvals!$A$2:$A$251,INT((ROW()-2)/2)+1))</f>
        <v/>
      </c>
      <c r="B496" s="30" t="str">
        <f aca="false">IF(INDEX(approvals!$A$2:$A$251,INT((ROW()-2)/2)+1)="","",INDEX(approvals!$B$2:$B$251,INT((ROW()-2)/2)+1))</f>
        <v/>
      </c>
      <c r="C496" s="30" t="str">
        <f aca="false">IF($A496="","",IF(MOD(ROW()-2,2)=0,"qr","post"))</f>
        <v/>
      </c>
      <c r="D496" s="30" t="str">
        <f aca="false">IF($A496="","",IF(LEFT($A496,7)="SAMPLE-","SAMPLE-","")&amp;LOWER(SUBSTITUTE(SUBSTITUTE($A496,"SAMPLE-",""),"CMP-","c"))&amp;"-"&amp;LOWER(SUBSTITUTE(SUBSTITUTE($B496,"SAMPLE-",""),"O-","o"))&amp;"-"&amp;IF($C496="qr","q","p"))</f>
        <v/>
      </c>
      <c r="E496" s="30" t="str">
        <f aca="false">IF($A496="","","https://"&amp;config!$B$9&amp;"/"&amp;$D496)</f>
        <v/>
      </c>
      <c r="F496" s="30" t="str">
        <f aca="false">IF($A496="","",$A496&amp;"."&amp;$B496)</f>
        <v/>
      </c>
      <c r="G496" s="30" t="str">
        <f aca="false">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30" t="str">
        <f aca="false">IF(OR($A496="",$C496&lt;&gt;"qr"),"",$D496&amp;".png")</f>
        <v/>
      </c>
      <c r="I496" s="30" t="str">
        <f aca="true">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ustomFormat="false" ht="15" hidden="false" customHeight="false" outlineLevel="0" collapsed="false">
      <c r="A497" s="30" t="str">
        <f aca="false">IF(INDEX(approvals!$A$2:$A$251,INT((ROW()-2)/2)+1)="","",INDEX(approvals!$A$2:$A$251,INT((ROW()-2)/2)+1))</f>
        <v/>
      </c>
      <c r="B497" s="30" t="str">
        <f aca="false">IF(INDEX(approvals!$A$2:$A$251,INT((ROW()-2)/2)+1)="","",INDEX(approvals!$B$2:$B$251,INT((ROW()-2)/2)+1))</f>
        <v/>
      </c>
      <c r="C497" s="30" t="str">
        <f aca="false">IF($A497="","",IF(MOD(ROW()-2,2)=0,"qr","post"))</f>
        <v/>
      </c>
      <c r="D497" s="30" t="str">
        <f aca="false">IF($A497="","",IF(LEFT($A497,7)="SAMPLE-","SAMPLE-","")&amp;LOWER(SUBSTITUTE(SUBSTITUTE($A497,"SAMPLE-",""),"CMP-","c"))&amp;"-"&amp;LOWER(SUBSTITUTE(SUBSTITUTE($B497,"SAMPLE-",""),"O-","o"))&amp;"-"&amp;IF($C497="qr","q","p"))</f>
        <v/>
      </c>
      <c r="E497" s="30" t="str">
        <f aca="false">IF($A497="","","https://"&amp;config!$B$9&amp;"/"&amp;$D497)</f>
        <v/>
      </c>
      <c r="F497" s="30" t="str">
        <f aca="false">IF($A497="","",$A497&amp;"."&amp;$B497)</f>
        <v/>
      </c>
      <c r="G497" s="30" t="str">
        <f aca="false">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30" t="str">
        <f aca="false">IF(OR($A497="",$C497&lt;&gt;"qr"),"",$D497&amp;".png")</f>
        <v/>
      </c>
      <c r="I497" s="30" t="str">
        <f aca="true">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ustomFormat="false" ht="15" hidden="false" customHeight="false" outlineLevel="0" collapsed="false">
      <c r="A498" s="30" t="str">
        <f aca="false">IF(INDEX(approvals!$A$2:$A$251,INT((ROW()-2)/2)+1)="","",INDEX(approvals!$A$2:$A$251,INT((ROW()-2)/2)+1))</f>
        <v/>
      </c>
      <c r="B498" s="30" t="str">
        <f aca="false">IF(INDEX(approvals!$A$2:$A$251,INT((ROW()-2)/2)+1)="","",INDEX(approvals!$B$2:$B$251,INT((ROW()-2)/2)+1))</f>
        <v/>
      </c>
      <c r="C498" s="30" t="str">
        <f aca="false">IF($A498="","",IF(MOD(ROW()-2,2)=0,"qr","post"))</f>
        <v/>
      </c>
      <c r="D498" s="30" t="str">
        <f aca="false">IF($A498="","",IF(LEFT($A498,7)="SAMPLE-","SAMPLE-","")&amp;LOWER(SUBSTITUTE(SUBSTITUTE($A498,"SAMPLE-",""),"CMP-","c"))&amp;"-"&amp;LOWER(SUBSTITUTE(SUBSTITUTE($B498,"SAMPLE-",""),"O-","o"))&amp;"-"&amp;IF($C498="qr","q","p"))</f>
        <v/>
      </c>
      <c r="E498" s="30" t="str">
        <f aca="false">IF($A498="","","https://"&amp;config!$B$9&amp;"/"&amp;$D498)</f>
        <v/>
      </c>
      <c r="F498" s="30" t="str">
        <f aca="false">IF($A498="","",$A498&amp;"."&amp;$B498)</f>
        <v/>
      </c>
      <c r="G498" s="30" t="str">
        <f aca="false">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30" t="str">
        <f aca="false">IF(OR($A498="",$C498&lt;&gt;"qr"),"",$D498&amp;".png")</f>
        <v/>
      </c>
      <c r="I498" s="30" t="str">
        <f aca="true">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ustomFormat="false" ht="15" hidden="false" customHeight="false" outlineLevel="0" collapsed="false">
      <c r="A499" s="30" t="str">
        <f aca="false">IF(INDEX(approvals!$A$2:$A$251,INT((ROW()-2)/2)+1)="","",INDEX(approvals!$A$2:$A$251,INT((ROW()-2)/2)+1))</f>
        <v/>
      </c>
      <c r="B499" s="30" t="str">
        <f aca="false">IF(INDEX(approvals!$A$2:$A$251,INT((ROW()-2)/2)+1)="","",INDEX(approvals!$B$2:$B$251,INT((ROW()-2)/2)+1))</f>
        <v/>
      </c>
      <c r="C499" s="30" t="str">
        <f aca="false">IF($A499="","",IF(MOD(ROW()-2,2)=0,"qr","post"))</f>
        <v/>
      </c>
      <c r="D499" s="30" t="str">
        <f aca="false">IF($A499="","",IF(LEFT($A499,7)="SAMPLE-","SAMPLE-","")&amp;LOWER(SUBSTITUTE(SUBSTITUTE($A499,"SAMPLE-",""),"CMP-","c"))&amp;"-"&amp;LOWER(SUBSTITUTE(SUBSTITUTE($B499,"SAMPLE-",""),"O-","o"))&amp;"-"&amp;IF($C499="qr","q","p"))</f>
        <v/>
      </c>
      <c r="E499" s="30" t="str">
        <f aca="false">IF($A499="","","https://"&amp;config!$B$9&amp;"/"&amp;$D499)</f>
        <v/>
      </c>
      <c r="F499" s="30" t="str">
        <f aca="false">IF($A499="","",$A499&amp;"."&amp;$B499)</f>
        <v/>
      </c>
      <c r="G499" s="30" t="str">
        <f aca="false">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30" t="str">
        <f aca="false">IF(OR($A499="",$C499&lt;&gt;"qr"),"",$D499&amp;".png")</f>
        <v/>
      </c>
      <c r="I499" s="30" t="str">
        <f aca="true">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ustomFormat="false" ht="15" hidden="false" customHeight="false" outlineLevel="0" collapsed="false">
      <c r="A500" s="30" t="str">
        <f aca="false">IF(INDEX(approvals!$A$2:$A$251,INT((ROW()-2)/2)+1)="","",INDEX(approvals!$A$2:$A$251,INT((ROW()-2)/2)+1))</f>
        <v/>
      </c>
      <c r="B500" s="30" t="str">
        <f aca="false">IF(INDEX(approvals!$A$2:$A$251,INT((ROW()-2)/2)+1)="","",INDEX(approvals!$B$2:$B$251,INT((ROW()-2)/2)+1))</f>
        <v/>
      </c>
      <c r="C500" s="30" t="str">
        <f aca="false">IF($A500="","",IF(MOD(ROW()-2,2)=0,"qr","post"))</f>
        <v/>
      </c>
      <c r="D500" s="30" t="str">
        <f aca="false">IF($A500="","",IF(LEFT($A500,7)="SAMPLE-","SAMPLE-","")&amp;LOWER(SUBSTITUTE(SUBSTITUTE($A500,"SAMPLE-",""),"CMP-","c"))&amp;"-"&amp;LOWER(SUBSTITUTE(SUBSTITUTE($B500,"SAMPLE-",""),"O-","o"))&amp;"-"&amp;IF($C500="qr","q","p"))</f>
        <v/>
      </c>
      <c r="E500" s="30" t="str">
        <f aca="false">IF($A500="","","https://"&amp;config!$B$9&amp;"/"&amp;$D500)</f>
        <v/>
      </c>
      <c r="F500" s="30" t="str">
        <f aca="false">IF($A500="","",$A500&amp;"."&amp;$B500)</f>
        <v/>
      </c>
      <c r="G500" s="30" t="str">
        <f aca="false">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30" t="str">
        <f aca="false">IF(OR($A500="",$C500&lt;&gt;"qr"),"",$D500&amp;".png")</f>
        <v/>
      </c>
      <c r="I500" s="30" t="str">
        <f aca="true">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ustomFormat="false" ht="15" hidden="false" customHeight="false" outlineLevel="0" collapsed="false">
      <c r="A501" s="30" t="str">
        <f aca="false">IF(INDEX(approvals!$A$2:$A$251,INT((ROW()-2)/2)+1)="","",INDEX(approvals!$A$2:$A$251,INT((ROW()-2)/2)+1))</f>
        <v/>
      </c>
      <c r="B501" s="30" t="str">
        <f aca="false">IF(INDEX(approvals!$A$2:$A$251,INT((ROW()-2)/2)+1)="","",INDEX(approvals!$B$2:$B$251,INT((ROW()-2)/2)+1))</f>
        <v/>
      </c>
      <c r="C501" s="30" t="str">
        <f aca="false">IF($A501="","",IF(MOD(ROW()-2,2)=0,"qr","post"))</f>
        <v/>
      </c>
      <c r="D501" s="30" t="str">
        <f aca="false">IF($A501="","",IF(LEFT($A501,7)="SAMPLE-","SAMPLE-","")&amp;LOWER(SUBSTITUTE(SUBSTITUTE($A501,"SAMPLE-",""),"CMP-","c"))&amp;"-"&amp;LOWER(SUBSTITUTE(SUBSTITUTE($B501,"SAMPLE-",""),"O-","o"))&amp;"-"&amp;IF($C501="qr","q","p"))</f>
        <v/>
      </c>
      <c r="E501" s="30" t="str">
        <f aca="false">IF($A501="","","https://"&amp;config!$B$9&amp;"/"&amp;$D501)</f>
        <v/>
      </c>
      <c r="F501" s="30" t="str">
        <f aca="false">IF($A501="","",$A501&amp;"."&amp;$B501)</f>
        <v/>
      </c>
      <c r="G501" s="30" t="str">
        <f aca="false">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30" t="str">
        <f aca="false">IF(OR($A501="",$C501&lt;&gt;"qr"),"",$D501&amp;".png")</f>
        <v/>
      </c>
      <c r="I501" s="30" t="str">
        <f aca="true">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2" aboveAverage="0" equalAverage="0" bottom="0" percent="0" rank="0" text="" dxfId="1">
      <formula>LEN(I2)&gt;0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J16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8"/>
    <col collapsed="false" customWidth="true" hidden="false" outlineLevel="0" max="3" min="3" style="0" width="20"/>
    <col collapsed="false" customWidth="true" hidden="false" outlineLevel="0" max="4" min="4" style="0" width="14"/>
    <col collapsed="false" customWidth="true" hidden="false" outlineLevel="0" max="5" min="5" style="0" width="8"/>
    <col collapsed="false" customWidth="true" hidden="false" outlineLevel="0" max="6" min="6" style="0" width="20"/>
    <col collapsed="false" customWidth="true" hidden="false" outlineLevel="0" max="8" min="7" style="0" width="14"/>
    <col collapsed="false" customWidth="true" hidden="false" outlineLevel="0" max="9" min="9" style="0" width="6"/>
    <col collapsed="false" customWidth="true" hidden="false" outlineLevel="0" max="10" min="10" style="0" width="24"/>
  </cols>
  <sheetData>
    <row r="1" customFormat="false" ht="15" hidden="false" customHeight="false" outlineLevel="0" collapsed="false">
      <c r="A1" s="28" t="s">
        <v>1115</v>
      </c>
      <c r="B1" s="28" t="s">
        <v>1116</v>
      </c>
      <c r="C1" s="28" t="s">
        <v>1111</v>
      </c>
      <c r="D1" s="28" t="s">
        <v>1117</v>
      </c>
      <c r="E1" s="28" t="s">
        <v>1118</v>
      </c>
      <c r="F1" s="28" t="s">
        <v>178</v>
      </c>
      <c r="G1" s="29" t="s">
        <v>358</v>
      </c>
      <c r="H1" s="29" t="s">
        <v>642</v>
      </c>
      <c r="I1" s="29" t="s">
        <v>1110</v>
      </c>
      <c r="J1" s="29" t="s">
        <v>120</v>
      </c>
    </row>
    <row r="2" customFormat="false" ht="15" hidden="false" customHeight="false" outlineLevel="0" collapsed="false">
      <c r="A2" s="11" t="n">
        <v>46398</v>
      </c>
      <c r="B2" s="38" t="n">
        <v>0.729166666666667</v>
      </c>
      <c r="C2" s="10" t="s">
        <v>1119</v>
      </c>
      <c r="D2" s="10" t="s">
        <v>1120</v>
      </c>
      <c r="E2" s="0" t="n">
        <v>1</v>
      </c>
      <c r="G2" s="30" t="str">
        <f aca="false">IF($C2="","",IFERROR(IF(INDEX(links!$A$2:$A$501,MATCH($C2,links!$D$2:$D$501,0))="","",INDEX(links!$A$2:$A$501,MATCH($C2,links!$D$2:$D$501,0))),""))</f>
        <v>SAMPLE-CMP-001</v>
      </c>
      <c r="H2" s="30" t="str">
        <f aca="false">IF($C2="","",IFERROR(IF(INDEX(links!$B$2:$B$501,MATCH($C2,links!$D$2:$D$501,0))="","",INDEX(links!$B$2:$B$501,MATCH($C2,links!$D$2:$D$501,0))),""))</f>
        <v>SAMPLE-O-001</v>
      </c>
      <c r="I2" s="30" t="str">
        <f aca="false">IF($C2="","",IFERROR(IF(INDEX(links!$C$2:$C$501,MATCH($C2,links!$D$2:$D$501,0))="","",INDEX(links!$C$2:$C$501,MATCH($C2,links!$D$2:$D$501,0))),""))</f>
        <v>qr</v>
      </c>
      <c r="J2" s="30" t="str">
        <f aca="false">IF($C2="","",IF($G2="","slug not in links; ","")&amp;IF($D2="","reading type missing; ","")&amp;IF(COUNTIFS(scans!$C$2:$C$1601,$C2,scans!$D$2:$D$1601,$D2)&gt;1,"two readings of this type: keep one; ",""))</f>
        <v/>
      </c>
    </row>
    <row r="3" customFormat="false" ht="15" hidden="false" customHeight="false" outlineLevel="0" collapsed="false">
      <c r="A3" s="11" t="n">
        <v>46401</v>
      </c>
      <c r="B3" s="38" t="n">
        <v>0.729166666666667</v>
      </c>
      <c r="C3" s="10" t="s">
        <v>1119</v>
      </c>
      <c r="D3" s="10" t="s">
        <v>1121</v>
      </c>
      <c r="E3" s="0" t="n">
        <v>7</v>
      </c>
      <c r="G3" s="30" t="str">
        <f aca="false">IF($C3="","",IFERROR(IF(INDEX(links!$A$2:$A$501,MATCH($C3,links!$D$2:$D$501,0))="","",INDEX(links!$A$2:$A$501,MATCH($C3,links!$D$2:$D$501,0))),""))</f>
        <v>SAMPLE-CMP-001</v>
      </c>
      <c r="H3" s="30" t="str">
        <f aca="false">IF($C3="","",IFERROR(IF(INDEX(links!$B$2:$B$501,MATCH($C3,links!$D$2:$D$501,0))="","",INDEX(links!$B$2:$B$501,MATCH($C3,links!$D$2:$D$501,0))),""))</f>
        <v>SAMPLE-O-001</v>
      </c>
      <c r="I3" s="30" t="str">
        <f aca="false">IF($C3="","",IFERROR(IF(INDEX(links!$C$2:$C$501,MATCH($C3,links!$D$2:$D$501,0))="","",INDEX(links!$C$2:$C$501,MATCH($C3,links!$D$2:$D$501,0))),""))</f>
        <v>qr</v>
      </c>
      <c r="J3" s="30" t="str">
        <f aca="false">IF($C3="","",IF($G3="","slug not in links; ","")&amp;IF($D3="","reading type missing; ","")&amp;IF(COUNTIFS(scans!$C$2:$C$1601,$C3,scans!$D$2:$D$1601,$D3)&gt;1,"two readings of this type: keep one; ",""))</f>
        <v/>
      </c>
    </row>
    <row r="4" customFormat="false" ht="15" hidden="false" customHeight="false" outlineLevel="0" collapsed="false">
      <c r="A4" s="11" t="n">
        <v>46406</v>
      </c>
      <c r="B4" s="38" t="n">
        <v>0.729166666666667</v>
      </c>
      <c r="C4" s="10" t="s">
        <v>1119</v>
      </c>
      <c r="D4" s="10" t="s">
        <v>1122</v>
      </c>
      <c r="E4" s="0" t="n">
        <v>15</v>
      </c>
      <c r="G4" s="30" t="str">
        <f aca="false">IF($C4="","",IFERROR(IF(INDEX(links!$A$2:$A$501,MATCH($C4,links!$D$2:$D$501,0))="","",INDEX(links!$A$2:$A$501,MATCH($C4,links!$D$2:$D$501,0))),""))</f>
        <v>SAMPLE-CMP-001</v>
      </c>
      <c r="H4" s="30" t="str">
        <f aca="false">IF($C4="","",IFERROR(IF(INDEX(links!$B$2:$B$501,MATCH($C4,links!$D$2:$D$501,0))="","",INDEX(links!$B$2:$B$501,MATCH($C4,links!$D$2:$D$501,0))),""))</f>
        <v>SAMPLE-O-001</v>
      </c>
      <c r="I4" s="30" t="str">
        <f aca="false">IF($C4="","",IFERROR(IF(INDEX(links!$C$2:$C$501,MATCH($C4,links!$D$2:$D$501,0))="","",INDEX(links!$C$2:$C$501,MATCH($C4,links!$D$2:$D$501,0))),""))</f>
        <v>qr</v>
      </c>
      <c r="J4" s="30" t="str">
        <f aca="false">IF($C4="","",IF($G4="","slug not in links; ","")&amp;IF($D4="","reading type missing; ","")&amp;IF(COUNTIFS(scans!$C$2:$C$1601,$C4,scans!$D$2:$D$1601,$D4)&gt;1,"two readings of this type: keep one; ",""))</f>
        <v/>
      </c>
    </row>
    <row r="5" customFormat="false" ht="15" hidden="false" customHeight="false" outlineLevel="0" collapsed="false">
      <c r="A5" s="11" t="n">
        <v>46409</v>
      </c>
      <c r="B5" s="38" t="n">
        <v>0.729166666666667</v>
      </c>
      <c r="C5" s="10" t="s">
        <v>1119</v>
      </c>
      <c r="D5" s="10" t="s">
        <v>1123</v>
      </c>
      <c r="E5" s="0" t="n">
        <v>16</v>
      </c>
      <c r="G5" s="30" t="str">
        <f aca="false">IF($C5="","",IFERROR(IF(INDEX(links!$A$2:$A$501,MATCH($C5,links!$D$2:$D$501,0))="","",INDEX(links!$A$2:$A$501,MATCH($C5,links!$D$2:$D$501,0))),""))</f>
        <v>SAMPLE-CMP-001</v>
      </c>
      <c r="H5" s="30" t="str">
        <f aca="false">IF($C5="","",IFERROR(IF(INDEX(links!$B$2:$B$501,MATCH($C5,links!$D$2:$D$501,0))="","",INDEX(links!$B$2:$B$501,MATCH($C5,links!$D$2:$D$501,0))),""))</f>
        <v>SAMPLE-O-001</v>
      </c>
      <c r="I5" s="30" t="str">
        <f aca="false">IF($C5="","",IFERROR(IF(INDEX(links!$C$2:$C$501,MATCH($C5,links!$D$2:$D$501,0))="","",INDEX(links!$C$2:$C$501,MATCH($C5,links!$D$2:$D$501,0))),""))</f>
        <v>qr</v>
      </c>
      <c r="J5" s="30" t="str">
        <f aca="false">IF($C5="","",IF($G5="","slug not in links; ","")&amp;IF($D5="","reading type missing; ","")&amp;IF(COUNTIFS(scans!$C$2:$C$1601,$C5,scans!$D$2:$D$1601,$D5)&gt;1,"two readings of this type: keep one; ",""))</f>
        <v/>
      </c>
    </row>
    <row r="6" customFormat="false" ht="15" hidden="false" customHeight="false" outlineLevel="0" collapsed="false">
      <c r="A6" s="11" t="n">
        <v>46398</v>
      </c>
      <c r="B6" s="38" t="n">
        <v>0.729166666666667</v>
      </c>
      <c r="C6" s="10" t="s">
        <v>1124</v>
      </c>
      <c r="D6" s="10" t="s">
        <v>1120</v>
      </c>
      <c r="E6" s="0" t="n">
        <v>1</v>
      </c>
      <c r="G6" s="30" t="str">
        <f aca="false">IF($C6="","",IFERROR(IF(INDEX(links!$A$2:$A$501,MATCH($C6,links!$D$2:$D$501,0))="","",INDEX(links!$A$2:$A$501,MATCH($C6,links!$D$2:$D$501,0))),""))</f>
        <v>SAMPLE-CMP-001</v>
      </c>
      <c r="H6" s="30" t="str">
        <f aca="false">IF($C6="","",IFERROR(IF(INDEX(links!$B$2:$B$501,MATCH($C6,links!$D$2:$D$501,0))="","",INDEX(links!$B$2:$B$501,MATCH($C6,links!$D$2:$D$501,0))),""))</f>
        <v>SAMPLE-O-001</v>
      </c>
      <c r="I6" s="30" t="str">
        <f aca="false">IF($C6="","",IFERROR(IF(INDEX(links!$C$2:$C$501,MATCH($C6,links!$D$2:$D$501,0))="","",INDEX(links!$C$2:$C$501,MATCH($C6,links!$D$2:$D$501,0))),""))</f>
        <v>post</v>
      </c>
      <c r="J6" s="30" t="str">
        <f aca="false">IF($C6="","",IF($G6="","slug not in links; ","")&amp;IF($D6="","reading type missing; ","")&amp;IF(COUNTIFS(scans!$C$2:$C$1601,$C6,scans!$D$2:$D$1601,$D6)&gt;1,"two readings of this type: keep one; ",""))</f>
        <v/>
      </c>
    </row>
    <row r="7" customFormat="false" ht="15" hidden="false" customHeight="false" outlineLevel="0" collapsed="false">
      <c r="A7" s="11" t="n">
        <v>46401</v>
      </c>
      <c r="B7" s="38" t="n">
        <v>0.729166666666667</v>
      </c>
      <c r="C7" s="10" t="s">
        <v>1124</v>
      </c>
      <c r="D7" s="10" t="s">
        <v>1121</v>
      </c>
      <c r="E7" s="0" t="n">
        <v>3</v>
      </c>
      <c r="G7" s="30" t="str">
        <f aca="false">IF($C7="","",IFERROR(IF(INDEX(links!$A$2:$A$501,MATCH($C7,links!$D$2:$D$501,0))="","",INDEX(links!$A$2:$A$501,MATCH($C7,links!$D$2:$D$501,0))),""))</f>
        <v>SAMPLE-CMP-001</v>
      </c>
      <c r="H7" s="30" t="str">
        <f aca="false">IF($C7="","",IFERROR(IF(INDEX(links!$B$2:$B$501,MATCH($C7,links!$D$2:$D$501,0))="","",INDEX(links!$B$2:$B$501,MATCH($C7,links!$D$2:$D$501,0))),""))</f>
        <v>SAMPLE-O-001</v>
      </c>
      <c r="I7" s="30" t="str">
        <f aca="false">IF($C7="","",IFERROR(IF(INDEX(links!$C$2:$C$501,MATCH($C7,links!$D$2:$D$501,0))="","",INDEX(links!$C$2:$C$501,MATCH($C7,links!$D$2:$D$501,0))),""))</f>
        <v>post</v>
      </c>
      <c r="J7" s="30" t="str">
        <f aca="false">IF($C7="","",IF($G7="","slug not in links; ","")&amp;IF($D7="","reading type missing; ","")&amp;IF(COUNTIFS(scans!$C$2:$C$1601,$C7,scans!$D$2:$D$1601,$D7)&gt;1,"two readings of this type: keep one; ",""))</f>
        <v/>
      </c>
    </row>
    <row r="8" customFormat="false" ht="15" hidden="false" customHeight="false" outlineLevel="0" collapsed="false">
      <c r="A8" s="11" t="n">
        <v>46406</v>
      </c>
      <c r="B8" s="38" t="n">
        <v>0.729166666666667</v>
      </c>
      <c r="C8" s="10" t="s">
        <v>1124</v>
      </c>
      <c r="D8" s="10" t="s">
        <v>1122</v>
      </c>
      <c r="E8" s="0" t="n">
        <v>6</v>
      </c>
      <c r="G8" s="30" t="str">
        <f aca="false">IF($C8="","",IFERROR(IF(INDEX(links!$A$2:$A$501,MATCH($C8,links!$D$2:$D$501,0))="","",INDEX(links!$A$2:$A$501,MATCH($C8,links!$D$2:$D$501,0))),""))</f>
        <v>SAMPLE-CMP-001</v>
      </c>
      <c r="H8" s="30" t="str">
        <f aca="false">IF($C8="","",IFERROR(IF(INDEX(links!$B$2:$B$501,MATCH($C8,links!$D$2:$D$501,0))="","",INDEX(links!$B$2:$B$501,MATCH($C8,links!$D$2:$D$501,0))),""))</f>
        <v>SAMPLE-O-001</v>
      </c>
      <c r="I8" s="30" t="str">
        <f aca="false">IF($C8="","",IFERROR(IF(INDEX(links!$C$2:$C$501,MATCH($C8,links!$D$2:$D$501,0))="","",INDEX(links!$C$2:$C$501,MATCH($C8,links!$D$2:$D$501,0))),""))</f>
        <v>post</v>
      </c>
      <c r="J8" s="30" t="str">
        <f aca="false">IF($C8="","",IF($G8="","slug not in links; ","")&amp;IF($D8="","reading type missing; ","")&amp;IF(COUNTIFS(scans!$C$2:$C$1601,$C8,scans!$D$2:$D$1601,$D8)&gt;1,"two readings of this type: keep one; ",""))</f>
        <v/>
      </c>
    </row>
    <row r="9" customFormat="false" ht="15" hidden="false" customHeight="false" outlineLevel="0" collapsed="false">
      <c r="A9" s="11" t="n">
        <v>46409</v>
      </c>
      <c r="B9" s="38" t="n">
        <v>0.729166666666667</v>
      </c>
      <c r="C9" s="10" t="s">
        <v>1124</v>
      </c>
      <c r="D9" s="10" t="s">
        <v>1123</v>
      </c>
      <c r="E9" s="0" t="n">
        <v>7</v>
      </c>
      <c r="G9" s="30" t="str">
        <f aca="false">IF($C9="","",IFERROR(IF(INDEX(links!$A$2:$A$501,MATCH($C9,links!$D$2:$D$501,0))="","",INDEX(links!$A$2:$A$501,MATCH($C9,links!$D$2:$D$501,0))),""))</f>
        <v>SAMPLE-CMP-001</v>
      </c>
      <c r="H9" s="30" t="str">
        <f aca="false">IF($C9="","",IFERROR(IF(INDEX(links!$B$2:$B$501,MATCH($C9,links!$D$2:$D$501,0))="","",INDEX(links!$B$2:$B$501,MATCH($C9,links!$D$2:$D$501,0))),""))</f>
        <v>SAMPLE-O-001</v>
      </c>
      <c r="I9" s="30" t="str">
        <f aca="false">IF($C9="","",IFERROR(IF(INDEX(links!$C$2:$C$501,MATCH($C9,links!$D$2:$D$501,0))="","",INDEX(links!$C$2:$C$501,MATCH($C9,links!$D$2:$D$501,0))),""))</f>
        <v>post</v>
      </c>
      <c r="J9" s="30" t="str">
        <f aca="false">IF($C9="","",IF($G9="","slug not in links; ","")&amp;IF($D9="","reading type missing; ","")&amp;IF(COUNTIFS(scans!$C$2:$C$1601,$C9,scans!$D$2:$D$1601,$D9)&gt;1,"two readings of this type: keep one; ",""))</f>
        <v/>
      </c>
    </row>
    <row r="10" customFormat="false" ht="15" hidden="false" customHeight="false" outlineLevel="0" collapsed="false">
      <c r="A10" s="11" t="n">
        <v>46398</v>
      </c>
      <c r="B10" s="38" t="n">
        <v>0.729166666666667</v>
      </c>
      <c r="C10" s="10" t="s">
        <v>1125</v>
      </c>
      <c r="D10" s="10" t="s">
        <v>1120</v>
      </c>
      <c r="E10" s="0" t="n">
        <v>1</v>
      </c>
      <c r="G10" s="30" t="str">
        <f aca="false">IF($C10="","",IFERROR(IF(INDEX(links!$A$2:$A$501,MATCH($C10,links!$D$2:$D$501,0))="","",INDEX(links!$A$2:$A$501,MATCH($C10,links!$D$2:$D$501,0))),""))</f>
        <v>SAMPLE-CMP-001</v>
      </c>
      <c r="H10" s="30" t="str">
        <f aca="false">IF($C10="","",IFERROR(IF(INDEX(links!$B$2:$B$501,MATCH($C10,links!$D$2:$D$501,0))="","",INDEX(links!$B$2:$B$501,MATCH($C10,links!$D$2:$D$501,0))),""))</f>
        <v>SAMPLE-O-002</v>
      </c>
      <c r="I10" s="30" t="str">
        <f aca="false">IF($C10="","",IFERROR(IF(INDEX(links!$C$2:$C$501,MATCH($C10,links!$D$2:$D$501,0))="","",INDEX(links!$C$2:$C$501,MATCH($C10,links!$D$2:$D$501,0))),""))</f>
        <v>qr</v>
      </c>
      <c r="J10" s="30" t="str">
        <f aca="false">IF($C10="","",IF($G10="","slug not in links; ","")&amp;IF($D10="","reading type missing; ","")&amp;IF(COUNTIFS(scans!$C$2:$C$1601,$C10,scans!$D$2:$D$1601,$D10)&gt;1,"two readings of this type: keep one; ",""))</f>
        <v/>
      </c>
    </row>
    <row r="11" customFormat="false" ht="15" hidden="false" customHeight="false" outlineLevel="0" collapsed="false">
      <c r="A11" s="11" t="n">
        <v>46401</v>
      </c>
      <c r="B11" s="38" t="n">
        <v>0.729166666666667</v>
      </c>
      <c r="C11" s="10" t="s">
        <v>1125</v>
      </c>
      <c r="D11" s="10" t="s">
        <v>1121</v>
      </c>
      <c r="E11" s="0" t="n">
        <v>4</v>
      </c>
      <c r="G11" s="30" t="str">
        <f aca="false">IF($C11="","",IFERROR(IF(INDEX(links!$A$2:$A$501,MATCH($C11,links!$D$2:$D$501,0))="","",INDEX(links!$A$2:$A$501,MATCH($C11,links!$D$2:$D$501,0))),""))</f>
        <v>SAMPLE-CMP-001</v>
      </c>
      <c r="H11" s="30" t="str">
        <f aca="false">IF($C11="","",IFERROR(IF(INDEX(links!$B$2:$B$501,MATCH($C11,links!$D$2:$D$501,0))="","",INDEX(links!$B$2:$B$501,MATCH($C11,links!$D$2:$D$501,0))),""))</f>
        <v>SAMPLE-O-002</v>
      </c>
      <c r="I11" s="30" t="str">
        <f aca="false">IF($C11="","",IFERROR(IF(INDEX(links!$C$2:$C$501,MATCH($C11,links!$D$2:$D$501,0))="","",INDEX(links!$C$2:$C$501,MATCH($C11,links!$D$2:$D$501,0))),""))</f>
        <v>qr</v>
      </c>
      <c r="J11" s="30" t="str">
        <f aca="false">IF($C11="","",IF($G11="","slug not in links; ","")&amp;IF($D11="","reading type missing; ","")&amp;IF(COUNTIFS(scans!$C$2:$C$1601,$C11,scans!$D$2:$D$1601,$D11)&gt;1,"two readings of this type: keep one; ",""))</f>
        <v/>
      </c>
    </row>
    <row r="12" customFormat="false" ht="15" hidden="false" customHeight="false" outlineLevel="0" collapsed="false">
      <c r="A12" s="11" t="n">
        <v>46406</v>
      </c>
      <c r="B12" s="38" t="n">
        <v>0.729166666666667</v>
      </c>
      <c r="C12" s="10" t="s">
        <v>1125</v>
      </c>
      <c r="D12" s="10" t="s">
        <v>1122</v>
      </c>
      <c r="E12" s="0" t="n">
        <v>8</v>
      </c>
      <c r="G12" s="30" t="str">
        <f aca="false">IF($C12="","",IFERROR(IF(INDEX(links!$A$2:$A$501,MATCH($C12,links!$D$2:$D$501,0))="","",INDEX(links!$A$2:$A$501,MATCH($C12,links!$D$2:$D$501,0))),""))</f>
        <v>SAMPLE-CMP-001</v>
      </c>
      <c r="H12" s="30" t="str">
        <f aca="false">IF($C12="","",IFERROR(IF(INDEX(links!$B$2:$B$501,MATCH($C12,links!$D$2:$D$501,0))="","",INDEX(links!$B$2:$B$501,MATCH($C12,links!$D$2:$D$501,0))),""))</f>
        <v>SAMPLE-O-002</v>
      </c>
      <c r="I12" s="30" t="str">
        <f aca="false">IF($C12="","",IFERROR(IF(INDEX(links!$C$2:$C$501,MATCH($C12,links!$D$2:$D$501,0))="","",INDEX(links!$C$2:$C$501,MATCH($C12,links!$D$2:$D$501,0))),""))</f>
        <v>qr</v>
      </c>
      <c r="J12" s="30" t="str">
        <f aca="false">IF($C12="","",IF($G12="","slug not in links; ","")&amp;IF($D12="","reading type missing; ","")&amp;IF(COUNTIFS(scans!$C$2:$C$1601,$C12,scans!$D$2:$D$1601,$D12)&gt;1,"two readings of this type: keep one; ",""))</f>
        <v/>
      </c>
    </row>
    <row r="13" customFormat="false" ht="15" hidden="false" customHeight="false" outlineLevel="0" collapsed="false">
      <c r="A13" s="11" t="n">
        <v>46409</v>
      </c>
      <c r="B13" s="38" t="n">
        <v>0.729166666666667</v>
      </c>
      <c r="C13" s="10" t="s">
        <v>1125</v>
      </c>
      <c r="D13" s="10" t="s">
        <v>1123</v>
      </c>
      <c r="E13" s="0" t="n">
        <v>9</v>
      </c>
      <c r="G13" s="30" t="str">
        <f aca="false">IF($C13="","",IFERROR(IF(INDEX(links!$A$2:$A$501,MATCH($C13,links!$D$2:$D$501,0))="","",INDEX(links!$A$2:$A$501,MATCH($C13,links!$D$2:$D$501,0))),""))</f>
        <v>SAMPLE-CMP-001</v>
      </c>
      <c r="H13" s="30" t="str">
        <f aca="false">IF($C13="","",IFERROR(IF(INDEX(links!$B$2:$B$501,MATCH($C13,links!$D$2:$D$501,0))="","",INDEX(links!$B$2:$B$501,MATCH($C13,links!$D$2:$D$501,0))),""))</f>
        <v>SAMPLE-O-002</v>
      </c>
      <c r="I13" s="30" t="str">
        <f aca="false">IF($C13="","",IFERROR(IF(INDEX(links!$C$2:$C$501,MATCH($C13,links!$D$2:$D$501,0))="","",INDEX(links!$C$2:$C$501,MATCH($C13,links!$D$2:$D$501,0))),""))</f>
        <v>qr</v>
      </c>
      <c r="J13" s="30" t="str">
        <f aca="false">IF($C13="","",IF($G13="","slug not in links; ","")&amp;IF($D13="","reading type missing; ","")&amp;IF(COUNTIFS(scans!$C$2:$C$1601,$C13,scans!$D$2:$D$1601,$D13)&gt;1,"two readings of this type: keep one; ",""))</f>
        <v/>
      </c>
    </row>
    <row r="14" customFormat="false" ht="15" hidden="false" customHeight="false" outlineLevel="0" collapsed="false">
      <c r="A14" s="11" t="n">
        <v>46398</v>
      </c>
      <c r="B14" s="38" t="n">
        <v>0.729166666666667</v>
      </c>
      <c r="C14" s="10" t="s">
        <v>1126</v>
      </c>
      <c r="D14" s="10" t="s">
        <v>1120</v>
      </c>
      <c r="E14" s="0" t="n">
        <v>1</v>
      </c>
      <c r="G14" s="30" t="str">
        <f aca="false">IF($C14="","",IFERROR(IF(INDEX(links!$A$2:$A$501,MATCH($C14,links!$D$2:$D$501,0))="","",INDEX(links!$A$2:$A$501,MATCH($C14,links!$D$2:$D$501,0))),""))</f>
        <v>SAMPLE-CMP-001</v>
      </c>
      <c r="H14" s="30" t="str">
        <f aca="false">IF($C14="","",IFERROR(IF(INDEX(links!$B$2:$B$501,MATCH($C14,links!$D$2:$D$501,0))="","",INDEX(links!$B$2:$B$501,MATCH($C14,links!$D$2:$D$501,0))),""))</f>
        <v>SAMPLE-O-002</v>
      </c>
      <c r="I14" s="30" t="str">
        <f aca="false">IF($C14="","",IFERROR(IF(INDEX(links!$C$2:$C$501,MATCH($C14,links!$D$2:$D$501,0))="","",INDEX(links!$C$2:$C$501,MATCH($C14,links!$D$2:$D$501,0))),""))</f>
        <v>post</v>
      </c>
      <c r="J14" s="30" t="str">
        <f aca="false">IF($C14="","",IF($G14="","slug not in links; ","")&amp;IF($D14="","reading type missing; ","")&amp;IF(COUNTIFS(scans!$C$2:$C$1601,$C14,scans!$D$2:$D$1601,$D14)&gt;1,"two readings of this type: keep one; ",""))</f>
        <v/>
      </c>
    </row>
    <row r="15" customFormat="false" ht="15" hidden="false" customHeight="false" outlineLevel="0" collapsed="false">
      <c r="A15" s="11" t="n">
        <v>46401</v>
      </c>
      <c r="B15" s="38" t="n">
        <v>0.729166666666667</v>
      </c>
      <c r="C15" s="10" t="s">
        <v>1126</v>
      </c>
      <c r="D15" s="10" t="s">
        <v>1121</v>
      </c>
      <c r="E15" s="0" t="n">
        <v>1</v>
      </c>
      <c r="G15" s="30" t="str">
        <f aca="false">IF($C15="","",IFERROR(IF(INDEX(links!$A$2:$A$501,MATCH($C15,links!$D$2:$D$501,0))="","",INDEX(links!$A$2:$A$501,MATCH($C15,links!$D$2:$D$501,0))),""))</f>
        <v>SAMPLE-CMP-001</v>
      </c>
      <c r="H15" s="30" t="str">
        <f aca="false">IF($C15="","",IFERROR(IF(INDEX(links!$B$2:$B$501,MATCH($C15,links!$D$2:$D$501,0))="","",INDEX(links!$B$2:$B$501,MATCH($C15,links!$D$2:$D$501,0))),""))</f>
        <v>SAMPLE-O-002</v>
      </c>
      <c r="I15" s="30" t="str">
        <f aca="false">IF($C15="","",IFERROR(IF(INDEX(links!$C$2:$C$501,MATCH($C15,links!$D$2:$D$501,0))="","",INDEX(links!$C$2:$C$501,MATCH($C15,links!$D$2:$D$501,0))),""))</f>
        <v>post</v>
      </c>
      <c r="J15" s="30" t="str">
        <f aca="false">IF($C15="","",IF($G15="","slug not in links; ","")&amp;IF($D15="","reading type missing; ","")&amp;IF(COUNTIFS(scans!$C$2:$C$1601,$C15,scans!$D$2:$D$1601,$D15)&gt;1,"two readings of this type: keep one; ",""))</f>
        <v/>
      </c>
    </row>
    <row r="16" customFormat="false" ht="15" hidden="false" customHeight="false" outlineLevel="0" collapsed="false">
      <c r="A16" s="11" t="n">
        <v>46406</v>
      </c>
      <c r="B16" s="38" t="n">
        <v>0.729166666666667</v>
      </c>
      <c r="C16" s="10" t="s">
        <v>1126</v>
      </c>
      <c r="D16" s="10" t="s">
        <v>1122</v>
      </c>
      <c r="E16" s="0" t="n">
        <v>3</v>
      </c>
      <c r="G16" s="30" t="str">
        <f aca="false">IF($C16="","",IFERROR(IF(INDEX(links!$A$2:$A$501,MATCH($C16,links!$D$2:$D$501,0))="","",INDEX(links!$A$2:$A$501,MATCH($C16,links!$D$2:$D$501,0))),""))</f>
        <v>SAMPLE-CMP-001</v>
      </c>
      <c r="H16" s="30" t="str">
        <f aca="false">IF($C16="","",IFERROR(IF(INDEX(links!$B$2:$B$501,MATCH($C16,links!$D$2:$D$501,0))="","",INDEX(links!$B$2:$B$501,MATCH($C16,links!$D$2:$D$501,0))),""))</f>
        <v>SAMPLE-O-002</v>
      </c>
      <c r="I16" s="30" t="str">
        <f aca="false">IF($C16="","",IFERROR(IF(INDEX(links!$C$2:$C$501,MATCH($C16,links!$D$2:$D$501,0))="","",INDEX(links!$C$2:$C$501,MATCH($C16,links!$D$2:$D$501,0))),""))</f>
        <v>post</v>
      </c>
      <c r="J16" s="30" t="str">
        <f aca="false">IF($C16="","",IF($G16="","slug not in links; ","")&amp;IF($D16="","reading type missing; ","")&amp;IF(COUNTIFS(scans!$C$2:$C$1601,$C16,scans!$D$2:$D$1601,$D16)&gt;1,"two readings of this type: keep one; ",""))</f>
        <v/>
      </c>
    </row>
    <row r="17" customFormat="false" ht="15" hidden="false" customHeight="false" outlineLevel="0" collapsed="false">
      <c r="A17" s="11" t="n">
        <v>46409</v>
      </c>
      <c r="B17" s="38" t="n">
        <v>0.729166666666667</v>
      </c>
      <c r="C17" s="10" t="s">
        <v>1126</v>
      </c>
      <c r="D17" s="10" t="s">
        <v>1123</v>
      </c>
      <c r="E17" s="0" t="n">
        <v>4</v>
      </c>
      <c r="G17" s="30" t="str">
        <f aca="false">IF($C17="","",IFERROR(IF(INDEX(links!$A$2:$A$501,MATCH($C17,links!$D$2:$D$501,0))="","",INDEX(links!$A$2:$A$501,MATCH($C17,links!$D$2:$D$501,0))),""))</f>
        <v>SAMPLE-CMP-001</v>
      </c>
      <c r="H17" s="30" t="str">
        <f aca="false">IF($C17="","",IFERROR(IF(INDEX(links!$B$2:$B$501,MATCH($C17,links!$D$2:$D$501,0))="","",INDEX(links!$B$2:$B$501,MATCH($C17,links!$D$2:$D$501,0))),""))</f>
        <v>SAMPLE-O-002</v>
      </c>
      <c r="I17" s="30" t="str">
        <f aca="false">IF($C17="","",IFERROR(IF(INDEX(links!$C$2:$C$501,MATCH($C17,links!$D$2:$D$501,0))="","",INDEX(links!$C$2:$C$501,MATCH($C17,links!$D$2:$D$501,0))),""))</f>
        <v>post</v>
      </c>
      <c r="J17" s="30" t="str">
        <f aca="false">IF($C17="","",IF($G17="","slug not in links; ","")&amp;IF($D17="","reading type missing; ","")&amp;IF(COUNTIFS(scans!$C$2:$C$1601,$C17,scans!$D$2:$D$1601,$D17)&gt;1,"two readings of this type: keep one; ",""))</f>
        <v/>
      </c>
    </row>
    <row r="18" customFormat="false" ht="15" hidden="false" customHeight="false" outlineLevel="0" collapsed="false">
      <c r="A18" s="11" t="n">
        <v>46398</v>
      </c>
      <c r="B18" s="38" t="n">
        <v>0.729166666666667</v>
      </c>
      <c r="C18" s="10" t="s">
        <v>1127</v>
      </c>
      <c r="D18" s="10" t="s">
        <v>1120</v>
      </c>
      <c r="E18" s="0" t="n">
        <v>1</v>
      </c>
      <c r="G18" s="30" t="str">
        <f aca="false">IF($C18="","",IFERROR(IF(INDEX(links!$A$2:$A$501,MATCH($C18,links!$D$2:$D$501,0))="","",INDEX(links!$A$2:$A$501,MATCH($C18,links!$D$2:$D$501,0))),""))</f>
        <v>SAMPLE-CMP-001</v>
      </c>
      <c r="H18" s="30" t="str">
        <f aca="false">IF($C18="","",IFERROR(IF(INDEX(links!$B$2:$B$501,MATCH($C18,links!$D$2:$D$501,0))="","",INDEX(links!$B$2:$B$501,MATCH($C18,links!$D$2:$D$501,0))),""))</f>
        <v>SAMPLE-O-003</v>
      </c>
      <c r="I18" s="30" t="str">
        <f aca="false">IF($C18="","",IFERROR(IF(INDEX(links!$C$2:$C$501,MATCH($C18,links!$D$2:$D$501,0))="","",INDEX(links!$C$2:$C$501,MATCH($C18,links!$D$2:$D$501,0))),""))</f>
        <v>qr</v>
      </c>
      <c r="J18" s="30" t="str">
        <f aca="false">IF($C18="","",IF($G18="","slug not in links; ","")&amp;IF($D18="","reading type missing; ","")&amp;IF(COUNTIFS(scans!$C$2:$C$1601,$C18,scans!$D$2:$D$1601,$D18)&gt;1,"two readings of this type: keep one; ",""))</f>
        <v/>
      </c>
    </row>
    <row r="19" customFormat="false" ht="15" hidden="false" customHeight="false" outlineLevel="0" collapsed="false">
      <c r="A19" s="11" t="n">
        <v>46401</v>
      </c>
      <c r="B19" s="38" t="n">
        <v>0.729166666666667</v>
      </c>
      <c r="C19" s="10" t="s">
        <v>1127</v>
      </c>
      <c r="D19" s="10" t="s">
        <v>1121</v>
      </c>
      <c r="E19" s="0" t="n">
        <v>6</v>
      </c>
      <c r="G19" s="30" t="str">
        <f aca="false">IF($C19="","",IFERROR(IF(INDEX(links!$A$2:$A$501,MATCH($C19,links!$D$2:$D$501,0))="","",INDEX(links!$A$2:$A$501,MATCH($C19,links!$D$2:$D$501,0))),""))</f>
        <v>SAMPLE-CMP-001</v>
      </c>
      <c r="H19" s="30" t="str">
        <f aca="false">IF($C19="","",IFERROR(IF(INDEX(links!$B$2:$B$501,MATCH($C19,links!$D$2:$D$501,0))="","",INDEX(links!$B$2:$B$501,MATCH($C19,links!$D$2:$D$501,0))),""))</f>
        <v>SAMPLE-O-003</v>
      </c>
      <c r="I19" s="30" t="str">
        <f aca="false">IF($C19="","",IFERROR(IF(INDEX(links!$C$2:$C$501,MATCH($C19,links!$D$2:$D$501,0))="","",INDEX(links!$C$2:$C$501,MATCH($C19,links!$D$2:$D$501,0))),""))</f>
        <v>qr</v>
      </c>
      <c r="J19" s="30" t="str">
        <f aca="false">IF($C19="","",IF($G19="","slug not in links; ","")&amp;IF($D19="","reading type missing; ","")&amp;IF(COUNTIFS(scans!$C$2:$C$1601,$C19,scans!$D$2:$D$1601,$D19)&gt;1,"two readings of this type: keep one; ",""))</f>
        <v/>
      </c>
    </row>
    <row r="20" customFormat="false" ht="15" hidden="false" customHeight="false" outlineLevel="0" collapsed="false">
      <c r="A20" s="11" t="n">
        <v>46406</v>
      </c>
      <c r="B20" s="38" t="n">
        <v>0.729166666666667</v>
      </c>
      <c r="C20" s="10" t="s">
        <v>1127</v>
      </c>
      <c r="D20" s="10" t="s">
        <v>1122</v>
      </c>
      <c r="E20" s="0" t="n">
        <v>12</v>
      </c>
      <c r="G20" s="30" t="str">
        <f aca="false">IF($C20="","",IFERROR(IF(INDEX(links!$A$2:$A$501,MATCH($C20,links!$D$2:$D$501,0))="","",INDEX(links!$A$2:$A$501,MATCH($C20,links!$D$2:$D$501,0))),""))</f>
        <v>SAMPLE-CMP-001</v>
      </c>
      <c r="H20" s="30" t="str">
        <f aca="false">IF($C20="","",IFERROR(IF(INDEX(links!$B$2:$B$501,MATCH($C20,links!$D$2:$D$501,0))="","",INDEX(links!$B$2:$B$501,MATCH($C20,links!$D$2:$D$501,0))),""))</f>
        <v>SAMPLE-O-003</v>
      </c>
      <c r="I20" s="30" t="str">
        <f aca="false">IF($C20="","",IFERROR(IF(INDEX(links!$C$2:$C$501,MATCH($C20,links!$D$2:$D$501,0))="","",INDEX(links!$C$2:$C$501,MATCH($C20,links!$D$2:$D$501,0))),""))</f>
        <v>qr</v>
      </c>
      <c r="J20" s="30" t="str">
        <f aca="false">IF($C20="","",IF($G20="","slug not in links; ","")&amp;IF($D20="","reading type missing; ","")&amp;IF(COUNTIFS(scans!$C$2:$C$1601,$C20,scans!$D$2:$D$1601,$D20)&gt;1,"two readings of this type: keep one; ",""))</f>
        <v/>
      </c>
    </row>
    <row r="21" customFormat="false" ht="15" hidden="false" customHeight="false" outlineLevel="0" collapsed="false">
      <c r="A21" s="11" t="n">
        <v>46409</v>
      </c>
      <c r="B21" s="38" t="n">
        <v>0.729166666666667</v>
      </c>
      <c r="C21" s="10" t="s">
        <v>1127</v>
      </c>
      <c r="D21" s="10" t="s">
        <v>1123</v>
      </c>
      <c r="E21" s="0" t="n">
        <v>13</v>
      </c>
      <c r="G21" s="30" t="str">
        <f aca="false">IF($C21="","",IFERROR(IF(INDEX(links!$A$2:$A$501,MATCH($C21,links!$D$2:$D$501,0))="","",INDEX(links!$A$2:$A$501,MATCH($C21,links!$D$2:$D$501,0))),""))</f>
        <v>SAMPLE-CMP-001</v>
      </c>
      <c r="H21" s="30" t="str">
        <f aca="false">IF($C21="","",IFERROR(IF(INDEX(links!$B$2:$B$501,MATCH($C21,links!$D$2:$D$501,0))="","",INDEX(links!$B$2:$B$501,MATCH($C21,links!$D$2:$D$501,0))),""))</f>
        <v>SAMPLE-O-003</v>
      </c>
      <c r="I21" s="30" t="str">
        <f aca="false">IF($C21="","",IFERROR(IF(INDEX(links!$C$2:$C$501,MATCH($C21,links!$D$2:$D$501,0))="","",INDEX(links!$C$2:$C$501,MATCH($C21,links!$D$2:$D$501,0))),""))</f>
        <v>qr</v>
      </c>
      <c r="J21" s="30" t="str">
        <f aca="false">IF($C21="","",IF($G21="","slug not in links; ","")&amp;IF($D21="","reading type missing; ","")&amp;IF(COUNTIFS(scans!$C$2:$C$1601,$C21,scans!$D$2:$D$1601,$D21)&gt;1,"two readings of this type: keep one; ",""))</f>
        <v/>
      </c>
    </row>
    <row r="22" customFormat="false" ht="15" hidden="false" customHeight="false" outlineLevel="0" collapsed="false">
      <c r="A22" s="11" t="n">
        <v>46398</v>
      </c>
      <c r="B22" s="38" t="n">
        <v>0.729166666666667</v>
      </c>
      <c r="C22" s="10" t="s">
        <v>1128</v>
      </c>
      <c r="D22" s="10" t="s">
        <v>1120</v>
      </c>
      <c r="E22" s="0" t="n">
        <v>1</v>
      </c>
      <c r="G22" s="30" t="str">
        <f aca="false">IF($C22="","",IFERROR(IF(INDEX(links!$A$2:$A$501,MATCH($C22,links!$D$2:$D$501,0))="","",INDEX(links!$A$2:$A$501,MATCH($C22,links!$D$2:$D$501,0))),""))</f>
        <v>SAMPLE-CMP-001</v>
      </c>
      <c r="H22" s="30" t="str">
        <f aca="false">IF($C22="","",IFERROR(IF(INDEX(links!$B$2:$B$501,MATCH($C22,links!$D$2:$D$501,0))="","",INDEX(links!$B$2:$B$501,MATCH($C22,links!$D$2:$D$501,0))),""))</f>
        <v>SAMPLE-O-003</v>
      </c>
      <c r="I22" s="30" t="str">
        <f aca="false">IF($C22="","",IFERROR(IF(INDEX(links!$C$2:$C$501,MATCH($C22,links!$D$2:$D$501,0))="","",INDEX(links!$C$2:$C$501,MATCH($C22,links!$D$2:$D$501,0))),""))</f>
        <v>post</v>
      </c>
      <c r="J22" s="30" t="str">
        <f aca="false">IF($C22="","",IF($G22="","slug not in links; ","")&amp;IF($D22="","reading type missing; ","")&amp;IF(COUNTIFS(scans!$C$2:$C$1601,$C22,scans!$D$2:$D$1601,$D22)&gt;1,"two readings of this type: keep one; ",""))</f>
        <v/>
      </c>
    </row>
    <row r="23" customFormat="false" ht="15" hidden="false" customHeight="false" outlineLevel="0" collapsed="false">
      <c r="A23" s="11" t="n">
        <v>46401</v>
      </c>
      <c r="B23" s="38" t="n">
        <v>0.729166666666667</v>
      </c>
      <c r="C23" s="10" t="s">
        <v>1128</v>
      </c>
      <c r="D23" s="10" t="s">
        <v>1121</v>
      </c>
      <c r="E23" s="0" t="n">
        <v>3</v>
      </c>
      <c r="G23" s="30" t="str">
        <f aca="false">IF($C23="","",IFERROR(IF(INDEX(links!$A$2:$A$501,MATCH($C23,links!$D$2:$D$501,0))="","",INDEX(links!$A$2:$A$501,MATCH($C23,links!$D$2:$D$501,0))),""))</f>
        <v>SAMPLE-CMP-001</v>
      </c>
      <c r="H23" s="30" t="str">
        <f aca="false">IF($C23="","",IFERROR(IF(INDEX(links!$B$2:$B$501,MATCH($C23,links!$D$2:$D$501,0))="","",INDEX(links!$B$2:$B$501,MATCH($C23,links!$D$2:$D$501,0))),""))</f>
        <v>SAMPLE-O-003</v>
      </c>
      <c r="I23" s="30" t="str">
        <f aca="false">IF($C23="","",IFERROR(IF(INDEX(links!$C$2:$C$501,MATCH($C23,links!$D$2:$D$501,0))="","",INDEX(links!$C$2:$C$501,MATCH($C23,links!$D$2:$D$501,0))),""))</f>
        <v>post</v>
      </c>
      <c r="J23" s="30" t="str">
        <f aca="false">IF($C23="","",IF($G23="","slug not in links; ","")&amp;IF($D23="","reading type missing; ","")&amp;IF(COUNTIFS(scans!$C$2:$C$1601,$C23,scans!$D$2:$D$1601,$D23)&gt;1,"two readings of this type: keep one; ",""))</f>
        <v/>
      </c>
    </row>
    <row r="24" customFormat="false" ht="15" hidden="false" customHeight="false" outlineLevel="0" collapsed="false">
      <c r="A24" s="11" t="n">
        <v>46406</v>
      </c>
      <c r="B24" s="38" t="n">
        <v>0.729166666666667</v>
      </c>
      <c r="C24" s="10" t="s">
        <v>1128</v>
      </c>
      <c r="D24" s="10" t="s">
        <v>1122</v>
      </c>
      <c r="E24" s="0" t="n">
        <v>7</v>
      </c>
      <c r="G24" s="30" t="str">
        <f aca="false">IF($C24="","",IFERROR(IF(INDEX(links!$A$2:$A$501,MATCH($C24,links!$D$2:$D$501,0))="","",INDEX(links!$A$2:$A$501,MATCH($C24,links!$D$2:$D$501,0))),""))</f>
        <v>SAMPLE-CMP-001</v>
      </c>
      <c r="H24" s="30" t="str">
        <f aca="false">IF($C24="","",IFERROR(IF(INDEX(links!$B$2:$B$501,MATCH($C24,links!$D$2:$D$501,0))="","",INDEX(links!$B$2:$B$501,MATCH($C24,links!$D$2:$D$501,0))),""))</f>
        <v>SAMPLE-O-003</v>
      </c>
      <c r="I24" s="30" t="str">
        <f aca="false">IF($C24="","",IFERROR(IF(INDEX(links!$C$2:$C$501,MATCH($C24,links!$D$2:$D$501,0))="","",INDEX(links!$C$2:$C$501,MATCH($C24,links!$D$2:$D$501,0))),""))</f>
        <v>post</v>
      </c>
      <c r="J24" s="30" t="str">
        <f aca="false">IF($C24="","",IF($G24="","slug not in links; ","")&amp;IF($D24="","reading type missing; ","")&amp;IF(COUNTIFS(scans!$C$2:$C$1601,$C24,scans!$D$2:$D$1601,$D24)&gt;1,"two readings of this type: keep one; ",""))</f>
        <v/>
      </c>
    </row>
    <row r="25" customFormat="false" ht="15" hidden="false" customHeight="false" outlineLevel="0" collapsed="false">
      <c r="A25" s="11" t="n">
        <v>46409</v>
      </c>
      <c r="B25" s="38" t="n">
        <v>0.729166666666667</v>
      </c>
      <c r="C25" s="10" t="s">
        <v>1128</v>
      </c>
      <c r="D25" s="10" t="s">
        <v>1123</v>
      </c>
      <c r="E25" s="0" t="n">
        <v>8</v>
      </c>
      <c r="G25" s="30" t="str">
        <f aca="false">IF($C25="","",IFERROR(IF(INDEX(links!$A$2:$A$501,MATCH($C25,links!$D$2:$D$501,0))="","",INDEX(links!$A$2:$A$501,MATCH($C25,links!$D$2:$D$501,0))),""))</f>
        <v>SAMPLE-CMP-001</v>
      </c>
      <c r="H25" s="30" t="str">
        <f aca="false">IF($C25="","",IFERROR(IF(INDEX(links!$B$2:$B$501,MATCH($C25,links!$D$2:$D$501,0))="","",INDEX(links!$B$2:$B$501,MATCH($C25,links!$D$2:$D$501,0))),""))</f>
        <v>SAMPLE-O-003</v>
      </c>
      <c r="I25" s="30" t="str">
        <f aca="false">IF($C25="","",IFERROR(IF(INDEX(links!$C$2:$C$501,MATCH($C25,links!$D$2:$D$501,0))="","",INDEX(links!$C$2:$C$501,MATCH($C25,links!$D$2:$D$501,0))),""))</f>
        <v>post</v>
      </c>
      <c r="J25" s="30" t="str">
        <f aca="false">IF($C25="","",IF($G25="","slug not in links; ","")&amp;IF($D25="","reading type missing; ","")&amp;IF(COUNTIFS(scans!$C$2:$C$1601,$C25,scans!$D$2:$D$1601,$D25)&gt;1,"two readings of this type: keep one; ",""))</f>
        <v/>
      </c>
    </row>
    <row r="26" customFormat="false" ht="15" hidden="false" customHeight="false" outlineLevel="0" collapsed="false">
      <c r="A26" s="11" t="n">
        <v>46398</v>
      </c>
      <c r="B26" s="38" t="n">
        <v>0.729166666666667</v>
      </c>
      <c r="C26" s="10" t="s">
        <v>1129</v>
      </c>
      <c r="D26" s="10" t="s">
        <v>1120</v>
      </c>
      <c r="E26" s="0" t="n">
        <v>1</v>
      </c>
      <c r="G26" s="30" t="str">
        <f aca="false">IF($C26="","",IFERROR(IF(INDEX(links!$A$2:$A$501,MATCH($C26,links!$D$2:$D$501,0))="","",INDEX(links!$A$2:$A$501,MATCH($C26,links!$D$2:$D$501,0))),""))</f>
        <v>SAMPLE-CMP-001</v>
      </c>
      <c r="H26" s="30" t="str">
        <f aca="false">IF($C26="","",IFERROR(IF(INDEX(links!$B$2:$B$501,MATCH($C26,links!$D$2:$D$501,0))="","",INDEX(links!$B$2:$B$501,MATCH($C26,links!$D$2:$D$501,0))),""))</f>
        <v>SAMPLE-O-004</v>
      </c>
      <c r="I26" s="30" t="str">
        <f aca="false">IF($C26="","",IFERROR(IF(INDEX(links!$C$2:$C$501,MATCH($C26,links!$D$2:$D$501,0))="","",INDEX(links!$C$2:$C$501,MATCH($C26,links!$D$2:$D$501,0))),""))</f>
        <v>qr</v>
      </c>
      <c r="J26" s="30" t="str">
        <f aca="false">IF($C26="","",IF($G26="","slug not in links; ","")&amp;IF($D26="","reading type missing; ","")&amp;IF(COUNTIFS(scans!$C$2:$C$1601,$C26,scans!$D$2:$D$1601,$D26)&gt;1,"two readings of this type: keep one; ",""))</f>
        <v/>
      </c>
    </row>
    <row r="27" customFormat="false" ht="15" hidden="false" customHeight="false" outlineLevel="0" collapsed="false">
      <c r="A27" s="11" t="n">
        <v>46401</v>
      </c>
      <c r="B27" s="38" t="n">
        <v>0.729166666666667</v>
      </c>
      <c r="C27" s="10" t="s">
        <v>1129</v>
      </c>
      <c r="D27" s="10" t="s">
        <v>1121</v>
      </c>
      <c r="E27" s="0" t="n">
        <v>2</v>
      </c>
      <c r="G27" s="30" t="str">
        <f aca="false">IF($C27="","",IFERROR(IF(INDEX(links!$A$2:$A$501,MATCH($C27,links!$D$2:$D$501,0))="","",INDEX(links!$A$2:$A$501,MATCH($C27,links!$D$2:$D$501,0))),""))</f>
        <v>SAMPLE-CMP-001</v>
      </c>
      <c r="H27" s="30" t="str">
        <f aca="false">IF($C27="","",IFERROR(IF(INDEX(links!$B$2:$B$501,MATCH($C27,links!$D$2:$D$501,0))="","",INDEX(links!$B$2:$B$501,MATCH($C27,links!$D$2:$D$501,0))),""))</f>
        <v>SAMPLE-O-004</v>
      </c>
      <c r="I27" s="30" t="str">
        <f aca="false">IF($C27="","",IFERROR(IF(INDEX(links!$C$2:$C$501,MATCH($C27,links!$D$2:$D$501,0))="","",INDEX(links!$C$2:$C$501,MATCH($C27,links!$D$2:$D$501,0))),""))</f>
        <v>qr</v>
      </c>
      <c r="J27" s="30" t="str">
        <f aca="false">IF($C27="","",IF($G27="","slug not in links; ","")&amp;IF($D27="","reading type missing; ","")&amp;IF(COUNTIFS(scans!$C$2:$C$1601,$C27,scans!$D$2:$D$1601,$D27)&gt;1,"two readings of this type: keep one; ",""))</f>
        <v/>
      </c>
    </row>
    <row r="28" customFormat="false" ht="15" hidden="false" customHeight="false" outlineLevel="0" collapsed="false">
      <c r="A28" s="11" t="n">
        <v>46406</v>
      </c>
      <c r="B28" s="38" t="n">
        <v>0.729166666666667</v>
      </c>
      <c r="C28" s="10" t="s">
        <v>1129</v>
      </c>
      <c r="D28" s="10" t="s">
        <v>1122</v>
      </c>
      <c r="E28" s="0" t="n">
        <v>5</v>
      </c>
      <c r="G28" s="30" t="str">
        <f aca="false">IF($C28="","",IFERROR(IF(INDEX(links!$A$2:$A$501,MATCH($C28,links!$D$2:$D$501,0))="","",INDEX(links!$A$2:$A$501,MATCH($C28,links!$D$2:$D$501,0))),""))</f>
        <v>SAMPLE-CMP-001</v>
      </c>
      <c r="H28" s="30" t="str">
        <f aca="false">IF($C28="","",IFERROR(IF(INDEX(links!$B$2:$B$501,MATCH($C28,links!$D$2:$D$501,0))="","",INDEX(links!$B$2:$B$501,MATCH($C28,links!$D$2:$D$501,0))),""))</f>
        <v>SAMPLE-O-004</v>
      </c>
      <c r="I28" s="30" t="str">
        <f aca="false">IF($C28="","",IFERROR(IF(INDEX(links!$C$2:$C$501,MATCH($C28,links!$D$2:$D$501,0))="","",INDEX(links!$C$2:$C$501,MATCH($C28,links!$D$2:$D$501,0))),""))</f>
        <v>qr</v>
      </c>
      <c r="J28" s="30" t="str">
        <f aca="false">IF($C28="","",IF($G28="","slug not in links; ","")&amp;IF($D28="","reading type missing; ","")&amp;IF(COUNTIFS(scans!$C$2:$C$1601,$C28,scans!$D$2:$D$1601,$D28)&gt;1,"two readings of this type: keep one; ",""))</f>
        <v/>
      </c>
    </row>
    <row r="29" customFormat="false" ht="15" hidden="false" customHeight="false" outlineLevel="0" collapsed="false">
      <c r="A29" s="11" t="n">
        <v>46409</v>
      </c>
      <c r="B29" s="38" t="n">
        <v>0.729166666666667</v>
      </c>
      <c r="C29" s="10" t="s">
        <v>1129</v>
      </c>
      <c r="D29" s="10" t="s">
        <v>1123</v>
      </c>
      <c r="E29" s="0" t="n">
        <v>6</v>
      </c>
      <c r="G29" s="30" t="str">
        <f aca="false">IF($C29="","",IFERROR(IF(INDEX(links!$A$2:$A$501,MATCH($C29,links!$D$2:$D$501,0))="","",INDEX(links!$A$2:$A$501,MATCH($C29,links!$D$2:$D$501,0))),""))</f>
        <v>SAMPLE-CMP-001</v>
      </c>
      <c r="H29" s="30" t="str">
        <f aca="false">IF($C29="","",IFERROR(IF(INDEX(links!$B$2:$B$501,MATCH($C29,links!$D$2:$D$501,0))="","",INDEX(links!$B$2:$B$501,MATCH($C29,links!$D$2:$D$501,0))),""))</f>
        <v>SAMPLE-O-004</v>
      </c>
      <c r="I29" s="30" t="str">
        <f aca="false">IF($C29="","",IFERROR(IF(INDEX(links!$C$2:$C$501,MATCH($C29,links!$D$2:$D$501,0))="","",INDEX(links!$C$2:$C$501,MATCH($C29,links!$D$2:$D$501,0))),""))</f>
        <v>qr</v>
      </c>
      <c r="J29" s="30" t="str">
        <f aca="false">IF($C29="","",IF($G29="","slug not in links; ","")&amp;IF($D29="","reading type missing; ","")&amp;IF(COUNTIFS(scans!$C$2:$C$1601,$C29,scans!$D$2:$D$1601,$D29)&gt;1,"two readings of this type: keep one; ",""))</f>
        <v/>
      </c>
    </row>
    <row r="30" customFormat="false" ht="15" hidden="false" customHeight="false" outlineLevel="0" collapsed="false">
      <c r="A30" s="11" t="n">
        <v>46398</v>
      </c>
      <c r="B30" s="38" t="n">
        <v>0.729166666666667</v>
      </c>
      <c r="C30" s="10" t="s">
        <v>1130</v>
      </c>
      <c r="D30" s="10" t="s">
        <v>1120</v>
      </c>
      <c r="E30" s="0" t="n">
        <v>1</v>
      </c>
      <c r="G30" s="30" t="str">
        <f aca="false">IF($C30="","",IFERROR(IF(INDEX(links!$A$2:$A$501,MATCH($C30,links!$D$2:$D$501,0))="","",INDEX(links!$A$2:$A$501,MATCH($C30,links!$D$2:$D$501,0))),""))</f>
        <v>SAMPLE-CMP-001</v>
      </c>
      <c r="H30" s="30" t="str">
        <f aca="false">IF($C30="","",IFERROR(IF(INDEX(links!$B$2:$B$501,MATCH($C30,links!$D$2:$D$501,0))="","",INDEX(links!$B$2:$B$501,MATCH($C30,links!$D$2:$D$501,0))),""))</f>
        <v>SAMPLE-O-004</v>
      </c>
      <c r="I30" s="30" t="str">
        <f aca="false">IF($C30="","",IFERROR(IF(INDEX(links!$C$2:$C$501,MATCH($C30,links!$D$2:$D$501,0))="","",INDEX(links!$C$2:$C$501,MATCH($C30,links!$D$2:$D$501,0))),""))</f>
        <v>post</v>
      </c>
      <c r="J30" s="30" t="str">
        <f aca="false">IF($C30="","",IF($G30="","slug not in links; ","")&amp;IF($D30="","reading type missing; ","")&amp;IF(COUNTIFS(scans!$C$2:$C$1601,$C30,scans!$D$2:$D$1601,$D30)&gt;1,"two readings of this type: keep one; ",""))</f>
        <v/>
      </c>
    </row>
    <row r="31" customFormat="false" ht="15" hidden="false" customHeight="false" outlineLevel="0" collapsed="false">
      <c r="A31" s="11" t="n">
        <v>46401</v>
      </c>
      <c r="B31" s="38" t="n">
        <v>0.729166666666667</v>
      </c>
      <c r="C31" s="10" t="s">
        <v>1130</v>
      </c>
      <c r="D31" s="10" t="s">
        <v>1121</v>
      </c>
      <c r="E31" s="0" t="n">
        <v>1</v>
      </c>
      <c r="G31" s="30" t="str">
        <f aca="false">IF($C31="","",IFERROR(IF(INDEX(links!$A$2:$A$501,MATCH($C31,links!$D$2:$D$501,0))="","",INDEX(links!$A$2:$A$501,MATCH($C31,links!$D$2:$D$501,0))),""))</f>
        <v>SAMPLE-CMP-001</v>
      </c>
      <c r="H31" s="30" t="str">
        <f aca="false">IF($C31="","",IFERROR(IF(INDEX(links!$B$2:$B$501,MATCH($C31,links!$D$2:$D$501,0))="","",INDEX(links!$B$2:$B$501,MATCH($C31,links!$D$2:$D$501,0))),""))</f>
        <v>SAMPLE-O-004</v>
      </c>
      <c r="I31" s="30" t="str">
        <f aca="false">IF($C31="","",IFERROR(IF(INDEX(links!$C$2:$C$501,MATCH($C31,links!$D$2:$D$501,0))="","",INDEX(links!$C$2:$C$501,MATCH($C31,links!$D$2:$D$501,0))),""))</f>
        <v>post</v>
      </c>
      <c r="J31" s="30" t="str">
        <f aca="false">IF($C31="","",IF($G31="","slug not in links; ","")&amp;IF($D31="","reading type missing; ","")&amp;IF(COUNTIFS(scans!$C$2:$C$1601,$C31,scans!$D$2:$D$1601,$D31)&gt;1,"two readings of this type: keep one; ",""))</f>
        <v/>
      </c>
    </row>
    <row r="32" customFormat="false" ht="15" hidden="false" customHeight="false" outlineLevel="0" collapsed="false">
      <c r="A32" s="11" t="n">
        <v>46406</v>
      </c>
      <c r="B32" s="38" t="n">
        <v>0.729166666666667</v>
      </c>
      <c r="C32" s="10" t="s">
        <v>1130</v>
      </c>
      <c r="D32" s="10" t="s">
        <v>1122</v>
      </c>
      <c r="E32" s="0" t="n">
        <v>2</v>
      </c>
      <c r="G32" s="30" t="str">
        <f aca="false">IF($C32="","",IFERROR(IF(INDEX(links!$A$2:$A$501,MATCH($C32,links!$D$2:$D$501,0))="","",INDEX(links!$A$2:$A$501,MATCH($C32,links!$D$2:$D$501,0))),""))</f>
        <v>SAMPLE-CMP-001</v>
      </c>
      <c r="H32" s="30" t="str">
        <f aca="false">IF($C32="","",IFERROR(IF(INDEX(links!$B$2:$B$501,MATCH($C32,links!$D$2:$D$501,0))="","",INDEX(links!$B$2:$B$501,MATCH($C32,links!$D$2:$D$501,0))),""))</f>
        <v>SAMPLE-O-004</v>
      </c>
      <c r="I32" s="30" t="str">
        <f aca="false">IF($C32="","",IFERROR(IF(INDEX(links!$C$2:$C$501,MATCH($C32,links!$D$2:$D$501,0))="","",INDEX(links!$C$2:$C$501,MATCH($C32,links!$D$2:$D$501,0))),""))</f>
        <v>post</v>
      </c>
      <c r="J32" s="30" t="str">
        <f aca="false">IF($C32="","",IF($G32="","slug not in links; ","")&amp;IF($D32="","reading type missing; ","")&amp;IF(COUNTIFS(scans!$C$2:$C$1601,$C32,scans!$D$2:$D$1601,$D32)&gt;1,"two readings of this type: keep one; ",""))</f>
        <v/>
      </c>
    </row>
    <row r="33" customFormat="false" ht="15" hidden="false" customHeight="false" outlineLevel="0" collapsed="false">
      <c r="A33" s="11" t="n">
        <v>46409</v>
      </c>
      <c r="B33" s="38" t="n">
        <v>0.729166666666667</v>
      </c>
      <c r="C33" s="10" t="s">
        <v>1130</v>
      </c>
      <c r="D33" s="10" t="s">
        <v>1123</v>
      </c>
      <c r="E33" s="0" t="n">
        <v>3</v>
      </c>
      <c r="G33" s="30" t="str">
        <f aca="false">IF($C33="","",IFERROR(IF(INDEX(links!$A$2:$A$501,MATCH($C33,links!$D$2:$D$501,0))="","",INDEX(links!$A$2:$A$501,MATCH($C33,links!$D$2:$D$501,0))),""))</f>
        <v>SAMPLE-CMP-001</v>
      </c>
      <c r="H33" s="30" t="str">
        <f aca="false">IF($C33="","",IFERROR(IF(INDEX(links!$B$2:$B$501,MATCH($C33,links!$D$2:$D$501,0))="","",INDEX(links!$B$2:$B$501,MATCH($C33,links!$D$2:$D$501,0))),""))</f>
        <v>SAMPLE-O-004</v>
      </c>
      <c r="I33" s="30" t="str">
        <f aca="false">IF($C33="","",IFERROR(IF(INDEX(links!$C$2:$C$501,MATCH($C33,links!$D$2:$D$501,0))="","",INDEX(links!$C$2:$C$501,MATCH($C33,links!$D$2:$D$501,0))),""))</f>
        <v>post</v>
      </c>
      <c r="J33" s="30" t="str">
        <f aca="false">IF($C33="","",IF($G33="","slug not in links; ","")&amp;IF($D33="","reading type missing; ","")&amp;IF(COUNTIFS(scans!$C$2:$C$1601,$C33,scans!$D$2:$D$1601,$D33)&gt;1,"two readings of this type: keep one; ",""))</f>
        <v/>
      </c>
    </row>
    <row r="34" customFormat="false" ht="15" hidden="false" customHeight="false" outlineLevel="0" collapsed="false">
      <c r="A34" s="11" t="n">
        <v>46398</v>
      </c>
      <c r="B34" s="38" t="n">
        <v>0.729166666666667</v>
      </c>
      <c r="C34" s="10" t="s">
        <v>1131</v>
      </c>
      <c r="D34" s="10" t="s">
        <v>1120</v>
      </c>
      <c r="E34" s="0" t="n">
        <v>1</v>
      </c>
      <c r="G34" s="30" t="str">
        <f aca="false">IF($C34="","",IFERROR(IF(INDEX(links!$A$2:$A$501,MATCH($C34,links!$D$2:$D$501,0))="","",INDEX(links!$A$2:$A$501,MATCH($C34,links!$D$2:$D$501,0))),""))</f>
        <v>SAMPLE-CMP-001</v>
      </c>
      <c r="H34" s="30" t="str">
        <f aca="false">IF($C34="","",IFERROR(IF(INDEX(links!$B$2:$B$501,MATCH($C34,links!$D$2:$D$501,0))="","",INDEX(links!$B$2:$B$501,MATCH($C34,links!$D$2:$D$501,0))),""))</f>
        <v>SAMPLE-O-005</v>
      </c>
      <c r="I34" s="30" t="str">
        <f aca="false">IF($C34="","",IFERROR(IF(INDEX(links!$C$2:$C$501,MATCH($C34,links!$D$2:$D$501,0))="","",INDEX(links!$C$2:$C$501,MATCH($C34,links!$D$2:$D$501,0))),""))</f>
        <v>qr</v>
      </c>
      <c r="J34" s="30" t="str">
        <f aca="false">IF($C34="","",IF($G34="","slug not in links; ","")&amp;IF($D34="","reading type missing; ","")&amp;IF(COUNTIFS(scans!$C$2:$C$1601,$C34,scans!$D$2:$D$1601,$D34)&gt;1,"two readings of this type: keep one; ",""))</f>
        <v/>
      </c>
    </row>
    <row r="35" customFormat="false" ht="15" hidden="false" customHeight="false" outlineLevel="0" collapsed="false">
      <c r="A35" s="11" t="n">
        <v>46401</v>
      </c>
      <c r="B35" s="38" t="n">
        <v>0.729166666666667</v>
      </c>
      <c r="C35" s="10" t="s">
        <v>1131</v>
      </c>
      <c r="D35" s="10" t="s">
        <v>1121</v>
      </c>
      <c r="E35" s="0" t="n">
        <v>5</v>
      </c>
      <c r="G35" s="30" t="str">
        <f aca="false">IF($C35="","",IFERROR(IF(INDEX(links!$A$2:$A$501,MATCH($C35,links!$D$2:$D$501,0))="","",INDEX(links!$A$2:$A$501,MATCH($C35,links!$D$2:$D$501,0))),""))</f>
        <v>SAMPLE-CMP-001</v>
      </c>
      <c r="H35" s="30" t="str">
        <f aca="false">IF($C35="","",IFERROR(IF(INDEX(links!$B$2:$B$501,MATCH($C35,links!$D$2:$D$501,0))="","",INDEX(links!$B$2:$B$501,MATCH($C35,links!$D$2:$D$501,0))),""))</f>
        <v>SAMPLE-O-005</v>
      </c>
      <c r="I35" s="30" t="str">
        <f aca="false">IF($C35="","",IFERROR(IF(INDEX(links!$C$2:$C$501,MATCH($C35,links!$D$2:$D$501,0))="","",INDEX(links!$C$2:$C$501,MATCH($C35,links!$D$2:$D$501,0))),""))</f>
        <v>qr</v>
      </c>
      <c r="J35" s="30" t="str">
        <f aca="false">IF($C35="","",IF($G35="","slug not in links; ","")&amp;IF($D35="","reading type missing; ","")&amp;IF(COUNTIFS(scans!$C$2:$C$1601,$C35,scans!$D$2:$D$1601,$D35)&gt;1,"two readings of this type: keep one; ",""))</f>
        <v/>
      </c>
    </row>
    <row r="36" customFormat="false" ht="15" hidden="false" customHeight="false" outlineLevel="0" collapsed="false">
      <c r="A36" s="11" t="n">
        <v>46406</v>
      </c>
      <c r="B36" s="38" t="n">
        <v>0.729166666666667</v>
      </c>
      <c r="C36" s="10" t="s">
        <v>1131</v>
      </c>
      <c r="D36" s="10" t="s">
        <v>1122</v>
      </c>
      <c r="E36" s="0" t="n">
        <v>10</v>
      </c>
      <c r="G36" s="30" t="str">
        <f aca="false">IF($C36="","",IFERROR(IF(INDEX(links!$A$2:$A$501,MATCH($C36,links!$D$2:$D$501,0))="","",INDEX(links!$A$2:$A$501,MATCH($C36,links!$D$2:$D$501,0))),""))</f>
        <v>SAMPLE-CMP-001</v>
      </c>
      <c r="H36" s="30" t="str">
        <f aca="false">IF($C36="","",IFERROR(IF(INDEX(links!$B$2:$B$501,MATCH($C36,links!$D$2:$D$501,0))="","",INDEX(links!$B$2:$B$501,MATCH($C36,links!$D$2:$D$501,0))),""))</f>
        <v>SAMPLE-O-005</v>
      </c>
      <c r="I36" s="30" t="str">
        <f aca="false">IF($C36="","",IFERROR(IF(INDEX(links!$C$2:$C$501,MATCH($C36,links!$D$2:$D$501,0))="","",INDEX(links!$C$2:$C$501,MATCH($C36,links!$D$2:$D$501,0))),""))</f>
        <v>qr</v>
      </c>
      <c r="J36" s="30" t="str">
        <f aca="false">IF($C36="","",IF($G36="","slug not in links; ","")&amp;IF($D36="","reading type missing; ","")&amp;IF(COUNTIFS(scans!$C$2:$C$1601,$C36,scans!$D$2:$D$1601,$D36)&gt;1,"two readings of this type: keep one; ",""))</f>
        <v/>
      </c>
    </row>
    <row r="37" customFormat="false" ht="15" hidden="false" customHeight="false" outlineLevel="0" collapsed="false">
      <c r="A37" s="11" t="n">
        <v>46409</v>
      </c>
      <c r="B37" s="38" t="n">
        <v>0.729166666666667</v>
      </c>
      <c r="C37" s="10" t="s">
        <v>1131</v>
      </c>
      <c r="D37" s="10" t="s">
        <v>1123</v>
      </c>
      <c r="E37" s="0" t="n">
        <v>11</v>
      </c>
      <c r="G37" s="30" t="str">
        <f aca="false">IF($C37="","",IFERROR(IF(INDEX(links!$A$2:$A$501,MATCH($C37,links!$D$2:$D$501,0))="","",INDEX(links!$A$2:$A$501,MATCH($C37,links!$D$2:$D$501,0))),""))</f>
        <v>SAMPLE-CMP-001</v>
      </c>
      <c r="H37" s="30" t="str">
        <f aca="false">IF($C37="","",IFERROR(IF(INDEX(links!$B$2:$B$501,MATCH($C37,links!$D$2:$D$501,0))="","",INDEX(links!$B$2:$B$501,MATCH($C37,links!$D$2:$D$501,0))),""))</f>
        <v>SAMPLE-O-005</v>
      </c>
      <c r="I37" s="30" t="str">
        <f aca="false">IF($C37="","",IFERROR(IF(INDEX(links!$C$2:$C$501,MATCH($C37,links!$D$2:$D$501,0))="","",INDEX(links!$C$2:$C$501,MATCH($C37,links!$D$2:$D$501,0))),""))</f>
        <v>qr</v>
      </c>
      <c r="J37" s="30" t="str">
        <f aca="false">IF($C37="","",IF($G37="","slug not in links; ","")&amp;IF($D37="","reading type missing; ","")&amp;IF(COUNTIFS(scans!$C$2:$C$1601,$C37,scans!$D$2:$D$1601,$D37)&gt;1,"two readings of this type: keep one; ",""))</f>
        <v/>
      </c>
    </row>
    <row r="38" customFormat="false" ht="15" hidden="false" customHeight="false" outlineLevel="0" collapsed="false">
      <c r="A38" s="11" t="n">
        <v>46398</v>
      </c>
      <c r="B38" s="38" t="n">
        <v>0.729166666666667</v>
      </c>
      <c r="C38" s="10" t="s">
        <v>1132</v>
      </c>
      <c r="D38" s="10" t="s">
        <v>1120</v>
      </c>
      <c r="E38" s="0" t="n">
        <v>1</v>
      </c>
      <c r="G38" s="30" t="str">
        <f aca="false">IF($C38="","",IFERROR(IF(INDEX(links!$A$2:$A$501,MATCH($C38,links!$D$2:$D$501,0))="","",INDEX(links!$A$2:$A$501,MATCH($C38,links!$D$2:$D$501,0))),""))</f>
        <v>SAMPLE-CMP-001</v>
      </c>
      <c r="H38" s="30" t="str">
        <f aca="false">IF($C38="","",IFERROR(IF(INDEX(links!$B$2:$B$501,MATCH($C38,links!$D$2:$D$501,0))="","",INDEX(links!$B$2:$B$501,MATCH($C38,links!$D$2:$D$501,0))),""))</f>
        <v>SAMPLE-O-005</v>
      </c>
      <c r="I38" s="30" t="str">
        <f aca="false">IF($C38="","",IFERROR(IF(INDEX(links!$C$2:$C$501,MATCH($C38,links!$D$2:$D$501,0))="","",INDEX(links!$C$2:$C$501,MATCH($C38,links!$D$2:$D$501,0))),""))</f>
        <v>post</v>
      </c>
      <c r="J38" s="30" t="str">
        <f aca="false">IF($C38="","",IF($G38="","slug not in links; ","")&amp;IF($D38="","reading type missing; ","")&amp;IF(COUNTIFS(scans!$C$2:$C$1601,$C38,scans!$D$2:$D$1601,$D38)&gt;1,"two readings of this type: keep one; ",""))</f>
        <v/>
      </c>
    </row>
    <row r="39" customFormat="false" ht="15" hidden="false" customHeight="false" outlineLevel="0" collapsed="false">
      <c r="A39" s="11" t="n">
        <v>46401</v>
      </c>
      <c r="B39" s="38" t="n">
        <v>0.729166666666667</v>
      </c>
      <c r="C39" s="10" t="s">
        <v>1132</v>
      </c>
      <c r="D39" s="10" t="s">
        <v>1121</v>
      </c>
      <c r="E39" s="0" t="n">
        <v>4</v>
      </c>
      <c r="G39" s="30" t="str">
        <f aca="false">IF($C39="","",IFERROR(IF(INDEX(links!$A$2:$A$501,MATCH($C39,links!$D$2:$D$501,0))="","",INDEX(links!$A$2:$A$501,MATCH($C39,links!$D$2:$D$501,0))),""))</f>
        <v>SAMPLE-CMP-001</v>
      </c>
      <c r="H39" s="30" t="str">
        <f aca="false">IF($C39="","",IFERROR(IF(INDEX(links!$B$2:$B$501,MATCH($C39,links!$D$2:$D$501,0))="","",INDEX(links!$B$2:$B$501,MATCH($C39,links!$D$2:$D$501,0))),""))</f>
        <v>SAMPLE-O-005</v>
      </c>
      <c r="I39" s="30" t="str">
        <f aca="false">IF($C39="","",IFERROR(IF(INDEX(links!$C$2:$C$501,MATCH($C39,links!$D$2:$D$501,0))="","",INDEX(links!$C$2:$C$501,MATCH($C39,links!$D$2:$D$501,0))),""))</f>
        <v>post</v>
      </c>
      <c r="J39" s="30" t="str">
        <f aca="false">IF($C39="","",IF($G39="","slug not in links; ","")&amp;IF($D39="","reading type missing; ","")&amp;IF(COUNTIFS(scans!$C$2:$C$1601,$C39,scans!$D$2:$D$1601,$D39)&gt;1,"two readings of this type: keep one; ",""))</f>
        <v/>
      </c>
    </row>
    <row r="40" customFormat="false" ht="15" hidden="false" customHeight="false" outlineLevel="0" collapsed="false">
      <c r="A40" s="11" t="n">
        <v>46406</v>
      </c>
      <c r="B40" s="38" t="n">
        <v>0.729166666666667</v>
      </c>
      <c r="C40" s="10" t="s">
        <v>1132</v>
      </c>
      <c r="D40" s="10" t="s">
        <v>1122</v>
      </c>
      <c r="E40" s="0" t="n">
        <v>9</v>
      </c>
      <c r="G40" s="30" t="str">
        <f aca="false">IF($C40="","",IFERROR(IF(INDEX(links!$A$2:$A$501,MATCH($C40,links!$D$2:$D$501,0))="","",INDEX(links!$A$2:$A$501,MATCH($C40,links!$D$2:$D$501,0))),""))</f>
        <v>SAMPLE-CMP-001</v>
      </c>
      <c r="H40" s="30" t="str">
        <f aca="false">IF($C40="","",IFERROR(IF(INDEX(links!$B$2:$B$501,MATCH($C40,links!$D$2:$D$501,0))="","",INDEX(links!$B$2:$B$501,MATCH($C40,links!$D$2:$D$501,0))),""))</f>
        <v>SAMPLE-O-005</v>
      </c>
      <c r="I40" s="30" t="str">
        <f aca="false">IF($C40="","",IFERROR(IF(INDEX(links!$C$2:$C$501,MATCH($C40,links!$D$2:$D$501,0))="","",INDEX(links!$C$2:$C$501,MATCH($C40,links!$D$2:$D$501,0))),""))</f>
        <v>post</v>
      </c>
      <c r="J40" s="30" t="str">
        <f aca="false">IF($C40="","",IF($G40="","slug not in links; ","")&amp;IF($D40="","reading type missing; ","")&amp;IF(COUNTIFS(scans!$C$2:$C$1601,$C40,scans!$D$2:$D$1601,$D40)&gt;1,"two readings of this type: keep one; ",""))</f>
        <v/>
      </c>
    </row>
    <row r="41" customFormat="false" ht="15" hidden="false" customHeight="false" outlineLevel="0" collapsed="false">
      <c r="A41" s="11" t="n">
        <v>46409</v>
      </c>
      <c r="B41" s="38" t="n">
        <v>0.729166666666667</v>
      </c>
      <c r="C41" s="10" t="s">
        <v>1132</v>
      </c>
      <c r="D41" s="10" t="s">
        <v>1123</v>
      </c>
      <c r="E41" s="0" t="n">
        <v>10</v>
      </c>
      <c r="G41" s="30" t="str">
        <f aca="false">IF($C41="","",IFERROR(IF(INDEX(links!$A$2:$A$501,MATCH($C41,links!$D$2:$D$501,0))="","",INDEX(links!$A$2:$A$501,MATCH($C41,links!$D$2:$D$501,0))),""))</f>
        <v>SAMPLE-CMP-001</v>
      </c>
      <c r="H41" s="30" t="str">
        <f aca="false">IF($C41="","",IFERROR(IF(INDEX(links!$B$2:$B$501,MATCH($C41,links!$D$2:$D$501,0))="","",INDEX(links!$B$2:$B$501,MATCH($C41,links!$D$2:$D$501,0))),""))</f>
        <v>SAMPLE-O-005</v>
      </c>
      <c r="I41" s="30" t="str">
        <f aca="false">IF($C41="","",IFERROR(IF(INDEX(links!$C$2:$C$501,MATCH($C41,links!$D$2:$D$501,0))="","",INDEX(links!$C$2:$C$501,MATCH($C41,links!$D$2:$D$501,0))),""))</f>
        <v>post</v>
      </c>
      <c r="J41" s="30" t="str">
        <f aca="false">IF($C41="","",IF($G41="","slug not in links; ","")&amp;IF($D41="","reading type missing; ","")&amp;IF(COUNTIFS(scans!$C$2:$C$1601,$C41,scans!$D$2:$D$1601,$D41)&gt;1,"two readings of this type: keep one; ",""))</f>
        <v/>
      </c>
    </row>
    <row r="42" customFormat="false" ht="15" hidden="false" customHeight="false" outlineLevel="0" collapsed="false">
      <c r="A42" s="11" t="n">
        <v>46398</v>
      </c>
      <c r="B42" s="38" t="n">
        <v>0.729166666666667</v>
      </c>
      <c r="C42" s="10" t="s">
        <v>1133</v>
      </c>
      <c r="D42" s="10" t="s">
        <v>1120</v>
      </c>
      <c r="E42" s="0" t="n">
        <v>1</v>
      </c>
      <c r="G42" s="30" t="str">
        <f aca="false">IF($C42="","",IFERROR(IF(INDEX(links!$A$2:$A$501,MATCH($C42,links!$D$2:$D$501,0))="","",INDEX(links!$A$2:$A$501,MATCH($C42,links!$D$2:$D$501,0))),""))</f>
        <v>SAMPLE-CMP-002</v>
      </c>
      <c r="H42" s="30" t="str">
        <f aca="false">IF($C42="","",IFERROR(IF(INDEX(links!$B$2:$B$501,MATCH($C42,links!$D$2:$D$501,0))="","",INDEX(links!$B$2:$B$501,MATCH($C42,links!$D$2:$D$501,0))),""))</f>
        <v>SAMPLE-O-001</v>
      </c>
      <c r="I42" s="30" t="str">
        <f aca="false">IF($C42="","",IFERROR(IF(INDEX(links!$C$2:$C$501,MATCH($C42,links!$D$2:$D$501,0))="","",INDEX(links!$C$2:$C$501,MATCH($C42,links!$D$2:$D$501,0))),""))</f>
        <v>qr</v>
      </c>
      <c r="J42" s="30" t="str">
        <f aca="false">IF($C42="","",IF($G42="","slug not in links; ","")&amp;IF($D42="","reading type missing; ","")&amp;IF(COUNTIFS(scans!$C$2:$C$1601,$C42,scans!$D$2:$D$1601,$D42)&gt;1,"two readings of this type: keep one; ",""))</f>
        <v/>
      </c>
    </row>
    <row r="43" customFormat="false" ht="15" hidden="false" customHeight="false" outlineLevel="0" collapsed="false">
      <c r="A43" s="11" t="n">
        <v>46401</v>
      </c>
      <c r="B43" s="38" t="n">
        <v>0.729166666666667</v>
      </c>
      <c r="C43" s="10" t="s">
        <v>1133</v>
      </c>
      <c r="D43" s="10" t="s">
        <v>1121</v>
      </c>
      <c r="E43" s="0" t="n">
        <v>5</v>
      </c>
      <c r="G43" s="30" t="str">
        <f aca="false">IF($C43="","",IFERROR(IF(INDEX(links!$A$2:$A$501,MATCH($C43,links!$D$2:$D$501,0))="","",INDEX(links!$A$2:$A$501,MATCH($C43,links!$D$2:$D$501,0))),""))</f>
        <v>SAMPLE-CMP-002</v>
      </c>
      <c r="H43" s="30" t="str">
        <f aca="false">IF($C43="","",IFERROR(IF(INDEX(links!$B$2:$B$501,MATCH($C43,links!$D$2:$D$501,0))="","",INDEX(links!$B$2:$B$501,MATCH($C43,links!$D$2:$D$501,0))),""))</f>
        <v>SAMPLE-O-001</v>
      </c>
      <c r="I43" s="30" t="str">
        <f aca="false">IF($C43="","",IFERROR(IF(INDEX(links!$C$2:$C$501,MATCH($C43,links!$D$2:$D$501,0))="","",INDEX(links!$C$2:$C$501,MATCH($C43,links!$D$2:$D$501,0))),""))</f>
        <v>qr</v>
      </c>
      <c r="J43" s="30" t="str">
        <f aca="false">IF($C43="","",IF($G43="","slug not in links; ","")&amp;IF($D43="","reading type missing; ","")&amp;IF(COUNTIFS(scans!$C$2:$C$1601,$C43,scans!$D$2:$D$1601,$D43)&gt;1,"two readings of this type: keep one; ",""))</f>
        <v/>
      </c>
    </row>
    <row r="44" customFormat="false" ht="15" hidden="false" customHeight="false" outlineLevel="0" collapsed="false">
      <c r="A44" s="11" t="n">
        <v>46406</v>
      </c>
      <c r="B44" s="38" t="n">
        <v>0.729166666666667</v>
      </c>
      <c r="C44" s="10" t="s">
        <v>1133</v>
      </c>
      <c r="D44" s="10" t="s">
        <v>1122</v>
      </c>
      <c r="E44" s="0" t="n">
        <v>10</v>
      </c>
      <c r="G44" s="30" t="str">
        <f aca="false">IF($C44="","",IFERROR(IF(INDEX(links!$A$2:$A$501,MATCH($C44,links!$D$2:$D$501,0))="","",INDEX(links!$A$2:$A$501,MATCH($C44,links!$D$2:$D$501,0))),""))</f>
        <v>SAMPLE-CMP-002</v>
      </c>
      <c r="H44" s="30" t="str">
        <f aca="false">IF($C44="","",IFERROR(IF(INDEX(links!$B$2:$B$501,MATCH($C44,links!$D$2:$D$501,0))="","",INDEX(links!$B$2:$B$501,MATCH($C44,links!$D$2:$D$501,0))),""))</f>
        <v>SAMPLE-O-001</v>
      </c>
      <c r="I44" s="30" t="str">
        <f aca="false">IF($C44="","",IFERROR(IF(INDEX(links!$C$2:$C$501,MATCH($C44,links!$D$2:$D$501,0))="","",INDEX(links!$C$2:$C$501,MATCH($C44,links!$D$2:$D$501,0))),""))</f>
        <v>qr</v>
      </c>
      <c r="J44" s="30" t="str">
        <f aca="false">IF($C44="","",IF($G44="","slug not in links; ","")&amp;IF($D44="","reading type missing; ","")&amp;IF(COUNTIFS(scans!$C$2:$C$1601,$C44,scans!$D$2:$D$1601,$D44)&gt;1,"two readings of this type: keep one; ",""))</f>
        <v/>
      </c>
    </row>
    <row r="45" customFormat="false" ht="15" hidden="false" customHeight="false" outlineLevel="0" collapsed="false">
      <c r="A45" s="11" t="n">
        <v>46409</v>
      </c>
      <c r="B45" s="38" t="n">
        <v>0.729166666666667</v>
      </c>
      <c r="C45" s="10" t="s">
        <v>1133</v>
      </c>
      <c r="D45" s="10" t="s">
        <v>1123</v>
      </c>
      <c r="E45" s="0" t="n">
        <v>11</v>
      </c>
      <c r="G45" s="30" t="str">
        <f aca="false">IF($C45="","",IFERROR(IF(INDEX(links!$A$2:$A$501,MATCH($C45,links!$D$2:$D$501,0))="","",INDEX(links!$A$2:$A$501,MATCH($C45,links!$D$2:$D$501,0))),""))</f>
        <v>SAMPLE-CMP-002</v>
      </c>
      <c r="H45" s="30" t="str">
        <f aca="false">IF($C45="","",IFERROR(IF(INDEX(links!$B$2:$B$501,MATCH($C45,links!$D$2:$D$501,0))="","",INDEX(links!$B$2:$B$501,MATCH($C45,links!$D$2:$D$501,0))),""))</f>
        <v>SAMPLE-O-001</v>
      </c>
      <c r="I45" s="30" t="str">
        <f aca="false">IF($C45="","",IFERROR(IF(INDEX(links!$C$2:$C$501,MATCH($C45,links!$D$2:$D$501,0))="","",INDEX(links!$C$2:$C$501,MATCH($C45,links!$D$2:$D$501,0))),""))</f>
        <v>qr</v>
      </c>
      <c r="J45" s="30" t="str">
        <f aca="false">IF($C45="","",IF($G45="","slug not in links; ","")&amp;IF($D45="","reading type missing; ","")&amp;IF(COUNTIFS(scans!$C$2:$C$1601,$C45,scans!$D$2:$D$1601,$D45)&gt;1,"two readings of this type: keep one; ",""))</f>
        <v/>
      </c>
    </row>
    <row r="46" customFormat="false" ht="15" hidden="false" customHeight="false" outlineLevel="0" collapsed="false">
      <c r="A46" s="11" t="n">
        <v>46398</v>
      </c>
      <c r="B46" s="38" t="n">
        <v>0.729166666666667</v>
      </c>
      <c r="C46" s="10" t="s">
        <v>1134</v>
      </c>
      <c r="D46" s="10" t="s">
        <v>1120</v>
      </c>
      <c r="E46" s="0" t="n">
        <v>1</v>
      </c>
      <c r="G46" s="30" t="str">
        <f aca="false">IF($C46="","",IFERROR(IF(INDEX(links!$A$2:$A$501,MATCH($C46,links!$D$2:$D$501,0))="","",INDEX(links!$A$2:$A$501,MATCH($C46,links!$D$2:$D$501,0))),""))</f>
        <v>SAMPLE-CMP-002</v>
      </c>
      <c r="H46" s="30" t="str">
        <f aca="false">IF($C46="","",IFERROR(IF(INDEX(links!$B$2:$B$501,MATCH($C46,links!$D$2:$D$501,0))="","",INDEX(links!$B$2:$B$501,MATCH($C46,links!$D$2:$D$501,0))),""))</f>
        <v>SAMPLE-O-001</v>
      </c>
      <c r="I46" s="30" t="str">
        <f aca="false">IF($C46="","",IFERROR(IF(INDEX(links!$C$2:$C$501,MATCH($C46,links!$D$2:$D$501,0))="","",INDEX(links!$C$2:$C$501,MATCH($C46,links!$D$2:$D$501,0))),""))</f>
        <v>post</v>
      </c>
      <c r="J46" s="30" t="str">
        <f aca="false">IF($C46="","",IF($G46="","slug not in links; ","")&amp;IF($D46="","reading type missing; ","")&amp;IF(COUNTIFS(scans!$C$2:$C$1601,$C46,scans!$D$2:$D$1601,$D46)&gt;1,"two readings of this type: keep one; ",""))</f>
        <v/>
      </c>
    </row>
    <row r="47" customFormat="false" ht="15" hidden="false" customHeight="false" outlineLevel="0" collapsed="false">
      <c r="A47" s="11" t="n">
        <v>46401</v>
      </c>
      <c r="B47" s="38" t="n">
        <v>0.729166666666667</v>
      </c>
      <c r="C47" s="10" t="s">
        <v>1134</v>
      </c>
      <c r="D47" s="10" t="s">
        <v>1121</v>
      </c>
      <c r="E47" s="0" t="n">
        <v>2</v>
      </c>
      <c r="G47" s="30" t="str">
        <f aca="false">IF($C47="","",IFERROR(IF(INDEX(links!$A$2:$A$501,MATCH($C47,links!$D$2:$D$501,0))="","",INDEX(links!$A$2:$A$501,MATCH($C47,links!$D$2:$D$501,0))),""))</f>
        <v>SAMPLE-CMP-002</v>
      </c>
      <c r="H47" s="30" t="str">
        <f aca="false">IF($C47="","",IFERROR(IF(INDEX(links!$B$2:$B$501,MATCH($C47,links!$D$2:$D$501,0))="","",INDEX(links!$B$2:$B$501,MATCH($C47,links!$D$2:$D$501,0))),""))</f>
        <v>SAMPLE-O-001</v>
      </c>
      <c r="I47" s="30" t="str">
        <f aca="false">IF($C47="","",IFERROR(IF(INDEX(links!$C$2:$C$501,MATCH($C47,links!$D$2:$D$501,0))="","",INDEX(links!$C$2:$C$501,MATCH($C47,links!$D$2:$D$501,0))),""))</f>
        <v>post</v>
      </c>
      <c r="J47" s="30" t="str">
        <f aca="false">IF($C47="","",IF($G47="","slug not in links; ","")&amp;IF($D47="","reading type missing; ","")&amp;IF(COUNTIFS(scans!$C$2:$C$1601,$C47,scans!$D$2:$D$1601,$D47)&gt;1,"two readings of this type: keep one; ",""))</f>
        <v/>
      </c>
    </row>
    <row r="48" customFormat="false" ht="15" hidden="false" customHeight="false" outlineLevel="0" collapsed="false">
      <c r="A48" s="11" t="n">
        <v>46406</v>
      </c>
      <c r="B48" s="38" t="n">
        <v>0.729166666666667</v>
      </c>
      <c r="C48" s="10" t="s">
        <v>1134</v>
      </c>
      <c r="D48" s="10" t="s">
        <v>1122</v>
      </c>
      <c r="E48" s="0" t="n">
        <v>5</v>
      </c>
      <c r="G48" s="30" t="str">
        <f aca="false">IF($C48="","",IFERROR(IF(INDEX(links!$A$2:$A$501,MATCH($C48,links!$D$2:$D$501,0))="","",INDEX(links!$A$2:$A$501,MATCH($C48,links!$D$2:$D$501,0))),""))</f>
        <v>SAMPLE-CMP-002</v>
      </c>
      <c r="H48" s="30" t="str">
        <f aca="false">IF($C48="","",IFERROR(IF(INDEX(links!$B$2:$B$501,MATCH($C48,links!$D$2:$D$501,0))="","",INDEX(links!$B$2:$B$501,MATCH($C48,links!$D$2:$D$501,0))),""))</f>
        <v>SAMPLE-O-001</v>
      </c>
      <c r="I48" s="30" t="str">
        <f aca="false">IF($C48="","",IFERROR(IF(INDEX(links!$C$2:$C$501,MATCH($C48,links!$D$2:$D$501,0))="","",INDEX(links!$C$2:$C$501,MATCH($C48,links!$D$2:$D$501,0))),""))</f>
        <v>post</v>
      </c>
      <c r="J48" s="30" t="str">
        <f aca="false">IF($C48="","",IF($G48="","slug not in links; ","")&amp;IF($D48="","reading type missing; ","")&amp;IF(COUNTIFS(scans!$C$2:$C$1601,$C48,scans!$D$2:$D$1601,$D48)&gt;1,"two readings of this type: keep one; ",""))</f>
        <v/>
      </c>
    </row>
    <row r="49" customFormat="false" ht="15" hidden="false" customHeight="false" outlineLevel="0" collapsed="false">
      <c r="A49" s="11" t="n">
        <v>46409</v>
      </c>
      <c r="B49" s="38" t="n">
        <v>0.729166666666667</v>
      </c>
      <c r="C49" s="10" t="s">
        <v>1134</v>
      </c>
      <c r="D49" s="10" t="s">
        <v>1123</v>
      </c>
      <c r="E49" s="0" t="n">
        <v>6</v>
      </c>
      <c r="G49" s="30" t="str">
        <f aca="false">IF($C49="","",IFERROR(IF(INDEX(links!$A$2:$A$501,MATCH($C49,links!$D$2:$D$501,0))="","",INDEX(links!$A$2:$A$501,MATCH($C49,links!$D$2:$D$501,0))),""))</f>
        <v>SAMPLE-CMP-002</v>
      </c>
      <c r="H49" s="30" t="str">
        <f aca="false">IF($C49="","",IFERROR(IF(INDEX(links!$B$2:$B$501,MATCH($C49,links!$D$2:$D$501,0))="","",INDEX(links!$B$2:$B$501,MATCH($C49,links!$D$2:$D$501,0))),""))</f>
        <v>SAMPLE-O-001</v>
      </c>
      <c r="I49" s="30" t="str">
        <f aca="false">IF($C49="","",IFERROR(IF(INDEX(links!$C$2:$C$501,MATCH($C49,links!$D$2:$D$501,0))="","",INDEX(links!$C$2:$C$501,MATCH($C49,links!$D$2:$D$501,0))),""))</f>
        <v>post</v>
      </c>
      <c r="J49" s="30" t="str">
        <f aca="false">IF($C49="","",IF($G49="","slug not in links; ","")&amp;IF($D49="","reading type missing; ","")&amp;IF(COUNTIFS(scans!$C$2:$C$1601,$C49,scans!$D$2:$D$1601,$D49)&gt;1,"two readings of this type: keep one; ",""))</f>
        <v/>
      </c>
    </row>
    <row r="50" customFormat="false" ht="15" hidden="false" customHeight="false" outlineLevel="0" collapsed="false">
      <c r="A50" s="11" t="n">
        <v>46398</v>
      </c>
      <c r="B50" s="38" t="n">
        <v>0.729166666666667</v>
      </c>
      <c r="C50" s="10" t="s">
        <v>1135</v>
      </c>
      <c r="D50" s="10" t="s">
        <v>1120</v>
      </c>
      <c r="E50" s="0" t="n">
        <v>1</v>
      </c>
      <c r="G50" s="30" t="str">
        <f aca="false">IF($C50="","",IFERROR(IF(INDEX(links!$A$2:$A$501,MATCH($C50,links!$D$2:$D$501,0))="","",INDEX(links!$A$2:$A$501,MATCH($C50,links!$D$2:$D$501,0))),""))</f>
        <v>SAMPLE-CMP-002</v>
      </c>
      <c r="H50" s="30" t="str">
        <f aca="false">IF($C50="","",IFERROR(IF(INDEX(links!$B$2:$B$501,MATCH($C50,links!$D$2:$D$501,0))="","",INDEX(links!$B$2:$B$501,MATCH($C50,links!$D$2:$D$501,0))),""))</f>
        <v>SAMPLE-O-002</v>
      </c>
      <c r="I50" s="30" t="str">
        <f aca="false">IF($C50="","",IFERROR(IF(INDEX(links!$C$2:$C$501,MATCH($C50,links!$D$2:$D$501,0))="","",INDEX(links!$C$2:$C$501,MATCH($C50,links!$D$2:$D$501,0))),""))</f>
        <v>qr</v>
      </c>
      <c r="J50" s="30" t="str">
        <f aca="false">IF($C50="","",IF($G50="","slug not in links; ","")&amp;IF($D50="","reading type missing; ","")&amp;IF(COUNTIFS(scans!$C$2:$C$1601,$C50,scans!$D$2:$D$1601,$D50)&gt;1,"two readings of this type: keep one; ",""))</f>
        <v/>
      </c>
    </row>
    <row r="51" customFormat="false" ht="15" hidden="false" customHeight="false" outlineLevel="0" collapsed="false">
      <c r="A51" s="11" t="n">
        <v>46401</v>
      </c>
      <c r="B51" s="38" t="n">
        <v>0.729166666666667</v>
      </c>
      <c r="C51" s="10" t="s">
        <v>1135</v>
      </c>
      <c r="D51" s="10" t="s">
        <v>1121</v>
      </c>
      <c r="E51" s="0" t="n">
        <v>3</v>
      </c>
      <c r="G51" s="30" t="str">
        <f aca="false">IF($C51="","",IFERROR(IF(INDEX(links!$A$2:$A$501,MATCH($C51,links!$D$2:$D$501,0))="","",INDEX(links!$A$2:$A$501,MATCH($C51,links!$D$2:$D$501,0))),""))</f>
        <v>SAMPLE-CMP-002</v>
      </c>
      <c r="H51" s="30" t="str">
        <f aca="false">IF($C51="","",IFERROR(IF(INDEX(links!$B$2:$B$501,MATCH($C51,links!$D$2:$D$501,0))="","",INDEX(links!$B$2:$B$501,MATCH($C51,links!$D$2:$D$501,0))),""))</f>
        <v>SAMPLE-O-002</v>
      </c>
      <c r="I51" s="30" t="str">
        <f aca="false">IF($C51="","",IFERROR(IF(INDEX(links!$C$2:$C$501,MATCH($C51,links!$D$2:$D$501,0))="","",INDEX(links!$C$2:$C$501,MATCH($C51,links!$D$2:$D$501,0))),""))</f>
        <v>qr</v>
      </c>
      <c r="J51" s="30" t="str">
        <f aca="false">IF($C51="","",IF($G51="","slug not in links; ","")&amp;IF($D51="","reading type missing; ","")&amp;IF(COUNTIFS(scans!$C$2:$C$1601,$C51,scans!$D$2:$D$1601,$D51)&gt;1,"two readings of this type: keep one; ",""))</f>
        <v/>
      </c>
    </row>
    <row r="52" customFormat="false" ht="15" hidden="false" customHeight="false" outlineLevel="0" collapsed="false">
      <c r="A52" s="11" t="n">
        <v>46406</v>
      </c>
      <c r="B52" s="38" t="n">
        <v>0.729166666666667</v>
      </c>
      <c r="C52" s="10" t="s">
        <v>1135</v>
      </c>
      <c r="D52" s="10" t="s">
        <v>1122</v>
      </c>
      <c r="E52" s="0" t="n">
        <v>6</v>
      </c>
      <c r="G52" s="30" t="str">
        <f aca="false">IF($C52="","",IFERROR(IF(INDEX(links!$A$2:$A$501,MATCH($C52,links!$D$2:$D$501,0))="","",INDEX(links!$A$2:$A$501,MATCH($C52,links!$D$2:$D$501,0))),""))</f>
        <v>SAMPLE-CMP-002</v>
      </c>
      <c r="H52" s="30" t="str">
        <f aca="false">IF($C52="","",IFERROR(IF(INDEX(links!$B$2:$B$501,MATCH($C52,links!$D$2:$D$501,0))="","",INDEX(links!$B$2:$B$501,MATCH($C52,links!$D$2:$D$501,0))),""))</f>
        <v>SAMPLE-O-002</v>
      </c>
      <c r="I52" s="30" t="str">
        <f aca="false">IF($C52="","",IFERROR(IF(INDEX(links!$C$2:$C$501,MATCH($C52,links!$D$2:$D$501,0))="","",INDEX(links!$C$2:$C$501,MATCH($C52,links!$D$2:$D$501,0))),""))</f>
        <v>qr</v>
      </c>
      <c r="J52" s="30" t="str">
        <f aca="false">IF($C52="","",IF($G52="","slug not in links; ","")&amp;IF($D52="","reading type missing; ","")&amp;IF(COUNTIFS(scans!$C$2:$C$1601,$C52,scans!$D$2:$D$1601,$D52)&gt;1,"two readings of this type: keep one; ",""))</f>
        <v/>
      </c>
    </row>
    <row r="53" customFormat="false" ht="15" hidden="false" customHeight="false" outlineLevel="0" collapsed="false">
      <c r="A53" s="11" t="n">
        <v>46409</v>
      </c>
      <c r="B53" s="38" t="n">
        <v>0.729166666666667</v>
      </c>
      <c r="C53" s="10" t="s">
        <v>1135</v>
      </c>
      <c r="D53" s="10" t="s">
        <v>1123</v>
      </c>
      <c r="E53" s="0" t="n">
        <v>7</v>
      </c>
      <c r="G53" s="30" t="str">
        <f aca="false">IF($C53="","",IFERROR(IF(INDEX(links!$A$2:$A$501,MATCH($C53,links!$D$2:$D$501,0))="","",INDEX(links!$A$2:$A$501,MATCH($C53,links!$D$2:$D$501,0))),""))</f>
        <v>SAMPLE-CMP-002</v>
      </c>
      <c r="H53" s="30" t="str">
        <f aca="false">IF($C53="","",IFERROR(IF(INDEX(links!$B$2:$B$501,MATCH($C53,links!$D$2:$D$501,0))="","",INDEX(links!$B$2:$B$501,MATCH($C53,links!$D$2:$D$501,0))),""))</f>
        <v>SAMPLE-O-002</v>
      </c>
      <c r="I53" s="30" t="str">
        <f aca="false">IF($C53="","",IFERROR(IF(INDEX(links!$C$2:$C$501,MATCH($C53,links!$D$2:$D$501,0))="","",INDEX(links!$C$2:$C$501,MATCH($C53,links!$D$2:$D$501,0))),""))</f>
        <v>qr</v>
      </c>
      <c r="J53" s="30" t="str">
        <f aca="false">IF($C53="","",IF($G53="","slug not in links; ","")&amp;IF($D53="","reading type missing; ","")&amp;IF(COUNTIFS(scans!$C$2:$C$1601,$C53,scans!$D$2:$D$1601,$D53)&gt;1,"two readings of this type: keep one; ",""))</f>
        <v/>
      </c>
    </row>
    <row r="54" customFormat="false" ht="15" hidden="false" customHeight="false" outlineLevel="0" collapsed="false">
      <c r="A54" s="11" t="n">
        <v>46398</v>
      </c>
      <c r="B54" s="38" t="n">
        <v>0.729166666666667</v>
      </c>
      <c r="C54" s="10" t="s">
        <v>1136</v>
      </c>
      <c r="D54" s="10" t="s">
        <v>1120</v>
      </c>
      <c r="E54" s="0" t="n">
        <v>1</v>
      </c>
      <c r="G54" s="30" t="str">
        <f aca="false">IF($C54="","",IFERROR(IF(INDEX(links!$A$2:$A$501,MATCH($C54,links!$D$2:$D$501,0))="","",INDEX(links!$A$2:$A$501,MATCH($C54,links!$D$2:$D$501,0))),""))</f>
        <v>SAMPLE-CMP-002</v>
      </c>
      <c r="H54" s="30" t="str">
        <f aca="false">IF($C54="","",IFERROR(IF(INDEX(links!$B$2:$B$501,MATCH($C54,links!$D$2:$D$501,0))="","",INDEX(links!$B$2:$B$501,MATCH($C54,links!$D$2:$D$501,0))),""))</f>
        <v>SAMPLE-O-002</v>
      </c>
      <c r="I54" s="30" t="str">
        <f aca="false">IF($C54="","",IFERROR(IF(INDEX(links!$C$2:$C$501,MATCH($C54,links!$D$2:$D$501,0))="","",INDEX(links!$C$2:$C$501,MATCH($C54,links!$D$2:$D$501,0))),""))</f>
        <v>post</v>
      </c>
      <c r="J54" s="30" t="str">
        <f aca="false">IF($C54="","",IF($G54="","slug not in links; ","")&amp;IF($D54="","reading type missing; ","")&amp;IF(COUNTIFS(scans!$C$2:$C$1601,$C54,scans!$D$2:$D$1601,$D54)&gt;1,"two readings of this type: keep one; ",""))</f>
        <v/>
      </c>
    </row>
    <row r="55" customFormat="false" ht="15" hidden="false" customHeight="false" outlineLevel="0" collapsed="false">
      <c r="A55" s="11" t="n">
        <v>46401</v>
      </c>
      <c r="B55" s="38" t="n">
        <v>0.729166666666667</v>
      </c>
      <c r="C55" s="10" t="s">
        <v>1136</v>
      </c>
      <c r="D55" s="10" t="s">
        <v>1121</v>
      </c>
      <c r="E55" s="0" t="n">
        <v>1</v>
      </c>
      <c r="G55" s="30" t="str">
        <f aca="false">IF($C55="","",IFERROR(IF(INDEX(links!$A$2:$A$501,MATCH($C55,links!$D$2:$D$501,0))="","",INDEX(links!$A$2:$A$501,MATCH($C55,links!$D$2:$D$501,0))),""))</f>
        <v>SAMPLE-CMP-002</v>
      </c>
      <c r="H55" s="30" t="str">
        <f aca="false">IF($C55="","",IFERROR(IF(INDEX(links!$B$2:$B$501,MATCH($C55,links!$D$2:$D$501,0))="","",INDEX(links!$B$2:$B$501,MATCH($C55,links!$D$2:$D$501,0))),""))</f>
        <v>SAMPLE-O-002</v>
      </c>
      <c r="I55" s="30" t="str">
        <f aca="false">IF($C55="","",IFERROR(IF(INDEX(links!$C$2:$C$501,MATCH($C55,links!$D$2:$D$501,0))="","",INDEX(links!$C$2:$C$501,MATCH($C55,links!$D$2:$D$501,0))),""))</f>
        <v>post</v>
      </c>
      <c r="J55" s="30" t="str">
        <f aca="false">IF($C55="","",IF($G55="","slug not in links; ","")&amp;IF($D55="","reading type missing; ","")&amp;IF(COUNTIFS(scans!$C$2:$C$1601,$C55,scans!$D$2:$D$1601,$D55)&gt;1,"two readings of this type: keep one; ",""))</f>
        <v/>
      </c>
    </row>
    <row r="56" customFormat="false" ht="15" hidden="false" customHeight="false" outlineLevel="0" collapsed="false">
      <c r="A56" s="11" t="n">
        <v>46406</v>
      </c>
      <c r="B56" s="38" t="n">
        <v>0.729166666666667</v>
      </c>
      <c r="C56" s="10" t="s">
        <v>1136</v>
      </c>
      <c r="D56" s="10" t="s">
        <v>1122</v>
      </c>
      <c r="E56" s="0" t="n">
        <v>2</v>
      </c>
      <c r="G56" s="30" t="str">
        <f aca="false">IF($C56="","",IFERROR(IF(INDEX(links!$A$2:$A$501,MATCH($C56,links!$D$2:$D$501,0))="","",INDEX(links!$A$2:$A$501,MATCH($C56,links!$D$2:$D$501,0))),""))</f>
        <v>SAMPLE-CMP-002</v>
      </c>
      <c r="H56" s="30" t="str">
        <f aca="false">IF($C56="","",IFERROR(IF(INDEX(links!$B$2:$B$501,MATCH($C56,links!$D$2:$D$501,0))="","",INDEX(links!$B$2:$B$501,MATCH($C56,links!$D$2:$D$501,0))),""))</f>
        <v>SAMPLE-O-002</v>
      </c>
      <c r="I56" s="30" t="str">
        <f aca="false">IF($C56="","",IFERROR(IF(INDEX(links!$C$2:$C$501,MATCH($C56,links!$D$2:$D$501,0))="","",INDEX(links!$C$2:$C$501,MATCH($C56,links!$D$2:$D$501,0))),""))</f>
        <v>post</v>
      </c>
      <c r="J56" s="30" t="str">
        <f aca="false">IF($C56="","",IF($G56="","slug not in links; ","")&amp;IF($D56="","reading type missing; ","")&amp;IF(COUNTIFS(scans!$C$2:$C$1601,$C56,scans!$D$2:$D$1601,$D56)&gt;1,"two readings of this type: keep one; ",""))</f>
        <v/>
      </c>
    </row>
    <row r="57" customFormat="false" ht="15" hidden="false" customHeight="false" outlineLevel="0" collapsed="false">
      <c r="A57" s="11" t="n">
        <v>46409</v>
      </c>
      <c r="B57" s="38" t="n">
        <v>0.729166666666667</v>
      </c>
      <c r="C57" s="10" t="s">
        <v>1136</v>
      </c>
      <c r="D57" s="10" t="s">
        <v>1123</v>
      </c>
      <c r="E57" s="0" t="n">
        <v>3</v>
      </c>
      <c r="G57" s="30" t="str">
        <f aca="false">IF($C57="","",IFERROR(IF(INDEX(links!$A$2:$A$501,MATCH($C57,links!$D$2:$D$501,0))="","",INDEX(links!$A$2:$A$501,MATCH($C57,links!$D$2:$D$501,0))),""))</f>
        <v>SAMPLE-CMP-002</v>
      </c>
      <c r="H57" s="30" t="str">
        <f aca="false">IF($C57="","",IFERROR(IF(INDEX(links!$B$2:$B$501,MATCH($C57,links!$D$2:$D$501,0))="","",INDEX(links!$B$2:$B$501,MATCH($C57,links!$D$2:$D$501,0))),""))</f>
        <v>SAMPLE-O-002</v>
      </c>
      <c r="I57" s="30" t="str">
        <f aca="false">IF($C57="","",IFERROR(IF(INDEX(links!$C$2:$C$501,MATCH($C57,links!$D$2:$D$501,0))="","",INDEX(links!$C$2:$C$501,MATCH($C57,links!$D$2:$D$501,0))),""))</f>
        <v>post</v>
      </c>
      <c r="J57" s="30" t="str">
        <f aca="false">IF($C57="","",IF($G57="","slug not in links; ","")&amp;IF($D57="","reading type missing; ","")&amp;IF(COUNTIFS(scans!$C$2:$C$1601,$C57,scans!$D$2:$D$1601,$D57)&gt;1,"two readings of this type: keep one; ",""))</f>
        <v/>
      </c>
    </row>
    <row r="58" customFormat="false" ht="15" hidden="false" customHeight="false" outlineLevel="0" collapsed="false">
      <c r="A58" s="11" t="n">
        <v>46398</v>
      </c>
      <c r="B58" s="38" t="n">
        <v>0.729166666666667</v>
      </c>
      <c r="C58" s="10" t="s">
        <v>1137</v>
      </c>
      <c r="D58" s="10" t="s">
        <v>1120</v>
      </c>
      <c r="E58" s="0" t="n">
        <v>1</v>
      </c>
      <c r="G58" s="30" t="str">
        <f aca="false">IF($C58="","",IFERROR(IF(INDEX(links!$A$2:$A$501,MATCH($C58,links!$D$2:$D$501,0))="","",INDEX(links!$A$2:$A$501,MATCH($C58,links!$D$2:$D$501,0))),""))</f>
        <v>SAMPLE-CMP-002</v>
      </c>
      <c r="H58" s="30" t="str">
        <f aca="false">IF($C58="","",IFERROR(IF(INDEX(links!$B$2:$B$501,MATCH($C58,links!$D$2:$D$501,0))="","",INDEX(links!$B$2:$B$501,MATCH($C58,links!$D$2:$D$501,0))),""))</f>
        <v>SAMPLE-O-003</v>
      </c>
      <c r="I58" s="30" t="str">
        <f aca="false">IF($C58="","",IFERROR(IF(INDEX(links!$C$2:$C$501,MATCH($C58,links!$D$2:$D$501,0))="","",INDEX(links!$C$2:$C$501,MATCH($C58,links!$D$2:$D$501,0))),""))</f>
        <v>qr</v>
      </c>
      <c r="J58" s="30" t="str">
        <f aca="false">IF($C58="","",IF($G58="","slug not in links; ","")&amp;IF($D58="","reading type missing; ","")&amp;IF(COUNTIFS(scans!$C$2:$C$1601,$C58,scans!$D$2:$D$1601,$D58)&gt;1,"two readings of this type: keep one; ",""))</f>
        <v/>
      </c>
    </row>
    <row r="59" customFormat="false" ht="15" hidden="false" customHeight="false" outlineLevel="0" collapsed="false">
      <c r="A59" s="11" t="n">
        <v>46401</v>
      </c>
      <c r="B59" s="38" t="n">
        <v>0.729166666666667</v>
      </c>
      <c r="C59" s="10" t="s">
        <v>1137</v>
      </c>
      <c r="D59" s="10" t="s">
        <v>1121</v>
      </c>
      <c r="E59" s="0" t="n">
        <v>6</v>
      </c>
      <c r="G59" s="30" t="str">
        <f aca="false">IF($C59="","",IFERROR(IF(INDEX(links!$A$2:$A$501,MATCH($C59,links!$D$2:$D$501,0))="","",INDEX(links!$A$2:$A$501,MATCH($C59,links!$D$2:$D$501,0))),""))</f>
        <v>SAMPLE-CMP-002</v>
      </c>
      <c r="H59" s="30" t="str">
        <f aca="false">IF($C59="","",IFERROR(IF(INDEX(links!$B$2:$B$501,MATCH($C59,links!$D$2:$D$501,0))="","",INDEX(links!$B$2:$B$501,MATCH($C59,links!$D$2:$D$501,0))),""))</f>
        <v>SAMPLE-O-003</v>
      </c>
      <c r="I59" s="30" t="str">
        <f aca="false">IF($C59="","",IFERROR(IF(INDEX(links!$C$2:$C$501,MATCH($C59,links!$D$2:$D$501,0))="","",INDEX(links!$C$2:$C$501,MATCH($C59,links!$D$2:$D$501,0))),""))</f>
        <v>qr</v>
      </c>
      <c r="J59" s="30" t="str">
        <f aca="false">IF($C59="","",IF($G59="","slug not in links; ","")&amp;IF($D59="","reading type missing; ","")&amp;IF(COUNTIFS(scans!$C$2:$C$1601,$C59,scans!$D$2:$D$1601,$D59)&gt;1,"two readings of this type: keep one; ",""))</f>
        <v/>
      </c>
    </row>
    <row r="60" customFormat="false" ht="15" hidden="false" customHeight="false" outlineLevel="0" collapsed="false">
      <c r="A60" s="11" t="n">
        <v>46406</v>
      </c>
      <c r="B60" s="38" t="n">
        <v>0.729166666666667</v>
      </c>
      <c r="C60" s="10" t="s">
        <v>1137</v>
      </c>
      <c r="D60" s="10" t="s">
        <v>1122</v>
      </c>
      <c r="E60" s="0" t="n">
        <v>13</v>
      </c>
      <c r="G60" s="30" t="str">
        <f aca="false">IF($C60="","",IFERROR(IF(INDEX(links!$A$2:$A$501,MATCH($C60,links!$D$2:$D$501,0))="","",INDEX(links!$A$2:$A$501,MATCH($C60,links!$D$2:$D$501,0))),""))</f>
        <v>SAMPLE-CMP-002</v>
      </c>
      <c r="H60" s="30" t="str">
        <f aca="false">IF($C60="","",IFERROR(IF(INDEX(links!$B$2:$B$501,MATCH($C60,links!$D$2:$D$501,0))="","",INDEX(links!$B$2:$B$501,MATCH($C60,links!$D$2:$D$501,0))),""))</f>
        <v>SAMPLE-O-003</v>
      </c>
      <c r="I60" s="30" t="str">
        <f aca="false">IF($C60="","",IFERROR(IF(INDEX(links!$C$2:$C$501,MATCH($C60,links!$D$2:$D$501,0))="","",INDEX(links!$C$2:$C$501,MATCH($C60,links!$D$2:$D$501,0))),""))</f>
        <v>qr</v>
      </c>
      <c r="J60" s="30" t="str">
        <f aca="false">IF($C60="","",IF($G60="","slug not in links; ","")&amp;IF($D60="","reading type missing; ","")&amp;IF(COUNTIFS(scans!$C$2:$C$1601,$C60,scans!$D$2:$D$1601,$D60)&gt;1,"two readings of this type: keep one; ",""))</f>
        <v/>
      </c>
    </row>
    <row r="61" customFormat="false" ht="15" hidden="false" customHeight="false" outlineLevel="0" collapsed="false">
      <c r="A61" s="11" t="n">
        <v>46409</v>
      </c>
      <c r="B61" s="38" t="n">
        <v>0.729166666666667</v>
      </c>
      <c r="C61" s="10" t="s">
        <v>1137</v>
      </c>
      <c r="D61" s="10" t="s">
        <v>1123</v>
      </c>
      <c r="E61" s="0" t="n">
        <v>14</v>
      </c>
      <c r="G61" s="30" t="str">
        <f aca="false">IF($C61="","",IFERROR(IF(INDEX(links!$A$2:$A$501,MATCH($C61,links!$D$2:$D$501,0))="","",INDEX(links!$A$2:$A$501,MATCH($C61,links!$D$2:$D$501,0))),""))</f>
        <v>SAMPLE-CMP-002</v>
      </c>
      <c r="H61" s="30" t="str">
        <f aca="false">IF($C61="","",IFERROR(IF(INDEX(links!$B$2:$B$501,MATCH($C61,links!$D$2:$D$501,0))="","",INDEX(links!$B$2:$B$501,MATCH($C61,links!$D$2:$D$501,0))),""))</f>
        <v>SAMPLE-O-003</v>
      </c>
      <c r="I61" s="30" t="str">
        <f aca="false">IF($C61="","",IFERROR(IF(INDEX(links!$C$2:$C$501,MATCH($C61,links!$D$2:$D$501,0))="","",INDEX(links!$C$2:$C$501,MATCH($C61,links!$D$2:$D$501,0))),""))</f>
        <v>qr</v>
      </c>
      <c r="J61" s="30" t="str">
        <f aca="false">IF($C61="","",IF($G61="","slug not in links; ","")&amp;IF($D61="","reading type missing; ","")&amp;IF(COUNTIFS(scans!$C$2:$C$1601,$C61,scans!$D$2:$D$1601,$D61)&gt;1,"two readings of this type: keep one; ",""))</f>
        <v/>
      </c>
    </row>
    <row r="62" customFormat="false" ht="15" hidden="false" customHeight="false" outlineLevel="0" collapsed="false">
      <c r="A62" s="11" t="n">
        <v>46398</v>
      </c>
      <c r="B62" s="38" t="n">
        <v>0.729166666666667</v>
      </c>
      <c r="C62" s="10" t="s">
        <v>1138</v>
      </c>
      <c r="D62" s="10" t="s">
        <v>1120</v>
      </c>
      <c r="E62" s="0" t="n">
        <v>1</v>
      </c>
      <c r="G62" s="30" t="str">
        <f aca="false">IF($C62="","",IFERROR(IF(INDEX(links!$A$2:$A$501,MATCH($C62,links!$D$2:$D$501,0))="","",INDEX(links!$A$2:$A$501,MATCH($C62,links!$D$2:$D$501,0))),""))</f>
        <v>SAMPLE-CMP-002</v>
      </c>
      <c r="H62" s="30" t="str">
        <f aca="false">IF($C62="","",IFERROR(IF(INDEX(links!$B$2:$B$501,MATCH($C62,links!$D$2:$D$501,0))="","",INDEX(links!$B$2:$B$501,MATCH($C62,links!$D$2:$D$501,0))),""))</f>
        <v>SAMPLE-O-003</v>
      </c>
      <c r="I62" s="30" t="str">
        <f aca="false">IF($C62="","",IFERROR(IF(INDEX(links!$C$2:$C$501,MATCH($C62,links!$D$2:$D$501,0))="","",INDEX(links!$C$2:$C$501,MATCH($C62,links!$D$2:$D$501,0))),""))</f>
        <v>post</v>
      </c>
      <c r="J62" s="30" t="str">
        <f aca="false">IF($C62="","",IF($G62="","slug not in links; ","")&amp;IF($D62="","reading type missing; ","")&amp;IF(COUNTIFS(scans!$C$2:$C$1601,$C62,scans!$D$2:$D$1601,$D62)&gt;1,"two readings of this type: keep one; ",""))</f>
        <v/>
      </c>
    </row>
    <row r="63" customFormat="false" ht="15" hidden="false" customHeight="false" outlineLevel="0" collapsed="false">
      <c r="A63" s="11" t="n">
        <v>46401</v>
      </c>
      <c r="B63" s="38" t="n">
        <v>0.729166666666667</v>
      </c>
      <c r="C63" s="10" t="s">
        <v>1138</v>
      </c>
      <c r="D63" s="10" t="s">
        <v>1121</v>
      </c>
      <c r="E63" s="0" t="n">
        <v>3</v>
      </c>
      <c r="G63" s="30" t="str">
        <f aca="false">IF($C63="","",IFERROR(IF(INDEX(links!$A$2:$A$501,MATCH($C63,links!$D$2:$D$501,0))="","",INDEX(links!$A$2:$A$501,MATCH($C63,links!$D$2:$D$501,0))),""))</f>
        <v>SAMPLE-CMP-002</v>
      </c>
      <c r="H63" s="30" t="str">
        <f aca="false">IF($C63="","",IFERROR(IF(INDEX(links!$B$2:$B$501,MATCH($C63,links!$D$2:$D$501,0))="","",INDEX(links!$B$2:$B$501,MATCH($C63,links!$D$2:$D$501,0))),""))</f>
        <v>SAMPLE-O-003</v>
      </c>
      <c r="I63" s="30" t="str">
        <f aca="false">IF($C63="","",IFERROR(IF(INDEX(links!$C$2:$C$501,MATCH($C63,links!$D$2:$D$501,0))="","",INDEX(links!$C$2:$C$501,MATCH($C63,links!$D$2:$D$501,0))),""))</f>
        <v>post</v>
      </c>
      <c r="J63" s="30" t="str">
        <f aca="false">IF($C63="","",IF($G63="","slug not in links; ","")&amp;IF($D63="","reading type missing; ","")&amp;IF(COUNTIFS(scans!$C$2:$C$1601,$C63,scans!$D$2:$D$1601,$D63)&gt;1,"two readings of this type: keep one; ",""))</f>
        <v/>
      </c>
    </row>
    <row r="64" customFormat="false" ht="15" hidden="false" customHeight="false" outlineLevel="0" collapsed="false">
      <c r="A64" s="11" t="n">
        <v>46406</v>
      </c>
      <c r="B64" s="38" t="n">
        <v>0.729166666666667</v>
      </c>
      <c r="C64" s="10" t="s">
        <v>1138</v>
      </c>
      <c r="D64" s="10" t="s">
        <v>1122</v>
      </c>
      <c r="E64" s="0" t="n">
        <v>6</v>
      </c>
      <c r="G64" s="30" t="str">
        <f aca="false">IF($C64="","",IFERROR(IF(INDEX(links!$A$2:$A$501,MATCH($C64,links!$D$2:$D$501,0))="","",INDEX(links!$A$2:$A$501,MATCH($C64,links!$D$2:$D$501,0))),""))</f>
        <v>SAMPLE-CMP-002</v>
      </c>
      <c r="H64" s="30" t="str">
        <f aca="false">IF($C64="","",IFERROR(IF(INDEX(links!$B$2:$B$501,MATCH($C64,links!$D$2:$D$501,0))="","",INDEX(links!$B$2:$B$501,MATCH($C64,links!$D$2:$D$501,0))),""))</f>
        <v>SAMPLE-O-003</v>
      </c>
      <c r="I64" s="30" t="str">
        <f aca="false">IF($C64="","",IFERROR(IF(INDEX(links!$C$2:$C$501,MATCH($C64,links!$D$2:$D$501,0))="","",INDEX(links!$C$2:$C$501,MATCH($C64,links!$D$2:$D$501,0))),""))</f>
        <v>post</v>
      </c>
      <c r="J64" s="30" t="str">
        <f aca="false">IF($C64="","",IF($G64="","slug not in links; ","")&amp;IF($D64="","reading type missing; ","")&amp;IF(COUNTIFS(scans!$C$2:$C$1601,$C64,scans!$D$2:$D$1601,$D64)&gt;1,"two readings of this type: keep one; ",""))</f>
        <v/>
      </c>
    </row>
    <row r="65" customFormat="false" ht="15" hidden="false" customHeight="false" outlineLevel="0" collapsed="false">
      <c r="A65" s="11" t="n">
        <v>46409</v>
      </c>
      <c r="B65" s="38" t="n">
        <v>0.729166666666667</v>
      </c>
      <c r="C65" s="10" t="s">
        <v>1138</v>
      </c>
      <c r="D65" s="10" t="s">
        <v>1123</v>
      </c>
      <c r="E65" s="0" t="n">
        <v>7</v>
      </c>
      <c r="G65" s="30" t="str">
        <f aca="false">IF($C65="","",IFERROR(IF(INDEX(links!$A$2:$A$501,MATCH($C65,links!$D$2:$D$501,0))="","",INDEX(links!$A$2:$A$501,MATCH($C65,links!$D$2:$D$501,0))),""))</f>
        <v>SAMPLE-CMP-002</v>
      </c>
      <c r="H65" s="30" t="str">
        <f aca="false">IF($C65="","",IFERROR(IF(INDEX(links!$B$2:$B$501,MATCH($C65,links!$D$2:$D$501,0))="","",INDEX(links!$B$2:$B$501,MATCH($C65,links!$D$2:$D$501,0))),""))</f>
        <v>SAMPLE-O-003</v>
      </c>
      <c r="I65" s="30" t="str">
        <f aca="false">IF($C65="","",IFERROR(IF(INDEX(links!$C$2:$C$501,MATCH($C65,links!$D$2:$D$501,0))="","",INDEX(links!$C$2:$C$501,MATCH($C65,links!$D$2:$D$501,0))),""))</f>
        <v>post</v>
      </c>
      <c r="J65" s="30" t="str">
        <f aca="false">IF($C65="","",IF($G65="","slug not in links; ","")&amp;IF($D65="","reading type missing; ","")&amp;IF(COUNTIFS(scans!$C$2:$C$1601,$C65,scans!$D$2:$D$1601,$D65)&gt;1,"two readings of this type: keep one; ",""))</f>
        <v/>
      </c>
    </row>
    <row r="66" customFormat="false" ht="15" hidden="false" customHeight="false" outlineLevel="0" collapsed="false">
      <c r="A66" s="11" t="n">
        <v>46398</v>
      </c>
      <c r="B66" s="38" t="n">
        <v>0.729166666666667</v>
      </c>
      <c r="C66" s="10" t="s">
        <v>1139</v>
      </c>
      <c r="D66" s="10" t="s">
        <v>1120</v>
      </c>
      <c r="E66" s="0" t="n">
        <v>1</v>
      </c>
      <c r="G66" s="30" t="str">
        <f aca="false">IF($C66="","",IFERROR(IF(INDEX(links!$A$2:$A$501,MATCH($C66,links!$D$2:$D$501,0))="","",INDEX(links!$A$2:$A$501,MATCH($C66,links!$D$2:$D$501,0))),""))</f>
        <v>SAMPLE-CMP-002</v>
      </c>
      <c r="H66" s="30" t="str">
        <f aca="false">IF($C66="","",IFERROR(IF(INDEX(links!$B$2:$B$501,MATCH($C66,links!$D$2:$D$501,0))="","",INDEX(links!$B$2:$B$501,MATCH($C66,links!$D$2:$D$501,0))),""))</f>
        <v>SAMPLE-O-004</v>
      </c>
      <c r="I66" s="30" t="str">
        <f aca="false">IF($C66="","",IFERROR(IF(INDEX(links!$C$2:$C$501,MATCH($C66,links!$D$2:$D$501,0))="","",INDEX(links!$C$2:$C$501,MATCH($C66,links!$D$2:$D$501,0))),""))</f>
        <v>qr</v>
      </c>
      <c r="J66" s="30" t="str">
        <f aca="false">IF($C66="","",IF($G66="","slug not in links; ","")&amp;IF($D66="","reading type missing; ","")&amp;IF(COUNTIFS(scans!$C$2:$C$1601,$C66,scans!$D$2:$D$1601,$D66)&gt;1,"two readings of this type: keep one; ",""))</f>
        <v/>
      </c>
    </row>
    <row r="67" customFormat="false" ht="15" hidden="false" customHeight="false" outlineLevel="0" collapsed="false">
      <c r="A67" s="11" t="n">
        <v>46401</v>
      </c>
      <c r="B67" s="38" t="n">
        <v>0.729166666666667</v>
      </c>
      <c r="C67" s="10" t="s">
        <v>1139</v>
      </c>
      <c r="D67" s="10" t="s">
        <v>1121</v>
      </c>
      <c r="E67" s="0" t="n">
        <v>3</v>
      </c>
      <c r="G67" s="30" t="str">
        <f aca="false">IF($C67="","",IFERROR(IF(INDEX(links!$A$2:$A$501,MATCH($C67,links!$D$2:$D$501,0))="","",INDEX(links!$A$2:$A$501,MATCH($C67,links!$D$2:$D$501,0))),""))</f>
        <v>SAMPLE-CMP-002</v>
      </c>
      <c r="H67" s="30" t="str">
        <f aca="false">IF($C67="","",IFERROR(IF(INDEX(links!$B$2:$B$501,MATCH($C67,links!$D$2:$D$501,0))="","",INDEX(links!$B$2:$B$501,MATCH($C67,links!$D$2:$D$501,0))),""))</f>
        <v>SAMPLE-O-004</v>
      </c>
      <c r="I67" s="30" t="str">
        <f aca="false">IF($C67="","",IFERROR(IF(INDEX(links!$C$2:$C$501,MATCH($C67,links!$D$2:$D$501,0))="","",INDEX(links!$C$2:$C$501,MATCH($C67,links!$D$2:$D$501,0))),""))</f>
        <v>qr</v>
      </c>
      <c r="J67" s="30" t="str">
        <f aca="false">IF($C67="","",IF($G67="","slug not in links; ","")&amp;IF($D67="","reading type missing; ","")&amp;IF(COUNTIFS(scans!$C$2:$C$1601,$C67,scans!$D$2:$D$1601,$D67)&gt;1,"two readings of this type: keep one; ",""))</f>
        <v/>
      </c>
    </row>
    <row r="68" customFormat="false" ht="15" hidden="false" customHeight="false" outlineLevel="0" collapsed="false">
      <c r="A68" s="11" t="n">
        <v>46406</v>
      </c>
      <c r="B68" s="38" t="n">
        <v>0.729166666666667</v>
      </c>
      <c r="C68" s="10" t="s">
        <v>1139</v>
      </c>
      <c r="D68" s="10" t="s">
        <v>1122</v>
      </c>
      <c r="E68" s="0" t="n">
        <v>7</v>
      </c>
      <c r="G68" s="30" t="str">
        <f aca="false">IF($C68="","",IFERROR(IF(INDEX(links!$A$2:$A$501,MATCH($C68,links!$D$2:$D$501,0))="","",INDEX(links!$A$2:$A$501,MATCH($C68,links!$D$2:$D$501,0))),""))</f>
        <v>SAMPLE-CMP-002</v>
      </c>
      <c r="H68" s="30" t="str">
        <f aca="false">IF($C68="","",IFERROR(IF(INDEX(links!$B$2:$B$501,MATCH($C68,links!$D$2:$D$501,0))="","",INDEX(links!$B$2:$B$501,MATCH($C68,links!$D$2:$D$501,0))),""))</f>
        <v>SAMPLE-O-004</v>
      </c>
      <c r="I68" s="30" t="str">
        <f aca="false">IF($C68="","",IFERROR(IF(INDEX(links!$C$2:$C$501,MATCH($C68,links!$D$2:$D$501,0))="","",INDEX(links!$C$2:$C$501,MATCH($C68,links!$D$2:$D$501,0))),""))</f>
        <v>qr</v>
      </c>
      <c r="J68" s="30" t="str">
        <f aca="false">IF($C68="","",IF($G68="","slug not in links; ","")&amp;IF($D68="","reading type missing; ","")&amp;IF(COUNTIFS(scans!$C$2:$C$1601,$C68,scans!$D$2:$D$1601,$D68)&gt;1,"two readings of this type: keep one; ",""))</f>
        <v/>
      </c>
    </row>
    <row r="69" customFormat="false" ht="15" hidden="false" customHeight="false" outlineLevel="0" collapsed="false">
      <c r="A69" s="11" t="n">
        <v>46409</v>
      </c>
      <c r="B69" s="38" t="n">
        <v>0.729166666666667</v>
      </c>
      <c r="C69" s="10" t="s">
        <v>1139</v>
      </c>
      <c r="D69" s="10" t="s">
        <v>1123</v>
      </c>
      <c r="E69" s="0" t="n">
        <v>8</v>
      </c>
      <c r="G69" s="30" t="str">
        <f aca="false">IF($C69="","",IFERROR(IF(INDEX(links!$A$2:$A$501,MATCH($C69,links!$D$2:$D$501,0))="","",INDEX(links!$A$2:$A$501,MATCH($C69,links!$D$2:$D$501,0))),""))</f>
        <v>SAMPLE-CMP-002</v>
      </c>
      <c r="H69" s="30" t="str">
        <f aca="false">IF($C69="","",IFERROR(IF(INDEX(links!$B$2:$B$501,MATCH($C69,links!$D$2:$D$501,0))="","",INDEX(links!$B$2:$B$501,MATCH($C69,links!$D$2:$D$501,0))),""))</f>
        <v>SAMPLE-O-004</v>
      </c>
      <c r="I69" s="30" t="str">
        <f aca="false">IF($C69="","",IFERROR(IF(INDEX(links!$C$2:$C$501,MATCH($C69,links!$D$2:$D$501,0))="","",INDEX(links!$C$2:$C$501,MATCH($C69,links!$D$2:$D$501,0))),""))</f>
        <v>qr</v>
      </c>
      <c r="J69" s="30" t="str">
        <f aca="false">IF($C69="","",IF($G69="","slug not in links; ","")&amp;IF($D69="","reading type missing; ","")&amp;IF(COUNTIFS(scans!$C$2:$C$1601,$C69,scans!$D$2:$D$1601,$D69)&gt;1,"two readings of this type: keep one; ",""))</f>
        <v/>
      </c>
    </row>
    <row r="70" customFormat="false" ht="15" hidden="false" customHeight="false" outlineLevel="0" collapsed="false">
      <c r="A70" s="11" t="n">
        <v>46398</v>
      </c>
      <c r="B70" s="38" t="n">
        <v>0.729166666666667</v>
      </c>
      <c r="C70" s="10" t="s">
        <v>1140</v>
      </c>
      <c r="D70" s="10" t="s">
        <v>1120</v>
      </c>
      <c r="E70" s="0" t="n">
        <v>1</v>
      </c>
      <c r="G70" s="30" t="str">
        <f aca="false">IF($C70="","",IFERROR(IF(INDEX(links!$A$2:$A$501,MATCH($C70,links!$D$2:$D$501,0))="","",INDEX(links!$A$2:$A$501,MATCH($C70,links!$D$2:$D$501,0))),""))</f>
        <v>SAMPLE-CMP-002</v>
      </c>
      <c r="H70" s="30" t="str">
        <f aca="false">IF($C70="","",IFERROR(IF(INDEX(links!$B$2:$B$501,MATCH($C70,links!$D$2:$D$501,0))="","",INDEX(links!$B$2:$B$501,MATCH($C70,links!$D$2:$D$501,0))),""))</f>
        <v>SAMPLE-O-004</v>
      </c>
      <c r="I70" s="30" t="str">
        <f aca="false">IF($C70="","",IFERROR(IF(INDEX(links!$C$2:$C$501,MATCH($C70,links!$D$2:$D$501,0))="","",INDEX(links!$C$2:$C$501,MATCH($C70,links!$D$2:$D$501,0))),""))</f>
        <v>post</v>
      </c>
      <c r="J70" s="30" t="str">
        <f aca="false">IF($C70="","",IF($G70="","slug not in links; ","")&amp;IF($D70="","reading type missing; ","")&amp;IF(COUNTIFS(scans!$C$2:$C$1601,$C70,scans!$D$2:$D$1601,$D70)&gt;1,"two readings of this type: keep one; ",""))</f>
        <v/>
      </c>
    </row>
    <row r="71" customFormat="false" ht="15" hidden="false" customHeight="false" outlineLevel="0" collapsed="false">
      <c r="A71" s="11" t="n">
        <v>46401</v>
      </c>
      <c r="B71" s="38" t="n">
        <v>0.729166666666667</v>
      </c>
      <c r="C71" s="10" t="s">
        <v>1140</v>
      </c>
      <c r="D71" s="10" t="s">
        <v>1121</v>
      </c>
      <c r="E71" s="0" t="n">
        <v>1</v>
      </c>
      <c r="G71" s="30" t="str">
        <f aca="false">IF($C71="","",IFERROR(IF(INDEX(links!$A$2:$A$501,MATCH($C71,links!$D$2:$D$501,0))="","",INDEX(links!$A$2:$A$501,MATCH($C71,links!$D$2:$D$501,0))),""))</f>
        <v>SAMPLE-CMP-002</v>
      </c>
      <c r="H71" s="30" t="str">
        <f aca="false">IF($C71="","",IFERROR(IF(INDEX(links!$B$2:$B$501,MATCH($C71,links!$D$2:$D$501,0))="","",INDEX(links!$B$2:$B$501,MATCH($C71,links!$D$2:$D$501,0))),""))</f>
        <v>SAMPLE-O-004</v>
      </c>
      <c r="I71" s="30" t="str">
        <f aca="false">IF($C71="","",IFERROR(IF(INDEX(links!$C$2:$C$501,MATCH($C71,links!$D$2:$D$501,0))="","",INDEX(links!$C$2:$C$501,MATCH($C71,links!$D$2:$D$501,0))),""))</f>
        <v>post</v>
      </c>
      <c r="J71" s="30" t="str">
        <f aca="false">IF($C71="","",IF($G71="","slug not in links; ","")&amp;IF($D71="","reading type missing; ","")&amp;IF(COUNTIFS(scans!$C$2:$C$1601,$C71,scans!$D$2:$D$1601,$D71)&gt;1,"two readings of this type: keep one; ",""))</f>
        <v/>
      </c>
    </row>
    <row r="72" customFormat="false" ht="15" hidden="false" customHeight="false" outlineLevel="0" collapsed="false">
      <c r="A72" s="11" t="n">
        <v>46406</v>
      </c>
      <c r="B72" s="38" t="n">
        <v>0.729166666666667</v>
      </c>
      <c r="C72" s="10" t="s">
        <v>1140</v>
      </c>
      <c r="D72" s="10" t="s">
        <v>1122</v>
      </c>
      <c r="E72" s="0" t="n">
        <v>3</v>
      </c>
      <c r="G72" s="30" t="str">
        <f aca="false">IF($C72="","",IFERROR(IF(INDEX(links!$A$2:$A$501,MATCH($C72,links!$D$2:$D$501,0))="","",INDEX(links!$A$2:$A$501,MATCH($C72,links!$D$2:$D$501,0))),""))</f>
        <v>SAMPLE-CMP-002</v>
      </c>
      <c r="H72" s="30" t="str">
        <f aca="false">IF($C72="","",IFERROR(IF(INDEX(links!$B$2:$B$501,MATCH($C72,links!$D$2:$D$501,0))="","",INDEX(links!$B$2:$B$501,MATCH($C72,links!$D$2:$D$501,0))),""))</f>
        <v>SAMPLE-O-004</v>
      </c>
      <c r="I72" s="30" t="str">
        <f aca="false">IF($C72="","",IFERROR(IF(INDEX(links!$C$2:$C$501,MATCH($C72,links!$D$2:$D$501,0))="","",INDEX(links!$C$2:$C$501,MATCH($C72,links!$D$2:$D$501,0))),""))</f>
        <v>post</v>
      </c>
      <c r="J72" s="30" t="str">
        <f aca="false">IF($C72="","",IF($G72="","slug not in links; ","")&amp;IF($D72="","reading type missing; ","")&amp;IF(COUNTIFS(scans!$C$2:$C$1601,$C72,scans!$D$2:$D$1601,$D72)&gt;1,"two readings of this type: keep one; ",""))</f>
        <v/>
      </c>
    </row>
    <row r="73" customFormat="false" ht="15" hidden="false" customHeight="false" outlineLevel="0" collapsed="false">
      <c r="A73" s="11" t="n">
        <v>46409</v>
      </c>
      <c r="B73" s="38" t="n">
        <v>0.729166666666667</v>
      </c>
      <c r="C73" s="10" t="s">
        <v>1140</v>
      </c>
      <c r="D73" s="10" t="s">
        <v>1123</v>
      </c>
      <c r="E73" s="0" t="n">
        <v>4</v>
      </c>
      <c r="G73" s="30" t="str">
        <f aca="false">IF($C73="","",IFERROR(IF(INDEX(links!$A$2:$A$501,MATCH($C73,links!$D$2:$D$501,0))="","",INDEX(links!$A$2:$A$501,MATCH($C73,links!$D$2:$D$501,0))),""))</f>
        <v>SAMPLE-CMP-002</v>
      </c>
      <c r="H73" s="30" t="str">
        <f aca="false">IF($C73="","",IFERROR(IF(INDEX(links!$B$2:$B$501,MATCH($C73,links!$D$2:$D$501,0))="","",INDEX(links!$B$2:$B$501,MATCH($C73,links!$D$2:$D$501,0))),""))</f>
        <v>SAMPLE-O-004</v>
      </c>
      <c r="I73" s="30" t="str">
        <f aca="false">IF($C73="","",IFERROR(IF(INDEX(links!$C$2:$C$501,MATCH($C73,links!$D$2:$D$501,0))="","",INDEX(links!$C$2:$C$501,MATCH($C73,links!$D$2:$D$501,0))),""))</f>
        <v>post</v>
      </c>
      <c r="J73" s="30" t="str">
        <f aca="false">IF($C73="","",IF($G73="","slug not in links; ","")&amp;IF($D73="","reading type missing; ","")&amp;IF(COUNTIFS(scans!$C$2:$C$1601,$C73,scans!$D$2:$D$1601,$D73)&gt;1,"two readings of this type: keep one; ",""))</f>
        <v/>
      </c>
    </row>
    <row r="74" customFormat="false" ht="15" hidden="false" customHeight="false" outlineLevel="0" collapsed="false">
      <c r="A74" s="11" t="n">
        <v>46398</v>
      </c>
      <c r="B74" s="38" t="n">
        <v>0.729166666666667</v>
      </c>
      <c r="C74" s="10" t="s">
        <v>1141</v>
      </c>
      <c r="D74" s="10" t="s">
        <v>1120</v>
      </c>
      <c r="E74" s="0" t="n">
        <v>1</v>
      </c>
      <c r="G74" s="30" t="str">
        <f aca="false">IF($C74="","",IFERROR(IF(INDEX(links!$A$2:$A$501,MATCH($C74,links!$D$2:$D$501,0))="","",INDEX(links!$A$2:$A$501,MATCH($C74,links!$D$2:$D$501,0))),""))</f>
        <v>SAMPLE-CMP-002</v>
      </c>
      <c r="H74" s="30" t="str">
        <f aca="false">IF($C74="","",IFERROR(IF(INDEX(links!$B$2:$B$501,MATCH($C74,links!$D$2:$D$501,0))="","",INDEX(links!$B$2:$B$501,MATCH($C74,links!$D$2:$D$501,0))),""))</f>
        <v>SAMPLE-O-005</v>
      </c>
      <c r="I74" s="30" t="str">
        <f aca="false">IF($C74="","",IFERROR(IF(INDEX(links!$C$2:$C$501,MATCH($C74,links!$D$2:$D$501,0))="","",INDEX(links!$C$2:$C$501,MATCH($C74,links!$D$2:$D$501,0))),""))</f>
        <v>qr</v>
      </c>
      <c r="J74" s="30" t="str">
        <f aca="false">IF($C74="","",IF($G74="","slug not in links; ","")&amp;IF($D74="","reading type missing; ","")&amp;IF(COUNTIFS(scans!$C$2:$C$1601,$C74,scans!$D$2:$D$1601,$D74)&gt;1,"two readings of this type: keep one; ",""))</f>
        <v/>
      </c>
    </row>
    <row r="75" customFormat="false" ht="15" hidden="false" customHeight="false" outlineLevel="0" collapsed="false">
      <c r="A75" s="11" t="n">
        <v>46401</v>
      </c>
      <c r="B75" s="38" t="n">
        <v>0.729166666666667</v>
      </c>
      <c r="C75" s="10" t="s">
        <v>1141</v>
      </c>
      <c r="D75" s="10" t="s">
        <v>1121</v>
      </c>
      <c r="E75" s="0" t="n">
        <v>4</v>
      </c>
      <c r="G75" s="30" t="str">
        <f aca="false">IF($C75="","",IFERROR(IF(INDEX(links!$A$2:$A$501,MATCH($C75,links!$D$2:$D$501,0))="","",INDEX(links!$A$2:$A$501,MATCH($C75,links!$D$2:$D$501,0))),""))</f>
        <v>SAMPLE-CMP-002</v>
      </c>
      <c r="H75" s="30" t="str">
        <f aca="false">IF($C75="","",IFERROR(IF(INDEX(links!$B$2:$B$501,MATCH($C75,links!$D$2:$D$501,0))="","",INDEX(links!$B$2:$B$501,MATCH($C75,links!$D$2:$D$501,0))),""))</f>
        <v>SAMPLE-O-005</v>
      </c>
      <c r="I75" s="30" t="str">
        <f aca="false">IF($C75="","",IFERROR(IF(INDEX(links!$C$2:$C$501,MATCH($C75,links!$D$2:$D$501,0))="","",INDEX(links!$C$2:$C$501,MATCH($C75,links!$D$2:$D$501,0))),""))</f>
        <v>qr</v>
      </c>
      <c r="J75" s="30" t="str">
        <f aca="false">IF($C75="","",IF($G75="","slug not in links; ","")&amp;IF($D75="","reading type missing; ","")&amp;IF(COUNTIFS(scans!$C$2:$C$1601,$C75,scans!$D$2:$D$1601,$D75)&gt;1,"two readings of this type: keep one; ",""))</f>
        <v/>
      </c>
    </row>
    <row r="76" customFormat="false" ht="15" hidden="false" customHeight="false" outlineLevel="0" collapsed="false">
      <c r="A76" s="11" t="n">
        <v>46406</v>
      </c>
      <c r="B76" s="38" t="n">
        <v>0.729166666666667</v>
      </c>
      <c r="C76" s="10" t="s">
        <v>1141</v>
      </c>
      <c r="D76" s="10" t="s">
        <v>1122</v>
      </c>
      <c r="E76" s="0" t="n">
        <v>8</v>
      </c>
      <c r="G76" s="30" t="str">
        <f aca="false">IF($C76="","",IFERROR(IF(INDEX(links!$A$2:$A$501,MATCH($C76,links!$D$2:$D$501,0))="","",INDEX(links!$A$2:$A$501,MATCH($C76,links!$D$2:$D$501,0))),""))</f>
        <v>SAMPLE-CMP-002</v>
      </c>
      <c r="H76" s="30" t="str">
        <f aca="false">IF($C76="","",IFERROR(IF(INDEX(links!$B$2:$B$501,MATCH($C76,links!$D$2:$D$501,0))="","",INDEX(links!$B$2:$B$501,MATCH($C76,links!$D$2:$D$501,0))),""))</f>
        <v>SAMPLE-O-005</v>
      </c>
      <c r="I76" s="30" t="str">
        <f aca="false">IF($C76="","",IFERROR(IF(INDEX(links!$C$2:$C$501,MATCH($C76,links!$D$2:$D$501,0))="","",INDEX(links!$C$2:$C$501,MATCH($C76,links!$D$2:$D$501,0))),""))</f>
        <v>qr</v>
      </c>
      <c r="J76" s="30" t="str">
        <f aca="false">IF($C76="","",IF($G76="","slug not in links; ","")&amp;IF($D76="","reading type missing; ","")&amp;IF(COUNTIFS(scans!$C$2:$C$1601,$C76,scans!$D$2:$D$1601,$D76)&gt;1,"two readings of this type: keep one; ",""))</f>
        <v/>
      </c>
    </row>
    <row r="77" customFormat="false" ht="15" hidden="false" customHeight="false" outlineLevel="0" collapsed="false">
      <c r="A77" s="11" t="n">
        <v>46409</v>
      </c>
      <c r="B77" s="38" t="n">
        <v>0.729166666666667</v>
      </c>
      <c r="C77" s="10" t="s">
        <v>1141</v>
      </c>
      <c r="D77" s="10" t="s">
        <v>1123</v>
      </c>
      <c r="E77" s="0" t="n">
        <v>9</v>
      </c>
      <c r="G77" s="30" t="str">
        <f aca="false">IF($C77="","",IFERROR(IF(INDEX(links!$A$2:$A$501,MATCH($C77,links!$D$2:$D$501,0))="","",INDEX(links!$A$2:$A$501,MATCH($C77,links!$D$2:$D$501,0))),""))</f>
        <v>SAMPLE-CMP-002</v>
      </c>
      <c r="H77" s="30" t="str">
        <f aca="false">IF($C77="","",IFERROR(IF(INDEX(links!$B$2:$B$501,MATCH($C77,links!$D$2:$D$501,0))="","",INDEX(links!$B$2:$B$501,MATCH($C77,links!$D$2:$D$501,0))),""))</f>
        <v>SAMPLE-O-005</v>
      </c>
      <c r="I77" s="30" t="str">
        <f aca="false">IF($C77="","",IFERROR(IF(INDEX(links!$C$2:$C$501,MATCH($C77,links!$D$2:$D$501,0))="","",INDEX(links!$C$2:$C$501,MATCH($C77,links!$D$2:$D$501,0))),""))</f>
        <v>qr</v>
      </c>
      <c r="J77" s="30" t="str">
        <f aca="false">IF($C77="","",IF($G77="","slug not in links; ","")&amp;IF($D77="","reading type missing; ","")&amp;IF(COUNTIFS(scans!$C$2:$C$1601,$C77,scans!$D$2:$D$1601,$D77)&gt;1,"two readings of this type: keep one; ",""))</f>
        <v/>
      </c>
    </row>
    <row r="78" customFormat="false" ht="15" hidden="false" customHeight="false" outlineLevel="0" collapsed="false">
      <c r="A78" s="11" t="n">
        <v>46398</v>
      </c>
      <c r="B78" s="38" t="n">
        <v>0.729166666666667</v>
      </c>
      <c r="C78" s="10" t="s">
        <v>1142</v>
      </c>
      <c r="D78" s="10" t="s">
        <v>1120</v>
      </c>
      <c r="E78" s="0" t="n">
        <v>1</v>
      </c>
      <c r="G78" s="30" t="str">
        <f aca="false">IF($C78="","",IFERROR(IF(INDEX(links!$A$2:$A$501,MATCH($C78,links!$D$2:$D$501,0))="","",INDEX(links!$A$2:$A$501,MATCH($C78,links!$D$2:$D$501,0))),""))</f>
        <v>SAMPLE-CMP-002</v>
      </c>
      <c r="H78" s="30" t="str">
        <f aca="false">IF($C78="","",IFERROR(IF(INDEX(links!$B$2:$B$501,MATCH($C78,links!$D$2:$D$501,0))="","",INDEX(links!$B$2:$B$501,MATCH($C78,links!$D$2:$D$501,0))),""))</f>
        <v>SAMPLE-O-005</v>
      </c>
      <c r="I78" s="30" t="str">
        <f aca="false">IF($C78="","",IFERROR(IF(INDEX(links!$C$2:$C$501,MATCH($C78,links!$D$2:$D$501,0))="","",INDEX(links!$C$2:$C$501,MATCH($C78,links!$D$2:$D$501,0))),""))</f>
        <v>post</v>
      </c>
      <c r="J78" s="30" t="str">
        <f aca="false">IF($C78="","",IF($G78="","slug not in links; ","")&amp;IF($D78="","reading type missing; ","")&amp;IF(COUNTIFS(scans!$C$2:$C$1601,$C78,scans!$D$2:$D$1601,$D78)&gt;1,"two readings of this type: keep one; ",""))</f>
        <v/>
      </c>
    </row>
    <row r="79" customFormat="false" ht="15" hidden="false" customHeight="false" outlineLevel="0" collapsed="false">
      <c r="A79" s="11" t="n">
        <v>46401</v>
      </c>
      <c r="B79" s="38" t="n">
        <v>0.729166666666667</v>
      </c>
      <c r="C79" s="10" t="s">
        <v>1142</v>
      </c>
      <c r="D79" s="10" t="s">
        <v>1121</v>
      </c>
      <c r="E79" s="0" t="n">
        <v>2</v>
      </c>
      <c r="G79" s="30" t="str">
        <f aca="false">IF($C79="","",IFERROR(IF(INDEX(links!$A$2:$A$501,MATCH($C79,links!$D$2:$D$501,0))="","",INDEX(links!$A$2:$A$501,MATCH($C79,links!$D$2:$D$501,0))),""))</f>
        <v>SAMPLE-CMP-002</v>
      </c>
      <c r="H79" s="30" t="str">
        <f aca="false">IF($C79="","",IFERROR(IF(INDEX(links!$B$2:$B$501,MATCH($C79,links!$D$2:$D$501,0))="","",INDEX(links!$B$2:$B$501,MATCH($C79,links!$D$2:$D$501,0))),""))</f>
        <v>SAMPLE-O-005</v>
      </c>
      <c r="I79" s="30" t="str">
        <f aca="false">IF($C79="","",IFERROR(IF(INDEX(links!$C$2:$C$501,MATCH($C79,links!$D$2:$D$501,0))="","",INDEX(links!$C$2:$C$501,MATCH($C79,links!$D$2:$D$501,0))),""))</f>
        <v>post</v>
      </c>
      <c r="J79" s="30" t="str">
        <f aca="false">IF($C79="","",IF($G79="","slug not in links; ","")&amp;IF($D79="","reading type missing; ","")&amp;IF(COUNTIFS(scans!$C$2:$C$1601,$C79,scans!$D$2:$D$1601,$D79)&gt;1,"two readings of this type: keep one; ",""))</f>
        <v/>
      </c>
    </row>
    <row r="80" customFormat="false" ht="15" hidden="false" customHeight="false" outlineLevel="0" collapsed="false">
      <c r="A80" s="11" t="n">
        <v>46406</v>
      </c>
      <c r="B80" s="38" t="n">
        <v>0.729166666666667</v>
      </c>
      <c r="C80" s="10" t="s">
        <v>1142</v>
      </c>
      <c r="D80" s="10" t="s">
        <v>1122</v>
      </c>
      <c r="E80" s="0" t="n">
        <v>4</v>
      </c>
      <c r="G80" s="30" t="str">
        <f aca="false">IF($C80="","",IFERROR(IF(INDEX(links!$A$2:$A$501,MATCH($C80,links!$D$2:$D$501,0))="","",INDEX(links!$A$2:$A$501,MATCH($C80,links!$D$2:$D$501,0))),""))</f>
        <v>SAMPLE-CMP-002</v>
      </c>
      <c r="H80" s="30" t="str">
        <f aca="false">IF($C80="","",IFERROR(IF(INDEX(links!$B$2:$B$501,MATCH($C80,links!$D$2:$D$501,0))="","",INDEX(links!$B$2:$B$501,MATCH($C80,links!$D$2:$D$501,0))),""))</f>
        <v>SAMPLE-O-005</v>
      </c>
      <c r="I80" s="30" t="str">
        <f aca="false">IF($C80="","",IFERROR(IF(INDEX(links!$C$2:$C$501,MATCH($C80,links!$D$2:$D$501,0))="","",INDEX(links!$C$2:$C$501,MATCH($C80,links!$D$2:$D$501,0))),""))</f>
        <v>post</v>
      </c>
      <c r="J80" s="30" t="str">
        <f aca="false">IF($C80="","",IF($G80="","slug not in links; ","")&amp;IF($D80="","reading type missing; ","")&amp;IF(COUNTIFS(scans!$C$2:$C$1601,$C80,scans!$D$2:$D$1601,$D80)&gt;1,"two readings of this type: keep one; ",""))</f>
        <v/>
      </c>
    </row>
    <row r="81" customFormat="false" ht="15" hidden="false" customHeight="false" outlineLevel="0" collapsed="false">
      <c r="A81" s="11" t="n">
        <v>46409</v>
      </c>
      <c r="B81" s="38" t="n">
        <v>0.729166666666667</v>
      </c>
      <c r="C81" s="10" t="s">
        <v>1142</v>
      </c>
      <c r="D81" s="10" t="s">
        <v>1123</v>
      </c>
      <c r="E81" s="0" t="n">
        <v>5</v>
      </c>
      <c r="G81" s="30" t="str">
        <f aca="false">IF($C81="","",IFERROR(IF(INDEX(links!$A$2:$A$501,MATCH($C81,links!$D$2:$D$501,0))="","",INDEX(links!$A$2:$A$501,MATCH($C81,links!$D$2:$D$501,0))),""))</f>
        <v>SAMPLE-CMP-002</v>
      </c>
      <c r="H81" s="30" t="str">
        <f aca="false">IF($C81="","",IFERROR(IF(INDEX(links!$B$2:$B$501,MATCH($C81,links!$D$2:$D$501,0))="","",INDEX(links!$B$2:$B$501,MATCH($C81,links!$D$2:$D$501,0))),""))</f>
        <v>SAMPLE-O-005</v>
      </c>
      <c r="I81" s="30" t="str">
        <f aca="false">IF($C81="","",IFERROR(IF(INDEX(links!$C$2:$C$501,MATCH($C81,links!$D$2:$D$501,0))="","",INDEX(links!$C$2:$C$501,MATCH($C81,links!$D$2:$D$501,0))),""))</f>
        <v>post</v>
      </c>
      <c r="J81" s="30" t="str">
        <f aca="false">IF($C81="","",IF($G81="","slug not in links; ","")&amp;IF($D81="","reading type missing; ","")&amp;IF(COUNTIFS(scans!$C$2:$C$1601,$C81,scans!$D$2:$D$1601,$D81)&gt;1,"two readings of this type: keep one; ",""))</f>
        <v/>
      </c>
    </row>
    <row r="82" customFormat="false" ht="15" hidden="false" customHeight="false" outlineLevel="0" collapsed="false">
      <c r="A82" s="11" t="n">
        <v>46426</v>
      </c>
      <c r="B82" s="38" t="n">
        <v>0.729166666666667</v>
      </c>
      <c r="C82" s="10" t="s">
        <v>1143</v>
      </c>
      <c r="D82" s="10" t="s">
        <v>1120</v>
      </c>
      <c r="E82" s="0" t="n">
        <v>1</v>
      </c>
      <c r="G82" s="30" t="str">
        <f aca="false">IF($C82="","",IFERROR(IF(INDEX(links!$A$2:$A$501,MATCH($C82,links!$D$2:$D$501,0))="","",INDEX(links!$A$2:$A$501,MATCH($C82,links!$D$2:$D$501,0))),""))</f>
        <v>SAMPLE-CMP-003</v>
      </c>
      <c r="H82" s="30" t="str">
        <f aca="false">IF($C82="","",IFERROR(IF(INDEX(links!$B$2:$B$501,MATCH($C82,links!$D$2:$D$501,0))="","",INDEX(links!$B$2:$B$501,MATCH($C82,links!$D$2:$D$501,0))),""))</f>
        <v>SAMPLE-O-001</v>
      </c>
      <c r="I82" s="30" t="str">
        <f aca="false">IF($C82="","",IFERROR(IF(INDEX(links!$C$2:$C$501,MATCH($C82,links!$D$2:$D$501,0))="","",INDEX(links!$C$2:$C$501,MATCH($C82,links!$D$2:$D$501,0))),""))</f>
        <v>qr</v>
      </c>
      <c r="J82" s="30" t="str">
        <f aca="false">IF($C82="","",IF($G82="","slug not in links; ","")&amp;IF($D82="","reading type missing; ","")&amp;IF(COUNTIFS(scans!$C$2:$C$1601,$C82,scans!$D$2:$D$1601,$D82)&gt;1,"two readings of this type: keep one; ",""))</f>
        <v/>
      </c>
    </row>
    <row r="83" customFormat="false" ht="15" hidden="false" customHeight="false" outlineLevel="0" collapsed="false">
      <c r="A83" s="11" t="n">
        <v>46429</v>
      </c>
      <c r="B83" s="38" t="n">
        <v>0.729166666666667</v>
      </c>
      <c r="C83" s="10" t="s">
        <v>1143</v>
      </c>
      <c r="D83" s="10" t="s">
        <v>1121</v>
      </c>
      <c r="E83" s="0" t="n">
        <v>6</v>
      </c>
      <c r="G83" s="30" t="str">
        <f aca="false">IF($C83="","",IFERROR(IF(INDEX(links!$A$2:$A$501,MATCH($C83,links!$D$2:$D$501,0))="","",INDEX(links!$A$2:$A$501,MATCH($C83,links!$D$2:$D$501,0))),""))</f>
        <v>SAMPLE-CMP-003</v>
      </c>
      <c r="H83" s="30" t="str">
        <f aca="false">IF($C83="","",IFERROR(IF(INDEX(links!$B$2:$B$501,MATCH($C83,links!$D$2:$D$501,0))="","",INDEX(links!$B$2:$B$501,MATCH($C83,links!$D$2:$D$501,0))),""))</f>
        <v>SAMPLE-O-001</v>
      </c>
      <c r="I83" s="30" t="str">
        <f aca="false">IF($C83="","",IFERROR(IF(INDEX(links!$C$2:$C$501,MATCH($C83,links!$D$2:$D$501,0))="","",INDEX(links!$C$2:$C$501,MATCH($C83,links!$D$2:$D$501,0))),""))</f>
        <v>qr</v>
      </c>
      <c r="J83" s="30" t="str">
        <f aca="false">IF($C83="","",IF($G83="","slug not in links; ","")&amp;IF($D83="","reading type missing; ","")&amp;IF(COUNTIFS(scans!$C$2:$C$1601,$C83,scans!$D$2:$D$1601,$D83)&gt;1,"two readings of this type: keep one; ",""))</f>
        <v/>
      </c>
    </row>
    <row r="84" customFormat="false" ht="15" hidden="false" customHeight="false" outlineLevel="0" collapsed="false">
      <c r="A84" s="11" t="n">
        <v>46434</v>
      </c>
      <c r="B84" s="38" t="n">
        <v>0.729166666666667</v>
      </c>
      <c r="C84" s="10" t="s">
        <v>1143</v>
      </c>
      <c r="D84" s="10" t="s">
        <v>1122</v>
      </c>
      <c r="E84" s="0" t="n">
        <v>13</v>
      </c>
      <c r="G84" s="30" t="str">
        <f aca="false">IF($C84="","",IFERROR(IF(INDEX(links!$A$2:$A$501,MATCH($C84,links!$D$2:$D$501,0))="","",INDEX(links!$A$2:$A$501,MATCH($C84,links!$D$2:$D$501,0))),""))</f>
        <v>SAMPLE-CMP-003</v>
      </c>
      <c r="H84" s="30" t="str">
        <f aca="false">IF($C84="","",IFERROR(IF(INDEX(links!$B$2:$B$501,MATCH($C84,links!$D$2:$D$501,0))="","",INDEX(links!$B$2:$B$501,MATCH($C84,links!$D$2:$D$501,0))),""))</f>
        <v>SAMPLE-O-001</v>
      </c>
      <c r="I84" s="30" t="str">
        <f aca="false">IF($C84="","",IFERROR(IF(INDEX(links!$C$2:$C$501,MATCH($C84,links!$D$2:$D$501,0))="","",INDEX(links!$C$2:$C$501,MATCH($C84,links!$D$2:$D$501,0))),""))</f>
        <v>qr</v>
      </c>
      <c r="J84" s="30" t="str">
        <f aca="false">IF($C84="","",IF($G84="","slug not in links; ","")&amp;IF($D84="","reading type missing; ","")&amp;IF(COUNTIFS(scans!$C$2:$C$1601,$C84,scans!$D$2:$D$1601,$D84)&gt;1,"two readings of this type: keep one; ",""))</f>
        <v/>
      </c>
    </row>
    <row r="85" customFormat="false" ht="15" hidden="false" customHeight="false" outlineLevel="0" collapsed="false">
      <c r="A85" s="11" t="n">
        <v>46426</v>
      </c>
      <c r="B85" s="38" t="n">
        <v>0.729166666666667</v>
      </c>
      <c r="C85" s="10" t="s">
        <v>1144</v>
      </c>
      <c r="D85" s="10" t="s">
        <v>1120</v>
      </c>
      <c r="E85" s="0" t="n">
        <v>1</v>
      </c>
      <c r="G85" s="30" t="str">
        <f aca="false">IF($C85="","",IFERROR(IF(INDEX(links!$A$2:$A$501,MATCH($C85,links!$D$2:$D$501,0))="","",INDEX(links!$A$2:$A$501,MATCH($C85,links!$D$2:$D$501,0))),""))</f>
        <v>SAMPLE-CMP-003</v>
      </c>
      <c r="H85" s="30" t="str">
        <f aca="false">IF($C85="","",IFERROR(IF(INDEX(links!$B$2:$B$501,MATCH($C85,links!$D$2:$D$501,0))="","",INDEX(links!$B$2:$B$501,MATCH($C85,links!$D$2:$D$501,0))),""))</f>
        <v>SAMPLE-O-001</v>
      </c>
      <c r="I85" s="30" t="str">
        <f aca="false">IF($C85="","",IFERROR(IF(INDEX(links!$C$2:$C$501,MATCH($C85,links!$D$2:$D$501,0))="","",INDEX(links!$C$2:$C$501,MATCH($C85,links!$D$2:$D$501,0))),""))</f>
        <v>post</v>
      </c>
      <c r="J85" s="30" t="str">
        <f aca="false">IF($C85="","",IF($G85="","slug not in links; ","")&amp;IF($D85="","reading type missing; ","")&amp;IF(COUNTIFS(scans!$C$2:$C$1601,$C85,scans!$D$2:$D$1601,$D85)&gt;1,"two readings of this type: keep one; ",""))</f>
        <v/>
      </c>
    </row>
    <row r="86" customFormat="false" ht="15" hidden="false" customHeight="false" outlineLevel="0" collapsed="false">
      <c r="A86" s="11" t="n">
        <v>46429</v>
      </c>
      <c r="B86" s="38" t="n">
        <v>0.729166666666667</v>
      </c>
      <c r="C86" s="10" t="s">
        <v>1144</v>
      </c>
      <c r="D86" s="10" t="s">
        <v>1121</v>
      </c>
      <c r="E86" s="0" t="n">
        <v>6</v>
      </c>
      <c r="G86" s="30" t="str">
        <f aca="false">IF($C86="","",IFERROR(IF(INDEX(links!$A$2:$A$501,MATCH($C86,links!$D$2:$D$501,0))="","",INDEX(links!$A$2:$A$501,MATCH($C86,links!$D$2:$D$501,0))),""))</f>
        <v>SAMPLE-CMP-003</v>
      </c>
      <c r="H86" s="30" t="str">
        <f aca="false">IF($C86="","",IFERROR(IF(INDEX(links!$B$2:$B$501,MATCH($C86,links!$D$2:$D$501,0))="","",INDEX(links!$B$2:$B$501,MATCH($C86,links!$D$2:$D$501,0))),""))</f>
        <v>SAMPLE-O-001</v>
      </c>
      <c r="I86" s="30" t="str">
        <f aca="false">IF($C86="","",IFERROR(IF(INDEX(links!$C$2:$C$501,MATCH($C86,links!$D$2:$D$501,0))="","",INDEX(links!$C$2:$C$501,MATCH($C86,links!$D$2:$D$501,0))),""))</f>
        <v>post</v>
      </c>
      <c r="J86" s="30" t="str">
        <f aca="false">IF($C86="","",IF($G86="","slug not in links; ","")&amp;IF($D86="","reading type missing; ","")&amp;IF(COUNTIFS(scans!$C$2:$C$1601,$C86,scans!$D$2:$D$1601,$D86)&gt;1,"two readings of this type: keep one; ",""))</f>
        <v/>
      </c>
    </row>
    <row r="87" customFormat="false" ht="15" hidden="false" customHeight="false" outlineLevel="0" collapsed="false">
      <c r="A87" s="11" t="n">
        <v>46434</v>
      </c>
      <c r="B87" s="38" t="n">
        <v>0.729166666666667</v>
      </c>
      <c r="C87" s="10" t="s">
        <v>1144</v>
      </c>
      <c r="D87" s="10" t="s">
        <v>1122</v>
      </c>
      <c r="E87" s="0" t="n">
        <v>12</v>
      </c>
      <c r="G87" s="30" t="str">
        <f aca="false">IF($C87="","",IFERROR(IF(INDEX(links!$A$2:$A$501,MATCH($C87,links!$D$2:$D$501,0))="","",INDEX(links!$A$2:$A$501,MATCH($C87,links!$D$2:$D$501,0))),""))</f>
        <v>SAMPLE-CMP-003</v>
      </c>
      <c r="H87" s="30" t="str">
        <f aca="false">IF($C87="","",IFERROR(IF(INDEX(links!$B$2:$B$501,MATCH($C87,links!$D$2:$D$501,0))="","",INDEX(links!$B$2:$B$501,MATCH($C87,links!$D$2:$D$501,0))),""))</f>
        <v>SAMPLE-O-001</v>
      </c>
      <c r="I87" s="30" t="str">
        <f aca="false">IF($C87="","",IFERROR(IF(INDEX(links!$C$2:$C$501,MATCH($C87,links!$D$2:$D$501,0))="","",INDEX(links!$C$2:$C$501,MATCH($C87,links!$D$2:$D$501,0))),""))</f>
        <v>post</v>
      </c>
      <c r="J87" s="30" t="str">
        <f aca="false">IF($C87="","",IF($G87="","slug not in links; ","")&amp;IF($D87="","reading type missing; ","")&amp;IF(COUNTIFS(scans!$C$2:$C$1601,$C87,scans!$D$2:$D$1601,$D87)&gt;1,"two readings of this type: keep one; ",""))</f>
        <v/>
      </c>
    </row>
    <row r="88" customFormat="false" ht="15" hidden="false" customHeight="false" outlineLevel="0" collapsed="false">
      <c r="A88" s="11" t="n">
        <v>46426</v>
      </c>
      <c r="B88" s="38" t="n">
        <v>0.729166666666667</v>
      </c>
      <c r="C88" s="10" t="s">
        <v>1145</v>
      </c>
      <c r="D88" s="10" t="s">
        <v>1120</v>
      </c>
      <c r="E88" s="0" t="n">
        <v>1</v>
      </c>
      <c r="G88" s="30" t="str">
        <f aca="false">IF($C88="","",IFERROR(IF(INDEX(links!$A$2:$A$501,MATCH($C88,links!$D$2:$D$501,0))="","",INDEX(links!$A$2:$A$501,MATCH($C88,links!$D$2:$D$501,0))),""))</f>
        <v>SAMPLE-CMP-003</v>
      </c>
      <c r="H88" s="30" t="str">
        <f aca="false">IF($C88="","",IFERROR(IF(INDEX(links!$B$2:$B$501,MATCH($C88,links!$D$2:$D$501,0))="","",INDEX(links!$B$2:$B$501,MATCH($C88,links!$D$2:$D$501,0))),""))</f>
        <v>SAMPLE-O-002</v>
      </c>
      <c r="I88" s="30" t="str">
        <f aca="false">IF($C88="","",IFERROR(IF(INDEX(links!$C$2:$C$501,MATCH($C88,links!$D$2:$D$501,0))="","",INDEX(links!$C$2:$C$501,MATCH($C88,links!$D$2:$D$501,0))),""))</f>
        <v>qr</v>
      </c>
      <c r="J88" s="30" t="str">
        <f aca="false">IF($C88="","",IF($G88="","slug not in links; ","")&amp;IF($D88="","reading type missing; ","")&amp;IF(COUNTIFS(scans!$C$2:$C$1601,$C88,scans!$D$2:$D$1601,$D88)&gt;1,"two readings of this type: keep one; ",""))</f>
        <v/>
      </c>
    </row>
    <row r="89" customFormat="false" ht="15" hidden="false" customHeight="false" outlineLevel="0" collapsed="false">
      <c r="A89" s="11" t="n">
        <v>46429</v>
      </c>
      <c r="B89" s="38" t="n">
        <v>0.729166666666667</v>
      </c>
      <c r="C89" s="10" t="s">
        <v>1145</v>
      </c>
      <c r="D89" s="10" t="s">
        <v>1121</v>
      </c>
      <c r="E89" s="0" t="n">
        <v>4</v>
      </c>
      <c r="G89" s="30" t="str">
        <f aca="false">IF($C89="","",IFERROR(IF(INDEX(links!$A$2:$A$501,MATCH($C89,links!$D$2:$D$501,0))="","",INDEX(links!$A$2:$A$501,MATCH($C89,links!$D$2:$D$501,0))),""))</f>
        <v>SAMPLE-CMP-003</v>
      </c>
      <c r="H89" s="30" t="str">
        <f aca="false">IF($C89="","",IFERROR(IF(INDEX(links!$B$2:$B$501,MATCH($C89,links!$D$2:$D$501,0))="","",INDEX(links!$B$2:$B$501,MATCH($C89,links!$D$2:$D$501,0))),""))</f>
        <v>SAMPLE-O-002</v>
      </c>
      <c r="I89" s="30" t="str">
        <f aca="false">IF($C89="","",IFERROR(IF(INDEX(links!$C$2:$C$501,MATCH($C89,links!$D$2:$D$501,0))="","",INDEX(links!$C$2:$C$501,MATCH($C89,links!$D$2:$D$501,0))),""))</f>
        <v>qr</v>
      </c>
      <c r="J89" s="30" t="str">
        <f aca="false">IF($C89="","",IF($G89="","slug not in links; ","")&amp;IF($D89="","reading type missing; ","")&amp;IF(COUNTIFS(scans!$C$2:$C$1601,$C89,scans!$D$2:$D$1601,$D89)&gt;1,"two readings of this type: keep one; ",""))</f>
        <v/>
      </c>
    </row>
    <row r="90" customFormat="false" ht="15" hidden="false" customHeight="false" outlineLevel="0" collapsed="false">
      <c r="A90" s="11" t="n">
        <v>46434</v>
      </c>
      <c r="B90" s="38" t="n">
        <v>0.729166666666667</v>
      </c>
      <c r="C90" s="10" t="s">
        <v>1145</v>
      </c>
      <c r="D90" s="10" t="s">
        <v>1122</v>
      </c>
      <c r="E90" s="0" t="n">
        <v>9</v>
      </c>
      <c r="G90" s="30" t="str">
        <f aca="false">IF($C90="","",IFERROR(IF(INDEX(links!$A$2:$A$501,MATCH($C90,links!$D$2:$D$501,0))="","",INDEX(links!$A$2:$A$501,MATCH($C90,links!$D$2:$D$501,0))),""))</f>
        <v>SAMPLE-CMP-003</v>
      </c>
      <c r="H90" s="30" t="str">
        <f aca="false">IF($C90="","",IFERROR(IF(INDEX(links!$B$2:$B$501,MATCH($C90,links!$D$2:$D$501,0))="","",INDEX(links!$B$2:$B$501,MATCH($C90,links!$D$2:$D$501,0))),""))</f>
        <v>SAMPLE-O-002</v>
      </c>
      <c r="I90" s="30" t="str">
        <f aca="false">IF($C90="","",IFERROR(IF(INDEX(links!$C$2:$C$501,MATCH($C90,links!$D$2:$D$501,0))="","",INDEX(links!$C$2:$C$501,MATCH($C90,links!$D$2:$D$501,0))),""))</f>
        <v>qr</v>
      </c>
      <c r="J90" s="30" t="str">
        <f aca="false">IF($C90="","",IF($G90="","slug not in links; ","")&amp;IF($D90="","reading type missing; ","")&amp;IF(COUNTIFS(scans!$C$2:$C$1601,$C90,scans!$D$2:$D$1601,$D90)&gt;1,"two readings of this type: keep one; ",""))</f>
        <v/>
      </c>
    </row>
    <row r="91" customFormat="false" ht="15" hidden="false" customHeight="false" outlineLevel="0" collapsed="false">
      <c r="A91" s="11" t="n">
        <v>46426</v>
      </c>
      <c r="B91" s="38" t="n">
        <v>0.729166666666667</v>
      </c>
      <c r="C91" s="10" t="s">
        <v>1146</v>
      </c>
      <c r="D91" s="10" t="s">
        <v>1120</v>
      </c>
      <c r="E91" s="0" t="n">
        <v>1</v>
      </c>
      <c r="G91" s="30" t="str">
        <f aca="false">IF($C91="","",IFERROR(IF(INDEX(links!$A$2:$A$501,MATCH($C91,links!$D$2:$D$501,0))="","",INDEX(links!$A$2:$A$501,MATCH($C91,links!$D$2:$D$501,0))),""))</f>
        <v>SAMPLE-CMP-003</v>
      </c>
      <c r="H91" s="30" t="str">
        <f aca="false">IF($C91="","",IFERROR(IF(INDEX(links!$B$2:$B$501,MATCH($C91,links!$D$2:$D$501,0))="","",INDEX(links!$B$2:$B$501,MATCH($C91,links!$D$2:$D$501,0))),""))</f>
        <v>SAMPLE-O-002</v>
      </c>
      <c r="I91" s="30" t="str">
        <f aca="false">IF($C91="","",IFERROR(IF(INDEX(links!$C$2:$C$501,MATCH($C91,links!$D$2:$D$501,0))="","",INDEX(links!$C$2:$C$501,MATCH($C91,links!$D$2:$D$501,0))),""))</f>
        <v>post</v>
      </c>
      <c r="J91" s="30" t="str">
        <f aca="false">IF($C91="","",IF($G91="","slug not in links; ","")&amp;IF($D91="","reading type missing; ","")&amp;IF(COUNTIFS(scans!$C$2:$C$1601,$C91,scans!$D$2:$D$1601,$D91)&gt;1,"two readings of this type: keep one; ",""))</f>
        <v/>
      </c>
    </row>
    <row r="92" customFormat="false" ht="15" hidden="false" customHeight="false" outlineLevel="0" collapsed="false">
      <c r="A92" s="11" t="n">
        <v>46429</v>
      </c>
      <c r="B92" s="38" t="n">
        <v>0.729166666666667</v>
      </c>
      <c r="C92" s="10" t="s">
        <v>1146</v>
      </c>
      <c r="D92" s="10" t="s">
        <v>1121</v>
      </c>
      <c r="E92" s="0" t="n">
        <v>4</v>
      </c>
      <c r="G92" s="30" t="str">
        <f aca="false">IF($C92="","",IFERROR(IF(INDEX(links!$A$2:$A$501,MATCH($C92,links!$D$2:$D$501,0))="","",INDEX(links!$A$2:$A$501,MATCH($C92,links!$D$2:$D$501,0))),""))</f>
        <v>SAMPLE-CMP-003</v>
      </c>
      <c r="H92" s="30" t="str">
        <f aca="false">IF($C92="","",IFERROR(IF(INDEX(links!$B$2:$B$501,MATCH($C92,links!$D$2:$D$501,0))="","",INDEX(links!$B$2:$B$501,MATCH($C92,links!$D$2:$D$501,0))),""))</f>
        <v>SAMPLE-O-002</v>
      </c>
      <c r="I92" s="30" t="str">
        <f aca="false">IF($C92="","",IFERROR(IF(INDEX(links!$C$2:$C$501,MATCH($C92,links!$D$2:$D$501,0))="","",INDEX(links!$C$2:$C$501,MATCH($C92,links!$D$2:$D$501,0))),""))</f>
        <v>post</v>
      </c>
      <c r="J92" s="30" t="str">
        <f aca="false">IF($C92="","",IF($G92="","slug not in links; ","")&amp;IF($D92="","reading type missing; ","")&amp;IF(COUNTIFS(scans!$C$2:$C$1601,$C92,scans!$D$2:$D$1601,$D92)&gt;1,"two readings of this type: keep one; ",""))</f>
        <v/>
      </c>
    </row>
    <row r="93" customFormat="false" ht="15" hidden="false" customHeight="false" outlineLevel="0" collapsed="false">
      <c r="A93" s="11" t="n">
        <v>46434</v>
      </c>
      <c r="B93" s="38" t="n">
        <v>0.729166666666667</v>
      </c>
      <c r="C93" s="10" t="s">
        <v>1146</v>
      </c>
      <c r="D93" s="10" t="s">
        <v>1122</v>
      </c>
      <c r="E93" s="0" t="n">
        <v>8</v>
      </c>
      <c r="G93" s="30" t="str">
        <f aca="false">IF($C93="","",IFERROR(IF(INDEX(links!$A$2:$A$501,MATCH($C93,links!$D$2:$D$501,0))="","",INDEX(links!$A$2:$A$501,MATCH($C93,links!$D$2:$D$501,0))),""))</f>
        <v>SAMPLE-CMP-003</v>
      </c>
      <c r="H93" s="30" t="str">
        <f aca="false">IF($C93="","",IFERROR(IF(INDEX(links!$B$2:$B$501,MATCH($C93,links!$D$2:$D$501,0))="","",INDEX(links!$B$2:$B$501,MATCH($C93,links!$D$2:$D$501,0))),""))</f>
        <v>SAMPLE-O-002</v>
      </c>
      <c r="I93" s="30" t="str">
        <f aca="false">IF($C93="","",IFERROR(IF(INDEX(links!$C$2:$C$501,MATCH($C93,links!$D$2:$D$501,0))="","",INDEX(links!$C$2:$C$501,MATCH($C93,links!$D$2:$D$501,0))),""))</f>
        <v>post</v>
      </c>
      <c r="J93" s="30" t="str">
        <f aca="false">IF($C93="","",IF($G93="","slug not in links; ","")&amp;IF($D93="","reading type missing; ","")&amp;IF(COUNTIFS(scans!$C$2:$C$1601,$C93,scans!$D$2:$D$1601,$D93)&gt;1,"two readings of this type: keep one; ",""))</f>
        <v/>
      </c>
    </row>
    <row r="94" customFormat="false" ht="15" hidden="false" customHeight="false" outlineLevel="0" collapsed="false">
      <c r="A94" s="11" t="n">
        <v>46426</v>
      </c>
      <c r="B94" s="38" t="n">
        <v>0.729166666666667</v>
      </c>
      <c r="C94" s="10" t="s">
        <v>1147</v>
      </c>
      <c r="D94" s="10" t="s">
        <v>1120</v>
      </c>
      <c r="E94" s="0" t="n">
        <v>1</v>
      </c>
      <c r="G94" s="30" t="str">
        <f aca="false">IF($C94="","",IFERROR(IF(INDEX(links!$A$2:$A$501,MATCH($C94,links!$D$2:$D$501,0))="","",INDEX(links!$A$2:$A$501,MATCH($C94,links!$D$2:$D$501,0))),""))</f>
        <v>SAMPLE-CMP-003</v>
      </c>
      <c r="H94" s="30" t="str">
        <f aca="false">IF($C94="","",IFERROR(IF(INDEX(links!$B$2:$B$501,MATCH($C94,links!$D$2:$D$501,0))="","",INDEX(links!$B$2:$B$501,MATCH($C94,links!$D$2:$D$501,0))),""))</f>
        <v>SAMPLE-O-003</v>
      </c>
      <c r="I94" s="30" t="str">
        <f aca="false">IF($C94="","",IFERROR(IF(INDEX(links!$C$2:$C$501,MATCH($C94,links!$D$2:$D$501,0))="","",INDEX(links!$C$2:$C$501,MATCH($C94,links!$D$2:$D$501,0))),""))</f>
        <v>qr</v>
      </c>
      <c r="J94" s="30" t="str">
        <f aca="false">IF($C94="","",IF($G94="","slug not in links; ","")&amp;IF($D94="","reading type missing; ","")&amp;IF(COUNTIFS(scans!$C$2:$C$1601,$C94,scans!$D$2:$D$1601,$D94)&gt;1,"two readings of this type: keep one; ",""))</f>
        <v/>
      </c>
    </row>
    <row r="95" customFormat="false" ht="15" hidden="false" customHeight="false" outlineLevel="0" collapsed="false">
      <c r="A95" s="11" t="n">
        <v>46429</v>
      </c>
      <c r="B95" s="38" t="n">
        <v>0.729166666666667</v>
      </c>
      <c r="C95" s="10" t="s">
        <v>1147</v>
      </c>
      <c r="D95" s="10" t="s">
        <v>1121</v>
      </c>
      <c r="E95" s="0" t="n">
        <v>2</v>
      </c>
      <c r="G95" s="30" t="str">
        <f aca="false">IF($C95="","",IFERROR(IF(INDEX(links!$A$2:$A$501,MATCH($C95,links!$D$2:$D$501,0))="","",INDEX(links!$A$2:$A$501,MATCH($C95,links!$D$2:$D$501,0))),""))</f>
        <v>SAMPLE-CMP-003</v>
      </c>
      <c r="H95" s="30" t="str">
        <f aca="false">IF($C95="","",IFERROR(IF(INDEX(links!$B$2:$B$501,MATCH($C95,links!$D$2:$D$501,0))="","",INDEX(links!$B$2:$B$501,MATCH($C95,links!$D$2:$D$501,0))),""))</f>
        <v>SAMPLE-O-003</v>
      </c>
      <c r="I95" s="30" t="str">
        <f aca="false">IF($C95="","",IFERROR(IF(INDEX(links!$C$2:$C$501,MATCH($C95,links!$D$2:$D$501,0))="","",INDEX(links!$C$2:$C$501,MATCH($C95,links!$D$2:$D$501,0))),""))</f>
        <v>qr</v>
      </c>
      <c r="J95" s="30" t="str">
        <f aca="false">IF($C95="","",IF($G95="","slug not in links; ","")&amp;IF($D95="","reading type missing; ","")&amp;IF(COUNTIFS(scans!$C$2:$C$1601,$C95,scans!$D$2:$D$1601,$D95)&gt;1,"two readings of this type: keep one; ",""))</f>
        <v/>
      </c>
    </row>
    <row r="96" customFormat="false" ht="15" hidden="false" customHeight="false" outlineLevel="0" collapsed="false">
      <c r="A96" s="11" t="n">
        <v>46434</v>
      </c>
      <c r="B96" s="38" t="n">
        <v>0.729166666666667</v>
      </c>
      <c r="C96" s="10" t="s">
        <v>1147</v>
      </c>
      <c r="D96" s="10" t="s">
        <v>1122</v>
      </c>
      <c r="E96" s="0" t="n">
        <v>5</v>
      </c>
      <c r="G96" s="30" t="str">
        <f aca="false">IF($C96="","",IFERROR(IF(INDEX(links!$A$2:$A$501,MATCH($C96,links!$D$2:$D$501,0))="","",INDEX(links!$A$2:$A$501,MATCH($C96,links!$D$2:$D$501,0))),""))</f>
        <v>SAMPLE-CMP-003</v>
      </c>
      <c r="H96" s="30" t="str">
        <f aca="false">IF($C96="","",IFERROR(IF(INDEX(links!$B$2:$B$501,MATCH($C96,links!$D$2:$D$501,0))="","",INDEX(links!$B$2:$B$501,MATCH($C96,links!$D$2:$D$501,0))),""))</f>
        <v>SAMPLE-O-003</v>
      </c>
      <c r="I96" s="30" t="str">
        <f aca="false">IF($C96="","",IFERROR(IF(INDEX(links!$C$2:$C$501,MATCH($C96,links!$D$2:$D$501,0))="","",INDEX(links!$C$2:$C$501,MATCH($C96,links!$D$2:$D$501,0))),""))</f>
        <v>qr</v>
      </c>
      <c r="J96" s="30" t="str">
        <f aca="false">IF($C96="","",IF($G96="","slug not in links; ","")&amp;IF($D96="","reading type missing; ","")&amp;IF(COUNTIFS(scans!$C$2:$C$1601,$C96,scans!$D$2:$D$1601,$D96)&gt;1,"two readings of this type: keep one; ",""))</f>
        <v/>
      </c>
    </row>
    <row r="97" customFormat="false" ht="15" hidden="false" customHeight="false" outlineLevel="0" collapsed="false">
      <c r="A97" s="11" t="n">
        <v>46426</v>
      </c>
      <c r="B97" s="38" t="n">
        <v>0.729166666666667</v>
      </c>
      <c r="C97" s="10" t="s">
        <v>1148</v>
      </c>
      <c r="D97" s="10" t="s">
        <v>1120</v>
      </c>
      <c r="E97" s="0" t="n">
        <v>1</v>
      </c>
      <c r="G97" s="30" t="str">
        <f aca="false">IF($C97="","",IFERROR(IF(INDEX(links!$A$2:$A$501,MATCH($C97,links!$D$2:$D$501,0))="","",INDEX(links!$A$2:$A$501,MATCH($C97,links!$D$2:$D$501,0))),""))</f>
        <v>SAMPLE-CMP-003</v>
      </c>
      <c r="H97" s="30" t="str">
        <f aca="false">IF($C97="","",IFERROR(IF(INDEX(links!$B$2:$B$501,MATCH($C97,links!$D$2:$D$501,0))="","",INDEX(links!$B$2:$B$501,MATCH($C97,links!$D$2:$D$501,0))),""))</f>
        <v>SAMPLE-O-003</v>
      </c>
      <c r="I97" s="30" t="str">
        <f aca="false">IF($C97="","",IFERROR(IF(INDEX(links!$C$2:$C$501,MATCH($C97,links!$D$2:$D$501,0))="","",INDEX(links!$C$2:$C$501,MATCH($C97,links!$D$2:$D$501,0))),""))</f>
        <v>post</v>
      </c>
      <c r="J97" s="30" t="str">
        <f aca="false">IF($C97="","",IF($G97="","slug not in links; ","")&amp;IF($D97="","reading type missing; ","")&amp;IF(COUNTIFS(scans!$C$2:$C$1601,$C97,scans!$D$2:$D$1601,$D97)&gt;1,"two readings of this type: keep one; ",""))</f>
        <v/>
      </c>
    </row>
    <row r="98" customFormat="false" ht="15" hidden="false" customHeight="false" outlineLevel="0" collapsed="false">
      <c r="A98" s="11" t="n">
        <v>46429</v>
      </c>
      <c r="B98" s="38" t="n">
        <v>0.729166666666667</v>
      </c>
      <c r="C98" s="10" t="s">
        <v>1148</v>
      </c>
      <c r="D98" s="10" t="s">
        <v>1121</v>
      </c>
      <c r="E98" s="0" t="n">
        <v>2</v>
      </c>
      <c r="G98" s="30" t="str">
        <f aca="false">IF($C98="","",IFERROR(IF(INDEX(links!$A$2:$A$501,MATCH($C98,links!$D$2:$D$501,0))="","",INDEX(links!$A$2:$A$501,MATCH($C98,links!$D$2:$D$501,0))),""))</f>
        <v>SAMPLE-CMP-003</v>
      </c>
      <c r="H98" s="30" t="str">
        <f aca="false">IF($C98="","",IFERROR(IF(INDEX(links!$B$2:$B$501,MATCH($C98,links!$D$2:$D$501,0))="","",INDEX(links!$B$2:$B$501,MATCH($C98,links!$D$2:$D$501,0))),""))</f>
        <v>SAMPLE-O-003</v>
      </c>
      <c r="I98" s="30" t="str">
        <f aca="false">IF($C98="","",IFERROR(IF(INDEX(links!$C$2:$C$501,MATCH($C98,links!$D$2:$D$501,0))="","",INDEX(links!$C$2:$C$501,MATCH($C98,links!$D$2:$D$501,0))),""))</f>
        <v>post</v>
      </c>
      <c r="J98" s="30" t="str">
        <f aca="false">IF($C98="","",IF($G98="","slug not in links; ","")&amp;IF($D98="","reading type missing; ","")&amp;IF(COUNTIFS(scans!$C$2:$C$1601,$C98,scans!$D$2:$D$1601,$D98)&gt;1,"two readings of this type: keep one; ",""))</f>
        <v/>
      </c>
    </row>
    <row r="99" customFormat="false" ht="15" hidden="false" customHeight="false" outlineLevel="0" collapsed="false">
      <c r="A99" s="11" t="n">
        <v>46434</v>
      </c>
      <c r="B99" s="38" t="n">
        <v>0.729166666666667</v>
      </c>
      <c r="C99" s="10" t="s">
        <v>1148</v>
      </c>
      <c r="D99" s="10" t="s">
        <v>1122</v>
      </c>
      <c r="E99" s="0" t="n">
        <v>4</v>
      </c>
      <c r="G99" s="30" t="str">
        <f aca="false">IF($C99="","",IFERROR(IF(INDEX(links!$A$2:$A$501,MATCH($C99,links!$D$2:$D$501,0))="","",INDEX(links!$A$2:$A$501,MATCH($C99,links!$D$2:$D$501,0))),""))</f>
        <v>SAMPLE-CMP-003</v>
      </c>
      <c r="H99" s="30" t="str">
        <f aca="false">IF($C99="","",IFERROR(IF(INDEX(links!$B$2:$B$501,MATCH($C99,links!$D$2:$D$501,0))="","",INDEX(links!$B$2:$B$501,MATCH($C99,links!$D$2:$D$501,0))),""))</f>
        <v>SAMPLE-O-003</v>
      </c>
      <c r="I99" s="30" t="str">
        <f aca="false">IF($C99="","",IFERROR(IF(INDEX(links!$C$2:$C$501,MATCH($C99,links!$D$2:$D$501,0))="","",INDEX(links!$C$2:$C$501,MATCH($C99,links!$D$2:$D$501,0))),""))</f>
        <v>post</v>
      </c>
      <c r="J99" s="30" t="str">
        <f aca="false">IF($C99="","",IF($G99="","slug not in links; ","")&amp;IF($D99="","reading type missing; ","")&amp;IF(COUNTIFS(scans!$C$2:$C$1601,$C99,scans!$D$2:$D$1601,$D99)&gt;1,"two readings of this type: keep one; ",""))</f>
        <v/>
      </c>
    </row>
    <row r="100" customFormat="false" ht="15" hidden="false" customHeight="false" outlineLevel="0" collapsed="false">
      <c r="A100" s="11" t="n">
        <v>46426</v>
      </c>
      <c r="B100" s="38" t="n">
        <v>0.729166666666667</v>
      </c>
      <c r="C100" s="10" t="s">
        <v>1149</v>
      </c>
      <c r="D100" s="10" t="s">
        <v>1120</v>
      </c>
      <c r="E100" s="0" t="n">
        <v>1</v>
      </c>
      <c r="G100" s="30" t="str">
        <f aca="false">IF($C100="","",IFERROR(IF(INDEX(links!$A$2:$A$501,MATCH($C100,links!$D$2:$D$501,0))="","",INDEX(links!$A$2:$A$501,MATCH($C100,links!$D$2:$D$501,0))),""))</f>
        <v>SAMPLE-CMP-003</v>
      </c>
      <c r="H100" s="30" t="str">
        <f aca="false">IF($C100="","",IFERROR(IF(INDEX(links!$B$2:$B$501,MATCH($C100,links!$D$2:$D$501,0))="","",INDEX(links!$B$2:$B$501,MATCH($C100,links!$D$2:$D$501,0))),""))</f>
        <v>SAMPLE-O-004</v>
      </c>
      <c r="I100" s="30" t="str">
        <f aca="false">IF($C100="","",IFERROR(IF(INDEX(links!$C$2:$C$501,MATCH($C100,links!$D$2:$D$501,0))="","",INDEX(links!$C$2:$C$501,MATCH($C100,links!$D$2:$D$501,0))),""))</f>
        <v>qr</v>
      </c>
      <c r="J100" s="30" t="str">
        <f aca="false">IF($C100="","",IF($G100="","slug not in links; ","")&amp;IF($D100="","reading type missing; ","")&amp;IF(COUNTIFS(scans!$C$2:$C$1601,$C100,scans!$D$2:$D$1601,$D100)&gt;1,"two readings of this type: keep one; ",""))</f>
        <v/>
      </c>
    </row>
    <row r="101" customFormat="false" ht="15" hidden="false" customHeight="false" outlineLevel="0" collapsed="false">
      <c r="A101" s="11" t="n">
        <v>46429</v>
      </c>
      <c r="B101" s="38" t="n">
        <v>0.729166666666667</v>
      </c>
      <c r="C101" s="10" t="s">
        <v>1149</v>
      </c>
      <c r="D101" s="10" t="s">
        <v>1121</v>
      </c>
      <c r="E101" s="0" t="n">
        <v>6</v>
      </c>
      <c r="G101" s="30" t="str">
        <f aca="false">IF($C101="","",IFERROR(IF(INDEX(links!$A$2:$A$501,MATCH($C101,links!$D$2:$D$501,0))="","",INDEX(links!$A$2:$A$501,MATCH($C101,links!$D$2:$D$501,0))),""))</f>
        <v>SAMPLE-CMP-003</v>
      </c>
      <c r="H101" s="30" t="str">
        <f aca="false">IF($C101="","",IFERROR(IF(INDEX(links!$B$2:$B$501,MATCH($C101,links!$D$2:$D$501,0))="","",INDEX(links!$B$2:$B$501,MATCH($C101,links!$D$2:$D$501,0))),""))</f>
        <v>SAMPLE-O-004</v>
      </c>
      <c r="I101" s="30" t="str">
        <f aca="false">IF($C101="","",IFERROR(IF(INDEX(links!$C$2:$C$501,MATCH($C101,links!$D$2:$D$501,0))="","",INDEX(links!$C$2:$C$501,MATCH($C101,links!$D$2:$D$501,0))),""))</f>
        <v>qr</v>
      </c>
      <c r="J101" s="30" t="str">
        <f aca="false">IF($C101="","",IF($G101="","slug not in links; ","")&amp;IF($D101="","reading type missing; ","")&amp;IF(COUNTIFS(scans!$C$2:$C$1601,$C101,scans!$D$2:$D$1601,$D101)&gt;1,"two readings of this type: keep one; ",""))</f>
        <v/>
      </c>
    </row>
    <row r="102" customFormat="false" ht="15" hidden="false" customHeight="false" outlineLevel="0" collapsed="false">
      <c r="A102" s="11" t="n">
        <v>46434</v>
      </c>
      <c r="B102" s="38" t="n">
        <v>0.729166666666667</v>
      </c>
      <c r="C102" s="10" t="s">
        <v>1149</v>
      </c>
      <c r="D102" s="10" t="s">
        <v>1122</v>
      </c>
      <c r="E102" s="0" t="n">
        <v>13</v>
      </c>
      <c r="G102" s="30" t="str">
        <f aca="false">IF($C102="","",IFERROR(IF(INDEX(links!$A$2:$A$501,MATCH($C102,links!$D$2:$D$501,0))="","",INDEX(links!$A$2:$A$501,MATCH($C102,links!$D$2:$D$501,0))),""))</f>
        <v>SAMPLE-CMP-003</v>
      </c>
      <c r="H102" s="30" t="str">
        <f aca="false">IF($C102="","",IFERROR(IF(INDEX(links!$B$2:$B$501,MATCH($C102,links!$D$2:$D$501,0))="","",INDEX(links!$B$2:$B$501,MATCH($C102,links!$D$2:$D$501,0))),""))</f>
        <v>SAMPLE-O-004</v>
      </c>
      <c r="I102" s="30" t="str">
        <f aca="false">IF($C102="","",IFERROR(IF(INDEX(links!$C$2:$C$501,MATCH($C102,links!$D$2:$D$501,0))="","",INDEX(links!$C$2:$C$501,MATCH($C102,links!$D$2:$D$501,0))),""))</f>
        <v>qr</v>
      </c>
      <c r="J102" s="30" t="str">
        <f aca="false">IF($C102="","",IF($G102="","slug not in links; ","")&amp;IF($D102="","reading type missing; ","")&amp;IF(COUNTIFS(scans!$C$2:$C$1601,$C102,scans!$D$2:$D$1601,$D102)&gt;1,"two readings of this type: keep one; ",""))</f>
        <v/>
      </c>
    </row>
    <row r="103" customFormat="false" ht="15" hidden="false" customHeight="false" outlineLevel="0" collapsed="false">
      <c r="A103" s="11" t="n">
        <v>46426</v>
      </c>
      <c r="B103" s="38" t="n">
        <v>0.729166666666667</v>
      </c>
      <c r="C103" s="10" t="s">
        <v>1150</v>
      </c>
      <c r="D103" s="10" t="s">
        <v>1120</v>
      </c>
      <c r="E103" s="0" t="n">
        <v>1</v>
      </c>
      <c r="G103" s="30" t="str">
        <f aca="false">IF($C103="","",IFERROR(IF(INDEX(links!$A$2:$A$501,MATCH($C103,links!$D$2:$D$501,0))="","",INDEX(links!$A$2:$A$501,MATCH($C103,links!$D$2:$D$501,0))),""))</f>
        <v>SAMPLE-CMP-003</v>
      </c>
      <c r="H103" s="30" t="str">
        <f aca="false">IF($C103="","",IFERROR(IF(INDEX(links!$B$2:$B$501,MATCH($C103,links!$D$2:$D$501,0))="","",INDEX(links!$B$2:$B$501,MATCH($C103,links!$D$2:$D$501,0))),""))</f>
        <v>SAMPLE-O-004</v>
      </c>
      <c r="I103" s="30" t="str">
        <f aca="false">IF($C103="","",IFERROR(IF(INDEX(links!$C$2:$C$501,MATCH($C103,links!$D$2:$D$501,0))="","",INDEX(links!$C$2:$C$501,MATCH($C103,links!$D$2:$D$501,0))),""))</f>
        <v>post</v>
      </c>
      <c r="J103" s="30" t="str">
        <f aca="false">IF($C103="","",IF($G103="","slug not in links; ","")&amp;IF($D103="","reading type missing; ","")&amp;IF(COUNTIFS(scans!$C$2:$C$1601,$C103,scans!$D$2:$D$1601,$D103)&gt;1,"two readings of this type: keep one; ",""))</f>
        <v/>
      </c>
    </row>
    <row r="104" customFormat="false" ht="15" hidden="false" customHeight="false" outlineLevel="0" collapsed="false">
      <c r="A104" s="11" t="n">
        <v>46429</v>
      </c>
      <c r="B104" s="38" t="n">
        <v>0.729166666666667</v>
      </c>
      <c r="C104" s="10" t="s">
        <v>1150</v>
      </c>
      <c r="D104" s="10" t="s">
        <v>1121</v>
      </c>
      <c r="E104" s="0" t="n">
        <v>6</v>
      </c>
      <c r="G104" s="30" t="str">
        <f aca="false">IF($C104="","",IFERROR(IF(INDEX(links!$A$2:$A$501,MATCH($C104,links!$D$2:$D$501,0))="","",INDEX(links!$A$2:$A$501,MATCH($C104,links!$D$2:$D$501,0))),""))</f>
        <v>SAMPLE-CMP-003</v>
      </c>
      <c r="H104" s="30" t="str">
        <f aca="false">IF($C104="","",IFERROR(IF(INDEX(links!$B$2:$B$501,MATCH($C104,links!$D$2:$D$501,0))="","",INDEX(links!$B$2:$B$501,MATCH($C104,links!$D$2:$D$501,0))),""))</f>
        <v>SAMPLE-O-004</v>
      </c>
      <c r="I104" s="30" t="str">
        <f aca="false">IF($C104="","",IFERROR(IF(INDEX(links!$C$2:$C$501,MATCH($C104,links!$D$2:$D$501,0))="","",INDEX(links!$C$2:$C$501,MATCH($C104,links!$D$2:$D$501,0))),""))</f>
        <v>post</v>
      </c>
      <c r="J104" s="30" t="str">
        <f aca="false">IF($C104="","",IF($G104="","slug not in links; ","")&amp;IF($D104="","reading type missing; ","")&amp;IF(COUNTIFS(scans!$C$2:$C$1601,$C104,scans!$D$2:$D$1601,$D104)&gt;1,"two readings of this type: keep one; ",""))</f>
        <v/>
      </c>
    </row>
    <row r="105" customFormat="false" ht="15" hidden="false" customHeight="false" outlineLevel="0" collapsed="false">
      <c r="A105" s="11" t="n">
        <v>46434</v>
      </c>
      <c r="B105" s="38" t="n">
        <v>0.729166666666667</v>
      </c>
      <c r="C105" s="10" t="s">
        <v>1150</v>
      </c>
      <c r="D105" s="10" t="s">
        <v>1122</v>
      </c>
      <c r="E105" s="0" t="n">
        <v>12</v>
      </c>
      <c r="G105" s="30" t="str">
        <f aca="false">IF($C105="","",IFERROR(IF(INDEX(links!$A$2:$A$501,MATCH($C105,links!$D$2:$D$501,0))="","",INDEX(links!$A$2:$A$501,MATCH($C105,links!$D$2:$D$501,0))),""))</f>
        <v>SAMPLE-CMP-003</v>
      </c>
      <c r="H105" s="30" t="str">
        <f aca="false">IF($C105="","",IFERROR(IF(INDEX(links!$B$2:$B$501,MATCH($C105,links!$D$2:$D$501,0))="","",INDEX(links!$B$2:$B$501,MATCH($C105,links!$D$2:$D$501,0))),""))</f>
        <v>SAMPLE-O-004</v>
      </c>
      <c r="I105" s="30" t="str">
        <f aca="false">IF($C105="","",IFERROR(IF(INDEX(links!$C$2:$C$501,MATCH($C105,links!$D$2:$D$501,0))="","",INDEX(links!$C$2:$C$501,MATCH($C105,links!$D$2:$D$501,0))),""))</f>
        <v>post</v>
      </c>
      <c r="J105" s="30" t="str">
        <f aca="false">IF($C105="","",IF($G105="","slug not in links; ","")&amp;IF($D105="","reading type missing; ","")&amp;IF(COUNTIFS(scans!$C$2:$C$1601,$C105,scans!$D$2:$D$1601,$D105)&gt;1,"two readings of this type: keep one; ",""))</f>
        <v/>
      </c>
    </row>
    <row r="106" customFormat="false" ht="15" hidden="false" customHeight="false" outlineLevel="0" collapsed="false">
      <c r="A106" s="11" t="n">
        <v>46426</v>
      </c>
      <c r="B106" s="38" t="n">
        <v>0.729166666666667</v>
      </c>
      <c r="C106" s="10" t="s">
        <v>1151</v>
      </c>
      <c r="D106" s="10" t="s">
        <v>1120</v>
      </c>
      <c r="E106" s="0" t="n">
        <v>1</v>
      </c>
      <c r="G106" s="30" t="str">
        <f aca="false">IF($C106="","",IFERROR(IF(INDEX(links!$A$2:$A$501,MATCH($C106,links!$D$2:$D$501,0))="","",INDEX(links!$A$2:$A$501,MATCH($C106,links!$D$2:$D$501,0))),""))</f>
        <v>SAMPLE-CMP-003</v>
      </c>
      <c r="H106" s="30" t="str">
        <f aca="false">IF($C106="","",IFERROR(IF(INDEX(links!$B$2:$B$501,MATCH($C106,links!$D$2:$D$501,0))="","",INDEX(links!$B$2:$B$501,MATCH($C106,links!$D$2:$D$501,0))),""))</f>
        <v>SAMPLE-O-005</v>
      </c>
      <c r="I106" s="30" t="str">
        <f aca="false">IF($C106="","",IFERROR(IF(INDEX(links!$C$2:$C$501,MATCH($C106,links!$D$2:$D$501,0))="","",INDEX(links!$C$2:$C$501,MATCH($C106,links!$D$2:$D$501,0))),""))</f>
        <v>qr</v>
      </c>
      <c r="J106" s="30" t="str">
        <f aca="false">IF($C106="","",IF($G106="","slug not in links; ","")&amp;IF($D106="","reading type missing; ","")&amp;IF(COUNTIFS(scans!$C$2:$C$1601,$C106,scans!$D$2:$D$1601,$D106)&gt;1,"two readings of this type: keep one; ",""))</f>
        <v/>
      </c>
    </row>
    <row r="107" customFormat="false" ht="15" hidden="false" customHeight="false" outlineLevel="0" collapsed="false">
      <c r="A107" s="11" t="n">
        <v>46429</v>
      </c>
      <c r="B107" s="38" t="n">
        <v>0.729166666666667</v>
      </c>
      <c r="C107" s="10" t="s">
        <v>1151</v>
      </c>
      <c r="D107" s="10" t="s">
        <v>1121</v>
      </c>
      <c r="E107" s="0" t="n">
        <v>4</v>
      </c>
      <c r="G107" s="30" t="str">
        <f aca="false">IF($C107="","",IFERROR(IF(INDEX(links!$A$2:$A$501,MATCH($C107,links!$D$2:$D$501,0))="","",INDEX(links!$A$2:$A$501,MATCH($C107,links!$D$2:$D$501,0))),""))</f>
        <v>SAMPLE-CMP-003</v>
      </c>
      <c r="H107" s="30" t="str">
        <f aca="false">IF($C107="","",IFERROR(IF(INDEX(links!$B$2:$B$501,MATCH($C107,links!$D$2:$D$501,0))="","",INDEX(links!$B$2:$B$501,MATCH($C107,links!$D$2:$D$501,0))),""))</f>
        <v>SAMPLE-O-005</v>
      </c>
      <c r="I107" s="30" t="str">
        <f aca="false">IF($C107="","",IFERROR(IF(INDEX(links!$C$2:$C$501,MATCH($C107,links!$D$2:$D$501,0))="","",INDEX(links!$C$2:$C$501,MATCH($C107,links!$D$2:$D$501,0))),""))</f>
        <v>qr</v>
      </c>
      <c r="J107" s="30" t="str">
        <f aca="false">IF($C107="","",IF($G107="","slug not in links; ","")&amp;IF($D107="","reading type missing; ","")&amp;IF(COUNTIFS(scans!$C$2:$C$1601,$C107,scans!$D$2:$D$1601,$D107)&gt;1,"two readings of this type: keep one; ",""))</f>
        <v/>
      </c>
    </row>
    <row r="108" customFormat="false" ht="15" hidden="false" customHeight="false" outlineLevel="0" collapsed="false">
      <c r="A108" s="11" t="n">
        <v>46434</v>
      </c>
      <c r="B108" s="38" t="n">
        <v>0.729166666666667</v>
      </c>
      <c r="C108" s="10" t="s">
        <v>1151</v>
      </c>
      <c r="D108" s="10" t="s">
        <v>1122</v>
      </c>
      <c r="E108" s="0" t="n">
        <v>9</v>
      </c>
      <c r="G108" s="30" t="str">
        <f aca="false">IF($C108="","",IFERROR(IF(INDEX(links!$A$2:$A$501,MATCH($C108,links!$D$2:$D$501,0))="","",INDEX(links!$A$2:$A$501,MATCH($C108,links!$D$2:$D$501,0))),""))</f>
        <v>SAMPLE-CMP-003</v>
      </c>
      <c r="H108" s="30" t="str">
        <f aca="false">IF($C108="","",IFERROR(IF(INDEX(links!$B$2:$B$501,MATCH($C108,links!$D$2:$D$501,0))="","",INDEX(links!$B$2:$B$501,MATCH($C108,links!$D$2:$D$501,0))),""))</f>
        <v>SAMPLE-O-005</v>
      </c>
      <c r="I108" s="30" t="str">
        <f aca="false">IF($C108="","",IFERROR(IF(INDEX(links!$C$2:$C$501,MATCH($C108,links!$D$2:$D$501,0))="","",INDEX(links!$C$2:$C$501,MATCH($C108,links!$D$2:$D$501,0))),""))</f>
        <v>qr</v>
      </c>
      <c r="J108" s="30" t="str">
        <f aca="false">IF($C108="","",IF($G108="","slug not in links; ","")&amp;IF($D108="","reading type missing; ","")&amp;IF(COUNTIFS(scans!$C$2:$C$1601,$C108,scans!$D$2:$D$1601,$D108)&gt;1,"two readings of this type: keep one; ",""))</f>
        <v/>
      </c>
    </row>
    <row r="109" customFormat="false" ht="15" hidden="false" customHeight="false" outlineLevel="0" collapsed="false">
      <c r="A109" s="11" t="n">
        <v>46426</v>
      </c>
      <c r="B109" s="38" t="n">
        <v>0.729166666666667</v>
      </c>
      <c r="C109" s="10" t="s">
        <v>1152</v>
      </c>
      <c r="D109" s="10" t="s">
        <v>1120</v>
      </c>
      <c r="E109" s="0" t="n">
        <v>1</v>
      </c>
      <c r="G109" s="30" t="str">
        <f aca="false">IF($C109="","",IFERROR(IF(INDEX(links!$A$2:$A$501,MATCH($C109,links!$D$2:$D$501,0))="","",INDEX(links!$A$2:$A$501,MATCH($C109,links!$D$2:$D$501,0))),""))</f>
        <v>SAMPLE-CMP-003</v>
      </c>
      <c r="H109" s="30" t="str">
        <f aca="false">IF($C109="","",IFERROR(IF(INDEX(links!$B$2:$B$501,MATCH($C109,links!$D$2:$D$501,0))="","",INDEX(links!$B$2:$B$501,MATCH($C109,links!$D$2:$D$501,0))),""))</f>
        <v>SAMPLE-O-005</v>
      </c>
      <c r="I109" s="30" t="str">
        <f aca="false">IF($C109="","",IFERROR(IF(INDEX(links!$C$2:$C$501,MATCH($C109,links!$D$2:$D$501,0))="","",INDEX(links!$C$2:$C$501,MATCH($C109,links!$D$2:$D$501,0))),""))</f>
        <v>post</v>
      </c>
      <c r="J109" s="30" t="str">
        <f aca="false">IF($C109="","",IF($G109="","slug not in links; ","")&amp;IF($D109="","reading type missing; ","")&amp;IF(COUNTIFS(scans!$C$2:$C$1601,$C109,scans!$D$2:$D$1601,$D109)&gt;1,"two readings of this type: keep one; ",""))</f>
        <v/>
      </c>
    </row>
    <row r="110" customFormat="false" ht="15" hidden="false" customHeight="false" outlineLevel="0" collapsed="false">
      <c r="A110" s="11" t="n">
        <v>46429</v>
      </c>
      <c r="B110" s="38" t="n">
        <v>0.729166666666667</v>
      </c>
      <c r="C110" s="10" t="s">
        <v>1152</v>
      </c>
      <c r="D110" s="10" t="s">
        <v>1121</v>
      </c>
      <c r="E110" s="0" t="n">
        <v>4</v>
      </c>
      <c r="G110" s="30" t="str">
        <f aca="false">IF($C110="","",IFERROR(IF(INDEX(links!$A$2:$A$501,MATCH($C110,links!$D$2:$D$501,0))="","",INDEX(links!$A$2:$A$501,MATCH($C110,links!$D$2:$D$501,0))),""))</f>
        <v>SAMPLE-CMP-003</v>
      </c>
      <c r="H110" s="30" t="str">
        <f aca="false">IF($C110="","",IFERROR(IF(INDEX(links!$B$2:$B$501,MATCH($C110,links!$D$2:$D$501,0))="","",INDEX(links!$B$2:$B$501,MATCH($C110,links!$D$2:$D$501,0))),""))</f>
        <v>SAMPLE-O-005</v>
      </c>
      <c r="I110" s="30" t="str">
        <f aca="false">IF($C110="","",IFERROR(IF(INDEX(links!$C$2:$C$501,MATCH($C110,links!$D$2:$D$501,0))="","",INDEX(links!$C$2:$C$501,MATCH($C110,links!$D$2:$D$501,0))),""))</f>
        <v>post</v>
      </c>
      <c r="J110" s="30" t="str">
        <f aca="false">IF($C110="","",IF($G110="","slug not in links; ","")&amp;IF($D110="","reading type missing; ","")&amp;IF(COUNTIFS(scans!$C$2:$C$1601,$C110,scans!$D$2:$D$1601,$D110)&gt;1,"two readings of this type: keep one; ",""))</f>
        <v/>
      </c>
    </row>
    <row r="111" customFormat="false" ht="15" hidden="false" customHeight="false" outlineLevel="0" collapsed="false">
      <c r="A111" s="11" t="n">
        <v>46434</v>
      </c>
      <c r="B111" s="38" t="n">
        <v>0.729166666666667</v>
      </c>
      <c r="C111" s="10" t="s">
        <v>1152</v>
      </c>
      <c r="D111" s="10" t="s">
        <v>1122</v>
      </c>
      <c r="E111" s="0" t="n">
        <v>8</v>
      </c>
      <c r="G111" s="30" t="str">
        <f aca="false">IF($C111="","",IFERROR(IF(INDEX(links!$A$2:$A$501,MATCH($C111,links!$D$2:$D$501,0))="","",INDEX(links!$A$2:$A$501,MATCH($C111,links!$D$2:$D$501,0))),""))</f>
        <v>SAMPLE-CMP-003</v>
      </c>
      <c r="H111" s="30" t="str">
        <f aca="false">IF($C111="","",IFERROR(IF(INDEX(links!$B$2:$B$501,MATCH($C111,links!$D$2:$D$501,0))="","",INDEX(links!$B$2:$B$501,MATCH($C111,links!$D$2:$D$501,0))),""))</f>
        <v>SAMPLE-O-005</v>
      </c>
      <c r="I111" s="30" t="str">
        <f aca="false">IF($C111="","",IFERROR(IF(INDEX(links!$C$2:$C$501,MATCH($C111,links!$D$2:$D$501,0))="","",INDEX(links!$C$2:$C$501,MATCH($C111,links!$D$2:$D$501,0))),""))</f>
        <v>post</v>
      </c>
      <c r="J111" s="30" t="str">
        <f aca="false">IF($C111="","",IF($G111="","slug not in links; ","")&amp;IF($D111="","reading type missing; ","")&amp;IF(COUNTIFS(scans!$C$2:$C$1601,$C111,scans!$D$2:$D$1601,$D111)&gt;1,"two readings of this type: keep one; ",""))</f>
        <v/>
      </c>
    </row>
    <row r="112" customFormat="false" ht="15" hidden="false" customHeight="false" outlineLevel="0" collapsed="false">
      <c r="A112" s="11" t="n">
        <v>46426</v>
      </c>
      <c r="B112" s="38" t="n">
        <v>0.729166666666667</v>
      </c>
      <c r="C112" s="10" t="s">
        <v>1153</v>
      </c>
      <c r="D112" s="10" t="s">
        <v>1120</v>
      </c>
      <c r="E112" s="0" t="n">
        <v>1</v>
      </c>
      <c r="G112" s="30" t="str">
        <f aca="false">IF($C112="","",IFERROR(IF(INDEX(links!$A$2:$A$501,MATCH($C112,links!$D$2:$D$501,0))="","",INDEX(links!$A$2:$A$501,MATCH($C112,links!$D$2:$D$501,0))),""))</f>
        <v>SAMPLE-CMP-003</v>
      </c>
      <c r="H112" s="30" t="str">
        <f aca="false">IF($C112="","",IFERROR(IF(INDEX(links!$B$2:$B$501,MATCH($C112,links!$D$2:$D$501,0))="","",INDEX(links!$B$2:$B$501,MATCH($C112,links!$D$2:$D$501,0))),""))</f>
        <v>SAMPLE-O-006</v>
      </c>
      <c r="I112" s="30" t="str">
        <f aca="false">IF($C112="","",IFERROR(IF(INDEX(links!$C$2:$C$501,MATCH($C112,links!$D$2:$D$501,0))="","",INDEX(links!$C$2:$C$501,MATCH($C112,links!$D$2:$D$501,0))),""))</f>
        <v>qr</v>
      </c>
      <c r="J112" s="30" t="str">
        <f aca="false">IF($C112="","",IF($G112="","slug not in links; ","")&amp;IF($D112="","reading type missing; ","")&amp;IF(COUNTIFS(scans!$C$2:$C$1601,$C112,scans!$D$2:$D$1601,$D112)&gt;1,"two readings of this type: keep one; ",""))</f>
        <v/>
      </c>
    </row>
    <row r="113" customFormat="false" ht="15" hidden="false" customHeight="false" outlineLevel="0" collapsed="false">
      <c r="A113" s="11" t="n">
        <v>46429</v>
      </c>
      <c r="B113" s="38" t="n">
        <v>0.729166666666667</v>
      </c>
      <c r="C113" s="10" t="s">
        <v>1153</v>
      </c>
      <c r="D113" s="10" t="s">
        <v>1121</v>
      </c>
      <c r="E113" s="0" t="n">
        <v>2</v>
      </c>
      <c r="G113" s="30" t="str">
        <f aca="false">IF($C113="","",IFERROR(IF(INDEX(links!$A$2:$A$501,MATCH($C113,links!$D$2:$D$501,0))="","",INDEX(links!$A$2:$A$501,MATCH($C113,links!$D$2:$D$501,0))),""))</f>
        <v>SAMPLE-CMP-003</v>
      </c>
      <c r="H113" s="30" t="str">
        <f aca="false">IF($C113="","",IFERROR(IF(INDEX(links!$B$2:$B$501,MATCH($C113,links!$D$2:$D$501,0))="","",INDEX(links!$B$2:$B$501,MATCH($C113,links!$D$2:$D$501,0))),""))</f>
        <v>SAMPLE-O-006</v>
      </c>
      <c r="I113" s="30" t="str">
        <f aca="false">IF($C113="","",IFERROR(IF(INDEX(links!$C$2:$C$501,MATCH($C113,links!$D$2:$D$501,0))="","",INDEX(links!$C$2:$C$501,MATCH($C113,links!$D$2:$D$501,0))),""))</f>
        <v>qr</v>
      </c>
      <c r="J113" s="30" t="str">
        <f aca="false">IF($C113="","",IF($G113="","slug not in links; ","")&amp;IF($D113="","reading type missing; ","")&amp;IF(COUNTIFS(scans!$C$2:$C$1601,$C113,scans!$D$2:$D$1601,$D113)&gt;1,"two readings of this type: keep one; ",""))</f>
        <v/>
      </c>
    </row>
    <row r="114" customFormat="false" ht="15" hidden="false" customHeight="false" outlineLevel="0" collapsed="false">
      <c r="A114" s="11" t="n">
        <v>46434</v>
      </c>
      <c r="B114" s="38" t="n">
        <v>0.729166666666667</v>
      </c>
      <c r="C114" s="10" t="s">
        <v>1153</v>
      </c>
      <c r="D114" s="10" t="s">
        <v>1122</v>
      </c>
      <c r="E114" s="0" t="n">
        <v>5</v>
      </c>
      <c r="G114" s="30" t="str">
        <f aca="false">IF($C114="","",IFERROR(IF(INDEX(links!$A$2:$A$501,MATCH($C114,links!$D$2:$D$501,0))="","",INDEX(links!$A$2:$A$501,MATCH($C114,links!$D$2:$D$501,0))),""))</f>
        <v>SAMPLE-CMP-003</v>
      </c>
      <c r="H114" s="30" t="str">
        <f aca="false">IF($C114="","",IFERROR(IF(INDEX(links!$B$2:$B$501,MATCH($C114,links!$D$2:$D$501,0))="","",INDEX(links!$B$2:$B$501,MATCH($C114,links!$D$2:$D$501,0))),""))</f>
        <v>SAMPLE-O-006</v>
      </c>
      <c r="I114" s="30" t="str">
        <f aca="false">IF($C114="","",IFERROR(IF(INDEX(links!$C$2:$C$501,MATCH($C114,links!$D$2:$D$501,0))="","",INDEX(links!$C$2:$C$501,MATCH($C114,links!$D$2:$D$501,0))),""))</f>
        <v>qr</v>
      </c>
      <c r="J114" s="30" t="str">
        <f aca="false">IF($C114="","",IF($G114="","slug not in links; ","")&amp;IF($D114="","reading type missing; ","")&amp;IF(COUNTIFS(scans!$C$2:$C$1601,$C114,scans!$D$2:$D$1601,$D114)&gt;1,"two readings of this type: keep one; ",""))</f>
        <v/>
      </c>
    </row>
    <row r="115" customFormat="false" ht="15" hidden="false" customHeight="false" outlineLevel="0" collapsed="false">
      <c r="A115" s="11" t="n">
        <v>46426</v>
      </c>
      <c r="B115" s="38" t="n">
        <v>0.729166666666667</v>
      </c>
      <c r="C115" s="10" t="s">
        <v>1154</v>
      </c>
      <c r="D115" s="10" t="s">
        <v>1120</v>
      </c>
      <c r="E115" s="0" t="n">
        <v>1</v>
      </c>
      <c r="G115" s="30" t="str">
        <f aca="false">IF($C115="","",IFERROR(IF(INDEX(links!$A$2:$A$501,MATCH($C115,links!$D$2:$D$501,0))="","",INDEX(links!$A$2:$A$501,MATCH($C115,links!$D$2:$D$501,0))),""))</f>
        <v>SAMPLE-CMP-003</v>
      </c>
      <c r="H115" s="30" t="str">
        <f aca="false">IF($C115="","",IFERROR(IF(INDEX(links!$B$2:$B$501,MATCH($C115,links!$D$2:$D$501,0))="","",INDEX(links!$B$2:$B$501,MATCH($C115,links!$D$2:$D$501,0))),""))</f>
        <v>SAMPLE-O-006</v>
      </c>
      <c r="I115" s="30" t="str">
        <f aca="false">IF($C115="","",IFERROR(IF(INDEX(links!$C$2:$C$501,MATCH($C115,links!$D$2:$D$501,0))="","",INDEX(links!$C$2:$C$501,MATCH($C115,links!$D$2:$D$501,0))),""))</f>
        <v>post</v>
      </c>
      <c r="J115" s="30" t="str">
        <f aca="false">IF($C115="","",IF($G115="","slug not in links; ","")&amp;IF($D115="","reading type missing; ","")&amp;IF(COUNTIFS(scans!$C$2:$C$1601,$C115,scans!$D$2:$D$1601,$D115)&gt;1,"two readings of this type: keep one; ",""))</f>
        <v/>
      </c>
    </row>
    <row r="116" customFormat="false" ht="15" hidden="false" customHeight="false" outlineLevel="0" collapsed="false">
      <c r="A116" s="11" t="n">
        <v>46429</v>
      </c>
      <c r="B116" s="38" t="n">
        <v>0.729166666666667</v>
      </c>
      <c r="C116" s="10" t="s">
        <v>1154</v>
      </c>
      <c r="D116" s="10" t="s">
        <v>1121</v>
      </c>
      <c r="E116" s="0" t="n">
        <v>2</v>
      </c>
      <c r="G116" s="30" t="str">
        <f aca="false">IF($C116="","",IFERROR(IF(INDEX(links!$A$2:$A$501,MATCH($C116,links!$D$2:$D$501,0))="","",INDEX(links!$A$2:$A$501,MATCH($C116,links!$D$2:$D$501,0))),""))</f>
        <v>SAMPLE-CMP-003</v>
      </c>
      <c r="H116" s="30" t="str">
        <f aca="false">IF($C116="","",IFERROR(IF(INDEX(links!$B$2:$B$501,MATCH($C116,links!$D$2:$D$501,0))="","",INDEX(links!$B$2:$B$501,MATCH($C116,links!$D$2:$D$501,0))),""))</f>
        <v>SAMPLE-O-006</v>
      </c>
      <c r="I116" s="30" t="str">
        <f aca="false">IF($C116="","",IFERROR(IF(INDEX(links!$C$2:$C$501,MATCH($C116,links!$D$2:$D$501,0))="","",INDEX(links!$C$2:$C$501,MATCH($C116,links!$D$2:$D$501,0))),""))</f>
        <v>post</v>
      </c>
      <c r="J116" s="30" t="str">
        <f aca="false">IF($C116="","",IF($G116="","slug not in links; ","")&amp;IF($D116="","reading type missing; ","")&amp;IF(COUNTIFS(scans!$C$2:$C$1601,$C116,scans!$D$2:$D$1601,$D116)&gt;1,"two readings of this type: keep one; ",""))</f>
        <v/>
      </c>
    </row>
    <row r="117" customFormat="false" ht="15" hidden="false" customHeight="false" outlineLevel="0" collapsed="false">
      <c r="A117" s="11" t="n">
        <v>46434</v>
      </c>
      <c r="B117" s="38" t="n">
        <v>0.729166666666667</v>
      </c>
      <c r="C117" s="10" t="s">
        <v>1154</v>
      </c>
      <c r="D117" s="10" t="s">
        <v>1122</v>
      </c>
      <c r="E117" s="0" t="n">
        <v>4</v>
      </c>
      <c r="G117" s="30" t="str">
        <f aca="false">IF($C117="","",IFERROR(IF(INDEX(links!$A$2:$A$501,MATCH($C117,links!$D$2:$D$501,0))="","",INDEX(links!$A$2:$A$501,MATCH($C117,links!$D$2:$D$501,0))),""))</f>
        <v>SAMPLE-CMP-003</v>
      </c>
      <c r="H117" s="30" t="str">
        <f aca="false">IF($C117="","",IFERROR(IF(INDEX(links!$B$2:$B$501,MATCH($C117,links!$D$2:$D$501,0))="","",INDEX(links!$B$2:$B$501,MATCH($C117,links!$D$2:$D$501,0))),""))</f>
        <v>SAMPLE-O-006</v>
      </c>
      <c r="I117" s="30" t="str">
        <f aca="false">IF($C117="","",IFERROR(IF(INDEX(links!$C$2:$C$501,MATCH($C117,links!$D$2:$D$501,0))="","",INDEX(links!$C$2:$C$501,MATCH($C117,links!$D$2:$D$501,0))),""))</f>
        <v>post</v>
      </c>
      <c r="J117" s="30" t="str">
        <f aca="false">IF($C117="","",IF($G117="","slug not in links; ","")&amp;IF($D117="","reading type missing; ","")&amp;IF(COUNTIFS(scans!$C$2:$C$1601,$C117,scans!$D$2:$D$1601,$D117)&gt;1,"two readings of this type: keep one; ",""))</f>
        <v/>
      </c>
    </row>
    <row r="118" customFormat="false" ht="15" hidden="false" customHeight="false" outlineLevel="0" collapsed="false">
      <c r="A118" s="11" t="n">
        <v>46426</v>
      </c>
      <c r="B118" s="38" t="n">
        <v>0.729166666666667</v>
      </c>
      <c r="C118" s="10" t="s">
        <v>1155</v>
      </c>
      <c r="D118" s="10" t="s">
        <v>1120</v>
      </c>
      <c r="E118" s="0" t="n">
        <v>1</v>
      </c>
      <c r="G118" s="30" t="str">
        <f aca="false">IF($C118="","",IFERROR(IF(INDEX(links!$A$2:$A$501,MATCH($C118,links!$D$2:$D$501,0))="","",INDEX(links!$A$2:$A$501,MATCH($C118,links!$D$2:$D$501,0))),""))</f>
        <v>SAMPLE-CMP-003</v>
      </c>
      <c r="H118" s="30" t="str">
        <f aca="false">IF($C118="","",IFERROR(IF(INDEX(links!$B$2:$B$501,MATCH($C118,links!$D$2:$D$501,0))="","",INDEX(links!$B$2:$B$501,MATCH($C118,links!$D$2:$D$501,0))),""))</f>
        <v>SAMPLE-O-007</v>
      </c>
      <c r="I118" s="30" t="str">
        <f aca="false">IF($C118="","",IFERROR(IF(INDEX(links!$C$2:$C$501,MATCH($C118,links!$D$2:$D$501,0))="","",INDEX(links!$C$2:$C$501,MATCH($C118,links!$D$2:$D$501,0))),""))</f>
        <v>qr</v>
      </c>
      <c r="J118" s="30" t="str">
        <f aca="false">IF($C118="","",IF($G118="","slug not in links; ","")&amp;IF($D118="","reading type missing; ","")&amp;IF(COUNTIFS(scans!$C$2:$C$1601,$C118,scans!$D$2:$D$1601,$D118)&gt;1,"two readings of this type: keep one; ",""))</f>
        <v/>
      </c>
    </row>
    <row r="119" customFormat="false" ht="15" hidden="false" customHeight="false" outlineLevel="0" collapsed="false">
      <c r="A119" s="11" t="n">
        <v>46429</v>
      </c>
      <c r="B119" s="38" t="n">
        <v>0.729166666666667</v>
      </c>
      <c r="C119" s="10" t="s">
        <v>1155</v>
      </c>
      <c r="D119" s="10" t="s">
        <v>1121</v>
      </c>
      <c r="E119" s="0" t="n">
        <v>6</v>
      </c>
      <c r="G119" s="30" t="str">
        <f aca="false">IF($C119="","",IFERROR(IF(INDEX(links!$A$2:$A$501,MATCH($C119,links!$D$2:$D$501,0))="","",INDEX(links!$A$2:$A$501,MATCH($C119,links!$D$2:$D$501,0))),""))</f>
        <v>SAMPLE-CMP-003</v>
      </c>
      <c r="H119" s="30" t="str">
        <f aca="false">IF($C119="","",IFERROR(IF(INDEX(links!$B$2:$B$501,MATCH($C119,links!$D$2:$D$501,0))="","",INDEX(links!$B$2:$B$501,MATCH($C119,links!$D$2:$D$501,0))),""))</f>
        <v>SAMPLE-O-007</v>
      </c>
      <c r="I119" s="30" t="str">
        <f aca="false">IF($C119="","",IFERROR(IF(INDEX(links!$C$2:$C$501,MATCH($C119,links!$D$2:$D$501,0))="","",INDEX(links!$C$2:$C$501,MATCH($C119,links!$D$2:$D$501,0))),""))</f>
        <v>qr</v>
      </c>
      <c r="J119" s="30" t="str">
        <f aca="false">IF($C119="","",IF($G119="","slug not in links; ","")&amp;IF($D119="","reading type missing; ","")&amp;IF(COUNTIFS(scans!$C$2:$C$1601,$C119,scans!$D$2:$D$1601,$D119)&gt;1,"two readings of this type: keep one; ",""))</f>
        <v/>
      </c>
    </row>
    <row r="120" customFormat="false" ht="15" hidden="false" customHeight="false" outlineLevel="0" collapsed="false">
      <c r="A120" s="11" t="n">
        <v>46434</v>
      </c>
      <c r="B120" s="38" t="n">
        <v>0.729166666666667</v>
      </c>
      <c r="C120" s="10" t="s">
        <v>1155</v>
      </c>
      <c r="D120" s="10" t="s">
        <v>1122</v>
      </c>
      <c r="E120" s="0" t="n">
        <v>13</v>
      </c>
      <c r="G120" s="30" t="str">
        <f aca="false">IF($C120="","",IFERROR(IF(INDEX(links!$A$2:$A$501,MATCH($C120,links!$D$2:$D$501,0))="","",INDEX(links!$A$2:$A$501,MATCH($C120,links!$D$2:$D$501,0))),""))</f>
        <v>SAMPLE-CMP-003</v>
      </c>
      <c r="H120" s="30" t="str">
        <f aca="false">IF($C120="","",IFERROR(IF(INDEX(links!$B$2:$B$501,MATCH($C120,links!$D$2:$D$501,0))="","",INDEX(links!$B$2:$B$501,MATCH($C120,links!$D$2:$D$501,0))),""))</f>
        <v>SAMPLE-O-007</v>
      </c>
      <c r="I120" s="30" t="str">
        <f aca="false">IF($C120="","",IFERROR(IF(INDEX(links!$C$2:$C$501,MATCH($C120,links!$D$2:$D$501,0))="","",INDEX(links!$C$2:$C$501,MATCH($C120,links!$D$2:$D$501,0))),""))</f>
        <v>qr</v>
      </c>
      <c r="J120" s="30" t="str">
        <f aca="false">IF($C120="","",IF($G120="","slug not in links; ","")&amp;IF($D120="","reading type missing; ","")&amp;IF(COUNTIFS(scans!$C$2:$C$1601,$C120,scans!$D$2:$D$1601,$D120)&gt;1,"two readings of this type: keep one; ",""))</f>
        <v/>
      </c>
    </row>
    <row r="121" customFormat="false" ht="15" hidden="false" customHeight="false" outlineLevel="0" collapsed="false">
      <c r="A121" s="11" t="n">
        <v>46426</v>
      </c>
      <c r="B121" s="38" t="n">
        <v>0.729166666666667</v>
      </c>
      <c r="C121" s="10" t="s">
        <v>1156</v>
      </c>
      <c r="D121" s="10" t="s">
        <v>1120</v>
      </c>
      <c r="E121" s="0" t="n">
        <v>1</v>
      </c>
      <c r="G121" s="30" t="str">
        <f aca="false">IF($C121="","",IFERROR(IF(INDEX(links!$A$2:$A$501,MATCH($C121,links!$D$2:$D$501,0))="","",INDEX(links!$A$2:$A$501,MATCH($C121,links!$D$2:$D$501,0))),""))</f>
        <v>SAMPLE-CMP-003</v>
      </c>
      <c r="H121" s="30" t="str">
        <f aca="false">IF($C121="","",IFERROR(IF(INDEX(links!$B$2:$B$501,MATCH($C121,links!$D$2:$D$501,0))="","",INDEX(links!$B$2:$B$501,MATCH($C121,links!$D$2:$D$501,0))),""))</f>
        <v>SAMPLE-O-007</v>
      </c>
      <c r="I121" s="30" t="str">
        <f aca="false">IF($C121="","",IFERROR(IF(INDEX(links!$C$2:$C$501,MATCH($C121,links!$D$2:$D$501,0))="","",INDEX(links!$C$2:$C$501,MATCH($C121,links!$D$2:$D$501,0))),""))</f>
        <v>post</v>
      </c>
      <c r="J121" s="30" t="str">
        <f aca="false">IF($C121="","",IF($G121="","slug not in links; ","")&amp;IF($D121="","reading type missing; ","")&amp;IF(COUNTIFS(scans!$C$2:$C$1601,$C121,scans!$D$2:$D$1601,$D121)&gt;1,"two readings of this type: keep one; ",""))</f>
        <v/>
      </c>
    </row>
    <row r="122" customFormat="false" ht="15" hidden="false" customHeight="false" outlineLevel="0" collapsed="false">
      <c r="A122" s="11" t="n">
        <v>46429</v>
      </c>
      <c r="B122" s="38" t="n">
        <v>0.729166666666667</v>
      </c>
      <c r="C122" s="10" t="s">
        <v>1156</v>
      </c>
      <c r="D122" s="10" t="s">
        <v>1121</v>
      </c>
      <c r="E122" s="0" t="n">
        <v>6</v>
      </c>
      <c r="G122" s="30" t="str">
        <f aca="false">IF($C122="","",IFERROR(IF(INDEX(links!$A$2:$A$501,MATCH($C122,links!$D$2:$D$501,0))="","",INDEX(links!$A$2:$A$501,MATCH($C122,links!$D$2:$D$501,0))),""))</f>
        <v>SAMPLE-CMP-003</v>
      </c>
      <c r="H122" s="30" t="str">
        <f aca="false">IF($C122="","",IFERROR(IF(INDEX(links!$B$2:$B$501,MATCH($C122,links!$D$2:$D$501,0))="","",INDEX(links!$B$2:$B$501,MATCH($C122,links!$D$2:$D$501,0))),""))</f>
        <v>SAMPLE-O-007</v>
      </c>
      <c r="I122" s="30" t="str">
        <f aca="false">IF($C122="","",IFERROR(IF(INDEX(links!$C$2:$C$501,MATCH($C122,links!$D$2:$D$501,0))="","",INDEX(links!$C$2:$C$501,MATCH($C122,links!$D$2:$D$501,0))),""))</f>
        <v>post</v>
      </c>
      <c r="J122" s="30" t="str">
        <f aca="false">IF($C122="","",IF($G122="","slug not in links; ","")&amp;IF($D122="","reading type missing; ","")&amp;IF(COUNTIFS(scans!$C$2:$C$1601,$C122,scans!$D$2:$D$1601,$D122)&gt;1,"two readings of this type: keep one; ",""))</f>
        <v/>
      </c>
    </row>
    <row r="123" customFormat="false" ht="15" hidden="false" customHeight="false" outlineLevel="0" collapsed="false">
      <c r="A123" s="11" t="n">
        <v>46434</v>
      </c>
      <c r="B123" s="38" t="n">
        <v>0.729166666666667</v>
      </c>
      <c r="C123" s="10" t="s">
        <v>1156</v>
      </c>
      <c r="D123" s="10" t="s">
        <v>1122</v>
      </c>
      <c r="E123" s="0" t="n">
        <v>12</v>
      </c>
      <c r="G123" s="30" t="str">
        <f aca="false">IF($C123="","",IFERROR(IF(INDEX(links!$A$2:$A$501,MATCH($C123,links!$D$2:$D$501,0))="","",INDEX(links!$A$2:$A$501,MATCH($C123,links!$D$2:$D$501,0))),""))</f>
        <v>SAMPLE-CMP-003</v>
      </c>
      <c r="H123" s="30" t="str">
        <f aca="false">IF($C123="","",IFERROR(IF(INDEX(links!$B$2:$B$501,MATCH($C123,links!$D$2:$D$501,0))="","",INDEX(links!$B$2:$B$501,MATCH($C123,links!$D$2:$D$501,0))),""))</f>
        <v>SAMPLE-O-007</v>
      </c>
      <c r="I123" s="30" t="str">
        <f aca="false">IF($C123="","",IFERROR(IF(INDEX(links!$C$2:$C$501,MATCH($C123,links!$D$2:$D$501,0))="","",INDEX(links!$C$2:$C$501,MATCH($C123,links!$D$2:$D$501,0))),""))</f>
        <v>post</v>
      </c>
      <c r="J123" s="30" t="str">
        <f aca="false">IF($C123="","",IF($G123="","slug not in links; ","")&amp;IF($D123="","reading type missing; ","")&amp;IF(COUNTIFS(scans!$C$2:$C$1601,$C123,scans!$D$2:$D$1601,$D123)&gt;1,"two readings of this type: keep one; ",""))</f>
        <v/>
      </c>
    </row>
    <row r="124" customFormat="false" ht="15" hidden="false" customHeight="false" outlineLevel="0" collapsed="false">
      <c r="A124" s="11" t="n">
        <v>46426</v>
      </c>
      <c r="B124" s="38" t="n">
        <v>0.729166666666667</v>
      </c>
      <c r="C124" s="10" t="s">
        <v>1157</v>
      </c>
      <c r="D124" s="10" t="s">
        <v>1120</v>
      </c>
      <c r="E124" s="0" t="n">
        <v>1</v>
      </c>
      <c r="G124" s="30" t="str">
        <f aca="false">IF($C124="","",IFERROR(IF(INDEX(links!$A$2:$A$501,MATCH($C124,links!$D$2:$D$501,0))="","",INDEX(links!$A$2:$A$501,MATCH($C124,links!$D$2:$D$501,0))),""))</f>
        <v>SAMPLE-CMP-003</v>
      </c>
      <c r="H124" s="30" t="str">
        <f aca="false">IF($C124="","",IFERROR(IF(INDEX(links!$B$2:$B$501,MATCH($C124,links!$D$2:$D$501,0))="","",INDEX(links!$B$2:$B$501,MATCH($C124,links!$D$2:$D$501,0))),""))</f>
        <v>SAMPLE-O-008</v>
      </c>
      <c r="I124" s="30" t="str">
        <f aca="false">IF($C124="","",IFERROR(IF(INDEX(links!$C$2:$C$501,MATCH($C124,links!$D$2:$D$501,0))="","",INDEX(links!$C$2:$C$501,MATCH($C124,links!$D$2:$D$501,0))),""))</f>
        <v>qr</v>
      </c>
      <c r="J124" s="30" t="str">
        <f aca="false">IF($C124="","",IF($G124="","slug not in links; ","")&amp;IF($D124="","reading type missing; ","")&amp;IF(COUNTIFS(scans!$C$2:$C$1601,$C124,scans!$D$2:$D$1601,$D124)&gt;1,"two readings of this type: keep one; ",""))</f>
        <v/>
      </c>
    </row>
    <row r="125" customFormat="false" ht="15" hidden="false" customHeight="false" outlineLevel="0" collapsed="false">
      <c r="A125" s="11" t="n">
        <v>46429</v>
      </c>
      <c r="B125" s="38" t="n">
        <v>0.729166666666667</v>
      </c>
      <c r="C125" s="10" t="s">
        <v>1157</v>
      </c>
      <c r="D125" s="10" t="s">
        <v>1121</v>
      </c>
      <c r="E125" s="0" t="n">
        <v>4</v>
      </c>
      <c r="G125" s="30" t="str">
        <f aca="false">IF($C125="","",IFERROR(IF(INDEX(links!$A$2:$A$501,MATCH($C125,links!$D$2:$D$501,0))="","",INDEX(links!$A$2:$A$501,MATCH($C125,links!$D$2:$D$501,0))),""))</f>
        <v>SAMPLE-CMP-003</v>
      </c>
      <c r="H125" s="30" t="str">
        <f aca="false">IF($C125="","",IFERROR(IF(INDEX(links!$B$2:$B$501,MATCH($C125,links!$D$2:$D$501,0))="","",INDEX(links!$B$2:$B$501,MATCH($C125,links!$D$2:$D$501,0))),""))</f>
        <v>SAMPLE-O-008</v>
      </c>
      <c r="I125" s="30" t="str">
        <f aca="false">IF($C125="","",IFERROR(IF(INDEX(links!$C$2:$C$501,MATCH($C125,links!$D$2:$D$501,0))="","",INDEX(links!$C$2:$C$501,MATCH($C125,links!$D$2:$D$501,0))),""))</f>
        <v>qr</v>
      </c>
      <c r="J125" s="30" t="str">
        <f aca="false">IF($C125="","",IF($G125="","slug not in links; ","")&amp;IF($D125="","reading type missing; ","")&amp;IF(COUNTIFS(scans!$C$2:$C$1601,$C125,scans!$D$2:$D$1601,$D125)&gt;1,"two readings of this type: keep one; ",""))</f>
        <v/>
      </c>
    </row>
    <row r="126" customFormat="false" ht="15" hidden="false" customHeight="false" outlineLevel="0" collapsed="false">
      <c r="A126" s="11" t="n">
        <v>46434</v>
      </c>
      <c r="B126" s="38" t="n">
        <v>0.729166666666667</v>
      </c>
      <c r="C126" s="10" t="s">
        <v>1157</v>
      </c>
      <c r="D126" s="10" t="s">
        <v>1122</v>
      </c>
      <c r="E126" s="0" t="n">
        <v>9</v>
      </c>
      <c r="G126" s="30" t="str">
        <f aca="false">IF($C126="","",IFERROR(IF(INDEX(links!$A$2:$A$501,MATCH($C126,links!$D$2:$D$501,0))="","",INDEX(links!$A$2:$A$501,MATCH($C126,links!$D$2:$D$501,0))),""))</f>
        <v>SAMPLE-CMP-003</v>
      </c>
      <c r="H126" s="30" t="str">
        <f aca="false">IF($C126="","",IFERROR(IF(INDEX(links!$B$2:$B$501,MATCH($C126,links!$D$2:$D$501,0))="","",INDEX(links!$B$2:$B$501,MATCH($C126,links!$D$2:$D$501,0))),""))</f>
        <v>SAMPLE-O-008</v>
      </c>
      <c r="I126" s="30" t="str">
        <f aca="false">IF($C126="","",IFERROR(IF(INDEX(links!$C$2:$C$501,MATCH($C126,links!$D$2:$D$501,0))="","",INDEX(links!$C$2:$C$501,MATCH($C126,links!$D$2:$D$501,0))),""))</f>
        <v>qr</v>
      </c>
      <c r="J126" s="30" t="str">
        <f aca="false">IF($C126="","",IF($G126="","slug not in links; ","")&amp;IF($D126="","reading type missing; ","")&amp;IF(COUNTIFS(scans!$C$2:$C$1601,$C126,scans!$D$2:$D$1601,$D126)&gt;1,"two readings of this type: keep one; ",""))</f>
        <v/>
      </c>
    </row>
    <row r="127" customFormat="false" ht="15" hidden="false" customHeight="false" outlineLevel="0" collapsed="false">
      <c r="A127" s="11" t="n">
        <v>46426</v>
      </c>
      <c r="B127" s="38" t="n">
        <v>0.729166666666667</v>
      </c>
      <c r="C127" s="10" t="s">
        <v>1158</v>
      </c>
      <c r="D127" s="10" t="s">
        <v>1120</v>
      </c>
      <c r="E127" s="0" t="n">
        <v>1</v>
      </c>
      <c r="G127" s="30" t="str">
        <f aca="false">IF($C127="","",IFERROR(IF(INDEX(links!$A$2:$A$501,MATCH($C127,links!$D$2:$D$501,0))="","",INDEX(links!$A$2:$A$501,MATCH($C127,links!$D$2:$D$501,0))),""))</f>
        <v>SAMPLE-CMP-003</v>
      </c>
      <c r="H127" s="30" t="str">
        <f aca="false">IF($C127="","",IFERROR(IF(INDEX(links!$B$2:$B$501,MATCH($C127,links!$D$2:$D$501,0))="","",INDEX(links!$B$2:$B$501,MATCH($C127,links!$D$2:$D$501,0))),""))</f>
        <v>SAMPLE-O-008</v>
      </c>
      <c r="I127" s="30" t="str">
        <f aca="false">IF($C127="","",IFERROR(IF(INDEX(links!$C$2:$C$501,MATCH($C127,links!$D$2:$D$501,0))="","",INDEX(links!$C$2:$C$501,MATCH($C127,links!$D$2:$D$501,0))),""))</f>
        <v>post</v>
      </c>
      <c r="J127" s="30" t="str">
        <f aca="false">IF($C127="","",IF($G127="","slug not in links; ","")&amp;IF($D127="","reading type missing; ","")&amp;IF(COUNTIFS(scans!$C$2:$C$1601,$C127,scans!$D$2:$D$1601,$D127)&gt;1,"two readings of this type: keep one; ",""))</f>
        <v/>
      </c>
    </row>
    <row r="128" customFormat="false" ht="15" hidden="false" customHeight="false" outlineLevel="0" collapsed="false">
      <c r="A128" s="11" t="n">
        <v>46429</v>
      </c>
      <c r="B128" s="38" t="n">
        <v>0.729166666666667</v>
      </c>
      <c r="C128" s="10" t="s">
        <v>1158</v>
      </c>
      <c r="D128" s="10" t="s">
        <v>1121</v>
      </c>
      <c r="E128" s="0" t="n">
        <v>4</v>
      </c>
      <c r="G128" s="30" t="str">
        <f aca="false">IF($C128="","",IFERROR(IF(INDEX(links!$A$2:$A$501,MATCH($C128,links!$D$2:$D$501,0))="","",INDEX(links!$A$2:$A$501,MATCH($C128,links!$D$2:$D$501,0))),""))</f>
        <v>SAMPLE-CMP-003</v>
      </c>
      <c r="H128" s="30" t="str">
        <f aca="false">IF($C128="","",IFERROR(IF(INDEX(links!$B$2:$B$501,MATCH($C128,links!$D$2:$D$501,0))="","",INDEX(links!$B$2:$B$501,MATCH($C128,links!$D$2:$D$501,0))),""))</f>
        <v>SAMPLE-O-008</v>
      </c>
      <c r="I128" s="30" t="str">
        <f aca="false">IF($C128="","",IFERROR(IF(INDEX(links!$C$2:$C$501,MATCH($C128,links!$D$2:$D$501,0))="","",INDEX(links!$C$2:$C$501,MATCH($C128,links!$D$2:$D$501,0))),""))</f>
        <v>post</v>
      </c>
      <c r="J128" s="30" t="str">
        <f aca="false">IF($C128="","",IF($G128="","slug not in links; ","")&amp;IF($D128="","reading type missing; ","")&amp;IF(COUNTIFS(scans!$C$2:$C$1601,$C128,scans!$D$2:$D$1601,$D128)&gt;1,"two readings of this type: keep one; ",""))</f>
        <v/>
      </c>
    </row>
    <row r="129" customFormat="false" ht="15" hidden="false" customHeight="false" outlineLevel="0" collapsed="false">
      <c r="A129" s="11" t="n">
        <v>46434</v>
      </c>
      <c r="B129" s="38" t="n">
        <v>0.729166666666667</v>
      </c>
      <c r="C129" s="10" t="s">
        <v>1158</v>
      </c>
      <c r="D129" s="10" t="s">
        <v>1122</v>
      </c>
      <c r="E129" s="0" t="n">
        <v>8</v>
      </c>
      <c r="G129" s="30" t="str">
        <f aca="false">IF($C129="","",IFERROR(IF(INDEX(links!$A$2:$A$501,MATCH($C129,links!$D$2:$D$501,0))="","",INDEX(links!$A$2:$A$501,MATCH($C129,links!$D$2:$D$501,0))),""))</f>
        <v>SAMPLE-CMP-003</v>
      </c>
      <c r="H129" s="30" t="str">
        <f aca="false">IF($C129="","",IFERROR(IF(INDEX(links!$B$2:$B$501,MATCH($C129,links!$D$2:$D$501,0))="","",INDEX(links!$B$2:$B$501,MATCH($C129,links!$D$2:$D$501,0))),""))</f>
        <v>SAMPLE-O-008</v>
      </c>
      <c r="I129" s="30" t="str">
        <f aca="false">IF($C129="","",IFERROR(IF(INDEX(links!$C$2:$C$501,MATCH($C129,links!$D$2:$D$501,0))="","",INDEX(links!$C$2:$C$501,MATCH($C129,links!$D$2:$D$501,0))),""))</f>
        <v>post</v>
      </c>
      <c r="J129" s="30" t="str">
        <f aca="false">IF($C129="","",IF($G129="","slug not in links; ","")&amp;IF($D129="","reading type missing; ","")&amp;IF(COUNTIFS(scans!$C$2:$C$1601,$C129,scans!$D$2:$D$1601,$D129)&gt;1,"two readings of this type: keep one; ",""))</f>
        <v/>
      </c>
    </row>
    <row r="130" customFormat="false" ht="15" hidden="false" customHeight="false" outlineLevel="0" collapsed="false">
      <c r="A130" s="11" t="n">
        <v>46426</v>
      </c>
      <c r="B130" s="38" t="n">
        <v>0.729166666666667</v>
      </c>
      <c r="C130" s="10" t="s">
        <v>1159</v>
      </c>
      <c r="D130" s="10" t="s">
        <v>1120</v>
      </c>
      <c r="E130" s="0" t="n">
        <v>1</v>
      </c>
      <c r="G130" s="30" t="str">
        <f aca="false">IF($C130="","",IFERROR(IF(INDEX(links!$A$2:$A$501,MATCH($C130,links!$D$2:$D$501,0))="","",INDEX(links!$A$2:$A$501,MATCH($C130,links!$D$2:$D$501,0))),""))</f>
        <v>SAMPLE-CMP-003</v>
      </c>
      <c r="H130" s="30" t="str">
        <f aca="false">IF($C130="","",IFERROR(IF(INDEX(links!$B$2:$B$501,MATCH($C130,links!$D$2:$D$501,0))="","",INDEX(links!$B$2:$B$501,MATCH($C130,links!$D$2:$D$501,0))),""))</f>
        <v>SAMPLE-O-009</v>
      </c>
      <c r="I130" s="30" t="str">
        <f aca="false">IF($C130="","",IFERROR(IF(INDEX(links!$C$2:$C$501,MATCH($C130,links!$D$2:$D$501,0))="","",INDEX(links!$C$2:$C$501,MATCH($C130,links!$D$2:$D$501,0))),""))</f>
        <v>qr</v>
      </c>
      <c r="J130" s="30" t="str">
        <f aca="false">IF($C130="","",IF($G130="","slug not in links; ","")&amp;IF($D130="","reading type missing; ","")&amp;IF(COUNTIFS(scans!$C$2:$C$1601,$C130,scans!$D$2:$D$1601,$D130)&gt;1,"two readings of this type: keep one; ",""))</f>
        <v/>
      </c>
    </row>
    <row r="131" customFormat="false" ht="15" hidden="false" customHeight="false" outlineLevel="0" collapsed="false">
      <c r="A131" s="11" t="n">
        <v>46429</v>
      </c>
      <c r="B131" s="38" t="n">
        <v>0.729166666666667</v>
      </c>
      <c r="C131" s="10" t="s">
        <v>1159</v>
      </c>
      <c r="D131" s="10" t="s">
        <v>1121</v>
      </c>
      <c r="E131" s="0" t="n">
        <v>2</v>
      </c>
      <c r="G131" s="30" t="str">
        <f aca="false">IF($C131="","",IFERROR(IF(INDEX(links!$A$2:$A$501,MATCH($C131,links!$D$2:$D$501,0))="","",INDEX(links!$A$2:$A$501,MATCH($C131,links!$D$2:$D$501,0))),""))</f>
        <v>SAMPLE-CMP-003</v>
      </c>
      <c r="H131" s="30" t="str">
        <f aca="false">IF($C131="","",IFERROR(IF(INDEX(links!$B$2:$B$501,MATCH($C131,links!$D$2:$D$501,0))="","",INDEX(links!$B$2:$B$501,MATCH($C131,links!$D$2:$D$501,0))),""))</f>
        <v>SAMPLE-O-009</v>
      </c>
      <c r="I131" s="30" t="str">
        <f aca="false">IF($C131="","",IFERROR(IF(INDEX(links!$C$2:$C$501,MATCH($C131,links!$D$2:$D$501,0))="","",INDEX(links!$C$2:$C$501,MATCH($C131,links!$D$2:$D$501,0))),""))</f>
        <v>qr</v>
      </c>
      <c r="J131" s="30" t="str">
        <f aca="false">IF($C131="","",IF($G131="","slug not in links; ","")&amp;IF($D131="","reading type missing; ","")&amp;IF(COUNTIFS(scans!$C$2:$C$1601,$C131,scans!$D$2:$D$1601,$D131)&gt;1,"two readings of this type: keep one; ",""))</f>
        <v/>
      </c>
    </row>
    <row r="132" customFormat="false" ht="15" hidden="false" customHeight="false" outlineLevel="0" collapsed="false">
      <c r="A132" s="11" t="n">
        <v>46434</v>
      </c>
      <c r="B132" s="38" t="n">
        <v>0.729166666666667</v>
      </c>
      <c r="C132" s="10" t="s">
        <v>1159</v>
      </c>
      <c r="D132" s="10" t="s">
        <v>1122</v>
      </c>
      <c r="E132" s="0" t="n">
        <v>5</v>
      </c>
      <c r="G132" s="30" t="str">
        <f aca="false">IF($C132="","",IFERROR(IF(INDEX(links!$A$2:$A$501,MATCH($C132,links!$D$2:$D$501,0))="","",INDEX(links!$A$2:$A$501,MATCH($C132,links!$D$2:$D$501,0))),""))</f>
        <v>SAMPLE-CMP-003</v>
      </c>
      <c r="H132" s="30" t="str">
        <f aca="false">IF($C132="","",IFERROR(IF(INDEX(links!$B$2:$B$501,MATCH($C132,links!$D$2:$D$501,0))="","",INDEX(links!$B$2:$B$501,MATCH($C132,links!$D$2:$D$501,0))),""))</f>
        <v>SAMPLE-O-009</v>
      </c>
      <c r="I132" s="30" t="str">
        <f aca="false">IF($C132="","",IFERROR(IF(INDEX(links!$C$2:$C$501,MATCH($C132,links!$D$2:$D$501,0))="","",INDEX(links!$C$2:$C$501,MATCH($C132,links!$D$2:$D$501,0))),""))</f>
        <v>qr</v>
      </c>
      <c r="J132" s="30" t="str">
        <f aca="false">IF($C132="","",IF($G132="","slug not in links; ","")&amp;IF($D132="","reading type missing; ","")&amp;IF(COUNTIFS(scans!$C$2:$C$1601,$C132,scans!$D$2:$D$1601,$D132)&gt;1,"two readings of this type: keep one; ",""))</f>
        <v/>
      </c>
    </row>
    <row r="133" customFormat="false" ht="15" hidden="false" customHeight="false" outlineLevel="0" collapsed="false">
      <c r="A133" s="11" t="n">
        <v>46426</v>
      </c>
      <c r="B133" s="38" t="n">
        <v>0.729166666666667</v>
      </c>
      <c r="C133" s="10" t="s">
        <v>1160</v>
      </c>
      <c r="D133" s="10" t="s">
        <v>1120</v>
      </c>
      <c r="E133" s="0" t="n">
        <v>1</v>
      </c>
      <c r="G133" s="30" t="str">
        <f aca="false">IF($C133="","",IFERROR(IF(INDEX(links!$A$2:$A$501,MATCH($C133,links!$D$2:$D$501,0))="","",INDEX(links!$A$2:$A$501,MATCH($C133,links!$D$2:$D$501,0))),""))</f>
        <v>SAMPLE-CMP-003</v>
      </c>
      <c r="H133" s="30" t="str">
        <f aca="false">IF($C133="","",IFERROR(IF(INDEX(links!$B$2:$B$501,MATCH($C133,links!$D$2:$D$501,0))="","",INDEX(links!$B$2:$B$501,MATCH($C133,links!$D$2:$D$501,0))),""))</f>
        <v>SAMPLE-O-009</v>
      </c>
      <c r="I133" s="30" t="str">
        <f aca="false">IF($C133="","",IFERROR(IF(INDEX(links!$C$2:$C$501,MATCH($C133,links!$D$2:$D$501,0))="","",INDEX(links!$C$2:$C$501,MATCH($C133,links!$D$2:$D$501,0))),""))</f>
        <v>post</v>
      </c>
      <c r="J133" s="30" t="str">
        <f aca="false">IF($C133="","",IF($G133="","slug not in links; ","")&amp;IF($D133="","reading type missing; ","")&amp;IF(COUNTIFS(scans!$C$2:$C$1601,$C133,scans!$D$2:$D$1601,$D133)&gt;1,"two readings of this type: keep one; ",""))</f>
        <v/>
      </c>
    </row>
    <row r="134" customFormat="false" ht="15" hidden="false" customHeight="false" outlineLevel="0" collapsed="false">
      <c r="A134" s="11" t="n">
        <v>46429</v>
      </c>
      <c r="B134" s="38" t="n">
        <v>0.729166666666667</v>
      </c>
      <c r="C134" s="10" t="s">
        <v>1160</v>
      </c>
      <c r="D134" s="10" t="s">
        <v>1121</v>
      </c>
      <c r="E134" s="0" t="n">
        <v>2</v>
      </c>
      <c r="G134" s="30" t="str">
        <f aca="false">IF($C134="","",IFERROR(IF(INDEX(links!$A$2:$A$501,MATCH($C134,links!$D$2:$D$501,0))="","",INDEX(links!$A$2:$A$501,MATCH($C134,links!$D$2:$D$501,0))),""))</f>
        <v>SAMPLE-CMP-003</v>
      </c>
      <c r="H134" s="30" t="str">
        <f aca="false">IF($C134="","",IFERROR(IF(INDEX(links!$B$2:$B$501,MATCH($C134,links!$D$2:$D$501,0))="","",INDEX(links!$B$2:$B$501,MATCH($C134,links!$D$2:$D$501,0))),""))</f>
        <v>SAMPLE-O-009</v>
      </c>
      <c r="I134" s="30" t="str">
        <f aca="false">IF($C134="","",IFERROR(IF(INDEX(links!$C$2:$C$501,MATCH($C134,links!$D$2:$D$501,0))="","",INDEX(links!$C$2:$C$501,MATCH($C134,links!$D$2:$D$501,0))),""))</f>
        <v>post</v>
      </c>
      <c r="J134" s="30" t="str">
        <f aca="false">IF($C134="","",IF($G134="","slug not in links; ","")&amp;IF($D134="","reading type missing; ","")&amp;IF(COUNTIFS(scans!$C$2:$C$1601,$C134,scans!$D$2:$D$1601,$D134)&gt;1,"two readings of this type: keep one; ",""))</f>
        <v/>
      </c>
    </row>
    <row r="135" customFormat="false" ht="15" hidden="false" customHeight="false" outlineLevel="0" collapsed="false">
      <c r="A135" s="11" t="n">
        <v>46434</v>
      </c>
      <c r="B135" s="38" t="n">
        <v>0.729166666666667</v>
      </c>
      <c r="C135" s="10" t="s">
        <v>1160</v>
      </c>
      <c r="D135" s="10" t="s">
        <v>1122</v>
      </c>
      <c r="E135" s="0" t="n">
        <v>4</v>
      </c>
      <c r="G135" s="30" t="str">
        <f aca="false">IF($C135="","",IFERROR(IF(INDEX(links!$A$2:$A$501,MATCH($C135,links!$D$2:$D$501,0))="","",INDEX(links!$A$2:$A$501,MATCH($C135,links!$D$2:$D$501,0))),""))</f>
        <v>SAMPLE-CMP-003</v>
      </c>
      <c r="H135" s="30" t="str">
        <f aca="false">IF($C135="","",IFERROR(IF(INDEX(links!$B$2:$B$501,MATCH($C135,links!$D$2:$D$501,0))="","",INDEX(links!$B$2:$B$501,MATCH($C135,links!$D$2:$D$501,0))),""))</f>
        <v>SAMPLE-O-009</v>
      </c>
      <c r="I135" s="30" t="str">
        <f aca="false">IF($C135="","",IFERROR(IF(INDEX(links!$C$2:$C$501,MATCH($C135,links!$D$2:$D$501,0))="","",INDEX(links!$C$2:$C$501,MATCH($C135,links!$D$2:$D$501,0))),""))</f>
        <v>post</v>
      </c>
      <c r="J135" s="30" t="str">
        <f aca="false">IF($C135="","",IF($G135="","slug not in links; ","")&amp;IF($D135="","reading type missing; ","")&amp;IF(COUNTIFS(scans!$C$2:$C$1601,$C135,scans!$D$2:$D$1601,$D135)&gt;1,"two readings of this type: keep one; ",""))</f>
        <v/>
      </c>
    </row>
    <row r="136" customFormat="false" ht="15" hidden="false" customHeight="false" outlineLevel="0" collapsed="false">
      <c r="A136" s="11" t="n">
        <v>46426</v>
      </c>
      <c r="B136" s="38" t="n">
        <v>0.729166666666667</v>
      </c>
      <c r="C136" s="10" t="s">
        <v>1161</v>
      </c>
      <c r="D136" s="10" t="s">
        <v>1120</v>
      </c>
      <c r="E136" s="0" t="n">
        <v>1</v>
      </c>
      <c r="G136" s="30" t="str">
        <f aca="false">IF($C136="","",IFERROR(IF(INDEX(links!$A$2:$A$501,MATCH($C136,links!$D$2:$D$501,0))="","",INDEX(links!$A$2:$A$501,MATCH($C136,links!$D$2:$D$501,0))),""))</f>
        <v>SAMPLE-CMP-003</v>
      </c>
      <c r="H136" s="30" t="str">
        <f aca="false">IF($C136="","",IFERROR(IF(INDEX(links!$B$2:$B$501,MATCH($C136,links!$D$2:$D$501,0))="","",INDEX(links!$B$2:$B$501,MATCH($C136,links!$D$2:$D$501,0))),""))</f>
        <v>SAMPLE-O-010</v>
      </c>
      <c r="I136" s="30" t="str">
        <f aca="false">IF($C136="","",IFERROR(IF(INDEX(links!$C$2:$C$501,MATCH($C136,links!$D$2:$D$501,0))="","",INDEX(links!$C$2:$C$501,MATCH($C136,links!$D$2:$D$501,0))),""))</f>
        <v>qr</v>
      </c>
      <c r="J136" s="30" t="str">
        <f aca="false">IF($C136="","",IF($G136="","slug not in links; ","")&amp;IF($D136="","reading type missing; ","")&amp;IF(COUNTIFS(scans!$C$2:$C$1601,$C136,scans!$D$2:$D$1601,$D136)&gt;1,"two readings of this type: keep one; ",""))</f>
        <v/>
      </c>
    </row>
    <row r="137" customFormat="false" ht="15" hidden="false" customHeight="false" outlineLevel="0" collapsed="false">
      <c r="A137" s="11" t="n">
        <v>46429</v>
      </c>
      <c r="B137" s="38" t="n">
        <v>0.729166666666667</v>
      </c>
      <c r="C137" s="10" t="s">
        <v>1161</v>
      </c>
      <c r="D137" s="10" t="s">
        <v>1121</v>
      </c>
      <c r="E137" s="0" t="n">
        <v>6</v>
      </c>
      <c r="G137" s="30" t="str">
        <f aca="false">IF($C137="","",IFERROR(IF(INDEX(links!$A$2:$A$501,MATCH($C137,links!$D$2:$D$501,0))="","",INDEX(links!$A$2:$A$501,MATCH($C137,links!$D$2:$D$501,0))),""))</f>
        <v>SAMPLE-CMP-003</v>
      </c>
      <c r="H137" s="30" t="str">
        <f aca="false">IF($C137="","",IFERROR(IF(INDEX(links!$B$2:$B$501,MATCH($C137,links!$D$2:$D$501,0))="","",INDEX(links!$B$2:$B$501,MATCH($C137,links!$D$2:$D$501,0))),""))</f>
        <v>SAMPLE-O-010</v>
      </c>
      <c r="I137" s="30" t="str">
        <f aca="false">IF($C137="","",IFERROR(IF(INDEX(links!$C$2:$C$501,MATCH($C137,links!$D$2:$D$501,0))="","",INDEX(links!$C$2:$C$501,MATCH($C137,links!$D$2:$D$501,0))),""))</f>
        <v>qr</v>
      </c>
      <c r="J137" s="30" t="str">
        <f aca="false">IF($C137="","",IF($G137="","slug not in links; ","")&amp;IF($D137="","reading type missing; ","")&amp;IF(COUNTIFS(scans!$C$2:$C$1601,$C137,scans!$D$2:$D$1601,$D137)&gt;1,"two readings of this type: keep one; ",""))</f>
        <v/>
      </c>
    </row>
    <row r="138" customFormat="false" ht="15" hidden="false" customHeight="false" outlineLevel="0" collapsed="false">
      <c r="A138" s="11" t="n">
        <v>46434</v>
      </c>
      <c r="B138" s="38" t="n">
        <v>0.729166666666667</v>
      </c>
      <c r="C138" s="10" t="s">
        <v>1161</v>
      </c>
      <c r="D138" s="10" t="s">
        <v>1122</v>
      </c>
      <c r="E138" s="0" t="n">
        <v>12</v>
      </c>
      <c r="G138" s="30" t="str">
        <f aca="false">IF($C138="","",IFERROR(IF(INDEX(links!$A$2:$A$501,MATCH($C138,links!$D$2:$D$501,0))="","",INDEX(links!$A$2:$A$501,MATCH($C138,links!$D$2:$D$501,0))),""))</f>
        <v>SAMPLE-CMP-003</v>
      </c>
      <c r="H138" s="30" t="str">
        <f aca="false">IF($C138="","",IFERROR(IF(INDEX(links!$B$2:$B$501,MATCH($C138,links!$D$2:$D$501,0))="","",INDEX(links!$B$2:$B$501,MATCH($C138,links!$D$2:$D$501,0))),""))</f>
        <v>SAMPLE-O-010</v>
      </c>
      <c r="I138" s="30" t="str">
        <f aca="false">IF($C138="","",IFERROR(IF(INDEX(links!$C$2:$C$501,MATCH($C138,links!$D$2:$D$501,0))="","",INDEX(links!$C$2:$C$501,MATCH($C138,links!$D$2:$D$501,0))),""))</f>
        <v>qr</v>
      </c>
      <c r="J138" s="30" t="str">
        <f aca="false">IF($C138="","",IF($G138="","slug not in links; ","")&amp;IF($D138="","reading type missing; ","")&amp;IF(COUNTIFS(scans!$C$2:$C$1601,$C138,scans!$D$2:$D$1601,$D138)&gt;1,"two readings of this type: keep one; ",""))</f>
        <v/>
      </c>
    </row>
    <row r="139" customFormat="false" ht="15" hidden="false" customHeight="false" outlineLevel="0" collapsed="false">
      <c r="A139" s="11" t="n">
        <v>46426</v>
      </c>
      <c r="B139" s="38" t="n">
        <v>0.729166666666667</v>
      </c>
      <c r="C139" s="10" t="s">
        <v>1162</v>
      </c>
      <c r="D139" s="10" t="s">
        <v>1120</v>
      </c>
      <c r="E139" s="0" t="n">
        <v>1</v>
      </c>
      <c r="G139" s="30" t="str">
        <f aca="false">IF($C139="","",IFERROR(IF(INDEX(links!$A$2:$A$501,MATCH($C139,links!$D$2:$D$501,0))="","",INDEX(links!$A$2:$A$501,MATCH($C139,links!$D$2:$D$501,0))),""))</f>
        <v>SAMPLE-CMP-003</v>
      </c>
      <c r="H139" s="30" t="str">
        <f aca="false">IF($C139="","",IFERROR(IF(INDEX(links!$B$2:$B$501,MATCH($C139,links!$D$2:$D$501,0))="","",INDEX(links!$B$2:$B$501,MATCH($C139,links!$D$2:$D$501,0))),""))</f>
        <v>SAMPLE-O-010</v>
      </c>
      <c r="I139" s="30" t="str">
        <f aca="false">IF($C139="","",IFERROR(IF(INDEX(links!$C$2:$C$501,MATCH($C139,links!$D$2:$D$501,0))="","",INDEX(links!$C$2:$C$501,MATCH($C139,links!$D$2:$D$501,0))),""))</f>
        <v>post</v>
      </c>
      <c r="J139" s="30" t="str">
        <f aca="false">IF($C139="","",IF($G139="","slug not in links; ","")&amp;IF($D139="","reading type missing; ","")&amp;IF(COUNTIFS(scans!$C$2:$C$1601,$C139,scans!$D$2:$D$1601,$D139)&gt;1,"two readings of this type: keep one; ",""))</f>
        <v/>
      </c>
    </row>
    <row r="140" customFormat="false" ht="15" hidden="false" customHeight="false" outlineLevel="0" collapsed="false">
      <c r="A140" s="11" t="n">
        <v>46429</v>
      </c>
      <c r="B140" s="38" t="n">
        <v>0.729166666666667</v>
      </c>
      <c r="C140" s="10" t="s">
        <v>1162</v>
      </c>
      <c r="D140" s="10" t="s">
        <v>1121</v>
      </c>
      <c r="E140" s="0" t="n">
        <v>5</v>
      </c>
      <c r="G140" s="30" t="str">
        <f aca="false">IF($C140="","",IFERROR(IF(INDEX(links!$A$2:$A$501,MATCH($C140,links!$D$2:$D$501,0))="","",INDEX(links!$A$2:$A$501,MATCH($C140,links!$D$2:$D$501,0))),""))</f>
        <v>SAMPLE-CMP-003</v>
      </c>
      <c r="H140" s="30" t="str">
        <f aca="false">IF($C140="","",IFERROR(IF(INDEX(links!$B$2:$B$501,MATCH($C140,links!$D$2:$D$501,0))="","",INDEX(links!$B$2:$B$501,MATCH($C140,links!$D$2:$D$501,0))),""))</f>
        <v>SAMPLE-O-010</v>
      </c>
      <c r="I140" s="30" t="str">
        <f aca="false">IF($C140="","",IFERROR(IF(INDEX(links!$C$2:$C$501,MATCH($C140,links!$D$2:$D$501,0))="","",INDEX(links!$C$2:$C$501,MATCH($C140,links!$D$2:$D$501,0))),""))</f>
        <v>post</v>
      </c>
      <c r="J140" s="30" t="str">
        <f aca="false">IF($C140="","",IF($G140="","slug not in links; ","")&amp;IF($D140="","reading type missing; ","")&amp;IF(COUNTIFS(scans!$C$2:$C$1601,$C140,scans!$D$2:$D$1601,$D140)&gt;1,"two readings of this type: keep one; ",""))</f>
        <v/>
      </c>
    </row>
    <row r="141" customFormat="false" ht="15" hidden="false" customHeight="false" outlineLevel="0" collapsed="false">
      <c r="A141" s="11" t="n">
        <v>46434</v>
      </c>
      <c r="B141" s="38" t="n">
        <v>0.729166666666667</v>
      </c>
      <c r="C141" s="10" t="s">
        <v>1162</v>
      </c>
      <c r="D141" s="10" t="s">
        <v>1122</v>
      </c>
      <c r="E141" s="0" t="n">
        <v>11</v>
      </c>
      <c r="G141" s="30" t="str">
        <f aca="false">IF($C141="","",IFERROR(IF(INDEX(links!$A$2:$A$501,MATCH($C141,links!$D$2:$D$501,0))="","",INDEX(links!$A$2:$A$501,MATCH($C141,links!$D$2:$D$501,0))),""))</f>
        <v>SAMPLE-CMP-003</v>
      </c>
      <c r="H141" s="30" t="str">
        <f aca="false">IF($C141="","",IFERROR(IF(INDEX(links!$B$2:$B$501,MATCH($C141,links!$D$2:$D$501,0))="","",INDEX(links!$B$2:$B$501,MATCH($C141,links!$D$2:$D$501,0))),""))</f>
        <v>SAMPLE-O-010</v>
      </c>
      <c r="I141" s="30" t="str">
        <f aca="false">IF($C141="","",IFERROR(IF(INDEX(links!$C$2:$C$501,MATCH($C141,links!$D$2:$D$501,0))="","",INDEX(links!$C$2:$C$501,MATCH($C141,links!$D$2:$D$501,0))),""))</f>
        <v>post</v>
      </c>
      <c r="J141" s="30" t="str">
        <f aca="false">IF($C141="","",IF($G141="","slug not in links; ","")&amp;IF($D141="","reading type missing; ","")&amp;IF(COUNTIFS(scans!$C$2:$C$1601,$C141,scans!$D$2:$D$1601,$D141)&gt;1,"two readings of this type: keep one; ",""))</f>
        <v/>
      </c>
    </row>
    <row r="142" customFormat="false" ht="15" hidden="false" customHeight="false" outlineLevel="0" collapsed="false">
      <c r="A142" s="11" t="n">
        <v>46426</v>
      </c>
      <c r="B142" s="38" t="n">
        <v>0.729166666666667</v>
      </c>
      <c r="C142" s="10" t="s">
        <v>1163</v>
      </c>
      <c r="D142" s="10" t="s">
        <v>1120</v>
      </c>
      <c r="E142" s="0" t="n">
        <v>1</v>
      </c>
      <c r="G142" s="30" t="str">
        <f aca="false">IF($C142="","",IFERROR(IF(INDEX(links!$A$2:$A$501,MATCH($C142,links!$D$2:$D$501,0))="","",INDEX(links!$A$2:$A$501,MATCH($C142,links!$D$2:$D$501,0))),""))</f>
        <v>SAMPLE-CMP-004</v>
      </c>
      <c r="H142" s="30" t="str">
        <f aca="false">IF($C142="","",IFERROR(IF(INDEX(links!$B$2:$B$501,MATCH($C142,links!$D$2:$D$501,0))="","",INDEX(links!$B$2:$B$501,MATCH($C142,links!$D$2:$D$501,0))),""))</f>
        <v>SAMPLE-O-001</v>
      </c>
      <c r="I142" s="30" t="str">
        <f aca="false">IF($C142="","",IFERROR(IF(INDEX(links!$C$2:$C$501,MATCH($C142,links!$D$2:$D$501,0))="","",INDEX(links!$C$2:$C$501,MATCH($C142,links!$D$2:$D$501,0))),""))</f>
        <v>qr</v>
      </c>
      <c r="J142" s="30" t="str">
        <f aca="false">IF($C142="","",IF($G142="","slug not in links; ","")&amp;IF($D142="","reading type missing; ","")&amp;IF(COUNTIFS(scans!$C$2:$C$1601,$C142,scans!$D$2:$D$1601,$D142)&gt;1,"two readings of this type: keep one; ",""))</f>
        <v/>
      </c>
    </row>
    <row r="143" customFormat="false" ht="15" hidden="false" customHeight="false" outlineLevel="0" collapsed="false">
      <c r="A143" s="11" t="n">
        <v>46429</v>
      </c>
      <c r="B143" s="38" t="n">
        <v>0.729166666666667</v>
      </c>
      <c r="C143" s="10" t="s">
        <v>1163</v>
      </c>
      <c r="D143" s="10" t="s">
        <v>1121</v>
      </c>
      <c r="E143" s="0" t="n">
        <v>2</v>
      </c>
      <c r="G143" s="30" t="str">
        <f aca="false">IF($C143="","",IFERROR(IF(INDEX(links!$A$2:$A$501,MATCH($C143,links!$D$2:$D$501,0))="","",INDEX(links!$A$2:$A$501,MATCH($C143,links!$D$2:$D$501,0))),""))</f>
        <v>SAMPLE-CMP-004</v>
      </c>
      <c r="H143" s="30" t="str">
        <f aca="false">IF($C143="","",IFERROR(IF(INDEX(links!$B$2:$B$501,MATCH($C143,links!$D$2:$D$501,0))="","",INDEX(links!$B$2:$B$501,MATCH($C143,links!$D$2:$D$501,0))),""))</f>
        <v>SAMPLE-O-001</v>
      </c>
      <c r="I143" s="30" t="str">
        <f aca="false">IF($C143="","",IFERROR(IF(INDEX(links!$C$2:$C$501,MATCH($C143,links!$D$2:$D$501,0))="","",INDEX(links!$C$2:$C$501,MATCH($C143,links!$D$2:$D$501,0))),""))</f>
        <v>qr</v>
      </c>
      <c r="J143" s="30" t="str">
        <f aca="false">IF($C143="","",IF($G143="","slug not in links; ","")&amp;IF($D143="","reading type missing; ","")&amp;IF(COUNTIFS(scans!$C$2:$C$1601,$C143,scans!$D$2:$D$1601,$D143)&gt;1,"two readings of this type: keep one; ",""))</f>
        <v/>
      </c>
    </row>
    <row r="144" customFormat="false" ht="15" hidden="false" customHeight="false" outlineLevel="0" collapsed="false">
      <c r="A144" s="11" t="n">
        <v>46434</v>
      </c>
      <c r="B144" s="38" t="n">
        <v>0.729166666666667</v>
      </c>
      <c r="C144" s="10" t="s">
        <v>1163</v>
      </c>
      <c r="D144" s="10" t="s">
        <v>1122</v>
      </c>
      <c r="E144" s="0" t="n">
        <v>5</v>
      </c>
      <c r="G144" s="30" t="str">
        <f aca="false">IF($C144="","",IFERROR(IF(INDEX(links!$A$2:$A$501,MATCH($C144,links!$D$2:$D$501,0))="","",INDEX(links!$A$2:$A$501,MATCH($C144,links!$D$2:$D$501,0))),""))</f>
        <v>SAMPLE-CMP-004</v>
      </c>
      <c r="H144" s="30" t="str">
        <f aca="false">IF($C144="","",IFERROR(IF(INDEX(links!$B$2:$B$501,MATCH($C144,links!$D$2:$D$501,0))="","",INDEX(links!$B$2:$B$501,MATCH($C144,links!$D$2:$D$501,0))),""))</f>
        <v>SAMPLE-O-001</v>
      </c>
      <c r="I144" s="30" t="str">
        <f aca="false">IF($C144="","",IFERROR(IF(INDEX(links!$C$2:$C$501,MATCH($C144,links!$D$2:$D$501,0))="","",INDEX(links!$C$2:$C$501,MATCH($C144,links!$D$2:$D$501,0))),""))</f>
        <v>qr</v>
      </c>
      <c r="J144" s="30" t="str">
        <f aca="false">IF($C144="","",IF($G144="","slug not in links; ","")&amp;IF($D144="","reading type missing; ","")&amp;IF(COUNTIFS(scans!$C$2:$C$1601,$C144,scans!$D$2:$D$1601,$D144)&gt;1,"two readings of this type: keep one; ",""))</f>
        <v/>
      </c>
    </row>
    <row r="145" customFormat="false" ht="15" hidden="false" customHeight="false" outlineLevel="0" collapsed="false">
      <c r="A145" s="11" t="n">
        <v>46426</v>
      </c>
      <c r="B145" s="38" t="n">
        <v>0.729166666666667</v>
      </c>
      <c r="C145" s="10" t="s">
        <v>1164</v>
      </c>
      <c r="D145" s="10" t="s">
        <v>1120</v>
      </c>
      <c r="E145" s="0" t="n">
        <v>1</v>
      </c>
      <c r="G145" s="30" t="str">
        <f aca="false">IF($C145="","",IFERROR(IF(INDEX(links!$A$2:$A$501,MATCH($C145,links!$D$2:$D$501,0))="","",INDEX(links!$A$2:$A$501,MATCH($C145,links!$D$2:$D$501,0))),""))</f>
        <v>SAMPLE-CMP-004</v>
      </c>
      <c r="H145" s="30" t="str">
        <f aca="false">IF($C145="","",IFERROR(IF(INDEX(links!$B$2:$B$501,MATCH($C145,links!$D$2:$D$501,0))="","",INDEX(links!$B$2:$B$501,MATCH($C145,links!$D$2:$D$501,0))),""))</f>
        <v>SAMPLE-O-001</v>
      </c>
      <c r="I145" s="30" t="str">
        <f aca="false">IF($C145="","",IFERROR(IF(INDEX(links!$C$2:$C$501,MATCH($C145,links!$D$2:$D$501,0))="","",INDEX(links!$C$2:$C$501,MATCH($C145,links!$D$2:$D$501,0))),""))</f>
        <v>post</v>
      </c>
      <c r="J145" s="30" t="str">
        <f aca="false">IF($C145="","",IF($G145="","slug not in links; ","")&amp;IF($D145="","reading type missing; ","")&amp;IF(COUNTIFS(scans!$C$2:$C$1601,$C145,scans!$D$2:$D$1601,$D145)&gt;1,"two readings of this type: keep one; ",""))</f>
        <v/>
      </c>
    </row>
    <row r="146" customFormat="false" ht="15" hidden="false" customHeight="false" outlineLevel="0" collapsed="false">
      <c r="A146" s="11" t="n">
        <v>46429</v>
      </c>
      <c r="B146" s="38" t="n">
        <v>0.729166666666667</v>
      </c>
      <c r="C146" s="10" t="s">
        <v>1164</v>
      </c>
      <c r="D146" s="10" t="s">
        <v>1121</v>
      </c>
      <c r="E146" s="0" t="n">
        <v>2</v>
      </c>
      <c r="G146" s="30" t="str">
        <f aca="false">IF($C146="","",IFERROR(IF(INDEX(links!$A$2:$A$501,MATCH($C146,links!$D$2:$D$501,0))="","",INDEX(links!$A$2:$A$501,MATCH($C146,links!$D$2:$D$501,0))),""))</f>
        <v>SAMPLE-CMP-004</v>
      </c>
      <c r="H146" s="30" t="str">
        <f aca="false">IF($C146="","",IFERROR(IF(INDEX(links!$B$2:$B$501,MATCH($C146,links!$D$2:$D$501,0))="","",INDEX(links!$B$2:$B$501,MATCH($C146,links!$D$2:$D$501,0))),""))</f>
        <v>SAMPLE-O-001</v>
      </c>
      <c r="I146" s="30" t="str">
        <f aca="false">IF($C146="","",IFERROR(IF(INDEX(links!$C$2:$C$501,MATCH($C146,links!$D$2:$D$501,0))="","",INDEX(links!$C$2:$C$501,MATCH($C146,links!$D$2:$D$501,0))),""))</f>
        <v>post</v>
      </c>
      <c r="J146" s="30" t="str">
        <f aca="false">IF($C146="","",IF($G146="","slug not in links; ","")&amp;IF($D146="","reading type missing; ","")&amp;IF(COUNTIFS(scans!$C$2:$C$1601,$C146,scans!$D$2:$D$1601,$D146)&gt;1,"two readings of this type: keep one; ",""))</f>
        <v/>
      </c>
    </row>
    <row r="147" customFormat="false" ht="15" hidden="false" customHeight="false" outlineLevel="0" collapsed="false">
      <c r="A147" s="11" t="n">
        <v>46434</v>
      </c>
      <c r="B147" s="38" t="n">
        <v>0.729166666666667</v>
      </c>
      <c r="C147" s="10" t="s">
        <v>1164</v>
      </c>
      <c r="D147" s="10" t="s">
        <v>1122</v>
      </c>
      <c r="E147" s="0" t="n">
        <v>4</v>
      </c>
      <c r="G147" s="30" t="str">
        <f aca="false">IF($C147="","",IFERROR(IF(INDEX(links!$A$2:$A$501,MATCH($C147,links!$D$2:$D$501,0))="","",INDEX(links!$A$2:$A$501,MATCH($C147,links!$D$2:$D$501,0))),""))</f>
        <v>SAMPLE-CMP-004</v>
      </c>
      <c r="H147" s="30" t="str">
        <f aca="false">IF($C147="","",IFERROR(IF(INDEX(links!$B$2:$B$501,MATCH($C147,links!$D$2:$D$501,0))="","",INDEX(links!$B$2:$B$501,MATCH($C147,links!$D$2:$D$501,0))),""))</f>
        <v>SAMPLE-O-001</v>
      </c>
      <c r="I147" s="30" t="str">
        <f aca="false">IF($C147="","",IFERROR(IF(INDEX(links!$C$2:$C$501,MATCH($C147,links!$D$2:$D$501,0))="","",INDEX(links!$C$2:$C$501,MATCH($C147,links!$D$2:$D$501,0))),""))</f>
        <v>post</v>
      </c>
      <c r="J147" s="30" t="str">
        <f aca="false">IF($C147="","",IF($G147="","slug not in links; ","")&amp;IF($D147="","reading type missing; ","")&amp;IF(COUNTIFS(scans!$C$2:$C$1601,$C147,scans!$D$2:$D$1601,$D147)&gt;1,"two readings of this type: keep one; ",""))</f>
        <v/>
      </c>
    </row>
    <row r="148" customFormat="false" ht="15" hidden="false" customHeight="false" outlineLevel="0" collapsed="false">
      <c r="A148" s="11" t="n">
        <v>46426</v>
      </c>
      <c r="B148" s="38" t="n">
        <v>0.729166666666667</v>
      </c>
      <c r="C148" s="10" t="s">
        <v>1165</v>
      </c>
      <c r="D148" s="10" t="s">
        <v>1120</v>
      </c>
      <c r="E148" s="0" t="n">
        <v>1</v>
      </c>
      <c r="G148" s="30" t="str">
        <f aca="false">IF($C148="","",IFERROR(IF(INDEX(links!$A$2:$A$501,MATCH($C148,links!$D$2:$D$501,0))="","",INDEX(links!$A$2:$A$501,MATCH($C148,links!$D$2:$D$501,0))),""))</f>
        <v>SAMPLE-CMP-004</v>
      </c>
      <c r="H148" s="30" t="str">
        <f aca="false">IF($C148="","",IFERROR(IF(INDEX(links!$B$2:$B$501,MATCH($C148,links!$D$2:$D$501,0))="","",INDEX(links!$B$2:$B$501,MATCH($C148,links!$D$2:$D$501,0))),""))</f>
        <v>SAMPLE-O-002</v>
      </c>
      <c r="I148" s="30" t="str">
        <f aca="false">IF($C148="","",IFERROR(IF(INDEX(links!$C$2:$C$501,MATCH($C148,links!$D$2:$D$501,0))="","",INDEX(links!$C$2:$C$501,MATCH($C148,links!$D$2:$D$501,0))),""))</f>
        <v>qr</v>
      </c>
      <c r="J148" s="30" t="str">
        <f aca="false">IF($C148="","",IF($G148="","slug not in links; ","")&amp;IF($D148="","reading type missing; ","")&amp;IF(COUNTIFS(scans!$C$2:$C$1601,$C148,scans!$D$2:$D$1601,$D148)&gt;1,"two readings of this type: keep one; ",""))</f>
        <v/>
      </c>
    </row>
    <row r="149" customFormat="false" ht="15" hidden="false" customHeight="false" outlineLevel="0" collapsed="false">
      <c r="A149" s="11" t="n">
        <v>46429</v>
      </c>
      <c r="B149" s="38" t="n">
        <v>0.729166666666667</v>
      </c>
      <c r="C149" s="10" t="s">
        <v>1165</v>
      </c>
      <c r="D149" s="10" t="s">
        <v>1121</v>
      </c>
      <c r="E149" s="0" t="n">
        <v>6</v>
      </c>
      <c r="G149" s="30" t="str">
        <f aca="false">IF($C149="","",IFERROR(IF(INDEX(links!$A$2:$A$501,MATCH($C149,links!$D$2:$D$501,0))="","",INDEX(links!$A$2:$A$501,MATCH($C149,links!$D$2:$D$501,0))),""))</f>
        <v>SAMPLE-CMP-004</v>
      </c>
      <c r="H149" s="30" t="str">
        <f aca="false">IF($C149="","",IFERROR(IF(INDEX(links!$B$2:$B$501,MATCH($C149,links!$D$2:$D$501,0))="","",INDEX(links!$B$2:$B$501,MATCH($C149,links!$D$2:$D$501,0))),""))</f>
        <v>SAMPLE-O-002</v>
      </c>
      <c r="I149" s="30" t="str">
        <f aca="false">IF($C149="","",IFERROR(IF(INDEX(links!$C$2:$C$501,MATCH($C149,links!$D$2:$D$501,0))="","",INDEX(links!$C$2:$C$501,MATCH($C149,links!$D$2:$D$501,0))),""))</f>
        <v>qr</v>
      </c>
      <c r="J149" s="30" t="str">
        <f aca="false">IF($C149="","",IF($G149="","slug not in links; ","")&amp;IF($D149="","reading type missing; ","")&amp;IF(COUNTIFS(scans!$C$2:$C$1601,$C149,scans!$D$2:$D$1601,$D149)&gt;1,"two readings of this type: keep one; ",""))</f>
        <v/>
      </c>
    </row>
    <row r="150" customFormat="false" ht="15" hidden="false" customHeight="false" outlineLevel="0" collapsed="false">
      <c r="A150" s="11" t="n">
        <v>46434</v>
      </c>
      <c r="B150" s="38" t="n">
        <v>0.729166666666667</v>
      </c>
      <c r="C150" s="10" t="s">
        <v>1165</v>
      </c>
      <c r="D150" s="10" t="s">
        <v>1122</v>
      </c>
      <c r="E150" s="0" t="n">
        <v>13</v>
      </c>
      <c r="G150" s="30" t="str">
        <f aca="false">IF($C150="","",IFERROR(IF(INDEX(links!$A$2:$A$501,MATCH($C150,links!$D$2:$D$501,0))="","",INDEX(links!$A$2:$A$501,MATCH($C150,links!$D$2:$D$501,0))),""))</f>
        <v>SAMPLE-CMP-004</v>
      </c>
      <c r="H150" s="30" t="str">
        <f aca="false">IF($C150="","",IFERROR(IF(INDEX(links!$B$2:$B$501,MATCH($C150,links!$D$2:$D$501,0))="","",INDEX(links!$B$2:$B$501,MATCH($C150,links!$D$2:$D$501,0))),""))</f>
        <v>SAMPLE-O-002</v>
      </c>
      <c r="I150" s="30" t="str">
        <f aca="false">IF($C150="","",IFERROR(IF(INDEX(links!$C$2:$C$501,MATCH($C150,links!$D$2:$D$501,0))="","",INDEX(links!$C$2:$C$501,MATCH($C150,links!$D$2:$D$501,0))),""))</f>
        <v>qr</v>
      </c>
      <c r="J150" s="30" t="str">
        <f aca="false">IF($C150="","",IF($G150="","slug not in links; ","")&amp;IF($D150="","reading type missing; ","")&amp;IF(COUNTIFS(scans!$C$2:$C$1601,$C150,scans!$D$2:$D$1601,$D150)&gt;1,"two readings of this type: keep one; ",""))</f>
        <v/>
      </c>
    </row>
    <row r="151" customFormat="false" ht="15" hidden="false" customHeight="false" outlineLevel="0" collapsed="false">
      <c r="A151" s="11" t="n">
        <v>46426</v>
      </c>
      <c r="B151" s="38" t="n">
        <v>0.729166666666667</v>
      </c>
      <c r="C151" s="10" t="s">
        <v>1166</v>
      </c>
      <c r="D151" s="10" t="s">
        <v>1120</v>
      </c>
      <c r="E151" s="0" t="n">
        <v>1</v>
      </c>
      <c r="G151" s="30" t="str">
        <f aca="false">IF($C151="","",IFERROR(IF(INDEX(links!$A$2:$A$501,MATCH($C151,links!$D$2:$D$501,0))="","",INDEX(links!$A$2:$A$501,MATCH($C151,links!$D$2:$D$501,0))),""))</f>
        <v>SAMPLE-CMP-004</v>
      </c>
      <c r="H151" s="30" t="str">
        <f aca="false">IF($C151="","",IFERROR(IF(INDEX(links!$B$2:$B$501,MATCH($C151,links!$D$2:$D$501,0))="","",INDEX(links!$B$2:$B$501,MATCH($C151,links!$D$2:$D$501,0))),""))</f>
        <v>SAMPLE-O-002</v>
      </c>
      <c r="I151" s="30" t="str">
        <f aca="false">IF($C151="","",IFERROR(IF(INDEX(links!$C$2:$C$501,MATCH($C151,links!$D$2:$D$501,0))="","",INDEX(links!$C$2:$C$501,MATCH($C151,links!$D$2:$D$501,0))),""))</f>
        <v>post</v>
      </c>
      <c r="J151" s="30" t="str">
        <f aca="false">IF($C151="","",IF($G151="","slug not in links; ","")&amp;IF($D151="","reading type missing; ","")&amp;IF(COUNTIFS(scans!$C$2:$C$1601,$C151,scans!$D$2:$D$1601,$D151)&gt;1,"two readings of this type: keep one; ",""))</f>
        <v/>
      </c>
    </row>
    <row r="152" customFormat="false" ht="15" hidden="false" customHeight="false" outlineLevel="0" collapsed="false">
      <c r="A152" s="11" t="n">
        <v>46429</v>
      </c>
      <c r="B152" s="38" t="n">
        <v>0.729166666666667</v>
      </c>
      <c r="C152" s="10" t="s">
        <v>1166</v>
      </c>
      <c r="D152" s="10" t="s">
        <v>1121</v>
      </c>
      <c r="E152" s="0" t="n">
        <v>6</v>
      </c>
      <c r="G152" s="30" t="str">
        <f aca="false">IF($C152="","",IFERROR(IF(INDEX(links!$A$2:$A$501,MATCH($C152,links!$D$2:$D$501,0))="","",INDEX(links!$A$2:$A$501,MATCH($C152,links!$D$2:$D$501,0))),""))</f>
        <v>SAMPLE-CMP-004</v>
      </c>
      <c r="H152" s="30" t="str">
        <f aca="false">IF($C152="","",IFERROR(IF(INDEX(links!$B$2:$B$501,MATCH($C152,links!$D$2:$D$501,0))="","",INDEX(links!$B$2:$B$501,MATCH($C152,links!$D$2:$D$501,0))),""))</f>
        <v>SAMPLE-O-002</v>
      </c>
      <c r="I152" s="30" t="str">
        <f aca="false">IF($C152="","",IFERROR(IF(INDEX(links!$C$2:$C$501,MATCH($C152,links!$D$2:$D$501,0))="","",INDEX(links!$C$2:$C$501,MATCH($C152,links!$D$2:$D$501,0))),""))</f>
        <v>post</v>
      </c>
      <c r="J152" s="30" t="str">
        <f aca="false">IF($C152="","",IF($G152="","slug not in links; ","")&amp;IF($D152="","reading type missing; ","")&amp;IF(COUNTIFS(scans!$C$2:$C$1601,$C152,scans!$D$2:$D$1601,$D152)&gt;1,"two readings of this type: keep one; ",""))</f>
        <v/>
      </c>
    </row>
    <row r="153" customFormat="false" ht="15" hidden="false" customHeight="false" outlineLevel="0" collapsed="false">
      <c r="A153" s="11" t="n">
        <v>46434</v>
      </c>
      <c r="B153" s="38" t="n">
        <v>0.729166666666667</v>
      </c>
      <c r="C153" s="10" t="s">
        <v>1166</v>
      </c>
      <c r="D153" s="10" t="s">
        <v>1122</v>
      </c>
      <c r="E153" s="0" t="n">
        <v>12</v>
      </c>
      <c r="G153" s="30" t="str">
        <f aca="false">IF($C153="","",IFERROR(IF(INDEX(links!$A$2:$A$501,MATCH($C153,links!$D$2:$D$501,0))="","",INDEX(links!$A$2:$A$501,MATCH($C153,links!$D$2:$D$501,0))),""))</f>
        <v>SAMPLE-CMP-004</v>
      </c>
      <c r="H153" s="30" t="str">
        <f aca="false">IF($C153="","",IFERROR(IF(INDEX(links!$B$2:$B$501,MATCH($C153,links!$D$2:$D$501,0))="","",INDEX(links!$B$2:$B$501,MATCH($C153,links!$D$2:$D$501,0))),""))</f>
        <v>SAMPLE-O-002</v>
      </c>
      <c r="I153" s="30" t="str">
        <f aca="false">IF($C153="","",IFERROR(IF(INDEX(links!$C$2:$C$501,MATCH($C153,links!$D$2:$D$501,0))="","",INDEX(links!$C$2:$C$501,MATCH($C153,links!$D$2:$D$501,0))),""))</f>
        <v>post</v>
      </c>
      <c r="J153" s="30" t="str">
        <f aca="false">IF($C153="","",IF($G153="","slug not in links; ","")&amp;IF($D153="","reading type missing; ","")&amp;IF(COUNTIFS(scans!$C$2:$C$1601,$C153,scans!$D$2:$D$1601,$D153)&gt;1,"two readings of this type: keep one; ",""))</f>
        <v/>
      </c>
    </row>
    <row r="154" customFormat="false" ht="15" hidden="false" customHeight="false" outlineLevel="0" collapsed="false">
      <c r="A154" s="11" t="n">
        <v>46426</v>
      </c>
      <c r="B154" s="38" t="n">
        <v>0.729166666666667</v>
      </c>
      <c r="C154" s="10" t="s">
        <v>1167</v>
      </c>
      <c r="D154" s="10" t="s">
        <v>1120</v>
      </c>
      <c r="E154" s="0" t="n">
        <v>1</v>
      </c>
      <c r="G154" s="30" t="str">
        <f aca="false">IF($C154="","",IFERROR(IF(INDEX(links!$A$2:$A$501,MATCH($C154,links!$D$2:$D$501,0))="","",INDEX(links!$A$2:$A$501,MATCH($C154,links!$D$2:$D$501,0))),""))</f>
        <v>SAMPLE-CMP-004</v>
      </c>
      <c r="H154" s="30" t="str">
        <f aca="false">IF($C154="","",IFERROR(IF(INDEX(links!$B$2:$B$501,MATCH($C154,links!$D$2:$D$501,0))="","",INDEX(links!$B$2:$B$501,MATCH($C154,links!$D$2:$D$501,0))),""))</f>
        <v>SAMPLE-O-003</v>
      </c>
      <c r="I154" s="30" t="str">
        <f aca="false">IF($C154="","",IFERROR(IF(INDEX(links!$C$2:$C$501,MATCH($C154,links!$D$2:$D$501,0))="","",INDEX(links!$C$2:$C$501,MATCH($C154,links!$D$2:$D$501,0))),""))</f>
        <v>qr</v>
      </c>
      <c r="J154" s="30" t="str">
        <f aca="false">IF($C154="","",IF($G154="","slug not in links; ","")&amp;IF($D154="","reading type missing; ","")&amp;IF(COUNTIFS(scans!$C$2:$C$1601,$C154,scans!$D$2:$D$1601,$D154)&gt;1,"two readings of this type: keep one; ",""))</f>
        <v/>
      </c>
    </row>
    <row r="155" customFormat="false" ht="15" hidden="false" customHeight="false" outlineLevel="0" collapsed="false">
      <c r="A155" s="11" t="n">
        <v>46429</v>
      </c>
      <c r="B155" s="38" t="n">
        <v>0.729166666666667</v>
      </c>
      <c r="C155" s="10" t="s">
        <v>1167</v>
      </c>
      <c r="D155" s="10" t="s">
        <v>1121</v>
      </c>
      <c r="E155" s="0" t="n">
        <v>4</v>
      </c>
      <c r="G155" s="30" t="str">
        <f aca="false">IF($C155="","",IFERROR(IF(INDEX(links!$A$2:$A$501,MATCH($C155,links!$D$2:$D$501,0))="","",INDEX(links!$A$2:$A$501,MATCH($C155,links!$D$2:$D$501,0))),""))</f>
        <v>SAMPLE-CMP-004</v>
      </c>
      <c r="H155" s="30" t="str">
        <f aca="false">IF($C155="","",IFERROR(IF(INDEX(links!$B$2:$B$501,MATCH($C155,links!$D$2:$D$501,0))="","",INDEX(links!$B$2:$B$501,MATCH($C155,links!$D$2:$D$501,0))),""))</f>
        <v>SAMPLE-O-003</v>
      </c>
      <c r="I155" s="30" t="str">
        <f aca="false">IF($C155="","",IFERROR(IF(INDEX(links!$C$2:$C$501,MATCH($C155,links!$D$2:$D$501,0))="","",INDEX(links!$C$2:$C$501,MATCH($C155,links!$D$2:$D$501,0))),""))</f>
        <v>qr</v>
      </c>
      <c r="J155" s="30" t="str">
        <f aca="false">IF($C155="","",IF($G155="","slug not in links; ","")&amp;IF($D155="","reading type missing; ","")&amp;IF(COUNTIFS(scans!$C$2:$C$1601,$C155,scans!$D$2:$D$1601,$D155)&gt;1,"two readings of this type: keep one; ",""))</f>
        <v/>
      </c>
    </row>
    <row r="156" customFormat="false" ht="15" hidden="false" customHeight="false" outlineLevel="0" collapsed="false">
      <c r="A156" s="11" t="n">
        <v>46434</v>
      </c>
      <c r="B156" s="38" t="n">
        <v>0.729166666666667</v>
      </c>
      <c r="C156" s="10" t="s">
        <v>1167</v>
      </c>
      <c r="D156" s="10" t="s">
        <v>1122</v>
      </c>
      <c r="E156" s="0" t="n">
        <v>9</v>
      </c>
      <c r="G156" s="30" t="str">
        <f aca="false">IF($C156="","",IFERROR(IF(INDEX(links!$A$2:$A$501,MATCH($C156,links!$D$2:$D$501,0))="","",INDEX(links!$A$2:$A$501,MATCH($C156,links!$D$2:$D$501,0))),""))</f>
        <v>SAMPLE-CMP-004</v>
      </c>
      <c r="H156" s="30" t="str">
        <f aca="false">IF($C156="","",IFERROR(IF(INDEX(links!$B$2:$B$501,MATCH($C156,links!$D$2:$D$501,0))="","",INDEX(links!$B$2:$B$501,MATCH($C156,links!$D$2:$D$501,0))),""))</f>
        <v>SAMPLE-O-003</v>
      </c>
      <c r="I156" s="30" t="str">
        <f aca="false">IF($C156="","",IFERROR(IF(INDEX(links!$C$2:$C$501,MATCH($C156,links!$D$2:$D$501,0))="","",INDEX(links!$C$2:$C$501,MATCH($C156,links!$D$2:$D$501,0))),""))</f>
        <v>qr</v>
      </c>
      <c r="J156" s="30" t="str">
        <f aca="false">IF($C156="","",IF($G156="","slug not in links; ","")&amp;IF($D156="","reading type missing; ","")&amp;IF(COUNTIFS(scans!$C$2:$C$1601,$C156,scans!$D$2:$D$1601,$D156)&gt;1,"two readings of this type: keep one; ",""))</f>
        <v/>
      </c>
    </row>
    <row r="157" customFormat="false" ht="15" hidden="false" customHeight="false" outlineLevel="0" collapsed="false">
      <c r="A157" s="11" t="n">
        <v>46426</v>
      </c>
      <c r="B157" s="38" t="n">
        <v>0.729166666666667</v>
      </c>
      <c r="C157" s="10" t="s">
        <v>1168</v>
      </c>
      <c r="D157" s="10" t="s">
        <v>1120</v>
      </c>
      <c r="E157" s="0" t="n">
        <v>1</v>
      </c>
      <c r="G157" s="30" t="str">
        <f aca="false">IF($C157="","",IFERROR(IF(INDEX(links!$A$2:$A$501,MATCH($C157,links!$D$2:$D$501,0))="","",INDEX(links!$A$2:$A$501,MATCH($C157,links!$D$2:$D$501,0))),""))</f>
        <v>SAMPLE-CMP-004</v>
      </c>
      <c r="H157" s="30" t="str">
        <f aca="false">IF($C157="","",IFERROR(IF(INDEX(links!$B$2:$B$501,MATCH($C157,links!$D$2:$D$501,0))="","",INDEX(links!$B$2:$B$501,MATCH($C157,links!$D$2:$D$501,0))),""))</f>
        <v>SAMPLE-O-003</v>
      </c>
      <c r="I157" s="30" t="str">
        <f aca="false">IF($C157="","",IFERROR(IF(INDEX(links!$C$2:$C$501,MATCH($C157,links!$D$2:$D$501,0))="","",INDEX(links!$C$2:$C$501,MATCH($C157,links!$D$2:$D$501,0))),""))</f>
        <v>post</v>
      </c>
      <c r="J157" s="30" t="str">
        <f aca="false">IF($C157="","",IF($G157="","slug not in links; ","")&amp;IF($D157="","reading type missing; ","")&amp;IF(COUNTIFS(scans!$C$2:$C$1601,$C157,scans!$D$2:$D$1601,$D157)&gt;1,"two readings of this type: keep one; ",""))</f>
        <v/>
      </c>
    </row>
    <row r="158" customFormat="false" ht="15" hidden="false" customHeight="false" outlineLevel="0" collapsed="false">
      <c r="A158" s="11" t="n">
        <v>46429</v>
      </c>
      <c r="B158" s="38" t="n">
        <v>0.729166666666667</v>
      </c>
      <c r="C158" s="10" t="s">
        <v>1168</v>
      </c>
      <c r="D158" s="10" t="s">
        <v>1121</v>
      </c>
      <c r="E158" s="0" t="n">
        <v>4</v>
      </c>
      <c r="G158" s="30" t="str">
        <f aca="false">IF($C158="","",IFERROR(IF(INDEX(links!$A$2:$A$501,MATCH($C158,links!$D$2:$D$501,0))="","",INDEX(links!$A$2:$A$501,MATCH($C158,links!$D$2:$D$501,0))),""))</f>
        <v>SAMPLE-CMP-004</v>
      </c>
      <c r="H158" s="30" t="str">
        <f aca="false">IF($C158="","",IFERROR(IF(INDEX(links!$B$2:$B$501,MATCH($C158,links!$D$2:$D$501,0))="","",INDEX(links!$B$2:$B$501,MATCH($C158,links!$D$2:$D$501,0))),""))</f>
        <v>SAMPLE-O-003</v>
      </c>
      <c r="I158" s="30" t="str">
        <f aca="false">IF($C158="","",IFERROR(IF(INDEX(links!$C$2:$C$501,MATCH($C158,links!$D$2:$D$501,0))="","",INDEX(links!$C$2:$C$501,MATCH($C158,links!$D$2:$D$501,0))),""))</f>
        <v>post</v>
      </c>
      <c r="J158" s="30" t="str">
        <f aca="false">IF($C158="","",IF($G158="","slug not in links; ","")&amp;IF($D158="","reading type missing; ","")&amp;IF(COUNTIFS(scans!$C$2:$C$1601,$C158,scans!$D$2:$D$1601,$D158)&gt;1,"two readings of this type: keep one; ",""))</f>
        <v/>
      </c>
    </row>
    <row r="159" customFormat="false" ht="15" hidden="false" customHeight="false" outlineLevel="0" collapsed="false">
      <c r="A159" s="11" t="n">
        <v>46434</v>
      </c>
      <c r="B159" s="38" t="n">
        <v>0.729166666666667</v>
      </c>
      <c r="C159" s="10" t="s">
        <v>1168</v>
      </c>
      <c r="D159" s="10" t="s">
        <v>1122</v>
      </c>
      <c r="E159" s="0" t="n">
        <v>8</v>
      </c>
      <c r="G159" s="30" t="str">
        <f aca="false">IF($C159="","",IFERROR(IF(INDEX(links!$A$2:$A$501,MATCH($C159,links!$D$2:$D$501,0))="","",INDEX(links!$A$2:$A$501,MATCH($C159,links!$D$2:$D$501,0))),""))</f>
        <v>SAMPLE-CMP-004</v>
      </c>
      <c r="H159" s="30" t="str">
        <f aca="false">IF($C159="","",IFERROR(IF(INDEX(links!$B$2:$B$501,MATCH($C159,links!$D$2:$D$501,0))="","",INDEX(links!$B$2:$B$501,MATCH($C159,links!$D$2:$D$501,0))),""))</f>
        <v>SAMPLE-O-003</v>
      </c>
      <c r="I159" s="30" t="str">
        <f aca="false">IF($C159="","",IFERROR(IF(INDEX(links!$C$2:$C$501,MATCH($C159,links!$D$2:$D$501,0))="","",INDEX(links!$C$2:$C$501,MATCH($C159,links!$D$2:$D$501,0))),""))</f>
        <v>post</v>
      </c>
      <c r="J159" s="30" t="str">
        <f aca="false">IF($C159="","",IF($G159="","slug not in links; ","")&amp;IF($D159="","reading type missing; ","")&amp;IF(COUNTIFS(scans!$C$2:$C$1601,$C159,scans!$D$2:$D$1601,$D159)&gt;1,"two readings of this type: keep one; ",""))</f>
        <v/>
      </c>
    </row>
    <row r="160" customFormat="false" ht="15" hidden="false" customHeight="false" outlineLevel="0" collapsed="false">
      <c r="A160" s="11" t="n">
        <v>46426</v>
      </c>
      <c r="B160" s="38" t="n">
        <v>0.729166666666667</v>
      </c>
      <c r="C160" s="10" t="s">
        <v>1169</v>
      </c>
      <c r="D160" s="10" t="s">
        <v>1120</v>
      </c>
      <c r="E160" s="0" t="n">
        <v>1</v>
      </c>
      <c r="G160" s="30" t="str">
        <f aca="false">IF($C160="","",IFERROR(IF(INDEX(links!$A$2:$A$501,MATCH($C160,links!$D$2:$D$501,0))="","",INDEX(links!$A$2:$A$501,MATCH($C160,links!$D$2:$D$501,0))),""))</f>
        <v>SAMPLE-CMP-004</v>
      </c>
      <c r="H160" s="30" t="str">
        <f aca="false">IF($C160="","",IFERROR(IF(INDEX(links!$B$2:$B$501,MATCH($C160,links!$D$2:$D$501,0))="","",INDEX(links!$B$2:$B$501,MATCH($C160,links!$D$2:$D$501,0))),""))</f>
        <v>SAMPLE-O-004</v>
      </c>
      <c r="I160" s="30" t="str">
        <f aca="false">IF($C160="","",IFERROR(IF(INDEX(links!$C$2:$C$501,MATCH($C160,links!$D$2:$D$501,0))="","",INDEX(links!$C$2:$C$501,MATCH($C160,links!$D$2:$D$501,0))),""))</f>
        <v>qr</v>
      </c>
      <c r="J160" s="30" t="str">
        <f aca="false">IF($C160="","",IF($G160="","slug not in links; ","")&amp;IF($D160="","reading type missing; ","")&amp;IF(COUNTIFS(scans!$C$2:$C$1601,$C160,scans!$D$2:$D$1601,$D160)&gt;1,"two readings of this type: keep one; ",""))</f>
        <v/>
      </c>
    </row>
    <row r="161" customFormat="false" ht="15" hidden="false" customHeight="false" outlineLevel="0" collapsed="false">
      <c r="A161" s="11" t="n">
        <v>46429</v>
      </c>
      <c r="B161" s="38" t="n">
        <v>0.729166666666667</v>
      </c>
      <c r="C161" s="10" t="s">
        <v>1169</v>
      </c>
      <c r="D161" s="10" t="s">
        <v>1121</v>
      </c>
      <c r="E161" s="0" t="n">
        <v>2</v>
      </c>
      <c r="G161" s="30" t="str">
        <f aca="false">IF($C161="","",IFERROR(IF(INDEX(links!$A$2:$A$501,MATCH($C161,links!$D$2:$D$501,0))="","",INDEX(links!$A$2:$A$501,MATCH($C161,links!$D$2:$D$501,0))),""))</f>
        <v>SAMPLE-CMP-004</v>
      </c>
      <c r="H161" s="30" t="str">
        <f aca="false">IF($C161="","",IFERROR(IF(INDEX(links!$B$2:$B$501,MATCH($C161,links!$D$2:$D$501,0))="","",INDEX(links!$B$2:$B$501,MATCH($C161,links!$D$2:$D$501,0))),""))</f>
        <v>SAMPLE-O-004</v>
      </c>
      <c r="I161" s="30" t="str">
        <f aca="false">IF($C161="","",IFERROR(IF(INDEX(links!$C$2:$C$501,MATCH($C161,links!$D$2:$D$501,0))="","",INDEX(links!$C$2:$C$501,MATCH($C161,links!$D$2:$D$501,0))),""))</f>
        <v>qr</v>
      </c>
      <c r="J161" s="30" t="str">
        <f aca="false">IF($C161="","",IF($G161="","slug not in links; ","")&amp;IF($D161="","reading type missing; ","")&amp;IF(COUNTIFS(scans!$C$2:$C$1601,$C161,scans!$D$2:$D$1601,$D161)&gt;1,"two readings of this type: keep one; ",""))</f>
        <v/>
      </c>
    </row>
    <row r="162" customFormat="false" ht="15" hidden="false" customHeight="false" outlineLevel="0" collapsed="false">
      <c r="A162" s="11" t="n">
        <v>46434</v>
      </c>
      <c r="B162" s="38" t="n">
        <v>0.729166666666667</v>
      </c>
      <c r="C162" s="10" t="s">
        <v>1169</v>
      </c>
      <c r="D162" s="10" t="s">
        <v>1122</v>
      </c>
      <c r="E162" s="0" t="n">
        <v>5</v>
      </c>
      <c r="G162" s="30" t="str">
        <f aca="false">IF($C162="","",IFERROR(IF(INDEX(links!$A$2:$A$501,MATCH($C162,links!$D$2:$D$501,0))="","",INDEX(links!$A$2:$A$501,MATCH($C162,links!$D$2:$D$501,0))),""))</f>
        <v>SAMPLE-CMP-004</v>
      </c>
      <c r="H162" s="30" t="str">
        <f aca="false">IF($C162="","",IFERROR(IF(INDEX(links!$B$2:$B$501,MATCH($C162,links!$D$2:$D$501,0))="","",INDEX(links!$B$2:$B$501,MATCH($C162,links!$D$2:$D$501,0))),""))</f>
        <v>SAMPLE-O-004</v>
      </c>
      <c r="I162" s="30" t="str">
        <f aca="false">IF($C162="","",IFERROR(IF(INDEX(links!$C$2:$C$501,MATCH($C162,links!$D$2:$D$501,0))="","",INDEX(links!$C$2:$C$501,MATCH($C162,links!$D$2:$D$501,0))),""))</f>
        <v>qr</v>
      </c>
      <c r="J162" s="30" t="str">
        <f aca="false">IF($C162="","",IF($G162="","slug not in links; ","")&amp;IF($D162="","reading type missing; ","")&amp;IF(COUNTIFS(scans!$C$2:$C$1601,$C162,scans!$D$2:$D$1601,$D162)&gt;1,"two readings of this type: keep one; ",""))</f>
        <v/>
      </c>
    </row>
    <row r="163" customFormat="false" ht="15" hidden="false" customHeight="false" outlineLevel="0" collapsed="false">
      <c r="A163" s="11" t="n">
        <v>46426</v>
      </c>
      <c r="B163" s="38" t="n">
        <v>0.729166666666667</v>
      </c>
      <c r="C163" s="10" t="s">
        <v>1170</v>
      </c>
      <c r="D163" s="10" t="s">
        <v>1120</v>
      </c>
      <c r="E163" s="0" t="n">
        <v>1</v>
      </c>
      <c r="G163" s="30" t="str">
        <f aca="false">IF($C163="","",IFERROR(IF(INDEX(links!$A$2:$A$501,MATCH($C163,links!$D$2:$D$501,0))="","",INDEX(links!$A$2:$A$501,MATCH($C163,links!$D$2:$D$501,0))),""))</f>
        <v>SAMPLE-CMP-004</v>
      </c>
      <c r="H163" s="30" t="str">
        <f aca="false">IF($C163="","",IFERROR(IF(INDEX(links!$B$2:$B$501,MATCH($C163,links!$D$2:$D$501,0))="","",INDEX(links!$B$2:$B$501,MATCH($C163,links!$D$2:$D$501,0))),""))</f>
        <v>SAMPLE-O-004</v>
      </c>
      <c r="I163" s="30" t="str">
        <f aca="false">IF($C163="","",IFERROR(IF(INDEX(links!$C$2:$C$501,MATCH($C163,links!$D$2:$D$501,0))="","",INDEX(links!$C$2:$C$501,MATCH($C163,links!$D$2:$D$501,0))),""))</f>
        <v>post</v>
      </c>
      <c r="J163" s="30" t="str">
        <f aca="false">IF($C163="","",IF($G163="","slug not in links; ","")&amp;IF($D163="","reading type missing; ","")&amp;IF(COUNTIFS(scans!$C$2:$C$1601,$C163,scans!$D$2:$D$1601,$D163)&gt;1,"two readings of this type: keep one; ",""))</f>
        <v/>
      </c>
    </row>
    <row r="164" customFormat="false" ht="15" hidden="false" customHeight="false" outlineLevel="0" collapsed="false">
      <c r="A164" s="11" t="n">
        <v>46429</v>
      </c>
      <c r="B164" s="38" t="n">
        <v>0.729166666666667</v>
      </c>
      <c r="C164" s="10" t="s">
        <v>1170</v>
      </c>
      <c r="D164" s="10" t="s">
        <v>1121</v>
      </c>
      <c r="E164" s="0" t="n">
        <v>2</v>
      </c>
      <c r="G164" s="30" t="str">
        <f aca="false">IF($C164="","",IFERROR(IF(INDEX(links!$A$2:$A$501,MATCH($C164,links!$D$2:$D$501,0))="","",INDEX(links!$A$2:$A$501,MATCH($C164,links!$D$2:$D$501,0))),""))</f>
        <v>SAMPLE-CMP-004</v>
      </c>
      <c r="H164" s="30" t="str">
        <f aca="false">IF($C164="","",IFERROR(IF(INDEX(links!$B$2:$B$501,MATCH($C164,links!$D$2:$D$501,0))="","",INDEX(links!$B$2:$B$501,MATCH($C164,links!$D$2:$D$501,0))),""))</f>
        <v>SAMPLE-O-004</v>
      </c>
      <c r="I164" s="30" t="str">
        <f aca="false">IF($C164="","",IFERROR(IF(INDEX(links!$C$2:$C$501,MATCH($C164,links!$D$2:$D$501,0))="","",INDEX(links!$C$2:$C$501,MATCH($C164,links!$D$2:$D$501,0))),""))</f>
        <v>post</v>
      </c>
      <c r="J164" s="30" t="str">
        <f aca="false">IF($C164="","",IF($G164="","slug not in links; ","")&amp;IF($D164="","reading type missing; ","")&amp;IF(COUNTIFS(scans!$C$2:$C$1601,$C164,scans!$D$2:$D$1601,$D164)&gt;1,"two readings of this type: keep one; ",""))</f>
        <v/>
      </c>
    </row>
    <row r="165" customFormat="false" ht="15" hidden="false" customHeight="false" outlineLevel="0" collapsed="false">
      <c r="A165" s="11" t="n">
        <v>46434</v>
      </c>
      <c r="B165" s="38" t="n">
        <v>0.729166666666667</v>
      </c>
      <c r="C165" s="10" t="s">
        <v>1170</v>
      </c>
      <c r="D165" s="10" t="s">
        <v>1122</v>
      </c>
      <c r="E165" s="0" t="n">
        <v>4</v>
      </c>
      <c r="G165" s="30" t="str">
        <f aca="false">IF($C165="","",IFERROR(IF(INDEX(links!$A$2:$A$501,MATCH($C165,links!$D$2:$D$501,0))="","",INDEX(links!$A$2:$A$501,MATCH($C165,links!$D$2:$D$501,0))),""))</f>
        <v>SAMPLE-CMP-004</v>
      </c>
      <c r="H165" s="30" t="str">
        <f aca="false">IF($C165="","",IFERROR(IF(INDEX(links!$B$2:$B$501,MATCH($C165,links!$D$2:$D$501,0))="","",INDEX(links!$B$2:$B$501,MATCH($C165,links!$D$2:$D$501,0))),""))</f>
        <v>SAMPLE-O-004</v>
      </c>
      <c r="I165" s="30" t="str">
        <f aca="false">IF($C165="","",IFERROR(IF(INDEX(links!$C$2:$C$501,MATCH($C165,links!$D$2:$D$501,0))="","",INDEX(links!$C$2:$C$501,MATCH($C165,links!$D$2:$D$501,0))),""))</f>
        <v>post</v>
      </c>
      <c r="J165" s="30" t="str">
        <f aca="false">IF($C165="","",IF($G165="","slug not in links; ","")&amp;IF($D165="","reading type missing; ","")&amp;IF(COUNTIFS(scans!$C$2:$C$1601,$C165,scans!$D$2:$D$1601,$D165)&gt;1,"two readings of this type: keep one; ",""))</f>
        <v/>
      </c>
    </row>
    <row r="166" customFormat="false" ht="15" hidden="false" customHeight="false" outlineLevel="0" collapsed="false">
      <c r="A166" s="11" t="n">
        <v>46426</v>
      </c>
      <c r="B166" s="38" t="n">
        <v>0.729166666666667</v>
      </c>
      <c r="C166" s="10" t="s">
        <v>1171</v>
      </c>
      <c r="D166" s="10" t="s">
        <v>1120</v>
      </c>
      <c r="E166" s="0" t="n">
        <v>1</v>
      </c>
      <c r="G166" s="30" t="str">
        <f aca="false">IF($C166="","",IFERROR(IF(INDEX(links!$A$2:$A$501,MATCH($C166,links!$D$2:$D$501,0))="","",INDEX(links!$A$2:$A$501,MATCH($C166,links!$D$2:$D$501,0))),""))</f>
        <v>SAMPLE-CMP-004</v>
      </c>
      <c r="H166" s="30" t="str">
        <f aca="false">IF($C166="","",IFERROR(IF(INDEX(links!$B$2:$B$501,MATCH($C166,links!$D$2:$D$501,0))="","",INDEX(links!$B$2:$B$501,MATCH($C166,links!$D$2:$D$501,0))),""))</f>
        <v>SAMPLE-O-005</v>
      </c>
      <c r="I166" s="30" t="str">
        <f aca="false">IF($C166="","",IFERROR(IF(INDEX(links!$C$2:$C$501,MATCH($C166,links!$D$2:$D$501,0))="","",INDEX(links!$C$2:$C$501,MATCH($C166,links!$D$2:$D$501,0))),""))</f>
        <v>qr</v>
      </c>
      <c r="J166" s="30" t="str">
        <f aca="false">IF($C166="","",IF($G166="","slug not in links; ","")&amp;IF($D166="","reading type missing; ","")&amp;IF(COUNTIFS(scans!$C$2:$C$1601,$C166,scans!$D$2:$D$1601,$D166)&gt;1,"two readings of this type: keep one; ",""))</f>
        <v/>
      </c>
    </row>
    <row r="167" customFormat="false" ht="15" hidden="false" customHeight="false" outlineLevel="0" collapsed="false">
      <c r="A167" s="11" t="n">
        <v>46429</v>
      </c>
      <c r="B167" s="38" t="n">
        <v>0.729166666666667</v>
      </c>
      <c r="C167" s="10" t="s">
        <v>1171</v>
      </c>
      <c r="D167" s="10" t="s">
        <v>1121</v>
      </c>
      <c r="E167" s="0" t="n">
        <v>6</v>
      </c>
      <c r="G167" s="30" t="str">
        <f aca="false">IF($C167="","",IFERROR(IF(INDEX(links!$A$2:$A$501,MATCH($C167,links!$D$2:$D$501,0))="","",INDEX(links!$A$2:$A$501,MATCH($C167,links!$D$2:$D$501,0))),""))</f>
        <v>SAMPLE-CMP-004</v>
      </c>
      <c r="H167" s="30" t="str">
        <f aca="false">IF($C167="","",IFERROR(IF(INDEX(links!$B$2:$B$501,MATCH($C167,links!$D$2:$D$501,0))="","",INDEX(links!$B$2:$B$501,MATCH($C167,links!$D$2:$D$501,0))),""))</f>
        <v>SAMPLE-O-005</v>
      </c>
      <c r="I167" s="30" t="str">
        <f aca="false">IF($C167="","",IFERROR(IF(INDEX(links!$C$2:$C$501,MATCH($C167,links!$D$2:$D$501,0))="","",INDEX(links!$C$2:$C$501,MATCH($C167,links!$D$2:$D$501,0))),""))</f>
        <v>qr</v>
      </c>
      <c r="J167" s="30" t="str">
        <f aca="false">IF($C167="","",IF($G167="","slug not in links; ","")&amp;IF($D167="","reading type missing; ","")&amp;IF(COUNTIFS(scans!$C$2:$C$1601,$C167,scans!$D$2:$D$1601,$D167)&gt;1,"two readings of this type: keep one; ",""))</f>
        <v/>
      </c>
    </row>
    <row r="168" customFormat="false" ht="15" hidden="false" customHeight="false" outlineLevel="0" collapsed="false">
      <c r="A168" s="11" t="n">
        <v>46434</v>
      </c>
      <c r="B168" s="38" t="n">
        <v>0.729166666666667</v>
      </c>
      <c r="C168" s="10" t="s">
        <v>1171</v>
      </c>
      <c r="D168" s="10" t="s">
        <v>1122</v>
      </c>
      <c r="E168" s="0" t="n">
        <v>13</v>
      </c>
      <c r="G168" s="30" t="str">
        <f aca="false">IF($C168="","",IFERROR(IF(INDEX(links!$A$2:$A$501,MATCH($C168,links!$D$2:$D$501,0))="","",INDEX(links!$A$2:$A$501,MATCH($C168,links!$D$2:$D$501,0))),""))</f>
        <v>SAMPLE-CMP-004</v>
      </c>
      <c r="H168" s="30" t="str">
        <f aca="false">IF($C168="","",IFERROR(IF(INDEX(links!$B$2:$B$501,MATCH($C168,links!$D$2:$D$501,0))="","",INDEX(links!$B$2:$B$501,MATCH($C168,links!$D$2:$D$501,0))),""))</f>
        <v>SAMPLE-O-005</v>
      </c>
      <c r="I168" s="30" t="str">
        <f aca="false">IF($C168="","",IFERROR(IF(INDEX(links!$C$2:$C$501,MATCH($C168,links!$D$2:$D$501,0))="","",INDEX(links!$C$2:$C$501,MATCH($C168,links!$D$2:$D$501,0))),""))</f>
        <v>qr</v>
      </c>
      <c r="J168" s="30" t="str">
        <f aca="false">IF($C168="","",IF($G168="","slug not in links; ","")&amp;IF($D168="","reading type missing; ","")&amp;IF(COUNTIFS(scans!$C$2:$C$1601,$C168,scans!$D$2:$D$1601,$D168)&gt;1,"two readings of this type: keep one; ",""))</f>
        <v/>
      </c>
    </row>
    <row r="169" customFormat="false" ht="15" hidden="false" customHeight="false" outlineLevel="0" collapsed="false">
      <c r="A169" s="11" t="n">
        <v>46426</v>
      </c>
      <c r="B169" s="38" t="n">
        <v>0.729166666666667</v>
      </c>
      <c r="C169" s="10" t="s">
        <v>1172</v>
      </c>
      <c r="D169" s="10" t="s">
        <v>1120</v>
      </c>
      <c r="E169" s="0" t="n">
        <v>1</v>
      </c>
      <c r="G169" s="30" t="str">
        <f aca="false">IF($C169="","",IFERROR(IF(INDEX(links!$A$2:$A$501,MATCH($C169,links!$D$2:$D$501,0))="","",INDEX(links!$A$2:$A$501,MATCH($C169,links!$D$2:$D$501,0))),""))</f>
        <v>SAMPLE-CMP-004</v>
      </c>
      <c r="H169" s="30" t="str">
        <f aca="false">IF($C169="","",IFERROR(IF(INDEX(links!$B$2:$B$501,MATCH($C169,links!$D$2:$D$501,0))="","",INDEX(links!$B$2:$B$501,MATCH($C169,links!$D$2:$D$501,0))),""))</f>
        <v>SAMPLE-O-005</v>
      </c>
      <c r="I169" s="30" t="str">
        <f aca="false">IF($C169="","",IFERROR(IF(INDEX(links!$C$2:$C$501,MATCH($C169,links!$D$2:$D$501,0))="","",INDEX(links!$C$2:$C$501,MATCH($C169,links!$D$2:$D$501,0))),""))</f>
        <v>post</v>
      </c>
      <c r="J169" s="30" t="str">
        <f aca="false">IF($C169="","",IF($G169="","slug not in links; ","")&amp;IF($D169="","reading type missing; ","")&amp;IF(COUNTIFS(scans!$C$2:$C$1601,$C169,scans!$D$2:$D$1601,$D169)&gt;1,"two readings of this type: keep one; ",""))</f>
        <v/>
      </c>
    </row>
    <row r="170" customFormat="false" ht="15" hidden="false" customHeight="false" outlineLevel="0" collapsed="false">
      <c r="A170" s="11" t="n">
        <v>46429</v>
      </c>
      <c r="B170" s="38" t="n">
        <v>0.729166666666667</v>
      </c>
      <c r="C170" s="10" t="s">
        <v>1172</v>
      </c>
      <c r="D170" s="10" t="s">
        <v>1121</v>
      </c>
      <c r="E170" s="0" t="n">
        <v>6</v>
      </c>
      <c r="G170" s="30" t="str">
        <f aca="false">IF($C170="","",IFERROR(IF(INDEX(links!$A$2:$A$501,MATCH($C170,links!$D$2:$D$501,0))="","",INDEX(links!$A$2:$A$501,MATCH($C170,links!$D$2:$D$501,0))),""))</f>
        <v>SAMPLE-CMP-004</v>
      </c>
      <c r="H170" s="30" t="str">
        <f aca="false">IF($C170="","",IFERROR(IF(INDEX(links!$B$2:$B$501,MATCH($C170,links!$D$2:$D$501,0))="","",INDEX(links!$B$2:$B$501,MATCH($C170,links!$D$2:$D$501,0))),""))</f>
        <v>SAMPLE-O-005</v>
      </c>
      <c r="I170" s="30" t="str">
        <f aca="false">IF($C170="","",IFERROR(IF(INDEX(links!$C$2:$C$501,MATCH($C170,links!$D$2:$D$501,0))="","",INDEX(links!$C$2:$C$501,MATCH($C170,links!$D$2:$D$501,0))),""))</f>
        <v>post</v>
      </c>
      <c r="J170" s="30" t="str">
        <f aca="false">IF($C170="","",IF($G170="","slug not in links; ","")&amp;IF($D170="","reading type missing; ","")&amp;IF(COUNTIFS(scans!$C$2:$C$1601,$C170,scans!$D$2:$D$1601,$D170)&gt;1,"two readings of this type: keep one; ",""))</f>
        <v/>
      </c>
    </row>
    <row r="171" customFormat="false" ht="15" hidden="false" customHeight="false" outlineLevel="0" collapsed="false">
      <c r="A171" s="11" t="n">
        <v>46434</v>
      </c>
      <c r="B171" s="38" t="n">
        <v>0.729166666666667</v>
      </c>
      <c r="C171" s="10" t="s">
        <v>1172</v>
      </c>
      <c r="D171" s="10" t="s">
        <v>1122</v>
      </c>
      <c r="E171" s="0" t="n">
        <v>12</v>
      </c>
      <c r="G171" s="30" t="str">
        <f aca="false">IF($C171="","",IFERROR(IF(INDEX(links!$A$2:$A$501,MATCH($C171,links!$D$2:$D$501,0))="","",INDEX(links!$A$2:$A$501,MATCH($C171,links!$D$2:$D$501,0))),""))</f>
        <v>SAMPLE-CMP-004</v>
      </c>
      <c r="H171" s="30" t="str">
        <f aca="false">IF($C171="","",IFERROR(IF(INDEX(links!$B$2:$B$501,MATCH($C171,links!$D$2:$D$501,0))="","",INDEX(links!$B$2:$B$501,MATCH($C171,links!$D$2:$D$501,0))),""))</f>
        <v>SAMPLE-O-005</v>
      </c>
      <c r="I171" s="30" t="str">
        <f aca="false">IF($C171="","",IFERROR(IF(INDEX(links!$C$2:$C$501,MATCH($C171,links!$D$2:$D$501,0))="","",INDEX(links!$C$2:$C$501,MATCH($C171,links!$D$2:$D$501,0))),""))</f>
        <v>post</v>
      </c>
      <c r="J171" s="30" t="str">
        <f aca="false">IF($C171="","",IF($G171="","slug not in links; ","")&amp;IF($D171="","reading type missing; ","")&amp;IF(COUNTIFS(scans!$C$2:$C$1601,$C171,scans!$D$2:$D$1601,$D171)&gt;1,"two readings of this type: keep one; ",""))</f>
        <v/>
      </c>
    </row>
    <row r="172" customFormat="false" ht="15" hidden="false" customHeight="false" outlineLevel="0" collapsed="false">
      <c r="A172" s="11" t="n">
        <v>46426</v>
      </c>
      <c r="B172" s="38" t="n">
        <v>0.729166666666667</v>
      </c>
      <c r="C172" s="10" t="s">
        <v>1173</v>
      </c>
      <c r="D172" s="10" t="s">
        <v>1120</v>
      </c>
      <c r="E172" s="0" t="n">
        <v>1</v>
      </c>
      <c r="G172" s="30" t="str">
        <f aca="false">IF($C172="","",IFERROR(IF(INDEX(links!$A$2:$A$501,MATCH($C172,links!$D$2:$D$501,0))="","",INDEX(links!$A$2:$A$501,MATCH($C172,links!$D$2:$D$501,0))),""))</f>
        <v>SAMPLE-CMP-004</v>
      </c>
      <c r="H172" s="30" t="str">
        <f aca="false">IF($C172="","",IFERROR(IF(INDEX(links!$B$2:$B$501,MATCH($C172,links!$D$2:$D$501,0))="","",INDEX(links!$B$2:$B$501,MATCH($C172,links!$D$2:$D$501,0))),""))</f>
        <v>SAMPLE-O-006</v>
      </c>
      <c r="I172" s="30" t="str">
        <f aca="false">IF($C172="","",IFERROR(IF(INDEX(links!$C$2:$C$501,MATCH($C172,links!$D$2:$D$501,0))="","",INDEX(links!$C$2:$C$501,MATCH($C172,links!$D$2:$D$501,0))),""))</f>
        <v>qr</v>
      </c>
      <c r="J172" s="30" t="str">
        <f aca="false">IF($C172="","",IF($G172="","slug not in links; ","")&amp;IF($D172="","reading type missing; ","")&amp;IF(COUNTIFS(scans!$C$2:$C$1601,$C172,scans!$D$2:$D$1601,$D172)&gt;1,"two readings of this type: keep one; ",""))</f>
        <v/>
      </c>
    </row>
    <row r="173" customFormat="false" ht="15" hidden="false" customHeight="false" outlineLevel="0" collapsed="false">
      <c r="A173" s="11" t="n">
        <v>46429</v>
      </c>
      <c r="B173" s="38" t="n">
        <v>0.729166666666667</v>
      </c>
      <c r="C173" s="10" t="s">
        <v>1173</v>
      </c>
      <c r="D173" s="10" t="s">
        <v>1121</v>
      </c>
      <c r="E173" s="0" t="n">
        <v>4</v>
      </c>
      <c r="G173" s="30" t="str">
        <f aca="false">IF($C173="","",IFERROR(IF(INDEX(links!$A$2:$A$501,MATCH($C173,links!$D$2:$D$501,0))="","",INDEX(links!$A$2:$A$501,MATCH($C173,links!$D$2:$D$501,0))),""))</f>
        <v>SAMPLE-CMP-004</v>
      </c>
      <c r="H173" s="30" t="str">
        <f aca="false">IF($C173="","",IFERROR(IF(INDEX(links!$B$2:$B$501,MATCH($C173,links!$D$2:$D$501,0))="","",INDEX(links!$B$2:$B$501,MATCH($C173,links!$D$2:$D$501,0))),""))</f>
        <v>SAMPLE-O-006</v>
      </c>
      <c r="I173" s="30" t="str">
        <f aca="false">IF($C173="","",IFERROR(IF(INDEX(links!$C$2:$C$501,MATCH($C173,links!$D$2:$D$501,0))="","",INDEX(links!$C$2:$C$501,MATCH($C173,links!$D$2:$D$501,0))),""))</f>
        <v>qr</v>
      </c>
      <c r="J173" s="30" t="str">
        <f aca="false">IF($C173="","",IF($G173="","slug not in links; ","")&amp;IF($D173="","reading type missing; ","")&amp;IF(COUNTIFS(scans!$C$2:$C$1601,$C173,scans!$D$2:$D$1601,$D173)&gt;1,"two readings of this type: keep one; ",""))</f>
        <v/>
      </c>
    </row>
    <row r="174" customFormat="false" ht="15" hidden="false" customHeight="false" outlineLevel="0" collapsed="false">
      <c r="A174" s="11" t="n">
        <v>46434</v>
      </c>
      <c r="B174" s="38" t="n">
        <v>0.729166666666667</v>
      </c>
      <c r="C174" s="10" t="s">
        <v>1173</v>
      </c>
      <c r="D174" s="10" t="s">
        <v>1122</v>
      </c>
      <c r="E174" s="0" t="n">
        <v>9</v>
      </c>
      <c r="G174" s="30" t="str">
        <f aca="false">IF($C174="","",IFERROR(IF(INDEX(links!$A$2:$A$501,MATCH($C174,links!$D$2:$D$501,0))="","",INDEX(links!$A$2:$A$501,MATCH($C174,links!$D$2:$D$501,0))),""))</f>
        <v>SAMPLE-CMP-004</v>
      </c>
      <c r="H174" s="30" t="str">
        <f aca="false">IF($C174="","",IFERROR(IF(INDEX(links!$B$2:$B$501,MATCH($C174,links!$D$2:$D$501,0))="","",INDEX(links!$B$2:$B$501,MATCH($C174,links!$D$2:$D$501,0))),""))</f>
        <v>SAMPLE-O-006</v>
      </c>
      <c r="I174" s="30" t="str">
        <f aca="false">IF($C174="","",IFERROR(IF(INDEX(links!$C$2:$C$501,MATCH($C174,links!$D$2:$D$501,0))="","",INDEX(links!$C$2:$C$501,MATCH($C174,links!$D$2:$D$501,0))),""))</f>
        <v>qr</v>
      </c>
      <c r="J174" s="30" t="str">
        <f aca="false">IF($C174="","",IF($G174="","slug not in links; ","")&amp;IF($D174="","reading type missing; ","")&amp;IF(COUNTIFS(scans!$C$2:$C$1601,$C174,scans!$D$2:$D$1601,$D174)&gt;1,"two readings of this type: keep one; ",""))</f>
        <v/>
      </c>
    </row>
    <row r="175" customFormat="false" ht="15" hidden="false" customHeight="false" outlineLevel="0" collapsed="false">
      <c r="A175" s="11" t="n">
        <v>46426</v>
      </c>
      <c r="B175" s="38" t="n">
        <v>0.729166666666667</v>
      </c>
      <c r="C175" s="10" t="s">
        <v>1174</v>
      </c>
      <c r="D175" s="10" t="s">
        <v>1120</v>
      </c>
      <c r="E175" s="0" t="n">
        <v>1</v>
      </c>
      <c r="G175" s="30" t="str">
        <f aca="false">IF($C175="","",IFERROR(IF(INDEX(links!$A$2:$A$501,MATCH($C175,links!$D$2:$D$501,0))="","",INDEX(links!$A$2:$A$501,MATCH($C175,links!$D$2:$D$501,0))),""))</f>
        <v>SAMPLE-CMP-004</v>
      </c>
      <c r="H175" s="30" t="str">
        <f aca="false">IF($C175="","",IFERROR(IF(INDEX(links!$B$2:$B$501,MATCH($C175,links!$D$2:$D$501,0))="","",INDEX(links!$B$2:$B$501,MATCH($C175,links!$D$2:$D$501,0))),""))</f>
        <v>SAMPLE-O-006</v>
      </c>
      <c r="I175" s="30" t="str">
        <f aca="false">IF($C175="","",IFERROR(IF(INDEX(links!$C$2:$C$501,MATCH($C175,links!$D$2:$D$501,0))="","",INDEX(links!$C$2:$C$501,MATCH($C175,links!$D$2:$D$501,0))),""))</f>
        <v>post</v>
      </c>
      <c r="J175" s="30" t="str">
        <f aca="false">IF($C175="","",IF($G175="","slug not in links; ","")&amp;IF($D175="","reading type missing; ","")&amp;IF(COUNTIFS(scans!$C$2:$C$1601,$C175,scans!$D$2:$D$1601,$D175)&gt;1,"two readings of this type: keep one; ",""))</f>
        <v/>
      </c>
    </row>
    <row r="176" customFormat="false" ht="15" hidden="false" customHeight="false" outlineLevel="0" collapsed="false">
      <c r="A176" s="11" t="n">
        <v>46429</v>
      </c>
      <c r="B176" s="38" t="n">
        <v>0.729166666666667</v>
      </c>
      <c r="C176" s="10" t="s">
        <v>1174</v>
      </c>
      <c r="D176" s="10" t="s">
        <v>1121</v>
      </c>
      <c r="E176" s="0" t="n">
        <v>4</v>
      </c>
      <c r="G176" s="30" t="str">
        <f aca="false">IF($C176="","",IFERROR(IF(INDEX(links!$A$2:$A$501,MATCH($C176,links!$D$2:$D$501,0))="","",INDEX(links!$A$2:$A$501,MATCH($C176,links!$D$2:$D$501,0))),""))</f>
        <v>SAMPLE-CMP-004</v>
      </c>
      <c r="H176" s="30" t="str">
        <f aca="false">IF($C176="","",IFERROR(IF(INDEX(links!$B$2:$B$501,MATCH($C176,links!$D$2:$D$501,0))="","",INDEX(links!$B$2:$B$501,MATCH($C176,links!$D$2:$D$501,0))),""))</f>
        <v>SAMPLE-O-006</v>
      </c>
      <c r="I176" s="30" t="str">
        <f aca="false">IF($C176="","",IFERROR(IF(INDEX(links!$C$2:$C$501,MATCH($C176,links!$D$2:$D$501,0))="","",INDEX(links!$C$2:$C$501,MATCH($C176,links!$D$2:$D$501,0))),""))</f>
        <v>post</v>
      </c>
      <c r="J176" s="30" t="str">
        <f aca="false">IF($C176="","",IF($G176="","slug not in links; ","")&amp;IF($D176="","reading type missing; ","")&amp;IF(COUNTIFS(scans!$C$2:$C$1601,$C176,scans!$D$2:$D$1601,$D176)&gt;1,"two readings of this type: keep one; ",""))</f>
        <v/>
      </c>
    </row>
    <row r="177" customFormat="false" ht="15" hidden="false" customHeight="false" outlineLevel="0" collapsed="false">
      <c r="A177" s="11" t="n">
        <v>46434</v>
      </c>
      <c r="B177" s="38" t="n">
        <v>0.729166666666667</v>
      </c>
      <c r="C177" s="10" t="s">
        <v>1174</v>
      </c>
      <c r="D177" s="10" t="s">
        <v>1122</v>
      </c>
      <c r="E177" s="0" t="n">
        <v>8</v>
      </c>
      <c r="G177" s="30" t="str">
        <f aca="false">IF($C177="","",IFERROR(IF(INDEX(links!$A$2:$A$501,MATCH($C177,links!$D$2:$D$501,0))="","",INDEX(links!$A$2:$A$501,MATCH($C177,links!$D$2:$D$501,0))),""))</f>
        <v>SAMPLE-CMP-004</v>
      </c>
      <c r="H177" s="30" t="str">
        <f aca="false">IF($C177="","",IFERROR(IF(INDEX(links!$B$2:$B$501,MATCH($C177,links!$D$2:$D$501,0))="","",INDEX(links!$B$2:$B$501,MATCH($C177,links!$D$2:$D$501,0))),""))</f>
        <v>SAMPLE-O-006</v>
      </c>
      <c r="I177" s="30" t="str">
        <f aca="false">IF($C177="","",IFERROR(IF(INDEX(links!$C$2:$C$501,MATCH($C177,links!$D$2:$D$501,0))="","",INDEX(links!$C$2:$C$501,MATCH($C177,links!$D$2:$D$501,0))),""))</f>
        <v>post</v>
      </c>
      <c r="J177" s="30" t="str">
        <f aca="false">IF($C177="","",IF($G177="","slug not in links; ","")&amp;IF($D177="","reading type missing; ","")&amp;IF(COUNTIFS(scans!$C$2:$C$1601,$C177,scans!$D$2:$D$1601,$D177)&gt;1,"two readings of this type: keep one; ",""))</f>
        <v/>
      </c>
    </row>
    <row r="178" customFormat="false" ht="15" hidden="false" customHeight="false" outlineLevel="0" collapsed="false">
      <c r="A178" s="11" t="n">
        <v>46426</v>
      </c>
      <c r="B178" s="38" t="n">
        <v>0.729166666666667</v>
      </c>
      <c r="C178" s="10" t="s">
        <v>1175</v>
      </c>
      <c r="D178" s="10" t="s">
        <v>1120</v>
      </c>
      <c r="E178" s="0" t="n">
        <v>1</v>
      </c>
      <c r="G178" s="30" t="str">
        <f aca="false">IF($C178="","",IFERROR(IF(INDEX(links!$A$2:$A$501,MATCH($C178,links!$D$2:$D$501,0))="","",INDEX(links!$A$2:$A$501,MATCH($C178,links!$D$2:$D$501,0))),""))</f>
        <v>SAMPLE-CMP-004</v>
      </c>
      <c r="H178" s="30" t="str">
        <f aca="false">IF($C178="","",IFERROR(IF(INDEX(links!$B$2:$B$501,MATCH($C178,links!$D$2:$D$501,0))="","",INDEX(links!$B$2:$B$501,MATCH($C178,links!$D$2:$D$501,0))),""))</f>
        <v>SAMPLE-O-008</v>
      </c>
      <c r="I178" s="30" t="str">
        <f aca="false">IF($C178="","",IFERROR(IF(INDEX(links!$C$2:$C$501,MATCH($C178,links!$D$2:$D$501,0))="","",INDEX(links!$C$2:$C$501,MATCH($C178,links!$D$2:$D$501,0))),""))</f>
        <v>qr</v>
      </c>
      <c r="J178" s="30" t="str">
        <f aca="false">IF($C178="","",IF($G178="","slug not in links; ","")&amp;IF($D178="","reading type missing; ","")&amp;IF(COUNTIFS(scans!$C$2:$C$1601,$C178,scans!$D$2:$D$1601,$D178)&gt;1,"two readings of this type: keep one; ",""))</f>
        <v/>
      </c>
    </row>
    <row r="179" customFormat="false" ht="15" hidden="false" customHeight="false" outlineLevel="0" collapsed="false">
      <c r="A179" s="11" t="n">
        <v>46429</v>
      </c>
      <c r="B179" s="38" t="n">
        <v>0.729166666666667</v>
      </c>
      <c r="C179" s="10" t="s">
        <v>1175</v>
      </c>
      <c r="D179" s="10" t="s">
        <v>1121</v>
      </c>
      <c r="E179" s="0" t="n">
        <v>6</v>
      </c>
      <c r="G179" s="30" t="str">
        <f aca="false">IF($C179="","",IFERROR(IF(INDEX(links!$A$2:$A$501,MATCH($C179,links!$D$2:$D$501,0))="","",INDEX(links!$A$2:$A$501,MATCH($C179,links!$D$2:$D$501,0))),""))</f>
        <v>SAMPLE-CMP-004</v>
      </c>
      <c r="H179" s="30" t="str">
        <f aca="false">IF($C179="","",IFERROR(IF(INDEX(links!$B$2:$B$501,MATCH($C179,links!$D$2:$D$501,0))="","",INDEX(links!$B$2:$B$501,MATCH($C179,links!$D$2:$D$501,0))),""))</f>
        <v>SAMPLE-O-008</v>
      </c>
      <c r="I179" s="30" t="str">
        <f aca="false">IF($C179="","",IFERROR(IF(INDEX(links!$C$2:$C$501,MATCH($C179,links!$D$2:$D$501,0))="","",INDEX(links!$C$2:$C$501,MATCH($C179,links!$D$2:$D$501,0))),""))</f>
        <v>qr</v>
      </c>
      <c r="J179" s="30" t="str">
        <f aca="false">IF($C179="","",IF($G179="","slug not in links; ","")&amp;IF($D179="","reading type missing; ","")&amp;IF(COUNTIFS(scans!$C$2:$C$1601,$C179,scans!$D$2:$D$1601,$D179)&gt;1,"two readings of this type: keep one; ",""))</f>
        <v/>
      </c>
    </row>
    <row r="180" customFormat="false" ht="15" hidden="false" customHeight="false" outlineLevel="0" collapsed="false">
      <c r="A180" s="11" t="n">
        <v>46434</v>
      </c>
      <c r="B180" s="38" t="n">
        <v>0.729166666666667</v>
      </c>
      <c r="C180" s="10" t="s">
        <v>1175</v>
      </c>
      <c r="D180" s="10" t="s">
        <v>1122</v>
      </c>
      <c r="E180" s="0" t="n">
        <v>13</v>
      </c>
      <c r="G180" s="30" t="str">
        <f aca="false">IF($C180="","",IFERROR(IF(INDEX(links!$A$2:$A$501,MATCH($C180,links!$D$2:$D$501,0))="","",INDEX(links!$A$2:$A$501,MATCH($C180,links!$D$2:$D$501,0))),""))</f>
        <v>SAMPLE-CMP-004</v>
      </c>
      <c r="H180" s="30" t="str">
        <f aca="false">IF($C180="","",IFERROR(IF(INDEX(links!$B$2:$B$501,MATCH($C180,links!$D$2:$D$501,0))="","",INDEX(links!$B$2:$B$501,MATCH($C180,links!$D$2:$D$501,0))),""))</f>
        <v>SAMPLE-O-008</v>
      </c>
      <c r="I180" s="30" t="str">
        <f aca="false">IF($C180="","",IFERROR(IF(INDEX(links!$C$2:$C$501,MATCH($C180,links!$D$2:$D$501,0))="","",INDEX(links!$C$2:$C$501,MATCH($C180,links!$D$2:$D$501,0))),""))</f>
        <v>qr</v>
      </c>
      <c r="J180" s="30" t="str">
        <f aca="false">IF($C180="","",IF($G180="","slug not in links; ","")&amp;IF($D180="","reading type missing; ","")&amp;IF(COUNTIFS(scans!$C$2:$C$1601,$C180,scans!$D$2:$D$1601,$D180)&gt;1,"two readings of this type: keep one; ",""))</f>
        <v/>
      </c>
    </row>
    <row r="181" customFormat="false" ht="15" hidden="false" customHeight="false" outlineLevel="0" collapsed="false">
      <c r="A181" s="11" t="n">
        <v>46426</v>
      </c>
      <c r="B181" s="38" t="n">
        <v>0.729166666666667</v>
      </c>
      <c r="C181" s="10" t="s">
        <v>1176</v>
      </c>
      <c r="D181" s="10" t="s">
        <v>1120</v>
      </c>
      <c r="E181" s="0" t="n">
        <v>1</v>
      </c>
      <c r="G181" s="30" t="str">
        <f aca="false">IF($C181="","",IFERROR(IF(INDEX(links!$A$2:$A$501,MATCH($C181,links!$D$2:$D$501,0))="","",INDEX(links!$A$2:$A$501,MATCH($C181,links!$D$2:$D$501,0))),""))</f>
        <v>SAMPLE-CMP-004</v>
      </c>
      <c r="H181" s="30" t="str">
        <f aca="false">IF($C181="","",IFERROR(IF(INDEX(links!$B$2:$B$501,MATCH($C181,links!$D$2:$D$501,0))="","",INDEX(links!$B$2:$B$501,MATCH($C181,links!$D$2:$D$501,0))),""))</f>
        <v>SAMPLE-O-008</v>
      </c>
      <c r="I181" s="30" t="str">
        <f aca="false">IF($C181="","",IFERROR(IF(INDEX(links!$C$2:$C$501,MATCH($C181,links!$D$2:$D$501,0))="","",INDEX(links!$C$2:$C$501,MATCH($C181,links!$D$2:$D$501,0))),""))</f>
        <v>post</v>
      </c>
      <c r="J181" s="30" t="str">
        <f aca="false">IF($C181="","",IF($G181="","slug not in links; ","")&amp;IF($D181="","reading type missing; ","")&amp;IF(COUNTIFS(scans!$C$2:$C$1601,$C181,scans!$D$2:$D$1601,$D181)&gt;1,"two readings of this type: keep one; ",""))</f>
        <v/>
      </c>
    </row>
    <row r="182" customFormat="false" ht="15" hidden="false" customHeight="false" outlineLevel="0" collapsed="false">
      <c r="A182" s="11" t="n">
        <v>46429</v>
      </c>
      <c r="B182" s="38" t="n">
        <v>0.729166666666667</v>
      </c>
      <c r="C182" s="10" t="s">
        <v>1176</v>
      </c>
      <c r="D182" s="10" t="s">
        <v>1121</v>
      </c>
      <c r="E182" s="0" t="n">
        <v>6</v>
      </c>
      <c r="G182" s="30" t="str">
        <f aca="false">IF($C182="","",IFERROR(IF(INDEX(links!$A$2:$A$501,MATCH($C182,links!$D$2:$D$501,0))="","",INDEX(links!$A$2:$A$501,MATCH($C182,links!$D$2:$D$501,0))),""))</f>
        <v>SAMPLE-CMP-004</v>
      </c>
      <c r="H182" s="30" t="str">
        <f aca="false">IF($C182="","",IFERROR(IF(INDEX(links!$B$2:$B$501,MATCH($C182,links!$D$2:$D$501,0))="","",INDEX(links!$B$2:$B$501,MATCH($C182,links!$D$2:$D$501,0))),""))</f>
        <v>SAMPLE-O-008</v>
      </c>
      <c r="I182" s="30" t="str">
        <f aca="false">IF($C182="","",IFERROR(IF(INDEX(links!$C$2:$C$501,MATCH($C182,links!$D$2:$D$501,0))="","",INDEX(links!$C$2:$C$501,MATCH($C182,links!$D$2:$D$501,0))),""))</f>
        <v>post</v>
      </c>
      <c r="J182" s="30" t="str">
        <f aca="false">IF($C182="","",IF($G182="","slug not in links; ","")&amp;IF($D182="","reading type missing; ","")&amp;IF(COUNTIFS(scans!$C$2:$C$1601,$C182,scans!$D$2:$D$1601,$D182)&gt;1,"two readings of this type: keep one; ",""))</f>
        <v/>
      </c>
    </row>
    <row r="183" customFormat="false" ht="15" hidden="false" customHeight="false" outlineLevel="0" collapsed="false">
      <c r="A183" s="11" t="n">
        <v>46434</v>
      </c>
      <c r="B183" s="38" t="n">
        <v>0.729166666666667</v>
      </c>
      <c r="C183" s="10" t="s">
        <v>1176</v>
      </c>
      <c r="D183" s="10" t="s">
        <v>1122</v>
      </c>
      <c r="E183" s="0" t="n">
        <v>12</v>
      </c>
      <c r="G183" s="30" t="str">
        <f aca="false">IF($C183="","",IFERROR(IF(INDEX(links!$A$2:$A$501,MATCH($C183,links!$D$2:$D$501,0))="","",INDEX(links!$A$2:$A$501,MATCH($C183,links!$D$2:$D$501,0))),""))</f>
        <v>SAMPLE-CMP-004</v>
      </c>
      <c r="H183" s="30" t="str">
        <f aca="false">IF($C183="","",IFERROR(IF(INDEX(links!$B$2:$B$501,MATCH($C183,links!$D$2:$D$501,0))="","",INDEX(links!$B$2:$B$501,MATCH($C183,links!$D$2:$D$501,0))),""))</f>
        <v>SAMPLE-O-008</v>
      </c>
      <c r="I183" s="30" t="str">
        <f aca="false">IF($C183="","",IFERROR(IF(INDEX(links!$C$2:$C$501,MATCH($C183,links!$D$2:$D$501,0))="","",INDEX(links!$C$2:$C$501,MATCH($C183,links!$D$2:$D$501,0))),""))</f>
        <v>post</v>
      </c>
      <c r="J183" s="30" t="str">
        <f aca="false">IF($C183="","",IF($G183="","slug not in links; ","")&amp;IF($D183="","reading type missing; ","")&amp;IF(COUNTIFS(scans!$C$2:$C$1601,$C183,scans!$D$2:$D$1601,$D183)&gt;1,"two readings of this type: keep one; ",""))</f>
        <v/>
      </c>
    </row>
    <row r="184" customFormat="false" ht="15" hidden="false" customHeight="false" outlineLevel="0" collapsed="false">
      <c r="A184" s="11" t="n">
        <v>46426</v>
      </c>
      <c r="B184" s="38" t="n">
        <v>0.729166666666667</v>
      </c>
      <c r="C184" s="10" t="s">
        <v>1177</v>
      </c>
      <c r="D184" s="10" t="s">
        <v>1120</v>
      </c>
      <c r="E184" s="0" t="n">
        <v>1</v>
      </c>
      <c r="G184" s="30" t="str">
        <f aca="false">IF($C184="","",IFERROR(IF(INDEX(links!$A$2:$A$501,MATCH($C184,links!$D$2:$D$501,0))="","",INDEX(links!$A$2:$A$501,MATCH($C184,links!$D$2:$D$501,0))),""))</f>
        <v>SAMPLE-CMP-004</v>
      </c>
      <c r="H184" s="30" t="str">
        <f aca="false">IF($C184="","",IFERROR(IF(INDEX(links!$B$2:$B$501,MATCH($C184,links!$D$2:$D$501,0))="","",INDEX(links!$B$2:$B$501,MATCH($C184,links!$D$2:$D$501,0))),""))</f>
        <v>SAMPLE-O-009</v>
      </c>
      <c r="I184" s="30" t="str">
        <f aca="false">IF($C184="","",IFERROR(IF(INDEX(links!$C$2:$C$501,MATCH($C184,links!$D$2:$D$501,0))="","",INDEX(links!$C$2:$C$501,MATCH($C184,links!$D$2:$D$501,0))),""))</f>
        <v>qr</v>
      </c>
      <c r="J184" s="30" t="str">
        <f aca="false">IF($C184="","",IF($G184="","slug not in links; ","")&amp;IF($D184="","reading type missing; ","")&amp;IF(COUNTIFS(scans!$C$2:$C$1601,$C184,scans!$D$2:$D$1601,$D184)&gt;1,"two readings of this type: keep one; ",""))</f>
        <v/>
      </c>
    </row>
    <row r="185" customFormat="false" ht="15" hidden="false" customHeight="false" outlineLevel="0" collapsed="false">
      <c r="A185" s="11" t="n">
        <v>46429</v>
      </c>
      <c r="B185" s="38" t="n">
        <v>0.729166666666667</v>
      </c>
      <c r="C185" s="10" t="s">
        <v>1177</v>
      </c>
      <c r="D185" s="10" t="s">
        <v>1121</v>
      </c>
      <c r="E185" s="0" t="n">
        <v>4</v>
      </c>
      <c r="G185" s="30" t="str">
        <f aca="false">IF($C185="","",IFERROR(IF(INDEX(links!$A$2:$A$501,MATCH($C185,links!$D$2:$D$501,0))="","",INDEX(links!$A$2:$A$501,MATCH($C185,links!$D$2:$D$501,0))),""))</f>
        <v>SAMPLE-CMP-004</v>
      </c>
      <c r="H185" s="30" t="str">
        <f aca="false">IF($C185="","",IFERROR(IF(INDEX(links!$B$2:$B$501,MATCH($C185,links!$D$2:$D$501,0))="","",INDEX(links!$B$2:$B$501,MATCH($C185,links!$D$2:$D$501,0))),""))</f>
        <v>SAMPLE-O-009</v>
      </c>
      <c r="I185" s="30" t="str">
        <f aca="false">IF($C185="","",IFERROR(IF(INDEX(links!$C$2:$C$501,MATCH($C185,links!$D$2:$D$501,0))="","",INDEX(links!$C$2:$C$501,MATCH($C185,links!$D$2:$D$501,0))),""))</f>
        <v>qr</v>
      </c>
      <c r="J185" s="30" t="str">
        <f aca="false">IF($C185="","",IF($G185="","slug not in links; ","")&amp;IF($D185="","reading type missing; ","")&amp;IF(COUNTIFS(scans!$C$2:$C$1601,$C185,scans!$D$2:$D$1601,$D185)&gt;1,"two readings of this type: keep one; ",""))</f>
        <v/>
      </c>
    </row>
    <row r="186" customFormat="false" ht="15" hidden="false" customHeight="false" outlineLevel="0" collapsed="false">
      <c r="A186" s="11" t="n">
        <v>46434</v>
      </c>
      <c r="B186" s="38" t="n">
        <v>0.729166666666667</v>
      </c>
      <c r="C186" s="10" t="s">
        <v>1177</v>
      </c>
      <c r="D186" s="10" t="s">
        <v>1122</v>
      </c>
      <c r="E186" s="0" t="n">
        <v>9</v>
      </c>
      <c r="G186" s="30" t="str">
        <f aca="false">IF($C186="","",IFERROR(IF(INDEX(links!$A$2:$A$501,MATCH($C186,links!$D$2:$D$501,0))="","",INDEX(links!$A$2:$A$501,MATCH($C186,links!$D$2:$D$501,0))),""))</f>
        <v>SAMPLE-CMP-004</v>
      </c>
      <c r="H186" s="30" t="str">
        <f aca="false">IF($C186="","",IFERROR(IF(INDEX(links!$B$2:$B$501,MATCH($C186,links!$D$2:$D$501,0))="","",INDEX(links!$B$2:$B$501,MATCH($C186,links!$D$2:$D$501,0))),""))</f>
        <v>SAMPLE-O-009</v>
      </c>
      <c r="I186" s="30" t="str">
        <f aca="false">IF($C186="","",IFERROR(IF(INDEX(links!$C$2:$C$501,MATCH($C186,links!$D$2:$D$501,0))="","",INDEX(links!$C$2:$C$501,MATCH($C186,links!$D$2:$D$501,0))),""))</f>
        <v>qr</v>
      </c>
      <c r="J186" s="30" t="str">
        <f aca="false">IF($C186="","",IF($G186="","slug not in links; ","")&amp;IF($D186="","reading type missing; ","")&amp;IF(COUNTIFS(scans!$C$2:$C$1601,$C186,scans!$D$2:$D$1601,$D186)&gt;1,"two readings of this type: keep one; ",""))</f>
        <v/>
      </c>
    </row>
    <row r="187" customFormat="false" ht="15" hidden="false" customHeight="false" outlineLevel="0" collapsed="false">
      <c r="A187" s="11" t="n">
        <v>46426</v>
      </c>
      <c r="B187" s="38" t="n">
        <v>0.729166666666667</v>
      </c>
      <c r="C187" s="10" t="s">
        <v>1178</v>
      </c>
      <c r="D187" s="10" t="s">
        <v>1120</v>
      </c>
      <c r="E187" s="0" t="n">
        <v>1</v>
      </c>
      <c r="G187" s="30" t="str">
        <f aca="false">IF($C187="","",IFERROR(IF(INDEX(links!$A$2:$A$501,MATCH($C187,links!$D$2:$D$501,0))="","",INDEX(links!$A$2:$A$501,MATCH($C187,links!$D$2:$D$501,0))),""))</f>
        <v>SAMPLE-CMP-004</v>
      </c>
      <c r="H187" s="30" t="str">
        <f aca="false">IF($C187="","",IFERROR(IF(INDEX(links!$B$2:$B$501,MATCH($C187,links!$D$2:$D$501,0))="","",INDEX(links!$B$2:$B$501,MATCH($C187,links!$D$2:$D$501,0))),""))</f>
        <v>SAMPLE-O-009</v>
      </c>
      <c r="I187" s="30" t="str">
        <f aca="false">IF($C187="","",IFERROR(IF(INDEX(links!$C$2:$C$501,MATCH($C187,links!$D$2:$D$501,0))="","",INDEX(links!$C$2:$C$501,MATCH($C187,links!$D$2:$D$501,0))),""))</f>
        <v>post</v>
      </c>
      <c r="J187" s="30" t="str">
        <f aca="false">IF($C187="","",IF($G187="","slug not in links; ","")&amp;IF($D187="","reading type missing; ","")&amp;IF(COUNTIFS(scans!$C$2:$C$1601,$C187,scans!$D$2:$D$1601,$D187)&gt;1,"two readings of this type: keep one; ",""))</f>
        <v/>
      </c>
    </row>
    <row r="188" customFormat="false" ht="15" hidden="false" customHeight="false" outlineLevel="0" collapsed="false">
      <c r="A188" s="11" t="n">
        <v>46429</v>
      </c>
      <c r="B188" s="38" t="n">
        <v>0.729166666666667</v>
      </c>
      <c r="C188" s="10" t="s">
        <v>1178</v>
      </c>
      <c r="D188" s="10" t="s">
        <v>1121</v>
      </c>
      <c r="E188" s="0" t="n">
        <v>4</v>
      </c>
      <c r="G188" s="30" t="str">
        <f aca="false">IF($C188="","",IFERROR(IF(INDEX(links!$A$2:$A$501,MATCH($C188,links!$D$2:$D$501,0))="","",INDEX(links!$A$2:$A$501,MATCH($C188,links!$D$2:$D$501,0))),""))</f>
        <v>SAMPLE-CMP-004</v>
      </c>
      <c r="H188" s="30" t="str">
        <f aca="false">IF($C188="","",IFERROR(IF(INDEX(links!$B$2:$B$501,MATCH($C188,links!$D$2:$D$501,0))="","",INDEX(links!$B$2:$B$501,MATCH($C188,links!$D$2:$D$501,0))),""))</f>
        <v>SAMPLE-O-009</v>
      </c>
      <c r="I188" s="30" t="str">
        <f aca="false">IF($C188="","",IFERROR(IF(INDEX(links!$C$2:$C$501,MATCH($C188,links!$D$2:$D$501,0))="","",INDEX(links!$C$2:$C$501,MATCH($C188,links!$D$2:$D$501,0))),""))</f>
        <v>post</v>
      </c>
      <c r="J188" s="30" t="str">
        <f aca="false">IF($C188="","",IF($G188="","slug not in links; ","")&amp;IF($D188="","reading type missing; ","")&amp;IF(COUNTIFS(scans!$C$2:$C$1601,$C188,scans!$D$2:$D$1601,$D188)&gt;1,"two readings of this type: keep one; ",""))</f>
        <v/>
      </c>
    </row>
    <row r="189" customFormat="false" ht="15" hidden="false" customHeight="false" outlineLevel="0" collapsed="false">
      <c r="A189" s="11" t="n">
        <v>46434</v>
      </c>
      <c r="B189" s="38" t="n">
        <v>0.729166666666667</v>
      </c>
      <c r="C189" s="10" t="s">
        <v>1178</v>
      </c>
      <c r="D189" s="10" t="s">
        <v>1122</v>
      </c>
      <c r="E189" s="0" t="n">
        <v>8</v>
      </c>
      <c r="G189" s="30" t="str">
        <f aca="false">IF($C189="","",IFERROR(IF(INDEX(links!$A$2:$A$501,MATCH($C189,links!$D$2:$D$501,0))="","",INDEX(links!$A$2:$A$501,MATCH($C189,links!$D$2:$D$501,0))),""))</f>
        <v>SAMPLE-CMP-004</v>
      </c>
      <c r="H189" s="30" t="str">
        <f aca="false">IF($C189="","",IFERROR(IF(INDEX(links!$B$2:$B$501,MATCH($C189,links!$D$2:$D$501,0))="","",INDEX(links!$B$2:$B$501,MATCH($C189,links!$D$2:$D$501,0))),""))</f>
        <v>SAMPLE-O-009</v>
      </c>
      <c r="I189" s="30" t="str">
        <f aca="false">IF($C189="","",IFERROR(IF(INDEX(links!$C$2:$C$501,MATCH($C189,links!$D$2:$D$501,0))="","",INDEX(links!$C$2:$C$501,MATCH($C189,links!$D$2:$D$501,0))),""))</f>
        <v>post</v>
      </c>
      <c r="J189" s="30" t="str">
        <f aca="false">IF($C189="","",IF($G189="","slug not in links; ","")&amp;IF($D189="","reading type missing; ","")&amp;IF(COUNTIFS(scans!$C$2:$C$1601,$C189,scans!$D$2:$D$1601,$D189)&gt;1,"two readings of this type: keep one; ",""))</f>
        <v/>
      </c>
    </row>
    <row r="190" customFormat="false" ht="15" hidden="false" customHeight="false" outlineLevel="0" collapsed="false">
      <c r="A190" s="11" t="n">
        <v>46426</v>
      </c>
      <c r="B190" s="38" t="n">
        <v>0.729166666666667</v>
      </c>
      <c r="C190" s="10" t="s">
        <v>1179</v>
      </c>
      <c r="D190" s="10" t="s">
        <v>1120</v>
      </c>
      <c r="E190" s="0" t="n">
        <v>1</v>
      </c>
      <c r="G190" s="30" t="str">
        <f aca="false">IF($C190="","",IFERROR(IF(INDEX(links!$A$2:$A$501,MATCH($C190,links!$D$2:$D$501,0))="","",INDEX(links!$A$2:$A$501,MATCH($C190,links!$D$2:$D$501,0))),""))</f>
        <v>SAMPLE-CMP-004</v>
      </c>
      <c r="H190" s="30" t="str">
        <f aca="false">IF($C190="","",IFERROR(IF(INDEX(links!$B$2:$B$501,MATCH($C190,links!$D$2:$D$501,0))="","",INDEX(links!$B$2:$B$501,MATCH($C190,links!$D$2:$D$501,0))),""))</f>
        <v>SAMPLE-O-010</v>
      </c>
      <c r="I190" s="30" t="str">
        <f aca="false">IF($C190="","",IFERROR(IF(INDEX(links!$C$2:$C$501,MATCH($C190,links!$D$2:$D$501,0))="","",INDEX(links!$C$2:$C$501,MATCH($C190,links!$D$2:$D$501,0))),""))</f>
        <v>qr</v>
      </c>
      <c r="J190" s="30" t="str">
        <f aca="false">IF($C190="","",IF($G190="","slug not in links; ","")&amp;IF($D190="","reading type missing; ","")&amp;IF(COUNTIFS(scans!$C$2:$C$1601,$C190,scans!$D$2:$D$1601,$D190)&gt;1,"two readings of this type: keep one; ",""))</f>
        <v/>
      </c>
    </row>
    <row r="191" customFormat="false" ht="15" hidden="false" customHeight="false" outlineLevel="0" collapsed="false">
      <c r="A191" s="11" t="n">
        <v>46429</v>
      </c>
      <c r="B191" s="38" t="n">
        <v>0.729166666666667</v>
      </c>
      <c r="C191" s="10" t="s">
        <v>1179</v>
      </c>
      <c r="D191" s="10" t="s">
        <v>1121</v>
      </c>
      <c r="E191" s="0" t="n">
        <v>2</v>
      </c>
      <c r="G191" s="30" t="str">
        <f aca="false">IF($C191="","",IFERROR(IF(INDEX(links!$A$2:$A$501,MATCH($C191,links!$D$2:$D$501,0))="","",INDEX(links!$A$2:$A$501,MATCH($C191,links!$D$2:$D$501,0))),""))</f>
        <v>SAMPLE-CMP-004</v>
      </c>
      <c r="H191" s="30" t="str">
        <f aca="false">IF($C191="","",IFERROR(IF(INDEX(links!$B$2:$B$501,MATCH($C191,links!$D$2:$D$501,0))="","",INDEX(links!$B$2:$B$501,MATCH($C191,links!$D$2:$D$501,0))),""))</f>
        <v>SAMPLE-O-010</v>
      </c>
      <c r="I191" s="30" t="str">
        <f aca="false">IF($C191="","",IFERROR(IF(INDEX(links!$C$2:$C$501,MATCH($C191,links!$D$2:$D$501,0))="","",INDEX(links!$C$2:$C$501,MATCH($C191,links!$D$2:$D$501,0))),""))</f>
        <v>qr</v>
      </c>
      <c r="J191" s="30" t="str">
        <f aca="false">IF($C191="","",IF($G191="","slug not in links; ","")&amp;IF($D191="","reading type missing; ","")&amp;IF(COUNTIFS(scans!$C$2:$C$1601,$C191,scans!$D$2:$D$1601,$D191)&gt;1,"two readings of this type: keep one; ",""))</f>
        <v/>
      </c>
    </row>
    <row r="192" customFormat="false" ht="15" hidden="false" customHeight="false" outlineLevel="0" collapsed="false">
      <c r="A192" s="11" t="n">
        <v>46434</v>
      </c>
      <c r="B192" s="38" t="n">
        <v>0.729166666666667</v>
      </c>
      <c r="C192" s="10" t="s">
        <v>1179</v>
      </c>
      <c r="D192" s="10" t="s">
        <v>1122</v>
      </c>
      <c r="E192" s="0" t="n">
        <v>4</v>
      </c>
      <c r="G192" s="30" t="str">
        <f aca="false">IF($C192="","",IFERROR(IF(INDEX(links!$A$2:$A$501,MATCH($C192,links!$D$2:$D$501,0))="","",INDEX(links!$A$2:$A$501,MATCH($C192,links!$D$2:$D$501,0))),""))</f>
        <v>SAMPLE-CMP-004</v>
      </c>
      <c r="H192" s="30" t="str">
        <f aca="false">IF($C192="","",IFERROR(IF(INDEX(links!$B$2:$B$501,MATCH($C192,links!$D$2:$D$501,0))="","",INDEX(links!$B$2:$B$501,MATCH($C192,links!$D$2:$D$501,0))),""))</f>
        <v>SAMPLE-O-010</v>
      </c>
      <c r="I192" s="30" t="str">
        <f aca="false">IF($C192="","",IFERROR(IF(INDEX(links!$C$2:$C$501,MATCH($C192,links!$D$2:$D$501,0))="","",INDEX(links!$C$2:$C$501,MATCH($C192,links!$D$2:$D$501,0))),""))</f>
        <v>qr</v>
      </c>
      <c r="J192" s="30" t="str">
        <f aca="false">IF($C192="","",IF($G192="","slug not in links; ","")&amp;IF($D192="","reading type missing; ","")&amp;IF(COUNTIFS(scans!$C$2:$C$1601,$C192,scans!$D$2:$D$1601,$D192)&gt;1,"two readings of this type: keep one; ",""))</f>
        <v/>
      </c>
    </row>
    <row r="193" customFormat="false" ht="15" hidden="false" customHeight="false" outlineLevel="0" collapsed="false">
      <c r="A193" s="11" t="n">
        <v>46426</v>
      </c>
      <c r="B193" s="38" t="n">
        <v>0.729166666666667</v>
      </c>
      <c r="C193" s="10" t="s">
        <v>1180</v>
      </c>
      <c r="D193" s="10" t="s">
        <v>1120</v>
      </c>
      <c r="E193" s="0" t="n">
        <v>1</v>
      </c>
      <c r="G193" s="30" t="str">
        <f aca="false">IF($C193="","",IFERROR(IF(INDEX(links!$A$2:$A$501,MATCH($C193,links!$D$2:$D$501,0))="","",INDEX(links!$A$2:$A$501,MATCH($C193,links!$D$2:$D$501,0))),""))</f>
        <v>SAMPLE-CMP-004</v>
      </c>
      <c r="H193" s="30" t="str">
        <f aca="false">IF($C193="","",IFERROR(IF(INDEX(links!$B$2:$B$501,MATCH($C193,links!$D$2:$D$501,0))="","",INDEX(links!$B$2:$B$501,MATCH($C193,links!$D$2:$D$501,0))),""))</f>
        <v>SAMPLE-O-010</v>
      </c>
      <c r="I193" s="30" t="str">
        <f aca="false">IF($C193="","",IFERROR(IF(INDEX(links!$C$2:$C$501,MATCH($C193,links!$D$2:$D$501,0))="","",INDEX(links!$C$2:$C$501,MATCH($C193,links!$D$2:$D$501,0))),""))</f>
        <v>post</v>
      </c>
      <c r="J193" s="30" t="str">
        <f aca="false">IF($C193="","",IF($G193="","slug not in links; ","")&amp;IF($D193="","reading type missing; ","")&amp;IF(COUNTIFS(scans!$C$2:$C$1601,$C193,scans!$D$2:$D$1601,$D193)&gt;1,"two readings of this type: keep one; ",""))</f>
        <v/>
      </c>
    </row>
    <row r="194" customFormat="false" ht="15" hidden="false" customHeight="false" outlineLevel="0" collapsed="false">
      <c r="A194" s="11" t="n">
        <v>46429</v>
      </c>
      <c r="B194" s="38" t="n">
        <v>0.729166666666667</v>
      </c>
      <c r="C194" s="10" t="s">
        <v>1180</v>
      </c>
      <c r="D194" s="10" t="s">
        <v>1121</v>
      </c>
      <c r="E194" s="0" t="n">
        <v>7</v>
      </c>
      <c r="G194" s="30" t="str">
        <f aca="false">IF($C194="","",IFERROR(IF(INDEX(links!$A$2:$A$501,MATCH($C194,links!$D$2:$D$501,0))="","",INDEX(links!$A$2:$A$501,MATCH($C194,links!$D$2:$D$501,0))),""))</f>
        <v>SAMPLE-CMP-004</v>
      </c>
      <c r="H194" s="30" t="str">
        <f aca="false">IF($C194="","",IFERROR(IF(INDEX(links!$B$2:$B$501,MATCH($C194,links!$D$2:$D$501,0))="","",INDEX(links!$B$2:$B$501,MATCH($C194,links!$D$2:$D$501,0))),""))</f>
        <v>SAMPLE-O-010</v>
      </c>
      <c r="I194" s="30" t="str">
        <f aca="false">IF($C194="","",IFERROR(IF(INDEX(links!$C$2:$C$501,MATCH($C194,links!$D$2:$D$501,0))="","",INDEX(links!$C$2:$C$501,MATCH($C194,links!$D$2:$D$501,0))),""))</f>
        <v>post</v>
      </c>
      <c r="J194" s="30" t="str">
        <f aca="false">IF($C194="","",IF($G194="","slug not in links; ","")&amp;IF($D194="","reading type missing; ","")&amp;IF(COUNTIFS(scans!$C$2:$C$1601,$C194,scans!$D$2:$D$1601,$D194)&gt;1,"two readings of this type: keep one; ",""))</f>
        <v/>
      </c>
    </row>
    <row r="195" customFormat="false" ht="15" hidden="false" customHeight="false" outlineLevel="0" collapsed="false">
      <c r="A195" s="11" t="n">
        <v>46434</v>
      </c>
      <c r="B195" s="38" t="n">
        <v>0.729166666666667</v>
      </c>
      <c r="C195" s="10" t="s">
        <v>1180</v>
      </c>
      <c r="D195" s="10" t="s">
        <v>1122</v>
      </c>
      <c r="E195" s="0" t="n">
        <v>15</v>
      </c>
      <c r="G195" s="30" t="str">
        <f aca="false">IF($C195="","",IFERROR(IF(INDEX(links!$A$2:$A$501,MATCH($C195,links!$D$2:$D$501,0))="","",INDEX(links!$A$2:$A$501,MATCH($C195,links!$D$2:$D$501,0))),""))</f>
        <v>SAMPLE-CMP-004</v>
      </c>
      <c r="H195" s="30" t="str">
        <f aca="false">IF($C195="","",IFERROR(IF(INDEX(links!$B$2:$B$501,MATCH($C195,links!$D$2:$D$501,0))="","",INDEX(links!$B$2:$B$501,MATCH($C195,links!$D$2:$D$501,0))),""))</f>
        <v>SAMPLE-O-010</v>
      </c>
      <c r="I195" s="30" t="str">
        <f aca="false">IF($C195="","",IFERROR(IF(INDEX(links!$C$2:$C$501,MATCH($C195,links!$D$2:$D$501,0))="","",INDEX(links!$C$2:$C$501,MATCH($C195,links!$D$2:$D$501,0))),""))</f>
        <v>post</v>
      </c>
      <c r="J195" s="30" t="str">
        <f aca="false">IF($C195="","",IF($G195="","slug not in links; ","")&amp;IF($D195="","reading type missing; ","")&amp;IF(COUNTIFS(scans!$C$2:$C$1601,$C195,scans!$D$2:$D$1601,$D195)&gt;1,"two readings of this type: keep one; ",""))</f>
        <v/>
      </c>
    </row>
    <row r="196" customFormat="false" ht="15" hidden="false" customHeight="false" outlineLevel="0" collapsed="false">
      <c r="A196" s="11" t="n">
        <v>46426</v>
      </c>
      <c r="B196" s="38" t="n">
        <v>0.729166666666667</v>
      </c>
      <c r="C196" s="10" t="s">
        <v>1181</v>
      </c>
      <c r="D196" s="10" t="s">
        <v>1120</v>
      </c>
      <c r="E196" s="0" t="n">
        <v>1</v>
      </c>
      <c r="G196" s="30" t="str">
        <f aca="false">IF($C196="","",IFERROR(IF(INDEX(links!$A$2:$A$501,MATCH($C196,links!$D$2:$D$501,0))="","",INDEX(links!$A$2:$A$501,MATCH($C196,links!$D$2:$D$501,0))),""))</f>
        <v>SAMPLE-CMP-005</v>
      </c>
      <c r="H196" s="30" t="str">
        <f aca="false">IF($C196="","",IFERROR(IF(INDEX(links!$B$2:$B$501,MATCH($C196,links!$D$2:$D$501,0))="","",INDEX(links!$B$2:$B$501,MATCH($C196,links!$D$2:$D$501,0))),""))</f>
        <v>SAMPLE-O-001</v>
      </c>
      <c r="I196" s="30" t="str">
        <f aca="false">IF($C196="","",IFERROR(IF(INDEX(links!$C$2:$C$501,MATCH($C196,links!$D$2:$D$501,0))="","",INDEX(links!$C$2:$C$501,MATCH($C196,links!$D$2:$D$501,0))),""))</f>
        <v>qr</v>
      </c>
      <c r="J196" s="30" t="str">
        <f aca="false">IF($C196="","",IF($G196="","slug not in links; ","")&amp;IF($D196="","reading type missing; ","")&amp;IF(COUNTIFS(scans!$C$2:$C$1601,$C196,scans!$D$2:$D$1601,$D196)&gt;1,"two readings of this type: keep one; ",""))</f>
        <v/>
      </c>
    </row>
    <row r="197" customFormat="false" ht="15" hidden="false" customHeight="false" outlineLevel="0" collapsed="false">
      <c r="A197" s="11" t="n">
        <v>46429</v>
      </c>
      <c r="B197" s="38" t="n">
        <v>0.729166666666667</v>
      </c>
      <c r="C197" s="10" t="s">
        <v>1181</v>
      </c>
      <c r="D197" s="10" t="s">
        <v>1121</v>
      </c>
      <c r="E197" s="0" t="n">
        <v>4</v>
      </c>
      <c r="G197" s="30" t="str">
        <f aca="false">IF($C197="","",IFERROR(IF(INDEX(links!$A$2:$A$501,MATCH($C197,links!$D$2:$D$501,0))="","",INDEX(links!$A$2:$A$501,MATCH($C197,links!$D$2:$D$501,0))),""))</f>
        <v>SAMPLE-CMP-005</v>
      </c>
      <c r="H197" s="30" t="str">
        <f aca="false">IF($C197="","",IFERROR(IF(INDEX(links!$B$2:$B$501,MATCH($C197,links!$D$2:$D$501,0))="","",INDEX(links!$B$2:$B$501,MATCH($C197,links!$D$2:$D$501,0))),""))</f>
        <v>SAMPLE-O-001</v>
      </c>
      <c r="I197" s="30" t="str">
        <f aca="false">IF($C197="","",IFERROR(IF(INDEX(links!$C$2:$C$501,MATCH($C197,links!$D$2:$D$501,0))="","",INDEX(links!$C$2:$C$501,MATCH($C197,links!$D$2:$D$501,0))),""))</f>
        <v>qr</v>
      </c>
      <c r="J197" s="30" t="str">
        <f aca="false">IF($C197="","",IF($G197="","slug not in links; ","")&amp;IF($D197="","reading type missing; ","")&amp;IF(COUNTIFS(scans!$C$2:$C$1601,$C197,scans!$D$2:$D$1601,$D197)&gt;1,"two readings of this type: keep one; ",""))</f>
        <v/>
      </c>
    </row>
    <row r="198" customFormat="false" ht="15" hidden="false" customHeight="false" outlineLevel="0" collapsed="false">
      <c r="A198" s="11" t="n">
        <v>46434</v>
      </c>
      <c r="B198" s="38" t="n">
        <v>0.729166666666667</v>
      </c>
      <c r="C198" s="10" t="s">
        <v>1181</v>
      </c>
      <c r="D198" s="10" t="s">
        <v>1122</v>
      </c>
      <c r="E198" s="0" t="n">
        <v>9</v>
      </c>
      <c r="G198" s="30" t="str">
        <f aca="false">IF($C198="","",IFERROR(IF(INDEX(links!$A$2:$A$501,MATCH($C198,links!$D$2:$D$501,0))="","",INDEX(links!$A$2:$A$501,MATCH($C198,links!$D$2:$D$501,0))),""))</f>
        <v>SAMPLE-CMP-005</v>
      </c>
      <c r="H198" s="30" t="str">
        <f aca="false">IF($C198="","",IFERROR(IF(INDEX(links!$B$2:$B$501,MATCH($C198,links!$D$2:$D$501,0))="","",INDEX(links!$B$2:$B$501,MATCH($C198,links!$D$2:$D$501,0))),""))</f>
        <v>SAMPLE-O-001</v>
      </c>
      <c r="I198" s="30" t="str">
        <f aca="false">IF($C198="","",IFERROR(IF(INDEX(links!$C$2:$C$501,MATCH($C198,links!$D$2:$D$501,0))="","",INDEX(links!$C$2:$C$501,MATCH($C198,links!$D$2:$D$501,0))),""))</f>
        <v>qr</v>
      </c>
      <c r="J198" s="30" t="str">
        <f aca="false">IF($C198="","",IF($G198="","slug not in links; ","")&amp;IF($D198="","reading type missing; ","")&amp;IF(COUNTIFS(scans!$C$2:$C$1601,$C198,scans!$D$2:$D$1601,$D198)&gt;1,"two readings of this type: keep one; ",""))</f>
        <v/>
      </c>
    </row>
    <row r="199" customFormat="false" ht="15" hidden="false" customHeight="false" outlineLevel="0" collapsed="false">
      <c r="A199" s="11" t="n">
        <v>46426</v>
      </c>
      <c r="B199" s="38" t="n">
        <v>0.729166666666667</v>
      </c>
      <c r="C199" s="10" t="s">
        <v>1182</v>
      </c>
      <c r="D199" s="10" t="s">
        <v>1120</v>
      </c>
      <c r="E199" s="0" t="n">
        <v>1</v>
      </c>
      <c r="G199" s="30" t="str">
        <f aca="false">IF($C199="","",IFERROR(IF(INDEX(links!$A$2:$A$501,MATCH($C199,links!$D$2:$D$501,0))="","",INDEX(links!$A$2:$A$501,MATCH($C199,links!$D$2:$D$501,0))),""))</f>
        <v>SAMPLE-CMP-005</v>
      </c>
      <c r="H199" s="30" t="str">
        <f aca="false">IF($C199="","",IFERROR(IF(INDEX(links!$B$2:$B$501,MATCH($C199,links!$D$2:$D$501,0))="","",INDEX(links!$B$2:$B$501,MATCH($C199,links!$D$2:$D$501,0))),""))</f>
        <v>SAMPLE-O-001</v>
      </c>
      <c r="I199" s="30" t="str">
        <f aca="false">IF($C199="","",IFERROR(IF(INDEX(links!$C$2:$C$501,MATCH($C199,links!$D$2:$D$501,0))="","",INDEX(links!$C$2:$C$501,MATCH($C199,links!$D$2:$D$501,0))),""))</f>
        <v>post</v>
      </c>
      <c r="J199" s="30" t="str">
        <f aca="false">IF($C199="","",IF($G199="","slug not in links; ","")&amp;IF($D199="","reading type missing; ","")&amp;IF(COUNTIFS(scans!$C$2:$C$1601,$C199,scans!$D$2:$D$1601,$D199)&gt;1,"two readings of this type: keep one; ",""))</f>
        <v/>
      </c>
    </row>
    <row r="200" customFormat="false" ht="15" hidden="false" customHeight="false" outlineLevel="0" collapsed="false">
      <c r="A200" s="11" t="n">
        <v>46429</v>
      </c>
      <c r="B200" s="38" t="n">
        <v>0.729166666666667</v>
      </c>
      <c r="C200" s="10" t="s">
        <v>1182</v>
      </c>
      <c r="D200" s="10" t="s">
        <v>1121</v>
      </c>
      <c r="E200" s="0" t="n">
        <v>4</v>
      </c>
      <c r="G200" s="30" t="str">
        <f aca="false">IF($C200="","",IFERROR(IF(INDEX(links!$A$2:$A$501,MATCH($C200,links!$D$2:$D$501,0))="","",INDEX(links!$A$2:$A$501,MATCH($C200,links!$D$2:$D$501,0))),""))</f>
        <v>SAMPLE-CMP-005</v>
      </c>
      <c r="H200" s="30" t="str">
        <f aca="false">IF($C200="","",IFERROR(IF(INDEX(links!$B$2:$B$501,MATCH($C200,links!$D$2:$D$501,0))="","",INDEX(links!$B$2:$B$501,MATCH($C200,links!$D$2:$D$501,0))),""))</f>
        <v>SAMPLE-O-001</v>
      </c>
      <c r="I200" s="30" t="str">
        <f aca="false">IF($C200="","",IFERROR(IF(INDEX(links!$C$2:$C$501,MATCH($C200,links!$D$2:$D$501,0))="","",INDEX(links!$C$2:$C$501,MATCH($C200,links!$D$2:$D$501,0))),""))</f>
        <v>post</v>
      </c>
      <c r="J200" s="30" t="str">
        <f aca="false">IF($C200="","",IF($G200="","slug not in links; ","")&amp;IF($D200="","reading type missing; ","")&amp;IF(COUNTIFS(scans!$C$2:$C$1601,$C200,scans!$D$2:$D$1601,$D200)&gt;1,"two readings of this type: keep one; ",""))</f>
        <v/>
      </c>
    </row>
    <row r="201" customFormat="false" ht="15" hidden="false" customHeight="false" outlineLevel="0" collapsed="false">
      <c r="A201" s="11" t="n">
        <v>46434</v>
      </c>
      <c r="B201" s="38" t="n">
        <v>0.729166666666667</v>
      </c>
      <c r="C201" s="10" t="s">
        <v>1182</v>
      </c>
      <c r="D201" s="10" t="s">
        <v>1122</v>
      </c>
      <c r="E201" s="0" t="n">
        <v>8</v>
      </c>
      <c r="G201" s="30" t="str">
        <f aca="false">IF($C201="","",IFERROR(IF(INDEX(links!$A$2:$A$501,MATCH($C201,links!$D$2:$D$501,0))="","",INDEX(links!$A$2:$A$501,MATCH($C201,links!$D$2:$D$501,0))),""))</f>
        <v>SAMPLE-CMP-005</v>
      </c>
      <c r="H201" s="30" t="str">
        <f aca="false">IF($C201="","",IFERROR(IF(INDEX(links!$B$2:$B$501,MATCH($C201,links!$D$2:$D$501,0))="","",INDEX(links!$B$2:$B$501,MATCH($C201,links!$D$2:$D$501,0))),""))</f>
        <v>SAMPLE-O-001</v>
      </c>
      <c r="I201" s="30" t="str">
        <f aca="false">IF($C201="","",IFERROR(IF(INDEX(links!$C$2:$C$501,MATCH($C201,links!$D$2:$D$501,0))="","",INDEX(links!$C$2:$C$501,MATCH($C201,links!$D$2:$D$501,0))),""))</f>
        <v>post</v>
      </c>
      <c r="J201" s="30" t="str">
        <f aca="false">IF($C201="","",IF($G201="","slug not in links; ","")&amp;IF($D201="","reading type missing; ","")&amp;IF(COUNTIFS(scans!$C$2:$C$1601,$C201,scans!$D$2:$D$1601,$D201)&gt;1,"two readings of this type: keep one; ",""))</f>
        <v/>
      </c>
    </row>
    <row r="202" customFormat="false" ht="15" hidden="false" customHeight="false" outlineLevel="0" collapsed="false">
      <c r="A202" s="11" t="n">
        <v>46426</v>
      </c>
      <c r="B202" s="38" t="n">
        <v>0.729166666666667</v>
      </c>
      <c r="C202" s="10" t="s">
        <v>1183</v>
      </c>
      <c r="D202" s="10" t="s">
        <v>1120</v>
      </c>
      <c r="E202" s="0" t="n">
        <v>1</v>
      </c>
      <c r="G202" s="30" t="str">
        <f aca="false">IF($C202="","",IFERROR(IF(INDEX(links!$A$2:$A$501,MATCH($C202,links!$D$2:$D$501,0))="","",INDEX(links!$A$2:$A$501,MATCH($C202,links!$D$2:$D$501,0))),""))</f>
        <v>SAMPLE-CMP-005</v>
      </c>
      <c r="H202" s="30" t="str">
        <f aca="false">IF($C202="","",IFERROR(IF(INDEX(links!$B$2:$B$501,MATCH($C202,links!$D$2:$D$501,0))="","",INDEX(links!$B$2:$B$501,MATCH($C202,links!$D$2:$D$501,0))),""))</f>
        <v>SAMPLE-O-002</v>
      </c>
      <c r="I202" s="30" t="str">
        <f aca="false">IF($C202="","",IFERROR(IF(INDEX(links!$C$2:$C$501,MATCH($C202,links!$D$2:$D$501,0))="","",INDEX(links!$C$2:$C$501,MATCH($C202,links!$D$2:$D$501,0))),""))</f>
        <v>qr</v>
      </c>
      <c r="J202" s="30" t="str">
        <f aca="false">IF($C202="","",IF($G202="","slug not in links; ","")&amp;IF($D202="","reading type missing; ","")&amp;IF(COUNTIFS(scans!$C$2:$C$1601,$C202,scans!$D$2:$D$1601,$D202)&gt;1,"two readings of this type: keep one; ",""))</f>
        <v/>
      </c>
    </row>
    <row r="203" customFormat="false" ht="15" hidden="false" customHeight="false" outlineLevel="0" collapsed="false">
      <c r="A203" s="11" t="n">
        <v>46429</v>
      </c>
      <c r="B203" s="38" t="n">
        <v>0.729166666666667</v>
      </c>
      <c r="C203" s="10" t="s">
        <v>1183</v>
      </c>
      <c r="D203" s="10" t="s">
        <v>1121</v>
      </c>
      <c r="E203" s="0" t="n">
        <v>2</v>
      </c>
      <c r="G203" s="30" t="str">
        <f aca="false">IF($C203="","",IFERROR(IF(INDEX(links!$A$2:$A$501,MATCH($C203,links!$D$2:$D$501,0))="","",INDEX(links!$A$2:$A$501,MATCH($C203,links!$D$2:$D$501,0))),""))</f>
        <v>SAMPLE-CMP-005</v>
      </c>
      <c r="H203" s="30" t="str">
        <f aca="false">IF($C203="","",IFERROR(IF(INDEX(links!$B$2:$B$501,MATCH($C203,links!$D$2:$D$501,0))="","",INDEX(links!$B$2:$B$501,MATCH($C203,links!$D$2:$D$501,0))),""))</f>
        <v>SAMPLE-O-002</v>
      </c>
      <c r="I203" s="30" t="str">
        <f aca="false">IF($C203="","",IFERROR(IF(INDEX(links!$C$2:$C$501,MATCH($C203,links!$D$2:$D$501,0))="","",INDEX(links!$C$2:$C$501,MATCH($C203,links!$D$2:$D$501,0))),""))</f>
        <v>qr</v>
      </c>
      <c r="J203" s="30" t="str">
        <f aca="false">IF($C203="","",IF($G203="","slug not in links; ","")&amp;IF($D203="","reading type missing; ","")&amp;IF(COUNTIFS(scans!$C$2:$C$1601,$C203,scans!$D$2:$D$1601,$D203)&gt;1,"two readings of this type: keep one; ",""))</f>
        <v/>
      </c>
    </row>
    <row r="204" customFormat="false" ht="15" hidden="false" customHeight="false" outlineLevel="0" collapsed="false">
      <c r="A204" s="11" t="n">
        <v>46434</v>
      </c>
      <c r="B204" s="38" t="n">
        <v>0.729166666666667</v>
      </c>
      <c r="C204" s="10" t="s">
        <v>1183</v>
      </c>
      <c r="D204" s="10" t="s">
        <v>1122</v>
      </c>
      <c r="E204" s="0" t="n">
        <v>5</v>
      </c>
      <c r="G204" s="30" t="str">
        <f aca="false">IF($C204="","",IFERROR(IF(INDEX(links!$A$2:$A$501,MATCH($C204,links!$D$2:$D$501,0))="","",INDEX(links!$A$2:$A$501,MATCH($C204,links!$D$2:$D$501,0))),""))</f>
        <v>SAMPLE-CMP-005</v>
      </c>
      <c r="H204" s="30" t="str">
        <f aca="false">IF($C204="","",IFERROR(IF(INDEX(links!$B$2:$B$501,MATCH($C204,links!$D$2:$D$501,0))="","",INDEX(links!$B$2:$B$501,MATCH($C204,links!$D$2:$D$501,0))),""))</f>
        <v>SAMPLE-O-002</v>
      </c>
      <c r="I204" s="30" t="str">
        <f aca="false">IF($C204="","",IFERROR(IF(INDEX(links!$C$2:$C$501,MATCH($C204,links!$D$2:$D$501,0))="","",INDEX(links!$C$2:$C$501,MATCH($C204,links!$D$2:$D$501,0))),""))</f>
        <v>qr</v>
      </c>
      <c r="J204" s="30" t="str">
        <f aca="false">IF($C204="","",IF($G204="","slug not in links; ","")&amp;IF($D204="","reading type missing; ","")&amp;IF(COUNTIFS(scans!$C$2:$C$1601,$C204,scans!$D$2:$D$1601,$D204)&gt;1,"two readings of this type: keep one; ",""))</f>
        <v/>
      </c>
    </row>
    <row r="205" customFormat="false" ht="15" hidden="false" customHeight="false" outlineLevel="0" collapsed="false">
      <c r="A205" s="11" t="n">
        <v>46426</v>
      </c>
      <c r="B205" s="38" t="n">
        <v>0.729166666666667</v>
      </c>
      <c r="C205" s="10" t="s">
        <v>1184</v>
      </c>
      <c r="D205" s="10" t="s">
        <v>1120</v>
      </c>
      <c r="E205" s="0" t="n">
        <v>1</v>
      </c>
      <c r="G205" s="30" t="str">
        <f aca="false">IF($C205="","",IFERROR(IF(INDEX(links!$A$2:$A$501,MATCH($C205,links!$D$2:$D$501,0))="","",INDEX(links!$A$2:$A$501,MATCH($C205,links!$D$2:$D$501,0))),""))</f>
        <v>SAMPLE-CMP-005</v>
      </c>
      <c r="H205" s="30" t="str">
        <f aca="false">IF($C205="","",IFERROR(IF(INDEX(links!$B$2:$B$501,MATCH($C205,links!$D$2:$D$501,0))="","",INDEX(links!$B$2:$B$501,MATCH($C205,links!$D$2:$D$501,0))),""))</f>
        <v>SAMPLE-O-002</v>
      </c>
      <c r="I205" s="30" t="str">
        <f aca="false">IF($C205="","",IFERROR(IF(INDEX(links!$C$2:$C$501,MATCH($C205,links!$D$2:$D$501,0))="","",INDEX(links!$C$2:$C$501,MATCH($C205,links!$D$2:$D$501,0))),""))</f>
        <v>post</v>
      </c>
      <c r="J205" s="30" t="str">
        <f aca="false">IF($C205="","",IF($G205="","slug not in links; ","")&amp;IF($D205="","reading type missing; ","")&amp;IF(COUNTIFS(scans!$C$2:$C$1601,$C205,scans!$D$2:$D$1601,$D205)&gt;1,"two readings of this type: keep one; ",""))</f>
        <v/>
      </c>
    </row>
    <row r="206" customFormat="false" ht="15" hidden="false" customHeight="false" outlineLevel="0" collapsed="false">
      <c r="A206" s="11" t="n">
        <v>46429</v>
      </c>
      <c r="B206" s="38" t="n">
        <v>0.729166666666667</v>
      </c>
      <c r="C206" s="10" t="s">
        <v>1184</v>
      </c>
      <c r="D206" s="10" t="s">
        <v>1121</v>
      </c>
      <c r="E206" s="0" t="n">
        <v>2</v>
      </c>
      <c r="G206" s="30" t="str">
        <f aca="false">IF($C206="","",IFERROR(IF(INDEX(links!$A$2:$A$501,MATCH($C206,links!$D$2:$D$501,0))="","",INDEX(links!$A$2:$A$501,MATCH($C206,links!$D$2:$D$501,0))),""))</f>
        <v>SAMPLE-CMP-005</v>
      </c>
      <c r="H206" s="30" t="str">
        <f aca="false">IF($C206="","",IFERROR(IF(INDEX(links!$B$2:$B$501,MATCH($C206,links!$D$2:$D$501,0))="","",INDEX(links!$B$2:$B$501,MATCH($C206,links!$D$2:$D$501,0))),""))</f>
        <v>SAMPLE-O-002</v>
      </c>
      <c r="I206" s="30" t="str">
        <f aca="false">IF($C206="","",IFERROR(IF(INDEX(links!$C$2:$C$501,MATCH($C206,links!$D$2:$D$501,0))="","",INDEX(links!$C$2:$C$501,MATCH($C206,links!$D$2:$D$501,0))),""))</f>
        <v>post</v>
      </c>
      <c r="J206" s="30" t="str">
        <f aca="false">IF($C206="","",IF($G206="","slug not in links; ","")&amp;IF($D206="","reading type missing; ","")&amp;IF(COUNTIFS(scans!$C$2:$C$1601,$C206,scans!$D$2:$D$1601,$D206)&gt;1,"two readings of this type: keep one; ",""))</f>
        <v/>
      </c>
    </row>
    <row r="207" customFormat="false" ht="15" hidden="false" customHeight="false" outlineLevel="0" collapsed="false">
      <c r="A207" s="11" t="n">
        <v>46434</v>
      </c>
      <c r="B207" s="38" t="n">
        <v>0.729166666666667</v>
      </c>
      <c r="C207" s="10" t="s">
        <v>1184</v>
      </c>
      <c r="D207" s="10" t="s">
        <v>1122</v>
      </c>
      <c r="E207" s="0" t="n">
        <v>4</v>
      </c>
      <c r="G207" s="30" t="str">
        <f aca="false">IF($C207="","",IFERROR(IF(INDEX(links!$A$2:$A$501,MATCH($C207,links!$D$2:$D$501,0))="","",INDEX(links!$A$2:$A$501,MATCH($C207,links!$D$2:$D$501,0))),""))</f>
        <v>SAMPLE-CMP-005</v>
      </c>
      <c r="H207" s="30" t="str">
        <f aca="false">IF($C207="","",IFERROR(IF(INDEX(links!$B$2:$B$501,MATCH($C207,links!$D$2:$D$501,0))="","",INDEX(links!$B$2:$B$501,MATCH($C207,links!$D$2:$D$501,0))),""))</f>
        <v>SAMPLE-O-002</v>
      </c>
      <c r="I207" s="30" t="str">
        <f aca="false">IF($C207="","",IFERROR(IF(INDEX(links!$C$2:$C$501,MATCH($C207,links!$D$2:$D$501,0))="","",INDEX(links!$C$2:$C$501,MATCH($C207,links!$D$2:$D$501,0))),""))</f>
        <v>post</v>
      </c>
      <c r="J207" s="30" t="str">
        <f aca="false">IF($C207="","",IF($G207="","slug not in links; ","")&amp;IF($D207="","reading type missing; ","")&amp;IF(COUNTIFS(scans!$C$2:$C$1601,$C207,scans!$D$2:$D$1601,$D207)&gt;1,"two readings of this type: keep one; ",""))</f>
        <v/>
      </c>
    </row>
    <row r="208" customFormat="false" ht="15" hidden="false" customHeight="false" outlineLevel="0" collapsed="false">
      <c r="A208" s="11" t="n">
        <v>46426</v>
      </c>
      <c r="B208" s="38" t="n">
        <v>0.729166666666667</v>
      </c>
      <c r="C208" s="10" t="s">
        <v>1185</v>
      </c>
      <c r="D208" s="10" t="s">
        <v>1120</v>
      </c>
      <c r="E208" s="0" t="n">
        <v>1</v>
      </c>
      <c r="G208" s="30" t="str">
        <f aca="false">IF($C208="","",IFERROR(IF(INDEX(links!$A$2:$A$501,MATCH($C208,links!$D$2:$D$501,0))="","",INDEX(links!$A$2:$A$501,MATCH($C208,links!$D$2:$D$501,0))),""))</f>
        <v>SAMPLE-CMP-005</v>
      </c>
      <c r="H208" s="30" t="str">
        <f aca="false">IF($C208="","",IFERROR(IF(INDEX(links!$B$2:$B$501,MATCH($C208,links!$D$2:$D$501,0))="","",INDEX(links!$B$2:$B$501,MATCH($C208,links!$D$2:$D$501,0))),""))</f>
        <v>SAMPLE-O-003</v>
      </c>
      <c r="I208" s="30" t="str">
        <f aca="false">IF($C208="","",IFERROR(IF(INDEX(links!$C$2:$C$501,MATCH($C208,links!$D$2:$D$501,0))="","",INDEX(links!$C$2:$C$501,MATCH($C208,links!$D$2:$D$501,0))),""))</f>
        <v>qr</v>
      </c>
      <c r="J208" s="30" t="str">
        <f aca="false">IF($C208="","",IF($G208="","slug not in links; ","")&amp;IF($D208="","reading type missing; ","")&amp;IF(COUNTIFS(scans!$C$2:$C$1601,$C208,scans!$D$2:$D$1601,$D208)&gt;1,"two readings of this type: keep one; ",""))</f>
        <v/>
      </c>
    </row>
    <row r="209" customFormat="false" ht="15" hidden="false" customHeight="false" outlineLevel="0" collapsed="false">
      <c r="A209" s="11" t="n">
        <v>46429</v>
      </c>
      <c r="B209" s="38" t="n">
        <v>0.729166666666667</v>
      </c>
      <c r="C209" s="10" t="s">
        <v>1185</v>
      </c>
      <c r="D209" s="10" t="s">
        <v>1121</v>
      </c>
      <c r="E209" s="0" t="n">
        <v>6</v>
      </c>
      <c r="G209" s="30" t="str">
        <f aca="false">IF($C209="","",IFERROR(IF(INDEX(links!$A$2:$A$501,MATCH($C209,links!$D$2:$D$501,0))="","",INDEX(links!$A$2:$A$501,MATCH($C209,links!$D$2:$D$501,0))),""))</f>
        <v>SAMPLE-CMP-005</v>
      </c>
      <c r="H209" s="30" t="str">
        <f aca="false">IF($C209="","",IFERROR(IF(INDEX(links!$B$2:$B$501,MATCH($C209,links!$D$2:$D$501,0))="","",INDEX(links!$B$2:$B$501,MATCH($C209,links!$D$2:$D$501,0))),""))</f>
        <v>SAMPLE-O-003</v>
      </c>
      <c r="I209" s="30" t="str">
        <f aca="false">IF($C209="","",IFERROR(IF(INDEX(links!$C$2:$C$501,MATCH($C209,links!$D$2:$D$501,0))="","",INDEX(links!$C$2:$C$501,MATCH($C209,links!$D$2:$D$501,0))),""))</f>
        <v>qr</v>
      </c>
      <c r="J209" s="30" t="str">
        <f aca="false">IF($C209="","",IF($G209="","slug not in links; ","")&amp;IF($D209="","reading type missing; ","")&amp;IF(COUNTIFS(scans!$C$2:$C$1601,$C209,scans!$D$2:$D$1601,$D209)&gt;1,"two readings of this type: keep one; ",""))</f>
        <v/>
      </c>
    </row>
    <row r="210" customFormat="false" ht="15" hidden="false" customHeight="false" outlineLevel="0" collapsed="false">
      <c r="A210" s="11" t="n">
        <v>46434</v>
      </c>
      <c r="B210" s="38" t="n">
        <v>0.729166666666667</v>
      </c>
      <c r="C210" s="10" t="s">
        <v>1185</v>
      </c>
      <c r="D210" s="10" t="s">
        <v>1122</v>
      </c>
      <c r="E210" s="0" t="n">
        <v>13</v>
      </c>
      <c r="G210" s="30" t="str">
        <f aca="false">IF($C210="","",IFERROR(IF(INDEX(links!$A$2:$A$501,MATCH($C210,links!$D$2:$D$501,0))="","",INDEX(links!$A$2:$A$501,MATCH($C210,links!$D$2:$D$501,0))),""))</f>
        <v>SAMPLE-CMP-005</v>
      </c>
      <c r="H210" s="30" t="str">
        <f aca="false">IF($C210="","",IFERROR(IF(INDEX(links!$B$2:$B$501,MATCH($C210,links!$D$2:$D$501,0))="","",INDEX(links!$B$2:$B$501,MATCH($C210,links!$D$2:$D$501,0))),""))</f>
        <v>SAMPLE-O-003</v>
      </c>
      <c r="I210" s="30" t="str">
        <f aca="false">IF($C210="","",IFERROR(IF(INDEX(links!$C$2:$C$501,MATCH($C210,links!$D$2:$D$501,0))="","",INDEX(links!$C$2:$C$501,MATCH($C210,links!$D$2:$D$501,0))),""))</f>
        <v>qr</v>
      </c>
      <c r="J210" s="30" t="str">
        <f aca="false">IF($C210="","",IF($G210="","slug not in links; ","")&amp;IF($D210="","reading type missing; ","")&amp;IF(COUNTIFS(scans!$C$2:$C$1601,$C210,scans!$D$2:$D$1601,$D210)&gt;1,"two readings of this type: keep one; ",""))</f>
        <v/>
      </c>
    </row>
    <row r="211" customFormat="false" ht="15" hidden="false" customHeight="false" outlineLevel="0" collapsed="false">
      <c r="A211" s="11" t="n">
        <v>46426</v>
      </c>
      <c r="B211" s="38" t="n">
        <v>0.729166666666667</v>
      </c>
      <c r="C211" s="10" t="s">
        <v>1186</v>
      </c>
      <c r="D211" s="10" t="s">
        <v>1120</v>
      </c>
      <c r="E211" s="0" t="n">
        <v>1</v>
      </c>
      <c r="G211" s="30" t="str">
        <f aca="false">IF($C211="","",IFERROR(IF(INDEX(links!$A$2:$A$501,MATCH($C211,links!$D$2:$D$501,0))="","",INDEX(links!$A$2:$A$501,MATCH($C211,links!$D$2:$D$501,0))),""))</f>
        <v>SAMPLE-CMP-005</v>
      </c>
      <c r="H211" s="30" t="str">
        <f aca="false">IF($C211="","",IFERROR(IF(INDEX(links!$B$2:$B$501,MATCH($C211,links!$D$2:$D$501,0))="","",INDEX(links!$B$2:$B$501,MATCH($C211,links!$D$2:$D$501,0))),""))</f>
        <v>SAMPLE-O-003</v>
      </c>
      <c r="I211" s="30" t="str">
        <f aca="false">IF($C211="","",IFERROR(IF(INDEX(links!$C$2:$C$501,MATCH($C211,links!$D$2:$D$501,0))="","",INDEX(links!$C$2:$C$501,MATCH($C211,links!$D$2:$D$501,0))),""))</f>
        <v>post</v>
      </c>
      <c r="J211" s="30" t="str">
        <f aca="false">IF($C211="","",IF($G211="","slug not in links; ","")&amp;IF($D211="","reading type missing; ","")&amp;IF(COUNTIFS(scans!$C$2:$C$1601,$C211,scans!$D$2:$D$1601,$D211)&gt;1,"two readings of this type: keep one; ",""))</f>
        <v/>
      </c>
    </row>
    <row r="212" customFormat="false" ht="15" hidden="false" customHeight="false" outlineLevel="0" collapsed="false">
      <c r="A212" s="11" t="n">
        <v>46429</v>
      </c>
      <c r="B212" s="38" t="n">
        <v>0.729166666666667</v>
      </c>
      <c r="C212" s="10" t="s">
        <v>1186</v>
      </c>
      <c r="D212" s="10" t="s">
        <v>1121</v>
      </c>
      <c r="E212" s="0" t="n">
        <v>6</v>
      </c>
      <c r="G212" s="30" t="str">
        <f aca="false">IF($C212="","",IFERROR(IF(INDEX(links!$A$2:$A$501,MATCH($C212,links!$D$2:$D$501,0))="","",INDEX(links!$A$2:$A$501,MATCH($C212,links!$D$2:$D$501,0))),""))</f>
        <v>SAMPLE-CMP-005</v>
      </c>
      <c r="H212" s="30" t="str">
        <f aca="false">IF($C212="","",IFERROR(IF(INDEX(links!$B$2:$B$501,MATCH($C212,links!$D$2:$D$501,0))="","",INDEX(links!$B$2:$B$501,MATCH($C212,links!$D$2:$D$501,0))),""))</f>
        <v>SAMPLE-O-003</v>
      </c>
      <c r="I212" s="30" t="str">
        <f aca="false">IF($C212="","",IFERROR(IF(INDEX(links!$C$2:$C$501,MATCH($C212,links!$D$2:$D$501,0))="","",INDEX(links!$C$2:$C$501,MATCH($C212,links!$D$2:$D$501,0))),""))</f>
        <v>post</v>
      </c>
      <c r="J212" s="30" t="str">
        <f aca="false">IF($C212="","",IF($G212="","slug not in links; ","")&amp;IF($D212="","reading type missing; ","")&amp;IF(COUNTIFS(scans!$C$2:$C$1601,$C212,scans!$D$2:$D$1601,$D212)&gt;1,"two readings of this type: keep one; ",""))</f>
        <v/>
      </c>
    </row>
    <row r="213" customFormat="false" ht="15" hidden="false" customHeight="false" outlineLevel="0" collapsed="false">
      <c r="A213" s="11" t="n">
        <v>46434</v>
      </c>
      <c r="B213" s="38" t="n">
        <v>0.729166666666667</v>
      </c>
      <c r="C213" s="10" t="s">
        <v>1186</v>
      </c>
      <c r="D213" s="10" t="s">
        <v>1122</v>
      </c>
      <c r="E213" s="0" t="n">
        <v>12</v>
      </c>
      <c r="G213" s="30" t="str">
        <f aca="false">IF($C213="","",IFERROR(IF(INDEX(links!$A$2:$A$501,MATCH($C213,links!$D$2:$D$501,0))="","",INDEX(links!$A$2:$A$501,MATCH($C213,links!$D$2:$D$501,0))),""))</f>
        <v>SAMPLE-CMP-005</v>
      </c>
      <c r="H213" s="30" t="str">
        <f aca="false">IF($C213="","",IFERROR(IF(INDEX(links!$B$2:$B$501,MATCH($C213,links!$D$2:$D$501,0))="","",INDEX(links!$B$2:$B$501,MATCH($C213,links!$D$2:$D$501,0))),""))</f>
        <v>SAMPLE-O-003</v>
      </c>
      <c r="I213" s="30" t="str">
        <f aca="false">IF($C213="","",IFERROR(IF(INDEX(links!$C$2:$C$501,MATCH($C213,links!$D$2:$D$501,0))="","",INDEX(links!$C$2:$C$501,MATCH($C213,links!$D$2:$D$501,0))),""))</f>
        <v>post</v>
      </c>
      <c r="J213" s="30" t="str">
        <f aca="false">IF($C213="","",IF($G213="","slug not in links; ","")&amp;IF($D213="","reading type missing; ","")&amp;IF(COUNTIFS(scans!$C$2:$C$1601,$C213,scans!$D$2:$D$1601,$D213)&gt;1,"two readings of this type: keep one; ",""))</f>
        <v/>
      </c>
    </row>
    <row r="214" customFormat="false" ht="15" hidden="false" customHeight="false" outlineLevel="0" collapsed="false">
      <c r="A214" s="11" t="n">
        <v>46426</v>
      </c>
      <c r="B214" s="38" t="n">
        <v>0.729166666666667</v>
      </c>
      <c r="C214" s="10" t="s">
        <v>1187</v>
      </c>
      <c r="D214" s="10" t="s">
        <v>1120</v>
      </c>
      <c r="E214" s="0" t="n">
        <v>1</v>
      </c>
      <c r="G214" s="30" t="str">
        <f aca="false">IF($C214="","",IFERROR(IF(INDEX(links!$A$2:$A$501,MATCH($C214,links!$D$2:$D$501,0))="","",INDEX(links!$A$2:$A$501,MATCH($C214,links!$D$2:$D$501,0))),""))</f>
        <v>SAMPLE-CMP-005</v>
      </c>
      <c r="H214" s="30" t="str">
        <f aca="false">IF($C214="","",IFERROR(IF(INDEX(links!$B$2:$B$501,MATCH($C214,links!$D$2:$D$501,0))="","",INDEX(links!$B$2:$B$501,MATCH($C214,links!$D$2:$D$501,0))),""))</f>
        <v>SAMPLE-O-004</v>
      </c>
      <c r="I214" s="30" t="str">
        <f aca="false">IF($C214="","",IFERROR(IF(INDEX(links!$C$2:$C$501,MATCH($C214,links!$D$2:$D$501,0))="","",INDEX(links!$C$2:$C$501,MATCH($C214,links!$D$2:$D$501,0))),""))</f>
        <v>qr</v>
      </c>
      <c r="J214" s="30" t="str">
        <f aca="false">IF($C214="","",IF($G214="","slug not in links; ","")&amp;IF($D214="","reading type missing; ","")&amp;IF(COUNTIFS(scans!$C$2:$C$1601,$C214,scans!$D$2:$D$1601,$D214)&gt;1,"two readings of this type: keep one; ",""))</f>
        <v/>
      </c>
    </row>
    <row r="215" customFormat="false" ht="15" hidden="false" customHeight="false" outlineLevel="0" collapsed="false">
      <c r="A215" s="11" t="n">
        <v>46429</v>
      </c>
      <c r="B215" s="38" t="n">
        <v>0.729166666666667</v>
      </c>
      <c r="C215" s="10" t="s">
        <v>1187</v>
      </c>
      <c r="D215" s="10" t="s">
        <v>1121</v>
      </c>
      <c r="E215" s="0" t="n">
        <v>4</v>
      </c>
      <c r="G215" s="30" t="str">
        <f aca="false">IF($C215="","",IFERROR(IF(INDEX(links!$A$2:$A$501,MATCH($C215,links!$D$2:$D$501,0))="","",INDEX(links!$A$2:$A$501,MATCH($C215,links!$D$2:$D$501,0))),""))</f>
        <v>SAMPLE-CMP-005</v>
      </c>
      <c r="H215" s="30" t="str">
        <f aca="false">IF($C215="","",IFERROR(IF(INDEX(links!$B$2:$B$501,MATCH($C215,links!$D$2:$D$501,0))="","",INDEX(links!$B$2:$B$501,MATCH($C215,links!$D$2:$D$501,0))),""))</f>
        <v>SAMPLE-O-004</v>
      </c>
      <c r="I215" s="30" t="str">
        <f aca="false">IF($C215="","",IFERROR(IF(INDEX(links!$C$2:$C$501,MATCH($C215,links!$D$2:$D$501,0))="","",INDEX(links!$C$2:$C$501,MATCH($C215,links!$D$2:$D$501,0))),""))</f>
        <v>qr</v>
      </c>
      <c r="J215" s="30" t="str">
        <f aca="false">IF($C215="","",IF($G215="","slug not in links; ","")&amp;IF($D215="","reading type missing; ","")&amp;IF(COUNTIFS(scans!$C$2:$C$1601,$C215,scans!$D$2:$D$1601,$D215)&gt;1,"two readings of this type: keep one; ",""))</f>
        <v/>
      </c>
    </row>
    <row r="216" customFormat="false" ht="15" hidden="false" customHeight="false" outlineLevel="0" collapsed="false">
      <c r="A216" s="11" t="n">
        <v>46434</v>
      </c>
      <c r="B216" s="38" t="n">
        <v>0.729166666666667</v>
      </c>
      <c r="C216" s="10" t="s">
        <v>1187</v>
      </c>
      <c r="D216" s="10" t="s">
        <v>1122</v>
      </c>
      <c r="E216" s="0" t="n">
        <v>9</v>
      </c>
      <c r="G216" s="30" t="str">
        <f aca="false">IF($C216="","",IFERROR(IF(INDEX(links!$A$2:$A$501,MATCH($C216,links!$D$2:$D$501,0))="","",INDEX(links!$A$2:$A$501,MATCH($C216,links!$D$2:$D$501,0))),""))</f>
        <v>SAMPLE-CMP-005</v>
      </c>
      <c r="H216" s="30" t="str">
        <f aca="false">IF($C216="","",IFERROR(IF(INDEX(links!$B$2:$B$501,MATCH($C216,links!$D$2:$D$501,0))="","",INDEX(links!$B$2:$B$501,MATCH($C216,links!$D$2:$D$501,0))),""))</f>
        <v>SAMPLE-O-004</v>
      </c>
      <c r="I216" s="30" t="str">
        <f aca="false">IF($C216="","",IFERROR(IF(INDEX(links!$C$2:$C$501,MATCH($C216,links!$D$2:$D$501,0))="","",INDEX(links!$C$2:$C$501,MATCH($C216,links!$D$2:$D$501,0))),""))</f>
        <v>qr</v>
      </c>
      <c r="J216" s="30" t="str">
        <f aca="false">IF($C216="","",IF($G216="","slug not in links; ","")&amp;IF($D216="","reading type missing; ","")&amp;IF(COUNTIFS(scans!$C$2:$C$1601,$C216,scans!$D$2:$D$1601,$D216)&gt;1,"two readings of this type: keep one; ",""))</f>
        <v/>
      </c>
    </row>
    <row r="217" customFormat="false" ht="15" hidden="false" customHeight="false" outlineLevel="0" collapsed="false">
      <c r="A217" s="11" t="n">
        <v>46426</v>
      </c>
      <c r="B217" s="38" t="n">
        <v>0.729166666666667</v>
      </c>
      <c r="C217" s="10" t="s">
        <v>1188</v>
      </c>
      <c r="D217" s="10" t="s">
        <v>1120</v>
      </c>
      <c r="E217" s="0" t="n">
        <v>1</v>
      </c>
      <c r="G217" s="30" t="str">
        <f aca="false">IF($C217="","",IFERROR(IF(INDEX(links!$A$2:$A$501,MATCH($C217,links!$D$2:$D$501,0))="","",INDEX(links!$A$2:$A$501,MATCH($C217,links!$D$2:$D$501,0))),""))</f>
        <v>SAMPLE-CMP-005</v>
      </c>
      <c r="H217" s="30" t="str">
        <f aca="false">IF($C217="","",IFERROR(IF(INDEX(links!$B$2:$B$501,MATCH($C217,links!$D$2:$D$501,0))="","",INDEX(links!$B$2:$B$501,MATCH($C217,links!$D$2:$D$501,0))),""))</f>
        <v>SAMPLE-O-004</v>
      </c>
      <c r="I217" s="30" t="str">
        <f aca="false">IF($C217="","",IFERROR(IF(INDEX(links!$C$2:$C$501,MATCH($C217,links!$D$2:$D$501,0))="","",INDEX(links!$C$2:$C$501,MATCH($C217,links!$D$2:$D$501,0))),""))</f>
        <v>post</v>
      </c>
      <c r="J217" s="30" t="str">
        <f aca="false">IF($C217="","",IF($G217="","slug not in links; ","")&amp;IF($D217="","reading type missing; ","")&amp;IF(COUNTIFS(scans!$C$2:$C$1601,$C217,scans!$D$2:$D$1601,$D217)&gt;1,"two readings of this type: keep one; ",""))</f>
        <v/>
      </c>
    </row>
    <row r="218" customFormat="false" ht="15" hidden="false" customHeight="false" outlineLevel="0" collapsed="false">
      <c r="A218" s="11" t="n">
        <v>46429</v>
      </c>
      <c r="B218" s="38" t="n">
        <v>0.729166666666667</v>
      </c>
      <c r="C218" s="10" t="s">
        <v>1188</v>
      </c>
      <c r="D218" s="10" t="s">
        <v>1121</v>
      </c>
      <c r="E218" s="0" t="n">
        <v>4</v>
      </c>
      <c r="G218" s="30" t="str">
        <f aca="false">IF($C218="","",IFERROR(IF(INDEX(links!$A$2:$A$501,MATCH($C218,links!$D$2:$D$501,0))="","",INDEX(links!$A$2:$A$501,MATCH($C218,links!$D$2:$D$501,0))),""))</f>
        <v>SAMPLE-CMP-005</v>
      </c>
      <c r="H218" s="30" t="str">
        <f aca="false">IF($C218="","",IFERROR(IF(INDEX(links!$B$2:$B$501,MATCH($C218,links!$D$2:$D$501,0))="","",INDEX(links!$B$2:$B$501,MATCH($C218,links!$D$2:$D$501,0))),""))</f>
        <v>SAMPLE-O-004</v>
      </c>
      <c r="I218" s="30" t="str">
        <f aca="false">IF($C218="","",IFERROR(IF(INDEX(links!$C$2:$C$501,MATCH($C218,links!$D$2:$D$501,0))="","",INDEX(links!$C$2:$C$501,MATCH($C218,links!$D$2:$D$501,0))),""))</f>
        <v>post</v>
      </c>
      <c r="J218" s="30" t="str">
        <f aca="false">IF($C218="","",IF($G218="","slug not in links; ","")&amp;IF($D218="","reading type missing; ","")&amp;IF(COUNTIFS(scans!$C$2:$C$1601,$C218,scans!$D$2:$D$1601,$D218)&gt;1,"two readings of this type: keep one; ",""))</f>
        <v/>
      </c>
    </row>
    <row r="219" customFormat="false" ht="15" hidden="false" customHeight="false" outlineLevel="0" collapsed="false">
      <c r="A219" s="11" t="n">
        <v>46434</v>
      </c>
      <c r="B219" s="38" t="n">
        <v>0.729166666666667</v>
      </c>
      <c r="C219" s="10" t="s">
        <v>1188</v>
      </c>
      <c r="D219" s="10" t="s">
        <v>1122</v>
      </c>
      <c r="E219" s="0" t="n">
        <v>8</v>
      </c>
      <c r="G219" s="30" t="str">
        <f aca="false">IF($C219="","",IFERROR(IF(INDEX(links!$A$2:$A$501,MATCH($C219,links!$D$2:$D$501,0))="","",INDEX(links!$A$2:$A$501,MATCH($C219,links!$D$2:$D$501,0))),""))</f>
        <v>SAMPLE-CMP-005</v>
      </c>
      <c r="H219" s="30" t="str">
        <f aca="false">IF($C219="","",IFERROR(IF(INDEX(links!$B$2:$B$501,MATCH($C219,links!$D$2:$D$501,0))="","",INDEX(links!$B$2:$B$501,MATCH($C219,links!$D$2:$D$501,0))),""))</f>
        <v>SAMPLE-O-004</v>
      </c>
      <c r="I219" s="30" t="str">
        <f aca="false">IF($C219="","",IFERROR(IF(INDEX(links!$C$2:$C$501,MATCH($C219,links!$D$2:$D$501,0))="","",INDEX(links!$C$2:$C$501,MATCH($C219,links!$D$2:$D$501,0))),""))</f>
        <v>post</v>
      </c>
      <c r="J219" s="30" t="str">
        <f aca="false">IF($C219="","",IF($G219="","slug not in links; ","")&amp;IF($D219="","reading type missing; ","")&amp;IF(COUNTIFS(scans!$C$2:$C$1601,$C219,scans!$D$2:$D$1601,$D219)&gt;1,"two readings of this type: keep one; ",""))</f>
        <v/>
      </c>
    </row>
    <row r="220" customFormat="false" ht="15" hidden="false" customHeight="false" outlineLevel="0" collapsed="false">
      <c r="A220" s="11" t="n">
        <v>46426</v>
      </c>
      <c r="B220" s="38" t="n">
        <v>0.729166666666667</v>
      </c>
      <c r="C220" s="10" t="s">
        <v>1189</v>
      </c>
      <c r="D220" s="10" t="s">
        <v>1120</v>
      </c>
      <c r="E220" s="0" t="n">
        <v>1</v>
      </c>
      <c r="G220" s="30" t="str">
        <f aca="false">IF($C220="","",IFERROR(IF(INDEX(links!$A$2:$A$501,MATCH($C220,links!$D$2:$D$501,0))="","",INDEX(links!$A$2:$A$501,MATCH($C220,links!$D$2:$D$501,0))),""))</f>
        <v>SAMPLE-CMP-005</v>
      </c>
      <c r="H220" s="30" t="str">
        <f aca="false">IF($C220="","",IFERROR(IF(INDEX(links!$B$2:$B$501,MATCH($C220,links!$D$2:$D$501,0))="","",INDEX(links!$B$2:$B$501,MATCH($C220,links!$D$2:$D$501,0))),""))</f>
        <v>SAMPLE-O-005</v>
      </c>
      <c r="I220" s="30" t="str">
        <f aca="false">IF($C220="","",IFERROR(IF(INDEX(links!$C$2:$C$501,MATCH($C220,links!$D$2:$D$501,0))="","",INDEX(links!$C$2:$C$501,MATCH($C220,links!$D$2:$D$501,0))),""))</f>
        <v>qr</v>
      </c>
      <c r="J220" s="30" t="str">
        <f aca="false">IF($C220="","",IF($G220="","slug not in links; ","")&amp;IF($D220="","reading type missing; ","")&amp;IF(COUNTIFS(scans!$C$2:$C$1601,$C220,scans!$D$2:$D$1601,$D220)&gt;1,"two readings of this type: keep one; ",""))</f>
        <v/>
      </c>
    </row>
    <row r="221" customFormat="false" ht="15" hidden="false" customHeight="false" outlineLevel="0" collapsed="false">
      <c r="A221" s="11" t="n">
        <v>46429</v>
      </c>
      <c r="B221" s="38" t="n">
        <v>0.729166666666667</v>
      </c>
      <c r="C221" s="10" t="s">
        <v>1189</v>
      </c>
      <c r="D221" s="10" t="s">
        <v>1121</v>
      </c>
      <c r="E221" s="0" t="n">
        <v>2</v>
      </c>
      <c r="G221" s="30" t="str">
        <f aca="false">IF($C221="","",IFERROR(IF(INDEX(links!$A$2:$A$501,MATCH($C221,links!$D$2:$D$501,0))="","",INDEX(links!$A$2:$A$501,MATCH($C221,links!$D$2:$D$501,0))),""))</f>
        <v>SAMPLE-CMP-005</v>
      </c>
      <c r="H221" s="30" t="str">
        <f aca="false">IF($C221="","",IFERROR(IF(INDEX(links!$B$2:$B$501,MATCH($C221,links!$D$2:$D$501,0))="","",INDEX(links!$B$2:$B$501,MATCH($C221,links!$D$2:$D$501,0))),""))</f>
        <v>SAMPLE-O-005</v>
      </c>
      <c r="I221" s="30" t="str">
        <f aca="false">IF($C221="","",IFERROR(IF(INDEX(links!$C$2:$C$501,MATCH($C221,links!$D$2:$D$501,0))="","",INDEX(links!$C$2:$C$501,MATCH($C221,links!$D$2:$D$501,0))),""))</f>
        <v>qr</v>
      </c>
      <c r="J221" s="30" t="str">
        <f aca="false">IF($C221="","",IF($G221="","slug not in links; ","")&amp;IF($D221="","reading type missing; ","")&amp;IF(COUNTIFS(scans!$C$2:$C$1601,$C221,scans!$D$2:$D$1601,$D221)&gt;1,"two readings of this type: keep one; ",""))</f>
        <v/>
      </c>
    </row>
    <row r="222" customFormat="false" ht="15" hidden="false" customHeight="false" outlineLevel="0" collapsed="false">
      <c r="A222" s="11" t="n">
        <v>46434</v>
      </c>
      <c r="B222" s="38" t="n">
        <v>0.729166666666667</v>
      </c>
      <c r="C222" s="10" t="s">
        <v>1189</v>
      </c>
      <c r="D222" s="10" t="s">
        <v>1122</v>
      </c>
      <c r="E222" s="0" t="n">
        <v>5</v>
      </c>
      <c r="G222" s="30" t="str">
        <f aca="false">IF($C222="","",IFERROR(IF(INDEX(links!$A$2:$A$501,MATCH($C222,links!$D$2:$D$501,0))="","",INDEX(links!$A$2:$A$501,MATCH($C222,links!$D$2:$D$501,0))),""))</f>
        <v>SAMPLE-CMP-005</v>
      </c>
      <c r="H222" s="30" t="str">
        <f aca="false">IF($C222="","",IFERROR(IF(INDEX(links!$B$2:$B$501,MATCH($C222,links!$D$2:$D$501,0))="","",INDEX(links!$B$2:$B$501,MATCH($C222,links!$D$2:$D$501,0))),""))</f>
        <v>SAMPLE-O-005</v>
      </c>
      <c r="I222" s="30" t="str">
        <f aca="false">IF($C222="","",IFERROR(IF(INDEX(links!$C$2:$C$501,MATCH($C222,links!$D$2:$D$501,0))="","",INDEX(links!$C$2:$C$501,MATCH($C222,links!$D$2:$D$501,0))),""))</f>
        <v>qr</v>
      </c>
      <c r="J222" s="30" t="str">
        <f aca="false">IF($C222="","",IF($G222="","slug not in links; ","")&amp;IF($D222="","reading type missing; ","")&amp;IF(COUNTIFS(scans!$C$2:$C$1601,$C222,scans!$D$2:$D$1601,$D222)&gt;1,"two readings of this type: keep one; ",""))</f>
        <v/>
      </c>
    </row>
    <row r="223" customFormat="false" ht="15" hidden="false" customHeight="false" outlineLevel="0" collapsed="false">
      <c r="A223" s="11" t="n">
        <v>46426</v>
      </c>
      <c r="B223" s="38" t="n">
        <v>0.729166666666667</v>
      </c>
      <c r="C223" s="10" t="s">
        <v>1190</v>
      </c>
      <c r="D223" s="10" t="s">
        <v>1120</v>
      </c>
      <c r="E223" s="0" t="n">
        <v>1</v>
      </c>
      <c r="G223" s="30" t="str">
        <f aca="false">IF($C223="","",IFERROR(IF(INDEX(links!$A$2:$A$501,MATCH($C223,links!$D$2:$D$501,0))="","",INDEX(links!$A$2:$A$501,MATCH($C223,links!$D$2:$D$501,0))),""))</f>
        <v>SAMPLE-CMP-005</v>
      </c>
      <c r="H223" s="30" t="str">
        <f aca="false">IF($C223="","",IFERROR(IF(INDEX(links!$B$2:$B$501,MATCH($C223,links!$D$2:$D$501,0))="","",INDEX(links!$B$2:$B$501,MATCH($C223,links!$D$2:$D$501,0))),""))</f>
        <v>SAMPLE-O-005</v>
      </c>
      <c r="I223" s="30" t="str">
        <f aca="false">IF($C223="","",IFERROR(IF(INDEX(links!$C$2:$C$501,MATCH($C223,links!$D$2:$D$501,0))="","",INDEX(links!$C$2:$C$501,MATCH($C223,links!$D$2:$D$501,0))),""))</f>
        <v>post</v>
      </c>
      <c r="J223" s="30" t="str">
        <f aca="false">IF($C223="","",IF($G223="","slug not in links; ","")&amp;IF($D223="","reading type missing; ","")&amp;IF(COUNTIFS(scans!$C$2:$C$1601,$C223,scans!$D$2:$D$1601,$D223)&gt;1,"two readings of this type: keep one; ",""))</f>
        <v/>
      </c>
    </row>
    <row r="224" customFormat="false" ht="15" hidden="false" customHeight="false" outlineLevel="0" collapsed="false">
      <c r="A224" s="11" t="n">
        <v>46429</v>
      </c>
      <c r="B224" s="38" t="n">
        <v>0.729166666666667</v>
      </c>
      <c r="C224" s="10" t="s">
        <v>1190</v>
      </c>
      <c r="D224" s="10" t="s">
        <v>1121</v>
      </c>
      <c r="E224" s="0" t="n">
        <v>2</v>
      </c>
      <c r="G224" s="30" t="str">
        <f aca="false">IF($C224="","",IFERROR(IF(INDEX(links!$A$2:$A$501,MATCH($C224,links!$D$2:$D$501,0))="","",INDEX(links!$A$2:$A$501,MATCH($C224,links!$D$2:$D$501,0))),""))</f>
        <v>SAMPLE-CMP-005</v>
      </c>
      <c r="H224" s="30" t="str">
        <f aca="false">IF($C224="","",IFERROR(IF(INDEX(links!$B$2:$B$501,MATCH($C224,links!$D$2:$D$501,0))="","",INDEX(links!$B$2:$B$501,MATCH($C224,links!$D$2:$D$501,0))),""))</f>
        <v>SAMPLE-O-005</v>
      </c>
      <c r="I224" s="30" t="str">
        <f aca="false">IF($C224="","",IFERROR(IF(INDEX(links!$C$2:$C$501,MATCH($C224,links!$D$2:$D$501,0))="","",INDEX(links!$C$2:$C$501,MATCH($C224,links!$D$2:$D$501,0))),""))</f>
        <v>post</v>
      </c>
      <c r="J224" s="30" t="str">
        <f aca="false">IF($C224="","",IF($G224="","slug not in links; ","")&amp;IF($D224="","reading type missing; ","")&amp;IF(COUNTIFS(scans!$C$2:$C$1601,$C224,scans!$D$2:$D$1601,$D224)&gt;1,"two readings of this type: keep one; ",""))</f>
        <v/>
      </c>
    </row>
    <row r="225" customFormat="false" ht="15" hidden="false" customHeight="false" outlineLevel="0" collapsed="false">
      <c r="A225" s="11" t="n">
        <v>46434</v>
      </c>
      <c r="B225" s="38" t="n">
        <v>0.729166666666667</v>
      </c>
      <c r="C225" s="10" t="s">
        <v>1190</v>
      </c>
      <c r="D225" s="10" t="s">
        <v>1122</v>
      </c>
      <c r="E225" s="0" t="n">
        <v>4</v>
      </c>
      <c r="G225" s="30" t="str">
        <f aca="false">IF($C225="","",IFERROR(IF(INDEX(links!$A$2:$A$501,MATCH($C225,links!$D$2:$D$501,0))="","",INDEX(links!$A$2:$A$501,MATCH($C225,links!$D$2:$D$501,0))),""))</f>
        <v>SAMPLE-CMP-005</v>
      </c>
      <c r="H225" s="30" t="str">
        <f aca="false">IF($C225="","",IFERROR(IF(INDEX(links!$B$2:$B$501,MATCH($C225,links!$D$2:$D$501,0))="","",INDEX(links!$B$2:$B$501,MATCH($C225,links!$D$2:$D$501,0))),""))</f>
        <v>SAMPLE-O-005</v>
      </c>
      <c r="I225" s="30" t="str">
        <f aca="false">IF($C225="","",IFERROR(IF(INDEX(links!$C$2:$C$501,MATCH($C225,links!$D$2:$D$501,0))="","",INDEX(links!$C$2:$C$501,MATCH($C225,links!$D$2:$D$501,0))),""))</f>
        <v>post</v>
      </c>
      <c r="J225" s="30" t="str">
        <f aca="false">IF($C225="","",IF($G225="","slug not in links; ","")&amp;IF($D225="","reading type missing; ","")&amp;IF(COUNTIFS(scans!$C$2:$C$1601,$C225,scans!$D$2:$D$1601,$D225)&gt;1,"two readings of this type: keep one; ",""))</f>
        <v/>
      </c>
    </row>
    <row r="226" customFormat="false" ht="15" hidden="false" customHeight="false" outlineLevel="0" collapsed="false">
      <c r="A226" s="11" t="n">
        <v>46426</v>
      </c>
      <c r="B226" s="38" t="n">
        <v>0.729166666666667</v>
      </c>
      <c r="C226" s="10" t="s">
        <v>1191</v>
      </c>
      <c r="D226" s="10" t="s">
        <v>1120</v>
      </c>
      <c r="E226" s="0" t="n">
        <v>1</v>
      </c>
      <c r="G226" s="30" t="str">
        <f aca="false">IF($C226="","",IFERROR(IF(INDEX(links!$A$2:$A$501,MATCH($C226,links!$D$2:$D$501,0))="","",INDEX(links!$A$2:$A$501,MATCH($C226,links!$D$2:$D$501,0))),""))</f>
        <v>SAMPLE-CMP-005</v>
      </c>
      <c r="H226" s="30" t="str">
        <f aca="false">IF($C226="","",IFERROR(IF(INDEX(links!$B$2:$B$501,MATCH($C226,links!$D$2:$D$501,0))="","",INDEX(links!$B$2:$B$501,MATCH($C226,links!$D$2:$D$501,0))),""))</f>
        <v>SAMPLE-O-006</v>
      </c>
      <c r="I226" s="30" t="str">
        <f aca="false">IF($C226="","",IFERROR(IF(INDEX(links!$C$2:$C$501,MATCH($C226,links!$D$2:$D$501,0))="","",INDEX(links!$C$2:$C$501,MATCH($C226,links!$D$2:$D$501,0))),""))</f>
        <v>qr</v>
      </c>
      <c r="J226" s="30" t="str">
        <f aca="false">IF($C226="","",IF($G226="","slug not in links; ","")&amp;IF($D226="","reading type missing; ","")&amp;IF(COUNTIFS(scans!$C$2:$C$1601,$C226,scans!$D$2:$D$1601,$D226)&gt;1,"two readings of this type: keep one; ",""))</f>
        <v/>
      </c>
    </row>
    <row r="227" customFormat="false" ht="15" hidden="false" customHeight="false" outlineLevel="0" collapsed="false">
      <c r="A227" s="11" t="n">
        <v>46429</v>
      </c>
      <c r="B227" s="38" t="n">
        <v>0.729166666666667</v>
      </c>
      <c r="C227" s="10" t="s">
        <v>1191</v>
      </c>
      <c r="D227" s="10" t="s">
        <v>1121</v>
      </c>
      <c r="E227" s="0" t="n">
        <v>6</v>
      </c>
      <c r="G227" s="30" t="str">
        <f aca="false">IF($C227="","",IFERROR(IF(INDEX(links!$A$2:$A$501,MATCH($C227,links!$D$2:$D$501,0))="","",INDEX(links!$A$2:$A$501,MATCH($C227,links!$D$2:$D$501,0))),""))</f>
        <v>SAMPLE-CMP-005</v>
      </c>
      <c r="H227" s="30" t="str">
        <f aca="false">IF($C227="","",IFERROR(IF(INDEX(links!$B$2:$B$501,MATCH($C227,links!$D$2:$D$501,0))="","",INDEX(links!$B$2:$B$501,MATCH($C227,links!$D$2:$D$501,0))),""))</f>
        <v>SAMPLE-O-006</v>
      </c>
      <c r="I227" s="30" t="str">
        <f aca="false">IF($C227="","",IFERROR(IF(INDEX(links!$C$2:$C$501,MATCH($C227,links!$D$2:$D$501,0))="","",INDEX(links!$C$2:$C$501,MATCH($C227,links!$D$2:$D$501,0))),""))</f>
        <v>qr</v>
      </c>
      <c r="J227" s="30" t="str">
        <f aca="false">IF($C227="","",IF($G227="","slug not in links; ","")&amp;IF($D227="","reading type missing; ","")&amp;IF(COUNTIFS(scans!$C$2:$C$1601,$C227,scans!$D$2:$D$1601,$D227)&gt;1,"two readings of this type: keep one; ",""))</f>
        <v/>
      </c>
    </row>
    <row r="228" customFormat="false" ht="15" hidden="false" customHeight="false" outlineLevel="0" collapsed="false">
      <c r="A228" s="11" t="n">
        <v>46434</v>
      </c>
      <c r="B228" s="38" t="n">
        <v>0.729166666666667</v>
      </c>
      <c r="C228" s="10" t="s">
        <v>1191</v>
      </c>
      <c r="D228" s="10" t="s">
        <v>1122</v>
      </c>
      <c r="E228" s="0" t="n">
        <v>13</v>
      </c>
      <c r="G228" s="30" t="str">
        <f aca="false">IF($C228="","",IFERROR(IF(INDEX(links!$A$2:$A$501,MATCH($C228,links!$D$2:$D$501,0))="","",INDEX(links!$A$2:$A$501,MATCH($C228,links!$D$2:$D$501,0))),""))</f>
        <v>SAMPLE-CMP-005</v>
      </c>
      <c r="H228" s="30" t="str">
        <f aca="false">IF($C228="","",IFERROR(IF(INDEX(links!$B$2:$B$501,MATCH($C228,links!$D$2:$D$501,0))="","",INDEX(links!$B$2:$B$501,MATCH($C228,links!$D$2:$D$501,0))),""))</f>
        <v>SAMPLE-O-006</v>
      </c>
      <c r="I228" s="30" t="str">
        <f aca="false">IF($C228="","",IFERROR(IF(INDEX(links!$C$2:$C$501,MATCH($C228,links!$D$2:$D$501,0))="","",INDEX(links!$C$2:$C$501,MATCH($C228,links!$D$2:$D$501,0))),""))</f>
        <v>qr</v>
      </c>
      <c r="J228" s="30" t="str">
        <f aca="false">IF($C228="","",IF($G228="","slug not in links; ","")&amp;IF($D228="","reading type missing; ","")&amp;IF(COUNTIFS(scans!$C$2:$C$1601,$C228,scans!$D$2:$D$1601,$D228)&gt;1,"two readings of this type: keep one; ",""))</f>
        <v/>
      </c>
    </row>
    <row r="229" customFormat="false" ht="15" hidden="false" customHeight="false" outlineLevel="0" collapsed="false">
      <c r="A229" s="11" t="n">
        <v>46426</v>
      </c>
      <c r="B229" s="38" t="n">
        <v>0.729166666666667</v>
      </c>
      <c r="C229" s="10" t="s">
        <v>1192</v>
      </c>
      <c r="D229" s="10" t="s">
        <v>1120</v>
      </c>
      <c r="E229" s="0" t="n">
        <v>1</v>
      </c>
      <c r="G229" s="30" t="str">
        <f aca="false">IF($C229="","",IFERROR(IF(INDEX(links!$A$2:$A$501,MATCH($C229,links!$D$2:$D$501,0))="","",INDEX(links!$A$2:$A$501,MATCH($C229,links!$D$2:$D$501,0))),""))</f>
        <v>SAMPLE-CMP-005</v>
      </c>
      <c r="H229" s="30" t="str">
        <f aca="false">IF($C229="","",IFERROR(IF(INDEX(links!$B$2:$B$501,MATCH($C229,links!$D$2:$D$501,0))="","",INDEX(links!$B$2:$B$501,MATCH($C229,links!$D$2:$D$501,0))),""))</f>
        <v>SAMPLE-O-006</v>
      </c>
      <c r="I229" s="30" t="str">
        <f aca="false">IF($C229="","",IFERROR(IF(INDEX(links!$C$2:$C$501,MATCH($C229,links!$D$2:$D$501,0))="","",INDEX(links!$C$2:$C$501,MATCH($C229,links!$D$2:$D$501,0))),""))</f>
        <v>post</v>
      </c>
      <c r="J229" s="30" t="str">
        <f aca="false">IF($C229="","",IF($G229="","slug not in links; ","")&amp;IF($D229="","reading type missing; ","")&amp;IF(COUNTIFS(scans!$C$2:$C$1601,$C229,scans!$D$2:$D$1601,$D229)&gt;1,"two readings of this type: keep one; ",""))</f>
        <v/>
      </c>
    </row>
    <row r="230" customFormat="false" ht="15" hidden="false" customHeight="false" outlineLevel="0" collapsed="false">
      <c r="A230" s="11" t="n">
        <v>46429</v>
      </c>
      <c r="B230" s="38" t="n">
        <v>0.729166666666667</v>
      </c>
      <c r="C230" s="10" t="s">
        <v>1192</v>
      </c>
      <c r="D230" s="10" t="s">
        <v>1121</v>
      </c>
      <c r="E230" s="0" t="n">
        <v>6</v>
      </c>
      <c r="G230" s="30" t="str">
        <f aca="false">IF($C230="","",IFERROR(IF(INDEX(links!$A$2:$A$501,MATCH($C230,links!$D$2:$D$501,0))="","",INDEX(links!$A$2:$A$501,MATCH($C230,links!$D$2:$D$501,0))),""))</f>
        <v>SAMPLE-CMP-005</v>
      </c>
      <c r="H230" s="30" t="str">
        <f aca="false">IF($C230="","",IFERROR(IF(INDEX(links!$B$2:$B$501,MATCH($C230,links!$D$2:$D$501,0))="","",INDEX(links!$B$2:$B$501,MATCH($C230,links!$D$2:$D$501,0))),""))</f>
        <v>SAMPLE-O-006</v>
      </c>
      <c r="I230" s="30" t="str">
        <f aca="false">IF($C230="","",IFERROR(IF(INDEX(links!$C$2:$C$501,MATCH($C230,links!$D$2:$D$501,0))="","",INDEX(links!$C$2:$C$501,MATCH($C230,links!$D$2:$D$501,0))),""))</f>
        <v>post</v>
      </c>
      <c r="J230" s="30" t="str">
        <f aca="false">IF($C230="","",IF($G230="","slug not in links; ","")&amp;IF($D230="","reading type missing; ","")&amp;IF(COUNTIFS(scans!$C$2:$C$1601,$C230,scans!$D$2:$D$1601,$D230)&gt;1,"two readings of this type: keep one; ",""))</f>
        <v/>
      </c>
    </row>
    <row r="231" customFormat="false" ht="15" hidden="false" customHeight="false" outlineLevel="0" collapsed="false">
      <c r="A231" s="11" t="n">
        <v>46434</v>
      </c>
      <c r="B231" s="38" t="n">
        <v>0.729166666666667</v>
      </c>
      <c r="C231" s="10" t="s">
        <v>1192</v>
      </c>
      <c r="D231" s="10" t="s">
        <v>1122</v>
      </c>
      <c r="E231" s="0" t="n">
        <v>12</v>
      </c>
      <c r="G231" s="30" t="str">
        <f aca="false">IF($C231="","",IFERROR(IF(INDEX(links!$A$2:$A$501,MATCH($C231,links!$D$2:$D$501,0))="","",INDEX(links!$A$2:$A$501,MATCH($C231,links!$D$2:$D$501,0))),""))</f>
        <v>SAMPLE-CMP-005</v>
      </c>
      <c r="H231" s="30" t="str">
        <f aca="false">IF($C231="","",IFERROR(IF(INDEX(links!$B$2:$B$501,MATCH($C231,links!$D$2:$D$501,0))="","",INDEX(links!$B$2:$B$501,MATCH($C231,links!$D$2:$D$501,0))),""))</f>
        <v>SAMPLE-O-006</v>
      </c>
      <c r="I231" s="30" t="str">
        <f aca="false">IF($C231="","",IFERROR(IF(INDEX(links!$C$2:$C$501,MATCH($C231,links!$D$2:$D$501,0))="","",INDEX(links!$C$2:$C$501,MATCH($C231,links!$D$2:$D$501,0))),""))</f>
        <v>post</v>
      </c>
      <c r="J231" s="30" t="str">
        <f aca="false">IF($C231="","",IF($G231="","slug not in links; ","")&amp;IF($D231="","reading type missing; ","")&amp;IF(COUNTIFS(scans!$C$2:$C$1601,$C231,scans!$D$2:$D$1601,$D231)&gt;1,"two readings of this type: keep one; ",""))</f>
        <v/>
      </c>
    </row>
    <row r="232" customFormat="false" ht="15" hidden="false" customHeight="false" outlineLevel="0" collapsed="false">
      <c r="A232" s="11" t="n">
        <v>46426</v>
      </c>
      <c r="B232" s="38" t="n">
        <v>0.729166666666667</v>
      </c>
      <c r="C232" s="10" t="s">
        <v>1193</v>
      </c>
      <c r="D232" s="10" t="s">
        <v>1120</v>
      </c>
      <c r="E232" s="0" t="n">
        <v>1</v>
      </c>
      <c r="G232" s="30" t="str">
        <f aca="false">IF($C232="","",IFERROR(IF(INDEX(links!$A$2:$A$501,MATCH($C232,links!$D$2:$D$501,0))="","",INDEX(links!$A$2:$A$501,MATCH($C232,links!$D$2:$D$501,0))),""))</f>
        <v>SAMPLE-CMP-005</v>
      </c>
      <c r="H232" s="30" t="str">
        <f aca="false">IF($C232="","",IFERROR(IF(INDEX(links!$B$2:$B$501,MATCH($C232,links!$D$2:$D$501,0))="","",INDEX(links!$B$2:$B$501,MATCH($C232,links!$D$2:$D$501,0))),""))</f>
        <v>SAMPLE-O-007</v>
      </c>
      <c r="I232" s="30" t="str">
        <f aca="false">IF($C232="","",IFERROR(IF(INDEX(links!$C$2:$C$501,MATCH($C232,links!$D$2:$D$501,0))="","",INDEX(links!$C$2:$C$501,MATCH($C232,links!$D$2:$D$501,0))),""))</f>
        <v>qr</v>
      </c>
      <c r="J232" s="30" t="str">
        <f aca="false">IF($C232="","",IF($G232="","slug not in links; ","")&amp;IF($D232="","reading type missing; ","")&amp;IF(COUNTIFS(scans!$C$2:$C$1601,$C232,scans!$D$2:$D$1601,$D232)&gt;1,"two readings of this type: keep one; ",""))</f>
        <v/>
      </c>
    </row>
    <row r="233" customFormat="false" ht="15" hidden="false" customHeight="false" outlineLevel="0" collapsed="false">
      <c r="A233" s="11" t="n">
        <v>46429</v>
      </c>
      <c r="B233" s="38" t="n">
        <v>0.729166666666667</v>
      </c>
      <c r="C233" s="10" t="s">
        <v>1193</v>
      </c>
      <c r="D233" s="10" t="s">
        <v>1121</v>
      </c>
      <c r="E233" s="0" t="n">
        <v>4</v>
      </c>
      <c r="G233" s="30" t="str">
        <f aca="false">IF($C233="","",IFERROR(IF(INDEX(links!$A$2:$A$501,MATCH($C233,links!$D$2:$D$501,0))="","",INDEX(links!$A$2:$A$501,MATCH($C233,links!$D$2:$D$501,0))),""))</f>
        <v>SAMPLE-CMP-005</v>
      </c>
      <c r="H233" s="30" t="str">
        <f aca="false">IF($C233="","",IFERROR(IF(INDEX(links!$B$2:$B$501,MATCH($C233,links!$D$2:$D$501,0))="","",INDEX(links!$B$2:$B$501,MATCH($C233,links!$D$2:$D$501,0))),""))</f>
        <v>SAMPLE-O-007</v>
      </c>
      <c r="I233" s="30" t="str">
        <f aca="false">IF($C233="","",IFERROR(IF(INDEX(links!$C$2:$C$501,MATCH($C233,links!$D$2:$D$501,0))="","",INDEX(links!$C$2:$C$501,MATCH($C233,links!$D$2:$D$501,0))),""))</f>
        <v>qr</v>
      </c>
      <c r="J233" s="30" t="str">
        <f aca="false">IF($C233="","",IF($G233="","slug not in links; ","")&amp;IF($D233="","reading type missing; ","")&amp;IF(COUNTIFS(scans!$C$2:$C$1601,$C233,scans!$D$2:$D$1601,$D233)&gt;1,"two readings of this type: keep one; ",""))</f>
        <v/>
      </c>
    </row>
    <row r="234" customFormat="false" ht="15" hidden="false" customHeight="false" outlineLevel="0" collapsed="false">
      <c r="A234" s="11" t="n">
        <v>46434</v>
      </c>
      <c r="B234" s="38" t="n">
        <v>0.729166666666667</v>
      </c>
      <c r="C234" s="10" t="s">
        <v>1193</v>
      </c>
      <c r="D234" s="10" t="s">
        <v>1122</v>
      </c>
      <c r="E234" s="0" t="n">
        <v>9</v>
      </c>
      <c r="G234" s="30" t="str">
        <f aca="false">IF($C234="","",IFERROR(IF(INDEX(links!$A$2:$A$501,MATCH($C234,links!$D$2:$D$501,0))="","",INDEX(links!$A$2:$A$501,MATCH($C234,links!$D$2:$D$501,0))),""))</f>
        <v>SAMPLE-CMP-005</v>
      </c>
      <c r="H234" s="30" t="str">
        <f aca="false">IF($C234="","",IFERROR(IF(INDEX(links!$B$2:$B$501,MATCH($C234,links!$D$2:$D$501,0))="","",INDEX(links!$B$2:$B$501,MATCH($C234,links!$D$2:$D$501,0))),""))</f>
        <v>SAMPLE-O-007</v>
      </c>
      <c r="I234" s="30" t="str">
        <f aca="false">IF($C234="","",IFERROR(IF(INDEX(links!$C$2:$C$501,MATCH($C234,links!$D$2:$D$501,0))="","",INDEX(links!$C$2:$C$501,MATCH($C234,links!$D$2:$D$501,0))),""))</f>
        <v>qr</v>
      </c>
      <c r="J234" s="30" t="str">
        <f aca="false">IF($C234="","",IF($G234="","slug not in links; ","")&amp;IF($D234="","reading type missing; ","")&amp;IF(COUNTIFS(scans!$C$2:$C$1601,$C234,scans!$D$2:$D$1601,$D234)&gt;1,"two readings of this type: keep one; ",""))</f>
        <v/>
      </c>
    </row>
    <row r="235" customFormat="false" ht="15" hidden="false" customHeight="false" outlineLevel="0" collapsed="false">
      <c r="A235" s="11" t="n">
        <v>46426</v>
      </c>
      <c r="B235" s="38" t="n">
        <v>0.729166666666667</v>
      </c>
      <c r="C235" s="10" t="s">
        <v>1194</v>
      </c>
      <c r="D235" s="10" t="s">
        <v>1120</v>
      </c>
      <c r="E235" s="0" t="n">
        <v>1</v>
      </c>
      <c r="G235" s="30" t="str">
        <f aca="false">IF($C235="","",IFERROR(IF(INDEX(links!$A$2:$A$501,MATCH($C235,links!$D$2:$D$501,0))="","",INDEX(links!$A$2:$A$501,MATCH($C235,links!$D$2:$D$501,0))),""))</f>
        <v>SAMPLE-CMP-005</v>
      </c>
      <c r="H235" s="30" t="str">
        <f aca="false">IF($C235="","",IFERROR(IF(INDEX(links!$B$2:$B$501,MATCH($C235,links!$D$2:$D$501,0))="","",INDEX(links!$B$2:$B$501,MATCH($C235,links!$D$2:$D$501,0))),""))</f>
        <v>SAMPLE-O-007</v>
      </c>
      <c r="I235" s="30" t="str">
        <f aca="false">IF($C235="","",IFERROR(IF(INDEX(links!$C$2:$C$501,MATCH($C235,links!$D$2:$D$501,0))="","",INDEX(links!$C$2:$C$501,MATCH($C235,links!$D$2:$D$501,0))),""))</f>
        <v>post</v>
      </c>
      <c r="J235" s="30" t="str">
        <f aca="false">IF($C235="","",IF($G235="","slug not in links; ","")&amp;IF($D235="","reading type missing; ","")&amp;IF(COUNTIFS(scans!$C$2:$C$1601,$C235,scans!$D$2:$D$1601,$D235)&gt;1,"two readings of this type: keep one; ",""))</f>
        <v/>
      </c>
    </row>
    <row r="236" customFormat="false" ht="15" hidden="false" customHeight="false" outlineLevel="0" collapsed="false">
      <c r="A236" s="11" t="n">
        <v>46429</v>
      </c>
      <c r="B236" s="38" t="n">
        <v>0.729166666666667</v>
      </c>
      <c r="C236" s="10" t="s">
        <v>1194</v>
      </c>
      <c r="D236" s="10" t="s">
        <v>1121</v>
      </c>
      <c r="E236" s="0" t="n">
        <v>4</v>
      </c>
      <c r="G236" s="30" t="str">
        <f aca="false">IF($C236="","",IFERROR(IF(INDEX(links!$A$2:$A$501,MATCH($C236,links!$D$2:$D$501,0))="","",INDEX(links!$A$2:$A$501,MATCH($C236,links!$D$2:$D$501,0))),""))</f>
        <v>SAMPLE-CMP-005</v>
      </c>
      <c r="H236" s="30" t="str">
        <f aca="false">IF($C236="","",IFERROR(IF(INDEX(links!$B$2:$B$501,MATCH($C236,links!$D$2:$D$501,0))="","",INDEX(links!$B$2:$B$501,MATCH($C236,links!$D$2:$D$501,0))),""))</f>
        <v>SAMPLE-O-007</v>
      </c>
      <c r="I236" s="30" t="str">
        <f aca="false">IF($C236="","",IFERROR(IF(INDEX(links!$C$2:$C$501,MATCH($C236,links!$D$2:$D$501,0))="","",INDEX(links!$C$2:$C$501,MATCH($C236,links!$D$2:$D$501,0))),""))</f>
        <v>post</v>
      </c>
      <c r="J236" s="30" t="str">
        <f aca="false">IF($C236="","",IF($G236="","slug not in links; ","")&amp;IF($D236="","reading type missing; ","")&amp;IF(COUNTIFS(scans!$C$2:$C$1601,$C236,scans!$D$2:$D$1601,$D236)&gt;1,"two readings of this type: keep one; ",""))</f>
        <v/>
      </c>
    </row>
    <row r="237" customFormat="false" ht="15" hidden="false" customHeight="false" outlineLevel="0" collapsed="false">
      <c r="A237" s="11" t="n">
        <v>46434</v>
      </c>
      <c r="B237" s="38" t="n">
        <v>0.729166666666667</v>
      </c>
      <c r="C237" s="10" t="s">
        <v>1194</v>
      </c>
      <c r="D237" s="10" t="s">
        <v>1122</v>
      </c>
      <c r="E237" s="0" t="n">
        <v>8</v>
      </c>
      <c r="G237" s="30" t="str">
        <f aca="false">IF($C237="","",IFERROR(IF(INDEX(links!$A$2:$A$501,MATCH($C237,links!$D$2:$D$501,0))="","",INDEX(links!$A$2:$A$501,MATCH($C237,links!$D$2:$D$501,0))),""))</f>
        <v>SAMPLE-CMP-005</v>
      </c>
      <c r="H237" s="30" t="str">
        <f aca="false">IF($C237="","",IFERROR(IF(INDEX(links!$B$2:$B$501,MATCH($C237,links!$D$2:$D$501,0))="","",INDEX(links!$B$2:$B$501,MATCH($C237,links!$D$2:$D$501,0))),""))</f>
        <v>SAMPLE-O-007</v>
      </c>
      <c r="I237" s="30" t="str">
        <f aca="false">IF($C237="","",IFERROR(IF(INDEX(links!$C$2:$C$501,MATCH($C237,links!$D$2:$D$501,0))="","",INDEX(links!$C$2:$C$501,MATCH($C237,links!$D$2:$D$501,0))),""))</f>
        <v>post</v>
      </c>
      <c r="J237" s="30" t="str">
        <f aca="false">IF($C237="","",IF($G237="","slug not in links; ","")&amp;IF($D237="","reading type missing; ","")&amp;IF(COUNTIFS(scans!$C$2:$C$1601,$C237,scans!$D$2:$D$1601,$D237)&gt;1,"two readings of this type: keep one; ",""))</f>
        <v/>
      </c>
    </row>
    <row r="238" customFormat="false" ht="15" hidden="false" customHeight="false" outlineLevel="0" collapsed="false">
      <c r="A238" s="11" t="n">
        <v>46426</v>
      </c>
      <c r="B238" s="38" t="n">
        <v>0.729166666666667</v>
      </c>
      <c r="C238" s="10" t="s">
        <v>1195</v>
      </c>
      <c r="D238" s="10" t="s">
        <v>1120</v>
      </c>
      <c r="E238" s="0" t="n">
        <v>1</v>
      </c>
      <c r="G238" s="30" t="str">
        <f aca="false">IF($C238="","",IFERROR(IF(INDEX(links!$A$2:$A$501,MATCH($C238,links!$D$2:$D$501,0))="","",INDEX(links!$A$2:$A$501,MATCH($C238,links!$D$2:$D$501,0))),""))</f>
        <v>SAMPLE-CMP-005</v>
      </c>
      <c r="H238" s="30" t="str">
        <f aca="false">IF($C238="","",IFERROR(IF(INDEX(links!$B$2:$B$501,MATCH($C238,links!$D$2:$D$501,0))="","",INDEX(links!$B$2:$B$501,MATCH($C238,links!$D$2:$D$501,0))),""))</f>
        <v>SAMPLE-O-008</v>
      </c>
      <c r="I238" s="30" t="str">
        <f aca="false">IF($C238="","",IFERROR(IF(INDEX(links!$C$2:$C$501,MATCH($C238,links!$D$2:$D$501,0))="","",INDEX(links!$C$2:$C$501,MATCH($C238,links!$D$2:$D$501,0))),""))</f>
        <v>qr</v>
      </c>
      <c r="J238" s="30" t="str">
        <f aca="false">IF($C238="","",IF($G238="","slug not in links; ","")&amp;IF($D238="","reading type missing; ","")&amp;IF(COUNTIFS(scans!$C$2:$C$1601,$C238,scans!$D$2:$D$1601,$D238)&gt;1,"two readings of this type: keep one; ",""))</f>
        <v/>
      </c>
    </row>
    <row r="239" customFormat="false" ht="15" hidden="false" customHeight="false" outlineLevel="0" collapsed="false">
      <c r="A239" s="11" t="n">
        <v>46429</v>
      </c>
      <c r="B239" s="38" t="n">
        <v>0.729166666666667</v>
      </c>
      <c r="C239" s="10" t="s">
        <v>1195</v>
      </c>
      <c r="D239" s="10" t="s">
        <v>1121</v>
      </c>
      <c r="E239" s="0" t="n">
        <v>2</v>
      </c>
      <c r="G239" s="30" t="str">
        <f aca="false">IF($C239="","",IFERROR(IF(INDEX(links!$A$2:$A$501,MATCH($C239,links!$D$2:$D$501,0))="","",INDEX(links!$A$2:$A$501,MATCH($C239,links!$D$2:$D$501,0))),""))</f>
        <v>SAMPLE-CMP-005</v>
      </c>
      <c r="H239" s="30" t="str">
        <f aca="false">IF($C239="","",IFERROR(IF(INDEX(links!$B$2:$B$501,MATCH($C239,links!$D$2:$D$501,0))="","",INDEX(links!$B$2:$B$501,MATCH($C239,links!$D$2:$D$501,0))),""))</f>
        <v>SAMPLE-O-008</v>
      </c>
      <c r="I239" s="30" t="str">
        <f aca="false">IF($C239="","",IFERROR(IF(INDEX(links!$C$2:$C$501,MATCH($C239,links!$D$2:$D$501,0))="","",INDEX(links!$C$2:$C$501,MATCH($C239,links!$D$2:$D$501,0))),""))</f>
        <v>qr</v>
      </c>
      <c r="J239" s="30" t="str">
        <f aca="false">IF($C239="","",IF($G239="","slug not in links; ","")&amp;IF($D239="","reading type missing; ","")&amp;IF(COUNTIFS(scans!$C$2:$C$1601,$C239,scans!$D$2:$D$1601,$D239)&gt;1,"two readings of this type: keep one; ",""))</f>
        <v/>
      </c>
    </row>
    <row r="240" customFormat="false" ht="15" hidden="false" customHeight="false" outlineLevel="0" collapsed="false">
      <c r="A240" s="11" t="n">
        <v>46434</v>
      </c>
      <c r="B240" s="38" t="n">
        <v>0.729166666666667</v>
      </c>
      <c r="C240" s="10" t="s">
        <v>1195</v>
      </c>
      <c r="D240" s="10" t="s">
        <v>1122</v>
      </c>
      <c r="E240" s="0" t="n">
        <v>5</v>
      </c>
      <c r="G240" s="30" t="str">
        <f aca="false">IF($C240="","",IFERROR(IF(INDEX(links!$A$2:$A$501,MATCH($C240,links!$D$2:$D$501,0))="","",INDEX(links!$A$2:$A$501,MATCH($C240,links!$D$2:$D$501,0))),""))</f>
        <v>SAMPLE-CMP-005</v>
      </c>
      <c r="H240" s="30" t="str">
        <f aca="false">IF($C240="","",IFERROR(IF(INDEX(links!$B$2:$B$501,MATCH($C240,links!$D$2:$D$501,0))="","",INDEX(links!$B$2:$B$501,MATCH($C240,links!$D$2:$D$501,0))),""))</f>
        <v>SAMPLE-O-008</v>
      </c>
      <c r="I240" s="30" t="str">
        <f aca="false">IF($C240="","",IFERROR(IF(INDEX(links!$C$2:$C$501,MATCH($C240,links!$D$2:$D$501,0))="","",INDEX(links!$C$2:$C$501,MATCH($C240,links!$D$2:$D$501,0))),""))</f>
        <v>qr</v>
      </c>
      <c r="J240" s="30" t="str">
        <f aca="false">IF($C240="","",IF($G240="","slug not in links; ","")&amp;IF($D240="","reading type missing; ","")&amp;IF(COUNTIFS(scans!$C$2:$C$1601,$C240,scans!$D$2:$D$1601,$D240)&gt;1,"two readings of this type: keep one; ",""))</f>
        <v/>
      </c>
    </row>
    <row r="241" customFormat="false" ht="15" hidden="false" customHeight="false" outlineLevel="0" collapsed="false">
      <c r="A241" s="11" t="n">
        <v>46426</v>
      </c>
      <c r="B241" s="38" t="n">
        <v>0.729166666666667</v>
      </c>
      <c r="C241" s="10" t="s">
        <v>1196</v>
      </c>
      <c r="D241" s="10" t="s">
        <v>1120</v>
      </c>
      <c r="E241" s="0" t="n">
        <v>1</v>
      </c>
      <c r="G241" s="30" t="str">
        <f aca="false">IF($C241="","",IFERROR(IF(INDEX(links!$A$2:$A$501,MATCH($C241,links!$D$2:$D$501,0))="","",INDEX(links!$A$2:$A$501,MATCH($C241,links!$D$2:$D$501,0))),""))</f>
        <v>SAMPLE-CMP-005</v>
      </c>
      <c r="H241" s="30" t="str">
        <f aca="false">IF($C241="","",IFERROR(IF(INDEX(links!$B$2:$B$501,MATCH($C241,links!$D$2:$D$501,0))="","",INDEX(links!$B$2:$B$501,MATCH($C241,links!$D$2:$D$501,0))),""))</f>
        <v>SAMPLE-O-008</v>
      </c>
      <c r="I241" s="30" t="str">
        <f aca="false">IF($C241="","",IFERROR(IF(INDEX(links!$C$2:$C$501,MATCH($C241,links!$D$2:$D$501,0))="","",INDEX(links!$C$2:$C$501,MATCH($C241,links!$D$2:$D$501,0))),""))</f>
        <v>post</v>
      </c>
      <c r="J241" s="30" t="str">
        <f aca="false">IF($C241="","",IF($G241="","slug not in links; ","")&amp;IF($D241="","reading type missing; ","")&amp;IF(COUNTIFS(scans!$C$2:$C$1601,$C241,scans!$D$2:$D$1601,$D241)&gt;1,"two readings of this type: keep one; ",""))</f>
        <v/>
      </c>
    </row>
    <row r="242" customFormat="false" ht="15" hidden="false" customHeight="false" outlineLevel="0" collapsed="false">
      <c r="A242" s="11" t="n">
        <v>46429</v>
      </c>
      <c r="B242" s="38" t="n">
        <v>0.729166666666667</v>
      </c>
      <c r="C242" s="10" t="s">
        <v>1196</v>
      </c>
      <c r="D242" s="10" t="s">
        <v>1121</v>
      </c>
      <c r="E242" s="0" t="n">
        <v>2</v>
      </c>
      <c r="G242" s="30" t="str">
        <f aca="false">IF($C242="","",IFERROR(IF(INDEX(links!$A$2:$A$501,MATCH($C242,links!$D$2:$D$501,0))="","",INDEX(links!$A$2:$A$501,MATCH($C242,links!$D$2:$D$501,0))),""))</f>
        <v>SAMPLE-CMP-005</v>
      </c>
      <c r="H242" s="30" t="str">
        <f aca="false">IF($C242="","",IFERROR(IF(INDEX(links!$B$2:$B$501,MATCH($C242,links!$D$2:$D$501,0))="","",INDEX(links!$B$2:$B$501,MATCH($C242,links!$D$2:$D$501,0))),""))</f>
        <v>SAMPLE-O-008</v>
      </c>
      <c r="I242" s="30" t="str">
        <f aca="false">IF($C242="","",IFERROR(IF(INDEX(links!$C$2:$C$501,MATCH($C242,links!$D$2:$D$501,0))="","",INDEX(links!$C$2:$C$501,MATCH($C242,links!$D$2:$D$501,0))),""))</f>
        <v>post</v>
      </c>
      <c r="J242" s="30" t="str">
        <f aca="false">IF($C242="","",IF($G242="","slug not in links; ","")&amp;IF($D242="","reading type missing; ","")&amp;IF(COUNTIFS(scans!$C$2:$C$1601,$C242,scans!$D$2:$D$1601,$D242)&gt;1,"two readings of this type: keep one; ",""))</f>
        <v/>
      </c>
    </row>
    <row r="243" customFormat="false" ht="15" hidden="false" customHeight="false" outlineLevel="0" collapsed="false">
      <c r="A243" s="11" t="n">
        <v>46434</v>
      </c>
      <c r="B243" s="38" t="n">
        <v>0.729166666666667</v>
      </c>
      <c r="C243" s="10" t="s">
        <v>1196</v>
      </c>
      <c r="D243" s="10" t="s">
        <v>1122</v>
      </c>
      <c r="E243" s="0" t="n">
        <v>4</v>
      </c>
      <c r="G243" s="30" t="str">
        <f aca="false">IF($C243="","",IFERROR(IF(INDEX(links!$A$2:$A$501,MATCH($C243,links!$D$2:$D$501,0))="","",INDEX(links!$A$2:$A$501,MATCH($C243,links!$D$2:$D$501,0))),""))</f>
        <v>SAMPLE-CMP-005</v>
      </c>
      <c r="H243" s="30" t="str">
        <f aca="false">IF($C243="","",IFERROR(IF(INDEX(links!$B$2:$B$501,MATCH($C243,links!$D$2:$D$501,0))="","",INDEX(links!$B$2:$B$501,MATCH($C243,links!$D$2:$D$501,0))),""))</f>
        <v>SAMPLE-O-008</v>
      </c>
      <c r="I243" s="30" t="str">
        <f aca="false">IF($C243="","",IFERROR(IF(INDEX(links!$C$2:$C$501,MATCH($C243,links!$D$2:$D$501,0))="","",INDEX(links!$C$2:$C$501,MATCH($C243,links!$D$2:$D$501,0))),""))</f>
        <v>post</v>
      </c>
      <c r="J243" s="30" t="str">
        <f aca="false">IF($C243="","",IF($G243="","slug not in links; ","")&amp;IF($D243="","reading type missing; ","")&amp;IF(COUNTIFS(scans!$C$2:$C$1601,$C243,scans!$D$2:$D$1601,$D243)&gt;1,"two readings of this type: keep one; ",""))</f>
        <v/>
      </c>
    </row>
    <row r="244" customFormat="false" ht="15" hidden="false" customHeight="false" outlineLevel="0" collapsed="false">
      <c r="A244" s="11" t="n">
        <v>46426</v>
      </c>
      <c r="B244" s="38" t="n">
        <v>0.729166666666667</v>
      </c>
      <c r="C244" s="10" t="s">
        <v>1197</v>
      </c>
      <c r="D244" s="10" t="s">
        <v>1120</v>
      </c>
      <c r="E244" s="0" t="n">
        <v>1</v>
      </c>
      <c r="G244" s="30" t="str">
        <f aca="false">IF($C244="","",IFERROR(IF(INDEX(links!$A$2:$A$501,MATCH($C244,links!$D$2:$D$501,0))="","",INDEX(links!$A$2:$A$501,MATCH($C244,links!$D$2:$D$501,0))),""))</f>
        <v>SAMPLE-CMP-005</v>
      </c>
      <c r="H244" s="30" t="str">
        <f aca="false">IF($C244="","",IFERROR(IF(INDEX(links!$B$2:$B$501,MATCH($C244,links!$D$2:$D$501,0))="","",INDEX(links!$B$2:$B$501,MATCH($C244,links!$D$2:$D$501,0))),""))</f>
        <v>SAMPLE-O-009</v>
      </c>
      <c r="I244" s="30" t="str">
        <f aca="false">IF($C244="","",IFERROR(IF(INDEX(links!$C$2:$C$501,MATCH($C244,links!$D$2:$D$501,0))="","",INDEX(links!$C$2:$C$501,MATCH($C244,links!$D$2:$D$501,0))),""))</f>
        <v>qr</v>
      </c>
      <c r="J244" s="30" t="str">
        <f aca="false">IF($C244="","",IF($G244="","slug not in links; ","")&amp;IF($D244="","reading type missing; ","")&amp;IF(COUNTIFS(scans!$C$2:$C$1601,$C244,scans!$D$2:$D$1601,$D244)&gt;1,"two readings of this type: keep one; ",""))</f>
        <v/>
      </c>
    </row>
    <row r="245" customFormat="false" ht="15" hidden="false" customHeight="false" outlineLevel="0" collapsed="false">
      <c r="A245" s="11" t="n">
        <v>46429</v>
      </c>
      <c r="B245" s="38" t="n">
        <v>0.729166666666667</v>
      </c>
      <c r="C245" s="10" t="s">
        <v>1197</v>
      </c>
      <c r="D245" s="10" t="s">
        <v>1121</v>
      </c>
      <c r="E245" s="0" t="n">
        <v>6</v>
      </c>
      <c r="G245" s="30" t="str">
        <f aca="false">IF($C245="","",IFERROR(IF(INDEX(links!$A$2:$A$501,MATCH($C245,links!$D$2:$D$501,0))="","",INDEX(links!$A$2:$A$501,MATCH($C245,links!$D$2:$D$501,0))),""))</f>
        <v>SAMPLE-CMP-005</v>
      </c>
      <c r="H245" s="30" t="str">
        <f aca="false">IF($C245="","",IFERROR(IF(INDEX(links!$B$2:$B$501,MATCH($C245,links!$D$2:$D$501,0))="","",INDEX(links!$B$2:$B$501,MATCH($C245,links!$D$2:$D$501,0))),""))</f>
        <v>SAMPLE-O-009</v>
      </c>
      <c r="I245" s="30" t="str">
        <f aca="false">IF($C245="","",IFERROR(IF(INDEX(links!$C$2:$C$501,MATCH($C245,links!$D$2:$D$501,0))="","",INDEX(links!$C$2:$C$501,MATCH($C245,links!$D$2:$D$501,0))),""))</f>
        <v>qr</v>
      </c>
      <c r="J245" s="30" t="str">
        <f aca="false">IF($C245="","",IF($G245="","slug not in links; ","")&amp;IF($D245="","reading type missing; ","")&amp;IF(COUNTIFS(scans!$C$2:$C$1601,$C245,scans!$D$2:$D$1601,$D245)&gt;1,"two readings of this type: keep one; ",""))</f>
        <v/>
      </c>
    </row>
    <row r="246" customFormat="false" ht="15" hidden="false" customHeight="false" outlineLevel="0" collapsed="false">
      <c r="A246" s="11" t="n">
        <v>46434</v>
      </c>
      <c r="B246" s="38" t="n">
        <v>0.729166666666667</v>
      </c>
      <c r="C246" s="10" t="s">
        <v>1197</v>
      </c>
      <c r="D246" s="10" t="s">
        <v>1122</v>
      </c>
      <c r="E246" s="0" t="n">
        <v>13</v>
      </c>
      <c r="G246" s="30" t="str">
        <f aca="false">IF($C246="","",IFERROR(IF(INDEX(links!$A$2:$A$501,MATCH($C246,links!$D$2:$D$501,0))="","",INDEX(links!$A$2:$A$501,MATCH($C246,links!$D$2:$D$501,0))),""))</f>
        <v>SAMPLE-CMP-005</v>
      </c>
      <c r="H246" s="30" t="str">
        <f aca="false">IF($C246="","",IFERROR(IF(INDEX(links!$B$2:$B$501,MATCH($C246,links!$D$2:$D$501,0))="","",INDEX(links!$B$2:$B$501,MATCH($C246,links!$D$2:$D$501,0))),""))</f>
        <v>SAMPLE-O-009</v>
      </c>
      <c r="I246" s="30" t="str">
        <f aca="false">IF($C246="","",IFERROR(IF(INDEX(links!$C$2:$C$501,MATCH($C246,links!$D$2:$D$501,0))="","",INDEX(links!$C$2:$C$501,MATCH($C246,links!$D$2:$D$501,0))),""))</f>
        <v>qr</v>
      </c>
      <c r="J246" s="30" t="str">
        <f aca="false">IF($C246="","",IF($G246="","slug not in links; ","")&amp;IF($D246="","reading type missing; ","")&amp;IF(COUNTIFS(scans!$C$2:$C$1601,$C246,scans!$D$2:$D$1601,$D246)&gt;1,"two readings of this type: keep one; ",""))</f>
        <v/>
      </c>
    </row>
    <row r="247" customFormat="false" ht="15" hidden="false" customHeight="false" outlineLevel="0" collapsed="false">
      <c r="A247" s="11" t="n">
        <v>46426</v>
      </c>
      <c r="B247" s="38" t="n">
        <v>0.729166666666667</v>
      </c>
      <c r="C247" s="10" t="s">
        <v>1198</v>
      </c>
      <c r="D247" s="10" t="s">
        <v>1120</v>
      </c>
      <c r="E247" s="0" t="n">
        <v>1</v>
      </c>
      <c r="G247" s="30" t="str">
        <f aca="false">IF($C247="","",IFERROR(IF(INDEX(links!$A$2:$A$501,MATCH($C247,links!$D$2:$D$501,0))="","",INDEX(links!$A$2:$A$501,MATCH($C247,links!$D$2:$D$501,0))),""))</f>
        <v>SAMPLE-CMP-005</v>
      </c>
      <c r="H247" s="30" t="str">
        <f aca="false">IF($C247="","",IFERROR(IF(INDEX(links!$B$2:$B$501,MATCH($C247,links!$D$2:$D$501,0))="","",INDEX(links!$B$2:$B$501,MATCH($C247,links!$D$2:$D$501,0))),""))</f>
        <v>SAMPLE-O-009</v>
      </c>
      <c r="I247" s="30" t="str">
        <f aca="false">IF($C247="","",IFERROR(IF(INDEX(links!$C$2:$C$501,MATCH($C247,links!$D$2:$D$501,0))="","",INDEX(links!$C$2:$C$501,MATCH($C247,links!$D$2:$D$501,0))),""))</f>
        <v>post</v>
      </c>
      <c r="J247" s="30" t="str">
        <f aca="false">IF($C247="","",IF($G247="","slug not in links; ","")&amp;IF($D247="","reading type missing; ","")&amp;IF(COUNTIFS(scans!$C$2:$C$1601,$C247,scans!$D$2:$D$1601,$D247)&gt;1,"two readings of this type: keep one; ",""))</f>
        <v/>
      </c>
    </row>
    <row r="248" customFormat="false" ht="15" hidden="false" customHeight="false" outlineLevel="0" collapsed="false">
      <c r="A248" s="11" t="n">
        <v>46429</v>
      </c>
      <c r="B248" s="38" t="n">
        <v>0.729166666666667</v>
      </c>
      <c r="C248" s="10" t="s">
        <v>1198</v>
      </c>
      <c r="D248" s="10" t="s">
        <v>1121</v>
      </c>
      <c r="E248" s="0" t="n">
        <v>6</v>
      </c>
      <c r="G248" s="30" t="str">
        <f aca="false">IF($C248="","",IFERROR(IF(INDEX(links!$A$2:$A$501,MATCH($C248,links!$D$2:$D$501,0))="","",INDEX(links!$A$2:$A$501,MATCH($C248,links!$D$2:$D$501,0))),""))</f>
        <v>SAMPLE-CMP-005</v>
      </c>
      <c r="H248" s="30" t="str">
        <f aca="false">IF($C248="","",IFERROR(IF(INDEX(links!$B$2:$B$501,MATCH($C248,links!$D$2:$D$501,0))="","",INDEX(links!$B$2:$B$501,MATCH($C248,links!$D$2:$D$501,0))),""))</f>
        <v>SAMPLE-O-009</v>
      </c>
      <c r="I248" s="30" t="str">
        <f aca="false">IF($C248="","",IFERROR(IF(INDEX(links!$C$2:$C$501,MATCH($C248,links!$D$2:$D$501,0))="","",INDEX(links!$C$2:$C$501,MATCH($C248,links!$D$2:$D$501,0))),""))</f>
        <v>post</v>
      </c>
      <c r="J248" s="30" t="str">
        <f aca="false">IF($C248="","",IF($G248="","slug not in links; ","")&amp;IF($D248="","reading type missing; ","")&amp;IF(COUNTIFS(scans!$C$2:$C$1601,$C248,scans!$D$2:$D$1601,$D248)&gt;1,"two readings of this type: keep one; ",""))</f>
        <v/>
      </c>
    </row>
    <row r="249" customFormat="false" ht="15" hidden="false" customHeight="false" outlineLevel="0" collapsed="false">
      <c r="A249" s="11" t="n">
        <v>46434</v>
      </c>
      <c r="B249" s="38" t="n">
        <v>0.729166666666667</v>
      </c>
      <c r="C249" s="10" t="s">
        <v>1198</v>
      </c>
      <c r="D249" s="10" t="s">
        <v>1122</v>
      </c>
      <c r="E249" s="0" t="n">
        <v>12</v>
      </c>
      <c r="G249" s="30" t="str">
        <f aca="false">IF($C249="","",IFERROR(IF(INDEX(links!$A$2:$A$501,MATCH($C249,links!$D$2:$D$501,0))="","",INDEX(links!$A$2:$A$501,MATCH($C249,links!$D$2:$D$501,0))),""))</f>
        <v>SAMPLE-CMP-005</v>
      </c>
      <c r="H249" s="30" t="str">
        <f aca="false">IF($C249="","",IFERROR(IF(INDEX(links!$B$2:$B$501,MATCH($C249,links!$D$2:$D$501,0))="","",INDEX(links!$B$2:$B$501,MATCH($C249,links!$D$2:$D$501,0))),""))</f>
        <v>SAMPLE-O-009</v>
      </c>
      <c r="I249" s="30" t="str">
        <f aca="false">IF($C249="","",IFERROR(IF(INDEX(links!$C$2:$C$501,MATCH($C249,links!$D$2:$D$501,0))="","",INDEX(links!$C$2:$C$501,MATCH($C249,links!$D$2:$D$501,0))),""))</f>
        <v>post</v>
      </c>
      <c r="J249" s="30" t="str">
        <f aca="false">IF($C249="","",IF($G249="","slug not in links; ","")&amp;IF($D249="","reading type missing; ","")&amp;IF(COUNTIFS(scans!$C$2:$C$1601,$C249,scans!$D$2:$D$1601,$D249)&gt;1,"two readings of this type: keep one; ",""))</f>
        <v/>
      </c>
    </row>
    <row r="250" customFormat="false" ht="15" hidden="false" customHeight="false" outlineLevel="0" collapsed="false">
      <c r="A250" s="11" t="n">
        <v>46426</v>
      </c>
      <c r="B250" s="38" t="n">
        <v>0.729166666666667</v>
      </c>
      <c r="C250" s="10" t="s">
        <v>1199</v>
      </c>
      <c r="D250" s="10" t="s">
        <v>1120</v>
      </c>
      <c r="E250" s="0" t="n">
        <v>1</v>
      </c>
      <c r="G250" s="30" t="str">
        <f aca="false">IF($C250="","",IFERROR(IF(INDEX(links!$A$2:$A$501,MATCH($C250,links!$D$2:$D$501,0))="","",INDEX(links!$A$2:$A$501,MATCH($C250,links!$D$2:$D$501,0))),""))</f>
        <v>SAMPLE-CMP-005</v>
      </c>
      <c r="H250" s="30" t="str">
        <f aca="false">IF($C250="","",IFERROR(IF(INDEX(links!$B$2:$B$501,MATCH($C250,links!$D$2:$D$501,0))="","",INDEX(links!$B$2:$B$501,MATCH($C250,links!$D$2:$D$501,0))),""))</f>
        <v>SAMPLE-O-010</v>
      </c>
      <c r="I250" s="30" t="str">
        <f aca="false">IF($C250="","",IFERROR(IF(INDEX(links!$C$2:$C$501,MATCH($C250,links!$D$2:$D$501,0))="","",INDEX(links!$C$2:$C$501,MATCH($C250,links!$D$2:$D$501,0))),""))</f>
        <v>qr</v>
      </c>
      <c r="J250" s="30" t="str">
        <f aca="false">IF($C250="","",IF($G250="","slug not in links; ","")&amp;IF($D250="","reading type missing; ","")&amp;IF(COUNTIFS(scans!$C$2:$C$1601,$C250,scans!$D$2:$D$1601,$D250)&gt;1,"two readings of this type: keep one; ",""))</f>
        <v/>
      </c>
    </row>
    <row r="251" customFormat="false" ht="15" hidden="false" customHeight="false" outlineLevel="0" collapsed="false">
      <c r="A251" s="11" t="n">
        <v>46429</v>
      </c>
      <c r="B251" s="38" t="n">
        <v>0.729166666666667</v>
      </c>
      <c r="C251" s="10" t="s">
        <v>1199</v>
      </c>
      <c r="D251" s="10" t="s">
        <v>1121</v>
      </c>
      <c r="E251" s="0" t="n">
        <v>4</v>
      </c>
      <c r="G251" s="30" t="str">
        <f aca="false">IF($C251="","",IFERROR(IF(INDEX(links!$A$2:$A$501,MATCH($C251,links!$D$2:$D$501,0))="","",INDEX(links!$A$2:$A$501,MATCH($C251,links!$D$2:$D$501,0))),""))</f>
        <v>SAMPLE-CMP-005</v>
      </c>
      <c r="H251" s="30" t="str">
        <f aca="false">IF($C251="","",IFERROR(IF(INDEX(links!$B$2:$B$501,MATCH($C251,links!$D$2:$D$501,0))="","",INDEX(links!$B$2:$B$501,MATCH($C251,links!$D$2:$D$501,0))),""))</f>
        <v>SAMPLE-O-010</v>
      </c>
      <c r="I251" s="30" t="str">
        <f aca="false">IF($C251="","",IFERROR(IF(INDEX(links!$C$2:$C$501,MATCH($C251,links!$D$2:$D$501,0))="","",INDEX(links!$C$2:$C$501,MATCH($C251,links!$D$2:$D$501,0))),""))</f>
        <v>qr</v>
      </c>
      <c r="J251" s="30" t="str">
        <f aca="false">IF($C251="","",IF($G251="","slug not in links; ","")&amp;IF($D251="","reading type missing; ","")&amp;IF(COUNTIFS(scans!$C$2:$C$1601,$C251,scans!$D$2:$D$1601,$D251)&gt;1,"two readings of this type: keep one; ",""))</f>
        <v/>
      </c>
    </row>
    <row r="252" customFormat="false" ht="15" hidden="false" customHeight="false" outlineLevel="0" collapsed="false">
      <c r="A252" s="11" t="n">
        <v>46434</v>
      </c>
      <c r="B252" s="38" t="n">
        <v>0.729166666666667</v>
      </c>
      <c r="C252" s="10" t="s">
        <v>1199</v>
      </c>
      <c r="D252" s="10" t="s">
        <v>1122</v>
      </c>
      <c r="E252" s="0" t="n">
        <v>8</v>
      </c>
      <c r="G252" s="30" t="str">
        <f aca="false">IF($C252="","",IFERROR(IF(INDEX(links!$A$2:$A$501,MATCH($C252,links!$D$2:$D$501,0))="","",INDEX(links!$A$2:$A$501,MATCH($C252,links!$D$2:$D$501,0))),""))</f>
        <v>SAMPLE-CMP-005</v>
      </c>
      <c r="H252" s="30" t="str">
        <f aca="false">IF($C252="","",IFERROR(IF(INDEX(links!$B$2:$B$501,MATCH($C252,links!$D$2:$D$501,0))="","",INDEX(links!$B$2:$B$501,MATCH($C252,links!$D$2:$D$501,0))),""))</f>
        <v>SAMPLE-O-010</v>
      </c>
      <c r="I252" s="30" t="str">
        <f aca="false">IF($C252="","",IFERROR(IF(INDEX(links!$C$2:$C$501,MATCH($C252,links!$D$2:$D$501,0))="","",INDEX(links!$C$2:$C$501,MATCH($C252,links!$D$2:$D$501,0))),""))</f>
        <v>qr</v>
      </c>
      <c r="J252" s="30" t="str">
        <f aca="false">IF($C252="","",IF($G252="","slug not in links; ","")&amp;IF($D252="","reading type missing; ","")&amp;IF(COUNTIFS(scans!$C$2:$C$1601,$C252,scans!$D$2:$D$1601,$D252)&gt;1,"two readings of this type: keep one; ",""))</f>
        <v/>
      </c>
    </row>
    <row r="253" customFormat="false" ht="15" hidden="false" customHeight="false" outlineLevel="0" collapsed="false">
      <c r="A253" s="11" t="n">
        <v>46426</v>
      </c>
      <c r="B253" s="38" t="n">
        <v>0.729166666666667</v>
      </c>
      <c r="C253" s="10" t="s">
        <v>1200</v>
      </c>
      <c r="D253" s="10" t="s">
        <v>1120</v>
      </c>
      <c r="E253" s="0" t="n">
        <v>1</v>
      </c>
      <c r="G253" s="30" t="str">
        <f aca="false">IF($C253="","",IFERROR(IF(INDEX(links!$A$2:$A$501,MATCH($C253,links!$D$2:$D$501,0))="","",INDEX(links!$A$2:$A$501,MATCH($C253,links!$D$2:$D$501,0))),""))</f>
        <v>SAMPLE-CMP-005</v>
      </c>
      <c r="H253" s="30" t="str">
        <f aca="false">IF($C253="","",IFERROR(IF(INDEX(links!$B$2:$B$501,MATCH($C253,links!$D$2:$D$501,0))="","",INDEX(links!$B$2:$B$501,MATCH($C253,links!$D$2:$D$501,0))),""))</f>
        <v>SAMPLE-O-010</v>
      </c>
      <c r="I253" s="30" t="str">
        <f aca="false">IF($C253="","",IFERROR(IF(INDEX(links!$C$2:$C$501,MATCH($C253,links!$D$2:$D$501,0))="","",INDEX(links!$C$2:$C$501,MATCH($C253,links!$D$2:$D$501,0))),""))</f>
        <v>post</v>
      </c>
      <c r="J253" s="30" t="str">
        <f aca="false">IF($C253="","",IF($G253="","slug not in links; ","")&amp;IF($D253="","reading type missing; ","")&amp;IF(COUNTIFS(scans!$C$2:$C$1601,$C253,scans!$D$2:$D$1601,$D253)&gt;1,"two readings of this type: keep one; ",""))</f>
        <v/>
      </c>
    </row>
    <row r="254" customFormat="false" ht="15" hidden="false" customHeight="false" outlineLevel="0" collapsed="false">
      <c r="A254" s="11" t="n">
        <v>46429</v>
      </c>
      <c r="B254" s="38" t="n">
        <v>0.729166666666667</v>
      </c>
      <c r="C254" s="10" t="s">
        <v>1200</v>
      </c>
      <c r="D254" s="10" t="s">
        <v>1121</v>
      </c>
      <c r="E254" s="0" t="n">
        <v>3</v>
      </c>
      <c r="G254" s="30" t="str">
        <f aca="false">IF($C254="","",IFERROR(IF(INDEX(links!$A$2:$A$501,MATCH($C254,links!$D$2:$D$501,0))="","",INDEX(links!$A$2:$A$501,MATCH($C254,links!$D$2:$D$501,0))),""))</f>
        <v>SAMPLE-CMP-005</v>
      </c>
      <c r="H254" s="30" t="str">
        <f aca="false">IF($C254="","",IFERROR(IF(INDEX(links!$B$2:$B$501,MATCH($C254,links!$D$2:$D$501,0))="","",INDEX(links!$B$2:$B$501,MATCH($C254,links!$D$2:$D$501,0))),""))</f>
        <v>SAMPLE-O-010</v>
      </c>
      <c r="I254" s="30" t="str">
        <f aca="false">IF($C254="","",IFERROR(IF(INDEX(links!$C$2:$C$501,MATCH($C254,links!$D$2:$D$501,0))="","",INDEX(links!$C$2:$C$501,MATCH($C254,links!$D$2:$D$501,0))),""))</f>
        <v>post</v>
      </c>
      <c r="J254" s="30" t="str">
        <f aca="false">IF($C254="","",IF($G254="","slug not in links; ","")&amp;IF($D254="","reading type missing; ","")&amp;IF(COUNTIFS(scans!$C$2:$C$1601,$C254,scans!$D$2:$D$1601,$D254)&gt;1,"two readings of this type: keep one; ",""))</f>
        <v/>
      </c>
    </row>
    <row r="255" customFormat="false" ht="15" hidden="false" customHeight="false" outlineLevel="0" collapsed="false">
      <c r="A255" s="11" t="n">
        <v>46434</v>
      </c>
      <c r="B255" s="38" t="n">
        <v>0.729166666666667</v>
      </c>
      <c r="C255" s="10" t="s">
        <v>1200</v>
      </c>
      <c r="D255" s="10" t="s">
        <v>1122</v>
      </c>
      <c r="E255" s="0" t="n">
        <v>7</v>
      </c>
      <c r="G255" s="30" t="str">
        <f aca="false">IF($C255="","",IFERROR(IF(INDEX(links!$A$2:$A$501,MATCH($C255,links!$D$2:$D$501,0))="","",INDEX(links!$A$2:$A$501,MATCH($C255,links!$D$2:$D$501,0))),""))</f>
        <v>SAMPLE-CMP-005</v>
      </c>
      <c r="H255" s="30" t="str">
        <f aca="false">IF($C255="","",IFERROR(IF(INDEX(links!$B$2:$B$501,MATCH($C255,links!$D$2:$D$501,0))="","",INDEX(links!$B$2:$B$501,MATCH($C255,links!$D$2:$D$501,0))),""))</f>
        <v>SAMPLE-O-010</v>
      </c>
      <c r="I255" s="30" t="str">
        <f aca="false">IF($C255="","",IFERROR(IF(INDEX(links!$C$2:$C$501,MATCH($C255,links!$D$2:$D$501,0))="","",INDEX(links!$C$2:$C$501,MATCH($C255,links!$D$2:$D$501,0))),""))</f>
        <v>post</v>
      </c>
      <c r="J255" s="30" t="str">
        <f aca="false">IF($C255="","",IF($G255="","slug not in links; ","")&amp;IF($D255="","reading type missing; ","")&amp;IF(COUNTIFS(scans!$C$2:$C$1601,$C255,scans!$D$2:$D$1601,$D255)&gt;1,"two readings of this type: keep one; ",""))</f>
        <v/>
      </c>
    </row>
    <row r="256" customFormat="false" ht="15" hidden="false" customHeight="false" outlineLevel="0" collapsed="false">
      <c r="A256" s="11" t="n">
        <v>46440</v>
      </c>
      <c r="B256" s="38" t="n">
        <v>0.729166666666667</v>
      </c>
      <c r="C256" s="10" t="s">
        <v>1201</v>
      </c>
      <c r="D256" s="10" t="s">
        <v>1120</v>
      </c>
      <c r="E256" s="0" t="n">
        <v>1</v>
      </c>
      <c r="G256" s="30" t="str">
        <f aca="false">IF($C256="","",IFERROR(IF(INDEX(links!$A$2:$A$501,MATCH($C256,links!$D$2:$D$501,0))="","",INDEX(links!$A$2:$A$501,MATCH($C256,links!$D$2:$D$501,0))),""))</f>
        <v>SAMPLE-CMP-006</v>
      </c>
      <c r="H256" s="30" t="str">
        <f aca="false">IF($C256="","",IFERROR(IF(INDEX(links!$B$2:$B$501,MATCH($C256,links!$D$2:$D$501,0))="","",INDEX(links!$B$2:$B$501,MATCH($C256,links!$D$2:$D$501,0))),""))</f>
        <v>SAMPLE-O-001</v>
      </c>
      <c r="I256" s="30" t="str">
        <f aca="false">IF($C256="","",IFERROR(IF(INDEX(links!$C$2:$C$501,MATCH($C256,links!$D$2:$D$501,0))="","",INDEX(links!$C$2:$C$501,MATCH($C256,links!$D$2:$D$501,0))),""))</f>
        <v>qr</v>
      </c>
      <c r="J256" s="30" t="str">
        <f aca="false">IF($C256="","",IF($G256="","slug not in links; ","")&amp;IF($D256="","reading type missing; ","")&amp;IF(COUNTIFS(scans!$C$2:$C$1601,$C256,scans!$D$2:$D$1601,$D256)&gt;1,"two readings of this type: keep one; ",""))</f>
        <v/>
      </c>
    </row>
    <row r="257" customFormat="false" ht="15" hidden="false" customHeight="false" outlineLevel="0" collapsed="false">
      <c r="A257" s="11" t="n">
        <v>46443</v>
      </c>
      <c r="B257" s="38" t="n">
        <v>0.729166666666667</v>
      </c>
      <c r="C257" s="10" t="s">
        <v>1201</v>
      </c>
      <c r="D257" s="10" t="s">
        <v>1121</v>
      </c>
      <c r="E257" s="0" t="n">
        <v>5</v>
      </c>
      <c r="G257" s="30" t="str">
        <f aca="false">IF($C257="","",IFERROR(IF(INDEX(links!$A$2:$A$501,MATCH($C257,links!$D$2:$D$501,0))="","",INDEX(links!$A$2:$A$501,MATCH($C257,links!$D$2:$D$501,0))),""))</f>
        <v>SAMPLE-CMP-006</v>
      </c>
      <c r="H257" s="30" t="str">
        <f aca="false">IF($C257="","",IFERROR(IF(INDEX(links!$B$2:$B$501,MATCH($C257,links!$D$2:$D$501,0))="","",INDEX(links!$B$2:$B$501,MATCH($C257,links!$D$2:$D$501,0))),""))</f>
        <v>SAMPLE-O-001</v>
      </c>
      <c r="I257" s="30" t="str">
        <f aca="false">IF($C257="","",IFERROR(IF(INDEX(links!$C$2:$C$501,MATCH($C257,links!$D$2:$D$501,0))="","",INDEX(links!$C$2:$C$501,MATCH($C257,links!$D$2:$D$501,0))),""))</f>
        <v>qr</v>
      </c>
      <c r="J257" s="30" t="str">
        <f aca="false">IF($C257="","",IF($G257="","slug not in links; ","")&amp;IF($D257="","reading type missing; ","")&amp;IF(COUNTIFS(scans!$C$2:$C$1601,$C257,scans!$D$2:$D$1601,$D257)&gt;1,"two readings of this type: keep one; ",""))</f>
        <v/>
      </c>
    </row>
    <row r="258" customFormat="false" ht="15" hidden="false" customHeight="false" outlineLevel="0" collapsed="false">
      <c r="A258" s="11" t="n">
        <v>46447</v>
      </c>
      <c r="B258" s="38" t="n">
        <v>0.729166666666667</v>
      </c>
      <c r="C258" s="10" t="s">
        <v>1201</v>
      </c>
      <c r="D258" s="10" t="s">
        <v>1122</v>
      </c>
      <c r="E258" s="0" t="n">
        <v>11</v>
      </c>
      <c r="G258" s="30" t="str">
        <f aca="false">IF($C258="","",IFERROR(IF(INDEX(links!$A$2:$A$501,MATCH($C258,links!$D$2:$D$501,0))="","",INDEX(links!$A$2:$A$501,MATCH($C258,links!$D$2:$D$501,0))),""))</f>
        <v>SAMPLE-CMP-006</v>
      </c>
      <c r="H258" s="30" t="str">
        <f aca="false">IF($C258="","",IFERROR(IF(INDEX(links!$B$2:$B$501,MATCH($C258,links!$D$2:$D$501,0))="","",INDEX(links!$B$2:$B$501,MATCH($C258,links!$D$2:$D$501,0))),""))</f>
        <v>SAMPLE-O-001</v>
      </c>
      <c r="I258" s="30" t="str">
        <f aca="false">IF($C258="","",IFERROR(IF(INDEX(links!$C$2:$C$501,MATCH($C258,links!$D$2:$D$501,0))="","",INDEX(links!$C$2:$C$501,MATCH($C258,links!$D$2:$D$501,0))),""))</f>
        <v>qr</v>
      </c>
      <c r="J258" s="30" t="str">
        <f aca="false">IF($C258="","",IF($G258="","slug not in links; ","")&amp;IF($D258="","reading type missing; ","")&amp;IF(COUNTIFS(scans!$C$2:$C$1601,$C258,scans!$D$2:$D$1601,$D258)&gt;1,"two readings of this type: keep one; ",""))</f>
        <v/>
      </c>
    </row>
    <row r="259" customFormat="false" ht="15" hidden="false" customHeight="false" outlineLevel="0" collapsed="false">
      <c r="A259" s="11" t="n">
        <v>46440</v>
      </c>
      <c r="B259" s="38" t="n">
        <v>0.729166666666667</v>
      </c>
      <c r="C259" s="10" t="s">
        <v>1202</v>
      </c>
      <c r="D259" s="10" t="s">
        <v>1120</v>
      </c>
      <c r="E259" s="0" t="n">
        <v>1</v>
      </c>
      <c r="G259" s="30" t="str">
        <f aca="false">IF($C259="","",IFERROR(IF(INDEX(links!$A$2:$A$501,MATCH($C259,links!$D$2:$D$501,0))="","",INDEX(links!$A$2:$A$501,MATCH($C259,links!$D$2:$D$501,0))),""))</f>
        <v>SAMPLE-CMP-006</v>
      </c>
      <c r="H259" s="30" t="str">
        <f aca="false">IF($C259="","",IFERROR(IF(INDEX(links!$B$2:$B$501,MATCH($C259,links!$D$2:$D$501,0))="","",INDEX(links!$B$2:$B$501,MATCH($C259,links!$D$2:$D$501,0))),""))</f>
        <v>SAMPLE-O-001</v>
      </c>
      <c r="I259" s="30" t="str">
        <f aca="false">IF($C259="","",IFERROR(IF(INDEX(links!$C$2:$C$501,MATCH($C259,links!$D$2:$D$501,0))="","",INDEX(links!$C$2:$C$501,MATCH($C259,links!$D$2:$D$501,0))),""))</f>
        <v>post</v>
      </c>
      <c r="J259" s="30" t="str">
        <f aca="false">IF($C259="","",IF($G259="","slug not in links; ","")&amp;IF($D259="","reading type missing; ","")&amp;IF(COUNTIFS(scans!$C$2:$C$1601,$C259,scans!$D$2:$D$1601,$D259)&gt;1,"two readings of this type: keep one; ",""))</f>
        <v/>
      </c>
    </row>
    <row r="260" customFormat="false" ht="15" hidden="false" customHeight="false" outlineLevel="0" collapsed="false">
      <c r="A260" s="11" t="n">
        <v>46443</v>
      </c>
      <c r="B260" s="38" t="n">
        <v>0.729166666666667</v>
      </c>
      <c r="C260" s="10" t="s">
        <v>1202</v>
      </c>
      <c r="D260" s="10" t="s">
        <v>1121</v>
      </c>
      <c r="E260" s="0" t="n">
        <v>2</v>
      </c>
      <c r="G260" s="30" t="str">
        <f aca="false">IF($C260="","",IFERROR(IF(INDEX(links!$A$2:$A$501,MATCH($C260,links!$D$2:$D$501,0))="","",INDEX(links!$A$2:$A$501,MATCH($C260,links!$D$2:$D$501,0))),""))</f>
        <v>SAMPLE-CMP-006</v>
      </c>
      <c r="H260" s="30" t="str">
        <f aca="false">IF($C260="","",IFERROR(IF(INDEX(links!$B$2:$B$501,MATCH($C260,links!$D$2:$D$501,0))="","",INDEX(links!$B$2:$B$501,MATCH($C260,links!$D$2:$D$501,0))),""))</f>
        <v>SAMPLE-O-001</v>
      </c>
      <c r="I260" s="30" t="str">
        <f aca="false">IF($C260="","",IFERROR(IF(INDEX(links!$C$2:$C$501,MATCH($C260,links!$D$2:$D$501,0))="","",INDEX(links!$C$2:$C$501,MATCH($C260,links!$D$2:$D$501,0))),""))</f>
        <v>post</v>
      </c>
      <c r="J260" s="30" t="str">
        <f aca="false">IF($C260="","",IF($G260="","slug not in links; ","")&amp;IF($D260="","reading type missing; ","")&amp;IF(COUNTIFS(scans!$C$2:$C$1601,$C260,scans!$D$2:$D$1601,$D260)&gt;1,"two readings of this type: keep one; ",""))</f>
        <v/>
      </c>
    </row>
    <row r="261" customFormat="false" ht="15" hidden="false" customHeight="false" outlineLevel="0" collapsed="false">
      <c r="A261" s="11" t="n">
        <v>46447</v>
      </c>
      <c r="B261" s="38" t="n">
        <v>0.729166666666667</v>
      </c>
      <c r="C261" s="10" t="s">
        <v>1202</v>
      </c>
      <c r="D261" s="10" t="s">
        <v>1122</v>
      </c>
      <c r="E261" s="0" t="n">
        <v>4</v>
      </c>
      <c r="G261" s="30" t="str">
        <f aca="false">IF($C261="","",IFERROR(IF(INDEX(links!$A$2:$A$501,MATCH($C261,links!$D$2:$D$501,0))="","",INDEX(links!$A$2:$A$501,MATCH($C261,links!$D$2:$D$501,0))),""))</f>
        <v>SAMPLE-CMP-006</v>
      </c>
      <c r="H261" s="30" t="str">
        <f aca="false">IF($C261="","",IFERROR(IF(INDEX(links!$B$2:$B$501,MATCH($C261,links!$D$2:$D$501,0))="","",INDEX(links!$B$2:$B$501,MATCH($C261,links!$D$2:$D$501,0))),""))</f>
        <v>SAMPLE-O-001</v>
      </c>
      <c r="I261" s="30" t="str">
        <f aca="false">IF($C261="","",IFERROR(IF(INDEX(links!$C$2:$C$501,MATCH($C261,links!$D$2:$D$501,0))="","",INDEX(links!$C$2:$C$501,MATCH($C261,links!$D$2:$D$501,0))),""))</f>
        <v>post</v>
      </c>
      <c r="J261" s="30" t="str">
        <f aca="false">IF($C261="","",IF($G261="","slug not in links; ","")&amp;IF($D261="","reading type missing; ","")&amp;IF(COUNTIFS(scans!$C$2:$C$1601,$C261,scans!$D$2:$D$1601,$D261)&gt;1,"two readings of this type: keep one; ",""))</f>
        <v/>
      </c>
    </row>
    <row r="262" customFormat="false" ht="15" hidden="false" customHeight="false" outlineLevel="0" collapsed="false">
      <c r="A262" s="11" t="n">
        <v>46440</v>
      </c>
      <c r="B262" s="38" t="n">
        <v>0.729166666666667</v>
      </c>
      <c r="C262" s="10" t="s">
        <v>1203</v>
      </c>
      <c r="D262" s="10" t="s">
        <v>1120</v>
      </c>
      <c r="E262" s="0" t="n">
        <v>1</v>
      </c>
      <c r="G262" s="30" t="str">
        <f aca="false">IF($C262="","",IFERROR(IF(INDEX(links!$A$2:$A$501,MATCH($C262,links!$D$2:$D$501,0))="","",INDEX(links!$A$2:$A$501,MATCH($C262,links!$D$2:$D$501,0))),""))</f>
        <v>SAMPLE-CMP-006</v>
      </c>
      <c r="H262" s="30" t="str">
        <f aca="false">IF($C262="","",IFERROR(IF(INDEX(links!$B$2:$B$501,MATCH($C262,links!$D$2:$D$501,0))="","",INDEX(links!$B$2:$B$501,MATCH($C262,links!$D$2:$D$501,0))),""))</f>
        <v>SAMPLE-O-002</v>
      </c>
      <c r="I262" s="30" t="str">
        <f aca="false">IF($C262="","",IFERROR(IF(INDEX(links!$C$2:$C$501,MATCH($C262,links!$D$2:$D$501,0))="","",INDEX(links!$C$2:$C$501,MATCH($C262,links!$D$2:$D$501,0))),""))</f>
        <v>qr</v>
      </c>
      <c r="J262" s="30" t="str">
        <f aca="false">IF($C262="","",IF($G262="","slug not in links; ","")&amp;IF($D262="","reading type missing; ","")&amp;IF(COUNTIFS(scans!$C$2:$C$1601,$C262,scans!$D$2:$D$1601,$D262)&gt;1,"two readings of this type: keep one; ",""))</f>
        <v/>
      </c>
    </row>
    <row r="263" customFormat="false" ht="15" hidden="false" customHeight="false" outlineLevel="0" collapsed="false">
      <c r="A263" s="11" t="n">
        <v>46443</v>
      </c>
      <c r="B263" s="38" t="n">
        <v>0.729166666666667</v>
      </c>
      <c r="C263" s="10" t="s">
        <v>1203</v>
      </c>
      <c r="D263" s="10" t="s">
        <v>1121</v>
      </c>
      <c r="E263" s="0" t="n">
        <v>6</v>
      </c>
      <c r="G263" s="30" t="str">
        <f aca="false">IF($C263="","",IFERROR(IF(INDEX(links!$A$2:$A$501,MATCH($C263,links!$D$2:$D$501,0))="","",INDEX(links!$A$2:$A$501,MATCH($C263,links!$D$2:$D$501,0))),""))</f>
        <v>SAMPLE-CMP-006</v>
      </c>
      <c r="H263" s="30" t="str">
        <f aca="false">IF($C263="","",IFERROR(IF(INDEX(links!$B$2:$B$501,MATCH($C263,links!$D$2:$D$501,0))="","",INDEX(links!$B$2:$B$501,MATCH($C263,links!$D$2:$D$501,0))),""))</f>
        <v>SAMPLE-O-002</v>
      </c>
      <c r="I263" s="30" t="str">
        <f aca="false">IF($C263="","",IFERROR(IF(INDEX(links!$C$2:$C$501,MATCH($C263,links!$D$2:$D$501,0))="","",INDEX(links!$C$2:$C$501,MATCH($C263,links!$D$2:$D$501,0))),""))</f>
        <v>qr</v>
      </c>
      <c r="J263" s="30" t="str">
        <f aca="false">IF($C263="","",IF($G263="","slug not in links; ","")&amp;IF($D263="","reading type missing; ","")&amp;IF(COUNTIFS(scans!$C$2:$C$1601,$C263,scans!$D$2:$D$1601,$D263)&gt;1,"two readings of this type: keep one; ",""))</f>
        <v/>
      </c>
    </row>
    <row r="264" customFormat="false" ht="15" hidden="false" customHeight="false" outlineLevel="0" collapsed="false">
      <c r="A264" s="11" t="n">
        <v>46447</v>
      </c>
      <c r="B264" s="38" t="n">
        <v>0.729166666666667</v>
      </c>
      <c r="C264" s="10" t="s">
        <v>1203</v>
      </c>
      <c r="D264" s="10" t="s">
        <v>1122</v>
      </c>
      <c r="E264" s="0" t="n">
        <v>13</v>
      </c>
      <c r="G264" s="30" t="str">
        <f aca="false">IF($C264="","",IFERROR(IF(INDEX(links!$A$2:$A$501,MATCH($C264,links!$D$2:$D$501,0))="","",INDEX(links!$A$2:$A$501,MATCH($C264,links!$D$2:$D$501,0))),""))</f>
        <v>SAMPLE-CMP-006</v>
      </c>
      <c r="H264" s="30" t="str">
        <f aca="false">IF($C264="","",IFERROR(IF(INDEX(links!$B$2:$B$501,MATCH($C264,links!$D$2:$D$501,0))="","",INDEX(links!$B$2:$B$501,MATCH($C264,links!$D$2:$D$501,0))),""))</f>
        <v>SAMPLE-O-002</v>
      </c>
      <c r="I264" s="30" t="str">
        <f aca="false">IF($C264="","",IFERROR(IF(INDEX(links!$C$2:$C$501,MATCH($C264,links!$D$2:$D$501,0))="","",INDEX(links!$C$2:$C$501,MATCH($C264,links!$D$2:$D$501,0))),""))</f>
        <v>qr</v>
      </c>
      <c r="J264" s="30" t="str">
        <f aca="false">IF($C264="","",IF($G264="","slug not in links; ","")&amp;IF($D264="","reading type missing; ","")&amp;IF(COUNTIFS(scans!$C$2:$C$1601,$C264,scans!$D$2:$D$1601,$D264)&gt;1,"two readings of this type: keep one; ",""))</f>
        <v/>
      </c>
    </row>
    <row r="265" customFormat="false" ht="15" hidden="false" customHeight="false" outlineLevel="0" collapsed="false">
      <c r="A265" s="11" t="n">
        <v>46440</v>
      </c>
      <c r="B265" s="38" t="n">
        <v>0.729166666666667</v>
      </c>
      <c r="C265" s="10" t="s">
        <v>1204</v>
      </c>
      <c r="D265" s="10" t="s">
        <v>1120</v>
      </c>
      <c r="E265" s="0" t="n">
        <v>1</v>
      </c>
      <c r="G265" s="30" t="str">
        <f aca="false">IF($C265="","",IFERROR(IF(INDEX(links!$A$2:$A$501,MATCH($C265,links!$D$2:$D$501,0))="","",INDEX(links!$A$2:$A$501,MATCH($C265,links!$D$2:$D$501,0))),""))</f>
        <v>SAMPLE-CMP-006</v>
      </c>
      <c r="H265" s="30" t="str">
        <f aca="false">IF($C265="","",IFERROR(IF(INDEX(links!$B$2:$B$501,MATCH($C265,links!$D$2:$D$501,0))="","",INDEX(links!$B$2:$B$501,MATCH($C265,links!$D$2:$D$501,0))),""))</f>
        <v>SAMPLE-O-002</v>
      </c>
      <c r="I265" s="30" t="str">
        <f aca="false">IF($C265="","",IFERROR(IF(INDEX(links!$C$2:$C$501,MATCH($C265,links!$D$2:$D$501,0))="","",INDEX(links!$C$2:$C$501,MATCH($C265,links!$D$2:$D$501,0))),""))</f>
        <v>post</v>
      </c>
      <c r="J265" s="30" t="str">
        <f aca="false">IF($C265="","",IF($G265="","slug not in links; ","")&amp;IF($D265="","reading type missing; ","")&amp;IF(COUNTIFS(scans!$C$2:$C$1601,$C265,scans!$D$2:$D$1601,$D265)&gt;1,"two readings of this type: keep one; ",""))</f>
        <v/>
      </c>
    </row>
    <row r="266" customFormat="false" ht="15" hidden="false" customHeight="false" outlineLevel="0" collapsed="false">
      <c r="A266" s="11" t="n">
        <v>46443</v>
      </c>
      <c r="B266" s="38" t="n">
        <v>0.729166666666667</v>
      </c>
      <c r="C266" s="10" t="s">
        <v>1204</v>
      </c>
      <c r="D266" s="10" t="s">
        <v>1121</v>
      </c>
      <c r="E266" s="0" t="n">
        <v>3</v>
      </c>
      <c r="G266" s="30" t="str">
        <f aca="false">IF($C266="","",IFERROR(IF(INDEX(links!$A$2:$A$501,MATCH($C266,links!$D$2:$D$501,0))="","",INDEX(links!$A$2:$A$501,MATCH($C266,links!$D$2:$D$501,0))),""))</f>
        <v>SAMPLE-CMP-006</v>
      </c>
      <c r="H266" s="30" t="str">
        <f aca="false">IF($C266="","",IFERROR(IF(INDEX(links!$B$2:$B$501,MATCH($C266,links!$D$2:$D$501,0))="","",INDEX(links!$B$2:$B$501,MATCH($C266,links!$D$2:$D$501,0))),""))</f>
        <v>SAMPLE-O-002</v>
      </c>
      <c r="I266" s="30" t="str">
        <f aca="false">IF($C266="","",IFERROR(IF(INDEX(links!$C$2:$C$501,MATCH($C266,links!$D$2:$D$501,0))="","",INDEX(links!$C$2:$C$501,MATCH($C266,links!$D$2:$D$501,0))),""))</f>
        <v>post</v>
      </c>
      <c r="J266" s="30" t="str">
        <f aca="false">IF($C266="","",IF($G266="","slug not in links; ","")&amp;IF($D266="","reading type missing; ","")&amp;IF(COUNTIFS(scans!$C$2:$C$1601,$C266,scans!$D$2:$D$1601,$D266)&gt;1,"two readings of this type: keep one; ",""))</f>
        <v/>
      </c>
    </row>
    <row r="267" customFormat="false" ht="15" hidden="false" customHeight="false" outlineLevel="0" collapsed="false">
      <c r="A267" s="11" t="n">
        <v>46447</v>
      </c>
      <c r="B267" s="38" t="n">
        <v>0.729166666666667</v>
      </c>
      <c r="C267" s="10" t="s">
        <v>1204</v>
      </c>
      <c r="D267" s="10" t="s">
        <v>1122</v>
      </c>
      <c r="E267" s="0" t="n">
        <v>6</v>
      </c>
      <c r="G267" s="30" t="str">
        <f aca="false">IF($C267="","",IFERROR(IF(INDEX(links!$A$2:$A$501,MATCH($C267,links!$D$2:$D$501,0))="","",INDEX(links!$A$2:$A$501,MATCH($C267,links!$D$2:$D$501,0))),""))</f>
        <v>SAMPLE-CMP-006</v>
      </c>
      <c r="H267" s="30" t="str">
        <f aca="false">IF($C267="","",IFERROR(IF(INDEX(links!$B$2:$B$501,MATCH($C267,links!$D$2:$D$501,0))="","",INDEX(links!$B$2:$B$501,MATCH($C267,links!$D$2:$D$501,0))),""))</f>
        <v>SAMPLE-O-002</v>
      </c>
      <c r="I267" s="30" t="str">
        <f aca="false">IF($C267="","",IFERROR(IF(INDEX(links!$C$2:$C$501,MATCH($C267,links!$D$2:$D$501,0))="","",INDEX(links!$C$2:$C$501,MATCH($C267,links!$D$2:$D$501,0))),""))</f>
        <v>post</v>
      </c>
      <c r="J267" s="30" t="str">
        <f aca="false">IF($C267="","",IF($G267="","slug not in links; ","")&amp;IF($D267="","reading type missing; ","")&amp;IF(COUNTIFS(scans!$C$2:$C$1601,$C267,scans!$D$2:$D$1601,$D267)&gt;1,"two readings of this type: keep one; ",""))</f>
        <v/>
      </c>
    </row>
    <row r="268" customFormat="false" ht="15" hidden="false" customHeight="false" outlineLevel="0" collapsed="false">
      <c r="A268" s="11" t="n">
        <v>46440</v>
      </c>
      <c r="B268" s="38" t="n">
        <v>0.729166666666667</v>
      </c>
      <c r="C268" s="10" t="s">
        <v>1205</v>
      </c>
      <c r="D268" s="10" t="s">
        <v>1120</v>
      </c>
      <c r="E268" s="0" t="n">
        <v>1</v>
      </c>
      <c r="G268" s="30" t="str">
        <f aca="false">IF($C268="","",IFERROR(IF(INDEX(links!$A$2:$A$501,MATCH($C268,links!$D$2:$D$501,0))="","",INDEX(links!$A$2:$A$501,MATCH($C268,links!$D$2:$D$501,0))),""))</f>
        <v>SAMPLE-CMP-006</v>
      </c>
      <c r="H268" s="30" t="str">
        <f aca="false">IF($C268="","",IFERROR(IF(INDEX(links!$B$2:$B$501,MATCH($C268,links!$D$2:$D$501,0))="","",INDEX(links!$B$2:$B$501,MATCH($C268,links!$D$2:$D$501,0))),""))</f>
        <v>SAMPLE-O-003</v>
      </c>
      <c r="I268" s="30" t="str">
        <f aca="false">IF($C268="","",IFERROR(IF(INDEX(links!$C$2:$C$501,MATCH($C268,links!$D$2:$D$501,0))="","",INDEX(links!$C$2:$C$501,MATCH($C268,links!$D$2:$D$501,0))),""))</f>
        <v>qr</v>
      </c>
      <c r="J268" s="30" t="str">
        <f aca="false">IF($C268="","",IF($G268="","slug not in links; ","")&amp;IF($D268="","reading type missing; ","")&amp;IF(COUNTIFS(scans!$C$2:$C$1601,$C268,scans!$D$2:$D$1601,$D268)&gt;1,"two readings of this type: keep one; ",""))</f>
        <v/>
      </c>
    </row>
    <row r="269" customFormat="false" ht="15" hidden="false" customHeight="false" outlineLevel="0" collapsed="false">
      <c r="A269" s="11" t="n">
        <v>46443</v>
      </c>
      <c r="B269" s="38" t="n">
        <v>0.729166666666667</v>
      </c>
      <c r="C269" s="10" t="s">
        <v>1205</v>
      </c>
      <c r="D269" s="10" t="s">
        <v>1121</v>
      </c>
      <c r="E269" s="0" t="n">
        <v>2</v>
      </c>
      <c r="G269" s="30" t="str">
        <f aca="false">IF($C269="","",IFERROR(IF(INDEX(links!$A$2:$A$501,MATCH($C269,links!$D$2:$D$501,0))="","",INDEX(links!$A$2:$A$501,MATCH($C269,links!$D$2:$D$501,0))),""))</f>
        <v>SAMPLE-CMP-006</v>
      </c>
      <c r="H269" s="30" t="str">
        <f aca="false">IF($C269="","",IFERROR(IF(INDEX(links!$B$2:$B$501,MATCH($C269,links!$D$2:$D$501,0))="","",INDEX(links!$B$2:$B$501,MATCH($C269,links!$D$2:$D$501,0))),""))</f>
        <v>SAMPLE-O-003</v>
      </c>
      <c r="I269" s="30" t="str">
        <f aca="false">IF($C269="","",IFERROR(IF(INDEX(links!$C$2:$C$501,MATCH($C269,links!$D$2:$D$501,0))="","",INDEX(links!$C$2:$C$501,MATCH($C269,links!$D$2:$D$501,0))),""))</f>
        <v>qr</v>
      </c>
      <c r="J269" s="30" t="str">
        <f aca="false">IF($C269="","",IF($G269="","slug not in links; ","")&amp;IF($D269="","reading type missing; ","")&amp;IF(COUNTIFS(scans!$C$2:$C$1601,$C269,scans!$D$2:$D$1601,$D269)&gt;1,"two readings of this type: keep one; ",""))</f>
        <v/>
      </c>
    </row>
    <row r="270" customFormat="false" ht="15" hidden="false" customHeight="false" outlineLevel="0" collapsed="false">
      <c r="A270" s="11" t="n">
        <v>46447</v>
      </c>
      <c r="B270" s="38" t="n">
        <v>0.729166666666667</v>
      </c>
      <c r="C270" s="10" t="s">
        <v>1205</v>
      </c>
      <c r="D270" s="10" t="s">
        <v>1122</v>
      </c>
      <c r="E270" s="0" t="n">
        <v>5</v>
      </c>
      <c r="G270" s="30" t="str">
        <f aca="false">IF($C270="","",IFERROR(IF(INDEX(links!$A$2:$A$501,MATCH($C270,links!$D$2:$D$501,0))="","",INDEX(links!$A$2:$A$501,MATCH($C270,links!$D$2:$D$501,0))),""))</f>
        <v>SAMPLE-CMP-006</v>
      </c>
      <c r="H270" s="30" t="str">
        <f aca="false">IF($C270="","",IFERROR(IF(INDEX(links!$B$2:$B$501,MATCH($C270,links!$D$2:$D$501,0))="","",INDEX(links!$B$2:$B$501,MATCH($C270,links!$D$2:$D$501,0))),""))</f>
        <v>SAMPLE-O-003</v>
      </c>
      <c r="I270" s="30" t="str">
        <f aca="false">IF($C270="","",IFERROR(IF(INDEX(links!$C$2:$C$501,MATCH($C270,links!$D$2:$D$501,0))="","",INDEX(links!$C$2:$C$501,MATCH($C270,links!$D$2:$D$501,0))),""))</f>
        <v>qr</v>
      </c>
      <c r="J270" s="30" t="str">
        <f aca="false">IF($C270="","",IF($G270="","slug not in links; ","")&amp;IF($D270="","reading type missing; ","")&amp;IF(COUNTIFS(scans!$C$2:$C$1601,$C270,scans!$D$2:$D$1601,$D270)&gt;1,"two readings of this type: keep one; ",""))</f>
        <v/>
      </c>
    </row>
    <row r="271" customFormat="false" ht="15" hidden="false" customHeight="false" outlineLevel="0" collapsed="false">
      <c r="A271" s="11" t="n">
        <v>46440</v>
      </c>
      <c r="B271" s="38" t="n">
        <v>0.729166666666667</v>
      </c>
      <c r="C271" s="10" t="s">
        <v>1206</v>
      </c>
      <c r="D271" s="10" t="s">
        <v>1120</v>
      </c>
      <c r="E271" s="0" t="n">
        <v>1</v>
      </c>
      <c r="G271" s="30" t="str">
        <f aca="false">IF($C271="","",IFERROR(IF(INDEX(links!$A$2:$A$501,MATCH($C271,links!$D$2:$D$501,0))="","",INDEX(links!$A$2:$A$501,MATCH($C271,links!$D$2:$D$501,0))),""))</f>
        <v>SAMPLE-CMP-006</v>
      </c>
      <c r="H271" s="30" t="str">
        <f aca="false">IF($C271="","",IFERROR(IF(INDEX(links!$B$2:$B$501,MATCH($C271,links!$D$2:$D$501,0))="","",INDEX(links!$B$2:$B$501,MATCH($C271,links!$D$2:$D$501,0))),""))</f>
        <v>SAMPLE-O-003</v>
      </c>
      <c r="I271" s="30" t="str">
        <f aca="false">IF($C271="","",IFERROR(IF(INDEX(links!$C$2:$C$501,MATCH($C271,links!$D$2:$D$501,0))="","",INDEX(links!$C$2:$C$501,MATCH($C271,links!$D$2:$D$501,0))),""))</f>
        <v>post</v>
      </c>
      <c r="J271" s="30" t="str">
        <f aca="false">IF($C271="","",IF($G271="","slug not in links; ","")&amp;IF($D271="","reading type missing; ","")&amp;IF(COUNTIFS(scans!$C$2:$C$1601,$C271,scans!$D$2:$D$1601,$D271)&gt;1,"two readings of this type: keep one; ",""))</f>
        <v/>
      </c>
    </row>
    <row r="272" customFormat="false" ht="15" hidden="false" customHeight="false" outlineLevel="0" collapsed="false">
      <c r="A272" s="11" t="n">
        <v>46443</v>
      </c>
      <c r="B272" s="38" t="n">
        <v>0.729166666666667</v>
      </c>
      <c r="C272" s="10" t="s">
        <v>1206</v>
      </c>
      <c r="D272" s="10" t="s">
        <v>1121</v>
      </c>
      <c r="E272" s="0" t="n">
        <v>4</v>
      </c>
      <c r="G272" s="30" t="str">
        <f aca="false">IF($C272="","",IFERROR(IF(INDEX(links!$A$2:$A$501,MATCH($C272,links!$D$2:$D$501,0))="","",INDEX(links!$A$2:$A$501,MATCH($C272,links!$D$2:$D$501,0))),""))</f>
        <v>SAMPLE-CMP-006</v>
      </c>
      <c r="H272" s="30" t="str">
        <f aca="false">IF($C272="","",IFERROR(IF(INDEX(links!$B$2:$B$501,MATCH($C272,links!$D$2:$D$501,0))="","",INDEX(links!$B$2:$B$501,MATCH($C272,links!$D$2:$D$501,0))),""))</f>
        <v>SAMPLE-O-003</v>
      </c>
      <c r="I272" s="30" t="str">
        <f aca="false">IF($C272="","",IFERROR(IF(INDEX(links!$C$2:$C$501,MATCH($C272,links!$D$2:$D$501,0))="","",INDEX(links!$C$2:$C$501,MATCH($C272,links!$D$2:$D$501,0))),""))</f>
        <v>post</v>
      </c>
      <c r="J272" s="30" t="str">
        <f aca="false">IF($C272="","",IF($G272="","slug not in links; ","")&amp;IF($D272="","reading type missing; ","")&amp;IF(COUNTIFS(scans!$C$2:$C$1601,$C272,scans!$D$2:$D$1601,$D272)&gt;1,"two readings of this type: keep one; ",""))</f>
        <v/>
      </c>
    </row>
    <row r="273" customFormat="false" ht="15" hidden="false" customHeight="false" outlineLevel="0" collapsed="false">
      <c r="A273" s="11" t="n">
        <v>46447</v>
      </c>
      <c r="B273" s="38" t="n">
        <v>0.729166666666667</v>
      </c>
      <c r="C273" s="10" t="s">
        <v>1206</v>
      </c>
      <c r="D273" s="10" t="s">
        <v>1122</v>
      </c>
      <c r="E273" s="0" t="n">
        <v>8</v>
      </c>
      <c r="G273" s="30" t="str">
        <f aca="false">IF($C273="","",IFERROR(IF(INDEX(links!$A$2:$A$501,MATCH($C273,links!$D$2:$D$501,0))="","",INDEX(links!$A$2:$A$501,MATCH($C273,links!$D$2:$D$501,0))),""))</f>
        <v>SAMPLE-CMP-006</v>
      </c>
      <c r="H273" s="30" t="str">
        <f aca="false">IF($C273="","",IFERROR(IF(INDEX(links!$B$2:$B$501,MATCH($C273,links!$D$2:$D$501,0))="","",INDEX(links!$B$2:$B$501,MATCH($C273,links!$D$2:$D$501,0))),""))</f>
        <v>SAMPLE-O-003</v>
      </c>
      <c r="I273" s="30" t="str">
        <f aca="false">IF($C273="","",IFERROR(IF(INDEX(links!$C$2:$C$501,MATCH($C273,links!$D$2:$D$501,0))="","",INDEX(links!$C$2:$C$501,MATCH($C273,links!$D$2:$D$501,0))),""))</f>
        <v>post</v>
      </c>
      <c r="J273" s="30" t="str">
        <f aca="false">IF($C273="","",IF($G273="","slug not in links; ","")&amp;IF($D273="","reading type missing; ","")&amp;IF(COUNTIFS(scans!$C$2:$C$1601,$C273,scans!$D$2:$D$1601,$D273)&gt;1,"two readings of this type: keep one; ",""))</f>
        <v/>
      </c>
    </row>
    <row r="274" customFormat="false" ht="15" hidden="false" customHeight="false" outlineLevel="0" collapsed="false">
      <c r="A274" s="11" t="n">
        <v>46440</v>
      </c>
      <c r="B274" s="38" t="n">
        <v>0.729166666666667</v>
      </c>
      <c r="C274" s="10" t="s">
        <v>1207</v>
      </c>
      <c r="D274" s="10" t="s">
        <v>1120</v>
      </c>
      <c r="E274" s="0" t="n">
        <v>1</v>
      </c>
      <c r="G274" s="30" t="str">
        <f aca="false">IF($C274="","",IFERROR(IF(INDEX(links!$A$2:$A$501,MATCH($C274,links!$D$2:$D$501,0))="","",INDEX(links!$A$2:$A$501,MATCH($C274,links!$D$2:$D$501,0))),""))</f>
        <v>SAMPLE-CMP-006</v>
      </c>
      <c r="H274" s="30" t="str">
        <f aca="false">IF($C274="","",IFERROR(IF(INDEX(links!$B$2:$B$501,MATCH($C274,links!$D$2:$D$501,0))="","",INDEX(links!$B$2:$B$501,MATCH($C274,links!$D$2:$D$501,0))),""))</f>
        <v>SAMPLE-O-004</v>
      </c>
      <c r="I274" s="30" t="str">
        <f aca="false">IF($C274="","",IFERROR(IF(INDEX(links!$C$2:$C$501,MATCH($C274,links!$D$2:$D$501,0))="","",INDEX(links!$C$2:$C$501,MATCH($C274,links!$D$2:$D$501,0))),""))</f>
        <v>qr</v>
      </c>
      <c r="J274" s="30" t="str">
        <f aca="false">IF($C274="","",IF($G274="","slug not in links; ","")&amp;IF($D274="","reading type missing; ","")&amp;IF(COUNTIFS(scans!$C$2:$C$1601,$C274,scans!$D$2:$D$1601,$D274)&gt;1,"two readings of this type: keep one; ",""))</f>
        <v/>
      </c>
    </row>
    <row r="275" customFormat="false" ht="15" hidden="false" customHeight="false" outlineLevel="0" collapsed="false">
      <c r="A275" s="11" t="n">
        <v>46443</v>
      </c>
      <c r="B275" s="38" t="n">
        <v>0.729166666666667</v>
      </c>
      <c r="C275" s="10" t="s">
        <v>1207</v>
      </c>
      <c r="D275" s="10" t="s">
        <v>1121</v>
      </c>
      <c r="E275" s="0" t="n">
        <v>3</v>
      </c>
      <c r="G275" s="30" t="str">
        <f aca="false">IF($C275="","",IFERROR(IF(INDEX(links!$A$2:$A$501,MATCH($C275,links!$D$2:$D$501,0))="","",INDEX(links!$A$2:$A$501,MATCH($C275,links!$D$2:$D$501,0))),""))</f>
        <v>SAMPLE-CMP-006</v>
      </c>
      <c r="H275" s="30" t="str">
        <f aca="false">IF($C275="","",IFERROR(IF(INDEX(links!$B$2:$B$501,MATCH($C275,links!$D$2:$D$501,0))="","",INDEX(links!$B$2:$B$501,MATCH($C275,links!$D$2:$D$501,0))),""))</f>
        <v>SAMPLE-O-004</v>
      </c>
      <c r="I275" s="30" t="str">
        <f aca="false">IF($C275="","",IFERROR(IF(INDEX(links!$C$2:$C$501,MATCH($C275,links!$D$2:$D$501,0))="","",INDEX(links!$C$2:$C$501,MATCH($C275,links!$D$2:$D$501,0))),""))</f>
        <v>qr</v>
      </c>
      <c r="J275" s="30" t="str">
        <f aca="false">IF($C275="","",IF($G275="","slug not in links; ","")&amp;IF($D275="","reading type missing; ","")&amp;IF(COUNTIFS(scans!$C$2:$C$1601,$C275,scans!$D$2:$D$1601,$D275)&gt;1,"two readings of this type: keep one; ",""))</f>
        <v/>
      </c>
    </row>
    <row r="276" customFormat="false" ht="15" hidden="false" customHeight="false" outlineLevel="0" collapsed="false">
      <c r="A276" s="11" t="n">
        <v>46447</v>
      </c>
      <c r="B276" s="38" t="n">
        <v>0.729166666666667</v>
      </c>
      <c r="C276" s="10" t="s">
        <v>1207</v>
      </c>
      <c r="D276" s="10" t="s">
        <v>1122</v>
      </c>
      <c r="E276" s="0" t="n">
        <v>7</v>
      </c>
      <c r="G276" s="30" t="str">
        <f aca="false">IF($C276="","",IFERROR(IF(INDEX(links!$A$2:$A$501,MATCH($C276,links!$D$2:$D$501,0))="","",INDEX(links!$A$2:$A$501,MATCH($C276,links!$D$2:$D$501,0))),""))</f>
        <v>SAMPLE-CMP-006</v>
      </c>
      <c r="H276" s="30" t="str">
        <f aca="false">IF($C276="","",IFERROR(IF(INDEX(links!$B$2:$B$501,MATCH($C276,links!$D$2:$D$501,0))="","",INDEX(links!$B$2:$B$501,MATCH($C276,links!$D$2:$D$501,0))),""))</f>
        <v>SAMPLE-O-004</v>
      </c>
      <c r="I276" s="30" t="str">
        <f aca="false">IF($C276="","",IFERROR(IF(INDEX(links!$C$2:$C$501,MATCH($C276,links!$D$2:$D$501,0))="","",INDEX(links!$C$2:$C$501,MATCH($C276,links!$D$2:$D$501,0))),""))</f>
        <v>qr</v>
      </c>
      <c r="J276" s="30" t="str">
        <f aca="false">IF($C276="","",IF($G276="","slug not in links; ","")&amp;IF($D276="","reading type missing; ","")&amp;IF(COUNTIFS(scans!$C$2:$C$1601,$C276,scans!$D$2:$D$1601,$D276)&gt;1,"two readings of this type: keep one; ",""))</f>
        <v/>
      </c>
    </row>
    <row r="277" customFormat="false" ht="15" hidden="false" customHeight="false" outlineLevel="0" collapsed="false">
      <c r="A277" s="11" t="n">
        <v>46440</v>
      </c>
      <c r="B277" s="38" t="n">
        <v>0.729166666666667</v>
      </c>
      <c r="C277" s="10" t="s">
        <v>1208</v>
      </c>
      <c r="D277" s="10" t="s">
        <v>1120</v>
      </c>
      <c r="E277" s="0" t="n">
        <v>1</v>
      </c>
      <c r="G277" s="30" t="str">
        <f aca="false">IF($C277="","",IFERROR(IF(INDEX(links!$A$2:$A$501,MATCH($C277,links!$D$2:$D$501,0))="","",INDEX(links!$A$2:$A$501,MATCH($C277,links!$D$2:$D$501,0))),""))</f>
        <v>SAMPLE-CMP-006</v>
      </c>
      <c r="H277" s="30" t="str">
        <f aca="false">IF($C277="","",IFERROR(IF(INDEX(links!$B$2:$B$501,MATCH($C277,links!$D$2:$D$501,0))="","",INDEX(links!$B$2:$B$501,MATCH($C277,links!$D$2:$D$501,0))),""))</f>
        <v>SAMPLE-O-004</v>
      </c>
      <c r="I277" s="30" t="str">
        <f aca="false">IF($C277="","",IFERROR(IF(INDEX(links!$C$2:$C$501,MATCH($C277,links!$D$2:$D$501,0))="","",INDEX(links!$C$2:$C$501,MATCH($C277,links!$D$2:$D$501,0))),""))</f>
        <v>post</v>
      </c>
      <c r="J277" s="30" t="str">
        <f aca="false">IF($C277="","",IF($G277="","slug not in links; ","")&amp;IF($D277="","reading type missing; ","")&amp;IF(COUNTIFS(scans!$C$2:$C$1601,$C277,scans!$D$2:$D$1601,$D277)&gt;1,"two readings of this type: keep one; ",""))</f>
        <v/>
      </c>
    </row>
    <row r="278" customFormat="false" ht="15" hidden="false" customHeight="false" outlineLevel="0" collapsed="false">
      <c r="A278" s="11" t="n">
        <v>46443</v>
      </c>
      <c r="B278" s="38" t="n">
        <v>0.729166666666667</v>
      </c>
      <c r="C278" s="10" t="s">
        <v>1208</v>
      </c>
      <c r="D278" s="10" t="s">
        <v>1121</v>
      </c>
      <c r="E278" s="0" t="n">
        <v>5</v>
      </c>
      <c r="G278" s="30" t="str">
        <f aca="false">IF($C278="","",IFERROR(IF(INDEX(links!$A$2:$A$501,MATCH($C278,links!$D$2:$D$501,0))="","",INDEX(links!$A$2:$A$501,MATCH($C278,links!$D$2:$D$501,0))),""))</f>
        <v>SAMPLE-CMP-006</v>
      </c>
      <c r="H278" s="30" t="str">
        <f aca="false">IF($C278="","",IFERROR(IF(INDEX(links!$B$2:$B$501,MATCH($C278,links!$D$2:$D$501,0))="","",INDEX(links!$B$2:$B$501,MATCH($C278,links!$D$2:$D$501,0))),""))</f>
        <v>SAMPLE-O-004</v>
      </c>
      <c r="I278" s="30" t="str">
        <f aca="false">IF($C278="","",IFERROR(IF(INDEX(links!$C$2:$C$501,MATCH($C278,links!$D$2:$D$501,0))="","",INDEX(links!$C$2:$C$501,MATCH($C278,links!$D$2:$D$501,0))),""))</f>
        <v>post</v>
      </c>
      <c r="J278" s="30" t="str">
        <f aca="false">IF($C278="","",IF($G278="","slug not in links; ","")&amp;IF($D278="","reading type missing; ","")&amp;IF(COUNTIFS(scans!$C$2:$C$1601,$C278,scans!$D$2:$D$1601,$D278)&gt;1,"two readings of this type: keep one; ",""))</f>
        <v/>
      </c>
    </row>
    <row r="279" customFormat="false" ht="15" hidden="false" customHeight="false" outlineLevel="0" collapsed="false">
      <c r="A279" s="11" t="n">
        <v>46447</v>
      </c>
      <c r="B279" s="38" t="n">
        <v>0.729166666666667</v>
      </c>
      <c r="C279" s="10" t="s">
        <v>1208</v>
      </c>
      <c r="D279" s="10" t="s">
        <v>1122</v>
      </c>
      <c r="E279" s="0" t="n">
        <v>10</v>
      </c>
      <c r="G279" s="30" t="str">
        <f aca="false">IF($C279="","",IFERROR(IF(INDEX(links!$A$2:$A$501,MATCH($C279,links!$D$2:$D$501,0))="","",INDEX(links!$A$2:$A$501,MATCH($C279,links!$D$2:$D$501,0))),""))</f>
        <v>SAMPLE-CMP-006</v>
      </c>
      <c r="H279" s="30" t="str">
        <f aca="false">IF($C279="","",IFERROR(IF(INDEX(links!$B$2:$B$501,MATCH($C279,links!$D$2:$D$501,0))="","",INDEX(links!$B$2:$B$501,MATCH($C279,links!$D$2:$D$501,0))),""))</f>
        <v>SAMPLE-O-004</v>
      </c>
      <c r="I279" s="30" t="str">
        <f aca="false">IF($C279="","",IFERROR(IF(INDEX(links!$C$2:$C$501,MATCH($C279,links!$D$2:$D$501,0))="","",INDEX(links!$C$2:$C$501,MATCH($C279,links!$D$2:$D$501,0))),""))</f>
        <v>post</v>
      </c>
      <c r="J279" s="30" t="str">
        <f aca="false">IF($C279="","",IF($G279="","slug not in links; ","")&amp;IF($D279="","reading type missing; ","")&amp;IF(COUNTIFS(scans!$C$2:$C$1601,$C279,scans!$D$2:$D$1601,$D279)&gt;1,"two readings of this type: keep one; ",""))</f>
        <v/>
      </c>
    </row>
    <row r="280" customFormat="false" ht="15" hidden="false" customHeight="false" outlineLevel="0" collapsed="false">
      <c r="A280" s="11" t="n">
        <v>46440</v>
      </c>
      <c r="B280" s="38" t="n">
        <v>0.729166666666667</v>
      </c>
      <c r="C280" s="10" t="s">
        <v>1209</v>
      </c>
      <c r="D280" s="10" t="s">
        <v>1120</v>
      </c>
      <c r="E280" s="0" t="n">
        <v>1</v>
      </c>
      <c r="G280" s="30" t="str">
        <f aca="false">IF($C280="","",IFERROR(IF(INDEX(links!$A$2:$A$501,MATCH($C280,links!$D$2:$D$501,0))="","",INDEX(links!$A$2:$A$501,MATCH($C280,links!$D$2:$D$501,0))),""))</f>
        <v>SAMPLE-CMP-006</v>
      </c>
      <c r="H280" s="30" t="str">
        <f aca="false">IF($C280="","",IFERROR(IF(INDEX(links!$B$2:$B$501,MATCH($C280,links!$D$2:$D$501,0))="","",INDEX(links!$B$2:$B$501,MATCH($C280,links!$D$2:$D$501,0))),""))</f>
        <v>SAMPLE-O-005</v>
      </c>
      <c r="I280" s="30" t="str">
        <f aca="false">IF($C280="","",IFERROR(IF(INDEX(links!$C$2:$C$501,MATCH($C280,links!$D$2:$D$501,0))="","",INDEX(links!$C$2:$C$501,MATCH($C280,links!$D$2:$D$501,0))),""))</f>
        <v>qr</v>
      </c>
      <c r="J280" s="30" t="str">
        <f aca="false">IF($C280="","",IF($G280="","slug not in links; ","")&amp;IF($D280="","reading type missing; ","")&amp;IF(COUNTIFS(scans!$C$2:$C$1601,$C280,scans!$D$2:$D$1601,$D280)&gt;1,"two readings of this type: keep one; ",""))</f>
        <v/>
      </c>
    </row>
    <row r="281" customFormat="false" ht="15" hidden="false" customHeight="false" outlineLevel="0" collapsed="false">
      <c r="A281" s="11" t="n">
        <v>46443</v>
      </c>
      <c r="B281" s="38" t="n">
        <v>0.729166666666667</v>
      </c>
      <c r="C281" s="10" t="s">
        <v>1209</v>
      </c>
      <c r="D281" s="10" t="s">
        <v>1121</v>
      </c>
      <c r="E281" s="0" t="n">
        <v>4</v>
      </c>
      <c r="G281" s="30" t="str">
        <f aca="false">IF($C281="","",IFERROR(IF(INDEX(links!$A$2:$A$501,MATCH($C281,links!$D$2:$D$501,0))="","",INDEX(links!$A$2:$A$501,MATCH($C281,links!$D$2:$D$501,0))),""))</f>
        <v>SAMPLE-CMP-006</v>
      </c>
      <c r="H281" s="30" t="str">
        <f aca="false">IF($C281="","",IFERROR(IF(INDEX(links!$B$2:$B$501,MATCH($C281,links!$D$2:$D$501,0))="","",INDEX(links!$B$2:$B$501,MATCH($C281,links!$D$2:$D$501,0))),""))</f>
        <v>SAMPLE-O-005</v>
      </c>
      <c r="I281" s="30" t="str">
        <f aca="false">IF($C281="","",IFERROR(IF(INDEX(links!$C$2:$C$501,MATCH($C281,links!$D$2:$D$501,0))="","",INDEX(links!$C$2:$C$501,MATCH($C281,links!$D$2:$D$501,0))),""))</f>
        <v>qr</v>
      </c>
      <c r="J281" s="30" t="str">
        <f aca="false">IF($C281="","",IF($G281="","slug not in links; ","")&amp;IF($D281="","reading type missing; ","")&amp;IF(COUNTIFS(scans!$C$2:$C$1601,$C281,scans!$D$2:$D$1601,$D281)&gt;1,"two readings of this type: keep one; ",""))</f>
        <v/>
      </c>
    </row>
    <row r="282" customFormat="false" ht="15" hidden="false" customHeight="false" outlineLevel="0" collapsed="false">
      <c r="A282" s="11" t="n">
        <v>46447</v>
      </c>
      <c r="B282" s="38" t="n">
        <v>0.729166666666667</v>
      </c>
      <c r="C282" s="10" t="s">
        <v>1209</v>
      </c>
      <c r="D282" s="10" t="s">
        <v>1122</v>
      </c>
      <c r="E282" s="0" t="n">
        <v>9</v>
      </c>
      <c r="G282" s="30" t="str">
        <f aca="false">IF($C282="","",IFERROR(IF(INDEX(links!$A$2:$A$501,MATCH($C282,links!$D$2:$D$501,0))="","",INDEX(links!$A$2:$A$501,MATCH($C282,links!$D$2:$D$501,0))),""))</f>
        <v>SAMPLE-CMP-006</v>
      </c>
      <c r="H282" s="30" t="str">
        <f aca="false">IF($C282="","",IFERROR(IF(INDEX(links!$B$2:$B$501,MATCH($C282,links!$D$2:$D$501,0))="","",INDEX(links!$B$2:$B$501,MATCH($C282,links!$D$2:$D$501,0))),""))</f>
        <v>SAMPLE-O-005</v>
      </c>
      <c r="I282" s="30" t="str">
        <f aca="false">IF($C282="","",IFERROR(IF(INDEX(links!$C$2:$C$501,MATCH($C282,links!$D$2:$D$501,0))="","",INDEX(links!$C$2:$C$501,MATCH($C282,links!$D$2:$D$501,0))),""))</f>
        <v>qr</v>
      </c>
      <c r="J282" s="30" t="str">
        <f aca="false">IF($C282="","",IF($G282="","slug not in links; ","")&amp;IF($D282="","reading type missing; ","")&amp;IF(COUNTIFS(scans!$C$2:$C$1601,$C282,scans!$D$2:$D$1601,$D282)&gt;1,"two readings of this type: keep one; ",""))</f>
        <v/>
      </c>
    </row>
    <row r="283" customFormat="false" ht="15" hidden="false" customHeight="false" outlineLevel="0" collapsed="false">
      <c r="A283" s="11" t="n">
        <v>46440</v>
      </c>
      <c r="B283" s="38" t="n">
        <v>0.729166666666667</v>
      </c>
      <c r="C283" s="10" t="s">
        <v>1210</v>
      </c>
      <c r="D283" s="10" t="s">
        <v>1120</v>
      </c>
      <c r="E283" s="0" t="n">
        <v>1</v>
      </c>
      <c r="G283" s="30" t="str">
        <f aca="false">IF($C283="","",IFERROR(IF(INDEX(links!$A$2:$A$501,MATCH($C283,links!$D$2:$D$501,0))="","",INDEX(links!$A$2:$A$501,MATCH($C283,links!$D$2:$D$501,0))),""))</f>
        <v>SAMPLE-CMP-006</v>
      </c>
      <c r="H283" s="30" t="str">
        <f aca="false">IF($C283="","",IFERROR(IF(INDEX(links!$B$2:$B$501,MATCH($C283,links!$D$2:$D$501,0))="","",INDEX(links!$B$2:$B$501,MATCH($C283,links!$D$2:$D$501,0))),""))</f>
        <v>SAMPLE-O-005</v>
      </c>
      <c r="I283" s="30" t="str">
        <f aca="false">IF($C283="","",IFERROR(IF(INDEX(links!$C$2:$C$501,MATCH($C283,links!$D$2:$D$501,0))="","",INDEX(links!$C$2:$C$501,MATCH($C283,links!$D$2:$D$501,0))),""))</f>
        <v>post</v>
      </c>
      <c r="J283" s="30" t="str">
        <f aca="false">IF($C283="","",IF($G283="","slug not in links; ","")&amp;IF($D283="","reading type missing; ","")&amp;IF(COUNTIFS(scans!$C$2:$C$1601,$C283,scans!$D$2:$D$1601,$D283)&gt;1,"two readings of this type: keep one; ",""))</f>
        <v/>
      </c>
    </row>
    <row r="284" customFormat="false" ht="15" hidden="false" customHeight="false" outlineLevel="0" collapsed="false">
      <c r="A284" s="11" t="n">
        <v>46443</v>
      </c>
      <c r="B284" s="38" t="n">
        <v>0.729166666666667</v>
      </c>
      <c r="C284" s="10" t="s">
        <v>1210</v>
      </c>
      <c r="D284" s="10" t="s">
        <v>1121</v>
      </c>
      <c r="E284" s="0" t="n">
        <v>6</v>
      </c>
      <c r="G284" s="30" t="str">
        <f aca="false">IF($C284="","",IFERROR(IF(INDEX(links!$A$2:$A$501,MATCH($C284,links!$D$2:$D$501,0))="","",INDEX(links!$A$2:$A$501,MATCH($C284,links!$D$2:$D$501,0))),""))</f>
        <v>SAMPLE-CMP-006</v>
      </c>
      <c r="H284" s="30" t="str">
        <f aca="false">IF($C284="","",IFERROR(IF(INDEX(links!$B$2:$B$501,MATCH($C284,links!$D$2:$D$501,0))="","",INDEX(links!$B$2:$B$501,MATCH($C284,links!$D$2:$D$501,0))),""))</f>
        <v>SAMPLE-O-005</v>
      </c>
      <c r="I284" s="30" t="str">
        <f aca="false">IF($C284="","",IFERROR(IF(INDEX(links!$C$2:$C$501,MATCH($C284,links!$D$2:$D$501,0))="","",INDEX(links!$C$2:$C$501,MATCH($C284,links!$D$2:$D$501,0))),""))</f>
        <v>post</v>
      </c>
      <c r="J284" s="30" t="str">
        <f aca="false">IF($C284="","",IF($G284="","slug not in links; ","")&amp;IF($D284="","reading type missing; ","")&amp;IF(COUNTIFS(scans!$C$2:$C$1601,$C284,scans!$D$2:$D$1601,$D284)&gt;1,"two readings of this type: keep one; ",""))</f>
        <v/>
      </c>
    </row>
    <row r="285" customFormat="false" ht="15" hidden="false" customHeight="false" outlineLevel="0" collapsed="false">
      <c r="A285" s="11" t="n">
        <v>46447</v>
      </c>
      <c r="B285" s="38" t="n">
        <v>0.729166666666667</v>
      </c>
      <c r="C285" s="10" t="s">
        <v>1210</v>
      </c>
      <c r="D285" s="10" t="s">
        <v>1122</v>
      </c>
      <c r="E285" s="0" t="n">
        <v>12</v>
      </c>
      <c r="G285" s="30" t="str">
        <f aca="false">IF($C285="","",IFERROR(IF(INDEX(links!$A$2:$A$501,MATCH($C285,links!$D$2:$D$501,0))="","",INDEX(links!$A$2:$A$501,MATCH($C285,links!$D$2:$D$501,0))),""))</f>
        <v>SAMPLE-CMP-006</v>
      </c>
      <c r="H285" s="30" t="str">
        <f aca="false">IF($C285="","",IFERROR(IF(INDEX(links!$B$2:$B$501,MATCH($C285,links!$D$2:$D$501,0))="","",INDEX(links!$B$2:$B$501,MATCH($C285,links!$D$2:$D$501,0))),""))</f>
        <v>SAMPLE-O-005</v>
      </c>
      <c r="I285" s="30" t="str">
        <f aca="false">IF($C285="","",IFERROR(IF(INDEX(links!$C$2:$C$501,MATCH($C285,links!$D$2:$D$501,0))="","",INDEX(links!$C$2:$C$501,MATCH($C285,links!$D$2:$D$501,0))),""))</f>
        <v>post</v>
      </c>
      <c r="J285" s="30" t="str">
        <f aca="false">IF($C285="","",IF($G285="","slug not in links; ","")&amp;IF($D285="","reading type missing; ","")&amp;IF(COUNTIFS(scans!$C$2:$C$1601,$C285,scans!$D$2:$D$1601,$D285)&gt;1,"two readings of this type: keep one; ",""))</f>
        <v/>
      </c>
    </row>
    <row r="286" customFormat="false" ht="15" hidden="false" customHeight="false" outlineLevel="0" collapsed="false">
      <c r="A286" s="11" t="n">
        <v>46440</v>
      </c>
      <c r="B286" s="38" t="n">
        <v>0.729166666666667</v>
      </c>
      <c r="C286" s="10" t="s">
        <v>1211</v>
      </c>
      <c r="D286" s="10" t="s">
        <v>1120</v>
      </c>
      <c r="E286" s="0" t="n">
        <v>1</v>
      </c>
      <c r="G286" s="30" t="str">
        <f aca="false">IF($C286="","",IFERROR(IF(INDEX(links!$A$2:$A$501,MATCH($C286,links!$D$2:$D$501,0))="","",INDEX(links!$A$2:$A$501,MATCH($C286,links!$D$2:$D$501,0))),""))</f>
        <v>SAMPLE-CMP-006</v>
      </c>
      <c r="H286" s="30" t="str">
        <f aca="false">IF($C286="","",IFERROR(IF(INDEX(links!$B$2:$B$501,MATCH($C286,links!$D$2:$D$501,0))="","",INDEX(links!$B$2:$B$501,MATCH($C286,links!$D$2:$D$501,0))),""))</f>
        <v>SAMPLE-O-006</v>
      </c>
      <c r="I286" s="30" t="str">
        <f aca="false">IF($C286="","",IFERROR(IF(INDEX(links!$C$2:$C$501,MATCH($C286,links!$D$2:$D$501,0))="","",INDEX(links!$C$2:$C$501,MATCH($C286,links!$D$2:$D$501,0))),""))</f>
        <v>qr</v>
      </c>
      <c r="J286" s="30" t="str">
        <f aca="false">IF($C286="","",IF($G286="","slug not in links; ","")&amp;IF($D286="","reading type missing; ","")&amp;IF(COUNTIFS(scans!$C$2:$C$1601,$C286,scans!$D$2:$D$1601,$D286)&gt;1,"two readings of this type: keep one; ",""))</f>
        <v/>
      </c>
    </row>
    <row r="287" customFormat="false" ht="15" hidden="false" customHeight="false" outlineLevel="0" collapsed="false">
      <c r="A287" s="11" t="n">
        <v>46443</v>
      </c>
      <c r="B287" s="38" t="n">
        <v>0.729166666666667</v>
      </c>
      <c r="C287" s="10" t="s">
        <v>1211</v>
      </c>
      <c r="D287" s="10" t="s">
        <v>1121</v>
      </c>
      <c r="E287" s="0" t="n">
        <v>1</v>
      </c>
      <c r="G287" s="30" t="str">
        <f aca="false">IF($C287="","",IFERROR(IF(INDEX(links!$A$2:$A$501,MATCH($C287,links!$D$2:$D$501,0))="","",INDEX(links!$A$2:$A$501,MATCH($C287,links!$D$2:$D$501,0))),""))</f>
        <v>SAMPLE-CMP-006</v>
      </c>
      <c r="H287" s="30" t="str">
        <f aca="false">IF($C287="","",IFERROR(IF(INDEX(links!$B$2:$B$501,MATCH($C287,links!$D$2:$D$501,0))="","",INDEX(links!$B$2:$B$501,MATCH($C287,links!$D$2:$D$501,0))),""))</f>
        <v>SAMPLE-O-006</v>
      </c>
      <c r="I287" s="30" t="str">
        <f aca="false">IF($C287="","",IFERROR(IF(INDEX(links!$C$2:$C$501,MATCH($C287,links!$D$2:$D$501,0))="","",INDEX(links!$C$2:$C$501,MATCH($C287,links!$D$2:$D$501,0))),""))</f>
        <v>qr</v>
      </c>
      <c r="J287" s="30" t="str">
        <f aca="false">IF($C287="","",IF($G287="","slug not in links; ","")&amp;IF($D287="","reading type missing; ","")&amp;IF(COUNTIFS(scans!$C$2:$C$1601,$C287,scans!$D$2:$D$1601,$D287)&gt;1,"two readings of this type: keep one; ",""))</f>
        <v/>
      </c>
    </row>
    <row r="288" customFormat="false" ht="15" hidden="false" customHeight="false" outlineLevel="0" collapsed="false">
      <c r="A288" s="11" t="n">
        <v>46447</v>
      </c>
      <c r="B288" s="38" t="n">
        <v>0.729166666666667</v>
      </c>
      <c r="C288" s="10" t="s">
        <v>1211</v>
      </c>
      <c r="D288" s="10" t="s">
        <v>1122</v>
      </c>
      <c r="E288" s="0" t="n">
        <v>1</v>
      </c>
      <c r="G288" s="30" t="str">
        <f aca="false">IF($C288="","",IFERROR(IF(INDEX(links!$A$2:$A$501,MATCH($C288,links!$D$2:$D$501,0))="","",INDEX(links!$A$2:$A$501,MATCH($C288,links!$D$2:$D$501,0))),""))</f>
        <v>SAMPLE-CMP-006</v>
      </c>
      <c r="H288" s="30" t="str">
        <f aca="false">IF($C288="","",IFERROR(IF(INDEX(links!$B$2:$B$501,MATCH($C288,links!$D$2:$D$501,0))="","",INDEX(links!$B$2:$B$501,MATCH($C288,links!$D$2:$D$501,0))),""))</f>
        <v>SAMPLE-O-006</v>
      </c>
      <c r="I288" s="30" t="str">
        <f aca="false">IF($C288="","",IFERROR(IF(INDEX(links!$C$2:$C$501,MATCH($C288,links!$D$2:$D$501,0))="","",INDEX(links!$C$2:$C$501,MATCH($C288,links!$D$2:$D$501,0))),""))</f>
        <v>qr</v>
      </c>
      <c r="J288" s="30" t="str">
        <f aca="false">IF($C288="","",IF($G288="","slug not in links; ","")&amp;IF($D288="","reading type missing; ","")&amp;IF(COUNTIFS(scans!$C$2:$C$1601,$C288,scans!$D$2:$D$1601,$D288)&gt;1,"two readings of this type: keep one; ",""))</f>
        <v/>
      </c>
    </row>
    <row r="289" customFormat="false" ht="15" hidden="false" customHeight="false" outlineLevel="0" collapsed="false">
      <c r="A289" s="11" t="n">
        <v>46440</v>
      </c>
      <c r="B289" s="38" t="n">
        <v>0.729166666666667</v>
      </c>
      <c r="C289" s="10" t="s">
        <v>1212</v>
      </c>
      <c r="D289" s="10" t="s">
        <v>1120</v>
      </c>
      <c r="E289" s="0" t="n">
        <v>1</v>
      </c>
      <c r="G289" s="30" t="str">
        <f aca="false">IF($C289="","",IFERROR(IF(INDEX(links!$A$2:$A$501,MATCH($C289,links!$D$2:$D$501,0))="","",INDEX(links!$A$2:$A$501,MATCH($C289,links!$D$2:$D$501,0))),""))</f>
        <v>SAMPLE-CMP-006</v>
      </c>
      <c r="H289" s="30" t="str">
        <f aca="false">IF($C289="","",IFERROR(IF(INDEX(links!$B$2:$B$501,MATCH($C289,links!$D$2:$D$501,0))="","",INDEX(links!$B$2:$B$501,MATCH($C289,links!$D$2:$D$501,0))),""))</f>
        <v>SAMPLE-O-006</v>
      </c>
      <c r="I289" s="30" t="str">
        <f aca="false">IF($C289="","",IFERROR(IF(INDEX(links!$C$2:$C$501,MATCH($C289,links!$D$2:$D$501,0))="","",INDEX(links!$C$2:$C$501,MATCH($C289,links!$D$2:$D$501,0))),""))</f>
        <v>post</v>
      </c>
      <c r="J289" s="30" t="str">
        <f aca="false">IF($C289="","",IF($G289="","slug not in links; ","")&amp;IF($D289="","reading type missing; ","")&amp;IF(COUNTIFS(scans!$C$2:$C$1601,$C289,scans!$D$2:$D$1601,$D289)&gt;1,"two readings of this type: keep one; ",""))</f>
        <v/>
      </c>
    </row>
    <row r="290" customFormat="false" ht="15" hidden="false" customHeight="false" outlineLevel="0" collapsed="false">
      <c r="A290" s="11" t="n">
        <v>46443</v>
      </c>
      <c r="B290" s="38" t="n">
        <v>0.729166666666667</v>
      </c>
      <c r="C290" s="10" t="s">
        <v>1212</v>
      </c>
      <c r="D290" s="10" t="s">
        <v>1121</v>
      </c>
      <c r="E290" s="0" t="n">
        <v>1</v>
      </c>
      <c r="G290" s="30" t="str">
        <f aca="false">IF($C290="","",IFERROR(IF(INDEX(links!$A$2:$A$501,MATCH($C290,links!$D$2:$D$501,0))="","",INDEX(links!$A$2:$A$501,MATCH($C290,links!$D$2:$D$501,0))),""))</f>
        <v>SAMPLE-CMP-006</v>
      </c>
      <c r="H290" s="30" t="str">
        <f aca="false">IF($C290="","",IFERROR(IF(INDEX(links!$B$2:$B$501,MATCH($C290,links!$D$2:$D$501,0))="","",INDEX(links!$B$2:$B$501,MATCH($C290,links!$D$2:$D$501,0))),""))</f>
        <v>SAMPLE-O-006</v>
      </c>
      <c r="I290" s="30" t="str">
        <f aca="false">IF($C290="","",IFERROR(IF(INDEX(links!$C$2:$C$501,MATCH($C290,links!$D$2:$D$501,0))="","",INDEX(links!$C$2:$C$501,MATCH($C290,links!$D$2:$D$501,0))),""))</f>
        <v>post</v>
      </c>
      <c r="J290" s="30" t="str">
        <f aca="false">IF($C290="","",IF($G290="","slug not in links; ","")&amp;IF($D290="","reading type missing; ","")&amp;IF(COUNTIFS(scans!$C$2:$C$1601,$C290,scans!$D$2:$D$1601,$D290)&gt;1,"two readings of this type: keep one; ",""))</f>
        <v/>
      </c>
    </row>
    <row r="291" customFormat="false" ht="15" hidden="false" customHeight="false" outlineLevel="0" collapsed="false">
      <c r="A291" s="11" t="n">
        <v>46447</v>
      </c>
      <c r="B291" s="38" t="n">
        <v>0.729166666666667</v>
      </c>
      <c r="C291" s="10" t="s">
        <v>1212</v>
      </c>
      <c r="D291" s="10" t="s">
        <v>1122</v>
      </c>
      <c r="E291" s="0" t="n">
        <v>1</v>
      </c>
      <c r="G291" s="30" t="str">
        <f aca="false">IF($C291="","",IFERROR(IF(INDEX(links!$A$2:$A$501,MATCH($C291,links!$D$2:$D$501,0))="","",INDEX(links!$A$2:$A$501,MATCH($C291,links!$D$2:$D$501,0))),""))</f>
        <v>SAMPLE-CMP-006</v>
      </c>
      <c r="H291" s="30" t="str">
        <f aca="false">IF($C291="","",IFERROR(IF(INDEX(links!$B$2:$B$501,MATCH($C291,links!$D$2:$D$501,0))="","",INDEX(links!$B$2:$B$501,MATCH($C291,links!$D$2:$D$501,0))),""))</f>
        <v>SAMPLE-O-006</v>
      </c>
      <c r="I291" s="30" t="str">
        <f aca="false">IF($C291="","",IFERROR(IF(INDEX(links!$C$2:$C$501,MATCH($C291,links!$D$2:$D$501,0))="","",INDEX(links!$C$2:$C$501,MATCH($C291,links!$D$2:$D$501,0))),""))</f>
        <v>post</v>
      </c>
      <c r="J291" s="30" t="str">
        <f aca="false">IF($C291="","",IF($G291="","slug not in links; ","")&amp;IF($D291="","reading type missing; ","")&amp;IF(COUNTIFS(scans!$C$2:$C$1601,$C291,scans!$D$2:$D$1601,$D291)&gt;1,"two readings of this type: keep one; ",""))</f>
        <v/>
      </c>
    </row>
    <row r="292" customFormat="false" ht="15" hidden="false" customHeight="false" outlineLevel="0" collapsed="false">
      <c r="A292" s="11" t="n">
        <v>46440</v>
      </c>
      <c r="B292" s="38" t="n">
        <v>0.729166666666667</v>
      </c>
      <c r="C292" s="10" t="s">
        <v>1213</v>
      </c>
      <c r="D292" s="10" t="s">
        <v>1120</v>
      </c>
      <c r="E292" s="0" t="n">
        <v>1</v>
      </c>
      <c r="G292" s="30" t="str">
        <f aca="false">IF($C292="","",IFERROR(IF(INDEX(links!$A$2:$A$501,MATCH($C292,links!$D$2:$D$501,0))="","",INDEX(links!$A$2:$A$501,MATCH($C292,links!$D$2:$D$501,0))),""))</f>
        <v>SAMPLE-CMP-006</v>
      </c>
      <c r="H292" s="30" t="str">
        <f aca="false">IF($C292="","",IFERROR(IF(INDEX(links!$B$2:$B$501,MATCH($C292,links!$D$2:$D$501,0))="","",INDEX(links!$B$2:$B$501,MATCH($C292,links!$D$2:$D$501,0))),""))</f>
        <v>SAMPLE-O-007</v>
      </c>
      <c r="I292" s="30" t="str">
        <f aca="false">IF($C292="","",IFERROR(IF(INDEX(links!$C$2:$C$501,MATCH($C292,links!$D$2:$D$501,0))="","",INDEX(links!$C$2:$C$501,MATCH($C292,links!$D$2:$D$501,0))),""))</f>
        <v>qr</v>
      </c>
      <c r="J292" s="30" t="str">
        <f aca="false">IF($C292="","",IF($G292="","slug not in links; ","")&amp;IF($D292="","reading type missing; ","")&amp;IF(COUNTIFS(scans!$C$2:$C$1601,$C292,scans!$D$2:$D$1601,$D292)&gt;1,"two readings of this type: keep one; ",""))</f>
        <v/>
      </c>
    </row>
    <row r="293" customFormat="false" ht="15" hidden="false" customHeight="false" outlineLevel="0" collapsed="false">
      <c r="A293" s="11" t="n">
        <v>46443</v>
      </c>
      <c r="B293" s="38" t="n">
        <v>0.729166666666667</v>
      </c>
      <c r="C293" s="10" t="s">
        <v>1213</v>
      </c>
      <c r="D293" s="10" t="s">
        <v>1121</v>
      </c>
      <c r="E293" s="0" t="n">
        <v>6</v>
      </c>
      <c r="G293" s="30" t="str">
        <f aca="false">IF($C293="","",IFERROR(IF(INDEX(links!$A$2:$A$501,MATCH($C293,links!$D$2:$D$501,0))="","",INDEX(links!$A$2:$A$501,MATCH($C293,links!$D$2:$D$501,0))),""))</f>
        <v>SAMPLE-CMP-006</v>
      </c>
      <c r="H293" s="30" t="str">
        <f aca="false">IF($C293="","",IFERROR(IF(INDEX(links!$B$2:$B$501,MATCH($C293,links!$D$2:$D$501,0))="","",INDEX(links!$B$2:$B$501,MATCH($C293,links!$D$2:$D$501,0))),""))</f>
        <v>SAMPLE-O-007</v>
      </c>
      <c r="I293" s="30" t="str">
        <f aca="false">IF($C293="","",IFERROR(IF(INDEX(links!$C$2:$C$501,MATCH($C293,links!$D$2:$D$501,0))="","",INDEX(links!$C$2:$C$501,MATCH($C293,links!$D$2:$D$501,0))),""))</f>
        <v>qr</v>
      </c>
      <c r="J293" s="30" t="str">
        <f aca="false">IF($C293="","",IF($G293="","slug not in links; ","")&amp;IF($D293="","reading type missing; ","")&amp;IF(COUNTIFS(scans!$C$2:$C$1601,$C293,scans!$D$2:$D$1601,$D293)&gt;1,"two readings of this type: keep one; ",""))</f>
        <v/>
      </c>
    </row>
    <row r="294" customFormat="false" ht="15" hidden="false" customHeight="false" outlineLevel="0" collapsed="false">
      <c r="A294" s="11" t="n">
        <v>46447</v>
      </c>
      <c r="B294" s="38" t="n">
        <v>0.729166666666667</v>
      </c>
      <c r="C294" s="10" t="s">
        <v>1213</v>
      </c>
      <c r="D294" s="10" t="s">
        <v>1122</v>
      </c>
      <c r="E294" s="0" t="n">
        <v>13</v>
      </c>
      <c r="G294" s="30" t="str">
        <f aca="false">IF($C294="","",IFERROR(IF(INDEX(links!$A$2:$A$501,MATCH($C294,links!$D$2:$D$501,0))="","",INDEX(links!$A$2:$A$501,MATCH($C294,links!$D$2:$D$501,0))),""))</f>
        <v>SAMPLE-CMP-006</v>
      </c>
      <c r="H294" s="30" t="str">
        <f aca="false">IF($C294="","",IFERROR(IF(INDEX(links!$B$2:$B$501,MATCH($C294,links!$D$2:$D$501,0))="","",INDEX(links!$B$2:$B$501,MATCH($C294,links!$D$2:$D$501,0))),""))</f>
        <v>SAMPLE-O-007</v>
      </c>
      <c r="I294" s="30" t="str">
        <f aca="false">IF($C294="","",IFERROR(IF(INDEX(links!$C$2:$C$501,MATCH($C294,links!$D$2:$D$501,0))="","",INDEX(links!$C$2:$C$501,MATCH($C294,links!$D$2:$D$501,0))),""))</f>
        <v>qr</v>
      </c>
      <c r="J294" s="30" t="str">
        <f aca="false">IF($C294="","",IF($G294="","slug not in links; ","")&amp;IF($D294="","reading type missing; ","")&amp;IF(COUNTIFS(scans!$C$2:$C$1601,$C294,scans!$D$2:$D$1601,$D294)&gt;1,"two readings of this type: keep one; ",""))</f>
        <v/>
      </c>
    </row>
    <row r="295" customFormat="false" ht="15" hidden="false" customHeight="false" outlineLevel="0" collapsed="false">
      <c r="A295" s="11" t="n">
        <v>46440</v>
      </c>
      <c r="B295" s="38" t="n">
        <v>0.729166666666667</v>
      </c>
      <c r="C295" s="10" t="s">
        <v>1214</v>
      </c>
      <c r="D295" s="10" t="s">
        <v>1120</v>
      </c>
      <c r="E295" s="0" t="n">
        <v>1</v>
      </c>
      <c r="G295" s="30" t="str">
        <f aca="false">IF($C295="","",IFERROR(IF(INDEX(links!$A$2:$A$501,MATCH($C295,links!$D$2:$D$501,0))="","",INDEX(links!$A$2:$A$501,MATCH($C295,links!$D$2:$D$501,0))),""))</f>
        <v>SAMPLE-CMP-006</v>
      </c>
      <c r="H295" s="30" t="str">
        <f aca="false">IF($C295="","",IFERROR(IF(INDEX(links!$B$2:$B$501,MATCH($C295,links!$D$2:$D$501,0))="","",INDEX(links!$B$2:$B$501,MATCH($C295,links!$D$2:$D$501,0))),""))</f>
        <v>SAMPLE-O-007</v>
      </c>
      <c r="I295" s="30" t="str">
        <f aca="false">IF($C295="","",IFERROR(IF(INDEX(links!$C$2:$C$501,MATCH($C295,links!$D$2:$D$501,0))="","",INDEX(links!$C$2:$C$501,MATCH($C295,links!$D$2:$D$501,0))),""))</f>
        <v>post</v>
      </c>
      <c r="J295" s="30" t="str">
        <f aca="false">IF($C295="","",IF($G295="","slug not in links; ","")&amp;IF($D295="","reading type missing; ","")&amp;IF(COUNTIFS(scans!$C$2:$C$1601,$C295,scans!$D$2:$D$1601,$D295)&gt;1,"two readings of this type: keep one; ",""))</f>
        <v/>
      </c>
    </row>
    <row r="296" customFormat="false" ht="15" hidden="false" customHeight="false" outlineLevel="0" collapsed="false">
      <c r="A296" s="11" t="n">
        <v>46443</v>
      </c>
      <c r="B296" s="38" t="n">
        <v>0.729166666666667</v>
      </c>
      <c r="C296" s="10" t="s">
        <v>1214</v>
      </c>
      <c r="D296" s="10" t="s">
        <v>1121</v>
      </c>
      <c r="E296" s="0" t="n">
        <v>3</v>
      </c>
      <c r="G296" s="30" t="str">
        <f aca="false">IF($C296="","",IFERROR(IF(INDEX(links!$A$2:$A$501,MATCH($C296,links!$D$2:$D$501,0))="","",INDEX(links!$A$2:$A$501,MATCH($C296,links!$D$2:$D$501,0))),""))</f>
        <v>SAMPLE-CMP-006</v>
      </c>
      <c r="H296" s="30" t="str">
        <f aca="false">IF($C296="","",IFERROR(IF(INDEX(links!$B$2:$B$501,MATCH($C296,links!$D$2:$D$501,0))="","",INDEX(links!$B$2:$B$501,MATCH($C296,links!$D$2:$D$501,0))),""))</f>
        <v>SAMPLE-O-007</v>
      </c>
      <c r="I296" s="30" t="str">
        <f aca="false">IF($C296="","",IFERROR(IF(INDEX(links!$C$2:$C$501,MATCH($C296,links!$D$2:$D$501,0))="","",INDEX(links!$C$2:$C$501,MATCH($C296,links!$D$2:$D$501,0))),""))</f>
        <v>post</v>
      </c>
      <c r="J296" s="30" t="str">
        <f aca="false">IF($C296="","",IF($G296="","slug not in links; ","")&amp;IF($D296="","reading type missing; ","")&amp;IF(COUNTIFS(scans!$C$2:$C$1601,$C296,scans!$D$2:$D$1601,$D296)&gt;1,"two readings of this type: keep one; ",""))</f>
        <v/>
      </c>
    </row>
    <row r="297" customFormat="false" ht="15" hidden="false" customHeight="false" outlineLevel="0" collapsed="false">
      <c r="A297" s="11" t="n">
        <v>46447</v>
      </c>
      <c r="B297" s="38" t="n">
        <v>0.729166666666667</v>
      </c>
      <c r="C297" s="10" t="s">
        <v>1214</v>
      </c>
      <c r="D297" s="10" t="s">
        <v>1122</v>
      </c>
      <c r="E297" s="0" t="n">
        <v>6</v>
      </c>
      <c r="G297" s="30" t="str">
        <f aca="false">IF($C297="","",IFERROR(IF(INDEX(links!$A$2:$A$501,MATCH($C297,links!$D$2:$D$501,0))="","",INDEX(links!$A$2:$A$501,MATCH($C297,links!$D$2:$D$501,0))),""))</f>
        <v>SAMPLE-CMP-006</v>
      </c>
      <c r="H297" s="30" t="str">
        <f aca="false">IF($C297="","",IFERROR(IF(INDEX(links!$B$2:$B$501,MATCH($C297,links!$D$2:$D$501,0))="","",INDEX(links!$B$2:$B$501,MATCH($C297,links!$D$2:$D$501,0))),""))</f>
        <v>SAMPLE-O-007</v>
      </c>
      <c r="I297" s="30" t="str">
        <f aca="false">IF($C297="","",IFERROR(IF(INDEX(links!$C$2:$C$501,MATCH($C297,links!$D$2:$D$501,0))="","",INDEX(links!$C$2:$C$501,MATCH($C297,links!$D$2:$D$501,0))),""))</f>
        <v>post</v>
      </c>
      <c r="J297" s="30" t="str">
        <f aca="false">IF($C297="","",IF($G297="","slug not in links; ","")&amp;IF($D297="","reading type missing; ","")&amp;IF(COUNTIFS(scans!$C$2:$C$1601,$C297,scans!$D$2:$D$1601,$D297)&gt;1,"two readings of this type: keep one; ",""))</f>
        <v/>
      </c>
    </row>
    <row r="298" customFormat="false" ht="15" hidden="false" customHeight="false" outlineLevel="0" collapsed="false">
      <c r="A298" s="11" t="n">
        <v>46440</v>
      </c>
      <c r="B298" s="38" t="n">
        <v>0.729166666666667</v>
      </c>
      <c r="C298" s="10" t="s">
        <v>1215</v>
      </c>
      <c r="D298" s="10" t="s">
        <v>1120</v>
      </c>
      <c r="E298" s="0" t="n">
        <v>1</v>
      </c>
      <c r="G298" s="30" t="str">
        <f aca="false">IF($C298="","",IFERROR(IF(INDEX(links!$A$2:$A$501,MATCH($C298,links!$D$2:$D$501,0))="","",INDEX(links!$A$2:$A$501,MATCH($C298,links!$D$2:$D$501,0))),""))</f>
        <v>SAMPLE-CMP-006</v>
      </c>
      <c r="H298" s="30" t="str">
        <f aca="false">IF($C298="","",IFERROR(IF(INDEX(links!$B$2:$B$501,MATCH($C298,links!$D$2:$D$501,0))="","",INDEX(links!$B$2:$B$501,MATCH($C298,links!$D$2:$D$501,0))),""))</f>
        <v>SAMPLE-O-008</v>
      </c>
      <c r="I298" s="30" t="str">
        <f aca="false">IF($C298="","",IFERROR(IF(INDEX(links!$C$2:$C$501,MATCH($C298,links!$D$2:$D$501,0))="","",INDEX(links!$C$2:$C$501,MATCH($C298,links!$D$2:$D$501,0))),""))</f>
        <v>qr</v>
      </c>
      <c r="J298" s="30" t="str">
        <f aca="false">IF($C298="","",IF($G298="","slug not in links; ","")&amp;IF($D298="","reading type missing; ","")&amp;IF(COUNTIFS(scans!$C$2:$C$1601,$C298,scans!$D$2:$D$1601,$D298)&gt;1,"two readings of this type: keep one; ",""))</f>
        <v/>
      </c>
    </row>
    <row r="299" customFormat="false" ht="15" hidden="false" customHeight="false" outlineLevel="0" collapsed="false">
      <c r="A299" s="11" t="n">
        <v>46443</v>
      </c>
      <c r="B299" s="38" t="n">
        <v>0.729166666666667</v>
      </c>
      <c r="C299" s="10" t="s">
        <v>1215</v>
      </c>
      <c r="D299" s="10" t="s">
        <v>1121</v>
      </c>
      <c r="E299" s="0" t="n">
        <v>2</v>
      </c>
      <c r="G299" s="30" t="str">
        <f aca="false">IF($C299="","",IFERROR(IF(INDEX(links!$A$2:$A$501,MATCH($C299,links!$D$2:$D$501,0))="","",INDEX(links!$A$2:$A$501,MATCH($C299,links!$D$2:$D$501,0))),""))</f>
        <v>SAMPLE-CMP-006</v>
      </c>
      <c r="H299" s="30" t="str">
        <f aca="false">IF($C299="","",IFERROR(IF(INDEX(links!$B$2:$B$501,MATCH($C299,links!$D$2:$D$501,0))="","",INDEX(links!$B$2:$B$501,MATCH($C299,links!$D$2:$D$501,0))),""))</f>
        <v>SAMPLE-O-008</v>
      </c>
      <c r="I299" s="30" t="str">
        <f aca="false">IF($C299="","",IFERROR(IF(INDEX(links!$C$2:$C$501,MATCH($C299,links!$D$2:$D$501,0))="","",INDEX(links!$C$2:$C$501,MATCH($C299,links!$D$2:$D$501,0))),""))</f>
        <v>qr</v>
      </c>
      <c r="J299" s="30" t="str">
        <f aca="false">IF($C299="","",IF($G299="","slug not in links; ","")&amp;IF($D299="","reading type missing; ","")&amp;IF(COUNTIFS(scans!$C$2:$C$1601,$C299,scans!$D$2:$D$1601,$D299)&gt;1,"two readings of this type: keep one; ",""))</f>
        <v/>
      </c>
    </row>
    <row r="300" customFormat="false" ht="15" hidden="false" customHeight="false" outlineLevel="0" collapsed="false">
      <c r="A300" s="11" t="n">
        <v>46447</v>
      </c>
      <c r="B300" s="38" t="n">
        <v>0.729166666666667</v>
      </c>
      <c r="C300" s="10" t="s">
        <v>1215</v>
      </c>
      <c r="D300" s="10" t="s">
        <v>1122</v>
      </c>
      <c r="E300" s="0" t="n">
        <v>5</v>
      </c>
      <c r="G300" s="30" t="str">
        <f aca="false">IF($C300="","",IFERROR(IF(INDEX(links!$A$2:$A$501,MATCH($C300,links!$D$2:$D$501,0))="","",INDEX(links!$A$2:$A$501,MATCH($C300,links!$D$2:$D$501,0))),""))</f>
        <v>SAMPLE-CMP-006</v>
      </c>
      <c r="H300" s="30" t="str">
        <f aca="false">IF($C300="","",IFERROR(IF(INDEX(links!$B$2:$B$501,MATCH($C300,links!$D$2:$D$501,0))="","",INDEX(links!$B$2:$B$501,MATCH($C300,links!$D$2:$D$501,0))),""))</f>
        <v>SAMPLE-O-008</v>
      </c>
      <c r="I300" s="30" t="str">
        <f aca="false">IF($C300="","",IFERROR(IF(INDEX(links!$C$2:$C$501,MATCH($C300,links!$D$2:$D$501,0))="","",INDEX(links!$C$2:$C$501,MATCH($C300,links!$D$2:$D$501,0))),""))</f>
        <v>qr</v>
      </c>
      <c r="J300" s="30" t="str">
        <f aca="false">IF($C300="","",IF($G300="","slug not in links; ","")&amp;IF($D300="","reading type missing; ","")&amp;IF(COUNTIFS(scans!$C$2:$C$1601,$C300,scans!$D$2:$D$1601,$D300)&gt;1,"two readings of this type: keep one; ",""))</f>
        <v/>
      </c>
    </row>
    <row r="301" customFormat="false" ht="15" hidden="false" customHeight="false" outlineLevel="0" collapsed="false">
      <c r="A301" s="11" t="n">
        <v>46440</v>
      </c>
      <c r="B301" s="38" t="n">
        <v>0.729166666666667</v>
      </c>
      <c r="C301" s="10" t="s">
        <v>1216</v>
      </c>
      <c r="D301" s="10" t="s">
        <v>1120</v>
      </c>
      <c r="E301" s="0" t="n">
        <v>1</v>
      </c>
      <c r="G301" s="30" t="str">
        <f aca="false">IF($C301="","",IFERROR(IF(INDEX(links!$A$2:$A$501,MATCH($C301,links!$D$2:$D$501,0))="","",INDEX(links!$A$2:$A$501,MATCH($C301,links!$D$2:$D$501,0))),""))</f>
        <v>SAMPLE-CMP-006</v>
      </c>
      <c r="H301" s="30" t="str">
        <f aca="false">IF($C301="","",IFERROR(IF(INDEX(links!$B$2:$B$501,MATCH($C301,links!$D$2:$D$501,0))="","",INDEX(links!$B$2:$B$501,MATCH($C301,links!$D$2:$D$501,0))),""))</f>
        <v>SAMPLE-O-008</v>
      </c>
      <c r="I301" s="30" t="str">
        <f aca="false">IF($C301="","",IFERROR(IF(INDEX(links!$C$2:$C$501,MATCH($C301,links!$D$2:$D$501,0))="","",INDEX(links!$C$2:$C$501,MATCH($C301,links!$D$2:$D$501,0))),""))</f>
        <v>post</v>
      </c>
      <c r="J301" s="30" t="str">
        <f aca="false">IF($C301="","",IF($G301="","slug not in links; ","")&amp;IF($D301="","reading type missing; ","")&amp;IF(COUNTIFS(scans!$C$2:$C$1601,$C301,scans!$D$2:$D$1601,$D301)&gt;1,"two readings of this type: keep one; ",""))</f>
        <v/>
      </c>
    </row>
    <row r="302" customFormat="false" ht="15" hidden="false" customHeight="false" outlineLevel="0" collapsed="false">
      <c r="A302" s="11" t="n">
        <v>46443</v>
      </c>
      <c r="B302" s="38" t="n">
        <v>0.729166666666667</v>
      </c>
      <c r="C302" s="10" t="s">
        <v>1216</v>
      </c>
      <c r="D302" s="10" t="s">
        <v>1121</v>
      </c>
      <c r="E302" s="0" t="n">
        <v>4</v>
      </c>
      <c r="G302" s="30" t="str">
        <f aca="false">IF($C302="","",IFERROR(IF(INDEX(links!$A$2:$A$501,MATCH($C302,links!$D$2:$D$501,0))="","",INDEX(links!$A$2:$A$501,MATCH($C302,links!$D$2:$D$501,0))),""))</f>
        <v>SAMPLE-CMP-006</v>
      </c>
      <c r="H302" s="30" t="str">
        <f aca="false">IF($C302="","",IFERROR(IF(INDEX(links!$B$2:$B$501,MATCH($C302,links!$D$2:$D$501,0))="","",INDEX(links!$B$2:$B$501,MATCH($C302,links!$D$2:$D$501,0))),""))</f>
        <v>SAMPLE-O-008</v>
      </c>
      <c r="I302" s="30" t="str">
        <f aca="false">IF($C302="","",IFERROR(IF(INDEX(links!$C$2:$C$501,MATCH($C302,links!$D$2:$D$501,0))="","",INDEX(links!$C$2:$C$501,MATCH($C302,links!$D$2:$D$501,0))),""))</f>
        <v>post</v>
      </c>
      <c r="J302" s="30" t="str">
        <f aca="false">IF($C302="","",IF($G302="","slug not in links; ","")&amp;IF($D302="","reading type missing; ","")&amp;IF(COUNTIFS(scans!$C$2:$C$1601,$C302,scans!$D$2:$D$1601,$D302)&gt;1,"two readings of this type: keep one; ",""))</f>
        <v/>
      </c>
    </row>
    <row r="303" customFormat="false" ht="15" hidden="false" customHeight="false" outlineLevel="0" collapsed="false">
      <c r="A303" s="11" t="n">
        <v>46447</v>
      </c>
      <c r="B303" s="38" t="n">
        <v>0.729166666666667</v>
      </c>
      <c r="C303" s="10" t="s">
        <v>1216</v>
      </c>
      <c r="D303" s="10" t="s">
        <v>1122</v>
      </c>
      <c r="E303" s="0" t="n">
        <v>8</v>
      </c>
      <c r="G303" s="30" t="str">
        <f aca="false">IF($C303="","",IFERROR(IF(INDEX(links!$A$2:$A$501,MATCH($C303,links!$D$2:$D$501,0))="","",INDEX(links!$A$2:$A$501,MATCH($C303,links!$D$2:$D$501,0))),""))</f>
        <v>SAMPLE-CMP-006</v>
      </c>
      <c r="H303" s="30" t="str">
        <f aca="false">IF($C303="","",IFERROR(IF(INDEX(links!$B$2:$B$501,MATCH($C303,links!$D$2:$D$501,0))="","",INDEX(links!$B$2:$B$501,MATCH($C303,links!$D$2:$D$501,0))),""))</f>
        <v>SAMPLE-O-008</v>
      </c>
      <c r="I303" s="30" t="str">
        <f aca="false">IF($C303="","",IFERROR(IF(INDEX(links!$C$2:$C$501,MATCH($C303,links!$D$2:$D$501,0))="","",INDEX(links!$C$2:$C$501,MATCH($C303,links!$D$2:$D$501,0))),""))</f>
        <v>post</v>
      </c>
      <c r="J303" s="30" t="str">
        <f aca="false">IF($C303="","",IF($G303="","slug not in links; ","")&amp;IF($D303="","reading type missing; ","")&amp;IF(COUNTIFS(scans!$C$2:$C$1601,$C303,scans!$D$2:$D$1601,$D303)&gt;1,"two readings of this type: keep one; ",""))</f>
        <v/>
      </c>
    </row>
    <row r="304" customFormat="false" ht="15" hidden="false" customHeight="false" outlineLevel="0" collapsed="false">
      <c r="A304" s="11" t="n">
        <v>46440</v>
      </c>
      <c r="B304" s="38" t="n">
        <v>0.729166666666667</v>
      </c>
      <c r="C304" s="10" t="s">
        <v>1217</v>
      </c>
      <c r="D304" s="10" t="s">
        <v>1120</v>
      </c>
      <c r="E304" s="0" t="n">
        <v>1</v>
      </c>
      <c r="G304" s="30" t="str">
        <f aca="false">IF($C304="","",IFERROR(IF(INDEX(links!$A$2:$A$501,MATCH($C304,links!$D$2:$D$501,0))="","",INDEX(links!$A$2:$A$501,MATCH($C304,links!$D$2:$D$501,0))),""))</f>
        <v>SAMPLE-CMP-006</v>
      </c>
      <c r="H304" s="30" t="str">
        <f aca="false">IF($C304="","",IFERROR(IF(INDEX(links!$B$2:$B$501,MATCH($C304,links!$D$2:$D$501,0))="","",INDEX(links!$B$2:$B$501,MATCH($C304,links!$D$2:$D$501,0))),""))</f>
        <v>SAMPLE-O-009</v>
      </c>
      <c r="I304" s="30" t="str">
        <f aca="false">IF($C304="","",IFERROR(IF(INDEX(links!$C$2:$C$501,MATCH($C304,links!$D$2:$D$501,0))="","",INDEX(links!$C$2:$C$501,MATCH($C304,links!$D$2:$D$501,0))),""))</f>
        <v>qr</v>
      </c>
      <c r="J304" s="30" t="str">
        <f aca="false">IF($C304="","",IF($G304="","slug not in links; ","")&amp;IF($D304="","reading type missing; ","")&amp;IF(COUNTIFS(scans!$C$2:$C$1601,$C304,scans!$D$2:$D$1601,$D304)&gt;1,"two readings of this type: keep one; ",""))</f>
        <v/>
      </c>
    </row>
    <row r="305" customFormat="false" ht="15" hidden="false" customHeight="false" outlineLevel="0" collapsed="false">
      <c r="A305" s="11" t="n">
        <v>46443</v>
      </c>
      <c r="B305" s="38" t="n">
        <v>0.729166666666667</v>
      </c>
      <c r="C305" s="10" t="s">
        <v>1217</v>
      </c>
      <c r="D305" s="10" t="s">
        <v>1121</v>
      </c>
      <c r="E305" s="0" t="n">
        <v>3</v>
      </c>
      <c r="G305" s="30" t="str">
        <f aca="false">IF($C305="","",IFERROR(IF(INDEX(links!$A$2:$A$501,MATCH($C305,links!$D$2:$D$501,0))="","",INDEX(links!$A$2:$A$501,MATCH($C305,links!$D$2:$D$501,0))),""))</f>
        <v>SAMPLE-CMP-006</v>
      </c>
      <c r="H305" s="30" t="str">
        <f aca="false">IF($C305="","",IFERROR(IF(INDEX(links!$B$2:$B$501,MATCH($C305,links!$D$2:$D$501,0))="","",INDEX(links!$B$2:$B$501,MATCH($C305,links!$D$2:$D$501,0))),""))</f>
        <v>SAMPLE-O-009</v>
      </c>
      <c r="I305" s="30" t="str">
        <f aca="false">IF($C305="","",IFERROR(IF(INDEX(links!$C$2:$C$501,MATCH($C305,links!$D$2:$D$501,0))="","",INDEX(links!$C$2:$C$501,MATCH($C305,links!$D$2:$D$501,0))),""))</f>
        <v>qr</v>
      </c>
      <c r="J305" s="30" t="str">
        <f aca="false">IF($C305="","",IF($G305="","slug not in links; ","")&amp;IF($D305="","reading type missing; ","")&amp;IF(COUNTIFS(scans!$C$2:$C$1601,$C305,scans!$D$2:$D$1601,$D305)&gt;1,"two readings of this type: keep one; ",""))</f>
        <v/>
      </c>
    </row>
    <row r="306" customFormat="false" ht="15" hidden="false" customHeight="false" outlineLevel="0" collapsed="false">
      <c r="A306" s="11" t="n">
        <v>46447</v>
      </c>
      <c r="B306" s="38" t="n">
        <v>0.729166666666667</v>
      </c>
      <c r="C306" s="10" t="s">
        <v>1217</v>
      </c>
      <c r="D306" s="10" t="s">
        <v>1122</v>
      </c>
      <c r="E306" s="0" t="n">
        <v>7</v>
      </c>
      <c r="G306" s="30" t="str">
        <f aca="false">IF($C306="","",IFERROR(IF(INDEX(links!$A$2:$A$501,MATCH($C306,links!$D$2:$D$501,0))="","",INDEX(links!$A$2:$A$501,MATCH($C306,links!$D$2:$D$501,0))),""))</f>
        <v>SAMPLE-CMP-006</v>
      </c>
      <c r="H306" s="30" t="str">
        <f aca="false">IF($C306="","",IFERROR(IF(INDEX(links!$B$2:$B$501,MATCH($C306,links!$D$2:$D$501,0))="","",INDEX(links!$B$2:$B$501,MATCH($C306,links!$D$2:$D$501,0))),""))</f>
        <v>SAMPLE-O-009</v>
      </c>
      <c r="I306" s="30" t="str">
        <f aca="false">IF($C306="","",IFERROR(IF(INDEX(links!$C$2:$C$501,MATCH($C306,links!$D$2:$D$501,0))="","",INDEX(links!$C$2:$C$501,MATCH($C306,links!$D$2:$D$501,0))),""))</f>
        <v>qr</v>
      </c>
      <c r="J306" s="30" t="str">
        <f aca="false">IF($C306="","",IF($G306="","slug not in links; ","")&amp;IF($D306="","reading type missing; ","")&amp;IF(COUNTIFS(scans!$C$2:$C$1601,$C306,scans!$D$2:$D$1601,$D306)&gt;1,"two readings of this type: keep one; ",""))</f>
        <v/>
      </c>
    </row>
    <row r="307" customFormat="false" ht="15" hidden="false" customHeight="false" outlineLevel="0" collapsed="false">
      <c r="A307" s="11" t="n">
        <v>46440</v>
      </c>
      <c r="B307" s="38" t="n">
        <v>0.729166666666667</v>
      </c>
      <c r="C307" s="10" t="s">
        <v>1218</v>
      </c>
      <c r="D307" s="10" t="s">
        <v>1120</v>
      </c>
      <c r="E307" s="0" t="n">
        <v>1</v>
      </c>
      <c r="G307" s="30" t="str">
        <f aca="false">IF($C307="","",IFERROR(IF(INDEX(links!$A$2:$A$501,MATCH($C307,links!$D$2:$D$501,0))="","",INDEX(links!$A$2:$A$501,MATCH($C307,links!$D$2:$D$501,0))),""))</f>
        <v>SAMPLE-CMP-006</v>
      </c>
      <c r="H307" s="30" t="str">
        <f aca="false">IF($C307="","",IFERROR(IF(INDEX(links!$B$2:$B$501,MATCH($C307,links!$D$2:$D$501,0))="","",INDEX(links!$B$2:$B$501,MATCH($C307,links!$D$2:$D$501,0))),""))</f>
        <v>SAMPLE-O-009</v>
      </c>
      <c r="I307" s="30" t="str">
        <f aca="false">IF($C307="","",IFERROR(IF(INDEX(links!$C$2:$C$501,MATCH($C307,links!$D$2:$D$501,0))="","",INDEX(links!$C$2:$C$501,MATCH($C307,links!$D$2:$D$501,0))),""))</f>
        <v>post</v>
      </c>
      <c r="J307" s="30" t="str">
        <f aca="false">IF($C307="","",IF($G307="","slug not in links; ","")&amp;IF($D307="","reading type missing; ","")&amp;IF(COUNTIFS(scans!$C$2:$C$1601,$C307,scans!$D$2:$D$1601,$D307)&gt;1,"two readings of this type: keep one; ",""))</f>
        <v/>
      </c>
    </row>
    <row r="308" customFormat="false" ht="15" hidden="false" customHeight="false" outlineLevel="0" collapsed="false">
      <c r="A308" s="11" t="n">
        <v>46443</v>
      </c>
      <c r="B308" s="38" t="n">
        <v>0.729166666666667</v>
      </c>
      <c r="C308" s="10" t="s">
        <v>1218</v>
      </c>
      <c r="D308" s="10" t="s">
        <v>1121</v>
      </c>
      <c r="E308" s="0" t="n">
        <v>5</v>
      </c>
      <c r="G308" s="30" t="str">
        <f aca="false">IF($C308="","",IFERROR(IF(INDEX(links!$A$2:$A$501,MATCH($C308,links!$D$2:$D$501,0))="","",INDEX(links!$A$2:$A$501,MATCH($C308,links!$D$2:$D$501,0))),""))</f>
        <v>SAMPLE-CMP-006</v>
      </c>
      <c r="H308" s="30" t="str">
        <f aca="false">IF($C308="","",IFERROR(IF(INDEX(links!$B$2:$B$501,MATCH($C308,links!$D$2:$D$501,0))="","",INDEX(links!$B$2:$B$501,MATCH($C308,links!$D$2:$D$501,0))),""))</f>
        <v>SAMPLE-O-009</v>
      </c>
      <c r="I308" s="30" t="str">
        <f aca="false">IF($C308="","",IFERROR(IF(INDEX(links!$C$2:$C$501,MATCH($C308,links!$D$2:$D$501,0))="","",INDEX(links!$C$2:$C$501,MATCH($C308,links!$D$2:$D$501,0))),""))</f>
        <v>post</v>
      </c>
      <c r="J308" s="30" t="str">
        <f aca="false">IF($C308="","",IF($G308="","slug not in links; ","")&amp;IF($D308="","reading type missing; ","")&amp;IF(COUNTIFS(scans!$C$2:$C$1601,$C308,scans!$D$2:$D$1601,$D308)&gt;1,"two readings of this type: keep one; ",""))</f>
        <v/>
      </c>
    </row>
    <row r="309" customFormat="false" ht="15" hidden="false" customHeight="false" outlineLevel="0" collapsed="false">
      <c r="A309" s="11" t="n">
        <v>46447</v>
      </c>
      <c r="B309" s="38" t="n">
        <v>0.729166666666667</v>
      </c>
      <c r="C309" s="10" t="s">
        <v>1218</v>
      </c>
      <c r="D309" s="10" t="s">
        <v>1122</v>
      </c>
      <c r="E309" s="0" t="n">
        <v>10</v>
      </c>
      <c r="G309" s="30" t="str">
        <f aca="false">IF($C309="","",IFERROR(IF(INDEX(links!$A$2:$A$501,MATCH($C309,links!$D$2:$D$501,0))="","",INDEX(links!$A$2:$A$501,MATCH($C309,links!$D$2:$D$501,0))),""))</f>
        <v>SAMPLE-CMP-006</v>
      </c>
      <c r="H309" s="30" t="str">
        <f aca="false">IF($C309="","",IFERROR(IF(INDEX(links!$B$2:$B$501,MATCH($C309,links!$D$2:$D$501,0))="","",INDEX(links!$B$2:$B$501,MATCH($C309,links!$D$2:$D$501,0))),""))</f>
        <v>SAMPLE-O-009</v>
      </c>
      <c r="I309" s="30" t="str">
        <f aca="false">IF($C309="","",IFERROR(IF(INDEX(links!$C$2:$C$501,MATCH($C309,links!$D$2:$D$501,0))="","",INDEX(links!$C$2:$C$501,MATCH($C309,links!$D$2:$D$501,0))),""))</f>
        <v>post</v>
      </c>
      <c r="J309" s="30" t="str">
        <f aca="false">IF($C309="","",IF($G309="","slug not in links; ","")&amp;IF($D309="","reading type missing; ","")&amp;IF(COUNTIFS(scans!$C$2:$C$1601,$C309,scans!$D$2:$D$1601,$D309)&gt;1,"two readings of this type: keep one; ",""))</f>
        <v/>
      </c>
    </row>
    <row r="310" customFormat="false" ht="15" hidden="false" customHeight="false" outlineLevel="0" collapsed="false">
      <c r="A310" s="11" t="n">
        <v>46440</v>
      </c>
      <c r="B310" s="38" t="n">
        <v>0.729166666666667</v>
      </c>
      <c r="C310" s="10" t="s">
        <v>1219</v>
      </c>
      <c r="D310" s="10" t="s">
        <v>1120</v>
      </c>
      <c r="E310" s="0" t="n">
        <v>1</v>
      </c>
      <c r="G310" s="30" t="str">
        <f aca="false">IF($C310="","",IFERROR(IF(INDEX(links!$A$2:$A$501,MATCH($C310,links!$D$2:$D$501,0))="","",INDEX(links!$A$2:$A$501,MATCH($C310,links!$D$2:$D$501,0))),""))</f>
        <v>SAMPLE-CMP-006</v>
      </c>
      <c r="H310" s="30" t="str">
        <f aca="false">IF($C310="","",IFERROR(IF(INDEX(links!$B$2:$B$501,MATCH($C310,links!$D$2:$D$501,0))="","",INDEX(links!$B$2:$B$501,MATCH($C310,links!$D$2:$D$501,0))),""))</f>
        <v>SAMPLE-O-010</v>
      </c>
      <c r="I310" s="30" t="str">
        <f aca="false">IF($C310="","",IFERROR(IF(INDEX(links!$C$2:$C$501,MATCH($C310,links!$D$2:$D$501,0))="","",INDEX(links!$C$2:$C$501,MATCH($C310,links!$D$2:$D$501,0))),""))</f>
        <v>qr</v>
      </c>
      <c r="J310" s="30" t="str">
        <f aca="false">IF($C310="","",IF($G310="","slug not in links; ","")&amp;IF($D310="","reading type missing; ","")&amp;IF(COUNTIFS(scans!$C$2:$C$1601,$C310,scans!$D$2:$D$1601,$D310)&gt;1,"two readings of this type: keep one; ",""))</f>
        <v/>
      </c>
    </row>
    <row r="311" customFormat="false" ht="15" hidden="false" customHeight="false" outlineLevel="0" collapsed="false">
      <c r="A311" s="11" t="n">
        <v>46443</v>
      </c>
      <c r="B311" s="38" t="n">
        <v>0.729166666666667</v>
      </c>
      <c r="C311" s="10" t="s">
        <v>1219</v>
      </c>
      <c r="D311" s="10" t="s">
        <v>1121</v>
      </c>
      <c r="E311" s="0" t="n">
        <v>5</v>
      </c>
      <c r="G311" s="30" t="str">
        <f aca="false">IF($C311="","",IFERROR(IF(INDEX(links!$A$2:$A$501,MATCH($C311,links!$D$2:$D$501,0))="","",INDEX(links!$A$2:$A$501,MATCH($C311,links!$D$2:$D$501,0))),""))</f>
        <v>SAMPLE-CMP-006</v>
      </c>
      <c r="H311" s="30" t="str">
        <f aca="false">IF($C311="","",IFERROR(IF(INDEX(links!$B$2:$B$501,MATCH($C311,links!$D$2:$D$501,0))="","",INDEX(links!$B$2:$B$501,MATCH($C311,links!$D$2:$D$501,0))),""))</f>
        <v>SAMPLE-O-010</v>
      </c>
      <c r="I311" s="30" t="str">
        <f aca="false">IF($C311="","",IFERROR(IF(INDEX(links!$C$2:$C$501,MATCH($C311,links!$D$2:$D$501,0))="","",INDEX(links!$C$2:$C$501,MATCH($C311,links!$D$2:$D$501,0))),""))</f>
        <v>qr</v>
      </c>
      <c r="J311" s="30" t="str">
        <f aca="false">IF($C311="","",IF($G311="","slug not in links; ","")&amp;IF($D311="","reading type missing; ","")&amp;IF(COUNTIFS(scans!$C$2:$C$1601,$C311,scans!$D$2:$D$1601,$D311)&gt;1,"two readings of this type: keep one; ",""))</f>
        <v/>
      </c>
    </row>
    <row r="312" customFormat="false" ht="15" hidden="false" customHeight="false" outlineLevel="0" collapsed="false">
      <c r="A312" s="11" t="n">
        <v>46447</v>
      </c>
      <c r="B312" s="38" t="n">
        <v>0.729166666666667</v>
      </c>
      <c r="C312" s="10" t="s">
        <v>1219</v>
      </c>
      <c r="D312" s="10" t="s">
        <v>1122</v>
      </c>
      <c r="E312" s="0" t="n">
        <v>10</v>
      </c>
      <c r="G312" s="30" t="str">
        <f aca="false">IF($C312="","",IFERROR(IF(INDEX(links!$A$2:$A$501,MATCH($C312,links!$D$2:$D$501,0))="","",INDEX(links!$A$2:$A$501,MATCH($C312,links!$D$2:$D$501,0))),""))</f>
        <v>SAMPLE-CMP-006</v>
      </c>
      <c r="H312" s="30" t="str">
        <f aca="false">IF($C312="","",IFERROR(IF(INDEX(links!$B$2:$B$501,MATCH($C312,links!$D$2:$D$501,0))="","",INDEX(links!$B$2:$B$501,MATCH($C312,links!$D$2:$D$501,0))),""))</f>
        <v>SAMPLE-O-010</v>
      </c>
      <c r="I312" s="30" t="str">
        <f aca="false">IF($C312="","",IFERROR(IF(INDEX(links!$C$2:$C$501,MATCH($C312,links!$D$2:$D$501,0))="","",INDEX(links!$C$2:$C$501,MATCH($C312,links!$D$2:$D$501,0))),""))</f>
        <v>qr</v>
      </c>
      <c r="J312" s="30" t="str">
        <f aca="false">IF($C312="","",IF($G312="","slug not in links; ","")&amp;IF($D312="","reading type missing; ","")&amp;IF(COUNTIFS(scans!$C$2:$C$1601,$C312,scans!$D$2:$D$1601,$D312)&gt;1,"two readings of this type: keep one; ",""))</f>
        <v/>
      </c>
    </row>
    <row r="313" customFormat="false" ht="15" hidden="false" customHeight="false" outlineLevel="0" collapsed="false">
      <c r="A313" s="11" t="n">
        <v>46440</v>
      </c>
      <c r="B313" s="38" t="n">
        <v>0.729166666666667</v>
      </c>
      <c r="C313" s="10" t="s">
        <v>1220</v>
      </c>
      <c r="D313" s="10" t="s">
        <v>1120</v>
      </c>
      <c r="E313" s="0" t="n">
        <v>1</v>
      </c>
      <c r="G313" s="30" t="str">
        <f aca="false">IF($C313="","",IFERROR(IF(INDEX(links!$A$2:$A$501,MATCH($C313,links!$D$2:$D$501,0))="","",INDEX(links!$A$2:$A$501,MATCH($C313,links!$D$2:$D$501,0))),""))</f>
        <v>SAMPLE-CMP-006</v>
      </c>
      <c r="H313" s="30" t="str">
        <f aca="false">IF($C313="","",IFERROR(IF(INDEX(links!$B$2:$B$501,MATCH($C313,links!$D$2:$D$501,0))="","",INDEX(links!$B$2:$B$501,MATCH($C313,links!$D$2:$D$501,0))),""))</f>
        <v>SAMPLE-O-010</v>
      </c>
      <c r="I313" s="30" t="str">
        <f aca="false">IF($C313="","",IFERROR(IF(INDEX(links!$C$2:$C$501,MATCH($C313,links!$D$2:$D$501,0))="","",INDEX(links!$C$2:$C$501,MATCH($C313,links!$D$2:$D$501,0))),""))</f>
        <v>post</v>
      </c>
      <c r="J313" s="30" t="str">
        <f aca="false">IF($C313="","",IF($G313="","slug not in links; ","")&amp;IF($D313="","reading type missing; ","")&amp;IF(COUNTIFS(scans!$C$2:$C$1601,$C313,scans!$D$2:$D$1601,$D313)&gt;1,"two readings of this type: keep one; ",""))</f>
        <v/>
      </c>
    </row>
    <row r="314" customFormat="false" ht="15" hidden="false" customHeight="false" outlineLevel="0" collapsed="false">
      <c r="A314" s="11" t="n">
        <v>46443</v>
      </c>
      <c r="B314" s="38" t="n">
        <v>0.729166666666667</v>
      </c>
      <c r="C314" s="10" t="s">
        <v>1220</v>
      </c>
      <c r="D314" s="10" t="s">
        <v>1121</v>
      </c>
      <c r="E314" s="0" t="n">
        <v>6</v>
      </c>
      <c r="G314" s="30" t="str">
        <f aca="false">IF($C314="","",IFERROR(IF(INDEX(links!$A$2:$A$501,MATCH($C314,links!$D$2:$D$501,0))="","",INDEX(links!$A$2:$A$501,MATCH($C314,links!$D$2:$D$501,0))),""))</f>
        <v>SAMPLE-CMP-006</v>
      </c>
      <c r="H314" s="30" t="str">
        <f aca="false">IF($C314="","",IFERROR(IF(INDEX(links!$B$2:$B$501,MATCH($C314,links!$D$2:$D$501,0))="","",INDEX(links!$B$2:$B$501,MATCH($C314,links!$D$2:$D$501,0))),""))</f>
        <v>SAMPLE-O-010</v>
      </c>
      <c r="I314" s="30" t="str">
        <f aca="false">IF($C314="","",IFERROR(IF(INDEX(links!$C$2:$C$501,MATCH($C314,links!$D$2:$D$501,0))="","",INDEX(links!$C$2:$C$501,MATCH($C314,links!$D$2:$D$501,0))),""))</f>
        <v>post</v>
      </c>
      <c r="J314" s="30" t="str">
        <f aca="false">IF($C314="","",IF($G314="","slug not in links; ","")&amp;IF($D314="","reading type missing; ","")&amp;IF(COUNTIFS(scans!$C$2:$C$1601,$C314,scans!$D$2:$D$1601,$D314)&gt;1,"two readings of this type: keep one; ",""))</f>
        <v/>
      </c>
    </row>
    <row r="315" customFormat="false" ht="15" hidden="false" customHeight="false" outlineLevel="0" collapsed="false">
      <c r="A315" s="11" t="n">
        <v>46447</v>
      </c>
      <c r="B315" s="38" t="n">
        <v>0.729166666666667</v>
      </c>
      <c r="C315" s="10" t="s">
        <v>1220</v>
      </c>
      <c r="D315" s="10" t="s">
        <v>1122</v>
      </c>
      <c r="E315" s="0" t="n">
        <v>13</v>
      </c>
      <c r="G315" s="30" t="str">
        <f aca="false">IF($C315="","",IFERROR(IF(INDEX(links!$A$2:$A$501,MATCH($C315,links!$D$2:$D$501,0))="","",INDEX(links!$A$2:$A$501,MATCH($C315,links!$D$2:$D$501,0))),""))</f>
        <v>SAMPLE-CMP-006</v>
      </c>
      <c r="H315" s="30" t="str">
        <f aca="false">IF($C315="","",IFERROR(IF(INDEX(links!$B$2:$B$501,MATCH($C315,links!$D$2:$D$501,0))="","",INDEX(links!$B$2:$B$501,MATCH($C315,links!$D$2:$D$501,0))),""))</f>
        <v>SAMPLE-O-010</v>
      </c>
      <c r="I315" s="30" t="str">
        <f aca="false">IF($C315="","",IFERROR(IF(INDEX(links!$C$2:$C$501,MATCH($C315,links!$D$2:$D$501,0))="","",INDEX(links!$C$2:$C$501,MATCH($C315,links!$D$2:$D$501,0))),""))</f>
        <v>post</v>
      </c>
      <c r="J315" s="30" t="str">
        <f aca="false">IF($C315="","",IF($G315="","slug not in links; ","")&amp;IF($D315="","reading type missing; ","")&amp;IF(COUNTIFS(scans!$C$2:$C$1601,$C315,scans!$D$2:$D$1601,$D315)&gt;1,"two readings of this type: keep one; ",""))</f>
        <v/>
      </c>
    </row>
    <row r="316" customFormat="false" ht="15" hidden="false" customHeight="false" outlineLevel="0" collapsed="false">
      <c r="A316" s="11" t="n">
        <v>46468</v>
      </c>
      <c r="B316" s="38" t="n">
        <v>0.729166666666667</v>
      </c>
      <c r="C316" s="10" t="s">
        <v>1221</v>
      </c>
      <c r="D316" s="10" t="s">
        <v>1120</v>
      </c>
      <c r="E316" s="0" t="n">
        <v>1</v>
      </c>
      <c r="G316" s="30" t="str">
        <f aca="false">IF($C316="","",IFERROR(IF(INDEX(links!$A$2:$A$501,MATCH($C316,links!$D$2:$D$501,0))="","",INDEX(links!$A$2:$A$501,MATCH($C316,links!$D$2:$D$501,0))),""))</f>
        <v>SAMPLE-CMP-007</v>
      </c>
      <c r="H316" s="30" t="str">
        <f aca="false">IF($C316="","",IFERROR(IF(INDEX(links!$B$2:$B$501,MATCH($C316,links!$D$2:$D$501,0))="","",INDEX(links!$B$2:$B$501,MATCH($C316,links!$D$2:$D$501,0))),""))</f>
        <v>SAMPLE-O-001</v>
      </c>
      <c r="I316" s="30" t="str">
        <f aca="false">IF($C316="","",IFERROR(IF(INDEX(links!$C$2:$C$501,MATCH($C316,links!$D$2:$D$501,0))="","",INDEX(links!$C$2:$C$501,MATCH($C316,links!$D$2:$D$501,0))),""))</f>
        <v>qr</v>
      </c>
      <c r="J316" s="30" t="str">
        <f aca="false">IF($C316="","",IF($G316="","slug not in links; ","")&amp;IF($D316="","reading type missing; ","")&amp;IF(COUNTIFS(scans!$C$2:$C$1601,$C316,scans!$D$2:$D$1601,$D316)&gt;1,"two readings of this type: keep one; ",""))</f>
        <v/>
      </c>
    </row>
    <row r="317" customFormat="false" ht="15" hidden="false" customHeight="false" outlineLevel="0" collapsed="false">
      <c r="A317" s="11" t="n">
        <v>46471</v>
      </c>
      <c r="B317" s="38" t="n">
        <v>0.729166666666667</v>
      </c>
      <c r="C317" s="10" t="s">
        <v>1221</v>
      </c>
      <c r="D317" s="10" t="s">
        <v>1121</v>
      </c>
      <c r="E317" s="0" t="n">
        <v>3</v>
      </c>
      <c r="G317" s="30" t="str">
        <f aca="false">IF($C317="","",IFERROR(IF(INDEX(links!$A$2:$A$501,MATCH($C317,links!$D$2:$D$501,0))="","",INDEX(links!$A$2:$A$501,MATCH($C317,links!$D$2:$D$501,0))),""))</f>
        <v>SAMPLE-CMP-007</v>
      </c>
      <c r="H317" s="30" t="str">
        <f aca="false">IF($C317="","",IFERROR(IF(INDEX(links!$B$2:$B$501,MATCH($C317,links!$D$2:$D$501,0))="","",INDEX(links!$B$2:$B$501,MATCH($C317,links!$D$2:$D$501,0))),""))</f>
        <v>SAMPLE-O-001</v>
      </c>
      <c r="I317" s="30" t="str">
        <f aca="false">IF($C317="","",IFERROR(IF(INDEX(links!$C$2:$C$501,MATCH($C317,links!$D$2:$D$501,0))="","",INDEX(links!$C$2:$C$501,MATCH($C317,links!$D$2:$D$501,0))),""))</f>
        <v>qr</v>
      </c>
      <c r="J317" s="30" t="str">
        <f aca="false">IF($C317="","",IF($G317="","slug not in links; ","")&amp;IF($D317="","reading type missing; ","")&amp;IF(COUNTIFS(scans!$C$2:$C$1601,$C317,scans!$D$2:$D$1601,$D317)&gt;1,"two readings of this type: keep one; ",""))</f>
        <v/>
      </c>
    </row>
    <row r="318" customFormat="false" ht="15" hidden="false" customHeight="false" outlineLevel="0" collapsed="false">
      <c r="A318" s="11" t="n">
        <v>46475</v>
      </c>
      <c r="B318" s="38" t="n">
        <v>0.729166666666667</v>
      </c>
      <c r="C318" s="10" t="s">
        <v>1221</v>
      </c>
      <c r="D318" s="10" t="s">
        <v>1122</v>
      </c>
      <c r="E318" s="0" t="n">
        <v>7</v>
      </c>
      <c r="G318" s="30" t="str">
        <f aca="false">IF($C318="","",IFERROR(IF(INDEX(links!$A$2:$A$501,MATCH($C318,links!$D$2:$D$501,0))="","",INDEX(links!$A$2:$A$501,MATCH($C318,links!$D$2:$D$501,0))),""))</f>
        <v>SAMPLE-CMP-007</v>
      </c>
      <c r="H318" s="30" t="str">
        <f aca="false">IF($C318="","",IFERROR(IF(INDEX(links!$B$2:$B$501,MATCH($C318,links!$D$2:$D$501,0))="","",INDEX(links!$B$2:$B$501,MATCH($C318,links!$D$2:$D$501,0))),""))</f>
        <v>SAMPLE-O-001</v>
      </c>
      <c r="I318" s="30" t="str">
        <f aca="false">IF($C318="","",IFERROR(IF(INDEX(links!$C$2:$C$501,MATCH($C318,links!$D$2:$D$501,0))="","",INDEX(links!$C$2:$C$501,MATCH($C318,links!$D$2:$D$501,0))),""))</f>
        <v>qr</v>
      </c>
      <c r="J318" s="30" t="str">
        <f aca="false">IF($C318="","",IF($G318="","slug not in links; ","")&amp;IF($D318="","reading type missing; ","")&amp;IF(COUNTIFS(scans!$C$2:$C$1601,$C318,scans!$D$2:$D$1601,$D318)&gt;1,"two readings of this type: keep one; ",""))</f>
        <v/>
      </c>
    </row>
    <row r="319" customFormat="false" ht="15" hidden="false" customHeight="false" outlineLevel="0" collapsed="false">
      <c r="A319" s="11" t="n">
        <v>46468</v>
      </c>
      <c r="B319" s="38" t="n">
        <v>0.729166666666667</v>
      </c>
      <c r="C319" s="10" t="s">
        <v>1222</v>
      </c>
      <c r="D319" s="10" t="s">
        <v>1120</v>
      </c>
      <c r="E319" s="0" t="n">
        <v>1</v>
      </c>
      <c r="G319" s="30" t="str">
        <f aca="false">IF($C319="","",IFERROR(IF(INDEX(links!$A$2:$A$501,MATCH($C319,links!$D$2:$D$501,0))="","",INDEX(links!$A$2:$A$501,MATCH($C319,links!$D$2:$D$501,0))),""))</f>
        <v>SAMPLE-CMP-007</v>
      </c>
      <c r="H319" s="30" t="str">
        <f aca="false">IF($C319="","",IFERROR(IF(INDEX(links!$B$2:$B$501,MATCH($C319,links!$D$2:$D$501,0))="","",INDEX(links!$B$2:$B$501,MATCH($C319,links!$D$2:$D$501,0))),""))</f>
        <v>SAMPLE-O-001</v>
      </c>
      <c r="I319" s="30" t="str">
        <f aca="false">IF($C319="","",IFERROR(IF(INDEX(links!$C$2:$C$501,MATCH($C319,links!$D$2:$D$501,0))="","",INDEX(links!$C$2:$C$501,MATCH($C319,links!$D$2:$D$501,0))),""))</f>
        <v>post</v>
      </c>
      <c r="J319" s="30" t="str">
        <f aca="false">IF($C319="","",IF($G319="","slug not in links; ","")&amp;IF($D319="","reading type missing; ","")&amp;IF(COUNTIFS(scans!$C$2:$C$1601,$C319,scans!$D$2:$D$1601,$D319)&gt;1,"two readings of this type: keep one; ",""))</f>
        <v/>
      </c>
    </row>
    <row r="320" customFormat="false" ht="15" hidden="false" customHeight="false" outlineLevel="0" collapsed="false">
      <c r="A320" s="11" t="n">
        <v>46471</v>
      </c>
      <c r="B320" s="38" t="n">
        <v>0.729166666666667</v>
      </c>
      <c r="C320" s="10" t="s">
        <v>1222</v>
      </c>
      <c r="D320" s="10" t="s">
        <v>1121</v>
      </c>
      <c r="E320" s="0" t="n">
        <v>5</v>
      </c>
      <c r="G320" s="30" t="str">
        <f aca="false">IF($C320="","",IFERROR(IF(INDEX(links!$A$2:$A$501,MATCH($C320,links!$D$2:$D$501,0))="","",INDEX(links!$A$2:$A$501,MATCH($C320,links!$D$2:$D$501,0))),""))</f>
        <v>SAMPLE-CMP-007</v>
      </c>
      <c r="H320" s="30" t="str">
        <f aca="false">IF($C320="","",IFERROR(IF(INDEX(links!$B$2:$B$501,MATCH($C320,links!$D$2:$D$501,0))="","",INDEX(links!$B$2:$B$501,MATCH($C320,links!$D$2:$D$501,0))),""))</f>
        <v>SAMPLE-O-001</v>
      </c>
      <c r="I320" s="30" t="str">
        <f aca="false">IF($C320="","",IFERROR(IF(INDEX(links!$C$2:$C$501,MATCH($C320,links!$D$2:$D$501,0))="","",INDEX(links!$C$2:$C$501,MATCH($C320,links!$D$2:$D$501,0))),""))</f>
        <v>post</v>
      </c>
      <c r="J320" s="30" t="str">
        <f aca="false">IF($C320="","",IF($G320="","slug not in links; ","")&amp;IF($D320="","reading type missing; ","")&amp;IF(COUNTIFS(scans!$C$2:$C$1601,$C320,scans!$D$2:$D$1601,$D320)&gt;1,"two readings of this type: keep one; ",""))</f>
        <v/>
      </c>
    </row>
    <row r="321" customFormat="false" ht="15" hidden="false" customHeight="false" outlineLevel="0" collapsed="false">
      <c r="A321" s="11" t="n">
        <v>46475</v>
      </c>
      <c r="B321" s="38" t="n">
        <v>0.729166666666667</v>
      </c>
      <c r="C321" s="10" t="s">
        <v>1222</v>
      </c>
      <c r="D321" s="10" t="s">
        <v>1122</v>
      </c>
      <c r="E321" s="0" t="n">
        <v>10</v>
      </c>
      <c r="G321" s="30" t="str">
        <f aca="false">IF($C321="","",IFERROR(IF(INDEX(links!$A$2:$A$501,MATCH($C321,links!$D$2:$D$501,0))="","",INDEX(links!$A$2:$A$501,MATCH($C321,links!$D$2:$D$501,0))),""))</f>
        <v>SAMPLE-CMP-007</v>
      </c>
      <c r="H321" s="30" t="str">
        <f aca="false">IF($C321="","",IFERROR(IF(INDEX(links!$B$2:$B$501,MATCH($C321,links!$D$2:$D$501,0))="","",INDEX(links!$B$2:$B$501,MATCH($C321,links!$D$2:$D$501,0))),""))</f>
        <v>SAMPLE-O-001</v>
      </c>
      <c r="I321" s="30" t="str">
        <f aca="false">IF($C321="","",IFERROR(IF(INDEX(links!$C$2:$C$501,MATCH($C321,links!$D$2:$D$501,0))="","",INDEX(links!$C$2:$C$501,MATCH($C321,links!$D$2:$D$501,0))),""))</f>
        <v>post</v>
      </c>
      <c r="J321" s="30" t="str">
        <f aca="false">IF($C321="","",IF($G321="","slug not in links; ","")&amp;IF($D321="","reading type missing; ","")&amp;IF(COUNTIFS(scans!$C$2:$C$1601,$C321,scans!$D$2:$D$1601,$D321)&gt;1,"two readings of this type: keep one; ",""))</f>
        <v/>
      </c>
    </row>
    <row r="322" customFormat="false" ht="15" hidden="false" customHeight="false" outlineLevel="0" collapsed="false">
      <c r="A322" s="11" t="n">
        <v>46468</v>
      </c>
      <c r="B322" s="38" t="n">
        <v>0.729166666666667</v>
      </c>
      <c r="C322" s="10" t="s">
        <v>1223</v>
      </c>
      <c r="D322" s="10" t="s">
        <v>1120</v>
      </c>
      <c r="E322" s="0" t="n">
        <v>1</v>
      </c>
      <c r="G322" s="30" t="str">
        <f aca="false">IF($C322="","",IFERROR(IF(INDEX(links!$A$2:$A$501,MATCH($C322,links!$D$2:$D$501,0))="","",INDEX(links!$A$2:$A$501,MATCH($C322,links!$D$2:$D$501,0))),""))</f>
        <v>SAMPLE-CMP-007</v>
      </c>
      <c r="H322" s="30" t="str">
        <f aca="false">IF($C322="","",IFERROR(IF(INDEX(links!$B$2:$B$501,MATCH($C322,links!$D$2:$D$501,0))="","",INDEX(links!$B$2:$B$501,MATCH($C322,links!$D$2:$D$501,0))),""))</f>
        <v>SAMPLE-O-002</v>
      </c>
      <c r="I322" s="30" t="str">
        <f aca="false">IF($C322="","",IFERROR(IF(INDEX(links!$C$2:$C$501,MATCH($C322,links!$D$2:$D$501,0))="","",INDEX(links!$C$2:$C$501,MATCH($C322,links!$D$2:$D$501,0))),""))</f>
        <v>qr</v>
      </c>
      <c r="J322" s="30" t="str">
        <f aca="false">IF($C322="","",IF($G322="","slug not in links; ","")&amp;IF($D322="","reading type missing; ","")&amp;IF(COUNTIFS(scans!$C$2:$C$1601,$C322,scans!$D$2:$D$1601,$D322)&gt;1,"two readings of this type: keep one; ",""))</f>
        <v/>
      </c>
    </row>
    <row r="323" customFormat="false" ht="15" hidden="false" customHeight="false" outlineLevel="0" collapsed="false">
      <c r="A323" s="11" t="n">
        <v>46471</v>
      </c>
      <c r="B323" s="38" t="n">
        <v>0.729166666666667</v>
      </c>
      <c r="C323" s="10" t="s">
        <v>1223</v>
      </c>
      <c r="D323" s="10" t="s">
        <v>1121</v>
      </c>
      <c r="E323" s="0" t="n">
        <v>4</v>
      </c>
      <c r="G323" s="30" t="str">
        <f aca="false">IF($C323="","",IFERROR(IF(INDEX(links!$A$2:$A$501,MATCH($C323,links!$D$2:$D$501,0))="","",INDEX(links!$A$2:$A$501,MATCH($C323,links!$D$2:$D$501,0))),""))</f>
        <v>SAMPLE-CMP-007</v>
      </c>
      <c r="H323" s="30" t="str">
        <f aca="false">IF($C323="","",IFERROR(IF(INDEX(links!$B$2:$B$501,MATCH($C323,links!$D$2:$D$501,0))="","",INDEX(links!$B$2:$B$501,MATCH($C323,links!$D$2:$D$501,0))),""))</f>
        <v>SAMPLE-O-002</v>
      </c>
      <c r="I323" s="30" t="str">
        <f aca="false">IF($C323="","",IFERROR(IF(INDEX(links!$C$2:$C$501,MATCH($C323,links!$D$2:$D$501,0))="","",INDEX(links!$C$2:$C$501,MATCH($C323,links!$D$2:$D$501,0))),""))</f>
        <v>qr</v>
      </c>
      <c r="J323" s="30" t="str">
        <f aca="false">IF($C323="","",IF($G323="","slug not in links; ","")&amp;IF($D323="","reading type missing; ","")&amp;IF(COUNTIFS(scans!$C$2:$C$1601,$C323,scans!$D$2:$D$1601,$D323)&gt;1,"two readings of this type: keep one; ",""))</f>
        <v/>
      </c>
    </row>
    <row r="324" customFormat="false" ht="15" hidden="false" customHeight="false" outlineLevel="0" collapsed="false">
      <c r="A324" s="11" t="n">
        <v>46475</v>
      </c>
      <c r="B324" s="38" t="n">
        <v>0.729166666666667</v>
      </c>
      <c r="C324" s="10" t="s">
        <v>1223</v>
      </c>
      <c r="D324" s="10" t="s">
        <v>1122</v>
      </c>
      <c r="E324" s="0" t="n">
        <v>9</v>
      </c>
      <c r="G324" s="30" t="str">
        <f aca="false">IF($C324="","",IFERROR(IF(INDEX(links!$A$2:$A$501,MATCH($C324,links!$D$2:$D$501,0))="","",INDEX(links!$A$2:$A$501,MATCH($C324,links!$D$2:$D$501,0))),""))</f>
        <v>SAMPLE-CMP-007</v>
      </c>
      <c r="H324" s="30" t="str">
        <f aca="false">IF($C324="","",IFERROR(IF(INDEX(links!$B$2:$B$501,MATCH($C324,links!$D$2:$D$501,0))="","",INDEX(links!$B$2:$B$501,MATCH($C324,links!$D$2:$D$501,0))),""))</f>
        <v>SAMPLE-O-002</v>
      </c>
      <c r="I324" s="30" t="str">
        <f aca="false">IF($C324="","",IFERROR(IF(INDEX(links!$C$2:$C$501,MATCH($C324,links!$D$2:$D$501,0))="","",INDEX(links!$C$2:$C$501,MATCH($C324,links!$D$2:$D$501,0))),""))</f>
        <v>qr</v>
      </c>
      <c r="J324" s="30" t="str">
        <f aca="false">IF($C324="","",IF($G324="","slug not in links; ","")&amp;IF($D324="","reading type missing; ","")&amp;IF(COUNTIFS(scans!$C$2:$C$1601,$C324,scans!$D$2:$D$1601,$D324)&gt;1,"two readings of this type: keep one; ",""))</f>
        <v/>
      </c>
    </row>
    <row r="325" customFormat="false" ht="15" hidden="false" customHeight="false" outlineLevel="0" collapsed="false">
      <c r="A325" s="11" t="n">
        <v>46468</v>
      </c>
      <c r="B325" s="38" t="n">
        <v>0.729166666666667</v>
      </c>
      <c r="C325" s="10" t="s">
        <v>1224</v>
      </c>
      <c r="D325" s="10" t="s">
        <v>1120</v>
      </c>
      <c r="E325" s="0" t="n">
        <v>1</v>
      </c>
      <c r="G325" s="30" t="str">
        <f aca="false">IF($C325="","",IFERROR(IF(INDEX(links!$A$2:$A$501,MATCH($C325,links!$D$2:$D$501,0))="","",INDEX(links!$A$2:$A$501,MATCH($C325,links!$D$2:$D$501,0))),""))</f>
        <v>SAMPLE-CMP-007</v>
      </c>
      <c r="H325" s="30" t="str">
        <f aca="false">IF($C325="","",IFERROR(IF(INDEX(links!$B$2:$B$501,MATCH($C325,links!$D$2:$D$501,0))="","",INDEX(links!$B$2:$B$501,MATCH($C325,links!$D$2:$D$501,0))),""))</f>
        <v>SAMPLE-O-002</v>
      </c>
      <c r="I325" s="30" t="str">
        <f aca="false">IF($C325="","",IFERROR(IF(INDEX(links!$C$2:$C$501,MATCH($C325,links!$D$2:$D$501,0))="","",INDEX(links!$C$2:$C$501,MATCH($C325,links!$D$2:$D$501,0))),""))</f>
        <v>post</v>
      </c>
      <c r="J325" s="30" t="str">
        <f aca="false">IF($C325="","",IF($G325="","slug not in links; ","")&amp;IF($D325="","reading type missing; ","")&amp;IF(COUNTIFS(scans!$C$2:$C$1601,$C325,scans!$D$2:$D$1601,$D325)&gt;1,"two readings of this type: keep one; ",""))</f>
        <v/>
      </c>
    </row>
    <row r="326" customFormat="false" ht="15" hidden="false" customHeight="false" outlineLevel="0" collapsed="false">
      <c r="A326" s="11" t="n">
        <v>46471</v>
      </c>
      <c r="B326" s="38" t="n">
        <v>0.729166666666667</v>
      </c>
      <c r="C326" s="10" t="s">
        <v>1224</v>
      </c>
      <c r="D326" s="10" t="s">
        <v>1121</v>
      </c>
      <c r="E326" s="0" t="n">
        <v>6</v>
      </c>
      <c r="G326" s="30" t="str">
        <f aca="false">IF($C326="","",IFERROR(IF(INDEX(links!$A$2:$A$501,MATCH($C326,links!$D$2:$D$501,0))="","",INDEX(links!$A$2:$A$501,MATCH($C326,links!$D$2:$D$501,0))),""))</f>
        <v>SAMPLE-CMP-007</v>
      </c>
      <c r="H326" s="30" t="str">
        <f aca="false">IF($C326="","",IFERROR(IF(INDEX(links!$B$2:$B$501,MATCH($C326,links!$D$2:$D$501,0))="","",INDEX(links!$B$2:$B$501,MATCH($C326,links!$D$2:$D$501,0))),""))</f>
        <v>SAMPLE-O-002</v>
      </c>
      <c r="I326" s="30" t="str">
        <f aca="false">IF($C326="","",IFERROR(IF(INDEX(links!$C$2:$C$501,MATCH($C326,links!$D$2:$D$501,0))="","",INDEX(links!$C$2:$C$501,MATCH($C326,links!$D$2:$D$501,0))),""))</f>
        <v>post</v>
      </c>
      <c r="J326" s="30" t="str">
        <f aca="false">IF($C326="","",IF($G326="","slug not in links; ","")&amp;IF($D326="","reading type missing; ","")&amp;IF(COUNTIFS(scans!$C$2:$C$1601,$C326,scans!$D$2:$D$1601,$D326)&gt;1,"two readings of this type: keep one; ",""))</f>
        <v/>
      </c>
    </row>
    <row r="327" customFormat="false" ht="15" hidden="false" customHeight="false" outlineLevel="0" collapsed="false">
      <c r="A327" s="11" t="n">
        <v>46475</v>
      </c>
      <c r="B327" s="38" t="n">
        <v>0.729166666666667</v>
      </c>
      <c r="C327" s="10" t="s">
        <v>1224</v>
      </c>
      <c r="D327" s="10" t="s">
        <v>1122</v>
      </c>
      <c r="E327" s="0" t="n">
        <v>12</v>
      </c>
      <c r="G327" s="30" t="str">
        <f aca="false">IF($C327="","",IFERROR(IF(INDEX(links!$A$2:$A$501,MATCH($C327,links!$D$2:$D$501,0))="","",INDEX(links!$A$2:$A$501,MATCH($C327,links!$D$2:$D$501,0))),""))</f>
        <v>SAMPLE-CMP-007</v>
      </c>
      <c r="H327" s="30" t="str">
        <f aca="false">IF($C327="","",IFERROR(IF(INDEX(links!$B$2:$B$501,MATCH($C327,links!$D$2:$D$501,0))="","",INDEX(links!$B$2:$B$501,MATCH($C327,links!$D$2:$D$501,0))),""))</f>
        <v>SAMPLE-O-002</v>
      </c>
      <c r="I327" s="30" t="str">
        <f aca="false">IF($C327="","",IFERROR(IF(INDEX(links!$C$2:$C$501,MATCH($C327,links!$D$2:$D$501,0))="","",INDEX(links!$C$2:$C$501,MATCH($C327,links!$D$2:$D$501,0))),""))</f>
        <v>post</v>
      </c>
      <c r="J327" s="30" t="str">
        <f aca="false">IF($C327="","",IF($G327="","slug not in links; ","")&amp;IF($D327="","reading type missing; ","")&amp;IF(COUNTIFS(scans!$C$2:$C$1601,$C327,scans!$D$2:$D$1601,$D327)&gt;1,"two readings of this type: keep one; ",""))</f>
        <v/>
      </c>
    </row>
    <row r="328" customFormat="false" ht="15" hidden="false" customHeight="false" outlineLevel="0" collapsed="false">
      <c r="A328" s="11" t="n">
        <v>46468</v>
      </c>
      <c r="B328" s="38" t="n">
        <v>0.729166666666667</v>
      </c>
      <c r="C328" s="10" t="s">
        <v>1225</v>
      </c>
      <c r="D328" s="10" t="s">
        <v>1120</v>
      </c>
      <c r="E328" s="0" t="n">
        <v>1</v>
      </c>
      <c r="G328" s="30" t="str">
        <f aca="false">IF($C328="","",IFERROR(IF(INDEX(links!$A$2:$A$501,MATCH($C328,links!$D$2:$D$501,0))="","",INDEX(links!$A$2:$A$501,MATCH($C328,links!$D$2:$D$501,0))),""))</f>
        <v>SAMPLE-CMP-007</v>
      </c>
      <c r="H328" s="30" t="str">
        <f aca="false">IF($C328="","",IFERROR(IF(INDEX(links!$B$2:$B$501,MATCH($C328,links!$D$2:$D$501,0))="","",INDEX(links!$B$2:$B$501,MATCH($C328,links!$D$2:$D$501,0))),""))</f>
        <v>SAMPLE-O-003</v>
      </c>
      <c r="I328" s="30" t="str">
        <f aca="false">IF($C328="","",IFERROR(IF(INDEX(links!$C$2:$C$501,MATCH($C328,links!$D$2:$D$501,0))="","",INDEX(links!$C$2:$C$501,MATCH($C328,links!$D$2:$D$501,0))),""))</f>
        <v>qr</v>
      </c>
      <c r="J328" s="30" t="str">
        <f aca="false">IF($C328="","",IF($G328="","slug not in links; ","")&amp;IF($D328="","reading type missing; ","")&amp;IF(COUNTIFS(scans!$C$2:$C$1601,$C328,scans!$D$2:$D$1601,$D328)&gt;1,"two readings of this type: keep one; ",""))</f>
        <v/>
      </c>
    </row>
    <row r="329" customFormat="false" ht="15" hidden="false" customHeight="false" outlineLevel="0" collapsed="false">
      <c r="A329" s="11" t="n">
        <v>46471</v>
      </c>
      <c r="B329" s="38" t="n">
        <v>0.729166666666667</v>
      </c>
      <c r="C329" s="10" t="s">
        <v>1225</v>
      </c>
      <c r="D329" s="10" t="s">
        <v>1121</v>
      </c>
      <c r="E329" s="0" t="n">
        <v>5</v>
      </c>
      <c r="G329" s="30" t="str">
        <f aca="false">IF($C329="","",IFERROR(IF(INDEX(links!$A$2:$A$501,MATCH($C329,links!$D$2:$D$501,0))="","",INDEX(links!$A$2:$A$501,MATCH($C329,links!$D$2:$D$501,0))),""))</f>
        <v>SAMPLE-CMP-007</v>
      </c>
      <c r="H329" s="30" t="str">
        <f aca="false">IF($C329="","",IFERROR(IF(INDEX(links!$B$2:$B$501,MATCH($C329,links!$D$2:$D$501,0))="","",INDEX(links!$B$2:$B$501,MATCH($C329,links!$D$2:$D$501,0))),""))</f>
        <v>SAMPLE-O-003</v>
      </c>
      <c r="I329" s="30" t="str">
        <f aca="false">IF($C329="","",IFERROR(IF(INDEX(links!$C$2:$C$501,MATCH($C329,links!$D$2:$D$501,0))="","",INDEX(links!$C$2:$C$501,MATCH($C329,links!$D$2:$D$501,0))),""))</f>
        <v>qr</v>
      </c>
      <c r="J329" s="30" t="str">
        <f aca="false">IF($C329="","",IF($G329="","slug not in links; ","")&amp;IF($D329="","reading type missing; ","")&amp;IF(COUNTIFS(scans!$C$2:$C$1601,$C329,scans!$D$2:$D$1601,$D329)&gt;1,"two readings of this type: keep one; ",""))</f>
        <v/>
      </c>
    </row>
    <row r="330" customFormat="false" ht="15" hidden="false" customHeight="false" outlineLevel="0" collapsed="false">
      <c r="A330" s="11" t="n">
        <v>46475</v>
      </c>
      <c r="B330" s="38" t="n">
        <v>0.729166666666667</v>
      </c>
      <c r="C330" s="10" t="s">
        <v>1225</v>
      </c>
      <c r="D330" s="10" t="s">
        <v>1122</v>
      </c>
      <c r="E330" s="0" t="n">
        <v>11</v>
      </c>
      <c r="G330" s="30" t="str">
        <f aca="false">IF($C330="","",IFERROR(IF(INDEX(links!$A$2:$A$501,MATCH($C330,links!$D$2:$D$501,0))="","",INDEX(links!$A$2:$A$501,MATCH($C330,links!$D$2:$D$501,0))),""))</f>
        <v>SAMPLE-CMP-007</v>
      </c>
      <c r="H330" s="30" t="str">
        <f aca="false">IF($C330="","",IFERROR(IF(INDEX(links!$B$2:$B$501,MATCH($C330,links!$D$2:$D$501,0))="","",INDEX(links!$B$2:$B$501,MATCH($C330,links!$D$2:$D$501,0))),""))</f>
        <v>SAMPLE-O-003</v>
      </c>
      <c r="I330" s="30" t="str">
        <f aca="false">IF($C330="","",IFERROR(IF(INDEX(links!$C$2:$C$501,MATCH($C330,links!$D$2:$D$501,0))="","",INDEX(links!$C$2:$C$501,MATCH($C330,links!$D$2:$D$501,0))),""))</f>
        <v>qr</v>
      </c>
      <c r="J330" s="30" t="str">
        <f aca="false">IF($C330="","",IF($G330="","slug not in links; ","")&amp;IF($D330="","reading type missing; ","")&amp;IF(COUNTIFS(scans!$C$2:$C$1601,$C330,scans!$D$2:$D$1601,$D330)&gt;1,"two readings of this type: keep one; ",""))</f>
        <v/>
      </c>
    </row>
    <row r="331" customFormat="false" ht="15" hidden="false" customHeight="false" outlineLevel="0" collapsed="false">
      <c r="A331" s="11" t="n">
        <v>46468</v>
      </c>
      <c r="B331" s="38" t="n">
        <v>0.729166666666667</v>
      </c>
      <c r="C331" s="10" t="s">
        <v>1226</v>
      </c>
      <c r="D331" s="10" t="s">
        <v>1120</v>
      </c>
      <c r="E331" s="0" t="n">
        <v>1</v>
      </c>
      <c r="G331" s="30" t="str">
        <f aca="false">IF($C331="","",IFERROR(IF(INDEX(links!$A$2:$A$501,MATCH($C331,links!$D$2:$D$501,0))="","",INDEX(links!$A$2:$A$501,MATCH($C331,links!$D$2:$D$501,0))),""))</f>
        <v>SAMPLE-CMP-007</v>
      </c>
      <c r="H331" s="30" t="str">
        <f aca="false">IF($C331="","",IFERROR(IF(INDEX(links!$B$2:$B$501,MATCH($C331,links!$D$2:$D$501,0))="","",INDEX(links!$B$2:$B$501,MATCH($C331,links!$D$2:$D$501,0))),""))</f>
        <v>SAMPLE-O-003</v>
      </c>
      <c r="I331" s="30" t="str">
        <f aca="false">IF($C331="","",IFERROR(IF(INDEX(links!$C$2:$C$501,MATCH($C331,links!$D$2:$D$501,0))="","",INDEX(links!$C$2:$C$501,MATCH($C331,links!$D$2:$D$501,0))),""))</f>
        <v>post</v>
      </c>
      <c r="J331" s="30" t="str">
        <f aca="false">IF($C331="","",IF($G331="","slug not in links; ","")&amp;IF($D331="","reading type missing; ","")&amp;IF(COUNTIFS(scans!$C$2:$C$1601,$C331,scans!$D$2:$D$1601,$D331)&gt;1,"two readings of this type: keep one; ",""))</f>
        <v/>
      </c>
    </row>
    <row r="332" customFormat="false" ht="15" hidden="false" customHeight="false" outlineLevel="0" collapsed="false">
      <c r="A332" s="11" t="n">
        <v>46471</v>
      </c>
      <c r="B332" s="38" t="n">
        <v>0.729166666666667</v>
      </c>
      <c r="C332" s="10" t="s">
        <v>1226</v>
      </c>
      <c r="D332" s="10" t="s">
        <v>1121</v>
      </c>
      <c r="E332" s="0" t="n">
        <v>2</v>
      </c>
      <c r="G332" s="30" t="str">
        <f aca="false">IF($C332="","",IFERROR(IF(INDEX(links!$A$2:$A$501,MATCH($C332,links!$D$2:$D$501,0))="","",INDEX(links!$A$2:$A$501,MATCH($C332,links!$D$2:$D$501,0))),""))</f>
        <v>SAMPLE-CMP-007</v>
      </c>
      <c r="H332" s="30" t="str">
        <f aca="false">IF($C332="","",IFERROR(IF(INDEX(links!$B$2:$B$501,MATCH($C332,links!$D$2:$D$501,0))="","",INDEX(links!$B$2:$B$501,MATCH($C332,links!$D$2:$D$501,0))),""))</f>
        <v>SAMPLE-O-003</v>
      </c>
      <c r="I332" s="30" t="str">
        <f aca="false">IF($C332="","",IFERROR(IF(INDEX(links!$C$2:$C$501,MATCH($C332,links!$D$2:$D$501,0))="","",INDEX(links!$C$2:$C$501,MATCH($C332,links!$D$2:$D$501,0))),""))</f>
        <v>post</v>
      </c>
      <c r="J332" s="30" t="str">
        <f aca="false">IF($C332="","",IF($G332="","slug not in links; ","")&amp;IF($D332="","reading type missing; ","")&amp;IF(COUNTIFS(scans!$C$2:$C$1601,$C332,scans!$D$2:$D$1601,$D332)&gt;1,"two readings of this type: keep one; ",""))</f>
        <v/>
      </c>
    </row>
    <row r="333" customFormat="false" ht="15" hidden="false" customHeight="false" outlineLevel="0" collapsed="false">
      <c r="A333" s="11" t="n">
        <v>46475</v>
      </c>
      <c r="B333" s="38" t="n">
        <v>0.729166666666667</v>
      </c>
      <c r="C333" s="10" t="s">
        <v>1226</v>
      </c>
      <c r="D333" s="10" t="s">
        <v>1122</v>
      </c>
      <c r="E333" s="0" t="n">
        <v>4</v>
      </c>
      <c r="G333" s="30" t="str">
        <f aca="false">IF($C333="","",IFERROR(IF(INDEX(links!$A$2:$A$501,MATCH($C333,links!$D$2:$D$501,0))="","",INDEX(links!$A$2:$A$501,MATCH($C333,links!$D$2:$D$501,0))),""))</f>
        <v>SAMPLE-CMP-007</v>
      </c>
      <c r="H333" s="30" t="str">
        <f aca="false">IF($C333="","",IFERROR(IF(INDEX(links!$B$2:$B$501,MATCH($C333,links!$D$2:$D$501,0))="","",INDEX(links!$B$2:$B$501,MATCH($C333,links!$D$2:$D$501,0))),""))</f>
        <v>SAMPLE-O-003</v>
      </c>
      <c r="I333" s="30" t="str">
        <f aca="false">IF($C333="","",IFERROR(IF(INDEX(links!$C$2:$C$501,MATCH($C333,links!$D$2:$D$501,0))="","",INDEX(links!$C$2:$C$501,MATCH($C333,links!$D$2:$D$501,0))),""))</f>
        <v>post</v>
      </c>
      <c r="J333" s="30" t="str">
        <f aca="false">IF($C333="","",IF($G333="","slug not in links; ","")&amp;IF($D333="","reading type missing; ","")&amp;IF(COUNTIFS(scans!$C$2:$C$1601,$C333,scans!$D$2:$D$1601,$D333)&gt;1,"two readings of this type: keep one; ",""))</f>
        <v/>
      </c>
    </row>
    <row r="334" customFormat="false" ht="15" hidden="false" customHeight="false" outlineLevel="0" collapsed="false">
      <c r="A334" s="11" t="n">
        <v>46468</v>
      </c>
      <c r="B334" s="38" t="n">
        <v>0.729166666666667</v>
      </c>
      <c r="C334" s="10" t="s">
        <v>1227</v>
      </c>
      <c r="D334" s="10" t="s">
        <v>1120</v>
      </c>
      <c r="E334" s="0" t="n">
        <v>1</v>
      </c>
      <c r="G334" s="30" t="str">
        <f aca="false">IF($C334="","",IFERROR(IF(INDEX(links!$A$2:$A$501,MATCH($C334,links!$D$2:$D$501,0))="","",INDEX(links!$A$2:$A$501,MATCH($C334,links!$D$2:$D$501,0))),""))</f>
        <v>SAMPLE-CMP-007</v>
      </c>
      <c r="H334" s="30" t="str">
        <f aca="false">IF($C334="","",IFERROR(IF(INDEX(links!$B$2:$B$501,MATCH($C334,links!$D$2:$D$501,0))="","",INDEX(links!$B$2:$B$501,MATCH($C334,links!$D$2:$D$501,0))),""))</f>
        <v>SAMPLE-O-004</v>
      </c>
      <c r="I334" s="30" t="str">
        <f aca="false">IF($C334="","",IFERROR(IF(INDEX(links!$C$2:$C$501,MATCH($C334,links!$D$2:$D$501,0))="","",INDEX(links!$C$2:$C$501,MATCH($C334,links!$D$2:$D$501,0))),""))</f>
        <v>qr</v>
      </c>
      <c r="J334" s="30" t="str">
        <f aca="false">IF($C334="","",IF($G334="","slug not in links; ","")&amp;IF($D334="","reading type missing; ","")&amp;IF(COUNTIFS(scans!$C$2:$C$1601,$C334,scans!$D$2:$D$1601,$D334)&gt;1,"two readings of this type: keep one; ",""))</f>
        <v/>
      </c>
    </row>
    <row r="335" customFormat="false" ht="15" hidden="false" customHeight="false" outlineLevel="0" collapsed="false">
      <c r="A335" s="11" t="n">
        <v>46471</v>
      </c>
      <c r="B335" s="38" t="n">
        <v>0.729166666666667</v>
      </c>
      <c r="C335" s="10" t="s">
        <v>1227</v>
      </c>
      <c r="D335" s="10" t="s">
        <v>1121</v>
      </c>
      <c r="E335" s="0" t="n">
        <v>6</v>
      </c>
      <c r="G335" s="30" t="str">
        <f aca="false">IF($C335="","",IFERROR(IF(INDEX(links!$A$2:$A$501,MATCH($C335,links!$D$2:$D$501,0))="","",INDEX(links!$A$2:$A$501,MATCH($C335,links!$D$2:$D$501,0))),""))</f>
        <v>SAMPLE-CMP-007</v>
      </c>
      <c r="H335" s="30" t="str">
        <f aca="false">IF($C335="","",IFERROR(IF(INDEX(links!$B$2:$B$501,MATCH($C335,links!$D$2:$D$501,0))="","",INDEX(links!$B$2:$B$501,MATCH($C335,links!$D$2:$D$501,0))),""))</f>
        <v>SAMPLE-O-004</v>
      </c>
      <c r="I335" s="30" t="str">
        <f aca="false">IF($C335="","",IFERROR(IF(INDEX(links!$C$2:$C$501,MATCH($C335,links!$D$2:$D$501,0))="","",INDEX(links!$C$2:$C$501,MATCH($C335,links!$D$2:$D$501,0))),""))</f>
        <v>qr</v>
      </c>
      <c r="J335" s="30" t="str">
        <f aca="false">IF($C335="","",IF($G335="","slug not in links; ","")&amp;IF($D335="","reading type missing; ","")&amp;IF(COUNTIFS(scans!$C$2:$C$1601,$C335,scans!$D$2:$D$1601,$D335)&gt;1,"two readings of this type: keep one; ",""))</f>
        <v/>
      </c>
    </row>
    <row r="336" customFormat="false" ht="15" hidden="false" customHeight="false" outlineLevel="0" collapsed="false">
      <c r="A336" s="11" t="n">
        <v>46475</v>
      </c>
      <c r="B336" s="38" t="n">
        <v>0.729166666666667</v>
      </c>
      <c r="C336" s="10" t="s">
        <v>1227</v>
      </c>
      <c r="D336" s="10" t="s">
        <v>1122</v>
      </c>
      <c r="E336" s="0" t="n">
        <v>13</v>
      </c>
      <c r="G336" s="30" t="str">
        <f aca="false">IF($C336="","",IFERROR(IF(INDEX(links!$A$2:$A$501,MATCH($C336,links!$D$2:$D$501,0))="","",INDEX(links!$A$2:$A$501,MATCH($C336,links!$D$2:$D$501,0))),""))</f>
        <v>SAMPLE-CMP-007</v>
      </c>
      <c r="H336" s="30" t="str">
        <f aca="false">IF($C336="","",IFERROR(IF(INDEX(links!$B$2:$B$501,MATCH($C336,links!$D$2:$D$501,0))="","",INDEX(links!$B$2:$B$501,MATCH($C336,links!$D$2:$D$501,0))),""))</f>
        <v>SAMPLE-O-004</v>
      </c>
      <c r="I336" s="30" t="str">
        <f aca="false">IF($C336="","",IFERROR(IF(INDEX(links!$C$2:$C$501,MATCH($C336,links!$D$2:$D$501,0))="","",INDEX(links!$C$2:$C$501,MATCH($C336,links!$D$2:$D$501,0))),""))</f>
        <v>qr</v>
      </c>
      <c r="J336" s="30" t="str">
        <f aca="false">IF($C336="","",IF($G336="","slug not in links; ","")&amp;IF($D336="","reading type missing; ","")&amp;IF(COUNTIFS(scans!$C$2:$C$1601,$C336,scans!$D$2:$D$1601,$D336)&gt;1,"two readings of this type: keep one; ",""))</f>
        <v/>
      </c>
    </row>
    <row r="337" customFormat="false" ht="15" hidden="false" customHeight="false" outlineLevel="0" collapsed="false">
      <c r="A337" s="11" t="n">
        <v>46468</v>
      </c>
      <c r="B337" s="38" t="n">
        <v>0.729166666666667</v>
      </c>
      <c r="C337" s="10" t="s">
        <v>1228</v>
      </c>
      <c r="D337" s="10" t="s">
        <v>1120</v>
      </c>
      <c r="E337" s="0" t="n">
        <v>1</v>
      </c>
      <c r="G337" s="30" t="str">
        <f aca="false">IF($C337="","",IFERROR(IF(INDEX(links!$A$2:$A$501,MATCH($C337,links!$D$2:$D$501,0))="","",INDEX(links!$A$2:$A$501,MATCH($C337,links!$D$2:$D$501,0))),""))</f>
        <v>SAMPLE-CMP-007</v>
      </c>
      <c r="H337" s="30" t="str">
        <f aca="false">IF($C337="","",IFERROR(IF(INDEX(links!$B$2:$B$501,MATCH($C337,links!$D$2:$D$501,0))="","",INDEX(links!$B$2:$B$501,MATCH($C337,links!$D$2:$D$501,0))),""))</f>
        <v>SAMPLE-O-004</v>
      </c>
      <c r="I337" s="30" t="str">
        <f aca="false">IF($C337="","",IFERROR(IF(INDEX(links!$C$2:$C$501,MATCH($C337,links!$D$2:$D$501,0))="","",INDEX(links!$C$2:$C$501,MATCH($C337,links!$D$2:$D$501,0))),""))</f>
        <v>post</v>
      </c>
      <c r="J337" s="30" t="str">
        <f aca="false">IF($C337="","",IF($G337="","slug not in links; ","")&amp;IF($D337="","reading type missing; ","")&amp;IF(COUNTIFS(scans!$C$2:$C$1601,$C337,scans!$D$2:$D$1601,$D337)&gt;1,"two readings of this type: keep one; ",""))</f>
        <v/>
      </c>
    </row>
    <row r="338" customFormat="false" ht="15" hidden="false" customHeight="false" outlineLevel="0" collapsed="false">
      <c r="A338" s="11" t="n">
        <v>46471</v>
      </c>
      <c r="B338" s="38" t="n">
        <v>0.729166666666667</v>
      </c>
      <c r="C338" s="10" t="s">
        <v>1228</v>
      </c>
      <c r="D338" s="10" t="s">
        <v>1121</v>
      </c>
      <c r="E338" s="0" t="n">
        <v>3</v>
      </c>
      <c r="G338" s="30" t="str">
        <f aca="false">IF($C338="","",IFERROR(IF(INDEX(links!$A$2:$A$501,MATCH($C338,links!$D$2:$D$501,0))="","",INDEX(links!$A$2:$A$501,MATCH($C338,links!$D$2:$D$501,0))),""))</f>
        <v>SAMPLE-CMP-007</v>
      </c>
      <c r="H338" s="30" t="str">
        <f aca="false">IF($C338="","",IFERROR(IF(INDEX(links!$B$2:$B$501,MATCH($C338,links!$D$2:$D$501,0))="","",INDEX(links!$B$2:$B$501,MATCH($C338,links!$D$2:$D$501,0))),""))</f>
        <v>SAMPLE-O-004</v>
      </c>
      <c r="I338" s="30" t="str">
        <f aca="false">IF($C338="","",IFERROR(IF(INDEX(links!$C$2:$C$501,MATCH($C338,links!$D$2:$D$501,0))="","",INDEX(links!$C$2:$C$501,MATCH($C338,links!$D$2:$D$501,0))),""))</f>
        <v>post</v>
      </c>
      <c r="J338" s="30" t="str">
        <f aca="false">IF($C338="","",IF($G338="","slug not in links; ","")&amp;IF($D338="","reading type missing; ","")&amp;IF(COUNTIFS(scans!$C$2:$C$1601,$C338,scans!$D$2:$D$1601,$D338)&gt;1,"two readings of this type: keep one; ",""))</f>
        <v/>
      </c>
    </row>
    <row r="339" customFormat="false" ht="15" hidden="false" customHeight="false" outlineLevel="0" collapsed="false">
      <c r="A339" s="11" t="n">
        <v>46475</v>
      </c>
      <c r="B339" s="38" t="n">
        <v>0.729166666666667</v>
      </c>
      <c r="C339" s="10" t="s">
        <v>1228</v>
      </c>
      <c r="D339" s="10" t="s">
        <v>1122</v>
      </c>
      <c r="E339" s="0" t="n">
        <v>6</v>
      </c>
      <c r="G339" s="30" t="str">
        <f aca="false">IF($C339="","",IFERROR(IF(INDEX(links!$A$2:$A$501,MATCH($C339,links!$D$2:$D$501,0))="","",INDEX(links!$A$2:$A$501,MATCH($C339,links!$D$2:$D$501,0))),""))</f>
        <v>SAMPLE-CMP-007</v>
      </c>
      <c r="H339" s="30" t="str">
        <f aca="false">IF($C339="","",IFERROR(IF(INDEX(links!$B$2:$B$501,MATCH($C339,links!$D$2:$D$501,0))="","",INDEX(links!$B$2:$B$501,MATCH($C339,links!$D$2:$D$501,0))),""))</f>
        <v>SAMPLE-O-004</v>
      </c>
      <c r="I339" s="30" t="str">
        <f aca="false">IF($C339="","",IFERROR(IF(INDEX(links!$C$2:$C$501,MATCH($C339,links!$D$2:$D$501,0))="","",INDEX(links!$C$2:$C$501,MATCH($C339,links!$D$2:$D$501,0))),""))</f>
        <v>post</v>
      </c>
      <c r="J339" s="30" t="str">
        <f aca="false">IF($C339="","",IF($G339="","slug not in links; ","")&amp;IF($D339="","reading type missing; ","")&amp;IF(COUNTIFS(scans!$C$2:$C$1601,$C339,scans!$D$2:$D$1601,$D339)&gt;1,"two readings of this type: keep one; ",""))</f>
        <v/>
      </c>
    </row>
    <row r="340" customFormat="false" ht="15" hidden="false" customHeight="false" outlineLevel="0" collapsed="false">
      <c r="A340" s="11" t="n">
        <v>46468</v>
      </c>
      <c r="B340" s="38" t="n">
        <v>0.729166666666667</v>
      </c>
      <c r="C340" s="10" t="s">
        <v>1229</v>
      </c>
      <c r="D340" s="10" t="s">
        <v>1120</v>
      </c>
      <c r="E340" s="0" t="n">
        <v>1</v>
      </c>
      <c r="G340" s="30" t="str">
        <f aca="false">IF($C340="","",IFERROR(IF(INDEX(links!$A$2:$A$501,MATCH($C340,links!$D$2:$D$501,0))="","",INDEX(links!$A$2:$A$501,MATCH($C340,links!$D$2:$D$501,0))),""))</f>
        <v>SAMPLE-CMP-007</v>
      </c>
      <c r="H340" s="30" t="str">
        <f aca="false">IF($C340="","",IFERROR(IF(INDEX(links!$B$2:$B$501,MATCH($C340,links!$D$2:$D$501,0))="","",INDEX(links!$B$2:$B$501,MATCH($C340,links!$D$2:$D$501,0))),""))</f>
        <v>SAMPLE-O-005</v>
      </c>
      <c r="I340" s="30" t="str">
        <f aca="false">IF($C340="","",IFERROR(IF(INDEX(links!$C$2:$C$501,MATCH($C340,links!$D$2:$D$501,0))="","",INDEX(links!$C$2:$C$501,MATCH($C340,links!$D$2:$D$501,0))),""))</f>
        <v>qr</v>
      </c>
      <c r="J340" s="30" t="str">
        <f aca="false">IF($C340="","",IF($G340="","slug not in links; ","")&amp;IF($D340="","reading type missing; ","")&amp;IF(COUNTIFS(scans!$C$2:$C$1601,$C340,scans!$D$2:$D$1601,$D340)&gt;1,"two readings of this type: keep one; ",""))</f>
        <v/>
      </c>
    </row>
    <row r="341" customFormat="false" ht="15" hidden="false" customHeight="false" outlineLevel="0" collapsed="false">
      <c r="A341" s="11" t="n">
        <v>46471</v>
      </c>
      <c r="B341" s="38" t="n">
        <v>0.729166666666667</v>
      </c>
      <c r="C341" s="10" t="s">
        <v>1229</v>
      </c>
      <c r="D341" s="10" t="s">
        <v>1121</v>
      </c>
      <c r="E341" s="0" t="n">
        <v>2</v>
      </c>
      <c r="G341" s="30" t="str">
        <f aca="false">IF($C341="","",IFERROR(IF(INDEX(links!$A$2:$A$501,MATCH($C341,links!$D$2:$D$501,0))="","",INDEX(links!$A$2:$A$501,MATCH($C341,links!$D$2:$D$501,0))),""))</f>
        <v>SAMPLE-CMP-007</v>
      </c>
      <c r="H341" s="30" t="str">
        <f aca="false">IF($C341="","",IFERROR(IF(INDEX(links!$B$2:$B$501,MATCH($C341,links!$D$2:$D$501,0))="","",INDEX(links!$B$2:$B$501,MATCH($C341,links!$D$2:$D$501,0))),""))</f>
        <v>SAMPLE-O-005</v>
      </c>
      <c r="I341" s="30" t="str">
        <f aca="false">IF($C341="","",IFERROR(IF(INDEX(links!$C$2:$C$501,MATCH($C341,links!$D$2:$D$501,0))="","",INDEX(links!$C$2:$C$501,MATCH($C341,links!$D$2:$D$501,0))),""))</f>
        <v>qr</v>
      </c>
      <c r="J341" s="30" t="str">
        <f aca="false">IF($C341="","",IF($G341="","slug not in links; ","")&amp;IF($D341="","reading type missing; ","")&amp;IF(COUNTIFS(scans!$C$2:$C$1601,$C341,scans!$D$2:$D$1601,$D341)&gt;1,"two readings of this type: keep one; ",""))</f>
        <v/>
      </c>
    </row>
    <row r="342" customFormat="false" ht="15" hidden="false" customHeight="false" outlineLevel="0" collapsed="false">
      <c r="A342" s="11" t="n">
        <v>46475</v>
      </c>
      <c r="B342" s="38" t="n">
        <v>0.729166666666667</v>
      </c>
      <c r="C342" s="10" t="s">
        <v>1229</v>
      </c>
      <c r="D342" s="10" t="s">
        <v>1122</v>
      </c>
      <c r="E342" s="0" t="n">
        <v>5</v>
      </c>
      <c r="G342" s="30" t="str">
        <f aca="false">IF($C342="","",IFERROR(IF(INDEX(links!$A$2:$A$501,MATCH($C342,links!$D$2:$D$501,0))="","",INDEX(links!$A$2:$A$501,MATCH($C342,links!$D$2:$D$501,0))),""))</f>
        <v>SAMPLE-CMP-007</v>
      </c>
      <c r="H342" s="30" t="str">
        <f aca="false">IF($C342="","",IFERROR(IF(INDEX(links!$B$2:$B$501,MATCH($C342,links!$D$2:$D$501,0))="","",INDEX(links!$B$2:$B$501,MATCH($C342,links!$D$2:$D$501,0))),""))</f>
        <v>SAMPLE-O-005</v>
      </c>
      <c r="I342" s="30" t="str">
        <f aca="false">IF($C342="","",IFERROR(IF(INDEX(links!$C$2:$C$501,MATCH($C342,links!$D$2:$D$501,0))="","",INDEX(links!$C$2:$C$501,MATCH($C342,links!$D$2:$D$501,0))),""))</f>
        <v>qr</v>
      </c>
      <c r="J342" s="30" t="str">
        <f aca="false">IF($C342="","",IF($G342="","slug not in links; ","")&amp;IF($D342="","reading type missing; ","")&amp;IF(COUNTIFS(scans!$C$2:$C$1601,$C342,scans!$D$2:$D$1601,$D342)&gt;1,"two readings of this type: keep one; ",""))</f>
        <v/>
      </c>
    </row>
    <row r="343" customFormat="false" ht="15" hidden="false" customHeight="false" outlineLevel="0" collapsed="false">
      <c r="A343" s="11" t="n">
        <v>46468</v>
      </c>
      <c r="B343" s="38" t="n">
        <v>0.729166666666667</v>
      </c>
      <c r="C343" s="10" t="s">
        <v>1230</v>
      </c>
      <c r="D343" s="10" t="s">
        <v>1120</v>
      </c>
      <c r="E343" s="0" t="n">
        <v>1</v>
      </c>
      <c r="G343" s="30" t="str">
        <f aca="false">IF($C343="","",IFERROR(IF(INDEX(links!$A$2:$A$501,MATCH($C343,links!$D$2:$D$501,0))="","",INDEX(links!$A$2:$A$501,MATCH($C343,links!$D$2:$D$501,0))),""))</f>
        <v>SAMPLE-CMP-007</v>
      </c>
      <c r="H343" s="30" t="str">
        <f aca="false">IF($C343="","",IFERROR(IF(INDEX(links!$B$2:$B$501,MATCH($C343,links!$D$2:$D$501,0))="","",INDEX(links!$B$2:$B$501,MATCH($C343,links!$D$2:$D$501,0))),""))</f>
        <v>SAMPLE-O-005</v>
      </c>
      <c r="I343" s="30" t="str">
        <f aca="false">IF($C343="","",IFERROR(IF(INDEX(links!$C$2:$C$501,MATCH($C343,links!$D$2:$D$501,0))="","",INDEX(links!$C$2:$C$501,MATCH($C343,links!$D$2:$D$501,0))),""))</f>
        <v>post</v>
      </c>
      <c r="J343" s="30" t="str">
        <f aca="false">IF($C343="","",IF($G343="","slug not in links; ","")&amp;IF($D343="","reading type missing; ","")&amp;IF(COUNTIFS(scans!$C$2:$C$1601,$C343,scans!$D$2:$D$1601,$D343)&gt;1,"two readings of this type: keep one; ",""))</f>
        <v/>
      </c>
    </row>
    <row r="344" customFormat="false" ht="15" hidden="false" customHeight="false" outlineLevel="0" collapsed="false">
      <c r="A344" s="11" t="n">
        <v>46471</v>
      </c>
      <c r="B344" s="38" t="n">
        <v>0.729166666666667</v>
      </c>
      <c r="C344" s="10" t="s">
        <v>1230</v>
      </c>
      <c r="D344" s="10" t="s">
        <v>1121</v>
      </c>
      <c r="E344" s="0" t="n">
        <v>4</v>
      </c>
      <c r="G344" s="30" t="str">
        <f aca="false">IF($C344="","",IFERROR(IF(INDEX(links!$A$2:$A$501,MATCH($C344,links!$D$2:$D$501,0))="","",INDEX(links!$A$2:$A$501,MATCH($C344,links!$D$2:$D$501,0))),""))</f>
        <v>SAMPLE-CMP-007</v>
      </c>
      <c r="H344" s="30" t="str">
        <f aca="false">IF($C344="","",IFERROR(IF(INDEX(links!$B$2:$B$501,MATCH($C344,links!$D$2:$D$501,0))="","",INDEX(links!$B$2:$B$501,MATCH($C344,links!$D$2:$D$501,0))),""))</f>
        <v>SAMPLE-O-005</v>
      </c>
      <c r="I344" s="30" t="str">
        <f aca="false">IF($C344="","",IFERROR(IF(INDEX(links!$C$2:$C$501,MATCH($C344,links!$D$2:$D$501,0))="","",INDEX(links!$C$2:$C$501,MATCH($C344,links!$D$2:$D$501,0))),""))</f>
        <v>post</v>
      </c>
      <c r="J344" s="30" t="str">
        <f aca="false">IF($C344="","",IF($G344="","slug not in links; ","")&amp;IF($D344="","reading type missing; ","")&amp;IF(COUNTIFS(scans!$C$2:$C$1601,$C344,scans!$D$2:$D$1601,$D344)&gt;1,"two readings of this type: keep one; ",""))</f>
        <v/>
      </c>
    </row>
    <row r="345" customFormat="false" ht="15" hidden="false" customHeight="false" outlineLevel="0" collapsed="false">
      <c r="A345" s="11" t="n">
        <v>46475</v>
      </c>
      <c r="B345" s="38" t="n">
        <v>0.729166666666667</v>
      </c>
      <c r="C345" s="10" t="s">
        <v>1230</v>
      </c>
      <c r="D345" s="10" t="s">
        <v>1122</v>
      </c>
      <c r="E345" s="0" t="n">
        <v>8</v>
      </c>
      <c r="G345" s="30" t="str">
        <f aca="false">IF($C345="","",IFERROR(IF(INDEX(links!$A$2:$A$501,MATCH($C345,links!$D$2:$D$501,0))="","",INDEX(links!$A$2:$A$501,MATCH($C345,links!$D$2:$D$501,0))),""))</f>
        <v>SAMPLE-CMP-007</v>
      </c>
      <c r="H345" s="30" t="str">
        <f aca="false">IF($C345="","",IFERROR(IF(INDEX(links!$B$2:$B$501,MATCH($C345,links!$D$2:$D$501,0))="","",INDEX(links!$B$2:$B$501,MATCH($C345,links!$D$2:$D$501,0))),""))</f>
        <v>SAMPLE-O-005</v>
      </c>
      <c r="I345" s="30" t="str">
        <f aca="false">IF($C345="","",IFERROR(IF(INDEX(links!$C$2:$C$501,MATCH($C345,links!$D$2:$D$501,0))="","",INDEX(links!$C$2:$C$501,MATCH($C345,links!$D$2:$D$501,0))),""))</f>
        <v>post</v>
      </c>
      <c r="J345" s="30" t="str">
        <f aca="false">IF($C345="","",IF($G345="","slug not in links; ","")&amp;IF($D345="","reading type missing; ","")&amp;IF(COUNTIFS(scans!$C$2:$C$1601,$C345,scans!$D$2:$D$1601,$D345)&gt;1,"two readings of this type: keep one; ",""))</f>
        <v/>
      </c>
    </row>
    <row r="346" customFormat="false" ht="15" hidden="false" customHeight="false" outlineLevel="0" collapsed="false">
      <c r="A346" s="11" t="n">
        <v>46468</v>
      </c>
      <c r="B346" s="38" t="n">
        <v>0.729166666666667</v>
      </c>
      <c r="C346" s="10" t="s">
        <v>1231</v>
      </c>
      <c r="D346" s="10" t="s">
        <v>1120</v>
      </c>
      <c r="E346" s="0" t="n">
        <v>1</v>
      </c>
      <c r="G346" s="30" t="str">
        <f aca="false">IF($C346="","",IFERROR(IF(INDEX(links!$A$2:$A$501,MATCH($C346,links!$D$2:$D$501,0))="","",INDEX(links!$A$2:$A$501,MATCH($C346,links!$D$2:$D$501,0))),""))</f>
        <v>SAMPLE-CMP-007</v>
      </c>
      <c r="H346" s="30" t="str">
        <f aca="false">IF($C346="","",IFERROR(IF(INDEX(links!$B$2:$B$501,MATCH($C346,links!$D$2:$D$501,0))="","",INDEX(links!$B$2:$B$501,MATCH($C346,links!$D$2:$D$501,0))),""))</f>
        <v>SAMPLE-O-006</v>
      </c>
      <c r="I346" s="30" t="str">
        <f aca="false">IF($C346="","",IFERROR(IF(INDEX(links!$C$2:$C$501,MATCH($C346,links!$D$2:$D$501,0))="","",INDEX(links!$C$2:$C$501,MATCH($C346,links!$D$2:$D$501,0))),""))</f>
        <v>qr</v>
      </c>
      <c r="J346" s="30" t="str">
        <f aca="false">IF($C346="","",IF($G346="","slug not in links; ","")&amp;IF($D346="","reading type missing; ","")&amp;IF(COUNTIFS(scans!$C$2:$C$1601,$C346,scans!$D$2:$D$1601,$D346)&gt;1,"two readings of this type: keep one; ",""))</f>
        <v/>
      </c>
    </row>
    <row r="347" customFormat="false" ht="15" hidden="false" customHeight="false" outlineLevel="0" collapsed="false">
      <c r="A347" s="11" t="n">
        <v>46471</v>
      </c>
      <c r="B347" s="38" t="n">
        <v>0.729166666666667</v>
      </c>
      <c r="C347" s="10" t="s">
        <v>1231</v>
      </c>
      <c r="D347" s="10" t="s">
        <v>1121</v>
      </c>
      <c r="E347" s="0" t="n">
        <v>3</v>
      </c>
      <c r="G347" s="30" t="str">
        <f aca="false">IF($C347="","",IFERROR(IF(INDEX(links!$A$2:$A$501,MATCH($C347,links!$D$2:$D$501,0))="","",INDEX(links!$A$2:$A$501,MATCH($C347,links!$D$2:$D$501,0))),""))</f>
        <v>SAMPLE-CMP-007</v>
      </c>
      <c r="H347" s="30" t="str">
        <f aca="false">IF($C347="","",IFERROR(IF(INDEX(links!$B$2:$B$501,MATCH($C347,links!$D$2:$D$501,0))="","",INDEX(links!$B$2:$B$501,MATCH($C347,links!$D$2:$D$501,0))),""))</f>
        <v>SAMPLE-O-006</v>
      </c>
      <c r="I347" s="30" t="str">
        <f aca="false">IF($C347="","",IFERROR(IF(INDEX(links!$C$2:$C$501,MATCH($C347,links!$D$2:$D$501,0))="","",INDEX(links!$C$2:$C$501,MATCH($C347,links!$D$2:$D$501,0))),""))</f>
        <v>qr</v>
      </c>
      <c r="J347" s="30" t="str">
        <f aca="false">IF($C347="","",IF($G347="","slug not in links; ","")&amp;IF($D347="","reading type missing; ","")&amp;IF(COUNTIFS(scans!$C$2:$C$1601,$C347,scans!$D$2:$D$1601,$D347)&gt;1,"two readings of this type: keep one; ",""))</f>
        <v/>
      </c>
    </row>
    <row r="348" customFormat="false" ht="15" hidden="false" customHeight="false" outlineLevel="0" collapsed="false">
      <c r="A348" s="11" t="n">
        <v>46475</v>
      </c>
      <c r="B348" s="38" t="n">
        <v>0.729166666666667</v>
      </c>
      <c r="C348" s="10" t="s">
        <v>1231</v>
      </c>
      <c r="D348" s="10" t="s">
        <v>1122</v>
      </c>
      <c r="E348" s="0" t="n">
        <v>7</v>
      </c>
      <c r="G348" s="30" t="str">
        <f aca="false">IF($C348="","",IFERROR(IF(INDEX(links!$A$2:$A$501,MATCH($C348,links!$D$2:$D$501,0))="","",INDEX(links!$A$2:$A$501,MATCH($C348,links!$D$2:$D$501,0))),""))</f>
        <v>SAMPLE-CMP-007</v>
      </c>
      <c r="H348" s="30" t="str">
        <f aca="false">IF($C348="","",IFERROR(IF(INDEX(links!$B$2:$B$501,MATCH($C348,links!$D$2:$D$501,0))="","",INDEX(links!$B$2:$B$501,MATCH($C348,links!$D$2:$D$501,0))),""))</f>
        <v>SAMPLE-O-006</v>
      </c>
      <c r="I348" s="30" t="str">
        <f aca="false">IF($C348="","",IFERROR(IF(INDEX(links!$C$2:$C$501,MATCH($C348,links!$D$2:$D$501,0))="","",INDEX(links!$C$2:$C$501,MATCH($C348,links!$D$2:$D$501,0))),""))</f>
        <v>qr</v>
      </c>
      <c r="J348" s="30" t="str">
        <f aca="false">IF($C348="","",IF($G348="","slug not in links; ","")&amp;IF($D348="","reading type missing; ","")&amp;IF(COUNTIFS(scans!$C$2:$C$1601,$C348,scans!$D$2:$D$1601,$D348)&gt;1,"two readings of this type: keep one; ",""))</f>
        <v/>
      </c>
    </row>
    <row r="349" customFormat="false" ht="15" hidden="false" customHeight="false" outlineLevel="0" collapsed="false">
      <c r="A349" s="11" t="n">
        <v>46468</v>
      </c>
      <c r="B349" s="38" t="n">
        <v>0.729166666666667</v>
      </c>
      <c r="C349" s="10" t="s">
        <v>1232</v>
      </c>
      <c r="D349" s="10" t="s">
        <v>1120</v>
      </c>
      <c r="E349" s="0" t="n">
        <v>1</v>
      </c>
      <c r="G349" s="30" t="str">
        <f aca="false">IF($C349="","",IFERROR(IF(INDEX(links!$A$2:$A$501,MATCH($C349,links!$D$2:$D$501,0))="","",INDEX(links!$A$2:$A$501,MATCH($C349,links!$D$2:$D$501,0))),""))</f>
        <v>SAMPLE-CMP-007</v>
      </c>
      <c r="H349" s="30" t="str">
        <f aca="false">IF($C349="","",IFERROR(IF(INDEX(links!$B$2:$B$501,MATCH($C349,links!$D$2:$D$501,0))="","",INDEX(links!$B$2:$B$501,MATCH($C349,links!$D$2:$D$501,0))),""))</f>
        <v>SAMPLE-O-006</v>
      </c>
      <c r="I349" s="30" t="str">
        <f aca="false">IF($C349="","",IFERROR(IF(INDEX(links!$C$2:$C$501,MATCH($C349,links!$D$2:$D$501,0))="","",INDEX(links!$C$2:$C$501,MATCH($C349,links!$D$2:$D$501,0))),""))</f>
        <v>post</v>
      </c>
      <c r="J349" s="30" t="str">
        <f aca="false">IF($C349="","",IF($G349="","slug not in links; ","")&amp;IF($D349="","reading type missing; ","")&amp;IF(COUNTIFS(scans!$C$2:$C$1601,$C349,scans!$D$2:$D$1601,$D349)&gt;1,"two readings of this type: keep one; ",""))</f>
        <v/>
      </c>
    </row>
    <row r="350" customFormat="false" ht="15" hidden="false" customHeight="false" outlineLevel="0" collapsed="false">
      <c r="A350" s="11" t="n">
        <v>46471</v>
      </c>
      <c r="B350" s="38" t="n">
        <v>0.729166666666667</v>
      </c>
      <c r="C350" s="10" t="s">
        <v>1232</v>
      </c>
      <c r="D350" s="10" t="s">
        <v>1121</v>
      </c>
      <c r="E350" s="0" t="n">
        <v>5</v>
      </c>
      <c r="G350" s="30" t="str">
        <f aca="false">IF($C350="","",IFERROR(IF(INDEX(links!$A$2:$A$501,MATCH($C350,links!$D$2:$D$501,0))="","",INDEX(links!$A$2:$A$501,MATCH($C350,links!$D$2:$D$501,0))),""))</f>
        <v>SAMPLE-CMP-007</v>
      </c>
      <c r="H350" s="30" t="str">
        <f aca="false">IF($C350="","",IFERROR(IF(INDEX(links!$B$2:$B$501,MATCH($C350,links!$D$2:$D$501,0))="","",INDEX(links!$B$2:$B$501,MATCH($C350,links!$D$2:$D$501,0))),""))</f>
        <v>SAMPLE-O-006</v>
      </c>
      <c r="I350" s="30" t="str">
        <f aca="false">IF($C350="","",IFERROR(IF(INDEX(links!$C$2:$C$501,MATCH($C350,links!$D$2:$D$501,0))="","",INDEX(links!$C$2:$C$501,MATCH($C350,links!$D$2:$D$501,0))),""))</f>
        <v>post</v>
      </c>
      <c r="J350" s="30" t="str">
        <f aca="false">IF($C350="","",IF($G350="","slug not in links; ","")&amp;IF($D350="","reading type missing; ","")&amp;IF(COUNTIFS(scans!$C$2:$C$1601,$C350,scans!$D$2:$D$1601,$D350)&gt;1,"two readings of this type: keep one; ",""))</f>
        <v/>
      </c>
    </row>
    <row r="351" customFormat="false" ht="15" hidden="false" customHeight="false" outlineLevel="0" collapsed="false">
      <c r="A351" s="11" t="n">
        <v>46475</v>
      </c>
      <c r="B351" s="38" t="n">
        <v>0.729166666666667</v>
      </c>
      <c r="C351" s="10" t="s">
        <v>1232</v>
      </c>
      <c r="D351" s="10" t="s">
        <v>1122</v>
      </c>
      <c r="E351" s="0" t="n">
        <v>10</v>
      </c>
      <c r="G351" s="30" t="str">
        <f aca="false">IF($C351="","",IFERROR(IF(INDEX(links!$A$2:$A$501,MATCH($C351,links!$D$2:$D$501,0))="","",INDEX(links!$A$2:$A$501,MATCH($C351,links!$D$2:$D$501,0))),""))</f>
        <v>SAMPLE-CMP-007</v>
      </c>
      <c r="H351" s="30" t="str">
        <f aca="false">IF($C351="","",IFERROR(IF(INDEX(links!$B$2:$B$501,MATCH($C351,links!$D$2:$D$501,0))="","",INDEX(links!$B$2:$B$501,MATCH($C351,links!$D$2:$D$501,0))),""))</f>
        <v>SAMPLE-O-006</v>
      </c>
      <c r="I351" s="30" t="str">
        <f aca="false">IF($C351="","",IFERROR(IF(INDEX(links!$C$2:$C$501,MATCH($C351,links!$D$2:$D$501,0))="","",INDEX(links!$C$2:$C$501,MATCH($C351,links!$D$2:$D$501,0))),""))</f>
        <v>post</v>
      </c>
      <c r="J351" s="30" t="str">
        <f aca="false">IF($C351="","",IF($G351="","slug not in links; ","")&amp;IF($D351="","reading type missing; ","")&amp;IF(COUNTIFS(scans!$C$2:$C$1601,$C351,scans!$D$2:$D$1601,$D351)&gt;1,"two readings of this type: keep one; ",""))</f>
        <v/>
      </c>
    </row>
    <row r="352" customFormat="false" ht="15" hidden="false" customHeight="false" outlineLevel="0" collapsed="false">
      <c r="A352" s="11" t="n">
        <v>46468</v>
      </c>
      <c r="B352" s="38" t="n">
        <v>0.729166666666667</v>
      </c>
      <c r="C352" s="10" t="s">
        <v>1233</v>
      </c>
      <c r="D352" s="10" t="s">
        <v>1120</v>
      </c>
      <c r="E352" s="0" t="n">
        <v>1</v>
      </c>
      <c r="G352" s="30" t="str">
        <f aca="false">IF($C352="","",IFERROR(IF(INDEX(links!$A$2:$A$501,MATCH($C352,links!$D$2:$D$501,0))="","",INDEX(links!$A$2:$A$501,MATCH($C352,links!$D$2:$D$501,0))),""))</f>
        <v>SAMPLE-CMP-007</v>
      </c>
      <c r="H352" s="30" t="str">
        <f aca="false">IF($C352="","",IFERROR(IF(INDEX(links!$B$2:$B$501,MATCH($C352,links!$D$2:$D$501,0))="","",INDEX(links!$B$2:$B$501,MATCH($C352,links!$D$2:$D$501,0))),""))</f>
        <v>SAMPLE-O-007</v>
      </c>
      <c r="I352" s="30" t="str">
        <f aca="false">IF($C352="","",IFERROR(IF(INDEX(links!$C$2:$C$501,MATCH($C352,links!$D$2:$D$501,0))="","",INDEX(links!$C$2:$C$501,MATCH($C352,links!$D$2:$D$501,0))),""))</f>
        <v>qr</v>
      </c>
      <c r="J352" s="30" t="str">
        <f aca="false">IF($C352="","",IF($G352="","slug not in links; ","")&amp;IF($D352="","reading type missing; ","")&amp;IF(COUNTIFS(scans!$C$2:$C$1601,$C352,scans!$D$2:$D$1601,$D352)&gt;1,"two readings of this type: keep one; ",""))</f>
        <v/>
      </c>
    </row>
    <row r="353" customFormat="false" ht="15" hidden="false" customHeight="false" outlineLevel="0" collapsed="false">
      <c r="A353" s="11" t="n">
        <v>46471</v>
      </c>
      <c r="B353" s="38" t="n">
        <v>0.729166666666667</v>
      </c>
      <c r="C353" s="10" t="s">
        <v>1233</v>
      </c>
      <c r="D353" s="10" t="s">
        <v>1121</v>
      </c>
      <c r="E353" s="0" t="n">
        <v>4</v>
      </c>
      <c r="G353" s="30" t="str">
        <f aca="false">IF($C353="","",IFERROR(IF(INDEX(links!$A$2:$A$501,MATCH($C353,links!$D$2:$D$501,0))="","",INDEX(links!$A$2:$A$501,MATCH($C353,links!$D$2:$D$501,0))),""))</f>
        <v>SAMPLE-CMP-007</v>
      </c>
      <c r="H353" s="30" t="str">
        <f aca="false">IF($C353="","",IFERROR(IF(INDEX(links!$B$2:$B$501,MATCH($C353,links!$D$2:$D$501,0))="","",INDEX(links!$B$2:$B$501,MATCH($C353,links!$D$2:$D$501,0))),""))</f>
        <v>SAMPLE-O-007</v>
      </c>
      <c r="I353" s="30" t="str">
        <f aca="false">IF($C353="","",IFERROR(IF(INDEX(links!$C$2:$C$501,MATCH($C353,links!$D$2:$D$501,0))="","",INDEX(links!$C$2:$C$501,MATCH($C353,links!$D$2:$D$501,0))),""))</f>
        <v>qr</v>
      </c>
      <c r="J353" s="30" t="str">
        <f aca="false">IF($C353="","",IF($G353="","slug not in links; ","")&amp;IF($D353="","reading type missing; ","")&amp;IF(COUNTIFS(scans!$C$2:$C$1601,$C353,scans!$D$2:$D$1601,$D353)&gt;1,"two readings of this type: keep one; ",""))</f>
        <v/>
      </c>
    </row>
    <row r="354" customFormat="false" ht="15" hidden="false" customHeight="false" outlineLevel="0" collapsed="false">
      <c r="A354" s="11" t="n">
        <v>46475</v>
      </c>
      <c r="B354" s="38" t="n">
        <v>0.729166666666667</v>
      </c>
      <c r="C354" s="10" t="s">
        <v>1233</v>
      </c>
      <c r="D354" s="10" t="s">
        <v>1122</v>
      </c>
      <c r="E354" s="0" t="n">
        <v>9</v>
      </c>
      <c r="G354" s="30" t="str">
        <f aca="false">IF($C354="","",IFERROR(IF(INDEX(links!$A$2:$A$501,MATCH($C354,links!$D$2:$D$501,0))="","",INDEX(links!$A$2:$A$501,MATCH($C354,links!$D$2:$D$501,0))),""))</f>
        <v>SAMPLE-CMP-007</v>
      </c>
      <c r="H354" s="30" t="str">
        <f aca="false">IF($C354="","",IFERROR(IF(INDEX(links!$B$2:$B$501,MATCH($C354,links!$D$2:$D$501,0))="","",INDEX(links!$B$2:$B$501,MATCH($C354,links!$D$2:$D$501,0))),""))</f>
        <v>SAMPLE-O-007</v>
      </c>
      <c r="I354" s="30" t="str">
        <f aca="false">IF($C354="","",IFERROR(IF(INDEX(links!$C$2:$C$501,MATCH($C354,links!$D$2:$D$501,0))="","",INDEX(links!$C$2:$C$501,MATCH($C354,links!$D$2:$D$501,0))),""))</f>
        <v>qr</v>
      </c>
      <c r="J354" s="30" t="str">
        <f aca="false">IF($C354="","",IF($G354="","slug not in links; ","")&amp;IF($D354="","reading type missing; ","")&amp;IF(COUNTIFS(scans!$C$2:$C$1601,$C354,scans!$D$2:$D$1601,$D354)&gt;1,"two readings of this type: keep one; ",""))</f>
        <v/>
      </c>
    </row>
    <row r="355" customFormat="false" ht="15" hidden="false" customHeight="false" outlineLevel="0" collapsed="false">
      <c r="A355" s="11" t="n">
        <v>46468</v>
      </c>
      <c r="B355" s="38" t="n">
        <v>0.729166666666667</v>
      </c>
      <c r="C355" s="10" t="s">
        <v>1234</v>
      </c>
      <c r="D355" s="10" t="s">
        <v>1120</v>
      </c>
      <c r="E355" s="0" t="n">
        <v>1</v>
      </c>
      <c r="G355" s="30" t="str">
        <f aca="false">IF($C355="","",IFERROR(IF(INDEX(links!$A$2:$A$501,MATCH($C355,links!$D$2:$D$501,0))="","",INDEX(links!$A$2:$A$501,MATCH($C355,links!$D$2:$D$501,0))),""))</f>
        <v>SAMPLE-CMP-007</v>
      </c>
      <c r="H355" s="30" t="str">
        <f aca="false">IF($C355="","",IFERROR(IF(INDEX(links!$B$2:$B$501,MATCH($C355,links!$D$2:$D$501,0))="","",INDEX(links!$B$2:$B$501,MATCH($C355,links!$D$2:$D$501,0))),""))</f>
        <v>SAMPLE-O-007</v>
      </c>
      <c r="I355" s="30" t="str">
        <f aca="false">IF($C355="","",IFERROR(IF(INDEX(links!$C$2:$C$501,MATCH($C355,links!$D$2:$D$501,0))="","",INDEX(links!$C$2:$C$501,MATCH($C355,links!$D$2:$D$501,0))),""))</f>
        <v>post</v>
      </c>
      <c r="J355" s="30" t="str">
        <f aca="false">IF($C355="","",IF($G355="","slug not in links; ","")&amp;IF($D355="","reading type missing; ","")&amp;IF(COUNTIFS(scans!$C$2:$C$1601,$C355,scans!$D$2:$D$1601,$D355)&gt;1,"two readings of this type: keep one; ",""))</f>
        <v/>
      </c>
    </row>
    <row r="356" customFormat="false" ht="15" hidden="false" customHeight="false" outlineLevel="0" collapsed="false">
      <c r="A356" s="11" t="n">
        <v>46471</v>
      </c>
      <c r="B356" s="38" t="n">
        <v>0.729166666666667</v>
      </c>
      <c r="C356" s="10" t="s">
        <v>1234</v>
      </c>
      <c r="D356" s="10" t="s">
        <v>1121</v>
      </c>
      <c r="E356" s="0" t="n">
        <v>6</v>
      </c>
      <c r="G356" s="30" t="str">
        <f aca="false">IF($C356="","",IFERROR(IF(INDEX(links!$A$2:$A$501,MATCH($C356,links!$D$2:$D$501,0))="","",INDEX(links!$A$2:$A$501,MATCH($C356,links!$D$2:$D$501,0))),""))</f>
        <v>SAMPLE-CMP-007</v>
      </c>
      <c r="H356" s="30" t="str">
        <f aca="false">IF($C356="","",IFERROR(IF(INDEX(links!$B$2:$B$501,MATCH($C356,links!$D$2:$D$501,0))="","",INDEX(links!$B$2:$B$501,MATCH($C356,links!$D$2:$D$501,0))),""))</f>
        <v>SAMPLE-O-007</v>
      </c>
      <c r="I356" s="30" t="str">
        <f aca="false">IF($C356="","",IFERROR(IF(INDEX(links!$C$2:$C$501,MATCH($C356,links!$D$2:$D$501,0))="","",INDEX(links!$C$2:$C$501,MATCH($C356,links!$D$2:$D$501,0))),""))</f>
        <v>post</v>
      </c>
      <c r="J356" s="30" t="str">
        <f aca="false">IF($C356="","",IF($G356="","slug not in links; ","")&amp;IF($D356="","reading type missing; ","")&amp;IF(COUNTIFS(scans!$C$2:$C$1601,$C356,scans!$D$2:$D$1601,$D356)&gt;1,"two readings of this type: keep one; ",""))</f>
        <v/>
      </c>
    </row>
    <row r="357" customFormat="false" ht="15" hidden="false" customHeight="false" outlineLevel="0" collapsed="false">
      <c r="A357" s="11" t="n">
        <v>46475</v>
      </c>
      <c r="B357" s="38" t="n">
        <v>0.729166666666667</v>
      </c>
      <c r="C357" s="10" t="s">
        <v>1234</v>
      </c>
      <c r="D357" s="10" t="s">
        <v>1122</v>
      </c>
      <c r="E357" s="0" t="n">
        <v>12</v>
      </c>
      <c r="G357" s="30" t="str">
        <f aca="false">IF($C357="","",IFERROR(IF(INDEX(links!$A$2:$A$501,MATCH($C357,links!$D$2:$D$501,0))="","",INDEX(links!$A$2:$A$501,MATCH($C357,links!$D$2:$D$501,0))),""))</f>
        <v>SAMPLE-CMP-007</v>
      </c>
      <c r="H357" s="30" t="str">
        <f aca="false">IF($C357="","",IFERROR(IF(INDEX(links!$B$2:$B$501,MATCH($C357,links!$D$2:$D$501,0))="","",INDEX(links!$B$2:$B$501,MATCH($C357,links!$D$2:$D$501,0))),""))</f>
        <v>SAMPLE-O-007</v>
      </c>
      <c r="I357" s="30" t="str">
        <f aca="false">IF($C357="","",IFERROR(IF(INDEX(links!$C$2:$C$501,MATCH($C357,links!$D$2:$D$501,0))="","",INDEX(links!$C$2:$C$501,MATCH($C357,links!$D$2:$D$501,0))),""))</f>
        <v>post</v>
      </c>
      <c r="J357" s="30" t="str">
        <f aca="false">IF($C357="","",IF($G357="","slug not in links; ","")&amp;IF($D357="","reading type missing; ","")&amp;IF(COUNTIFS(scans!$C$2:$C$1601,$C357,scans!$D$2:$D$1601,$D357)&gt;1,"two readings of this type: keep one; ",""))</f>
        <v/>
      </c>
    </row>
    <row r="358" customFormat="false" ht="15" hidden="false" customHeight="false" outlineLevel="0" collapsed="false">
      <c r="A358" s="11" t="n">
        <v>46468</v>
      </c>
      <c r="B358" s="38" t="n">
        <v>0.729166666666667</v>
      </c>
      <c r="C358" s="10" t="s">
        <v>1235</v>
      </c>
      <c r="D358" s="10" t="s">
        <v>1120</v>
      </c>
      <c r="E358" s="0" t="n">
        <v>1</v>
      </c>
      <c r="G358" s="30" t="str">
        <f aca="false">IF($C358="","",IFERROR(IF(INDEX(links!$A$2:$A$501,MATCH($C358,links!$D$2:$D$501,0))="","",INDEX(links!$A$2:$A$501,MATCH($C358,links!$D$2:$D$501,0))),""))</f>
        <v>SAMPLE-CMP-007</v>
      </c>
      <c r="H358" s="30" t="str">
        <f aca="false">IF($C358="","",IFERROR(IF(INDEX(links!$B$2:$B$501,MATCH($C358,links!$D$2:$D$501,0))="","",INDEX(links!$B$2:$B$501,MATCH($C358,links!$D$2:$D$501,0))),""))</f>
        <v>SAMPLE-O-008</v>
      </c>
      <c r="I358" s="30" t="str">
        <f aca="false">IF($C358="","",IFERROR(IF(INDEX(links!$C$2:$C$501,MATCH($C358,links!$D$2:$D$501,0))="","",INDEX(links!$C$2:$C$501,MATCH($C358,links!$D$2:$D$501,0))),""))</f>
        <v>qr</v>
      </c>
      <c r="J358" s="30" t="str">
        <f aca="false">IF($C358="","",IF($G358="","slug not in links; ","")&amp;IF($D358="","reading type missing; ","")&amp;IF(COUNTIFS(scans!$C$2:$C$1601,$C358,scans!$D$2:$D$1601,$D358)&gt;1,"two readings of this type: keep one; ",""))</f>
        <v/>
      </c>
    </row>
    <row r="359" customFormat="false" ht="15" hidden="false" customHeight="false" outlineLevel="0" collapsed="false">
      <c r="A359" s="11" t="n">
        <v>46471</v>
      </c>
      <c r="B359" s="38" t="n">
        <v>0.729166666666667</v>
      </c>
      <c r="C359" s="10" t="s">
        <v>1235</v>
      </c>
      <c r="D359" s="10" t="s">
        <v>1121</v>
      </c>
      <c r="E359" s="0" t="n">
        <v>5</v>
      </c>
      <c r="G359" s="30" t="str">
        <f aca="false">IF($C359="","",IFERROR(IF(INDEX(links!$A$2:$A$501,MATCH($C359,links!$D$2:$D$501,0))="","",INDEX(links!$A$2:$A$501,MATCH($C359,links!$D$2:$D$501,0))),""))</f>
        <v>SAMPLE-CMP-007</v>
      </c>
      <c r="H359" s="30" t="str">
        <f aca="false">IF($C359="","",IFERROR(IF(INDEX(links!$B$2:$B$501,MATCH($C359,links!$D$2:$D$501,0))="","",INDEX(links!$B$2:$B$501,MATCH($C359,links!$D$2:$D$501,0))),""))</f>
        <v>SAMPLE-O-008</v>
      </c>
      <c r="I359" s="30" t="str">
        <f aca="false">IF($C359="","",IFERROR(IF(INDEX(links!$C$2:$C$501,MATCH($C359,links!$D$2:$D$501,0))="","",INDEX(links!$C$2:$C$501,MATCH($C359,links!$D$2:$D$501,0))),""))</f>
        <v>qr</v>
      </c>
      <c r="J359" s="30" t="str">
        <f aca="false">IF($C359="","",IF($G359="","slug not in links; ","")&amp;IF($D359="","reading type missing; ","")&amp;IF(COUNTIFS(scans!$C$2:$C$1601,$C359,scans!$D$2:$D$1601,$D359)&gt;1,"two readings of this type: keep one; ",""))</f>
        <v/>
      </c>
    </row>
    <row r="360" customFormat="false" ht="15" hidden="false" customHeight="false" outlineLevel="0" collapsed="false">
      <c r="A360" s="11" t="n">
        <v>46475</v>
      </c>
      <c r="B360" s="38" t="n">
        <v>0.729166666666667</v>
      </c>
      <c r="C360" s="10" t="s">
        <v>1235</v>
      </c>
      <c r="D360" s="10" t="s">
        <v>1122</v>
      </c>
      <c r="E360" s="0" t="n">
        <v>11</v>
      </c>
      <c r="G360" s="30" t="str">
        <f aca="false">IF($C360="","",IFERROR(IF(INDEX(links!$A$2:$A$501,MATCH($C360,links!$D$2:$D$501,0))="","",INDEX(links!$A$2:$A$501,MATCH($C360,links!$D$2:$D$501,0))),""))</f>
        <v>SAMPLE-CMP-007</v>
      </c>
      <c r="H360" s="30" t="str">
        <f aca="false">IF($C360="","",IFERROR(IF(INDEX(links!$B$2:$B$501,MATCH($C360,links!$D$2:$D$501,0))="","",INDEX(links!$B$2:$B$501,MATCH($C360,links!$D$2:$D$501,0))),""))</f>
        <v>SAMPLE-O-008</v>
      </c>
      <c r="I360" s="30" t="str">
        <f aca="false">IF($C360="","",IFERROR(IF(INDEX(links!$C$2:$C$501,MATCH($C360,links!$D$2:$D$501,0))="","",INDEX(links!$C$2:$C$501,MATCH($C360,links!$D$2:$D$501,0))),""))</f>
        <v>qr</v>
      </c>
      <c r="J360" s="30" t="str">
        <f aca="false">IF($C360="","",IF($G360="","slug not in links; ","")&amp;IF($D360="","reading type missing; ","")&amp;IF(COUNTIFS(scans!$C$2:$C$1601,$C360,scans!$D$2:$D$1601,$D360)&gt;1,"two readings of this type: keep one; ",""))</f>
        <v/>
      </c>
    </row>
    <row r="361" customFormat="false" ht="15" hidden="false" customHeight="false" outlineLevel="0" collapsed="false">
      <c r="A361" s="11" t="n">
        <v>46468</v>
      </c>
      <c r="B361" s="38" t="n">
        <v>0.729166666666667</v>
      </c>
      <c r="C361" s="10" t="s">
        <v>1236</v>
      </c>
      <c r="D361" s="10" t="s">
        <v>1120</v>
      </c>
      <c r="E361" s="0" t="n">
        <v>1</v>
      </c>
      <c r="G361" s="30" t="str">
        <f aca="false">IF($C361="","",IFERROR(IF(INDEX(links!$A$2:$A$501,MATCH($C361,links!$D$2:$D$501,0))="","",INDEX(links!$A$2:$A$501,MATCH($C361,links!$D$2:$D$501,0))),""))</f>
        <v>SAMPLE-CMP-007</v>
      </c>
      <c r="H361" s="30" t="str">
        <f aca="false">IF($C361="","",IFERROR(IF(INDEX(links!$B$2:$B$501,MATCH($C361,links!$D$2:$D$501,0))="","",INDEX(links!$B$2:$B$501,MATCH($C361,links!$D$2:$D$501,0))),""))</f>
        <v>SAMPLE-O-008</v>
      </c>
      <c r="I361" s="30" t="str">
        <f aca="false">IF($C361="","",IFERROR(IF(INDEX(links!$C$2:$C$501,MATCH($C361,links!$D$2:$D$501,0))="","",INDEX(links!$C$2:$C$501,MATCH($C361,links!$D$2:$D$501,0))),""))</f>
        <v>post</v>
      </c>
      <c r="J361" s="30" t="str">
        <f aca="false">IF($C361="","",IF($G361="","slug not in links; ","")&amp;IF($D361="","reading type missing; ","")&amp;IF(COUNTIFS(scans!$C$2:$C$1601,$C361,scans!$D$2:$D$1601,$D361)&gt;1,"two readings of this type: keep one; ",""))</f>
        <v/>
      </c>
    </row>
    <row r="362" customFormat="false" ht="15" hidden="false" customHeight="false" outlineLevel="0" collapsed="false">
      <c r="A362" s="11" t="n">
        <v>46471</v>
      </c>
      <c r="B362" s="38" t="n">
        <v>0.729166666666667</v>
      </c>
      <c r="C362" s="10" t="s">
        <v>1236</v>
      </c>
      <c r="D362" s="10" t="s">
        <v>1121</v>
      </c>
      <c r="E362" s="0" t="n">
        <v>2</v>
      </c>
      <c r="G362" s="30" t="str">
        <f aca="false">IF($C362="","",IFERROR(IF(INDEX(links!$A$2:$A$501,MATCH($C362,links!$D$2:$D$501,0))="","",INDEX(links!$A$2:$A$501,MATCH($C362,links!$D$2:$D$501,0))),""))</f>
        <v>SAMPLE-CMP-007</v>
      </c>
      <c r="H362" s="30" t="str">
        <f aca="false">IF($C362="","",IFERROR(IF(INDEX(links!$B$2:$B$501,MATCH($C362,links!$D$2:$D$501,0))="","",INDEX(links!$B$2:$B$501,MATCH($C362,links!$D$2:$D$501,0))),""))</f>
        <v>SAMPLE-O-008</v>
      </c>
      <c r="I362" s="30" t="str">
        <f aca="false">IF($C362="","",IFERROR(IF(INDEX(links!$C$2:$C$501,MATCH($C362,links!$D$2:$D$501,0))="","",INDEX(links!$C$2:$C$501,MATCH($C362,links!$D$2:$D$501,0))),""))</f>
        <v>post</v>
      </c>
      <c r="J362" s="30" t="str">
        <f aca="false">IF($C362="","",IF($G362="","slug not in links; ","")&amp;IF($D362="","reading type missing; ","")&amp;IF(COUNTIFS(scans!$C$2:$C$1601,$C362,scans!$D$2:$D$1601,$D362)&gt;1,"two readings of this type: keep one; ",""))</f>
        <v/>
      </c>
    </row>
    <row r="363" customFormat="false" ht="15" hidden="false" customHeight="false" outlineLevel="0" collapsed="false">
      <c r="A363" s="11" t="n">
        <v>46475</v>
      </c>
      <c r="B363" s="38" t="n">
        <v>0.729166666666667</v>
      </c>
      <c r="C363" s="10" t="s">
        <v>1236</v>
      </c>
      <c r="D363" s="10" t="s">
        <v>1122</v>
      </c>
      <c r="E363" s="0" t="n">
        <v>4</v>
      </c>
      <c r="G363" s="30" t="str">
        <f aca="false">IF($C363="","",IFERROR(IF(INDEX(links!$A$2:$A$501,MATCH($C363,links!$D$2:$D$501,0))="","",INDEX(links!$A$2:$A$501,MATCH($C363,links!$D$2:$D$501,0))),""))</f>
        <v>SAMPLE-CMP-007</v>
      </c>
      <c r="H363" s="30" t="str">
        <f aca="false">IF($C363="","",IFERROR(IF(INDEX(links!$B$2:$B$501,MATCH($C363,links!$D$2:$D$501,0))="","",INDEX(links!$B$2:$B$501,MATCH($C363,links!$D$2:$D$501,0))),""))</f>
        <v>SAMPLE-O-008</v>
      </c>
      <c r="I363" s="30" t="str">
        <f aca="false">IF($C363="","",IFERROR(IF(INDEX(links!$C$2:$C$501,MATCH($C363,links!$D$2:$D$501,0))="","",INDEX(links!$C$2:$C$501,MATCH($C363,links!$D$2:$D$501,0))),""))</f>
        <v>post</v>
      </c>
      <c r="J363" s="30" t="str">
        <f aca="false">IF($C363="","",IF($G363="","slug not in links; ","")&amp;IF($D363="","reading type missing; ","")&amp;IF(COUNTIFS(scans!$C$2:$C$1601,$C363,scans!$D$2:$D$1601,$D363)&gt;1,"two readings of this type: keep one; ",""))</f>
        <v/>
      </c>
    </row>
    <row r="364" customFormat="false" ht="15" hidden="false" customHeight="false" outlineLevel="0" collapsed="false">
      <c r="A364" s="11" t="n">
        <v>46468</v>
      </c>
      <c r="B364" s="38" t="n">
        <v>0.729166666666667</v>
      </c>
      <c r="C364" s="10" t="s">
        <v>1237</v>
      </c>
      <c r="D364" s="10" t="s">
        <v>1120</v>
      </c>
      <c r="E364" s="0" t="n">
        <v>1</v>
      </c>
      <c r="G364" s="30" t="str">
        <f aca="false">IF($C364="","",IFERROR(IF(INDEX(links!$A$2:$A$501,MATCH($C364,links!$D$2:$D$501,0))="","",INDEX(links!$A$2:$A$501,MATCH($C364,links!$D$2:$D$501,0))),""))</f>
        <v>SAMPLE-CMP-007</v>
      </c>
      <c r="H364" s="30" t="str">
        <f aca="false">IF($C364="","",IFERROR(IF(INDEX(links!$B$2:$B$501,MATCH($C364,links!$D$2:$D$501,0))="","",INDEX(links!$B$2:$B$501,MATCH($C364,links!$D$2:$D$501,0))),""))</f>
        <v>SAMPLE-O-009</v>
      </c>
      <c r="I364" s="30" t="str">
        <f aca="false">IF($C364="","",IFERROR(IF(INDEX(links!$C$2:$C$501,MATCH($C364,links!$D$2:$D$501,0))="","",INDEX(links!$C$2:$C$501,MATCH($C364,links!$D$2:$D$501,0))),""))</f>
        <v>qr</v>
      </c>
      <c r="J364" s="30" t="str">
        <f aca="false">IF($C364="","",IF($G364="","slug not in links; ","")&amp;IF($D364="","reading type missing; ","")&amp;IF(COUNTIFS(scans!$C$2:$C$1601,$C364,scans!$D$2:$D$1601,$D364)&gt;1,"two readings of this type: keep one; ",""))</f>
        <v/>
      </c>
    </row>
    <row r="365" customFormat="false" ht="15" hidden="false" customHeight="false" outlineLevel="0" collapsed="false">
      <c r="A365" s="11" t="n">
        <v>46471</v>
      </c>
      <c r="B365" s="38" t="n">
        <v>0.729166666666667</v>
      </c>
      <c r="C365" s="10" t="s">
        <v>1237</v>
      </c>
      <c r="D365" s="10" t="s">
        <v>1121</v>
      </c>
      <c r="E365" s="0" t="n">
        <v>6</v>
      </c>
      <c r="G365" s="30" t="str">
        <f aca="false">IF($C365="","",IFERROR(IF(INDEX(links!$A$2:$A$501,MATCH($C365,links!$D$2:$D$501,0))="","",INDEX(links!$A$2:$A$501,MATCH($C365,links!$D$2:$D$501,0))),""))</f>
        <v>SAMPLE-CMP-007</v>
      </c>
      <c r="H365" s="30" t="str">
        <f aca="false">IF($C365="","",IFERROR(IF(INDEX(links!$B$2:$B$501,MATCH($C365,links!$D$2:$D$501,0))="","",INDEX(links!$B$2:$B$501,MATCH($C365,links!$D$2:$D$501,0))),""))</f>
        <v>SAMPLE-O-009</v>
      </c>
      <c r="I365" s="30" t="str">
        <f aca="false">IF($C365="","",IFERROR(IF(INDEX(links!$C$2:$C$501,MATCH($C365,links!$D$2:$D$501,0))="","",INDEX(links!$C$2:$C$501,MATCH($C365,links!$D$2:$D$501,0))),""))</f>
        <v>qr</v>
      </c>
      <c r="J365" s="30" t="str">
        <f aca="false">IF($C365="","",IF($G365="","slug not in links; ","")&amp;IF($D365="","reading type missing; ","")&amp;IF(COUNTIFS(scans!$C$2:$C$1601,$C365,scans!$D$2:$D$1601,$D365)&gt;1,"two readings of this type: keep one; ",""))</f>
        <v/>
      </c>
    </row>
    <row r="366" customFormat="false" ht="15" hidden="false" customHeight="false" outlineLevel="0" collapsed="false">
      <c r="A366" s="11" t="n">
        <v>46475</v>
      </c>
      <c r="B366" s="38" t="n">
        <v>0.729166666666667</v>
      </c>
      <c r="C366" s="10" t="s">
        <v>1237</v>
      </c>
      <c r="D366" s="10" t="s">
        <v>1122</v>
      </c>
      <c r="E366" s="0" t="n">
        <v>13</v>
      </c>
      <c r="G366" s="30" t="str">
        <f aca="false">IF($C366="","",IFERROR(IF(INDEX(links!$A$2:$A$501,MATCH($C366,links!$D$2:$D$501,0))="","",INDEX(links!$A$2:$A$501,MATCH($C366,links!$D$2:$D$501,0))),""))</f>
        <v>SAMPLE-CMP-007</v>
      </c>
      <c r="H366" s="30" t="str">
        <f aca="false">IF($C366="","",IFERROR(IF(INDEX(links!$B$2:$B$501,MATCH($C366,links!$D$2:$D$501,0))="","",INDEX(links!$B$2:$B$501,MATCH($C366,links!$D$2:$D$501,0))),""))</f>
        <v>SAMPLE-O-009</v>
      </c>
      <c r="I366" s="30" t="str">
        <f aca="false">IF($C366="","",IFERROR(IF(INDEX(links!$C$2:$C$501,MATCH($C366,links!$D$2:$D$501,0))="","",INDEX(links!$C$2:$C$501,MATCH($C366,links!$D$2:$D$501,0))),""))</f>
        <v>qr</v>
      </c>
      <c r="J366" s="30" t="str">
        <f aca="false">IF($C366="","",IF($G366="","slug not in links; ","")&amp;IF($D366="","reading type missing; ","")&amp;IF(COUNTIFS(scans!$C$2:$C$1601,$C366,scans!$D$2:$D$1601,$D366)&gt;1,"two readings of this type: keep one; ",""))</f>
        <v/>
      </c>
    </row>
    <row r="367" customFormat="false" ht="15" hidden="false" customHeight="false" outlineLevel="0" collapsed="false">
      <c r="A367" s="11" t="n">
        <v>46468</v>
      </c>
      <c r="B367" s="38" t="n">
        <v>0.729166666666667</v>
      </c>
      <c r="C367" s="10" t="s">
        <v>1238</v>
      </c>
      <c r="D367" s="10" t="s">
        <v>1120</v>
      </c>
      <c r="E367" s="0" t="n">
        <v>1</v>
      </c>
      <c r="G367" s="30" t="str">
        <f aca="false">IF($C367="","",IFERROR(IF(INDEX(links!$A$2:$A$501,MATCH($C367,links!$D$2:$D$501,0))="","",INDEX(links!$A$2:$A$501,MATCH($C367,links!$D$2:$D$501,0))),""))</f>
        <v>SAMPLE-CMP-007</v>
      </c>
      <c r="H367" s="30" t="str">
        <f aca="false">IF($C367="","",IFERROR(IF(INDEX(links!$B$2:$B$501,MATCH($C367,links!$D$2:$D$501,0))="","",INDEX(links!$B$2:$B$501,MATCH($C367,links!$D$2:$D$501,0))),""))</f>
        <v>SAMPLE-O-009</v>
      </c>
      <c r="I367" s="30" t="str">
        <f aca="false">IF($C367="","",IFERROR(IF(INDEX(links!$C$2:$C$501,MATCH($C367,links!$D$2:$D$501,0))="","",INDEX(links!$C$2:$C$501,MATCH($C367,links!$D$2:$D$501,0))),""))</f>
        <v>post</v>
      </c>
      <c r="J367" s="30" t="str">
        <f aca="false">IF($C367="","",IF($G367="","slug not in links; ","")&amp;IF($D367="","reading type missing; ","")&amp;IF(COUNTIFS(scans!$C$2:$C$1601,$C367,scans!$D$2:$D$1601,$D367)&gt;1,"two readings of this type: keep one; ",""))</f>
        <v/>
      </c>
    </row>
    <row r="368" customFormat="false" ht="15" hidden="false" customHeight="false" outlineLevel="0" collapsed="false">
      <c r="A368" s="11" t="n">
        <v>46471</v>
      </c>
      <c r="B368" s="38" t="n">
        <v>0.729166666666667</v>
      </c>
      <c r="C368" s="10" t="s">
        <v>1238</v>
      </c>
      <c r="D368" s="10" t="s">
        <v>1121</v>
      </c>
      <c r="E368" s="0" t="n">
        <v>3</v>
      </c>
      <c r="G368" s="30" t="str">
        <f aca="false">IF($C368="","",IFERROR(IF(INDEX(links!$A$2:$A$501,MATCH($C368,links!$D$2:$D$501,0))="","",INDEX(links!$A$2:$A$501,MATCH($C368,links!$D$2:$D$501,0))),""))</f>
        <v>SAMPLE-CMP-007</v>
      </c>
      <c r="H368" s="30" t="str">
        <f aca="false">IF($C368="","",IFERROR(IF(INDEX(links!$B$2:$B$501,MATCH($C368,links!$D$2:$D$501,0))="","",INDEX(links!$B$2:$B$501,MATCH($C368,links!$D$2:$D$501,0))),""))</f>
        <v>SAMPLE-O-009</v>
      </c>
      <c r="I368" s="30" t="str">
        <f aca="false">IF($C368="","",IFERROR(IF(INDEX(links!$C$2:$C$501,MATCH($C368,links!$D$2:$D$501,0))="","",INDEX(links!$C$2:$C$501,MATCH($C368,links!$D$2:$D$501,0))),""))</f>
        <v>post</v>
      </c>
      <c r="J368" s="30" t="str">
        <f aca="false">IF($C368="","",IF($G368="","slug not in links; ","")&amp;IF($D368="","reading type missing; ","")&amp;IF(COUNTIFS(scans!$C$2:$C$1601,$C368,scans!$D$2:$D$1601,$D368)&gt;1,"two readings of this type: keep one; ",""))</f>
        <v/>
      </c>
    </row>
    <row r="369" customFormat="false" ht="15" hidden="false" customHeight="false" outlineLevel="0" collapsed="false">
      <c r="A369" s="11" t="n">
        <v>46475</v>
      </c>
      <c r="B369" s="38" t="n">
        <v>0.729166666666667</v>
      </c>
      <c r="C369" s="10" t="s">
        <v>1238</v>
      </c>
      <c r="D369" s="10" t="s">
        <v>1122</v>
      </c>
      <c r="E369" s="0" t="n">
        <v>6</v>
      </c>
      <c r="G369" s="30" t="str">
        <f aca="false">IF($C369="","",IFERROR(IF(INDEX(links!$A$2:$A$501,MATCH($C369,links!$D$2:$D$501,0))="","",INDEX(links!$A$2:$A$501,MATCH($C369,links!$D$2:$D$501,0))),""))</f>
        <v>SAMPLE-CMP-007</v>
      </c>
      <c r="H369" s="30" t="str">
        <f aca="false">IF($C369="","",IFERROR(IF(INDEX(links!$B$2:$B$501,MATCH($C369,links!$D$2:$D$501,0))="","",INDEX(links!$B$2:$B$501,MATCH($C369,links!$D$2:$D$501,0))),""))</f>
        <v>SAMPLE-O-009</v>
      </c>
      <c r="I369" s="30" t="str">
        <f aca="false">IF($C369="","",IFERROR(IF(INDEX(links!$C$2:$C$501,MATCH($C369,links!$D$2:$D$501,0))="","",INDEX(links!$C$2:$C$501,MATCH($C369,links!$D$2:$D$501,0))),""))</f>
        <v>post</v>
      </c>
      <c r="J369" s="30" t="str">
        <f aca="false">IF($C369="","",IF($G369="","slug not in links; ","")&amp;IF($D369="","reading type missing; ","")&amp;IF(COUNTIFS(scans!$C$2:$C$1601,$C369,scans!$D$2:$D$1601,$D369)&gt;1,"two readings of this type: keep one; ",""))</f>
        <v/>
      </c>
    </row>
    <row r="370" customFormat="false" ht="15" hidden="false" customHeight="false" outlineLevel="0" collapsed="false">
      <c r="A370" s="11" t="n">
        <v>46468</v>
      </c>
      <c r="B370" s="38" t="n">
        <v>0.729166666666667</v>
      </c>
      <c r="C370" s="10" t="s">
        <v>1239</v>
      </c>
      <c r="D370" s="10" t="s">
        <v>1120</v>
      </c>
      <c r="E370" s="0" t="n">
        <v>1</v>
      </c>
      <c r="G370" s="30" t="str">
        <f aca="false">IF($C370="","",IFERROR(IF(INDEX(links!$A$2:$A$501,MATCH($C370,links!$D$2:$D$501,0))="","",INDEX(links!$A$2:$A$501,MATCH($C370,links!$D$2:$D$501,0))),""))</f>
        <v>SAMPLE-CMP-007</v>
      </c>
      <c r="H370" s="30" t="str">
        <f aca="false">IF($C370="","",IFERROR(IF(INDEX(links!$B$2:$B$501,MATCH($C370,links!$D$2:$D$501,0))="","",INDEX(links!$B$2:$B$501,MATCH($C370,links!$D$2:$D$501,0))),""))</f>
        <v>SAMPLE-O-010</v>
      </c>
      <c r="I370" s="30" t="str">
        <f aca="false">IF($C370="","",IFERROR(IF(INDEX(links!$C$2:$C$501,MATCH($C370,links!$D$2:$D$501,0))="","",INDEX(links!$C$2:$C$501,MATCH($C370,links!$D$2:$D$501,0))),""))</f>
        <v>qr</v>
      </c>
      <c r="J370" s="30" t="str">
        <f aca="false">IF($C370="","",IF($G370="","slug not in links; ","")&amp;IF($D370="","reading type missing; ","")&amp;IF(COUNTIFS(scans!$C$2:$C$1601,$C370,scans!$D$2:$D$1601,$D370)&gt;1,"two readings of this type: keep one; ",""))</f>
        <v/>
      </c>
    </row>
    <row r="371" customFormat="false" ht="15" hidden="false" customHeight="false" outlineLevel="0" collapsed="false">
      <c r="A371" s="11" t="n">
        <v>46471</v>
      </c>
      <c r="B371" s="38" t="n">
        <v>0.729166666666667</v>
      </c>
      <c r="C371" s="10" t="s">
        <v>1239</v>
      </c>
      <c r="D371" s="10" t="s">
        <v>1121</v>
      </c>
      <c r="E371" s="0" t="n">
        <v>3</v>
      </c>
      <c r="G371" s="30" t="str">
        <f aca="false">IF($C371="","",IFERROR(IF(INDEX(links!$A$2:$A$501,MATCH($C371,links!$D$2:$D$501,0))="","",INDEX(links!$A$2:$A$501,MATCH($C371,links!$D$2:$D$501,0))),""))</f>
        <v>SAMPLE-CMP-007</v>
      </c>
      <c r="H371" s="30" t="str">
        <f aca="false">IF($C371="","",IFERROR(IF(INDEX(links!$B$2:$B$501,MATCH($C371,links!$D$2:$D$501,0))="","",INDEX(links!$B$2:$B$501,MATCH($C371,links!$D$2:$D$501,0))),""))</f>
        <v>SAMPLE-O-010</v>
      </c>
      <c r="I371" s="30" t="str">
        <f aca="false">IF($C371="","",IFERROR(IF(INDEX(links!$C$2:$C$501,MATCH($C371,links!$D$2:$D$501,0))="","",INDEX(links!$C$2:$C$501,MATCH($C371,links!$D$2:$D$501,0))),""))</f>
        <v>qr</v>
      </c>
      <c r="J371" s="30" t="str">
        <f aca="false">IF($C371="","",IF($G371="","slug not in links; ","")&amp;IF($D371="","reading type missing; ","")&amp;IF(COUNTIFS(scans!$C$2:$C$1601,$C371,scans!$D$2:$D$1601,$D371)&gt;1,"two readings of this type: keep one; ",""))</f>
        <v/>
      </c>
    </row>
    <row r="372" customFormat="false" ht="15" hidden="false" customHeight="false" outlineLevel="0" collapsed="false">
      <c r="A372" s="11" t="n">
        <v>46475</v>
      </c>
      <c r="B372" s="38" t="n">
        <v>0.729166666666667</v>
      </c>
      <c r="C372" s="10" t="s">
        <v>1239</v>
      </c>
      <c r="D372" s="10" t="s">
        <v>1122</v>
      </c>
      <c r="E372" s="0" t="n">
        <v>6</v>
      </c>
      <c r="G372" s="30" t="str">
        <f aca="false">IF($C372="","",IFERROR(IF(INDEX(links!$A$2:$A$501,MATCH($C372,links!$D$2:$D$501,0))="","",INDEX(links!$A$2:$A$501,MATCH($C372,links!$D$2:$D$501,0))),""))</f>
        <v>SAMPLE-CMP-007</v>
      </c>
      <c r="H372" s="30" t="str">
        <f aca="false">IF($C372="","",IFERROR(IF(INDEX(links!$B$2:$B$501,MATCH($C372,links!$D$2:$D$501,0))="","",INDEX(links!$B$2:$B$501,MATCH($C372,links!$D$2:$D$501,0))),""))</f>
        <v>SAMPLE-O-010</v>
      </c>
      <c r="I372" s="30" t="str">
        <f aca="false">IF($C372="","",IFERROR(IF(INDEX(links!$C$2:$C$501,MATCH($C372,links!$D$2:$D$501,0))="","",INDEX(links!$C$2:$C$501,MATCH($C372,links!$D$2:$D$501,0))),""))</f>
        <v>qr</v>
      </c>
      <c r="J372" s="30" t="str">
        <f aca="false">IF($C372="","",IF($G372="","slug not in links; ","")&amp;IF($D372="","reading type missing; ","")&amp;IF(COUNTIFS(scans!$C$2:$C$1601,$C372,scans!$D$2:$D$1601,$D372)&gt;1,"two readings of this type: keep one; ",""))</f>
        <v/>
      </c>
    </row>
    <row r="373" customFormat="false" ht="15" hidden="false" customHeight="false" outlineLevel="0" collapsed="false">
      <c r="A373" s="11" t="n">
        <v>46468</v>
      </c>
      <c r="B373" s="38" t="n">
        <v>0.729166666666667</v>
      </c>
      <c r="C373" s="10" t="s">
        <v>1240</v>
      </c>
      <c r="D373" s="10" t="s">
        <v>1120</v>
      </c>
      <c r="E373" s="0" t="n">
        <v>1</v>
      </c>
      <c r="G373" s="30" t="str">
        <f aca="false">IF($C373="","",IFERROR(IF(INDEX(links!$A$2:$A$501,MATCH($C373,links!$D$2:$D$501,0))="","",INDEX(links!$A$2:$A$501,MATCH($C373,links!$D$2:$D$501,0))),""))</f>
        <v>SAMPLE-CMP-007</v>
      </c>
      <c r="H373" s="30" t="str">
        <f aca="false">IF($C373="","",IFERROR(IF(INDEX(links!$B$2:$B$501,MATCH($C373,links!$D$2:$D$501,0))="","",INDEX(links!$B$2:$B$501,MATCH($C373,links!$D$2:$D$501,0))),""))</f>
        <v>SAMPLE-O-010</v>
      </c>
      <c r="I373" s="30" t="str">
        <f aca="false">IF($C373="","",IFERROR(IF(INDEX(links!$C$2:$C$501,MATCH($C373,links!$D$2:$D$501,0))="","",INDEX(links!$C$2:$C$501,MATCH($C373,links!$D$2:$D$501,0))),""))</f>
        <v>post</v>
      </c>
      <c r="J373" s="30" t="str">
        <f aca="false">IF($C373="","",IF($G373="","slug not in links; ","")&amp;IF($D373="","reading type missing; ","")&amp;IF(COUNTIFS(scans!$C$2:$C$1601,$C373,scans!$D$2:$D$1601,$D373)&gt;1,"two readings of this type: keep one; ",""))</f>
        <v/>
      </c>
    </row>
    <row r="374" customFormat="false" ht="15" hidden="false" customHeight="false" outlineLevel="0" collapsed="false">
      <c r="A374" s="11" t="n">
        <v>46471</v>
      </c>
      <c r="B374" s="38" t="n">
        <v>0.729166666666667</v>
      </c>
      <c r="C374" s="10" t="s">
        <v>1240</v>
      </c>
      <c r="D374" s="10" t="s">
        <v>1121</v>
      </c>
      <c r="E374" s="0" t="n">
        <v>4</v>
      </c>
      <c r="G374" s="30" t="str">
        <f aca="false">IF($C374="","",IFERROR(IF(INDEX(links!$A$2:$A$501,MATCH($C374,links!$D$2:$D$501,0))="","",INDEX(links!$A$2:$A$501,MATCH($C374,links!$D$2:$D$501,0))),""))</f>
        <v>SAMPLE-CMP-007</v>
      </c>
      <c r="H374" s="30" t="str">
        <f aca="false">IF($C374="","",IFERROR(IF(INDEX(links!$B$2:$B$501,MATCH($C374,links!$D$2:$D$501,0))="","",INDEX(links!$B$2:$B$501,MATCH($C374,links!$D$2:$D$501,0))),""))</f>
        <v>SAMPLE-O-010</v>
      </c>
      <c r="I374" s="30" t="str">
        <f aca="false">IF($C374="","",IFERROR(IF(INDEX(links!$C$2:$C$501,MATCH($C374,links!$D$2:$D$501,0))="","",INDEX(links!$C$2:$C$501,MATCH($C374,links!$D$2:$D$501,0))),""))</f>
        <v>post</v>
      </c>
      <c r="J374" s="30" t="str">
        <f aca="false">IF($C374="","",IF($G374="","slug not in links; ","")&amp;IF($D374="","reading type missing; ","")&amp;IF(COUNTIFS(scans!$C$2:$C$1601,$C374,scans!$D$2:$D$1601,$D374)&gt;1,"two readings of this type: keep one; ",""))</f>
        <v/>
      </c>
    </row>
    <row r="375" customFormat="false" ht="15" hidden="false" customHeight="false" outlineLevel="0" collapsed="false">
      <c r="A375" s="11" t="n">
        <v>46475</v>
      </c>
      <c r="B375" s="38" t="n">
        <v>0.729166666666667</v>
      </c>
      <c r="C375" s="10" t="s">
        <v>1240</v>
      </c>
      <c r="D375" s="10" t="s">
        <v>1122</v>
      </c>
      <c r="E375" s="0" t="n">
        <v>9</v>
      </c>
      <c r="G375" s="30" t="str">
        <f aca="false">IF($C375="","",IFERROR(IF(INDEX(links!$A$2:$A$501,MATCH($C375,links!$D$2:$D$501,0))="","",INDEX(links!$A$2:$A$501,MATCH($C375,links!$D$2:$D$501,0))),""))</f>
        <v>SAMPLE-CMP-007</v>
      </c>
      <c r="H375" s="30" t="str">
        <f aca="false">IF($C375="","",IFERROR(IF(INDEX(links!$B$2:$B$501,MATCH($C375,links!$D$2:$D$501,0))="","",INDEX(links!$B$2:$B$501,MATCH($C375,links!$D$2:$D$501,0))),""))</f>
        <v>SAMPLE-O-010</v>
      </c>
      <c r="I375" s="30" t="str">
        <f aca="false">IF($C375="","",IFERROR(IF(INDEX(links!$C$2:$C$501,MATCH($C375,links!$D$2:$D$501,0))="","",INDEX(links!$C$2:$C$501,MATCH($C375,links!$D$2:$D$501,0))),""))</f>
        <v>post</v>
      </c>
      <c r="J375" s="30" t="str">
        <f aca="false">IF($C375="","",IF($G375="","slug not in links; ","")&amp;IF($D375="","reading type missing; ","")&amp;IF(COUNTIFS(scans!$C$2:$C$1601,$C375,scans!$D$2:$D$1601,$D375)&gt;1,"two readings of this type: keep one; ",""))</f>
        <v/>
      </c>
    </row>
    <row r="376" customFormat="false" ht="15" hidden="false" customHeight="false" outlineLevel="0" collapsed="false">
      <c r="A376" s="11" t="n">
        <v>46468</v>
      </c>
      <c r="B376" s="38" t="n">
        <v>0.729166666666667</v>
      </c>
      <c r="C376" s="10" t="s">
        <v>1241</v>
      </c>
      <c r="D376" s="10" t="s">
        <v>1120</v>
      </c>
      <c r="E376" s="0" t="n">
        <v>1</v>
      </c>
      <c r="G376" s="30" t="str">
        <f aca="false">IF($C376="","",IFERROR(IF(INDEX(links!$A$2:$A$501,MATCH($C376,links!$D$2:$D$501,0))="","",INDEX(links!$A$2:$A$501,MATCH($C376,links!$D$2:$D$501,0))),""))</f>
        <v>SAMPLE-CMP-008</v>
      </c>
      <c r="H376" s="30" t="str">
        <f aca="false">IF($C376="","",IFERROR(IF(INDEX(links!$B$2:$B$501,MATCH($C376,links!$D$2:$D$501,0))="","",INDEX(links!$B$2:$B$501,MATCH($C376,links!$D$2:$D$501,0))),""))</f>
        <v>SAMPLE-O-001</v>
      </c>
      <c r="I376" s="30" t="str">
        <f aca="false">IF($C376="","",IFERROR(IF(INDEX(links!$C$2:$C$501,MATCH($C376,links!$D$2:$D$501,0))="","",INDEX(links!$C$2:$C$501,MATCH($C376,links!$D$2:$D$501,0))),""))</f>
        <v>qr</v>
      </c>
      <c r="J376" s="30" t="str">
        <f aca="false">IF($C376="","",IF($G376="","slug not in links; ","")&amp;IF($D376="","reading type missing; ","")&amp;IF(COUNTIFS(scans!$C$2:$C$1601,$C376,scans!$D$2:$D$1601,$D376)&gt;1,"two readings of this type: keep one; ",""))</f>
        <v/>
      </c>
    </row>
    <row r="377" customFormat="false" ht="15" hidden="false" customHeight="false" outlineLevel="0" collapsed="false">
      <c r="A377" s="11" t="n">
        <v>46471</v>
      </c>
      <c r="B377" s="38" t="n">
        <v>0.729166666666667</v>
      </c>
      <c r="C377" s="10" t="s">
        <v>1241</v>
      </c>
      <c r="D377" s="10" t="s">
        <v>1121</v>
      </c>
      <c r="E377" s="0" t="n">
        <v>6</v>
      </c>
      <c r="G377" s="30" t="str">
        <f aca="false">IF($C377="","",IFERROR(IF(INDEX(links!$A$2:$A$501,MATCH($C377,links!$D$2:$D$501,0))="","",INDEX(links!$A$2:$A$501,MATCH($C377,links!$D$2:$D$501,0))),""))</f>
        <v>SAMPLE-CMP-008</v>
      </c>
      <c r="H377" s="30" t="str">
        <f aca="false">IF($C377="","",IFERROR(IF(INDEX(links!$B$2:$B$501,MATCH($C377,links!$D$2:$D$501,0))="","",INDEX(links!$B$2:$B$501,MATCH($C377,links!$D$2:$D$501,0))),""))</f>
        <v>SAMPLE-O-001</v>
      </c>
      <c r="I377" s="30" t="str">
        <f aca="false">IF($C377="","",IFERROR(IF(INDEX(links!$C$2:$C$501,MATCH($C377,links!$D$2:$D$501,0))="","",INDEX(links!$C$2:$C$501,MATCH($C377,links!$D$2:$D$501,0))),""))</f>
        <v>qr</v>
      </c>
      <c r="J377" s="30" t="str">
        <f aca="false">IF($C377="","",IF($G377="","slug not in links; ","")&amp;IF($D377="","reading type missing; ","")&amp;IF(COUNTIFS(scans!$C$2:$C$1601,$C377,scans!$D$2:$D$1601,$D377)&gt;1,"two readings of this type: keep one; ",""))</f>
        <v/>
      </c>
    </row>
    <row r="378" customFormat="false" ht="15" hidden="false" customHeight="false" outlineLevel="0" collapsed="false">
      <c r="A378" s="11" t="n">
        <v>46475</v>
      </c>
      <c r="B378" s="38" t="n">
        <v>0.729166666666667</v>
      </c>
      <c r="C378" s="10" t="s">
        <v>1241</v>
      </c>
      <c r="D378" s="10" t="s">
        <v>1122</v>
      </c>
      <c r="E378" s="0" t="n">
        <v>13</v>
      </c>
      <c r="G378" s="30" t="str">
        <f aca="false">IF($C378="","",IFERROR(IF(INDEX(links!$A$2:$A$501,MATCH($C378,links!$D$2:$D$501,0))="","",INDEX(links!$A$2:$A$501,MATCH($C378,links!$D$2:$D$501,0))),""))</f>
        <v>SAMPLE-CMP-008</v>
      </c>
      <c r="H378" s="30" t="str">
        <f aca="false">IF($C378="","",IFERROR(IF(INDEX(links!$B$2:$B$501,MATCH($C378,links!$D$2:$D$501,0))="","",INDEX(links!$B$2:$B$501,MATCH($C378,links!$D$2:$D$501,0))),""))</f>
        <v>SAMPLE-O-001</v>
      </c>
      <c r="I378" s="30" t="str">
        <f aca="false">IF($C378="","",IFERROR(IF(INDEX(links!$C$2:$C$501,MATCH($C378,links!$D$2:$D$501,0))="","",INDEX(links!$C$2:$C$501,MATCH($C378,links!$D$2:$D$501,0))),""))</f>
        <v>qr</v>
      </c>
      <c r="J378" s="30" t="str">
        <f aca="false">IF($C378="","",IF($G378="","slug not in links; ","")&amp;IF($D378="","reading type missing; ","")&amp;IF(COUNTIFS(scans!$C$2:$C$1601,$C378,scans!$D$2:$D$1601,$D378)&gt;1,"two readings of this type: keep one; ",""))</f>
        <v/>
      </c>
    </row>
    <row r="379" customFormat="false" ht="15" hidden="false" customHeight="false" outlineLevel="0" collapsed="false">
      <c r="A379" s="11" t="n">
        <v>46468</v>
      </c>
      <c r="B379" s="38" t="n">
        <v>0.729166666666667</v>
      </c>
      <c r="C379" s="10" t="s">
        <v>1242</v>
      </c>
      <c r="D379" s="10" t="s">
        <v>1120</v>
      </c>
      <c r="E379" s="0" t="n">
        <v>1</v>
      </c>
      <c r="G379" s="30" t="str">
        <f aca="false">IF($C379="","",IFERROR(IF(INDEX(links!$A$2:$A$501,MATCH($C379,links!$D$2:$D$501,0))="","",INDEX(links!$A$2:$A$501,MATCH($C379,links!$D$2:$D$501,0))),""))</f>
        <v>SAMPLE-CMP-008</v>
      </c>
      <c r="H379" s="30" t="str">
        <f aca="false">IF($C379="","",IFERROR(IF(INDEX(links!$B$2:$B$501,MATCH($C379,links!$D$2:$D$501,0))="","",INDEX(links!$B$2:$B$501,MATCH($C379,links!$D$2:$D$501,0))),""))</f>
        <v>SAMPLE-O-001</v>
      </c>
      <c r="I379" s="30" t="str">
        <f aca="false">IF($C379="","",IFERROR(IF(INDEX(links!$C$2:$C$501,MATCH($C379,links!$D$2:$D$501,0))="","",INDEX(links!$C$2:$C$501,MATCH($C379,links!$D$2:$D$501,0))),""))</f>
        <v>post</v>
      </c>
      <c r="J379" s="30" t="str">
        <f aca="false">IF($C379="","",IF($G379="","slug not in links; ","")&amp;IF($D379="","reading type missing; ","")&amp;IF(COUNTIFS(scans!$C$2:$C$1601,$C379,scans!$D$2:$D$1601,$D379)&gt;1,"two readings of this type: keep one; ",""))</f>
        <v/>
      </c>
    </row>
    <row r="380" customFormat="false" ht="15" hidden="false" customHeight="false" outlineLevel="0" collapsed="false">
      <c r="A380" s="11" t="n">
        <v>46471</v>
      </c>
      <c r="B380" s="38" t="n">
        <v>0.729166666666667</v>
      </c>
      <c r="C380" s="10" t="s">
        <v>1242</v>
      </c>
      <c r="D380" s="10" t="s">
        <v>1121</v>
      </c>
      <c r="E380" s="0" t="n">
        <v>3</v>
      </c>
      <c r="G380" s="30" t="str">
        <f aca="false">IF($C380="","",IFERROR(IF(INDEX(links!$A$2:$A$501,MATCH($C380,links!$D$2:$D$501,0))="","",INDEX(links!$A$2:$A$501,MATCH($C380,links!$D$2:$D$501,0))),""))</f>
        <v>SAMPLE-CMP-008</v>
      </c>
      <c r="H380" s="30" t="str">
        <f aca="false">IF($C380="","",IFERROR(IF(INDEX(links!$B$2:$B$501,MATCH($C380,links!$D$2:$D$501,0))="","",INDEX(links!$B$2:$B$501,MATCH($C380,links!$D$2:$D$501,0))),""))</f>
        <v>SAMPLE-O-001</v>
      </c>
      <c r="I380" s="30" t="str">
        <f aca="false">IF($C380="","",IFERROR(IF(INDEX(links!$C$2:$C$501,MATCH($C380,links!$D$2:$D$501,0))="","",INDEX(links!$C$2:$C$501,MATCH($C380,links!$D$2:$D$501,0))),""))</f>
        <v>post</v>
      </c>
      <c r="J380" s="30" t="str">
        <f aca="false">IF($C380="","",IF($G380="","slug not in links; ","")&amp;IF($D380="","reading type missing; ","")&amp;IF(COUNTIFS(scans!$C$2:$C$1601,$C380,scans!$D$2:$D$1601,$D380)&gt;1,"two readings of this type: keep one; ",""))</f>
        <v/>
      </c>
    </row>
    <row r="381" customFormat="false" ht="15" hidden="false" customHeight="false" outlineLevel="0" collapsed="false">
      <c r="A381" s="11" t="n">
        <v>46475</v>
      </c>
      <c r="B381" s="38" t="n">
        <v>0.729166666666667</v>
      </c>
      <c r="C381" s="10" t="s">
        <v>1242</v>
      </c>
      <c r="D381" s="10" t="s">
        <v>1122</v>
      </c>
      <c r="E381" s="0" t="n">
        <v>6</v>
      </c>
      <c r="G381" s="30" t="str">
        <f aca="false">IF($C381="","",IFERROR(IF(INDEX(links!$A$2:$A$501,MATCH($C381,links!$D$2:$D$501,0))="","",INDEX(links!$A$2:$A$501,MATCH($C381,links!$D$2:$D$501,0))),""))</f>
        <v>SAMPLE-CMP-008</v>
      </c>
      <c r="H381" s="30" t="str">
        <f aca="false">IF($C381="","",IFERROR(IF(INDEX(links!$B$2:$B$501,MATCH($C381,links!$D$2:$D$501,0))="","",INDEX(links!$B$2:$B$501,MATCH($C381,links!$D$2:$D$501,0))),""))</f>
        <v>SAMPLE-O-001</v>
      </c>
      <c r="I381" s="30" t="str">
        <f aca="false">IF($C381="","",IFERROR(IF(INDEX(links!$C$2:$C$501,MATCH($C381,links!$D$2:$D$501,0))="","",INDEX(links!$C$2:$C$501,MATCH($C381,links!$D$2:$D$501,0))),""))</f>
        <v>post</v>
      </c>
      <c r="J381" s="30" t="str">
        <f aca="false">IF($C381="","",IF($G381="","slug not in links; ","")&amp;IF($D381="","reading type missing; ","")&amp;IF(COUNTIFS(scans!$C$2:$C$1601,$C381,scans!$D$2:$D$1601,$D381)&gt;1,"two readings of this type: keep one; ",""))</f>
        <v/>
      </c>
    </row>
    <row r="382" customFormat="false" ht="15" hidden="false" customHeight="false" outlineLevel="0" collapsed="false">
      <c r="A382" s="11" t="n">
        <v>46468</v>
      </c>
      <c r="B382" s="38" t="n">
        <v>0.729166666666667</v>
      </c>
      <c r="C382" s="10" t="s">
        <v>1243</v>
      </c>
      <c r="D382" s="10" t="s">
        <v>1120</v>
      </c>
      <c r="E382" s="0" t="n">
        <v>1</v>
      </c>
      <c r="G382" s="30" t="str">
        <f aca="false">IF($C382="","",IFERROR(IF(INDEX(links!$A$2:$A$501,MATCH($C382,links!$D$2:$D$501,0))="","",INDEX(links!$A$2:$A$501,MATCH($C382,links!$D$2:$D$501,0))),""))</f>
        <v>SAMPLE-CMP-008</v>
      </c>
      <c r="H382" s="30" t="str">
        <f aca="false">IF($C382="","",IFERROR(IF(INDEX(links!$B$2:$B$501,MATCH($C382,links!$D$2:$D$501,0))="","",INDEX(links!$B$2:$B$501,MATCH($C382,links!$D$2:$D$501,0))),""))</f>
        <v>SAMPLE-O-002</v>
      </c>
      <c r="I382" s="30" t="str">
        <f aca="false">IF($C382="","",IFERROR(IF(INDEX(links!$C$2:$C$501,MATCH($C382,links!$D$2:$D$501,0))="","",INDEX(links!$C$2:$C$501,MATCH($C382,links!$D$2:$D$501,0))),""))</f>
        <v>qr</v>
      </c>
      <c r="J382" s="30" t="str">
        <f aca="false">IF($C382="","",IF($G382="","slug not in links; ","")&amp;IF($D382="","reading type missing; ","")&amp;IF(COUNTIFS(scans!$C$2:$C$1601,$C382,scans!$D$2:$D$1601,$D382)&gt;1,"two readings of this type: keep one; ",""))</f>
        <v/>
      </c>
    </row>
    <row r="383" customFormat="false" ht="15" hidden="false" customHeight="false" outlineLevel="0" collapsed="false">
      <c r="A383" s="11" t="n">
        <v>46471</v>
      </c>
      <c r="B383" s="38" t="n">
        <v>0.729166666666667</v>
      </c>
      <c r="C383" s="10" t="s">
        <v>1243</v>
      </c>
      <c r="D383" s="10" t="s">
        <v>1121</v>
      </c>
      <c r="E383" s="0" t="n">
        <v>2</v>
      </c>
      <c r="G383" s="30" t="str">
        <f aca="false">IF($C383="","",IFERROR(IF(INDEX(links!$A$2:$A$501,MATCH($C383,links!$D$2:$D$501,0))="","",INDEX(links!$A$2:$A$501,MATCH($C383,links!$D$2:$D$501,0))),""))</f>
        <v>SAMPLE-CMP-008</v>
      </c>
      <c r="H383" s="30" t="str">
        <f aca="false">IF($C383="","",IFERROR(IF(INDEX(links!$B$2:$B$501,MATCH($C383,links!$D$2:$D$501,0))="","",INDEX(links!$B$2:$B$501,MATCH($C383,links!$D$2:$D$501,0))),""))</f>
        <v>SAMPLE-O-002</v>
      </c>
      <c r="I383" s="30" t="str">
        <f aca="false">IF($C383="","",IFERROR(IF(INDEX(links!$C$2:$C$501,MATCH($C383,links!$D$2:$D$501,0))="","",INDEX(links!$C$2:$C$501,MATCH($C383,links!$D$2:$D$501,0))),""))</f>
        <v>qr</v>
      </c>
      <c r="J383" s="30" t="str">
        <f aca="false">IF($C383="","",IF($G383="","slug not in links; ","")&amp;IF($D383="","reading type missing; ","")&amp;IF(COUNTIFS(scans!$C$2:$C$1601,$C383,scans!$D$2:$D$1601,$D383)&gt;1,"two readings of this type: keep one; ",""))</f>
        <v/>
      </c>
    </row>
    <row r="384" customFormat="false" ht="15" hidden="false" customHeight="false" outlineLevel="0" collapsed="false">
      <c r="A384" s="11" t="n">
        <v>46475</v>
      </c>
      <c r="B384" s="38" t="n">
        <v>0.729166666666667</v>
      </c>
      <c r="C384" s="10" t="s">
        <v>1243</v>
      </c>
      <c r="D384" s="10" t="s">
        <v>1122</v>
      </c>
      <c r="E384" s="0" t="n">
        <v>5</v>
      </c>
      <c r="G384" s="30" t="str">
        <f aca="false">IF($C384="","",IFERROR(IF(INDEX(links!$A$2:$A$501,MATCH($C384,links!$D$2:$D$501,0))="","",INDEX(links!$A$2:$A$501,MATCH($C384,links!$D$2:$D$501,0))),""))</f>
        <v>SAMPLE-CMP-008</v>
      </c>
      <c r="H384" s="30" t="str">
        <f aca="false">IF($C384="","",IFERROR(IF(INDEX(links!$B$2:$B$501,MATCH($C384,links!$D$2:$D$501,0))="","",INDEX(links!$B$2:$B$501,MATCH($C384,links!$D$2:$D$501,0))),""))</f>
        <v>SAMPLE-O-002</v>
      </c>
      <c r="I384" s="30" t="str">
        <f aca="false">IF($C384="","",IFERROR(IF(INDEX(links!$C$2:$C$501,MATCH($C384,links!$D$2:$D$501,0))="","",INDEX(links!$C$2:$C$501,MATCH($C384,links!$D$2:$D$501,0))),""))</f>
        <v>qr</v>
      </c>
      <c r="J384" s="30" t="str">
        <f aca="false">IF($C384="","",IF($G384="","slug not in links; ","")&amp;IF($D384="","reading type missing; ","")&amp;IF(COUNTIFS(scans!$C$2:$C$1601,$C384,scans!$D$2:$D$1601,$D384)&gt;1,"two readings of this type: keep one; ",""))</f>
        <v/>
      </c>
    </row>
    <row r="385" customFormat="false" ht="15" hidden="false" customHeight="false" outlineLevel="0" collapsed="false">
      <c r="A385" s="11" t="n">
        <v>46468</v>
      </c>
      <c r="B385" s="38" t="n">
        <v>0.729166666666667</v>
      </c>
      <c r="C385" s="10" t="s">
        <v>1244</v>
      </c>
      <c r="D385" s="10" t="s">
        <v>1120</v>
      </c>
      <c r="E385" s="0" t="n">
        <v>1</v>
      </c>
      <c r="G385" s="30" t="str">
        <f aca="false">IF($C385="","",IFERROR(IF(INDEX(links!$A$2:$A$501,MATCH($C385,links!$D$2:$D$501,0))="","",INDEX(links!$A$2:$A$501,MATCH($C385,links!$D$2:$D$501,0))),""))</f>
        <v>SAMPLE-CMP-008</v>
      </c>
      <c r="H385" s="30" t="str">
        <f aca="false">IF($C385="","",IFERROR(IF(INDEX(links!$B$2:$B$501,MATCH($C385,links!$D$2:$D$501,0))="","",INDEX(links!$B$2:$B$501,MATCH($C385,links!$D$2:$D$501,0))),""))</f>
        <v>SAMPLE-O-002</v>
      </c>
      <c r="I385" s="30" t="str">
        <f aca="false">IF($C385="","",IFERROR(IF(INDEX(links!$C$2:$C$501,MATCH($C385,links!$D$2:$D$501,0))="","",INDEX(links!$C$2:$C$501,MATCH($C385,links!$D$2:$D$501,0))),""))</f>
        <v>post</v>
      </c>
      <c r="J385" s="30" t="str">
        <f aca="false">IF($C385="","",IF($G385="","slug not in links; ","")&amp;IF($D385="","reading type missing; ","")&amp;IF(COUNTIFS(scans!$C$2:$C$1601,$C385,scans!$D$2:$D$1601,$D385)&gt;1,"two readings of this type: keep one; ",""))</f>
        <v/>
      </c>
    </row>
    <row r="386" customFormat="false" ht="15" hidden="false" customHeight="false" outlineLevel="0" collapsed="false">
      <c r="A386" s="11" t="n">
        <v>46471</v>
      </c>
      <c r="B386" s="38" t="n">
        <v>0.729166666666667</v>
      </c>
      <c r="C386" s="10" t="s">
        <v>1244</v>
      </c>
      <c r="D386" s="10" t="s">
        <v>1121</v>
      </c>
      <c r="E386" s="0" t="n">
        <v>4</v>
      </c>
      <c r="G386" s="30" t="str">
        <f aca="false">IF($C386="","",IFERROR(IF(INDEX(links!$A$2:$A$501,MATCH($C386,links!$D$2:$D$501,0))="","",INDEX(links!$A$2:$A$501,MATCH($C386,links!$D$2:$D$501,0))),""))</f>
        <v>SAMPLE-CMP-008</v>
      </c>
      <c r="H386" s="30" t="str">
        <f aca="false">IF($C386="","",IFERROR(IF(INDEX(links!$B$2:$B$501,MATCH($C386,links!$D$2:$D$501,0))="","",INDEX(links!$B$2:$B$501,MATCH($C386,links!$D$2:$D$501,0))),""))</f>
        <v>SAMPLE-O-002</v>
      </c>
      <c r="I386" s="30" t="str">
        <f aca="false">IF($C386="","",IFERROR(IF(INDEX(links!$C$2:$C$501,MATCH($C386,links!$D$2:$D$501,0))="","",INDEX(links!$C$2:$C$501,MATCH($C386,links!$D$2:$D$501,0))),""))</f>
        <v>post</v>
      </c>
      <c r="J386" s="30" t="str">
        <f aca="false">IF($C386="","",IF($G386="","slug not in links; ","")&amp;IF($D386="","reading type missing; ","")&amp;IF(COUNTIFS(scans!$C$2:$C$1601,$C386,scans!$D$2:$D$1601,$D386)&gt;1,"two readings of this type: keep one; ",""))</f>
        <v/>
      </c>
    </row>
    <row r="387" customFormat="false" ht="15" hidden="false" customHeight="false" outlineLevel="0" collapsed="false">
      <c r="A387" s="11" t="n">
        <v>46475</v>
      </c>
      <c r="B387" s="38" t="n">
        <v>0.729166666666667</v>
      </c>
      <c r="C387" s="10" t="s">
        <v>1244</v>
      </c>
      <c r="D387" s="10" t="s">
        <v>1122</v>
      </c>
      <c r="E387" s="0" t="n">
        <v>8</v>
      </c>
      <c r="G387" s="30" t="str">
        <f aca="false">IF($C387="","",IFERROR(IF(INDEX(links!$A$2:$A$501,MATCH($C387,links!$D$2:$D$501,0))="","",INDEX(links!$A$2:$A$501,MATCH($C387,links!$D$2:$D$501,0))),""))</f>
        <v>SAMPLE-CMP-008</v>
      </c>
      <c r="H387" s="30" t="str">
        <f aca="false">IF($C387="","",IFERROR(IF(INDEX(links!$B$2:$B$501,MATCH($C387,links!$D$2:$D$501,0))="","",INDEX(links!$B$2:$B$501,MATCH($C387,links!$D$2:$D$501,0))),""))</f>
        <v>SAMPLE-O-002</v>
      </c>
      <c r="I387" s="30" t="str">
        <f aca="false">IF($C387="","",IFERROR(IF(INDEX(links!$C$2:$C$501,MATCH($C387,links!$D$2:$D$501,0))="","",INDEX(links!$C$2:$C$501,MATCH($C387,links!$D$2:$D$501,0))),""))</f>
        <v>post</v>
      </c>
      <c r="J387" s="30" t="str">
        <f aca="false">IF($C387="","",IF($G387="","slug not in links; ","")&amp;IF($D387="","reading type missing; ","")&amp;IF(COUNTIFS(scans!$C$2:$C$1601,$C387,scans!$D$2:$D$1601,$D387)&gt;1,"two readings of this type: keep one; ",""))</f>
        <v/>
      </c>
    </row>
    <row r="388" customFormat="false" ht="15" hidden="false" customHeight="false" outlineLevel="0" collapsed="false">
      <c r="A388" s="11" t="n">
        <v>46468</v>
      </c>
      <c r="B388" s="38" t="n">
        <v>0.729166666666667</v>
      </c>
      <c r="C388" s="10" t="s">
        <v>1245</v>
      </c>
      <c r="D388" s="10" t="s">
        <v>1120</v>
      </c>
      <c r="E388" s="0" t="n">
        <v>1</v>
      </c>
      <c r="G388" s="30" t="str">
        <f aca="false">IF($C388="","",IFERROR(IF(INDEX(links!$A$2:$A$501,MATCH($C388,links!$D$2:$D$501,0))="","",INDEX(links!$A$2:$A$501,MATCH($C388,links!$D$2:$D$501,0))),""))</f>
        <v>SAMPLE-CMP-008</v>
      </c>
      <c r="H388" s="30" t="str">
        <f aca="false">IF($C388="","",IFERROR(IF(INDEX(links!$B$2:$B$501,MATCH($C388,links!$D$2:$D$501,0))="","",INDEX(links!$B$2:$B$501,MATCH($C388,links!$D$2:$D$501,0))),""))</f>
        <v>SAMPLE-O-003</v>
      </c>
      <c r="I388" s="30" t="str">
        <f aca="false">IF($C388="","",IFERROR(IF(INDEX(links!$C$2:$C$501,MATCH($C388,links!$D$2:$D$501,0))="","",INDEX(links!$C$2:$C$501,MATCH($C388,links!$D$2:$D$501,0))),""))</f>
        <v>qr</v>
      </c>
      <c r="J388" s="30" t="str">
        <f aca="false">IF($C388="","",IF($G388="","slug not in links; ","")&amp;IF($D388="","reading type missing; ","")&amp;IF(COUNTIFS(scans!$C$2:$C$1601,$C388,scans!$D$2:$D$1601,$D388)&gt;1,"two readings of this type: keep one; ",""))</f>
        <v/>
      </c>
    </row>
    <row r="389" customFormat="false" ht="15" hidden="false" customHeight="false" outlineLevel="0" collapsed="false">
      <c r="A389" s="11" t="n">
        <v>46471</v>
      </c>
      <c r="B389" s="38" t="n">
        <v>0.729166666666667</v>
      </c>
      <c r="C389" s="10" t="s">
        <v>1245</v>
      </c>
      <c r="D389" s="10" t="s">
        <v>1121</v>
      </c>
      <c r="E389" s="0" t="n">
        <v>3</v>
      </c>
      <c r="G389" s="30" t="str">
        <f aca="false">IF($C389="","",IFERROR(IF(INDEX(links!$A$2:$A$501,MATCH($C389,links!$D$2:$D$501,0))="","",INDEX(links!$A$2:$A$501,MATCH($C389,links!$D$2:$D$501,0))),""))</f>
        <v>SAMPLE-CMP-008</v>
      </c>
      <c r="H389" s="30" t="str">
        <f aca="false">IF($C389="","",IFERROR(IF(INDEX(links!$B$2:$B$501,MATCH($C389,links!$D$2:$D$501,0))="","",INDEX(links!$B$2:$B$501,MATCH($C389,links!$D$2:$D$501,0))),""))</f>
        <v>SAMPLE-O-003</v>
      </c>
      <c r="I389" s="30" t="str">
        <f aca="false">IF($C389="","",IFERROR(IF(INDEX(links!$C$2:$C$501,MATCH($C389,links!$D$2:$D$501,0))="","",INDEX(links!$C$2:$C$501,MATCH($C389,links!$D$2:$D$501,0))),""))</f>
        <v>qr</v>
      </c>
      <c r="J389" s="30" t="str">
        <f aca="false">IF($C389="","",IF($G389="","slug not in links; ","")&amp;IF($D389="","reading type missing; ","")&amp;IF(COUNTIFS(scans!$C$2:$C$1601,$C389,scans!$D$2:$D$1601,$D389)&gt;1,"two readings of this type: keep one; ",""))</f>
        <v/>
      </c>
    </row>
    <row r="390" customFormat="false" ht="15" hidden="false" customHeight="false" outlineLevel="0" collapsed="false">
      <c r="A390" s="11" t="n">
        <v>46475</v>
      </c>
      <c r="B390" s="38" t="n">
        <v>0.729166666666667</v>
      </c>
      <c r="C390" s="10" t="s">
        <v>1245</v>
      </c>
      <c r="D390" s="10" t="s">
        <v>1122</v>
      </c>
      <c r="E390" s="0" t="n">
        <v>7</v>
      </c>
      <c r="G390" s="30" t="str">
        <f aca="false">IF($C390="","",IFERROR(IF(INDEX(links!$A$2:$A$501,MATCH($C390,links!$D$2:$D$501,0))="","",INDEX(links!$A$2:$A$501,MATCH($C390,links!$D$2:$D$501,0))),""))</f>
        <v>SAMPLE-CMP-008</v>
      </c>
      <c r="H390" s="30" t="str">
        <f aca="false">IF($C390="","",IFERROR(IF(INDEX(links!$B$2:$B$501,MATCH($C390,links!$D$2:$D$501,0))="","",INDEX(links!$B$2:$B$501,MATCH($C390,links!$D$2:$D$501,0))),""))</f>
        <v>SAMPLE-O-003</v>
      </c>
      <c r="I390" s="30" t="str">
        <f aca="false">IF($C390="","",IFERROR(IF(INDEX(links!$C$2:$C$501,MATCH($C390,links!$D$2:$D$501,0))="","",INDEX(links!$C$2:$C$501,MATCH($C390,links!$D$2:$D$501,0))),""))</f>
        <v>qr</v>
      </c>
      <c r="J390" s="30" t="str">
        <f aca="false">IF($C390="","",IF($G390="","slug not in links; ","")&amp;IF($D390="","reading type missing; ","")&amp;IF(COUNTIFS(scans!$C$2:$C$1601,$C390,scans!$D$2:$D$1601,$D390)&gt;1,"two readings of this type: keep one; ",""))</f>
        <v/>
      </c>
    </row>
    <row r="391" customFormat="false" ht="15" hidden="false" customHeight="false" outlineLevel="0" collapsed="false">
      <c r="A391" s="11" t="n">
        <v>46468</v>
      </c>
      <c r="B391" s="38" t="n">
        <v>0.729166666666667</v>
      </c>
      <c r="C391" s="10" t="s">
        <v>1246</v>
      </c>
      <c r="D391" s="10" t="s">
        <v>1120</v>
      </c>
      <c r="E391" s="0" t="n">
        <v>1</v>
      </c>
      <c r="G391" s="30" t="str">
        <f aca="false">IF($C391="","",IFERROR(IF(INDEX(links!$A$2:$A$501,MATCH($C391,links!$D$2:$D$501,0))="","",INDEX(links!$A$2:$A$501,MATCH($C391,links!$D$2:$D$501,0))),""))</f>
        <v>SAMPLE-CMP-008</v>
      </c>
      <c r="H391" s="30" t="str">
        <f aca="false">IF($C391="","",IFERROR(IF(INDEX(links!$B$2:$B$501,MATCH($C391,links!$D$2:$D$501,0))="","",INDEX(links!$B$2:$B$501,MATCH($C391,links!$D$2:$D$501,0))),""))</f>
        <v>SAMPLE-O-003</v>
      </c>
      <c r="I391" s="30" t="str">
        <f aca="false">IF($C391="","",IFERROR(IF(INDEX(links!$C$2:$C$501,MATCH($C391,links!$D$2:$D$501,0))="","",INDEX(links!$C$2:$C$501,MATCH($C391,links!$D$2:$D$501,0))),""))</f>
        <v>post</v>
      </c>
      <c r="J391" s="30" t="str">
        <f aca="false">IF($C391="","",IF($G391="","slug not in links; ","")&amp;IF($D391="","reading type missing; ","")&amp;IF(COUNTIFS(scans!$C$2:$C$1601,$C391,scans!$D$2:$D$1601,$D391)&gt;1,"two readings of this type: keep one; ",""))</f>
        <v/>
      </c>
    </row>
    <row r="392" customFormat="false" ht="15" hidden="false" customHeight="false" outlineLevel="0" collapsed="false">
      <c r="A392" s="11" t="n">
        <v>46471</v>
      </c>
      <c r="B392" s="38" t="n">
        <v>0.729166666666667</v>
      </c>
      <c r="C392" s="10" t="s">
        <v>1246</v>
      </c>
      <c r="D392" s="10" t="s">
        <v>1121</v>
      </c>
      <c r="E392" s="0" t="n">
        <v>5</v>
      </c>
      <c r="G392" s="30" t="str">
        <f aca="false">IF($C392="","",IFERROR(IF(INDEX(links!$A$2:$A$501,MATCH($C392,links!$D$2:$D$501,0))="","",INDEX(links!$A$2:$A$501,MATCH($C392,links!$D$2:$D$501,0))),""))</f>
        <v>SAMPLE-CMP-008</v>
      </c>
      <c r="H392" s="30" t="str">
        <f aca="false">IF($C392="","",IFERROR(IF(INDEX(links!$B$2:$B$501,MATCH($C392,links!$D$2:$D$501,0))="","",INDEX(links!$B$2:$B$501,MATCH($C392,links!$D$2:$D$501,0))),""))</f>
        <v>SAMPLE-O-003</v>
      </c>
      <c r="I392" s="30" t="str">
        <f aca="false">IF($C392="","",IFERROR(IF(INDEX(links!$C$2:$C$501,MATCH($C392,links!$D$2:$D$501,0))="","",INDEX(links!$C$2:$C$501,MATCH($C392,links!$D$2:$D$501,0))),""))</f>
        <v>post</v>
      </c>
      <c r="J392" s="30" t="str">
        <f aca="false">IF($C392="","",IF($G392="","slug not in links; ","")&amp;IF($D392="","reading type missing; ","")&amp;IF(COUNTIFS(scans!$C$2:$C$1601,$C392,scans!$D$2:$D$1601,$D392)&gt;1,"two readings of this type: keep one; ",""))</f>
        <v/>
      </c>
    </row>
    <row r="393" customFormat="false" ht="15" hidden="false" customHeight="false" outlineLevel="0" collapsed="false">
      <c r="A393" s="11" t="n">
        <v>46475</v>
      </c>
      <c r="B393" s="38" t="n">
        <v>0.729166666666667</v>
      </c>
      <c r="C393" s="10" t="s">
        <v>1246</v>
      </c>
      <c r="D393" s="10" t="s">
        <v>1122</v>
      </c>
      <c r="E393" s="0" t="n">
        <v>10</v>
      </c>
      <c r="G393" s="30" t="str">
        <f aca="false">IF($C393="","",IFERROR(IF(INDEX(links!$A$2:$A$501,MATCH($C393,links!$D$2:$D$501,0))="","",INDEX(links!$A$2:$A$501,MATCH($C393,links!$D$2:$D$501,0))),""))</f>
        <v>SAMPLE-CMP-008</v>
      </c>
      <c r="H393" s="30" t="str">
        <f aca="false">IF($C393="","",IFERROR(IF(INDEX(links!$B$2:$B$501,MATCH($C393,links!$D$2:$D$501,0))="","",INDEX(links!$B$2:$B$501,MATCH($C393,links!$D$2:$D$501,0))),""))</f>
        <v>SAMPLE-O-003</v>
      </c>
      <c r="I393" s="30" t="str">
        <f aca="false">IF($C393="","",IFERROR(IF(INDEX(links!$C$2:$C$501,MATCH($C393,links!$D$2:$D$501,0))="","",INDEX(links!$C$2:$C$501,MATCH($C393,links!$D$2:$D$501,0))),""))</f>
        <v>post</v>
      </c>
      <c r="J393" s="30" t="str">
        <f aca="false">IF($C393="","",IF($G393="","slug not in links; ","")&amp;IF($D393="","reading type missing; ","")&amp;IF(COUNTIFS(scans!$C$2:$C$1601,$C393,scans!$D$2:$D$1601,$D393)&gt;1,"two readings of this type: keep one; ",""))</f>
        <v/>
      </c>
    </row>
    <row r="394" customFormat="false" ht="15" hidden="false" customHeight="false" outlineLevel="0" collapsed="false">
      <c r="A394" s="11" t="n">
        <v>46468</v>
      </c>
      <c r="B394" s="38" t="n">
        <v>0.729166666666667</v>
      </c>
      <c r="C394" s="10" t="s">
        <v>1247</v>
      </c>
      <c r="D394" s="10" t="s">
        <v>1120</v>
      </c>
      <c r="E394" s="0" t="n">
        <v>1</v>
      </c>
      <c r="G394" s="30" t="str">
        <f aca="false">IF($C394="","",IFERROR(IF(INDEX(links!$A$2:$A$501,MATCH($C394,links!$D$2:$D$501,0))="","",INDEX(links!$A$2:$A$501,MATCH($C394,links!$D$2:$D$501,0))),""))</f>
        <v>SAMPLE-CMP-008</v>
      </c>
      <c r="H394" s="30" t="str">
        <f aca="false">IF($C394="","",IFERROR(IF(INDEX(links!$B$2:$B$501,MATCH($C394,links!$D$2:$D$501,0))="","",INDEX(links!$B$2:$B$501,MATCH($C394,links!$D$2:$D$501,0))),""))</f>
        <v>SAMPLE-O-004</v>
      </c>
      <c r="I394" s="30" t="str">
        <f aca="false">IF($C394="","",IFERROR(IF(INDEX(links!$C$2:$C$501,MATCH($C394,links!$D$2:$D$501,0))="","",INDEX(links!$C$2:$C$501,MATCH($C394,links!$D$2:$D$501,0))),""))</f>
        <v>qr</v>
      </c>
      <c r="J394" s="30" t="str">
        <f aca="false">IF($C394="","",IF($G394="","slug not in links; ","")&amp;IF($D394="","reading type missing; ","")&amp;IF(COUNTIFS(scans!$C$2:$C$1601,$C394,scans!$D$2:$D$1601,$D394)&gt;1,"two readings of this type: keep one; ",""))</f>
        <v/>
      </c>
    </row>
    <row r="395" customFormat="false" ht="15" hidden="false" customHeight="false" outlineLevel="0" collapsed="false">
      <c r="A395" s="11" t="n">
        <v>46471</v>
      </c>
      <c r="B395" s="38" t="n">
        <v>0.729166666666667</v>
      </c>
      <c r="C395" s="10" t="s">
        <v>1247</v>
      </c>
      <c r="D395" s="10" t="s">
        <v>1121</v>
      </c>
      <c r="E395" s="0" t="n">
        <v>4</v>
      </c>
      <c r="G395" s="30" t="str">
        <f aca="false">IF($C395="","",IFERROR(IF(INDEX(links!$A$2:$A$501,MATCH($C395,links!$D$2:$D$501,0))="","",INDEX(links!$A$2:$A$501,MATCH($C395,links!$D$2:$D$501,0))),""))</f>
        <v>SAMPLE-CMP-008</v>
      </c>
      <c r="H395" s="30" t="str">
        <f aca="false">IF($C395="","",IFERROR(IF(INDEX(links!$B$2:$B$501,MATCH($C395,links!$D$2:$D$501,0))="","",INDEX(links!$B$2:$B$501,MATCH($C395,links!$D$2:$D$501,0))),""))</f>
        <v>SAMPLE-O-004</v>
      </c>
      <c r="I395" s="30" t="str">
        <f aca="false">IF($C395="","",IFERROR(IF(INDEX(links!$C$2:$C$501,MATCH($C395,links!$D$2:$D$501,0))="","",INDEX(links!$C$2:$C$501,MATCH($C395,links!$D$2:$D$501,0))),""))</f>
        <v>qr</v>
      </c>
      <c r="J395" s="30" t="str">
        <f aca="false">IF($C395="","",IF($G395="","slug not in links; ","")&amp;IF($D395="","reading type missing; ","")&amp;IF(COUNTIFS(scans!$C$2:$C$1601,$C395,scans!$D$2:$D$1601,$D395)&gt;1,"two readings of this type: keep one; ",""))</f>
        <v/>
      </c>
    </row>
    <row r="396" customFormat="false" ht="15" hidden="false" customHeight="false" outlineLevel="0" collapsed="false">
      <c r="A396" s="11" t="n">
        <v>46475</v>
      </c>
      <c r="B396" s="38" t="n">
        <v>0.729166666666667</v>
      </c>
      <c r="C396" s="10" t="s">
        <v>1247</v>
      </c>
      <c r="D396" s="10" t="s">
        <v>1122</v>
      </c>
      <c r="E396" s="0" t="n">
        <v>9</v>
      </c>
      <c r="G396" s="30" t="str">
        <f aca="false">IF($C396="","",IFERROR(IF(INDEX(links!$A$2:$A$501,MATCH($C396,links!$D$2:$D$501,0))="","",INDEX(links!$A$2:$A$501,MATCH($C396,links!$D$2:$D$501,0))),""))</f>
        <v>SAMPLE-CMP-008</v>
      </c>
      <c r="H396" s="30" t="str">
        <f aca="false">IF($C396="","",IFERROR(IF(INDEX(links!$B$2:$B$501,MATCH($C396,links!$D$2:$D$501,0))="","",INDEX(links!$B$2:$B$501,MATCH($C396,links!$D$2:$D$501,0))),""))</f>
        <v>SAMPLE-O-004</v>
      </c>
      <c r="I396" s="30" t="str">
        <f aca="false">IF($C396="","",IFERROR(IF(INDEX(links!$C$2:$C$501,MATCH($C396,links!$D$2:$D$501,0))="","",INDEX(links!$C$2:$C$501,MATCH($C396,links!$D$2:$D$501,0))),""))</f>
        <v>qr</v>
      </c>
      <c r="J396" s="30" t="str">
        <f aca="false">IF($C396="","",IF($G396="","slug not in links; ","")&amp;IF($D396="","reading type missing; ","")&amp;IF(COUNTIFS(scans!$C$2:$C$1601,$C396,scans!$D$2:$D$1601,$D396)&gt;1,"two readings of this type: keep one; ",""))</f>
        <v/>
      </c>
    </row>
    <row r="397" customFormat="false" ht="15" hidden="false" customHeight="false" outlineLevel="0" collapsed="false">
      <c r="A397" s="11" t="n">
        <v>46468</v>
      </c>
      <c r="B397" s="38" t="n">
        <v>0.729166666666667</v>
      </c>
      <c r="C397" s="10" t="s">
        <v>1248</v>
      </c>
      <c r="D397" s="10" t="s">
        <v>1120</v>
      </c>
      <c r="E397" s="0" t="n">
        <v>1</v>
      </c>
      <c r="G397" s="30" t="str">
        <f aca="false">IF($C397="","",IFERROR(IF(INDEX(links!$A$2:$A$501,MATCH($C397,links!$D$2:$D$501,0))="","",INDEX(links!$A$2:$A$501,MATCH($C397,links!$D$2:$D$501,0))),""))</f>
        <v>SAMPLE-CMP-008</v>
      </c>
      <c r="H397" s="30" t="str">
        <f aca="false">IF($C397="","",IFERROR(IF(INDEX(links!$B$2:$B$501,MATCH($C397,links!$D$2:$D$501,0))="","",INDEX(links!$B$2:$B$501,MATCH($C397,links!$D$2:$D$501,0))),""))</f>
        <v>SAMPLE-O-004</v>
      </c>
      <c r="I397" s="30" t="str">
        <f aca="false">IF($C397="","",IFERROR(IF(INDEX(links!$C$2:$C$501,MATCH($C397,links!$D$2:$D$501,0))="","",INDEX(links!$C$2:$C$501,MATCH($C397,links!$D$2:$D$501,0))),""))</f>
        <v>post</v>
      </c>
      <c r="J397" s="30" t="str">
        <f aca="false">IF($C397="","",IF($G397="","slug not in links; ","")&amp;IF($D397="","reading type missing; ","")&amp;IF(COUNTIFS(scans!$C$2:$C$1601,$C397,scans!$D$2:$D$1601,$D397)&gt;1,"two readings of this type: keep one; ",""))</f>
        <v/>
      </c>
    </row>
    <row r="398" customFormat="false" ht="15" hidden="false" customHeight="false" outlineLevel="0" collapsed="false">
      <c r="A398" s="11" t="n">
        <v>46471</v>
      </c>
      <c r="B398" s="38" t="n">
        <v>0.729166666666667</v>
      </c>
      <c r="C398" s="10" t="s">
        <v>1248</v>
      </c>
      <c r="D398" s="10" t="s">
        <v>1121</v>
      </c>
      <c r="E398" s="0" t="n">
        <v>6</v>
      </c>
      <c r="G398" s="30" t="str">
        <f aca="false">IF($C398="","",IFERROR(IF(INDEX(links!$A$2:$A$501,MATCH($C398,links!$D$2:$D$501,0))="","",INDEX(links!$A$2:$A$501,MATCH($C398,links!$D$2:$D$501,0))),""))</f>
        <v>SAMPLE-CMP-008</v>
      </c>
      <c r="H398" s="30" t="str">
        <f aca="false">IF($C398="","",IFERROR(IF(INDEX(links!$B$2:$B$501,MATCH($C398,links!$D$2:$D$501,0))="","",INDEX(links!$B$2:$B$501,MATCH($C398,links!$D$2:$D$501,0))),""))</f>
        <v>SAMPLE-O-004</v>
      </c>
      <c r="I398" s="30" t="str">
        <f aca="false">IF($C398="","",IFERROR(IF(INDEX(links!$C$2:$C$501,MATCH($C398,links!$D$2:$D$501,0))="","",INDEX(links!$C$2:$C$501,MATCH($C398,links!$D$2:$D$501,0))),""))</f>
        <v>post</v>
      </c>
      <c r="J398" s="30" t="str">
        <f aca="false">IF($C398="","",IF($G398="","slug not in links; ","")&amp;IF($D398="","reading type missing; ","")&amp;IF(COUNTIFS(scans!$C$2:$C$1601,$C398,scans!$D$2:$D$1601,$D398)&gt;1,"two readings of this type: keep one; ",""))</f>
        <v/>
      </c>
    </row>
    <row r="399" customFormat="false" ht="15" hidden="false" customHeight="false" outlineLevel="0" collapsed="false">
      <c r="A399" s="11" t="n">
        <v>46475</v>
      </c>
      <c r="B399" s="38" t="n">
        <v>0.729166666666667</v>
      </c>
      <c r="C399" s="10" t="s">
        <v>1248</v>
      </c>
      <c r="D399" s="10" t="s">
        <v>1122</v>
      </c>
      <c r="E399" s="0" t="n">
        <v>12</v>
      </c>
      <c r="G399" s="30" t="str">
        <f aca="false">IF($C399="","",IFERROR(IF(INDEX(links!$A$2:$A$501,MATCH($C399,links!$D$2:$D$501,0))="","",INDEX(links!$A$2:$A$501,MATCH($C399,links!$D$2:$D$501,0))),""))</f>
        <v>SAMPLE-CMP-008</v>
      </c>
      <c r="H399" s="30" t="str">
        <f aca="false">IF($C399="","",IFERROR(IF(INDEX(links!$B$2:$B$501,MATCH($C399,links!$D$2:$D$501,0))="","",INDEX(links!$B$2:$B$501,MATCH($C399,links!$D$2:$D$501,0))),""))</f>
        <v>SAMPLE-O-004</v>
      </c>
      <c r="I399" s="30" t="str">
        <f aca="false">IF($C399="","",IFERROR(IF(INDEX(links!$C$2:$C$501,MATCH($C399,links!$D$2:$D$501,0))="","",INDEX(links!$C$2:$C$501,MATCH($C399,links!$D$2:$D$501,0))),""))</f>
        <v>post</v>
      </c>
      <c r="J399" s="30" t="str">
        <f aca="false">IF($C399="","",IF($G399="","slug not in links; ","")&amp;IF($D399="","reading type missing; ","")&amp;IF(COUNTIFS(scans!$C$2:$C$1601,$C399,scans!$D$2:$D$1601,$D399)&gt;1,"two readings of this type: keep one; ",""))</f>
        <v/>
      </c>
    </row>
    <row r="400" customFormat="false" ht="15" hidden="false" customHeight="false" outlineLevel="0" collapsed="false">
      <c r="A400" s="11" t="n">
        <v>46468</v>
      </c>
      <c r="B400" s="38" t="n">
        <v>0.729166666666667</v>
      </c>
      <c r="C400" s="10" t="s">
        <v>1249</v>
      </c>
      <c r="D400" s="10" t="s">
        <v>1120</v>
      </c>
      <c r="E400" s="0" t="n">
        <v>1</v>
      </c>
      <c r="G400" s="30" t="str">
        <f aca="false">IF($C400="","",IFERROR(IF(INDEX(links!$A$2:$A$501,MATCH($C400,links!$D$2:$D$501,0))="","",INDEX(links!$A$2:$A$501,MATCH($C400,links!$D$2:$D$501,0))),""))</f>
        <v>SAMPLE-CMP-008</v>
      </c>
      <c r="H400" s="30" t="str">
        <f aca="false">IF($C400="","",IFERROR(IF(INDEX(links!$B$2:$B$501,MATCH($C400,links!$D$2:$D$501,0))="","",INDEX(links!$B$2:$B$501,MATCH($C400,links!$D$2:$D$501,0))),""))</f>
        <v>SAMPLE-O-005</v>
      </c>
      <c r="I400" s="30" t="str">
        <f aca="false">IF($C400="","",IFERROR(IF(INDEX(links!$C$2:$C$501,MATCH($C400,links!$D$2:$D$501,0))="","",INDEX(links!$C$2:$C$501,MATCH($C400,links!$D$2:$D$501,0))),""))</f>
        <v>qr</v>
      </c>
      <c r="J400" s="30" t="str">
        <f aca="false">IF($C400="","",IF($G400="","slug not in links; ","")&amp;IF($D400="","reading type missing; ","")&amp;IF(COUNTIFS(scans!$C$2:$C$1601,$C400,scans!$D$2:$D$1601,$D400)&gt;1,"two readings of this type: keep one; ",""))</f>
        <v/>
      </c>
    </row>
    <row r="401" customFormat="false" ht="15" hidden="false" customHeight="false" outlineLevel="0" collapsed="false">
      <c r="A401" s="11" t="n">
        <v>46471</v>
      </c>
      <c r="B401" s="38" t="n">
        <v>0.729166666666667</v>
      </c>
      <c r="C401" s="10" t="s">
        <v>1249</v>
      </c>
      <c r="D401" s="10" t="s">
        <v>1121</v>
      </c>
      <c r="E401" s="0" t="n">
        <v>5</v>
      </c>
      <c r="G401" s="30" t="str">
        <f aca="false">IF($C401="","",IFERROR(IF(INDEX(links!$A$2:$A$501,MATCH($C401,links!$D$2:$D$501,0))="","",INDEX(links!$A$2:$A$501,MATCH($C401,links!$D$2:$D$501,0))),""))</f>
        <v>SAMPLE-CMP-008</v>
      </c>
      <c r="H401" s="30" t="str">
        <f aca="false">IF($C401="","",IFERROR(IF(INDEX(links!$B$2:$B$501,MATCH($C401,links!$D$2:$D$501,0))="","",INDEX(links!$B$2:$B$501,MATCH($C401,links!$D$2:$D$501,0))),""))</f>
        <v>SAMPLE-O-005</v>
      </c>
      <c r="I401" s="30" t="str">
        <f aca="false">IF($C401="","",IFERROR(IF(INDEX(links!$C$2:$C$501,MATCH($C401,links!$D$2:$D$501,0))="","",INDEX(links!$C$2:$C$501,MATCH($C401,links!$D$2:$D$501,0))),""))</f>
        <v>qr</v>
      </c>
      <c r="J401" s="30" t="str">
        <f aca="false">IF($C401="","",IF($G401="","slug not in links; ","")&amp;IF($D401="","reading type missing; ","")&amp;IF(COUNTIFS(scans!$C$2:$C$1601,$C401,scans!$D$2:$D$1601,$D401)&gt;1,"two readings of this type: keep one; ",""))</f>
        <v/>
      </c>
    </row>
    <row r="402" customFormat="false" ht="15" hidden="false" customHeight="false" outlineLevel="0" collapsed="false">
      <c r="A402" s="11" t="n">
        <v>46475</v>
      </c>
      <c r="B402" s="38" t="n">
        <v>0.729166666666667</v>
      </c>
      <c r="C402" s="10" t="s">
        <v>1249</v>
      </c>
      <c r="D402" s="10" t="s">
        <v>1122</v>
      </c>
      <c r="E402" s="0" t="n">
        <v>11</v>
      </c>
      <c r="G402" s="30" t="str">
        <f aca="false">IF($C402="","",IFERROR(IF(INDEX(links!$A$2:$A$501,MATCH($C402,links!$D$2:$D$501,0))="","",INDEX(links!$A$2:$A$501,MATCH($C402,links!$D$2:$D$501,0))),""))</f>
        <v>SAMPLE-CMP-008</v>
      </c>
      <c r="H402" s="30" t="str">
        <f aca="false">IF($C402="","",IFERROR(IF(INDEX(links!$B$2:$B$501,MATCH($C402,links!$D$2:$D$501,0))="","",INDEX(links!$B$2:$B$501,MATCH($C402,links!$D$2:$D$501,0))),""))</f>
        <v>SAMPLE-O-005</v>
      </c>
      <c r="I402" s="30" t="str">
        <f aca="false">IF($C402="","",IFERROR(IF(INDEX(links!$C$2:$C$501,MATCH($C402,links!$D$2:$D$501,0))="","",INDEX(links!$C$2:$C$501,MATCH($C402,links!$D$2:$D$501,0))),""))</f>
        <v>qr</v>
      </c>
      <c r="J402" s="30" t="str">
        <f aca="false">IF($C402="","",IF($G402="","slug not in links; ","")&amp;IF($D402="","reading type missing; ","")&amp;IF(COUNTIFS(scans!$C$2:$C$1601,$C402,scans!$D$2:$D$1601,$D402)&gt;1,"two readings of this type: keep one; ",""))</f>
        <v/>
      </c>
    </row>
    <row r="403" customFormat="false" ht="15" hidden="false" customHeight="false" outlineLevel="0" collapsed="false">
      <c r="A403" s="11" t="n">
        <v>46468</v>
      </c>
      <c r="B403" s="38" t="n">
        <v>0.729166666666667</v>
      </c>
      <c r="C403" s="10" t="s">
        <v>1250</v>
      </c>
      <c r="D403" s="10" t="s">
        <v>1120</v>
      </c>
      <c r="E403" s="0" t="n">
        <v>1</v>
      </c>
      <c r="G403" s="30" t="str">
        <f aca="false">IF($C403="","",IFERROR(IF(INDEX(links!$A$2:$A$501,MATCH($C403,links!$D$2:$D$501,0))="","",INDEX(links!$A$2:$A$501,MATCH($C403,links!$D$2:$D$501,0))),""))</f>
        <v>SAMPLE-CMP-008</v>
      </c>
      <c r="H403" s="30" t="str">
        <f aca="false">IF($C403="","",IFERROR(IF(INDEX(links!$B$2:$B$501,MATCH($C403,links!$D$2:$D$501,0))="","",INDEX(links!$B$2:$B$501,MATCH($C403,links!$D$2:$D$501,0))),""))</f>
        <v>SAMPLE-O-005</v>
      </c>
      <c r="I403" s="30" t="str">
        <f aca="false">IF($C403="","",IFERROR(IF(INDEX(links!$C$2:$C$501,MATCH($C403,links!$D$2:$D$501,0))="","",INDEX(links!$C$2:$C$501,MATCH($C403,links!$D$2:$D$501,0))),""))</f>
        <v>post</v>
      </c>
      <c r="J403" s="30" t="str">
        <f aca="false">IF($C403="","",IF($G403="","slug not in links; ","")&amp;IF($D403="","reading type missing; ","")&amp;IF(COUNTIFS(scans!$C$2:$C$1601,$C403,scans!$D$2:$D$1601,$D403)&gt;1,"two readings of this type: keep one; ",""))</f>
        <v/>
      </c>
    </row>
    <row r="404" customFormat="false" ht="15" hidden="false" customHeight="false" outlineLevel="0" collapsed="false">
      <c r="A404" s="11" t="n">
        <v>46471</v>
      </c>
      <c r="B404" s="38" t="n">
        <v>0.729166666666667</v>
      </c>
      <c r="C404" s="10" t="s">
        <v>1250</v>
      </c>
      <c r="D404" s="10" t="s">
        <v>1121</v>
      </c>
      <c r="E404" s="0" t="n">
        <v>2</v>
      </c>
      <c r="G404" s="30" t="str">
        <f aca="false">IF($C404="","",IFERROR(IF(INDEX(links!$A$2:$A$501,MATCH($C404,links!$D$2:$D$501,0))="","",INDEX(links!$A$2:$A$501,MATCH($C404,links!$D$2:$D$501,0))),""))</f>
        <v>SAMPLE-CMP-008</v>
      </c>
      <c r="H404" s="30" t="str">
        <f aca="false">IF($C404="","",IFERROR(IF(INDEX(links!$B$2:$B$501,MATCH($C404,links!$D$2:$D$501,0))="","",INDEX(links!$B$2:$B$501,MATCH($C404,links!$D$2:$D$501,0))),""))</f>
        <v>SAMPLE-O-005</v>
      </c>
      <c r="I404" s="30" t="str">
        <f aca="false">IF($C404="","",IFERROR(IF(INDEX(links!$C$2:$C$501,MATCH($C404,links!$D$2:$D$501,0))="","",INDEX(links!$C$2:$C$501,MATCH($C404,links!$D$2:$D$501,0))),""))</f>
        <v>post</v>
      </c>
      <c r="J404" s="30" t="str">
        <f aca="false">IF($C404="","",IF($G404="","slug not in links; ","")&amp;IF($D404="","reading type missing; ","")&amp;IF(COUNTIFS(scans!$C$2:$C$1601,$C404,scans!$D$2:$D$1601,$D404)&gt;1,"two readings of this type: keep one; ",""))</f>
        <v/>
      </c>
    </row>
    <row r="405" customFormat="false" ht="15" hidden="false" customHeight="false" outlineLevel="0" collapsed="false">
      <c r="A405" s="11" t="n">
        <v>46475</v>
      </c>
      <c r="B405" s="38" t="n">
        <v>0.729166666666667</v>
      </c>
      <c r="C405" s="10" t="s">
        <v>1250</v>
      </c>
      <c r="D405" s="10" t="s">
        <v>1122</v>
      </c>
      <c r="E405" s="0" t="n">
        <v>4</v>
      </c>
      <c r="G405" s="30" t="str">
        <f aca="false">IF($C405="","",IFERROR(IF(INDEX(links!$A$2:$A$501,MATCH($C405,links!$D$2:$D$501,0))="","",INDEX(links!$A$2:$A$501,MATCH($C405,links!$D$2:$D$501,0))),""))</f>
        <v>SAMPLE-CMP-008</v>
      </c>
      <c r="H405" s="30" t="str">
        <f aca="false">IF($C405="","",IFERROR(IF(INDEX(links!$B$2:$B$501,MATCH($C405,links!$D$2:$D$501,0))="","",INDEX(links!$B$2:$B$501,MATCH($C405,links!$D$2:$D$501,0))),""))</f>
        <v>SAMPLE-O-005</v>
      </c>
      <c r="I405" s="30" t="str">
        <f aca="false">IF($C405="","",IFERROR(IF(INDEX(links!$C$2:$C$501,MATCH($C405,links!$D$2:$D$501,0))="","",INDEX(links!$C$2:$C$501,MATCH($C405,links!$D$2:$D$501,0))),""))</f>
        <v>post</v>
      </c>
      <c r="J405" s="30" t="str">
        <f aca="false">IF($C405="","",IF($G405="","slug not in links; ","")&amp;IF($D405="","reading type missing; ","")&amp;IF(COUNTIFS(scans!$C$2:$C$1601,$C405,scans!$D$2:$D$1601,$D405)&gt;1,"two readings of this type: keep one; ",""))</f>
        <v/>
      </c>
    </row>
    <row r="406" customFormat="false" ht="15" hidden="false" customHeight="false" outlineLevel="0" collapsed="false">
      <c r="A406" s="11" t="n">
        <v>46468</v>
      </c>
      <c r="B406" s="38" t="n">
        <v>0.729166666666667</v>
      </c>
      <c r="C406" s="10" t="s">
        <v>1251</v>
      </c>
      <c r="D406" s="10" t="s">
        <v>1120</v>
      </c>
      <c r="E406" s="0" t="n">
        <v>1</v>
      </c>
      <c r="G406" s="30" t="str">
        <f aca="false">IF($C406="","",IFERROR(IF(INDEX(links!$A$2:$A$501,MATCH($C406,links!$D$2:$D$501,0))="","",INDEX(links!$A$2:$A$501,MATCH($C406,links!$D$2:$D$501,0))),""))</f>
        <v>SAMPLE-CMP-008</v>
      </c>
      <c r="H406" s="30" t="str">
        <f aca="false">IF($C406="","",IFERROR(IF(INDEX(links!$B$2:$B$501,MATCH($C406,links!$D$2:$D$501,0))="","",INDEX(links!$B$2:$B$501,MATCH($C406,links!$D$2:$D$501,0))),""))</f>
        <v>SAMPLE-O-006</v>
      </c>
      <c r="I406" s="30" t="str">
        <f aca="false">IF($C406="","",IFERROR(IF(INDEX(links!$C$2:$C$501,MATCH($C406,links!$D$2:$D$501,0))="","",INDEX(links!$C$2:$C$501,MATCH($C406,links!$D$2:$D$501,0))),""))</f>
        <v>qr</v>
      </c>
      <c r="J406" s="30" t="str">
        <f aca="false">IF($C406="","",IF($G406="","slug not in links; ","")&amp;IF($D406="","reading type missing; ","")&amp;IF(COUNTIFS(scans!$C$2:$C$1601,$C406,scans!$D$2:$D$1601,$D406)&gt;1,"two readings of this type: keep one; ",""))</f>
        <v/>
      </c>
    </row>
    <row r="407" customFormat="false" ht="15" hidden="false" customHeight="false" outlineLevel="0" collapsed="false">
      <c r="A407" s="11" t="n">
        <v>46471</v>
      </c>
      <c r="B407" s="38" t="n">
        <v>0.729166666666667</v>
      </c>
      <c r="C407" s="10" t="s">
        <v>1251</v>
      </c>
      <c r="D407" s="10" t="s">
        <v>1121</v>
      </c>
      <c r="E407" s="0" t="n">
        <v>6</v>
      </c>
      <c r="G407" s="30" t="str">
        <f aca="false">IF($C407="","",IFERROR(IF(INDEX(links!$A$2:$A$501,MATCH($C407,links!$D$2:$D$501,0))="","",INDEX(links!$A$2:$A$501,MATCH($C407,links!$D$2:$D$501,0))),""))</f>
        <v>SAMPLE-CMP-008</v>
      </c>
      <c r="H407" s="30" t="str">
        <f aca="false">IF($C407="","",IFERROR(IF(INDEX(links!$B$2:$B$501,MATCH($C407,links!$D$2:$D$501,0))="","",INDEX(links!$B$2:$B$501,MATCH($C407,links!$D$2:$D$501,0))),""))</f>
        <v>SAMPLE-O-006</v>
      </c>
      <c r="I407" s="30" t="str">
        <f aca="false">IF($C407="","",IFERROR(IF(INDEX(links!$C$2:$C$501,MATCH($C407,links!$D$2:$D$501,0))="","",INDEX(links!$C$2:$C$501,MATCH($C407,links!$D$2:$D$501,0))),""))</f>
        <v>qr</v>
      </c>
      <c r="J407" s="30" t="str">
        <f aca="false">IF($C407="","",IF($G407="","slug not in links; ","")&amp;IF($D407="","reading type missing; ","")&amp;IF(COUNTIFS(scans!$C$2:$C$1601,$C407,scans!$D$2:$D$1601,$D407)&gt;1,"two readings of this type: keep one; ",""))</f>
        <v/>
      </c>
    </row>
    <row r="408" customFormat="false" ht="15" hidden="false" customHeight="false" outlineLevel="0" collapsed="false">
      <c r="A408" s="11" t="n">
        <v>46475</v>
      </c>
      <c r="B408" s="38" t="n">
        <v>0.729166666666667</v>
      </c>
      <c r="C408" s="10" t="s">
        <v>1251</v>
      </c>
      <c r="D408" s="10" t="s">
        <v>1122</v>
      </c>
      <c r="E408" s="0" t="n">
        <v>13</v>
      </c>
      <c r="G408" s="30" t="str">
        <f aca="false">IF($C408="","",IFERROR(IF(INDEX(links!$A$2:$A$501,MATCH($C408,links!$D$2:$D$501,0))="","",INDEX(links!$A$2:$A$501,MATCH($C408,links!$D$2:$D$501,0))),""))</f>
        <v>SAMPLE-CMP-008</v>
      </c>
      <c r="H408" s="30" t="str">
        <f aca="false">IF($C408="","",IFERROR(IF(INDEX(links!$B$2:$B$501,MATCH($C408,links!$D$2:$D$501,0))="","",INDEX(links!$B$2:$B$501,MATCH($C408,links!$D$2:$D$501,0))),""))</f>
        <v>SAMPLE-O-006</v>
      </c>
      <c r="I408" s="30" t="str">
        <f aca="false">IF($C408="","",IFERROR(IF(INDEX(links!$C$2:$C$501,MATCH($C408,links!$D$2:$D$501,0))="","",INDEX(links!$C$2:$C$501,MATCH($C408,links!$D$2:$D$501,0))),""))</f>
        <v>qr</v>
      </c>
      <c r="J408" s="30" t="str">
        <f aca="false">IF($C408="","",IF($G408="","slug not in links; ","")&amp;IF($D408="","reading type missing; ","")&amp;IF(COUNTIFS(scans!$C$2:$C$1601,$C408,scans!$D$2:$D$1601,$D408)&gt;1,"two readings of this type: keep one; ",""))</f>
        <v/>
      </c>
    </row>
    <row r="409" customFormat="false" ht="15" hidden="false" customHeight="false" outlineLevel="0" collapsed="false">
      <c r="A409" s="11" t="n">
        <v>46468</v>
      </c>
      <c r="B409" s="38" t="n">
        <v>0.729166666666667</v>
      </c>
      <c r="C409" s="10" t="s">
        <v>1252</v>
      </c>
      <c r="D409" s="10" t="s">
        <v>1120</v>
      </c>
      <c r="E409" s="0" t="n">
        <v>1</v>
      </c>
      <c r="G409" s="30" t="str">
        <f aca="false">IF($C409="","",IFERROR(IF(INDEX(links!$A$2:$A$501,MATCH($C409,links!$D$2:$D$501,0))="","",INDEX(links!$A$2:$A$501,MATCH($C409,links!$D$2:$D$501,0))),""))</f>
        <v>SAMPLE-CMP-008</v>
      </c>
      <c r="H409" s="30" t="str">
        <f aca="false">IF($C409="","",IFERROR(IF(INDEX(links!$B$2:$B$501,MATCH($C409,links!$D$2:$D$501,0))="","",INDEX(links!$B$2:$B$501,MATCH($C409,links!$D$2:$D$501,0))),""))</f>
        <v>SAMPLE-O-006</v>
      </c>
      <c r="I409" s="30" t="str">
        <f aca="false">IF($C409="","",IFERROR(IF(INDEX(links!$C$2:$C$501,MATCH($C409,links!$D$2:$D$501,0))="","",INDEX(links!$C$2:$C$501,MATCH($C409,links!$D$2:$D$501,0))),""))</f>
        <v>post</v>
      </c>
      <c r="J409" s="30" t="str">
        <f aca="false">IF($C409="","",IF($G409="","slug not in links; ","")&amp;IF($D409="","reading type missing; ","")&amp;IF(COUNTIFS(scans!$C$2:$C$1601,$C409,scans!$D$2:$D$1601,$D409)&gt;1,"two readings of this type: keep one; ",""))</f>
        <v/>
      </c>
    </row>
    <row r="410" customFormat="false" ht="15" hidden="false" customHeight="false" outlineLevel="0" collapsed="false">
      <c r="A410" s="11" t="n">
        <v>46471</v>
      </c>
      <c r="B410" s="38" t="n">
        <v>0.729166666666667</v>
      </c>
      <c r="C410" s="10" t="s">
        <v>1252</v>
      </c>
      <c r="D410" s="10" t="s">
        <v>1121</v>
      </c>
      <c r="E410" s="0" t="n">
        <v>3</v>
      </c>
      <c r="G410" s="30" t="str">
        <f aca="false">IF($C410="","",IFERROR(IF(INDEX(links!$A$2:$A$501,MATCH($C410,links!$D$2:$D$501,0))="","",INDEX(links!$A$2:$A$501,MATCH($C410,links!$D$2:$D$501,0))),""))</f>
        <v>SAMPLE-CMP-008</v>
      </c>
      <c r="H410" s="30" t="str">
        <f aca="false">IF($C410="","",IFERROR(IF(INDEX(links!$B$2:$B$501,MATCH($C410,links!$D$2:$D$501,0))="","",INDEX(links!$B$2:$B$501,MATCH($C410,links!$D$2:$D$501,0))),""))</f>
        <v>SAMPLE-O-006</v>
      </c>
      <c r="I410" s="30" t="str">
        <f aca="false">IF($C410="","",IFERROR(IF(INDEX(links!$C$2:$C$501,MATCH($C410,links!$D$2:$D$501,0))="","",INDEX(links!$C$2:$C$501,MATCH($C410,links!$D$2:$D$501,0))),""))</f>
        <v>post</v>
      </c>
      <c r="J410" s="30" t="str">
        <f aca="false">IF($C410="","",IF($G410="","slug not in links; ","")&amp;IF($D410="","reading type missing; ","")&amp;IF(COUNTIFS(scans!$C$2:$C$1601,$C410,scans!$D$2:$D$1601,$D410)&gt;1,"two readings of this type: keep one; ",""))</f>
        <v/>
      </c>
    </row>
    <row r="411" customFormat="false" ht="15" hidden="false" customHeight="false" outlineLevel="0" collapsed="false">
      <c r="A411" s="11" t="n">
        <v>46475</v>
      </c>
      <c r="B411" s="38" t="n">
        <v>0.729166666666667</v>
      </c>
      <c r="C411" s="10" t="s">
        <v>1252</v>
      </c>
      <c r="D411" s="10" t="s">
        <v>1122</v>
      </c>
      <c r="E411" s="0" t="n">
        <v>6</v>
      </c>
      <c r="G411" s="30" t="str">
        <f aca="false">IF($C411="","",IFERROR(IF(INDEX(links!$A$2:$A$501,MATCH($C411,links!$D$2:$D$501,0))="","",INDEX(links!$A$2:$A$501,MATCH($C411,links!$D$2:$D$501,0))),""))</f>
        <v>SAMPLE-CMP-008</v>
      </c>
      <c r="H411" s="30" t="str">
        <f aca="false">IF($C411="","",IFERROR(IF(INDEX(links!$B$2:$B$501,MATCH($C411,links!$D$2:$D$501,0))="","",INDEX(links!$B$2:$B$501,MATCH($C411,links!$D$2:$D$501,0))),""))</f>
        <v>SAMPLE-O-006</v>
      </c>
      <c r="I411" s="30" t="str">
        <f aca="false">IF($C411="","",IFERROR(IF(INDEX(links!$C$2:$C$501,MATCH($C411,links!$D$2:$D$501,0))="","",INDEX(links!$C$2:$C$501,MATCH($C411,links!$D$2:$D$501,0))),""))</f>
        <v>post</v>
      </c>
      <c r="J411" s="30" t="str">
        <f aca="false">IF($C411="","",IF($G411="","slug not in links; ","")&amp;IF($D411="","reading type missing; ","")&amp;IF(COUNTIFS(scans!$C$2:$C$1601,$C411,scans!$D$2:$D$1601,$D411)&gt;1,"two readings of this type: keep one; ",""))</f>
        <v/>
      </c>
    </row>
    <row r="412" customFormat="false" ht="15" hidden="false" customHeight="false" outlineLevel="0" collapsed="false">
      <c r="A412" s="11" t="n">
        <v>46468</v>
      </c>
      <c r="B412" s="38" t="n">
        <v>0.729166666666667</v>
      </c>
      <c r="C412" s="10" t="s">
        <v>1253</v>
      </c>
      <c r="D412" s="10" t="s">
        <v>1120</v>
      </c>
      <c r="E412" s="0" t="n">
        <v>1</v>
      </c>
      <c r="G412" s="30" t="str">
        <f aca="false">IF($C412="","",IFERROR(IF(INDEX(links!$A$2:$A$501,MATCH($C412,links!$D$2:$D$501,0))="","",INDEX(links!$A$2:$A$501,MATCH($C412,links!$D$2:$D$501,0))),""))</f>
        <v>SAMPLE-CMP-008</v>
      </c>
      <c r="H412" s="30" t="str">
        <f aca="false">IF($C412="","",IFERROR(IF(INDEX(links!$B$2:$B$501,MATCH($C412,links!$D$2:$D$501,0))="","",INDEX(links!$B$2:$B$501,MATCH($C412,links!$D$2:$D$501,0))),""))</f>
        <v>SAMPLE-O-007</v>
      </c>
      <c r="I412" s="30" t="str">
        <f aca="false">IF($C412="","",IFERROR(IF(INDEX(links!$C$2:$C$501,MATCH($C412,links!$D$2:$D$501,0))="","",INDEX(links!$C$2:$C$501,MATCH($C412,links!$D$2:$D$501,0))),""))</f>
        <v>qr</v>
      </c>
      <c r="J412" s="30" t="str">
        <f aca="false">IF($C412="","",IF($G412="","slug not in links; ","")&amp;IF($D412="","reading type missing; ","")&amp;IF(COUNTIFS(scans!$C$2:$C$1601,$C412,scans!$D$2:$D$1601,$D412)&gt;1,"two readings of this type: keep one; ",""))</f>
        <v/>
      </c>
    </row>
    <row r="413" customFormat="false" ht="15" hidden="false" customHeight="false" outlineLevel="0" collapsed="false">
      <c r="A413" s="11" t="n">
        <v>46471</v>
      </c>
      <c r="B413" s="38" t="n">
        <v>0.729166666666667</v>
      </c>
      <c r="C413" s="10" t="s">
        <v>1253</v>
      </c>
      <c r="D413" s="10" t="s">
        <v>1121</v>
      </c>
      <c r="E413" s="0" t="n">
        <v>2</v>
      </c>
      <c r="G413" s="30" t="str">
        <f aca="false">IF($C413="","",IFERROR(IF(INDEX(links!$A$2:$A$501,MATCH($C413,links!$D$2:$D$501,0))="","",INDEX(links!$A$2:$A$501,MATCH($C413,links!$D$2:$D$501,0))),""))</f>
        <v>SAMPLE-CMP-008</v>
      </c>
      <c r="H413" s="30" t="str">
        <f aca="false">IF($C413="","",IFERROR(IF(INDEX(links!$B$2:$B$501,MATCH($C413,links!$D$2:$D$501,0))="","",INDEX(links!$B$2:$B$501,MATCH($C413,links!$D$2:$D$501,0))),""))</f>
        <v>SAMPLE-O-007</v>
      </c>
      <c r="I413" s="30" t="str">
        <f aca="false">IF($C413="","",IFERROR(IF(INDEX(links!$C$2:$C$501,MATCH($C413,links!$D$2:$D$501,0))="","",INDEX(links!$C$2:$C$501,MATCH($C413,links!$D$2:$D$501,0))),""))</f>
        <v>qr</v>
      </c>
      <c r="J413" s="30" t="str">
        <f aca="false">IF($C413="","",IF($G413="","slug not in links; ","")&amp;IF($D413="","reading type missing; ","")&amp;IF(COUNTIFS(scans!$C$2:$C$1601,$C413,scans!$D$2:$D$1601,$D413)&gt;1,"two readings of this type: keep one; ",""))</f>
        <v/>
      </c>
    </row>
    <row r="414" customFormat="false" ht="15" hidden="false" customHeight="false" outlineLevel="0" collapsed="false">
      <c r="A414" s="11" t="n">
        <v>46475</v>
      </c>
      <c r="B414" s="38" t="n">
        <v>0.729166666666667</v>
      </c>
      <c r="C414" s="10" t="s">
        <v>1253</v>
      </c>
      <c r="D414" s="10" t="s">
        <v>1122</v>
      </c>
      <c r="E414" s="0" t="n">
        <v>5</v>
      </c>
      <c r="G414" s="30" t="str">
        <f aca="false">IF($C414="","",IFERROR(IF(INDEX(links!$A$2:$A$501,MATCH($C414,links!$D$2:$D$501,0))="","",INDEX(links!$A$2:$A$501,MATCH($C414,links!$D$2:$D$501,0))),""))</f>
        <v>SAMPLE-CMP-008</v>
      </c>
      <c r="H414" s="30" t="str">
        <f aca="false">IF($C414="","",IFERROR(IF(INDEX(links!$B$2:$B$501,MATCH($C414,links!$D$2:$D$501,0))="","",INDEX(links!$B$2:$B$501,MATCH($C414,links!$D$2:$D$501,0))),""))</f>
        <v>SAMPLE-O-007</v>
      </c>
      <c r="I414" s="30" t="str">
        <f aca="false">IF($C414="","",IFERROR(IF(INDEX(links!$C$2:$C$501,MATCH($C414,links!$D$2:$D$501,0))="","",INDEX(links!$C$2:$C$501,MATCH($C414,links!$D$2:$D$501,0))),""))</f>
        <v>qr</v>
      </c>
      <c r="J414" s="30" t="str">
        <f aca="false">IF($C414="","",IF($G414="","slug not in links; ","")&amp;IF($D414="","reading type missing; ","")&amp;IF(COUNTIFS(scans!$C$2:$C$1601,$C414,scans!$D$2:$D$1601,$D414)&gt;1,"two readings of this type: keep one; ",""))</f>
        <v/>
      </c>
    </row>
    <row r="415" customFormat="false" ht="15" hidden="false" customHeight="false" outlineLevel="0" collapsed="false">
      <c r="A415" s="11" t="n">
        <v>46468</v>
      </c>
      <c r="B415" s="38" t="n">
        <v>0.729166666666667</v>
      </c>
      <c r="C415" s="10" t="s">
        <v>1254</v>
      </c>
      <c r="D415" s="10" t="s">
        <v>1120</v>
      </c>
      <c r="E415" s="0" t="n">
        <v>1</v>
      </c>
      <c r="G415" s="30" t="str">
        <f aca="false">IF($C415="","",IFERROR(IF(INDEX(links!$A$2:$A$501,MATCH($C415,links!$D$2:$D$501,0))="","",INDEX(links!$A$2:$A$501,MATCH($C415,links!$D$2:$D$501,0))),""))</f>
        <v>SAMPLE-CMP-008</v>
      </c>
      <c r="H415" s="30" t="str">
        <f aca="false">IF($C415="","",IFERROR(IF(INDEX(links!$B$2:$B$501,MATCH($C415,links!$D$2:$D$501,0))="","",INDEX(links!$B$2:$B$501,MATCH($C415,links!$D$2:$D$501,0))),""))</f>
        <v>SAMPLE-O-007</v>
      </c>
      <c r="I415" s="30" t="str">
        <f aca="false">IF($C415="","",IFERROR(IF(INDEX(links!$C$2:$C$501,MATCH($C415,links!$D$2:$D$501,0))="","",INDEX(links!$C$2:$C$501,MATCH($C415,links!$D$2:$D$501,0))),""))</f>
        <v>post</v>
      </c>
      <c r="J415" s="30" t="str">
        <f aca="false">IF($C415="","",IF($G415="","slug not in links; ","")&amp;IF($D415="","reading type missing; ","")&amp;IF(COUNTIFS(scans!$C$2:$C$1601,$C415,scans!$D$2:$D$1601,$D415)&gt;1,"two readings of this type: keep one; ",""))</f>
        <v/>
      </c>
    </row>
    <row r="416" customFormat="false" ht="15" hidden="false" customHeight="false" outlineLevel="0" collapsed="false">
      <c r="A416" s="11" t="n">
        <v>46471</v>
      </c>
      <c r="B416" s="38" t="n">
        <v>0.729166666666667</v>
      </c>
      <c r="C416" s="10" t="s">
        <v>1254</v>
      </c>
      <c r="D416" s="10" t="s">
        <v>1121</v>
      </c>
      <c r="E416" s="0" t="n">
        <v>4</v>
      </c>
      <c r="G416" s="30" t="str">
        <f aca="false">IF($C416="","",IFERROR(IF(INDEX(links!$A$2:$A$501,MATCH($C416,links!$D$2:$D$501,0))="","",INDEX(links!$A$2:$A$501,MATCH($C416,links!$D$2:$D$501,0))),""))</f>
        <v>SAMPLE-CMP-008</v>
      </c>
      <c r="H416" s="30" t="str">
        <f aca="false">IF($C416="","",IFERROR(IF(INDEX(links!$B$2:$B$501,MATCH($C416,links!$D$2:$D$501,0))="","",INDEX(links!$B$2:$B$501,MATCH($C416,links!$D$2:$D$501,0))),""))</f>
        <v>SAMPLE-O-007</v>
      </c>
      <c r="I416" s="30" t="str">
        <f aca="false">IF($C416="","",IFERROR(IF(INDEX(links!$C$2:$C$501,MATCH($C416,links!$D$2:$D$501,0))="","",INDEX(links!$C$2:$C$501,MATCH($C416,links!$D$2:$D$501,0))),""))</f>
        <v>post</v>
      </c>
      <c r="J416" s="30" t="str">
        <f aca="false">IF($C416="","",IF($G416="","slug not in links; ","")&amp;IF($D416="","reading type missing; ","")&amp;IF(COUNTIFS(scans!$C$2:$C$1601,$C416,scans!$D$2:$D$1601,$D416)&gt;1,"two readings of this type: keep one; ",""))</f>
        <v/>
      </c>
    </row>
    <row r="417" customFormat="false" ht="15" hidden="false" customHeight="false" outlineLevel="0" collapsed="false">
      <c r="A417" s="11" t="n">
        <v>46475</v>
      </c>
      <c r="B417" s="38" t="n">
        <v>0.729166666666667</v>
      </c>
      <c r="C417" s="10" t="s">
        <v>1254</v>
      </c>
      <c r="D417" s="10" t="s">
        <v>1122</v>
      </c>
      <c r="E417" s="0" t="n">
        <v>8</v>
      </c>
      <c r="G417" s="30" t="str">
        <f aca="false">IF($C417="","",IFERROR(IF(INDEX(links!$A$2:$A$501,MATCH($C417,links!$D$2:$D$501,0))="","",INDEX(links!$A$2:$A$501,MATCH($C417,links!$D$2:$D$501,0))),""))</f>
        <v>SAMPLE-CMP-008</v>
      </c>
      <c r="H417" s="30" t="str">
        <f aca="false">IF($C417="","",IFERROR(IF(INDEX(links!$B$2:$B$501,MATCH($C417,links!$D$2:$D$501,0))="","",INDEX(links!$B$2:$B$501,MATCH($C417,links!$D$2:$D$501,0))),""))</f>
        <v>SAMPLE-O-007</v>
      </c>
      <c r="I417" s="30" t="str">
        <f aca="false">IF($C417="","",IFERROR(IF(INDEX(links!$C$2:$C$501,MATCH($C417,links!$D$2:$D$501,0))="","",INDEX(links!$C$2:$C$501,MATCH($C417,links!$D$2:$D$501,0))),""))</f>
        <v>post</v>
      </c>
      <c r="J417" s="30" t="str">
        <f aca="false">IF($C417="","",IF($G417="","slug not in links; ","")&amp;IF($D417="","reading type missing; ","")&amp;IF(COUNTIFS(scans!$C$2:$C$1601,$C417,scans!$D$2:$D$1601,$D417)&gt;1,"two readings of this type: keep one; ",""))</f>
        <v/>
      </c>
    </row>
    <row r="418" customFormat="false" ht="15" hidden="false" customHeight="false" outlineLevel="0" collapsed="false">
      <c r="A418" s="11" t="n">
        <v>46468</v>
      </c>
      <c r="B418" s="38" t="n">
        <v>0.729166666666667</v>
      </c>
      <c r="C418" s="10" t="s">
        <v>1255</v>
      </c>
      <c r="D418" s="10" t="s">
        <v>1120</v>
      </c>
      <c r="E418" s="0" t="n">
        <v>1</v>
      </c>
      <c r="G418" s="30" t="str">
        <f aca="false">IF($C418="","",IFERROR(IF(INDEX(links!$A$2:$A$501,MATCH($C418,links!$D$2:$D$501,0))="","",INDEX(links!$A$2:$A$501,MATCH($C418,links!$D$2:$D$501,0))),""))</f>
        <v>SAMPLE-CMP-008</v>
      </c>
      <c r="H418" s="30" t="str">
        <f aca="false">IF($C418="","",IFERROR(IF(INDEX(links!$B$2:$B$501,MATCH($C418,links!$D$2:$D$501,0))="","",INDEX(links!$B$2:$B$501,MATCH($C418,links!$D$2:$D$501,0))),""))</f>
        <v>SAMPLE-O-008</v>
      </c>
      <c r="I418" s="30" t="str">
        <f aca="false">IF($C418="","",IFERROR(IF(INDEX(links!$C$2:$C$501,MATCH($C418,links!$D$2:$D$501,0))="","",INDEX(links!$C$2:$C$501,MATCH($C418,links!$D$2:$D$501,0))),""))</f>
        <v>qr</v>
      </c>
      <c r="J418" s="30" t="str">
        <f aca="false">IF($C418="","",IF($G418="","slug not in links; ","")&amp;IF($D418="","reading type missing; ","")&amp;IF(COUNTIFS(scans!$C$2:$C$1601,$C418,scans!$D$2:$D$1601,$D418)&gt;1,"two readings of this type: keep one; ",""))</f>
        <v/>
      </c>
    </row>
    <row r="419" customFormat="false" ht="15" hidden="false" customHeight="false" outlineLevel="0" collapsed="false">
      <c r="A419" s="11" t="n">
        <v>46471</v>
      </c>
      <c r="B419" s="38" t="n">
        <v>0.729166666666667</v>
      </c>
      <c r="C419" s="10" t="s">
        <v>1255</v>
      </c>
      <c r="D419" s="10" t="s">
        <v>1121</v>
      </c>
      <c r="E419" s="0" t="n">
        <v>1</v>
      </c>
      <c r="G419" s="30" t="str">
        <f aca="false">IF($C419="","",IFERROR(IF(INDEX(links!$A$2:$A$501,MATCH($C419,links!$D$2:$D$501,0))="","",INDEX(links!$A$2:$A$501,MATCH($C419,links!$D$2:$D$501,0))),""))</f>
        <v>SAMPLE-CMP-008</v>
      </c>
      <c r="H419" s="30" t="str">
        <f aca="false">IF($C419="","",IFERROR(IF(INDEX(links!$B$2:$B$501,MATCH($C419,links!$D$2:$D$501,0))="","",INDEX(links!$B$2:$B$501,MATCH($C419,links!$D$2:$D$501,0))),""))</f>
        <v>SAMPLE-O-008</v>
      </c>
      <c r="I419" s="30" t="str">
        <f aca="false">IF($C419="","",IFERROR(IF(INDEX(links!$C$2:$C$501,MATCH($C419,links!$D$2:$D$501,0))="","",INDEX(links!$C$2:$C$501,MATCH($C419,links!$D$2:$D$501,0))),""))</f>
        <v>qr</v>
      </c>
      <c r="J419" s="30" t="str">
        <f aca="false">IF($C419="","",IF($G419="","slug not in links; ","")&amp;IF($D419="","reading type missing; ","")&amp;IF(COUNTIFS(scans!$C$2:$C$1601,$C419,scans!$D$2:$D$1601,$D419)&gt;1,"two readings of this type: keep one; ",""))</f>
        <v/>
      </c>
    </row>
    <row r="420" customFormat="false" ht="15" hidden="false" customHeight="false" outlineLevel="0" collapsed="false">
      <c r="A420" s="11" t="n">
        <v>46475</v>
      </c>
      <c r="B420" s="38" t="n">
        <v>0.729166666666667</v>
      </c>
      <c r="C420" s="10" t="s">
        <v>1255</v>
      </c>
      <c r="D420" s="10" t="s">
        <v>1122</v>
      </c>
      <c r="E420" s="0" t="n">
        <v>1</v>
      </c>
      <c r="G420" s="30" t="str">
        <f aca="false">IF($C420="","",IFERROR(IF(INDEX(links!$A$2:$A$501,MATCH($C420,links!$D$2:$D$501,0))="","",INDEX(links!$A$2:$A$501,MATCH($C420,links!$D$2:$D$501,0))),""))</f>
        <v>SAMPLE-CMP-008</v>
      </c>
      <c r="H420" s="30" t="str">
        <f aca="false">IF($C420="","",IFERROR(IF(INDEX(links!$B$2:$B$501,MATCH($C420,links!$D$2:$D$501,0))="","",INDEX(links!$B$2:$B$501,MATCH($C420,links!$D$2:$D$501,0))),""))</f>
        <v>SAMPLE-O-008</v>
      </c>
      <c r="I420" s="30" t="str">
        <f aca="false">IF($C420="","",IFERROR(IF(INDEX(links!$C$2:$C$501,MATCH($C420,links!$D$2:$D$501,0))="","",INDEX(links!$C$2:$C$501,MATCH($C420,links!$D$2:$D$501,0))),""))</f>
        <v>qr</v>
      </c>
      <c r="J420" s="30" t="str">
        <f aca="false">IF($C420="","",IF($G420="","slug not in links; ","")&amp;IF($D420="","reading type missing; ","")&amp;IF(COUNTIFS(scans!$C$2:$C$1601,$C420,scans!$D$2:$D$1601,$D420)&gt;1,"two readings of this type: keep one; ",""))</f>
        <v/>
      </c>
    </row>
    <row r="421" customFormat="false" ht="15" hidden="false" customHeight="false" outlineLevel="0" collapsed="false">
      <c r="A421" s="11" t="n">
        <v>46468</v>
      </c>
      <c r="B421" s="38" t="n">
        <v>0.729166666666667</v>
      </c>
      <c r="C421" s="10" t="s">
        <v>1256</v>
      </c>
      <c r="D421" s="10" t="s">
        <v>1120</v>
      </c>
      <c r="E421" s="0" t="n">
        <v>1</v>
      </c>
      <c r="G421" s="30" t="str">
        <f aca="false">IF($C421="","",IFERROR(IF(INDEX(links!$A$2:$A$501,MATCH($C421,links!$D$2:$D$501,0))="","",INDEX(links!$A$2:$A$501,MATCH($C421,links!$D$2:$D$501,0))),""))</f>
        <v>SAMPLE-CMP-008</v>
      </c>
      <c r="H421" s="30" t="str">
        <f aca="false">IF($C421="","",IFERROR(IF(INDEX(links!$B$2:$B$501,MATCH($C421,links!$D$2:$D$501,0))="","",INDEX(links!$B$2:$B$501,MATCH($C421,links!$D$2:$D$501,0))),""))</f>
        <v>SAMPLE-O-008</v>
      </c>
      <c r="I421" s="30" t="str">
        <f aca="false">IF($C421="","",IFERROR(IF(INDEX(links!$C$2:$C$501,MATCH($C421,links!$D$2:$D$501,0))="","",INDEX(links!$C$2:$C$501,MATCH($C421,links!$D$2:$D$501,0))),""))</f>
        <v>post</v>
      </c>
      <c r="J421" s="30" t="str">
        <f aca="false">IF($C421="","",IF($G421="","slug not in links; ","")&amp;IF($D421="","reading type missing; ","")&amp;IF(COUNTIFS(scans!$C$2:$C$1601,$C421,scans!$D$2:$D$1601,$D421)&gt;1,"two readings of this type: keep one; ",""))</f>
        <v/>
      </c>
    </row>
    <row r="422" customFormat="false" ht="15" hidden="false" customHeight="false" outlineLevel="0" collapsed="false">
      <c r="A422" s="11" t="n">
        <v>46471</v>
      </c>
      <c r="B422" s="38" t="n">
        <v>0.729166666666667</v>
      </c>
      <c r="C422" s="10" t="s">
        <v>1256</v>
      </c>
      <c r="D422" s="10" t="s">
        <v>1121</v>
      </c>
      <c r="E422" s="0" t="n">
        <v>2</v>
      </c>
      <c r="G422" s="30" t="str">
        <f aca="false">IF($C422="","",IFERROR(IF(INDEX(links!$A$2:$A$501,MATCH($C422,links!$D$2:$D$501,0))="","",INDEX(links!$A$2:$A$501,MATCH($C422,links!$D$2:$D$501,0))),""))</f>
        <v>SAMPLE-CMP-008</v>
      </c>
      <c r="H422" s="30" t="str">
        <f aca="false">IF($C422="","",IFERROR(IF(INDEX(links!$B$2:$B$501,MATCH($C422,links!$D$2:$D$501,0))="","",INDEX(links!$B$2:$B$501,MATCH($C422,links!$D$2:$D$501,0))),""))</f>
        <v>SAMPLE-O-008</v>
      </c>
      <c r="I422" s="30" t="str">
        <f aca="false">IF($C422="","",IFERROR(IF(INDEX(links!$C$2:$C$501,MATCH($C422,links!$D$2:$D$501,0))="","",INDEX(links!$C$2:$C$501,MATCH($C422,links!$D$2:$D$501,0))),""))</f>
        <v>post</v>
      </c>
      <c r="J422" s="30" t="str">
        <f aca="false">IF($C422="","",IF($G422="","slug not in links; ","")&amp;IF($D422="","reading type missing; ","")&amp;IF(COUNTIFS(scans!$C$2:$C$1601,$C422,scans!$D$2:$D$1601,$D422)&gt;1,"two readings of this type: keep one; ",""))</f>
        <v/>
      </c>
    </row>
    <row r="423" customFormat="false" ht="15" hidden="false" customHeight="false" outlineLevel="0" collapsed="false">
      <c r="A423" s="11" t="n">
        <v>46475</v>
      </c>
      <c r="B423" s="38" t="n">
        <v>0.729166666666667</v>
      </c>
      <c r="C423" s="10" t="s">
        <v>1256</v>
      </c>
      <c r="D423" s="10" t="s">
        <v>1122</v>
      </c>
      <c r="E423" s="0" t="n">
        <v>4</v>
      </c>
      <c r="G423" s="30" t="str">
        <f aca="false">IF($C423="","",IFERROR(IF(INDEX(links!$A$2:$A$501,MATCH($C423,links!$D$2:$D$501,0))="","",INDEX(links!$A$2:$A$501,MATCH($C423,links!$D$2:$D$501,0))),""))</f>
        <v>SAMPLE-CMP-008</v>
      </c>
      <c r="H423" s="30" t="str">
        <f aca="false">IF($C423="","",IFERROR(IF(INDEX(links!$B$2:$B$501,MATCH($C423,links!$D$2:$D$501,0))="","",INDEX(links!$B$2:$B$501,MATCH($C423,links!$D$2:$D$501,0))),""))</f>
        <v>SAMPLE-O-008</v>
      </c>
      <c r="I423" s="30" t="str">
        <f aca="false">IF($C423="","",IFERROR(IF(INDEX(links!$C$2:$C$501,MATCH($C423,links!$D$2:$D$501,0))="","",INDEX(links!$C$2:$C$501,MATCH($C423,links!$D$2:$D$501,0))),""))</f>
        <v>post</v>
      </c>
      <c r="J423" s="30" t="str">
        <f aca="false">IF($C423="","",IF($G423="","slug not in links; ","")&amp;IF($D423="","reading type missing; ","")&amp;IF(COUNTIFS(scans!$C$2:$C$1601,$C423,scans!$D$2:$D$1601,$D423)&gt;1,"two readings of this type: keep one; ",""))</f>
        <v/>
      </c>
    </row>
    <row r="424" customFormat="false" ht="15" hidden="false" customHeight="false" outlineLevel="0" collapsed="false">
      <c r="A424" s="11" t="n">
        <v>46468</v>
      </c>
      <c r="B424" s="38" t="n">
        <v>0.729166666666667</v>
      </c>
      <c r="C424" s="10" t="s">
        <v>1257</v>
      </c>
      <c r="D424" s="10" t="s">
        <v>1120</v>
      </c>
      <c r="E424" s="0" t="n">
        <v>1</v>
      </c>
      <c r="G424" s="30" t="str">
        <f aca="false">IF($C424="","",IFERROR(IF(INDEX(links!$A$2:$A$501,MATCH($C424,links!$D$2:$D$501,0))="","",INDEX(links!$A$2:$A$501,MATCH($C424,links!$D$2:$D$501,0))),""))</f>
        <v>SAMPLE-CMP-008</v>
      </c>
      <c r="H424" s="30" t="str">
        <f aca="false">IF($C424="","",IFERROR(IF(INDEX(links!$B$2:$B$501,MATCH($C424,links!$D$2:$D$501,0))="","",INDEX(links!$B$2:$B$501,MATCH($C424,links!$D$2:$D$501,0))),""))</f>
        <v>SAMPLE-O-009</v>
      </c>
      <c r="I424" s="30" t="str">
        <f aca="false">IF($C424="","",IFERROR(IF(INDEX(links!$C$2:$C$501,MATCH($C424,links!$D$2:$D$501,0))="","",INDEX(links!$C$2:$C$501,MATCH($C424,links!$D$2:$D$501,0))),""))</f>
        <v>qr</v>
      </c>
      <c r="J424" s="30" t="str">
        <f aca="false">IF($C424="","",IF($G424="","slug not in links; ","")&amp;IF($D424="","reading type missing; ","")&amp;IF(COUNTIFS(scans!$C$2:$C$1601,$C424,scans!$D$2:$D$1601,$D424)&gt;1,"two readings of this type: keep one; ",""))</f>
        <v/>
      </c>
    </row>
    <row r="425" customFormat="false" ht="15" hidden="false" customHeight="false" outlineLevel="0" collapsed="false">
      <c r="A425" s="11" t="n">
        <v>46471</v>
      </c>
      <c r="B425" s="38" t="n">
        <v>0.729166666666667</v>
      </c>
      <c r="C425" s="10" t="s">
        <v>1257</v>
      </c>
      <c r="D425" s="10" t="s">
        <v>1121</v>
      </c>
      <c r="E425" s="0" t="n">
        <v>4</v>
      </c>
      <c r="G425" s="30" t="str">
        <f aca="false">IF($C425="","",IFERROR(IF(INDEX(links!$A$2:$A$501,MATCH($C425,links!$D$2:$D$501,0))="","",INDEX(links!$A$2:$A$501,MATCH($C425,links!$D$2:$D$501,0))),""))</f>
        <v>SAMPLE-CMP-008</v>
      </c>
      <c r="H425" s="30" t="str">
        <f aca="false">IF($C425="","",IFERROR(IF(INDEX(links!$B$2:$B$501,MATCH($C425,links!$D$2:$D$501,0))="","",INDEX(links!$B$2:$B$501,MATCH($C425,links!$D$2:$D$501,0))),""))</f>
        <v>SAMPLE-O-009</v>
      </c>
      <c r="I425" s="30" t="str">
        <f aca="false">IF($C425="","",IFERROR(IF(INDEX(links!$C$2:$C$501,MATCH($C425,links!$D$2:$D$501,0))="","",INDEX(links!$C$2:$C$501,MATCH($C425,links!$D$2:$D$501,0))),""))</f>
        <v>qr</v>
      </c>
      <c r="J425" s="30" t="str">
        <f aca="false">IF($C425="","",IF($G425="","slug not in links; ","")&amp;IF($D425="","reading type missing; ","")&amp;IF(COUNTIFS(scans!$C$2:$C$1601,$C425,scans!$D$2:$D$1601,$D425)&gt;1,"two readings of this type: keep one; ",""))</f>
        <v/>
      </c>
    </row>
    <row r="426" customFormat="false" ht="15" hidden="false" customHeight="false" outlineLevel="0" collapsed="false">
      <c r="A426" s="11" t="n">
        <v>46475</v>
      </c>
      <c r="B426" s="38" t="n">
        <v>0.729166666666667</v>
      </c>
      <c r="C426" s="10" t="s">
        <v>1257</v>
      </c>
      <c r="D426" s="10" t="s">
        <v>1122</v>
      </c>
      <c r="E426" s="0" t="n">
        <v>9</v>
      </c>
      <c r="G426" s="30" t="str">
        <f aca="false">IF($C426="","",IFERROR(IF(INDEX(links!$A$2:$A$501,MATCH($C426,links!$D$2:$D$501,0))="","",INDEX(links!$A$2:$A$501,MATCH($C426,links!$D$2:$D$501,0))),""))</f>
        <v>SAMPLE-CMP-008</v>
      </c>
      <c r="H426" s="30" t="str">
        <f aca="false">IF($C426="","",IFERROR(IF(INDEX(links!$B$2:$B$501,MATCH($C426,links!$D$2:$D$501,0))="","",INDEX(links!$B$2:$B$501,MATCH($C426,links!$D$2:$D$501,0))),""))</f>
        <v>SAMPLE-O-009</v>
      </c>
      <c r="I426" s="30" t="str">
        <f aca="false">IF($C426="","",IFERROR(IF(INDEX(links!$C$2:$C$501,MATCH($C426,links!$D$2:$D$501,0))="","",INDEX(links!$C$2:$C$501,MATCH($C426,links!$D$2:$D$501,0))),""))</f>
        <v>qr</v>
      </c>
      <c r="J426" s="30" t="str">
        <f aca="false">IF($C426="","",IF($G426="","slug not in links; ","")&amp;IF($D426="","reading type missing; ","")&amp;IF(COUNTIFS(scans!$C$2:$C$1601,$C426,scans!$D$2:$D$1601,$D426)&gt;1,"two readings of this type: keep one; ",""))</f>
        <v/>
      </c>
    </row>
    <row r="427" customFormat="false" ht="15" hidden="false" customHeight="false" outlineLevel="0" collapsed="false">
      <c r="A427" s="11" t="n">
        <v>46468</v>
      </c>
      <c r="B427" s="38" t="n">
        <v>0.729166666666667</v>
      </c>
      <c r="C427" s="10" t="s">
        <v>1258</v>
      </c>
      <c r="D427" s="10" t="s">
        <v>1120</v>
      </c>
      <c r="E427" s="0" t="n">
        <v>1</v>
      </c>
      <c r="G427" s="30" t="str">
        <f aca="false">IF($C427="","",IFERROR(IF(INDEX(links!$A$2:$A$501,MATCH($C427,links!$D$2:$D$501,0))="","",INDEX(links!$A$2:$A$501,MATCH($C427,links!$D$2:$D$501,0))),""))</f>
        <v>SAMPLE-CMP-008</v>
      </c>
      <c r="H427" s="30" t="str">
        <f aca="false">IF($C427="","",IFERROR(IF(INDEX(links!$B$2:$B$501,MATCH($C427,links!$D$2:$D$501,0))="","",INDEX(links!$B$2:$B$501,MATCH($C427,links!$D$2:$D$501,0))),""))</f>
        <v>SAMPLE-O-009</v>
      </c>
      <c r="I427" s="30" t="str">
        <f aca="false">IF($C427="","",IFERROR(IF(INDEX(links!$C$2:$C$501,MATCH($C427,links!$D$2:$D$501,0))="","",INDEX(links!$C$2:$C$501,MATCH($C427,links!$D$2:$D$501,0))),""))</f>
        <v>post</v>
      </c>
      <c r="J427" s="30" t="str">
        <f aca="false">IF($C427="","",IF($G427="","slug not in links; ","")&amp;IF($D427="","reading type missing; ","")&amp;IF(COUNTIFS(scans!$C$2:$C$1601,$C427,scans!$D$2:$D$1601,$D427)&gt;1,"two readings of this type: keep one; ",""))</f>
        <v/>
      </c>
    </row>
    <row r="428" customFormat="false" ht="15" hidden="false" customHeight="false" outlineLevel="0" collapsed="false">
      <c r="A428" s="11" t="n">
        <v>46471</v>
      </c>
      <c r="B428" s="38" t="n">
        <v>0.729166666666667</v>
      </c>
      <c r="C428" s="10" t="s">
        <v>1258</v>
      </c>
      <c r="D428" s="10" t="s">
        <v>1121</v>
      </c>
      <c r="E428" s="0" t="n">
        <v>6</v>
      </c>
      <c r="G428" s="30" t="str">
        <f aca="false">IF($C428="","",IFERROR(IF(INDEX(links!$A$2:$A$501,MATCH($C428,links!$D$2:$D$501,0))="","",INDEX(links!$A$2:$A$501,MATCH($C428,links!$D$2:$D$501,0))),""))</f>
        <v>SAMPLE-CMP-008</v>
      </c>
      <c r="H428" s="30" t="str">
        <f aca="false">IF($C428="","",IFERROR(IF(INDEX(links!$B$2:$B$501,MATCH($C428,links!$D$2:$D$501,0))="","",INDEX(links!$B$2:$B$501,MATCH($C428,links!$D$2:$D$501,0))),""))</f>
        <v>SAMPLE-O-009</v>
      </c>
      <c r="I428" s="30" t="str">
        <f aca="false">IF($C428="","",IFERROR(IF(INDEX(links!$C$2:$C$501,MATCH($C428,links!$D$2:$D$501,0))="","",INDEX(links!$C$2:$C$501,MATCH($C428,links!$D$2:$D$501,0))),""))</f>
        <v>post</v>
      </c>
      <c r="J428" s="30" t="str">
        <f aca="false">IF($C428="","",IF($G428="","slug not in links; ","")&amp;IF($D428="","reading type missing; ","")&amp;IF(COUNTIFS(scans!$C$2:$C$1601,$C428,scans!$D$2:$D$1601,$D428)&gt;1,"two readings of this type: keep one; ",""))</f>
        <v/>
      </c>
    </row>
    <row r="429" customFormat="false" ht="15" hidden="false" customHeight="false" outlineLevel="0" collapsed="false">
      <c r="A429" s="11" t="n">
        <v>46475</v>
      </c>
      <c r="B429" s="38" t="n">
        <v>0.729166666666667</v>
      </c>
      <c r="C429" s="10" t="s">
        <v>1258</v>
      </c>
      <c r="D429" s="10" t="s">
        <v>1122</v>
      </c>
      <c r="E429" s="0" t="n">
        <v>12</v>
      </c>
      <c r="G429" s="30" t="str">
        <f aca="false">IF($C429="","",IFERROR(IF(INDEX(links!$A$2:$A$501,MATCH($C429,links!$D$2:$D$501,0))="","",INDEX(links!$A$2:$A$501,MATCH($C429,links!$D$2:$D$501,0))),""))</f>
        <v>SAMPLE-CMP-008</v>
      </c>
      <c r="H429" s="30" t="str">
        <f aca="false">IF($C429="","",IFERROR(IF(INDEX(links!$B$2:$B$501,MATCH($C429,links!$D$2:$D$501,0))="","",INDEX(links!$B$2:$B$501,MATCH($C429,links!$D$2:$D$501,0))),""))</f>
        <v>SAMPLE-O-009</v>
      </c>
      <c r="I429" s="30" t="str">
        <f aca="false">IF($C429="","",IFERROR(IF(INDEX(links!$C$2:$C$501,MATCH($C429,links!$D$2:$D$501,0))="","",INDEX(links!$C$2:$C$501,MATCH($C429,links!$D$2:$D$501,0))),""))</f>
        <v>post</v>
      </c>
      <c r="J429" s="30" t="str">
        <f aca="false">IF($C429="","",IF($G429="","slug not in links; ","")&amp;IF($D429="","reading type missing; ","")&amp;IF(COUNTIFS(scans!$C$2:$C$1601,$C429,scans!$D$2:$D$1601,$D429)&gt;1,"two readings of this type: keep one; ",""))</f>
        <v/>
      </c>
    </row>
    <row r="430" customFormat="false" ht="15" hidden="false" customHeight="false" outlineLevel="0" collapsed="false">
      <c r="A430" s="11" t="n">
        <v>46468</v>
      </c>
      <c r="B430" s="38" t="n">
        <v>0.729166666666667</v>
      </c>
      <c r="C430" s="10" t="s">
        <v>1259</v>
      </c>
      <c r="D430" s="10" t="s">
        <v>1120</v>
      </c>
      <c r="E430" s="0" t="n">
        <v>1</v>
      </c>
      <c r="G430" s="30" t="str">
        <f aca="false">IF($C430="","",IFERROR(IF(INDEX(links!$A$2:$A$501,MATCH($C430,links!$D$2:$D$501,0))="","",INDEX(links!$A$2:$A$501,MATCH($C430,links!$D$2:$D$501,0))),""))</f>
        <v>SAMPLE-CMP-008</v>
      </c>
      <c r="H430" s="30" t="str">
        <f aca="false">IF($C430="","",IFERROR(IF(INDEX(links!$B$2:$B$501,MATCH($C430,links!$D$2:$D$501,0))="","",INDEX(links!$B$2:$B$501,MATCH($C430,links!$D$2:$D$501,0))),""))</f>
        <v>SAMPLE-O-010</v>
      </c>
      <c r="I430" s="30" t="str">
        <f aca="false">IF($C430="","",IFERROR(IF(INDEX(links!$C$2:$C$501,MATCH($C430,links!$D$2:$D$501,0))="","",INDEX(links!$C$2:$C$501,MATCH($C430,links!$D$2:$D$501,0))),""))</f>
        <v>qr</v>
      </c>
      <c r="J430" s="30" t="str">
        <f aca="false">IF($C430="","",IF($G430="","slug not in links; ","")&amp;IF($D430="","reading type missing; ","")&amp;IF(COUNTIFS(scans!$C$2:$C$1601,$C430,scans!$D$2:$D$1601,$D430)&gt;1,"two readings of this type: keep one; ",""))</f>
        <v/>
      </c>
    </row>
    <row r="431" customFormat="false" ht="15" hidden="false" customHeight="false" outlineLevel="0" collapsed="false">
      <c r="A431" s="11" t="n">
        <v>46471</v>
      </c>
      <c r="B431" s="38" t="n">
        <v>0.729166666666667</v>
      </c>
      <c r="C431" s="10" t="s">
        <v>1259</v>
      </c>
      <c r="D431" s="10" t="s">
        <v>1121</v>
      </c>
      <c r="E431" s="0" t="n">
        <v>6</v>
      </c>
      <c r="G431" s="30" t="str">
        <f aca="false">IF($C431="","",IFERROR(IF(INDEX(links!$A$2:$A$501,MATCH($C431,links!$D$2:$D$501,0))="","",INDEX(links!$A$2:$A$501,MATCH($C431,links!$D$2:$D$501,0))),""))</f>
        <v>SAMPLE-CMP-008</v>
      </c>
      <c r="H431" s="30" t="str">
        <f aca="false">IF($C431="","",IFERROR(IF(INDEX(links!$B$2:$B$501,MATCH($C431,links!$D$2:$D$501,0))="","",INDEX(links!$B$2:$B$501,MATCH($C431,links!$D$2:$D$501,0))),""))</f>
        <v>SAMPLE-O-010</v>
      </c>
      <c r="I431" s="30" t="str">
        <f aca="false">IF($C431="","",IFERROR(IF(INDEX(links!$C$2:$C$501,MATCH($C431,links!$D$2:$D$501,0))="","",INDEX(links!$C$2:$C$501,MATCH($C431,links!$D$2:$D$501,0))),""))</f>
        <v>qr</v>
      </c>
      <c r="J431" s="30" t="str">
        <f aca="false">IF($C431="","",IF($G431="","slug not in links; ","")&amp;IF($D431="","reading type missing; ","")&amp;IF(COUNTIFS(scans!$C$2:$C$1601,$C431,scans!$D$2:$D$1601,$D431)&gt;1,"two readings of this type: keep one; ",""))</f>
        <v/>
      </c>
    </row>
    <row r="432" customFormat="false" ht="15" hidden="false" customHeight="false" outlineLevel="0" collapsed="false">
      <c r="A432" s="11" t="n">
        <v>46475</v>
      </c>
      <c r="B432" s="38" t="n">
        <v>0.729166666666667</v>
      </c>
      <c r="C432" s="10" t="s">
        <v>1259</v>
      </c>
      <c r="D432" s="10" t="s">
        <v>1122</v>
      </c>
      <c r="E432" s="0" t="n">
        <v>12</v>
      </c>
      <c r="G432" s="30" t="str">
        <f aca="false">IF($C432="","",IFERROR(IF(INDEX(links!$A$2:$A$501,MATCH($C432,links!$D$2:$D$501,0))="","",INDEX(links!$A$2:$A$501,MATCH($C432,links!$D$2:$D$501,0))),""))</f>
        <v>SAMPLE-CMP-008</v>
      </c>
      <c r="H432" s="30" t="str">
        <f aca="false">IF($C432="","",IFERROR(IF(INDEX(links!$B$2:$B$501,MATCH($C432,links!$D$2:$D$501,0))="","",INDEX(links!$B$2:$B$501,MATCH($C432,links!$D$2:$D$501,0))),""))</f>
        <v>SAMPLE-O-010</v>
      </c>
      <c r="I432" s="30" t="str">
        <f aca="false">IF($C432="","",IFERROR(IF(INDEX(links!$C$2:$C$501,MATCH($C432,links!$D$2:$D$501,0))="","",INDEX(links!$C$2:$C$501,MATCH($C432,links!$D$2:$D$501,0))),""))</f>
        <v>qr</v>
      </c>
      <c r="J432" s="30" t="str">
        <f aca="false">IF($C432="","",IF($G432="","slug not in links; ","")&amp;IF($D432="","reading type missing; ","")&amp;IF(COUNTIFS(scans!$C$2:$C$1601,$C432,scans!$D$2:$D$1601,$D432)&gt;1,"two readings of this type: keep one; ",""))</f>
        <v/>
      </c>
    </row>
    <row r="433" customFormat="false" ht="15" hidden="false" customHeight="false" outlineLevel="0" collapsed="false">
      <c r="A433" s="11" t="n">
        <v>46468</v>
      </c>
      <c r="B433" s="38" t="n">
        <v>0.729166666666667</v>
      </c>
      <c r="C433" s="10" t="s">
        <v>1260</v>
      </c>
      <c r="D433" s="10" t="s">
        <v>1120</v>
      </c>
      <c r="E433" s="0" t="n">
        <v>1</v>
      </c>
      <c r="G433" s="30" t="str">
        <f aca="false">IF($C433="","",IFERROR(IF(INDEX(links!$A$2:$A$501,MATCH($C433,links!$D$2:$D$501,0))="","",INDEX(links!$A$2:$A$501,MATCH($C433,links!$D$2:$D$501,0))),""))</f>
        <v>SAMPLE-CMP-008</v>
      </c>
      <c r="H433" s="30" t="str">
        <f aca="false">IF($C433="","",IFERROR(IF(INDEX(links!$B$2:$B$501,MATCH($C433,links!$D$2:$D$501,0))="","",INDEX(links!$B$2:$B$501,MATCH($C433,links!$D$2:$D$501,0))),""))</f>
        <v>SAMPLE-O-010</v>
      </c>
      <c r="I433" s="30" t="str">
        <f aca="false">IF($C433="","",IFERROR(IF(INDEX(links!$C$2:$C$501,MATCH($C433,links!$D$2:$D$501,0))="","",INDEX(links!$C$2:$C$501,MATCH($C433,links!$D$2:$D$501,0))),""))</f>
        <v>post</v>
      </c>
      <c r="J433" s="30" t="str">
        <f aca="false">IF($C433="","",IF($G433="","slug not in links; ","")&amp;IF($D433="","reading type missing; ","")&amp;IF(COUNTIFS(scans!$C$2:$C$1601,$C433,scans!$D$2:$D$1601,$D433)&gt;1,"two readings of this type: keep one; ",""))</f>
        <v/>
      </c>
    </row>
    <row r="434" customFormat="false" ht="15" hidden="false" customHeight="false" outlineLevel="0" collapsed="false">
      <c r="A434" s="11" t="n">
        <v>46471</v>
      </c>
      <c r="B434" s="38" t="n">
        <v>0.729166666666667</v>
      </c>
      <c r="C434" s="10" t="s">
        <v>1260</v>
      </c>
      <c r="D434" s="10" t="s">
        <v>1121</v>
      </c>
      <c r="E434" s="0" t="n">
        <v>2</v>
      </c>
      <c r="G434" s="30" t="str">
        <f aca="false">IF($C434="","",IFERROR(IF(INDEX(links!$A$2:$A$501,MATCH($C434,links!$D$2:$D$501,0))="","",INDEX(links!$A$2:$A$501,MATCH($C434,links!$D$2:$D$501,0))),""))</f>
        <v>SAMPLE-CMP-008</v>
      </c>
      <c r="H434" s="30" t="str">
        <f aca="false">IF($C434="","",IFERROR(IF(INDEX(links!$B$2:$B$501,MATCH($C434,links!$D$2:$D$501,0))="","",INDEX(links!$B$2:$B$501,MATCH($C434,links!$D$2:$D$501,0))),""))</f>
        <v>SAMPLE-O-010</v>
      </c>
      <c r="I434" s="30" t="str">
        <f aca="false">IF($C434="","",IFERROR(IF(INDEX(links!$C$2:$C$501,MATCH($C434,links!$D$2:$D$501,0))="","",INDEX(links!$C$2:$C$501,MATCH($C434,links!$D$2:$D$501,0))),""))</f>
        <v>post</v>
      </c>
      <c r="J434" s="30" t="str">
        <f aca="false">IF($C434="","",IF($G434="","slug not in links; ","")&amp;IF($D434="","reading type missing; ","")&amp;IF(COUNTIFS(scans!$C$2:$C$1601,$C434,scans!$D$2:$D$1601,$D434)&gt;1,"two readings of this type: keep one; ",""))</f>
        <v/>
      </c>
    </row>
    <row r="435" customFormat="false" ht="15" hidden="false" customHeight="false" outlineLevel="0" collapsed="false">
      <c r="A435" s="11" t="n">
        <v>46475</v>
      </c>
      <c r="B435" s="38" t="n">
        <v>0.729166666666667</v>
      </c>
      <c r="C435" s="10" t="s">
        <v>1260</v>
      </c>
      <c r="D435" s="10" t="s">
        <v>1122</v>
      </c>
      <c r="E435" s="0" t="n">
        <v>5</v>
      </c>
      <c r="G435" s="30" t="str">
        <f aca="false">IF($C435="","",IFERROR(IF(INDEX(links!$A$2:$A$501,MATCH($C435,links!$D$2:$D$501,0))="","",INDEX(links!$A$2:$A$501,MATCH($C435,links!$D$2:$D$501,0))),""))</f>
        <v>SAMPLE-CMP-008</v>
      </c>
      <c r="H435" s="30" t="str">
        <f aca="false">IF($C435="","",IFERROR(IF(INDEX(links!$B$2:$B$501,MATCH($C435,links!$D$2:$D$501,0))="","",INDEX(links!$B$2:$B$501,MATCH($C435,links!$D$2:$D$501,0))),""))</f>
        <v>SAMPLE-O-010</v>
      </c>
      <c r="I435" s="30" t="str">
        <f aca="false">IF($C435="","",IFERROR(IF(INDEX(links!$C$2:$C$501,MATCH($C435,links!$D$2:$D$501,0))="","",INDEX(links!$C$2:$C$501,MATCH($C435,links!$D$2:$D$501,0))),""))</f>
        <v>post</v>
      </c>
      <c r="J435" s="30" t="str">
        <f aca="false">IF($C435="","",IF($G435="","slug not in links; ","")&amp;IF($D435="","reading type missing; ","")&amp;IF(COUNTIFS(scans!$C$2:$C$1601,$C435,scans!$D$2:$D$1601,$D435)&gt;1,"two readings of this type: keep one; ",""))</f>
        <v/>
      </c>
    </row>
    <row r="436" customFormat="false" ht="15" hidden="false" customHeight="false" outlineLevel="0" collapsed="false">
      <c r="A436" s="11"/>
      <c r="B436" s="38"/>
      <c r="D436" s="10"/>
      <c r="G436" s="30" t="str">
        <f aca="false">IF($C436="","",IFERROR(IF(INDEX(links!$A$2:$A$501,MATCH($C436,links!$D$2:$D$501,0))="","",INDEX(links!$A$2:$A$501,MATCH($C436,links!$D$2:$D$501,0))),""))</f>
        <v/>
      </c>
      <c r="H436" s="30" t="str">
        <f aca="false">IF($C436="","",IFERROR(IF(INDEX(links!$B$2:$B$501,MATCH($C436,links!$D$2:$D$501,0))="","",INDEX(links!$B$2:$B$501,MATCH($C436,links!$D$2:$D$501,0))),""))</f>
        <v/>
      </c>
      <c r="I436" s="30" t="str">
        <f aca="false">IF($C436="","",IFERROR(IF(INDEX(links!$C$2:$C$501,MATCH($C436,links!$D$2:$D$501,0))="","",INDEX(links!$C$2:$C$501,MATCH($C436,links!$D$2:$D$501,0))),""))</f>
        <v/>
      </c>
      <c r="J436" s="30" t="str">
        <f aca="false">IF($C436="","",IF($G436="","slug not in links; ","")&amp;IF($D436="","reading type missing; ","")&amp;IF(COUNTIFS(scans!$C$2:$C$1601,$C436,scans!$D$2:$D$1601,$D436)&gt;1,"two readings of this type: keep one; ",""))</f>
        <v/>
      </c>
    </row>
    <row r="437" customFormat="false" ht="15" hidden="false" customHeight="false" outlineLevel="0" collapsed="false">
      <c r="A437" s="11"/>
      <c r="B437" s="38"/>
      <c r="D437" s="10"/>
      <c r="G437" s="30" t="str">
        <f aca="false">IF($C437="","",IFERROR(IF(INDEX(links!$A$2:$A$501,MATCH($C437,links!$D$2:$D$501,0))="","",INDEX(links!$A$2:$A$501,MATCH($C437,links!$D$2:$D$501,0))),""))</f>
        <v/>
      </c>
      <c r="H437" s="30" t="str">
        <f aca="false">IF($C437="","",IFERROR(IF(INDEX(links!$B$2:$B$501,MATCH($C437,links!$D$2:$D$501,0))="","",INDEX(links!$B$2:$B$501,MATCH($C437,links!$D$2:$D$501,0))),""))</f>
        <v/>
      </c>
      <c r="I437" s="30" t="str">
        <f aca="false">IF($C437="","",IFERROR(IF(INDEX(links!$C$2:$C$501,MATCH($C437,links!$D$2:$D$501,0))="","",INDEX(links!$C$2:$C$501,MATCH($C437,links!$D$2:$D$501,0))),""))</f>
        <v/>
      </c>
      <c r="J437" s="30" t="str">
        <f aca="false">IF($C437="","",IF($G437="","slug not in links; ","")&amp;IF($D437="","reading type missing; ","")&amp;IF(COUNTIFS(scans!$C$2:$C$1601,$C437,scans!$D$2:$D$1601,$D437)&gt;1,"two readings of this type: keep one; ",""))</f>
        <v/>
      </c>
    </row>
    <row r="438" customFormat="false" ht="15" hidden="false" customHeight="false" outlineLevel="0" collapsed="false">
      <c r="A438" s="11"/>
      <c r="B438" s="38"/>
      <c r="D438" s="10"/>
      <c r="G438" s="30" t="str">
        <f aca="false">IF($C438="","",IFERROR(IF(INDEX(links!$A$2:$A$501,MATCH($C438,links!$D$2:$D$501,0))="","",INDEX(links!$A$2:$A$501,MATCH($C438,links!$D$2:$D$501,0))),""))</f>
        <v/>
      </c>
      <c r="H438" s="30" t="str">
        <f aca="false">IF($C438="","",IFERROR(IF(INDEX(links!$B$2:$B$501,MATCH($C438,links!$D$2:$D$501,0))="","",INDEX(links!$B$2:$B$501,MATCH($C438,links!$D$2:$D$501,0))),""))</f>
        <v/>
      </c>
      <c r="I438" s="30" t="str">
        <f aca="false">IF($C438="","",IFERROR(IF(INDEX(links!$C$2:$C$501,MATCH($C438,links!$D$2:$D$501,0))="","",INDEX(links!$C$2:$C$501,MATCH($C438,links!$D$2:$D$501,0))),""))</f>
        <v/>
      </c>
      <c r="J438" s="30" t="str">
        <f aca="false">IF($C438="","",IF($G438="","slug not in links; ","")&amp;IF($D438="","reading type missing; ","")&amp;IF(COUNTIFS(scans!$C$2:$C$1601,$C438,scans!$D$2:$D$1601,$D438)&gt;1,"two readings of this type: keep one; ",""))</f>
        <v/>
      </c>
    </row>
    <row r="439" customFormat="false" ht="15" hidden="false" customHeight="false" outlineLevel="0" collapsed="false">
      <c r="A439" s="11"/>
      <c r="B439" s="38"/>
      <c r="D439" s="10"/>
      <c r="G439" s="30" t="str">
        <f aca="false">IF($C439="","",IFERROR(IF(INDEX(links!$A$2:$A$501,MATCH($C439,links!$D$2:$D$501,0))="","",INDEX(links!$A$2:$A$501,MATCH($C439,links!$D$2:$D$501,0))),""))</f>
        <v/>
      </c>
      <c r="H439" s="30" t="str">
        <f aca="false">IF($C439="","",IFERROR(IF(INDEX(links!$B$2:$B$501,MATCH($C439,links!$D$2:$D$501,0))="","",INDEX(links!$B$2:$B$501,MATCH($C439,links!$D$2:$D$501,0))),""))</f>
        <v/>
      </c>
      <c r="I439" s="30" t="str">
        <f aca="false">IF($C439="","",IFERROR(IF(INDEX(links!$C$2:$C$501,MATCH($C439,links!$D$2:$D$501,0))="","",INDEX(links!$C$2:$C$501,MATCH($C439,links!$D$2:$D$501,0))),""))</f>
        <v/>
      </c>
      <c r="J439" s="30" t="str">
        <f aca="false">IF($C439="","",IF($G439="","slug not in links; ","")&amp;IF($D439="","reading type missing; ","")&amp;IF(COUNTIFS(scans!$C$2:$C$1601,$C439,scans!$D$2:$D$1601,$D439)&gt;1,"two readings of this type: keep one; ",""))</f>
        <v/>
      </c>
    </row>
    <row r="440" customFormat="false" ht="15" hidden="false" customHeight="false" outlineLevel="0" collapsed="false">
      <c r="A440" s="11"/>
      <c r="B440" s="38"/>
      <c r="D440" s="10"/>
      <c r="G440" s="30" t="str">
        <f aca="false">IF($C440="","",IFERROR(IF(INDEX(links!$A$2:$A$501,MATCH($C440,links!$D$2:$D$501,0))="","",INDEX(links!$A$2:$A$501,MATCH($C440,links!$D$2:$D$501,0))),""))</f>
        <v/>
      </c>
      <c r="H440" s="30" t="str">
        <f aca="false">IF($C440="","",IFERROR(IF(INDEX(links!$B$2:$B$501,MATCH($C440,links!$D$2:$D$501,0))="","",INDEX(links!$B$2:$B$501,MATCH($C440,links!$D$2:$D$501,0))),""))</f>
        <v/>
      </c>
      <c r="I440" s="30" t="str">
        <f aca="false">IF($C440="","",IFERROR(IF(INDEX(links!$C$2:$C$501,MATCH($C440,links!$D$2:$D$501,0))="","",INDEX(links!$C$2:$C$501,MATCH($C440,links!$D$2:$D$501,0))),""))</f>
        <v/>
      </c>
      <c r="J440" s="30" t="str">
        <f aca="false">IF($C440="","",IF($G440="","slug not in links; ","")&amp;IF($D440="","reading type missing; ","")&amp;IF(COUNTIFS(scans!$C$2:$C$1601,$C440,scans!$D$2:$D$1601,$D440)&gt;1,"two readings of this type: keep one; ",""))</f>
        <v/>
      </c>
    </row>
    <row r="441" customFormat="false" ht="15" hidden="false" customHeight="false" outlineLevel="0" collapsed="false">
      <c r="A441" s="11"/>
      <c r="B441" s="38"/>
      <c r="D441" s="10"/>
      <c r="G441" s="30" t="str">
        <f aca="false">IF($C441="","",IFERROR(IF(INDEX(links!$A$2:$A$501,MATCH($C441,links!$D$2:$D$501,0))="","",INDEX(links!$A$2:$A$501,MATCH($C441,links!$D$2:$D$501,0))),""))</f>
        <v/>
      </c>
      <c r="H441" s="30" t="str">
        <f aca="false">IF($C441="","",IFERROR(IF(INDEX(links!$B$2:$B$501,MATCH($C441,links!$D$2:$D$501,0))="","",INDEX(links!$B$2:$B$501,MATCH($C441,links!$D$2:$D$501,0))),""))</f>
        <v/>
      </c>
      <c r="I441" s="30" t="str">
        <f aca="false">IF($C441="","",IFERROR(IF(INDEX(links!$C$2:$C$501,MATCH($C441,links!$D$2:$D$501,0))="","",INDEX(links!$C$2:$C$501,MATCH($C441,links!$D$2:$D$501,0))),""))</f>
        <v/>
      </c>
      <c r="J441" s="30" t="str">
        <f aca="false">IF($C441="","",IF($G441="","slug not in links; ","")&amp;IF($D441="","reading type missing; ","")&amp;IF(COUNTIFS(scans!$C$2:$C$1601,$C441,scans!$D$2:$D$1601,$D441)&gt;1,"two readings of this type: keep one; ",""))</f>
        <v/>
      </c>
    </row>
    <row r="442" customFormat="false" ht="15" hidden="false" customHeight="false" outlineLevel="0" collapsed="false">
      <c r="A442" s="11"/>
      <c r="B442" s="38"/>
      <c r="D442" s="10"/>
      <c r="G442" s="30" t="str">
        <f aca="false">IF($C442="","",IFERROR(IF(INDEX(links!$A$2:$A$501,MATCH($C442,links!$D$2:$D$501,0))="","",INDEX(links!$A$2:$A$501,MATCH($C442,links!$D$2:$D$501,0))),""))</f>
        <v/>
      </c>
      <c r="H442" s="30" t="str">
        <f aca="false">IF($C442="","",IFERROR(IF(INDEX(links!$B$2:$B$501,MATCH($C442,links!$D$2:$D$501,0))="","",INDEX(links!$B$2:$B$501,MATCH($C442,links!$D$2:$D$501,0))),""))</f>
        <v/>
      </c>
      <c r="I442" s="30" t="str">
        <f aca="false">IF($C442="","",IFERROR(IF(INDEX(links!$C$2:$C$501,MATCH($C442,links!$D$2:$D$501,0))="","",INDEX(links!$C$2:$C$501,MATCH($C442,links!$D$2:$D$501,0))),""))</f>
        <v/>
      </c>
      <c r="J442" s="30" t="str">
        <f aca="false">IF($C442="","",IF($G442="","slug not in links; ","")&amp;IF($D442="","reading type missing; ","")&amp;IF(COUNTIFS(scans!$C$2:$C$1601,$C442,scans!$D$2:$D$1601,$D442)&gt;1,"two readings of this type: keep one; ",""))</f>
        <v/>
      </c>
    </row>
    <row r="443" customFormat="false" ht="15" hidden="false" customHeight="false" outlineLevel="0" collapsed="false">
      <c r="A443" s="11"/>
      <c r="B443" s="38"/>
      <c r="D443" s="10"/>
      <c r="G443" s="30" t="str">
        <f aca="false">IF($C443="","",IFERROR(IF(INDEX(links!$A$2:$A$501,MATCH($C443,links!$D$2:$D$501,0))="","",INDEX(links!$A$2:$A$501,MATCH($C443,links!$D$2:$D$501,0))),""))</f>
        <v/>
      </c>
      <c r="H443" s="30" t="str">
        <f aca="false">IF($C443="","",IFERROR(IF(INDEX(links!$B$2:$B$501,MATCH($C443,links!$D$2:$D$501,0))="","",INDEX(links!$B$2:$B$501,MATCH($C443,links!$D$2:$D$501,0))),""))</f>
        <v/>
      </c>
      <c r="I443" s="30" t="str">
        <f aca="false">IF($C443="","",IFERROR(IF(INDEX(links!$C$2:$C$501,MATCH($C443,links!$D$2:$D$501,0))="","",INDEX(links!$C$2:$C$501,MATCH($C443,links!$D$2:$D$501,0))),""))</f>
        <v/>
      </c>
      <c r="J443" s="30" t="str">
        <f aca="false">IF($C443="","",IF($G443="","slug not in links; ","")&amp;IF($D443="","reading type missing; ","")&amp;IF(COUNTIFS(scans!$C$2:$C$1601,$C443,scans!$D$2:$D$1601,$D443)&gt;1,"two readings of this type: keep one; ",""))</f>
        <v/>
      </c>
    </row>
    <row r="444" customFormat="false" ht="15" hidden="false" customHeight="false" outlineLevel="0" collapsed="false">
      <c r="A444" s="11"/>
      <c r="B444" s="38"/>
      <c r="D444" s="10"/>
      <c r="G444" s="30" t="str">
        <f aca="false">IF($C444="","",IFERROR(IF(INDEX(links!$A$2:$A$501,MATCH($C444,links!$D$2:$D$501,0))="","",INDEX(links!$A$2:$A$501,MATCH($C444,links!$D$2:$D$501,0))),""))</f>
        <v/>
      </c>
      <c r="H444" s="30" t="str">
        <f aca="false">IF($C444="","",IFERROR(IF(INDEX(links!$B$2:$B$501,MATCH($C444,links!$D$2:$D$501,0))="","",INDEX(links!$B$2:$B$501,MATCH($C444,links!$D$2:$D$501,0))),""))</f>
        <v/>
      </c>
      <c r="I444" s="30" t="str">
        <f aca="false">IF($C444="","",IFERROR(IF(INDEX(links!$C$2:$C$501,MATCH($C444,links!$D$2:$D$501,0))="","",INDEX(links!$C$2:$C$501,MATCH($C444,links!$D$2:$D$501,0))),""))</f>
        <v/>
      </c>
      <c r="J444" s="30" t="str">
        <f aca="false">IF($C444="","",IF($G444="","slug not in links; ","")&amp;IF($D444="","reading type missing; ","")&amp;IF(COUNTIFS(scans!$C$2:$C$1601,$C444,scans!$D$2:$D$1601,$D444)&gt;1,"two readings of this type: keep one; ",""))</f>
        <v/>
      </c>
    </row>
    <row r="445" customFormat="false" ht="15" hidden="false" customHeight="false" outlineLevel="0" collapsed="false">
      <c r="A445" s="11"/>
      <c r="B445" s="38"/>
      <c r="D445" s="10"/>
      <c r="G445" s="30" t="str">
        <f aca="false">IF($C445="","",IFERROR(IF(INDEX(links!$A$2:$A$501,MATCH($C445,links!$D$2:$D$501,0))="","",INDEX(links!$A$2:$A$501,MATCH($C445,links!$D$2:$D$501,0))),""))</f>
        <v/>
      </c>
      <c r="H445" s="30" t="str">
        <f aca="false">IF($C445="","",IFERROR(IF(INDEX(links!$B$2:$B$501,MATCH($C445,links!$D$2:$D$501,0))="","",INDEX(links!$B$2:$B$501,MATCH($C445,links!$D$2:$D$501,0))),""))</f>
        <v/>
      </c>
      <c r="I445" s="30" t="str">
        <f aca="false">IF($C445="","",IFERROR(IF(INDEX(links!$C$2:$C$501,MATCH($C445,links!$D$2:$D$501,0))="","",INDEX(links!$C$2:$C$501,MATCH($C445,links!$D$2:$D$501,0))),""))</f>
        <v/>
      </c>
      <c r="J445" s="30" t="str">
        <f aca="false">IF($C445="","",IF($G445="","slug not in links; ","")&amp;IF($D445="","reading type missing; ","")&amp;IF(COUNTIFS(scans!$C$2:$C$1601,$C445,scans!$D$2:$D$1601,$D445)&gt;1,"two readings of this type: keep one; ",""))</f>
        <v/>
      </c>
    </row>
    <row r="446" customFormat="false" ht="15" hidden="false" customHeight="false" outlineLevel="0" collapsed="false">
      <c r="A446" s="11"/>
      <c r="B446" s="38"/>
      <c r="D446" s="10"/>
      <c r="G446" s="30" t="str">
        <f aca="false">IF($C446="","",IFERROR(IF(INDEX(links!$A$2:$A$501,MATCH($C446,links!$D$2:$D$501,0))="","",INDEX(links!$A$2:$A$501,MATCH($C446,links!$D$2:$D$501,0))),""))</f>
        <v/>
      </c>
      <c r="H446" s="30" t="str">
        <f aca="false">IF($C446="","",IFERROR(IF(INDEX(links!$B$2:$B$501,MATCH($C446,links!$D$2:$D$501,0))="","",INDEX(links!$B$2:$B$501,MATCH($C446,links!$D$2:$D$501,0))),""))</f>
        <v/>
      </c>
      <c r="I446" s="30" t="str">
        <f aca="false">IF($C446="","",IFERROR(IF(INDEX(links!$C$2:$C$501,MATCH($C446,links!$D$2:$D$501,0))="","",INDEX(links!$C$2:$C$501,MATCH($C446,links!$D$2:$D$501,0))),""))</f>
        <v/>
      </c>
      <c r="J446" s="30" t="str">
        <f aca="false">IF($C446="","",IF($G446="","slug not in links; ","")&amp;IF($D446="","reading type missing; ","")&amp;IF(COUNTIFS(scans!$C$2:$C$1601,$C446,scans!$D$2:$D$1601,$D446)&gt;1,"two readings of this type: keep one; ",""))</f>
        <v/>
      </c>
    </row>
    <row r="447" customFormat="false" ht="15" hidden="false" customHeight="false" outlineLevel="0" collapsed="false">
      <c r="A447" s="11"/>
      <c r="B447" s="38"/>
      <c r="D447" s="10"/>
      <c r="G447" s="30" t="str">
        <f aca="false">IF($C447="","",IFERROR(IF(INDEX(links!$A$2:$A$501,MATCH($C447,links!$D$2:$D$501,0))="","",INDEX(links!$A$2:$A$501,MATCH($C447,links!$D$2:$D$501,0))),""))</f>
        <v/>
      </c>
      <c r="H447" s="30" t="str">
        <f aca="false">IF($C447="","",IFERROR(IF(INDEX(links!$B$2:$B$501,MATCH($C447,links!$D$2:$D$501,0))="","",INDEX(links!$B$2:$B$501,MATCH($C447,links!$D$2:$D$501,0))),""))</f>
        <v/>
      </c>
      <c r="I447" s="30" t="str">
        <f aca="false">IF($C447="","",IFERROR(IF(INDEX(links!$C$2:$C$501,MATCH($C447,links!$D$2:$D$501,0))="","",INDEX(links!$C$2:$C$501,MATCH($C447,links!$D$2:$D$501,0))),""))</f>
        <v/>
      </c>
      <c r="J447" s="30" t="str">
        <f aca="false">IF($C447="","",IF($G447="","slug not in links; ","")&amp;IF($D447="","reading type missing; ","")&amp;IF(COUNTIFS(scans!$C$2:$C$1601,$C447,scans!$D$2:$D$1601,$D447)&gt;1,"two readings of this type: keep one; ",""))</f>
        <v/>
      </c>
    </row>
    <row r="448" customFormat="false" ht="15" hidden="false" customHeight="false" outlineLevel="0" collapsed="false">
      <c r="A448" s="11"/>
      <c r="B448" s="38"/>
      <c r="D448" s="10"/>
      <c r="G448" s="30" t="str">
        <f aca="false">IF($C448="","",IFERROR(IF(INDEX(links!$A$2:$A$501,MATCH($C448,links!$D$2:$D$501,0))="","",INDEX(links!$A$2:$A$501,MATCH($C448,links!$D$2:$D$501,0))),""))</f>
        <v/>
      </c>
      <c r="H448" s="30" t="str">
        <f aca="false">IF($C448="","",IFERROR(IF(INDEX(links!$B$2:$B$501,MATCH($C448,links!$D$2:$D$501,0))="","",INDEX(links!$B$2:$B$501,MATCH($C448,links!$D$2:$D$501,0))),""))</f>
        <v/>
      </c>
      <c r="I448" s="30" t="str">
        <f aca="false">IF($C448="","",IFERROR(IF(INDEX(links!$C$2:$C$501,MATCH($C448,links!$D$2:$D$501,0))="","",INDEX(links!$C$2:$C$501,MATCH($C448,links!$D$2:$D$501,0))),""))</f>
        <v/>
      </c>
      <c r="J448" s="30" t="str">
        <f aca="false">IF($C448="","",IF($G448="","slug not in links; ","")&amp;IF($D448="","reading type missing; ","")&amp;IF(COUNTIFS(scans!$C$2:$C$1601,$C448,scans!$D$2:$D$1601,$D448)&gt;1,"two readings of this type: keep one; ",""))</f>
        <v/>
      </c>
    </row>
    <row r="449" customFormat="false" ht="15" hidden="false" customHeight="false" outlineLevel="0" collapsed="false">
      <c r="A449" s="11"/>
      <c r="B449" s="38"/>
      <c r="D449" s="10"/>
      <c r="G449" s="30" t="str">
        <f aca="false">IF($C449="","",IFERROR(IF(INDEX(links!$A$2:$A$501,MATCH($C449,links!$D$2:$D$501,0))="","",INDEX(links!$A$2:$A$501,MATCH($C449,links!$D$2:$D$501,0))),""))</f>
        <v/>
      </c>
      <c r="H449" s="30" t="str">
        <f aca="false">IF($C449="","",IFERROR(IF(INDEX(links!$B$2:$B$501,MATCH($C449,links!$D$2:$D$501,0))="","",INDEX(links!$B$2:$B$501,MATCH($C449,links!$D$2:$D$501,0))),""))</f>
        <v/>
      </c>
      <c r="I449" s="30" t="str">
        <f aca="false">IF($C449="","",IFERROR(IF(INDEX(links!$C$2:$C$501,MATCH($C449,links!$D$2:$D$501,0))="","",INDEX(links!$C$2:$C$501,MATCH($C449,links!$D$2:$D$501,0))),""))</f>
        <v/>
      </c>
      <c r="J449" s="30" t="str">
        <f aca="false">IF($C449="","",IF($G449="","slug not in links; ","")&amp;IF($D449="","reading type missing; ","")&amp;IF(COUNTIFS(scans!$C$2:$C$1601,$C449,scans!$D$2:$D$1601,$D449)&gt;1,"two readings of this type: keep one; ",""))</f>
        <v/>
      </c>
    </row>
    <row r="450" customFormat="false" ht="15" hidden="false" customHeight="false" outlineLevel="0" collapsed="false">
      <c r="A450" s="11"/>
      <c r="B450" s="38"/>
      <c r="D450" s="10"/>
      <c r="G450" s="30" t="str">
        <f aca="false">IF($C450="","",IFERROR(IF(INDEX(links!$A$2:$A$501,MATCH($C450,links!$D$2:$D$501,0))="","",INDEX(links!$A$2:$A$501,MATCH($C450,links!$D$2:$D$501,0))),""))</f>
        <v/>
      </c>
      <c r="H450" s="30" t="str">
        <f aca="false">IF($C450="","",IFERROR(IF(INDEX(links!$B$2:$B$501,MATCH($C450,links!$D$2:$D$501,0))="","",INDEX(links!$B$2:$B$501,MATCH($C450,links!$D$2:$D$501,0))),""))</f>
        <v/>
      </c>
      <c r="I450" s="30" t="str">
        <f aca="false">IF($C450="","",IFERROR(IF(INDEX(links!$C$2:$C$501,MATCH($C450,links!$D$2:$D$501,0))="","",INDEX(links!$C$2:$C$501,MATCH($C450,links!$D$2:$D$501,0))),""))</f>
        <v/>
      </c>
      <c r="J450" s="30" t="str">
        <f aca="false">IF($C450="","",IF($G450="","slug not in links; ","")&amp;IF($D450="","reading type missing; ","")&amp;IF(COUNTIFS(scans!$C$2:$C$1601,$C450,scans!$D$2:$D$1601,$D450)&gt;1,"two readings of this type: keep one; ",""))</f>
        <v/>
      </c>
    </row>
    <row r="451" customFormat="false" ht="15" hidden="false" customHeight="false" outlineLevel="0" collapsed="false">
      <c r="A451" s="11"/>
      <c r="B451" s="38"/>
      <c r="D451" s="10"/>
      <c r="G451" s="30" t="str">
        <f aca="false">IF($C451="","",IFERROR(IF(INDEX(links!$A$2:$A$501,MATCH($C451,links!$D$2:$D$501,0))="","",INDEX(links!$A$2:$A$501,MATCH($C451,links!$D$2:$D$501,0))),""))</f>
        <v/>
      </c>
      <c r="H451" s="30" t="str">
        <f aca="false">IF($C451="","",IFERROR(IF(INDEX(links!$B$2:$B$501,MATCH($C451,links!$D$2:$D$501,0))="","",INDEX(links!$B$2:$B$501,MATCH($C451,links!$D$2:$D$501,0))),""))</f>
        <v/>
      </c>
      <c r="I451" s="30" t="str">
        <f aca="false">IF($C451="","",IFERROR(IF(INDEX(links!$C$2:$C$501,MATCH($C451,links!$D$2:$D$501,0))="","",INDEX(links!$C$2:$C$501,MATCH($C451,links!$D$2:$D$501,0))),""))</f>
        <v/>
      </c>
      <c r="J451" s="30" t="str">
        <f aca="false">IF($C451="","",IF($G451="","slug not in links; ","")&amp;IF($D451="","reading type missing; ","")&amp;IF(COUNTIFS(scans!$C$2:$C$1601,$C451,scans!$D$2:$D$1601,$D451)&gt;1,"two readings of this type: keep one; ",""))</f>
        <v/>
      </c>
    </row>
    <row r="452" customFormat="false" ht="15" hidden="false" customHeight="false" outlineLevel="0" collapsed="false">
      <c r="A452" s="11"/>
      <c r="B452" s="38"/>
      <c r="D452" s="10"/>
      <c r="G452" s="30" t="str">
        <f aca="false">IF($C452="","",IFERROR(IF(INDEX(links!$A$2:$A$501,MATCH($C452,links!$D$2:$D$501,0))="","",INDEX(links!$A$2:$A$501,MATCH($C452,links!$D$2:$D$501,0))),""))</f>
        <v/>
      </c>
      <c r="H452" s="30" t="str">
        <f aca="false">IF($C452="","",IFERROR(IF(INDEX(links!$B$2:$B$501,MATCH($C452,links!$D$2:$D$501,0))="","",INDEX(links!$B$2:$B$501,MATCH($C452,links!$D$2:$D$501,0))),""))</f>
        <v/>
      </c>
      <c r="I452" s="30" t="str">
        <f aca="false">IF($C452="","",IFERROR(IF(INDEX(links!$C$2:$C$501,MATCH($C452,links!$D$2:$D$501,0))="","",INDEX(links!$C$2:$C$501,MATCH($C452,links!$D$2:$D$501,0))),""))</f>
        <v/>
      </c>
      <c r="J452" s="30" t="str">
        <f aca="false">IF($C452="","",IF($G452="","slug not in links; ","")&amp;IF($D452="","reading type missing; ","")&amp;IF(COUNTIFS(scans!$C$2:$C$1601,$C452,scans!$D$2:$D$1601,$D452)&gt;1,"two readings of this type: keep one; ",""))</f>
        <v/>
      </c>
    </row>
    <row r="453" customFormat="false" ht="15" hidden="false" customHeight="false" outlineLevel="0" collapsed="false">
      <c r="A453" s="11"/>
      <c r="B453" s="38"/>
      <c r="D453" s="10"/>
      <c r="G453" s="30" t="str">
        <f aca="false">IF($C453="","",IFERROR(IF(INDEX(links!$A$2:$A$501,MATCH($C453,links!$D$2:$D$501,0))="","",INDEX(links!$A$2:$A$501,MATCH($C453,links!$D$2:$D$501,0))),""))</f>
        <v/>
      </c>
      <c r="H453" s="30" t="str">
        <f aca="false">IF($C453="","",IFERROR(IF(INDEX(links!$B$2:$B$501,MATCH($C453,links!$D$2:$D$501,0))="","",INDEX(links!$B$2:$B$501,MATCH($C453,links!$D$2:$D$501,0))),""))</f>
        <v/>
      </c>
      <c r="I453" s="30" t="str">
        <f aca="false">IF($C453="","",IFERROR(IF(INDEX(links!$C$2:$C$501,MATCH($C453,links!$D$2:$D$501,0))="","",INDEX(links!$C$2:$C$501,MATCH($C453,links!$D$2:$D$501,0))),""))</f>
        <v/>
      </c>
      <c r="J453" s="30" t="str">
        <f aca="false">IF($C453="","",IF($G453="","slug not in links; ","")&amp;IF($D453="","reading type missing; ","")&amp;IF(COUNTIFS(scans!$C$2:$C$1601,$C453,scans!$D$2:$D$1601,$D453)&gt;1,"two readings of this type: keep one; ",""))</f>
        <v/>
      </c>
    </row>
    <row r="454" customFormat="false" ht="15" hidden="false" customHeight="false" outlineLevel="0" collapsed="false">
      <c r="A454" s="11"/>
      <c r="B454" s="38"/>
      <c r="D454" s="10"/>
      <c r="G454" s="30" t="str">
        <f aca="false">IF($C454="","",IFERROR(IF(INDEX(links!$A$2:$A$501,MATCH($C454,links!$D$2:$D$501,0))="","",INDEX(links!$A$2:$A$501,MATCH($C454,links!$D$2:$D$501,0))),""))</f>
        <v/>
      </c>
      <c r="H454" s="30" t="str">
        <f aca="false">IF($C454="","",IFERROR(IF(INDEX(links!$B$2:$B$501,MATCH($C454,links!$D$2:$D$501,0))="","",INDEX(links!$B$2:$B$501,MATCH($C454,links!$D$2:$D$501,0))),""))</f>
        <v/>
      </c>
      <c r="I454" s="30" t="str">
        <f aca="false">IF($C454="","",IFERROR(IF(INDEX(links!$C$2:$C$501,MATCH($C454,links!$D$2:$D$501,0))="","",INDEX(links!$C$2:$C$501,MATCH($C454,links!$D$2:$D$501,0))),""))</f>
        <v/>
      </c>
      <c r="J454" s="30" t="str">
        <f aca="false">IF($C454="","",IF($G454="","slug not in links; ","")&amp;IF($D454="","reading type missing; ","")&amp;IF(COUNTIFS(scans!$C$2:$C$1601,$C454,scans!$D$2:$D$1601,$D454)&gt;1,"two readings of this type: keep one; ",""))</f>
        <v/>
      </c>
    </row>
    <row r="455" customFormat="false" ht="15" hidden="false" customHeight="false" outlineLevel="0" collapsed="false">
      <c r="A455" s="11"/>
      <c r="B455" s="38"/>
      <c r="D455" s="10"/>
      <c r="G455" s="30" t="str">
        <f aca="false">IF($C455="","",IFERROR(IF(INDEX(links!$A$2:$A$501,MATCH($C455,links!$D$2:$D$501,0))="","",INDEX(links!$A$2:$A$501,MATCH($C455,links!$D$2:$D$501,0))),""))</f>
        <v/>
      </c>
      <c r="H455" s="30" t="str">
        <f aca="false">IF($C455="","",IFERROR(IF(INDEX(links!$B$2:$B$501,MATCH($C455,links!$D$2:$D$501,0))="","",INDEX(links!$B$2:$B$501,MATCH($C455,links!$D$2:$D$501,0))),""))</f>
        <v/>
      </c>
      <c r="I455" s="30" t="str">
        <f aca="false">IF($C455="","",IFERROR(IF(INDEX(links!$C$2:$C$501,MATCH($C455,links!$D$2:$D$501,0))="","",INDEX(links!$C$2:$C$501,MATCH($C455,links!$D$2:$D$501,0))),""))</f>
        <v/>
      </c>
      <c r="J455" s="30" t="str">
        <f aca="false">IF($C455="","",IF($G455="","slug not in links; ","")&amp;IF($D455="","reading type missing; ","")&amp;IF(COUNTIFS(scans!$C$2:$C$1601,$C455,scans!$D$2:$D$1601,$D455)&gt;1,"two readings of this type: keep one; ",""))</f>
        <v/>
      </c>
    </row>
    <row r="456" customFormat="false" ht="15" hidden="false" customHeight="false" outlineLevel="0" collapsed="false">
      <c r="A456" s="11"/>
      <c r="B456" s="38"/>
      <c r="D456" s="10"/>
      <c r="G456" s="30" t="str">
        <f aca="false">IF($C456="","",IFERROR(IF(INDEX(links!$A$2:$A$501,MATCH($C456,links!$D$2:$D$501,0))="","",INDEX(links!$A$2:$A$501,MATCH($C456,links!$D$2:$D$501,0))),""))</f>
        <v/>
      </c>
      <c r="H456" s="30" t="str">
        <f aca="false">IF($C456="","",IFERROR(IF(INDEX(links!$B$2:$B$501,MATCH($C456,links!$D$2:$D$501,0))="","",INDEX(links!$B$2:$B$501,MATCH($C456,links!$D$2:$D$501,0))),""))</f>
        <v/>
      </c>
      <c r="I456" s="30" t="str">
        <f aca="false">IF($C456="","",IFERROR(IF(INDEX(links!$C$2:$C$501,MATCH($C456,links!$D$2:$D$501,0))="","",INDEX(links!$C$2:$C$501,MATCH($C456,links!$D$2:$D$501,0))),""))</f>
        <v/>
      </c>
      <c r="J456" s="30" t="str">
        <f aca="false">IF($C456="","",IF($G456="","slug not in links; ","")&amp;IF($D456="","reading type missing; ","")&amp;IF(COUNTIFS(scans!$C$2:$C$1601,$C456,scans!$D$2:$D$1601,$D456)&gt;1,"two readings of this type: keep one; ",""))</f>
        <v/>
      </c>
    </row>
    <row r="457" customFormat="false" ht="15" hidden="false" customHeight="false" outlineLevel="0" collapsed="false">
      <c r="A457" s="11"/>
      <c r="B457" s="38"/>
      <c r="D457" s="10"/>
      <c r="G457" s="30" t="str">
        <f aca="false">IF($C457="","",IFERROR(IF(INDEX(links!$A$2:$A$501,MATCH($C457,links!$D$2:$D$501,0))="","",INDEX(links!$A$2:$A$501,MATCH($C457,links!$D$2:$D$501,0))),""))</f>
        <v/>
      </c>
      <c r="H457" s="30" t="str">
        <f aca="false">IF($C457="","",IFERROR(IF(INDEX(links!$B$2:$B$501,MATCH($C457,links!$D$2:$D$501,0))="","",INDEX(links!$B$2:$B$501,MATCH($C457,links!$D$2:$D$501,0))),""))</f>
        <v/>
      </c>
      <c r="I457" s="30" t="str">
        <f aca="false">IF($C457="","",IFERROR(IF(INDEX(links!$C$2:$C$501,MATCH($C457,links!$D$2:$D$501,0))="","",INDEX(links!$C$2:$C$501,MATCH($C457,links!$D$2:$D$501,0))),""))</f>
        <v/>
      </c>
      <c r="J457" s="30" t="str">
        <f aca="false">IF($C457="","",IF($G457="","slug not in links; ","")&amp;IF($D457="","reading type missing; ","")&amp;IF(COUNTIFS(scans!$C$2:$C$1601,$C457,scans!$D$2:$D$1601,$D457)&gt;1,"two readings of this type: keep one; ",""))</f>
        <v/>
      </c>
    </row>
    <row r="458" customFormat="false" ht="15" hidden="false" customHeight="false" outlineLevel="0" collapsed="false">
      <c r="A458" s="11"/>
      <c r="B458" s="38"/>
      <c r="D458" s="10"/>
      <c r="G458" s="30" t="str">
        <f aca="false">IF($C458="","",IFERROR(IF(INDEX(links!$A$2:$A$501,MATCH($C458,links!$D$2:$D$501,0))="","",INDEX(links!$A$2:$A$501,MATCH($C458,links!$D$2:$D$501,0))),""))</f>
        <v/>
      </c>
      <c r="H458" s="30" t="str">
        <f aca="false">IF($C458="","",IFERROR(IF(INDEX(links!$B$2:$B$501,MATCH($C458,links!$D$2:$D$501,0))="","",INDEX(links!$B$2:$B$501,MATCH($C458,links!$D$2:$D$501,0))),""))</f>
        <v/>
      </c>
      <c r="I458" s="30" t="str">
        <f aca="false">IF($C458="","",IFERROR(IF(INDEX(links!$C$2:$C$501,MATCH($C458,links!$D$2:$D$501,0))="","",INDEX(links!$C$2:$C$501,MATCH($C458,links!$D$2:$D$501,0))),""))</f>
        <v/>
      </c>
      <c r="J458" s="30" t="str">
        <f aca="false">IF($C458="","",IF($G458="","slug not in links; ","")&amp;IF($D458="","reading type missing; ","")&amp;IF(COUNTIFS(scans!$C$2:$C$1601,$C458,scans!$D$2:$D$1601,$D458)&gt;1,"two readings of this type: keep one; ",""))</f>
        <v/>
      </c>
    </row>
    <row r="459" customFormat="false" ht="15" hidden="false" customHeight="false" outlineLevel="0" collapsed="false">
      <c r="A459" s="11"/>
      <c r="B459" s="38"/>
      <c r="D459" s="10"/>
      <c r="G459" s="30" t="str">
        <f aca="false">IF($C459="","",IFERROR(IF(INDEX(links!$A$2:$A$501,MATCH($C459,links!$D$2:$D$501,0))="","",INDEX(links!$A$2:$A$501,MATCH($C459,links!$D$2:$D$501,0))),""))</f>
        <v/>
      </c>
      <c r="H459" s="30" t="str">
        <f aca="false">IF($C459="","",IFERROR(IF(INDEX(links!$B$2:$B$501,MATCH($C459,links!$D$2:$D$501,0))="","",INDEX(links!$B$2:$B$501,MATCH($C459,links!$D$2:$D$501,0))),""))</f>
        <v/>
      </c>
      <c r="I459" s="30" t="str">
        <f aca="false">IF($C459="","",IFERROR(IF(INDEX(links!$C$2:$C$501,MATCH($C459,links!$D$2:$D$501,0))="","",INDEX(links!$C$2:$C$501,MATCH($C459,links!$D$2:$D$501,0))),""))</f>
        <v/>
      </c>
      <c r="J459" s="30" t="str">
        <f aca="false">IF($C459="","",IF($G459="","slug not in links; ","")&amp;IF($D459="","reading type missing; ","")&amp;IF(COUNTIFS(scans!$C$2:$C$1601,$C459,scans!$D$2:$D$1601,$D459)&gt;1,"two readings of this type: keep one; ",""))</f>
        <v/>
      </c>
    </row>
    <row r="460" customFormat="false" ht="15" hidden="false" customHeight="false" outlineLevel="0" collapsed="false">
      <c r="A460" s="11"/>
      <c r="B460" s="38"/>
      <c r="D460" s="10"/>
      <c r="G460" s="30" t="str">
        <f aca="false">IF($C460="","",IFERROR(IF(INDEX(links!$A$2:$A$501,MATCH($C460,links!$D$2:$D$501,0))="","",INDEX(links!$A$2:$A$501,MATCH($C460,links!$D$2:$D$501,0))),""))</f>
        <v/>
      </c>
      <c r="H460" s="30" t="str">
        <f aca="false">IF($C460="","",IFERROR(IF(INDEX(links!$B$2:$B$501,MATCH($C460,links!$D$2:$D$501,0))="","",INDEX(links!$B$2:$B$501,MATCH($C460,links!$D$2:$D$501,0))),""))</f>
        <v/>
      </c>
      <c r="I460" s="30" t="str">
        <f aca="false">IF($C460="","",IFERROR(IF(INDEX(links!$C$2:$C$501,MATCH($C460,links!$D$2:$D$501,0))="","",INDEX(links!$C$2:$C$501,MATCH($C460,links!$D$2:$D$501,0))),""))</f>
        <v/>
      </c>
      <c r="J460" s="30" t="str">
        <f aca="false">IF($C460="","",IF($G460="","slug not in links; ","")&amp;IF($D460="","reading type missing; ","")&amp;IF(COUNTIFS(scans!$C$2:$C$1601,$C460,scans!$D$2:$D$1601,$D460)&gt;1,"two readings of this type: keep one; ",""))</f>
        <v/>
      </c>
    </row>
    <row r="461" customFormat="false" ht="15" hidden="false" customHeight="false" outlineLevel="0" collapsed="false">
      <c r="A461" s="11"/>
      <c r="B461" s="38"/>
      <c r="D461" s="10"/>
      <c r="G461" s="30" t="str">
        <f aca="false">IF($C461="","",IFERROR(IF(INDEX(links!$A$2:$A$501,MATCH($C461,links!$D$2:$D$501,0))="","",INDEX(links!$A$2:$A$501,MATCH($C461,links!$D$2:$D$501,0))),""))</f>
        <v/>
      </c>
      <c r="H461" s="30" t="str">
        <f aca="false">IF($C461="","",IFERROR(IF(INDEX(links!$B$2:$B$501,MATCH($C461,links!$D$2:$D$501,0))="","",INDEX(links!$B$2:$B$501,MATCH($C461,links!$D$2:$D$501,0))),""))</f>
        <v/>
      </c>
      <c r="I461" s="30" t="str">
        <f aca="false">IF($C461="","",IFERROR(IF(INDEX(links!$C$2:$C$501,MATCH($C461,links!$D$2:$D$501,0))="","",INDEX(links!$C$2:$C$501,MATCH($C461,links!$D$2:$D$501,0))),""))</f>
        <v/>
      </c>
      <c r="J461" s="30" t="str">
        <f aca="false">IF($C461="","",IF($G461="","slug not in links; ","")&amp;IF($D461="","reading type missing; ","")&amp;IF(COUNTIFS(scans!$C$2:$C$1601,$C461,scans!$D$2:$D$1601,$D461)&gt;1,"two readings of this type: keep one; ",""))</f>
        <v/>
      </c>
    </row>
    <row r="462" customFormat="false" ht="15" hidden="false" customHeight="false" outlineLevel="0" collapsed="false">
      <c r="A462" s="11"/>
      <c r="B462" s="38"/>
      <c r="D462" s="10"/>
      <c r="G462" s="30" t="str">
        <f aca="false">IF($C462="","",IFERROR(IF(INDEX(links!$A$2:$A$501,MATCH($C462,links!$D$2:$D$501,0))="","",INDEX(links!$A$2:$A$501,MATCH($C462,links!$D$2:$D$501,0))),""))</f>
        <v/>
      </c>
      <c r="H462" s="30" t="str">
        <f aca="false">IF($C462="","",IFERROR(IF(INDEX(links!$B$2:$B$501,MATCH($C462,links!$D$2:$D$501,0))="","",INDEX(links!$B$2:$B$501,MATCH($C462,links!$D$2:$D$501,0))),""))</f>
        <v/>
      </c>
      <c r="I462" s="30" t="str">
        <f aca="false">IF($C462="","",IFERROR(IF(INDEX(links!$C$2:$C$501,MATCH($C462,links!$D$2:$D$501,0))="","",INDEX(links!$C$2:$C$501,MATCH($C462,links!$D$2:$D$501,0))),""))</f>
        <v/>
      </c>
      <c r="J462" s="30" t="str">
        <f aca="false">IF($C462="","",IF($G462="","slug not in links; ","")&amp;IF($D462="","reading type missing; ","")&amp;IF(COUNTIFS(scans!$C$2:$C$1601,$C462,scans!$D$2:$D$1601,$D462)&gt;1,"two readings of this type: keep one; ",""))</f>
        <v/>
      </c>
    </row>
    <row r="463" customFormat="false" ht="15" hidden="false" customHeight="false" outlineLevel="0" collapsed="false">
      <c r="A463" s="11"/>
      <c r="B463" s="38"/>
      <c r="D463" s="10"/>
      <c r="G463" s="30" t="str">
        <f aca="false">IF($C463="","",IFERROR(IF(INDEX(links!$A$2:$A$501,MATCH($C463,links!$D$2:$D$501,0))="","",INDEX(links!$A$2:$A$501,MATCH($C463,links!$D$2:$D$501,0))),""))</f>
        <v/>
      </c>
      <c r="H463" s="30" t="str">
        <f aca="false">IF($C463="","",IFERROR(IF(INDEX(links!$B$2:$B$501,MATCH($C463,links!$D$2:$D$501,0))="","",INDEX(links!$B$2:$B$501,MATCH($C463,links!$D$2:$D$501,0))),""))</f>
        <v/>
      </c>
      <c r="I463" s="30" t="str">
        <f aca="false">IF($C463="","",IFERROR(IF(INDEX(links!$C$2:$C$501,MATCH($C463,links!$D$2:$D$501,0))="","",INDEX(links!$C$2:$C$501,MATCH($C463,links!$D$2:$D$501,0))),""))</f>
        <v/>
      </c>
      <c r="J463" s="30" t="str">
        <f aca="false">IF($C463="","",IF($G463="","slug not in links; ","")&amp;IF($D463="","reading type missing; ","")&amp;IF(COUNTIFS(scans!$C$2:$C$1601,$C463,scans!$D$2:$D$1601,$D463)&gt;1,"two readings of this type: keep one; ",""))</f>
        <v/>
      </c>
    </row>
    <row r="464" customFormat="false" ht="15" hidden="false" customHeight="false" outlineLevel="0" collapsed="false">
      <c r="A464" s="11"/>
      <c r="B464" s="38"/>
      <c r="D464" s="10"/>
      <c r="G464" s="30" t="str">
        <f aca="false">IF($C464="","",IFERROR(IF(INDEX(links!$A$2:$A$501,MATCH($C464,links!$D$2:$D$501,0))="","",INDEX(links!$A$2:$A$501,MATCH($C464,links!$D$2:$D$501,0))),""))</f>
        <v/>
      </c>
      <c r="H464" s="30" t="str">
        <f aca="false">IF($C464="","",IFERROR(IF(INDEX(links!$B$2:$B$501,MATCH($C464,links!$D$2:$D$501,0))="","",INDEX(links!$B$2:$B$501,MATCH($C464,links!$D$2:$D$501,0))),""))</f>
        <v/>
      </c>
      <c r="I464" s="30" t="str">
        <f aca="false">IF($C464="","",IFERROR(IF(INDEX(links!$C$2:$C$501,MATCH($C464,links!$D$2:$D$501,0))="","",INDEX(links!$C$2:$C$501,MATCH($C464,links!$D$2:$D$501,0))),""))</f>
        <v/>
      </c>
      <c r="J464" s="30" t="str">
        <f aca="false">IF($C464="","",IF($G464="","slug not in links; ","")&amp;IF($D464="","reading type missing; ","")&amp;IF(COUNTIFS(scans!$C$2:$C$1601,$C464,scans!$D$2:$D$1601,$D464)&gt;1,"two readings of this type: keep one; ",""))</f>
        <v/>
      </c>
    </row>
    <row r="465" customFormat="false" ht="15" hidden="false" customHeight="false" outlineLevel="0" collapsed="false">
      <c r="A465" s="11"/>
      <c r="B465" s="38"/>
      <c r="D465" s="10"/>
      <c r="G465" s="30" t="str">
        <f aca="false">IF($C465="","",IFERROR(IF(INDEX(links!$A$2:$A$501,MATCH($C465,links!$D$2:$D$501,0))="","",INDEX(links!$A$2:$A$501,MATCH($C465,links!$D$2:$D$501,0))),""))</f>
        <v/>
      </c>
      <c r="H465" s="30" t="str">
        <f aca="false">IF($C465="","",IFERROR(IF(INDEX(links!$B$2:$B$501,MATCH($C465,links!$D$2:$D$501,0))="","",INDEX(links!$B$2:$B$501,MATCH($C465,links!$D$2:$D$501,0))),""))</f>
        <v/>
      </c>
      <c r="I465" s="30" t="str">
        <f aca="false">IF($C465="","",IFERROR(IF(INDEX(links!$C$2:$C$501,MATCH($C465,links!$D$2:$D$501,0))="","",INDEX(links!$C$2:$C$501,MATCH($C465,links!$D$2:$D$501,0))),""))</f>
        <v/>
      </c>
      <c r="J465" s="30" t="str">
        <f aca="false">IF($C465="","",IF($G465="","slug not in links; ","")&amp;IF($D465="","reading type missing; ","")&amp;IF(COUNTIFS(scans!$C$2:$C$1601,$C465,scans!$D$2:$D$1601,$D465)&gt;1,"two readings of this type: keep one; ",""))</f>
        <v/>
      </c>
    </row>
    <row r="466" customFormat="false" ht="15" hidden="false" customHeight="false" outlineLevel="0" collapsed="false">
      <c r="A466" s="11"/>
      <c r="B466" s="38"/>
      <c r="D466" s="10"/>
      <c r="G466" s="30" t="str">
        <f aca="false">IF($C466="","",IFERROR(IF(INDEX(links!$A$2:$A$501,MATCH($C466,links!$D$2:$D$501,0))="","",INDEX(links!$A$2:$A$501,MATCH($C466,links!$D$2:$D$501,0))),""))</f>
        <v/>
      </c>
      <c r="H466" s="30" t="str">
        <f aca="false">IF($C466="","",IFERROR(IF(INDEX(links!$B$2:$B$501,MATCH($C466,links!$D$2:$D$501,0))="","",INDEX(links!$B$2:$B$501,MATCH($C466,links!$D$2:$D$501,0))),""))</f>
        <v/>
      </c>
      <c r="I466" s="30" t="str">
        <f aca="false">IF($C466="","",IFERROR(IF(INDEX(links!$C$2:$C$501,MATCH($C466,links!$D$2:$D$501,0))="","",INDEX(links!$C$2:$C$501,MATCH($C466,links!$D$2:$D$501,0))),""))</f>
        <v/>
      </c>
      <c r="J466" s="30" t="str">
        <f aca="false">IF($C466="","",IF($G466="","slug not in links; ","")&amp;IF($D466="","reading type missing; ","")&amp;IF(COUNTIFS(scans!$C$2:$C$1601,$C466,scans!$D$2:$D$1601,$D466)&gt;1,"two readings of this type: keep one; ",""))</f>
        <v/>
      </c>
    </row>
    <row r="467" customFormat="false" ht="15" hidden="false" customHeight="false" outlineLevel="0" collapsed="false">
      <c r="A467" s="11"/>
      <c r="B467" s="38"/>
      <c r="D467" s="10"/>
      <c r="G467" s="30" t="str">
        <f aca="false">IF($C467="","",IFERROR(IF(INDEX(links!$A$2:$A$501,MATCH($C467,links!$D$2:$D$501,0))="","",INDEX(links!$A$2:$A$501,MATCH($C467,links!$D$2:$D$501,0))),""))</f>
        <v/>
      </c>
      <c r="H467" s="30" t="str">
        <f aca="false">IF($C467="","",IFERROR(IF(INDEX(links!$B$2:$B$501,MATCH($C467,links!$D$2:$D$501,0))="","",INDEX(links!$B$2:$B$501,MATCH($C467,links!$D$2:$D$501,0))),""))</f>
        <v/>
      </c>
      <c r="I467" s="30" t="str">
        <f aca="false">IF($C467="","",IFERROR(IF(INDEX(links!$C$2:$C$501,MATCH($C467,links!$D$2:$D$501,0))="","",INDEX(links!$C$2:$C$501,MATCH($C467,links!$D$2:$D$501,0))),""))</f>
        <v/>
      </c>
      <c r="J467" s="30" t="str">
        <f aca="false">IF($C467="","",IF($G467="","slug not in links; ","")&amp;IF($D467="","reading type missing; ","")&amp;IF(COUNTIFS(scans!$C$2:$C$1601,$C467,scans!$D$2:$D$1601,$D467)&gt;1,"two readings of this type: keep one; ",""))</f>
        <v/>
      </c>
    </row>
    <row r="468" customFormat="false" ht="15" hidden="false" customHeight="false" outlineLevel="0" collapsed="false">
      <c r="A468" s="11"/>
      <c r="B468" s="38"/>
      <c r="D468" s="10"/>
      <c r="G468" s="30" t="str">
        <f aca="false">IF($C468="","",IFERROR(IF(INDEX(links!$A$2:$A$501,MATCH($C468,links!$D$2:$D$501,0))="","",INDEX(links!$A$2:$A$501,MATCH($C468,links!$D$2:$D$501,0))),""))</f>
        <v/>
      </c>
      <c r="H468" s="30" t="str">
        <f aca="false">IF($C468="","",IFERROR(IF(INDEX(links!$B$2:$B$501,MATCH($C468,links!$D$2:$D$501,0))="","",INDEX(links!$B$2:$B$501,MATCH($C468,links!$D$2:$D$501,0))),""))</f>
        <v/>
      </c>
      <c r="I468" s="30" t="str">
        <f aca="false">IF($C468="","",IFERROR(IF(INDEX(links!$C$2:$C$501,MATCH($C468,links!$D$2:$D$501,0))="","",INDEX(links!$C$2:$C$501,MATCH($C468,links!$D$2:$D$501,0))),""))</f>
        <v/>
      </c>
      <c r="J468" s="30" t="str">
        <f aca="false">IF($C468="","",IF($G468="","slug not in links; ","")&amp;IF($D468="","reading type missing; ","")&amp;IF(COUNTIFS(scans!$C$2:$C$1601,$C468,scans!$D$2:$D$1601,$D468)&gt;1,"two readings of this type: keep one; ",""))</f>
        <v/>
      </c>
    </row>
    <row r="469" customFormat="false" ht="15" hidden="false" customHeight="false" outlineLevel="0" collapsed="false">
      <c r="A469" s="11"/>
      <c r="B469" s="38"/>
      <c r="D469" s="10"/>
      <c r="G469" s="30" t="str">
        <f aca="false">IF($C469="","",IFERROR(IF(INDEX(links!$A$2:$A$501,MATCH($C469,links!$D$2:$D$501,0))="","",INDEX(links!$A$2:$A$501,MATCH($C469,links!$D$2:$D$501,0))),""))</f>
        <v/>
      </c>
      <c r="H469" s="30" t="str">
        <f aca="false">IF($C469="","",IFERROR(IF(INDEX(links!$B$2:$B$501,MATCH($C469,links!$D$2:$D$501,0))="","",INDEX(links!$B$2:$B$501,MATCH($C469,links!$D$2:$D$501,0))),""))</f>
        <v/>
      </c>
      <c r="I469" s="30" t="str">
        <f aca="false">IF($C469="","",IFERROR(IF(INDEX(links!$C$2:$C$501,MATCH($C469,links!$D$2:$D$501,0))="","",INDEX(links!$C$2:$C$501,MATCH($C469,links!$D$2:$D$501,0))),""))</f>
        <v/>
      </c>
      <c r="J469" s="30" t="str">
        <f aca="false">IF($C469="","",IF($G469="","slug not in links; ","")&amp;IF($D469="","reading type missing; ","")&amp;IF(COUNTIFS(scans!$C$2:$C$1601,$C469,scans!$D$2:$D$1601,$D469)&gt;1,"two readings of this type: keep one; ",""))</f>
        <v/>
      </c>
    </row>
    <row r="470" customFormat="false" ht="15" hidden="false" customHeight="false" outlineLevel="0" collapsed="false">
      <c r="A470" s="11"/>
      <c r="B470" s="38"/>
      <c r="D470" s="10"/>
      <c r="G470" s="30" t="str">
        <f aca="false">IF($C470="","",IFERROR(IF(INDEX(links!$A$2:$A$501,MATCH($C470,links!$D$2:$D$501,0))="","",INDEX(links!$A$2:$A$501,MATCH($C470,links!$D$2:$D$501,0))),""))</f>
        <v/>
      </c>
      <c r="H470" s="30" t="str">
        <f aca="false">IF($C470="","",IFERROR(IF(INDEX(links!$B$2:$B$501,MATCH($C470,links!$D$2:$D$501,0))="","",INDEX(links!$B$2:$B$501,MATCH($C470,links!$D$2:$D$501,0))),""))</f>
        <v/>
      </c>
      <c r="I470" s="30" t="str">
        <f aca="false">IF($C470="","",IFERROR(IF(INDEX(links!$C$2:$C$501,MATCH($C470,links!$D$2:$D$501,0))="","",INDEX(links!$C$2:$C$501,MATCH($C470,links!$D$2:$D$501,0))),""))</f>
        <v/>
      </c>
      <c r="J470" s="30" t="str">
        <f aca="false">IF($C470="","",IF($G470="","slug not in links; ","")&amp;IF($D470="","reading type missing; ","")&amp;IF(COUNTIFS(scans!$C$2:$C$1601,$C470,scans!$D$2:$D$1601,$D470)&gt;1,"two readings of this type: keep one; ",""))</f>
        <v/>
      </c>
    </row>
    <row r="471" customFormat="false" ht="15" hidden="false" customHeight="false" outlineLevel="0" collapsed="false">
      <c r="A471" s="11"/>
      <c r="B471" s="38"/>
      <c r="D471" s="10"/>
      <c r="G471" s="30" t="str">
        <f aca="false">IF($C471="","",IFERROR(IF(INDEX(links!$A$2:$A$501,MATCH($C471,links!$D$2:$D$501,0))="","",INDEX(links!$A$2:$A$501,MATCH($C471,links!$D$2:$D$501,0))),""))</f>
        <v/>
      </c>
      <c r="H471" s="30" t="str">
        <f aca="false">IF($C471="","",IFERROR(IF(INDEX(links!$B$2:$B$501,MATCH($C471,links!$D$2:$D$501,0))="","",INDEX(links!$B$2:$B$501,MATCH($C471,links!$D$2:$D$501,0))),""))</f>
        <v/>
      </c>
      <c r="I471" s="30" t="str">
        <f aca="false">IF($C471="","",IFERROR(IF(INDEX(links!$C$2:$C$501,MATCH($C471,links!$D$2:$D$501,0))="","",INDEX(links!$C$2:$C$501,MATCH($C471,links!$D$2:$D$501,0))),""))</f>
        <v/>
      </c>
      <c r="J471" s="30" t="str">
        <f aca="false">IF($C471="","",IF($G471="","slug not in links; ","")&amp;IF($D471="","reading type missing; ","")&amp;IF(COUNTIFS(scans!$C$2:$C$1601,$C471,scans!$D$2:$D$1601,$D471)&gt;1,"two readings of this type: keep one; ",""))</f>
        <v/>
      </c>
    </row>
    <row r="472" customFormat="false" ht="15" hidden="false" customHeight="false" outlineLevel="0" collapsed="false">
      <c r="A472" s="11"/>
      <c r="B472" s="38"/>
      <c r="D472" s="10"/>
      <c r="G472" s="30" t="str">
        <f aca="false">IF($C472="","",IFERROR(IF(INDEX(links!$A$2:$A$501,MATCH($C472,links!$D$2:$D$501,0))="","",INDEX(links!$A$2:$A$501,MATCH($C472,links!$D$2:$D$501,0))),""))</f>
        <v/>
      </c>
      <c r="H472" s="30" t="str">
        <f aca="false">IF($C472="","",IFERROR(IF(INDEX(links!$B$2:$B$501,MATCH($C472,links!$D$2:$D$501,0))="","",INDEX(links!$B$2:$B$501,MATCH($C472,links!$D$2:$D$501,0))),""))</f>
        <v/>
      </c>
      <c r="I472" s="30" t="str">
        <f aca="false">IF($C472="","",IFERROR(IF(INDEX(links!$C$2:$C$501,MATCH($C472,links!$D$2:$D$501,0))="","",INDEX(links!$C$2:$C$501,MATCH($C472,links!$D$2:$D$501,0))),""))</f>
        <v/>
      </c>
      <c r="J472" s="30" t="str">
        <f aca="false">IF($C472="","",IF($G472="","slug not in links; ","")&amp;IF($D472="","reading type missing; ","")&amp;IF(COUNTIFS(scans!$C$2:$C$1601,$C472,scans!$D$2:$D$1601,$D472)&gt;1,"two readings of this type: keep one; ",""))</f>
        <v/>
      </c>
    </row>
    <row r="473" customFormat="false" ht="15" hidden="false" customHeight="false" outlineLevel="0" collapsed="false">
      <c r="A473" s="11"/>
      <c r="B473" s="38"/>
      <c r="D473" s="10"/>
      <c r="G473" s="30" t="str">
        <f aca="false">IF($C473="","",IFERROR(IF(INDEX(links!$A$2:$A$501,MATCH($C473,links!$D$2:$D$501,0))="","",INDEX(links!$A$2:$A$501,MATCH($C473,links!$D$2:$D$501,0))),""))</f>
        <v/>
      </c>
      <c r="H473" s="30" t="str">
        <f aca="false">IF($C473="","",IFERROR(IF(INDEX(links!$B$2:$B$501,MATCH($C473,links!$D$2:$D$501,0))="","",INDEX(links!$B$2:$B$501,MATCH($C473,links!$D$2:$D$501,0))),""))</f>
        <v/>
      </c>
      <c r="I473" s="30" t="str">
        <f aca="false">IF($C473="","",IFERROR(IF(INDEX(links!$C$2:$C$501,MATCH($C473,links!$D$2:$D$501,0))="","",INDEX(links!$C$2:$C$501,MATCH($C473,links!$D$2:$D$501,0))),""))</f>
        <v/>
      </c>
      <c r="J473" s="30" t="str">
        <f aca="false">IF($C473="","",IF($G473="","slug not in links; ","")&amp;IF($D473="","reading type missing; ","")&amp;IF(COUNTIFS(scans!$C$2:$C$1601,$C473,scans!$D$2:$D$1601,$D473)&gt;1,"two readings of this type: keep one; ",""))</f>
        <v/>
      </c>
    </row>
    <row r="474" customFormat="false" ht="15" hidden="false" customHeight="false" outlineLevel="0" collapsed="false">
      <c r="A474" s="11"/>
      <c r="B474" s="38"/>
      <c r="D474" s="10"/>
      <c r="G474" s="30" t="str">
        <f aca="false">IF($C474="","",IFERROR(IF(INDEX(links!$A$2:$A$501,MATCH($C474,links!$D$2:$D$501,0))="","",INDEX(links!$A$2:$A$501,MATCH($C474,links!$D$2:$D$501,0))),""))</f>
        <v/>
      </c>
      <c r="H474" s="30" t="str">
        <f aca="false">IF($C474="","",IFERROR(IF(INDEX(links!$B$2:$B$501,MATCH($C474,links!$D$2:$D$501,0))="","",INDEX(links!$B$2:$B$501,MATCH($C474,links!$D$2:$D$501,0))),""))</f>
        <v/>
      </c>
      <c r="I474" s="30" t="str">
        <f aca="false">IF($C474="","",IFERROR(IF(INDEX(links!$C$2:$C$501,MATCH($C474,links!$D$2:$D$501,0))="","",INDEX(links!$C$2:$C$501,MATCH($C474,links!$D$2:$D$501,0))),""))</f>
        <v/>
      </c>
      <c r="J474" s="30" t="str">
        <f aca="false">IF($C474="","",IF($G474="","slug not in links; ","")&amp;IF($D474="","reading type missing; ","")&amp;IF(COUNTIFS(scans!$C$2:$C$1601,$C474,scans!$D$2:$D$1601,$D474)&gt;1,"two readings of this type: keep one; ",""))</f>
        <v/>
      </c>
    </row>
    <row r="475" customFormat="false" ht="15" hidden="false" customHeight="false" outlineLevel="0" collapsed="false">
      <c r="A475" s="11"/>
      <c r="B475" s="38"/>
      <c r="D475" s="10"/>
      <c r="G475" s="30" t="str">
        <f aca="false">IF($C475="","",IFERROR(IF(INDEX(links!$A$2:$A$501,MATCH($C475,links!$D$2:$D$501,0))="","",INDEX(links!$A$2:$A$501,MATCH($C475,links!$D$2:$D$501,0))),""))</f>
        <v/>
      </c>
      <c r="H475" s="30" t="str">
        <f aca="false">IF($C475="","",IFERROR(IF(INDEX(links!$B$2:$B$501,MATCH($C475,links!$D$2:$D$501,0))="","",INDEX(links!$B$2:$B$501,MATCH($C475,links!$D$2:$D$501,0))),""))</f>
        <v/>
      </c>
      <c r="I475" s="30" t="str">
        <f aca="false">IF($C475="","",IFERROR(IF(INDEX(links!$C$2:$C$501,MATCH($C475,links!$D$2:$D$501,0))="","",INDEX(links!$C$2:$C$501,MATCH($C475,links!$D$2:$D$501,0))),""))</f>
        <v/>
      </c>
      <c r="J475" s="30" t="str">
        <f aca="false">IF($C475="","",IF($G475="","slug not in links; ","")&amp;IF($D475="","reading type missing; ","")&amp;IF(COUNTIFS(scans!$C$2:$C$1601,$C475,scans!$D$2:$D$1601,$D475)&gt;1,"two readings of this type: keep one; ",""))</f>
        <v/>
      </c>
    </row>
    <row r="476" customFormat="false" ht="15" hidden="false" customHeight="false" outlineLevel="0" collapsed="false">
      <c r="A476" s="11"/>
      <c r="B476" s="38"/>
      <c r="D476" s="10"/>
      <c r="G476" s="30" t="str">
        <f aca="false">IF($C476="","",IFERROR(IF(INDEX(links!$A$2:$A$501,MATCH($C476,links!$D$2:$D$501,0))="","",INDEX(links!$A$2:$A$501,MATCH($C476,links!$D$2:$D$501,0))),""))</f>
        <v/>
      </c>
      <c r="H476" s="30" t="str">
        <f aca="false">IF($C476="","",IFERROR(IF(INDEX(links!$B$2:$B$501,MATCH($C476,links!$D$2:$D$501,0))="","",INDEX(links!$B$2:$B$501,MATCH($C476,links!$D$2:$D$501,0))),""))</f>
        <v/>
      </c>
      <c r="I476" s="30" t="str">
        <f aca="false">IF($C476="","",IFERROR(IF(INDEX(links!$C$2:$C$501,MATCH($C476,links!$D$2:$D$501,0))="","",INDEX(links!$C$2:$C$501,MATCH($C476,links!$D$2:$D$501,0))),""))</f>
        <v/>
      </c>
      <c r="J476" s="30" t="str">
        <f aca="false">IF($C476="","",IF($G476="","slug not in links; ","")&amp;IF($D476="","reading type missing; ","")&amp;IF(COUNTIFS(scans!$C$2:$C$1601,$C476,scans!$D$2:$D$1601,$D476)&gt;1,"two readings of this type: keep one; ",""))</f>
        <v/>
      </c>
    </row>
    <row r="477" customFormat="false" ht="15" hidden="false" customHeight="false" outlineLevel="0" collapsed="false">
      <c r="A477" s="11"/>
      <c r="B477" s="38"/>
      <c r="D477" s="10"/>
      <c r="G477" s="30" t="str">
        <f aca="false">IF($C477="","",IFERROR(IF(INDEX(links!$A$2:$A$501,MATCH($C477,links!$D$2:$D$501,0))="","",INDEX(links!$A$2:$A$501,MATCH($C477,links!$D$2:$D$501,0))),""))</f>
        <v/>
      </c>
      <c r="H477" s="30" t="str">
        <f aca="false">IF($C477="","",IFERROR(IF(INDEX(links!$B$2:$B$501,MATCH($C477,links!$D$2:$D$501,0))="","",INDEX(links!$B$2:$B$501,MATCH($C477,links!$D$2:$D$501,0))),""))</f>
        <v/>
      </c>
      <c r="I477" s="30" t="str">
        <f aca="false">IF($C477="","",IFERROR(IF(INDEX(links!$C$2:$C$501,MATCH($C477,links!$D$2:$D$501,0))="","",INDEX(links!$C$2:$C$501,MATCH($C477,links!$D$2:$D$501,0))),""))</f>
        <v/>
      </c>
      <c r="J477" s="30" t="str">
        <f aca="false">IF($C477="","",IF($G477="","slug not in links; ","")&amp;IF($D477="","reading type missing; ","")&amp;IF(COUNTIFS(scans!$C$2:$C$1601,$C477,scans!$D$2:$D$1601,$D477)&gt;1,"two readings of this type: keep one; ",""))</f>
        <v/>
      </c>
    </row>
    <row r="478" customFormat="false" ht="15" hidden="false" customHeight="false" outlineLevel="0" collapsed="false">
      <c r="A478" s="11"/>
      <c r="B478" s="38"/>
      <c r="D478" s="10"/>
      <c r="G478" s="30" t="str">
        <f aca="false">IF($C478="","",IFERROR(IF(INDEX(links!$A$2:$A$501,MATCH($C478,links!$D$2:$D$501,0))="","",INDEX(links!$A$2:$A$501,MATCH($C478,links!$D$2:$D$501,0))),""))</f>
        <v/>
      </c>
      <c r="H478" s="30" t="str">
        <f aca="false">IF($C478="","",IFERROR(IF(INDEX(links!$B$2:$B$501,MATCH($C478,links!$D$2:$D$501,0))="","",INDEX(links!$B$2:$B$501,MATCH($C478,links!$D$2:$D$501,0))),""))</f>
        <v/>
      </c>
      <c r="I478" s="30" t="str">
        <f aca="false">IF($C478="","",IFERROR(IF(INDEX(links!$C$2:$C$501,MATCH($C478,links!$D$2:$D$501,0))="","",INDEX(links!$C$2:$C$501,MATCH($C478,links!$D$2:$D$501,0))),""))</f>
        <v/>
      </c>
      <c r="J478" s="30" t="str">
        <f aca="false">IF($C478="","",IF($G478="","slug not in links; ","")&amp;IF($D478="","reading type missing; ","")&amp;IF(COUNTIFS(scans!$C$2:$C$1601,$C478,scans!$D$2:$D$1601,$D478)&gt;1,"two readings of this type: keep one; ",""))</f>
        <v/>
      </c>
    </row>
    <row r="479" customFormat="false" ht="15" hidden="false" customHeight="false" outlineLevel="0" collapsed="false">
      <c r="A479" s="11"/>
      <c r="B479" s="38"/>
      <c r="D479" s="10"/>
      <c r="G479" s="30" t="str">
        <f aca="false">IF($C479="","",IFERROR(IF(INDEX(links!$A$2:$A$501,MATCH($C479,links!$D$2:$D$501,0))="","",INDEX(links!$A$2:$A$501,MATCH($C479,links!$D$2:$D$501,0))),""))</f>
        <v/>
      </c>
      <c r="H479" s="30" t="str">
        <f aca="false">IF($C479="","",IFERROR(IF(INDEX(links!$B$2:$B$501,MATCH($C479,links!$D$2:$D$501,0))="","",INDEX(links!$B$2:$B$501,MATCH($C479,links!$D$2:$D$501,0))),""))</f>
        <v/>
      </c>
      <c r="I479" s="30" t="str">
        <f aca="false">IF($C479="","",IFERROR(IF(INDEX(links!$C$2:$C$501,MATCH($C479,links!$D$2:$D$501,0))="","",INDEX(links!$C$2:$C$501,MATCH($C479,links!$D$2:$D$501,0))),""))</f>
        <v/>
      </c>
      <c r="J479" s="30" t="str">
        <f aca="false">IF($C479="","",IF($G479="","slug not in links; ","")&amp;IF($D479="","reading type missing; ","")&amp;IF(COUNTIFS(scans!$C$2:$C$1601,$C479,scans!$D$2:$D$1601,$D479)&gt;1,"two readings of this type: keep one; ",""))</f>
        <v/>
      </c>
    </row>
    <row r="480" customFormat="false" ht="15" hidden="false" customHeight="false" outlineLevel="0" collapsed="false">
      <c r="A480" s="11"/>
      <c r="B480" s="38"/>
      <c r="D480" s="10"/>
      <c r="G480" s="30" t="str">
        <f aca="false">IF($C480="","",IFERROR(IF(INDEX(links!$A$2:$A$501,MATCH($C480,links!$D$2:$D$501,0))="","",INDEX(links!$A$2:$A$501,MATCH($C480,links!$D$2:$D$501,0))),""))</f>
        <v/>
      </c>
      <c r="H480" s="30" t="str">
        <f aca="false">IF($C480="","",IFERROR(IF(INDEX(links!$B$2:$B$501,MATCH($C480,links!$D$2:$D$501,0))="","",INDEX(links!$B$2:$B$501,MATCH($C480,links!$D$2:$D$501,0))),""))</f>
        <v/>
      </c>
      <c r="I480" s="30" t="str">
        <f aca="false">IF($C480="","",IFERROR(IF(INDEX(links!$C$2:$C$501,MATCH($C480,links!$D$2:$D$501,0))="","",INDEX(links!$C$2:$C$501,MATCH($C480,links!$D$2:$D$501,0))),""))</f>
        <v/>
      </c>
      <c r="J480" s="30" t="str">
        <f aca="false">IF($C480="","",IF($G480="","slug not in links; ","")&amp;IF($D480="","reading type missing; ","")&amp;IF(COUNTIFS(scans!$C$2:$C$1601,$C480,scans!$D$2:$D$1601,$D480)&gt;1,"two readings of this type: keep one; ",""))</f>
        <v/>
      </c>
    </row>
    <row r="481" customFormat="false" ht="15" hidden="false" customHeight="false" outlineLevel="0" collapsed="false">
      <c r="A481" s="11"/>
      <c r="B481" s="38"/>
      <c r="D481" s="10"/>
      <c r="G481" s="30" t="str">
        <f aca="false">IF($C481="","",IFERROR(IF(INDEX(links!$A$2:$A$501,MATCH($C481,links!$D$2:$D$501,0))="","",INDEX(links!$A$2:$A$501,MATCH($C481,links!$D$2:$D$501,0))),""))</f>
        <v/>
      </c>
      <c r="H481" s="30" t="str">
        <f aca="false">IF($C481="","",IFERROR(IF(INDEX(links!$B$2:$B$501,MATCH($C481,links!$D$2:$D$501,0))="","",INDEX(links!$B$2:$B$501,MATCH($C481,links!$D$2:$D$501,0))),""))</f>
        <v/>
      </c>
      <c r="I481" s="30" t="str">
        <f aca="false">IF($C481="","",IFERROR(IF(INDEX(links!$C$2:$C$501,MATCH($C481,links!$D$2:$D$501,0))="","",INDEX(links!$C$2:$C$501,MATCH($C481,links!$D$2:$D$501,0))),""))</f>
        <v/>
      </c>
      <c r="J481" s="30" t="str">
        <f aca="false">IF($C481="","",IF($G481="","slug not in links; ","")&amp;IF($D481="","reading type missing; ","")&amp;IF(COUNTIFS(scans!$C$2:$C$1601,$C481,scans!$D$2:$D$1601,$D481)&gt;1,"two readings of this type: keep one; ",""))</f>
        <v/>
      </c>
    </row>
    <row r="482" customFormat="false" ht="15" hidden="false" customHeight="false" outlineLevel="0" collapsed="false">
      <c r="A482" s="11"/>
      <c r="B482" s="38"/>
      <c r="D482" s="10"/>
      <c r="G482" s="30" t="str">
        <f aca="false">IF($C482="","",IFERROR(IF(INDEX(links!$A$2:$A$501,MATCH($C482,links!$D$2:$D$501,0))="","",INDEX(links!$A$2:$A$501,MATCH($C482,links!$D$2:$D$501,0))),""))</f>
        <v/>
      </c>
      <c r="H482" s="30" t="str">
        <f aca="false">IF($C482="","",IFERROR(IF(INDEX(links!$B$2:$B$501,MATCH($C482,links!$D$2:$D$501,0))="","",INDEX(links!$B$2:$B$501,MATCH($C482,links!$D$2:$D$501,0))),""))</f>
        <v/>
      </c>
      <c r="I482" s="30" t="str">
        <f aca="false">IF($C482="","",IFERROR(IF(INDEX(links!$C$2:$C$501,MATCH($C482,links!$D$2:$D$501,0))="","",INDEX(links!$C$2:$C$501,MATCH($C482,links!$D$2:$D$501,0))),""))</f>
        <v/>
      </c>
      <c r="J482" s="30" t="str">
        <f aca="false">IF($C482="","",IF($G482="","slug not in links; ","")&amp;IF($D482="","reading type missing; ","")&amp;IF(COUNTIFS(scans!$C$2:$C$1601,$C482,scans!$D$2:$D$1601,$D482)&gt;1,"two readings of this type: keep one; ",""))</f>
        <v/>
      </c>
    </row>
    <row r="483" customFormat="false" ht="15" hidden="false" customHeight="false" outlineLevel="0" collapsed="false">
      <c r="A483" s="11"/>
      <c r="B483" s="38"/>
      <c r="D483" s="10"/>
      <c r="G483" s="30" t="str">
        <f aca="false">IF($C483="","",IFERROR(IF(INDEX(links!$A$2:$A$501,MATCH($C483,links!$D$2:$D$501,0))="","",INDEX(links!$A$2:$A$501,MATCH($C483,links!$D$2:$D$501,0))),""))</f>
        <v/>
      </c>
      <c r="H483" s="30" t="str">
        <f aca="false">IF($C483="","",IFERROR(IF(INDEX(links!$B$2:$B$501,MATCH($C483,links!$D$2:$D$501,0))="","",INDEX(links!$B$2:$B$501,MATCH($C483,links!$D$2:$D$501,0))),""))</f>
        <v/>
      </c>
      <c r="I483" s="30" t="str">
        <f aca="false">IF($C483="","",IFERROR(IF(INDEX(links!$C$2:$C$501,MATCH($C483,links!$D$2:$D$501,0))="","",INDEX(links!$C$2:$C$501,MATCH($C483,links!$D$2:$D$501,0))),""))</f>
        <v/>
      </c>
      <c r="J483" s="30" t="str">
        <f aca="false">IF($C483="","",IF($G483="","slug not in links; ","")&amp;IF($D483="","reading type missing; ","")&amp;IF(COUNTIFS(scans!$C$2:$C$1601,$C483,scans!$D$2:$D$1601,$D483)&gt;1,"two readings of this type: keep one; ",""))</f>
        <v/>
      </c>
    </row>
    <row r="484" customFormat="false" ht="15" hidden="false" customHeight="false" outlineLevel="0" collapsed="false">
      <c r="A484" s="11"/>
      <c r="B484" s="38"/>
      <c r="D484" s="10"/>
      <c r="G484" s="30" t="str">
        <f aca="false">IF($C484="","",IFERROR(IF(INDEX(links!$A$2:$A$501,MATCH($C484,links!$D$2:$D$501,0))="","",INDEX(links!$A$2:$A$501,MATCH($C484,links!$D$2:$D$501,0))),""))</f>
        <v/>
      </c>
      <c r="H484" s="30" t="str">
        <f aca="false">IF($C484="","",IFERROR(IF(INDEX(links!$B$2:$B$501,MATCH($C484,links!$D$2:$D$501,0))="","",INDEX(links!$B$2:$B$501,MATCH($C484,links!$D$2:$D$501,0))),""))</f>
        <v/>
      </c>
      <c r="I484" s="30" t="str">
        <f aca="false">IF($C484="","",IFERROR(IF(INDEX(links!$C$2:$C$501,MATCH($C484,links!$D$2:$D$501,0))="","",INDEX(links!$C$2:$C$501,MATCH($C484,links!$D$2:$D$501,0))),""))</f>
        <v/>
      </c>
      <c r="J484" s="30" t="str">
        <f aca="false">IF($C484="","",IF($G484="","slug not in links; ","")&amp;IF($D484="","reading type missing; ","")&amp;IF(COUNTIFS(scans!$C$2:$C$1601,$C484,scans!$D$2:$D$1601,$D484)&gt;1,"two readings of this type: keep one; ",""))</f>
        <v/>
      </c>
    </row>
    <row r="485" customFormat="false" ht="15" hidden="false" customHeight="false" outlineLevel="0" collapsed="false">
      <c r="A485" s="11"/>
      <c r="B485" s="38"/>
      <c r="D485" s="10"/>
      <c r="G485" s="30" t="str">
        <f aca="false">IF($C485="","",IFERROR(IF(INDEX(links!$A$2:$A$501,MATCH($C485,links!$D$2:$D$501,0))="","",INDEX(links!$A$2:$A$501,MATCH($C485,links!$D$2:$D$501,0))),""))</f>
        <v/>
      </c>
      <c r="H485" s="30" t="str">
        <f aca="false">IF($C485="","",IFERROR(IF(INDEX(links!$B$2:$B$501,MATCH($C485,links!$D$2:$D$501,0))="","",INDEX(links!$B$2:$B$501,MATCH($C485,links!$D$2:$D$501,0))),""))</f>
        <v/>
      </c>
      <c r="I485" s="30" t="str">
        <f aca="false">IF($C485="","",IFERROR(IF(INDEX(links!$C$2:$C$501,MATCH($C485,links!$D$2:$D$501,0))="","",INDEX(links!$C$2:$C$501,MATCH($C485,links!$D$2:$D$501,0))),""))</f>
        <v/>
      </c>
      <c r="J485" s="30" t="str">
        <f aca="false">IF($C485="","",IF($G485="","slug not in links; ","")&amp;IF($D485="","reading type missing; ","")&amp;IF(COUNTIFS(scans!$C$2:$C$1601,$C485,scans!$D$2:$D$1601,$D485)&gt;1,"two readings of this type: keep one; ",""))</f>
        <v/>
      </c>
    </row>
    <row r="486" customFormat="false" ht="15" hidden="false" customHeight="false" outlineLevel="0" collapsed="false">
      <c r="A486" s="11"/>
      <c r="B486" s="38"/>
      <c r="D486" s="10"/>
      <c r="G486" s="30" t="str">
        <f aca="false">IF($C486="","",IFERROR(IF(INDEX(links!$A$2:$A$501,MATCH($C486,links!$D$2:$D$501,0))="","",INDEX(links!$A$2:$A$501,MATCH($C486,links!$D$2:$D$501,0))),""))</f>
        <v/>
      </c>
      <c r="H486" s="30" t="str">
        <f aca="false">IF($C486="","",IFERROR(IF(INDEX(links!$B$2:$B$501,MATCH($C486,links!$D$2:$D$501,0))="","",INDEX(links!$B$2:$B$501,MATCH($C486,links!$D$2:$D$501,0))),""))</f>
        <v/>
      </c>
      <c r="I486" s="30" t="str">
        <f aca="false">IF($C486="","",IFERROR(IF(INDEX(links!$C$2:$C$501,MATCH($C486,links!$D$2:$D$501,0))="","",INDEX(links!$C$2:$C$501,MATCH($C486,links!$D$2:$D$501,0))),""))</f>
        <v/>
      </c>
      <c r="J486" s="30" t="str">
        <f aca="false">IF($C486="","",IF($G486="","slug not in links; ","")&amp;IF($D486="","reading type missing; ","")&amp;IF(COUNTIFS(scans!$C$2:$C$1601,$C486,scans!$D$2:$D$1601,$D486)&gt;1,"two readings of this type: keep one; ",""))</f>
        <v/>
      </c>
    </row>
    <row r="487" customFormat="false" ht="15" hidden="false" customHeight="false" outlineLevel="0" collapsed="false">
      <c r="A487" s="11"/>
      <c r="B487" s="38"/>
      <c r="D487" s="10"/>
      <c r="G487" s="30" t="str">
        <f aca="false">IF($C487="","",IFERROR(IF(INDEX(links!$A$2:$A$501,MATCH($C487,links!$D$2:$D$501,0))="","",INDEX(links!$A$2:$A$501,MATCH($C487,links!$D$2:$D$501,0))),""))</f>
        <v/>
      </c>
      <c r="H487" s="30" t="str">
        <f aca="false">IF($C487="","",IFERROR(IF(INDEX(links!$B$2:$B$501,MATCH($C487,links!$D$2:$D$501,0))="","",INDEX(links!$B$2:$B$501,MATCH($C487,links!$D$2:$D$501,0))),""))</f>
        <v/>
      </c>
      <c r="I487" s="30" t="str">
        <f aca="false">IF($C487="","",IFERROR(IF(INDEX(links!$C$2:$C$501,MATCH($C487,links!$D$2:$D$501,0))="","",INDEX(links!$C$2:$C$501,MATCH($C487,links!$D$2:$D$501,0))),""))</f>
        <v/>
      </c>
      <c r="J487" s="30" t="str">
        <f aca="false">IF($C487="","",IF($G487="","slug not in links; ","")&amp;IF($D487="","reading type missing; ","")&amp;IF(COUNTIFS(scans!$C$2:$C$1601,$C487,scans!$D$2:$D$1601,$D487)&gt;1,"two readings of this type: keep one; ",""))</f>
        <v/>
      </c>
    </row>
    <row r="488" customFormat="false" ht="15" hidden="false" customHeight="false" outlineLevel="0" collapsed="false">
      <c r="A488" s="11"/>
      <c r="B488" s="38"/>
      <c r="D488" s="10"/>
      <c r="G488" s="30" t="str">
        <f aca="false">IF($C488="","",IFERROR(IF(INDEX(links!$A$2:$A$501,MATCH($C488,links!$D$2:$D$501,0))="","",INDEX(links!$A$2:$A$501,MATCH($C488,links!$D$2:$D$501,0))),""))</f>
        <v/>
      </c>
      <c r="H488" s="30" t="str">
        <f aca="false">IF($C488="","",IFERROR(IF(INDEX(links!$B$2:$B$501,MATCH($C488,links!$D$2:$D$501,0))="","",INDEX(links!$B$2:$B$501,MATCH($C488,links!$D$2:$D$501,0))),""))</f>
        <v/>
      </c>
      <c r="I488" s="30" t="str">
        <f aca="false">IF($C488="","",IFERROR(IF(INDEX(links!$C$2:$C$501,MATCH($C488,links!$D$2:$D$501,0))="","",INDEX(links!$C$2:$C$501,MATCH($C488,links!$D$2:$D$501,0))),""))</f>
        <v/>
      </c>
      <c r="J488" s="30" t="str">
        <f aca="false">IF($C488="","",IF($G488="","slug not in links; ","")&amp;IF($D488="","reading type missing; ","")&amp;IF(COUNTIFS(scans!$C$2:$C$1601,$C488,scans!$D$2:$D$1601,$D488)&gt;1,"two readings of this type: keep one; ",""))</f>
        <v/>
      </c>
    </row>
    <row r="489" customFormat="false" ht="15" hidden="false" customHeight="false" outlineLevel="0" collapsed="false">
      <c r="A489" s="11"/>
      <c r="B489" s="38"/>
      <c r="D489" s="10"/>
      <c r="G489" s="30" t="str">
        <f aca="false">IF($C489="","",IFERROR(IF(INDEX(links!$A$2:$A$501,MATCH($C489,links!$D$2:$D$501,0))="","",INDEX(links!$A$2:$A$501,MATCH($C489,links!$D$2:$D$501,0))),""))</f>
        <v/>
      </c>
      <c r="H489" s="30" t="str">
        <f aca="false">IF($C489="","",IFERROR(IF(INDEX(links!$B$2:$B$501,MATCH($C489,links!$D$2:$D$501,0))="","",INDEX(links!$B$2:$B$501,MATCH($C489,links!$D$2:$D$501,0))),""))</f>
        <v/>
      </c>
      <c r="I489" s="30" t="str">
        <f aca="false">IF($C489="","",IFERROR(IF(INDEX(links!$C$2:$C$501,MATCH($C489,links!$D$2:$D$501,0))="","",INDEX(links!$C$2:$C$501,MATCH($C489,links!$D$2:$D$501,0))),""))</f>
        <v/>
      </c>
      <c r="J489" s="30" t="str">
        <f aca="false">IF($C489="","",IF($G489="","slug not in links; ","")&amp;IF($D489="","reading type missing; ","")&amp;IF(COUNTIFS(scans!$C$2:$C$1601,$C489,scans!$D$2:$D$1601,$D489)&gt;1,"two readings of this type: keep one; ",""))</f>
        <v/>
      </c>
    </row>
    <row r="490" customFormat="false" ht="15" hidden="false" customHeight="false" outlineLevel="0" collapsed="false">
      <c r="A490" s="11"/>
      <c r="B490" s="38"/>
      <c r="D490" s="10"/>
      <c r="G490" s="30" t="str">
        <f aca="false">IF($C490="","",IFERROR(IF(INDEX(links!$A$2:$A$501,MATCH($C490,links!$D$2:$D$501,0))="","",INDEX(links!$A$2:$A$501,MATCH($C490,links!$D$2:$D$501,0))),""))</f>
        <v/>
      </c>
      <c r="H490" s="30" t="str">
        <f aca="false">IF($C490="","",IFERROR(IF(INDEX(links!$B$2:$B$501,MATCH($C490,links!$D$2:$D$501,0))="","",INDEX(links!$B$2:$B$501,MATCH($C490,links!$D$2:$D$501,0))),""))</f>
        <v/>
      </c>
      <c r="I490" s="30" t="str">
        <f aca="false">IF($C490="","",IFERROR(IF(INDEX(links!$C$2:$C$501,MATCH($C490,links!$D$2:$D$501,0))="","",INDEX(links!$C$2:$C$501,MATCH($C490,links!$D$2:$D$501,0))),""))</f>
        <v/>
      </c>
      <c r="J490" s="30" t="str">
        <f aca="false">IF($C490="","",IF($G490="","slug not in links; ","")&amp;IF($D490="","reading type missing; ","")&amp;IF(COUNTIFS(scans!$C$2:$C$1601,$C490,scans!$D$2:$D$1601,$D490)&gt;1,"two readings of this type: keep one; ",""))</f>
        <v/>
      </c>
    </row>
    <row r="491" customFormat="false" ht="15" hidden="false" customHeight="false" outlineLevel="0" collapsed="false">
      <c r="A491" s="11"/>
      <c r="B491" s="38"/>
      <c r="D491" s="10"/>
      <c r="G491" s="30" t="str">
        <f aca="false">IF($C491="","",IFERROR(IF(INDEX(links!$A$2:$A$501,MATCH($C491,links!$D$2:$D$501,0))="","",INDEX(links!$A$2:$A$501,MATCH($C491,links!$D$2:$D$501,0))),""))</f>
        <v/>
      </c>
      <c r="H491" s="30" t="str">
        <f aca="false">IF($C491="","",IFERROR(IF(INDEX(links!$B$2:$B$501,MATCH($C491,links!$D$2:$D$501,0))="","",INDEX(links!$B$2:$B$501,MATCH($C491,links!$D$2:$D$501,0))),""))</f>
        <v/>
      </c>
      <c r="I491" s="30" t="str">
        <f aca="false">IF($C491="","",IFERROR(IF(INDEX(links!$C$2:$C$501,MATCH($C491,links!$D$2:$D$501,0))="","",INDEX(links!$C$2:$C$501,MATCH($C491,links!$D$2:$D$501,0))),""))</f>
        <v/>
      </c>
      <c r="J491" s="30" t="str">
        <f aca="false">IF($C491="","",IF($G491="","slug not in links; ","")&amp;IF($D491="","reading type missing; ","")&amp;IF(COUNTIFS(scans!$C$2:$C$1601,$C491,scans!$D$2:$D$1601,$D491)&gt;1,"two readings of this type: keep one; ",""))</f>
        <v/>
      </c>
    </row>
    <row r="492" customFormat="false" ht="15" hidden="false" customHeight="false" outlineLevel="0" collapsed="false">
      <c r="A492" s="11"/>
      <c r="B492" s="38"/>
      <c r="D492" s="10"/>
      <c r="G492" s="30" t="str">
        <f aca="false">IF($C492="","",IFERROR(IF(INDEX(links!$A$2:$A$501,MATCH($C492,links!$D$2:$D$501,0))="","",INDEX(links!$A$2:$A$501,MATCH($C492,links!$D$2:$D$501,0))),""))</f>
        <v/>
      </c>
      <c r="H492" s="30" t="str">
        <f aca="false">IF($C492="","",IFERROR(IF(INDEX(links!$B$2:$B$501,MATCH($C492,links!$D$2:$D$501,0))="","",INDEX(links!$B$2:$B$501,MATCH($C492,links!$D$2:$D$501,0))),""))</f>
        <v/>
      </c>
      <c r="I492" s="30" t="str">
        <f aca="false">IF($C492="","",IFERROR(IF(INDEX(links!$C$2:$C$501,MATCH($C492,links!$D$2:$D$501,0))="","",INDEX(links!$C$2:$C$501,MATCH($C492,links!$D$2:$D$501,0))),""))</f>
        <v/>
      </c>
      <c r="J492" s="30" t="str">
        <f aca="false">IF($C492="","",IF($G492="","slug not in links; ","")&amp;IF($D492="","reading type missing; ","")&amp;IF(COUNTIFS(scans!$C$2:$C$1601,$C492,scans!$D$2:$D$1601,$D492)&gt;1,"two readings of this type: keep one; ",""))</f>
        <v/>
      </c>
    </row>
    <row r="493" customFormat="false" ht="15" hidden="false" customHeight="false" outlineLevel="0" collapsed="false">
      <c r="A493" s="11"/>
      <c r="B493" s="38"/>
      <c r="D493" s="10"/>
      <c r="G493" s="30" t="str">
        <f aca="false">IF($C493="","",IFERROR(IF(INDEX(links!$A$2:$A$501,MATCH($C493,links!$D$2:$D$501,0))="","",INDEX(links!$A$2:$A$501,MATCH($C493,links!$D$2:$D$501,0))),""))</f>
        <v/>
      </c>
      <c r="H493" s="30" t="str">
        <f aca="false">IF($C493="","",IFERROR(IF(INDEX(links!$B$2:$B$501,MATCH($C493,links!$D$2:$D$501,0))="","",INDEX(links!$B$2:$B$501,MATCH($C493,links!$D$2:$D$501,0))),""))</f>
        <v/>
      </c>
      <c r="I493" s="30" t="str">
        <f aca="false">IF($C493="","",IFERROR(IF(INDEX(links!$C$2:$C$501,MATCH($C493,links!$D$2:$D$501,0))="","",INDEX(links!$C$2:$C$501,MATCH($C493,links!$D$2:$D$501,0))),""))</f>
        <v/>
      </c>
      <c r="J493" s="30" t="str">
        <f aca="false">IF($C493="","",IF($G493="","slug not in links; ","")&amp;IF($D493="","reading type missing; ","")&amp;IF(COUNTIFS(scans!$C$2:$C$1601,$C493,scans!$D$2:$D$1601,$D493)&gt;1,"two readings of this type: keep one; ",""))</f>
        <v/>
      </c>
    </row>
    <row r="494" customFormat="false" ht="15" hidden="false" customHeight="false" outlineLevel="0" collapsed="false">
      <c r="A494" s="11"/>
      <c r="B494" s="38"/>
      <c r="D494" s="10"/>
      <c r="G494" s="30" t="str">
        <f aca="false">IF($C494="","",IFERROR(IF(INDEX(links!$A$2:$A$501,MATCH($C494,links!$D$2:$D$501,0))="","",INDEX(links!$A$2:$A$501,MATCH($C494,links!$D$2:$D$501,0))),""))</f>
        <v/>
      </c>
      <c r="H494" s="30" t="str">
        <f aca="false">IF($C494="","",IFERROR(IF(INDEX(links!$B$2:$B$501,MATCH($C494,links!$D$2:$D$501,0))="","",INDEX(links!$B$2:$B$501,MATCH($C494,links!$D$2:$D$501,0))),""))</f>
        <v/>
      </c>
      <c r="I494" s="30" t="str">
        <f aca="false">IF($C494="","",IFERROR(IF(INDEX(links!$C$2:$C$501,MATCH($C494,links!$D$2:$D$501,0))="","",INDEX(links!$C$2:$C$501,MATCH($C494,links!$D$2:$D$501,0))),""))</f>
        <v/>
      </c>
      <c r="J494" s="30" t="str">
        <f aca="false">IF($C494="","",IF($G494="","slug not in links; ","")&amp;IF($D494="","reading type missing; ","")&amp;IF(COUNTIFS(scans!$C$2:$C$1601,$C494,scans!$D$2:$D$1601,$D494)&gt;1,"two readings of this type: keep one; ",""))</f>
        <v/>
      </c>
    </row>
    <row r="495" customFormat="false" ht="15" hidden="false" customHeight="false" outlineLevel="0" collapsed="false">
      <c r="A495" s="11"/>
      <c r="B495" s="38"/>
      <c r="D495" s="10"/>
      <c r="G495" s="30" t="str">
        <f aca="false">IF($C495="","",IFERROR(IF(INDEX(links!$A$2:$A$501,MATCH($C495,links!$D$2:$D$501,0))="","",INDEX(links!$A$2:$A$501,MATCH($C495,links!$D$2:$D$501,0))),""))</f>
        <v/>
      </c>
      <c r="H495" s="30" t="str">
        <f aca="false">IF($C495="","",IFERROR(IF(INDEX(links!$B$2:$B$501,MATCH($C495,links!$D$2:$D$501,0))="","",INDEX(links!$B$2:$B$501,MATCH($C495,links!$D$2:$D$501,0))),""))</f>
        <v/>
      </c>
      <c r="I495" s="30" t="str">
        <f aca="false">IF($C495="","",IFERROR(IF(INDEX(links!$C$2:$C$501,MATCH($C495,links!$D$2:$D$501,0))="","",INDEX(links!$C$2:$C$501,MATCH($C495,links!$D$2:$D$501,0))),""))</f>
        <v/>
      </c>
      <c r="J495" s="30" t="str">
        <f aca="false">IF($C495="","",IF($G495="","slug not in links; ","")&amp;IF($D495="","reading type missing; ","")&amp;IF(COUNTIFS(scans!$C$2:$C$1601,$C495,scans!$D$2:$D$1601,$D495)&gt;1,"two readings of this type: keep one; ",""))</f>
        <v/>
      </c>
    </row>
    <row r="496" customFormat="false" ht="15" hidden="false" customHeight="false" outlineLevel="0" collapsed="false">
      <c r="A496" s="11"/>
      <c r="B496" s="38"/>
      <c r="D496" s="10"/>
      <c r="G496" s="30" t="str">
        <f aca="false">IF($C496="","",IFERROR(IF(INDEX(links!$A$2:$A$501,MATCH($C496,links!$D$2:$D$501,0))="","",INDEX(links!$A$2:$A$501,MATCH($C496,links!$D$2:$D$501,0))),""))</f>
        <v/>
      </c>
      <c r="H496" s="30" t="str">
        <f aca="false">IF($C496="","",IFERROR(IF(INDEX(links!$B$2:$B$501,MATCH($C496,links!$D$2:$D$501,0))="","",INDEX(links!$B$2:$B$501,MATCH($C496,links!$D$2:$D$501,0))),""))</f>
        <v/>
      </c>
      <c r="I496" s="30" t="str">
        <f aca="false">IF($C496="","",IFERROR(IF(INDEX(links!$C$2:$C$501,MATCH($C496,links!$D$2:$D$501,0))="","",INDEX(links!$C$2:$C$501,MATCH($C496,links!$D$2:$D$501,0))),""))</f>
        <v/>
      </c>
      <c r="J496" s="30" t="str">
        <f aca="false">IF($C496="","",IF($G496="","slug not in links; ","")&amp;IF($D496="","reading type missing; ","")&amp;IF(COUNTIFS(scans!$C$2:$C$1601,$C496,scans!$D$2:$D$1601,$D496)&gt;1,"two readings of this type: keep one; ",""))</f>
        <v/>
      </c>
    </row>
    <row r="497" customFormat="false" ht="15" hidden="false" customHeight="false" outlineLevel="0" collapsed="false">
      <c r="A497" s="11"/>
      <c r="B497" s="38"/>
      <c r="D497" s="10"/>
      <c r="G497" s="30" t="str">
        <f aca="false">IF($C497="","",IFERROR(IF(INDEX(links!$A$2:$A$501,MATCH($C497,links!$D$2:$D$501,0))="","",INDEX(links!$A$2:$A$501,MATCH($C497,links!$D$2:$D$501,0))),""))</f>
        <v/>
      </c>
      <c r="H497" s="30" t="str">
        <f aca="false">IF($C497="","",IFERROR(IF(INDEX(links!$B$2:$B$501,MATCH($C497,links!$D$2:$D$501,0))="","",INDEX(links!$B$2:$B$501,MATCH($C497,links!$D$2:$D$501,0))),""))</f>
        <v/>
      </c>
      <c r="I497" s="30" t="str">
        <f aca="false">IF($C497="","",IFERROR(IF(INDEX(links!$C$2:$C$501,MATCH($C497,links!$D$2:$D$501,0))="","",INDEX(links!$C$2:$C$501,MATCH($C497,links!$D$2:$D$501,0))),""))</f>
        <v/>
      </c>
      <c r="J497" s="30" t="str">
        <f aca="false">IF($C497="","",IF($G497="","slug not in links; ","")&amp;IF($D497="","reading type missing; ","")&amp;IF(COUNTIFS(scans!$C$2:$C$1601,$C497,scans!$D$2:$D$1601,$D497)&gt;1,"two readings of this type: keep one; ",""))</f>
        <v/>
      </c>
    </row>
    <row r="498" customFormat="false" ht="15" hidden="false" customHeight="false" outlineLevel="0" collapsed="false">
      <c r="A498" s="11"/>
      <c r="B498" s="38"/>
      <c r="D498" s="10"/>
      <c r="G498" s="30" t="str">
        <f aca="false">IF($C498="","",IFERROR(IF(INDEX(links!$A$2:$A$501,MATCH($C498,links!$D$2:$D$501,0))="","",INDEX(links!$A$2:$A$501,MATCH($C498,links!$D$2:$D$501,0))),""))</f>
        <v/>
      </c>
      <c r="H498" s="30" t="str">
        <f aca="false">IF($C498="","",IFERROR(IF(INDEX(links!$B$2:$B$501,MATCH($C498,links!$D$2:$D$501,0))="","",INDEX(links!$B$2:$B$501,MATCH($C498,links!$D$2:$D$501,0))),""))</f>
        <v/>
      </c>
      <c r="I498" s="30" t="str">
        <f aca="false">IF($C498="","",IFERROR(IF(INDEX(links!$C$2:$C$501,MATCH($C498,links!$D$2:$D$501,0))="","",INDEX(links!$C$2:$C$501,MATCH($C498,links!$D$2:$D$501,0))),""))</f>
        <v/>
      </c>
      <c r="J498" s="30" t="str">
        <f aca="false">IF($C498="","",IF($G498="","slug not in links; ","")&amp;IF($D498="","reading type missing; ","")&amp;IF(COUNTIFS(scans!$C$2:$C$1601,$C498,scans!$D$2:$D$1601,$D498)&gt;1,"two readings of this type: keep one; ",""))</f>
        <v/>
      </c>
    </row>
    <row r="499" customFormat="false" ht="15" hidden="false" customHeight="false" outlineLevel="0" collapsed="false">
      <c r="A499" s="11"/>
      <c r="B499" s="38"/>
      <c r="D499" s="10"/>
      <c r="G499" s="30" t="str">
        <f aca="false">IF($C499="","",IFERROR(IF(INDEX(links!$A$2:$A$501,MATCH($C499,links!$D$2:$D$501,0))="","",INDEX(links!$A$2:$A$501,MATCH($C499,links!$D$2:$D$501,0))),""))</f>
        <v/>
      </c>
      <c r="H499" s="30" t="str">
        <f aca="false">IF($C499="","",IFERROR(IF(INDEX(links!$B$2:$B$501,MATCH($C499,links!$D$2:$D$501,0))="","",INDEX(links!$B$2:$B$501,MATCH($C499,links!$D$2:$D$501,0))),""))</f>
        <v/>
      </c>
      <c r="I499" s="30" t="str">
        <f aca="false">IF($C499="","",IFERROR(IF(INDEX(links!$C$2:$C$501,MATCH($C499,links!$D$2:$D$501,0))="","",INDEX(links!$C$2:$C$501,MATCH($C499,links!$D$2:$D$501,0))),""))</f>
        <v/>
      </c>
      <c r="J499" s="30" t="str">
        <f aca="false">IF($C499="","",IF($G499="","slug not in links; ","")&amp;IF($D499="","reading type missing; ","")&amp;IF(COUNTIFS(scans!$C$2:$C$1601,$C499,scans!$D$2:$D$1601,$D499)&gt;1,"two readings of this type: keep one; ",""))</f>
        <v/>
      </c>
    </row>
    <row r="500" customFormat="false" ht="15" hidden="false" customHeight="false" outlineLevel="0" collapsed="false">
      <c r="A500" s="11"/>
      <c r="B500" s="38"/>
      <c r="D500" s="10"/>
      <c r="G500" s="30" t="str">
        <f aca="false">IF($C500="","",IFERROR(IF(INDEX(links!$A$2:$A$501,MATCH($C500,links!$D$2:$D$501,0))="","",INDEX(links!$A$2:$A$501,MATCH($C500,links!$D$2:$D$501,0))),""))</f>
        <v/>
      </c>
      <c r="H500" s="30" t="str">
        <f aca="false">IF($C500="","",IFERROR(IF(INDEX(links!$B$2:$B$501,MATCH($C500,links!$D$2:$D$501,0))="","",INDEX(links!$B$2:$B$501,MATCH($C500,links!$D$2:$D$501,0))),""))</f>
        <v/>
      </c>
      <c r="I500" s="30" t="str">
        <f aca="false">IF($C500="","",IFERROR(IF(INDEX(links!$C$2:$C$501,MATCH($C500,links!$D$2:$D$501,0))="","",INDEX(links!$C$2:$C$501,MATCH($C500,links!$D$2:$D$501,0))),""))</f>
        <v/>
      </c>
      <c r="J500" s="30" t="str">
        <f aca="false">IF($C500="","",IF($G500="","slug not in links; ","")&amp;IF($D500="","reading type missing; ","")&amp;IF(COUNTIFS(scans!$C$2:$C$1601,$C500,scans!$D$2:$D$1601,$D500)&gt;1,"two readings of this type: keep one; ",""))</f>
        <v/>
      </c>
    </row>
    <row r="501" customFormat="false" ht="15" hidden="false" customHeight="false" outlineLevel="0" collapsed="false">
      <c r="A501" s="11"/>
      <c r="B501" s="38"/>
      <c r="D501" s="10"/>
      <c r="G501" s="30" t="str">
        <f aca="false">IF($C501="","",IFERROR(IF(INDEX(links!$A$2:$A$501,MATCH($C501,links!$D$2:$D$501,0))="","",INDEX(links!$A$2:$A$501,MATCH($C501,links!$D$2:$D$501,0))),""))</f>
        <v/>
      </c>
      <c r="H501" s="30" t="str">
        <f aca="false">IF($C501="","",IFERROR(IF(INDEX(links!$B$2:$B$501,MATCH($C501,links!$D$2:$D$501,0))="","",INDEX(links!$B$2:$B$501,MATCH($C501,links!$D$2:$D$501,0))),""))</f>
        <v/>
      </c>
      <c r="I501" s="30" t="str">
        <f aca="false">IF($C501="","",IFERROR(IF(INDEX(links!$C$2:$C$501,MATCH($C501,links!$D$2:$D$501,0))="","",INDEX(links!$C$2:$C$501,MATCH($C501,links!$D$2:$D$501,0))),""))</f>
        <v/>
      </c>
      <c r="J501" s="30" t="str">
        <f aca="false">IF($C501="","",IF($G501="","slug not in links; ","")&amp;IF($D501="","reading type missing; ","")&amp;IF(COUNTIFS(scans!$C$2:$C$1601,$C501,scans!$D$2:$D$1601,$D501)&gt;1,"two readings of this type: keep one; ",""))</f>
        <v/>
      </c>
    </row>
    <row r="502" customFormat="false" ht="15" hidden="false" customHeight="false" outlineLevel="0" collapsed="false">
      <c r="A502" s="11"/>
      <c r="B502" s="38"/>
      <c r="D502" s="10"/>
      <c r="G502" s="30" t="str">
        <f aca="false">IF($C502="","",IFERROR(IF(INDEX(links!$A$2:$A$501,MATCH($C502,links!$D$2:$D$501,0))="","",INDEX(links!$A$2:$A$501,MATCH($C502,links!$D$2:$D$501,0))),""))</f>
        <v/>
      </c>
      <c r="H502" s="30" t="str">
        <f aca="false">IF($C502="","",IFERROR(IF(INDEX(links!$B$2:$B$501,MATCH($C502,links!$D$2:$D$501,0))="","",INDEX(links!$B$2:$B$501,MATCH($C502,links!$D$2:$D$501,0))),""))</f>
        <v/>
      </c>
      <c r="I502" s="30" t="str">
        <f aca="false">IF($C502="","",IFERROR(IF(INDEX(links!$C$2:$C$501,MATCH($C502,links!$D$2:$D$501,0))="","",INDEX(links!$C$2:$C$501,MATCH($C502,links!$D$2:$D$501,0))),""))</f>
        <v/>
      </c>
      <c r="J502" s="30" t="str">
        <f aca="false">IF($C502="","",IF($G502="","slug not in links; ","")&amp;IF($D502="","reading type missing; ","")&amp;IF(COUNTIFS(scans!$C$2:$C$1601,$C502,scans!$D$2:$D$1601,$D502)&gt;1,"two readings of this type: keep one; ",""))</f>
        <v/>
      </c>
    </row>
    <row r="503" customFormat="false" ht="15" hidden="false" customHeight="false" outlineLevel="0" collapsed="false">
      <c r="A503" s="11"/>
      <c r="B503" s="38"/>
      <c r="D503" s="10"/>
      <c r="G503" s="30" t="str">
        <f aca="false">IF($C503="","",IFERROR(IF(INDEX(links!$A$2:$A$501,MATCH($C503,links!$D$2:$D$501,0))="","",INDEX(links!$A$2:$A$501,MATCH($C503,links!$D$2:$D$501,0))),""))</f>
        <v/>
      </c>
      <c r="H503" s="30" t="str">
        <f aca="false">IF($C503="","",IFERROR(IF(INDEX(links!$B$2:$B$501,MATCH($C503,links!$D$2:$D$501,0))="","",INDEX(links!$B$2:$B$501,MATCH($C503,links!$D$2:$D$501,0))),""))</f>
        <v/>
      </c>
      <c r="I503" s="30" t="str">
        <f aca="false">IF($C503="","",IFERROR(IF(INDEX(links!$C$2:$C$501,MATCH($C503,links!$D$2:$D$501,0))="","",INDEX(links!$C$2:$C$501,MATCH($C503,links!$D$2:$D$501,0))),""))</f>
        <v/>
      </c>
      <c r="J503" s="30" t="str">
        <f aca="false">IF($C503="","",IF($G503="","slug not in links; ","")&amp;IF($D503="","reading type missing; ","")&amp;IF(COUNTIFS(scans!$C$2:$C$1601,$C503,scans!$D$2:$D$1601,$D503)&gt;1,"two readings of this type: keep one; ",""))</f>
        <v/>
      </c>
    </row>
    <row r="504" customFormat="false" ht="15" hidden="false" customHeight="false" outlineLevel="0" collapsed="false">
      <c r="A504" s="11"/>
      <c r="B504" s="38"/>
      <c r="D504" s="10"/>
      <c r="G504" s="30" t="str">
        <f aca="false">IF($C504="","",IFERROR(IF(INDEX(links!$A$2:$A$501,MATCH($C504,links!$D$2:$D$501,0))="","",INDEX(links!$A$2:$A$501,MATCH($C504,links!$D$2:$D$501,0))),""))</f>
        <v/>
      </c>
      <c r="H504" s="30" t="str">
        <f aca="false">IF($C504="","",IFERROR(IF(INDEX(links!$B$2:$B$501,MATCH($C504,links!$D$2:$D$501,0))="","",INDEX(links!$B$2:$B$501,MATCH($C504,links!$D$2:$D$501,0))),""))</f>
        <v/>
      </c>
      <c r="I504" s="30" t="str">
        <f aca="false">IF($C504="","",IFERROR(IF(INDEX(links!$C$2:$C$501,MATCH($C504,links!$D$2:$D$501,0))="","",INDEX(links!$C$2:$C$501,MATCH($C504,links!$D$2:$D$501,0))),""))</f>
        <v/>
      </c>
      <c r="J504" s="30" t="str">
        <f aca="false">IF($C504="","",IF($G504="","slug not in links; ","")&amp;IF($D504="","reading type missing; ","")&amp;IF(COUNTIFS(scans!$C$2:$C$1601,$C504,scans!$D$2:$D$1601,$D504)&gt;1,"two readings of this type: keep one; ",""))</f>
        <v/>
      </c>
    </row>
    <row r="505" customFormat="false" ht="15" hidden="false" customHeight="false" outlineLevel="0" collapsed="false">
      <c r="A505" s="11"/>
      <c r="B505" s="38"/>
      <c r="D505" s="10"/>
      <c r="G505" s="30" t="str">
        <f aca="false">IF($C505="","",IFERROR(IF(INDEX(links!$A$2:$A$501,MATCH($C505,links!$D$2:$D$501,0))="","",INDEX(links!$A$2:$A$501,MATCH($C505,links!$D$2:$D$501,0))),""))</f>
        <v/>
      </c>
      <c r="H505" s="30" t="str">
        <f aca="false">IF($C505="","",IFERROR(IF(INDEX(links!$B$2:$B$501,MATCH($C505,links!$D$2:$D$501,0))="","",INDEX(links!$B$2:$B$501,MATCH($C505,links!$D$2:$D$501,0))),""))</f>
        <v/>
      </c>
      <c r="I505" s="30" t="str">
        <f aca="false">IF($C505="","",IFERROR(IF(INDEX(links!$C$2:$C$501,MATCH($C505,links!$D$2:$D$501,0))="","",INDEX(links!$C$2:$C$501,MATCH($C505,links!$D$2:$D$501,0))),""))</f>
        <v/>
      </c>
      <c r="J505" s="30" t="str">
        <f aca="false">IF($C505="","",IF($G505="","slug not in links; ","")&amp;IF($D505="","reading type missing; ","")&amp;IF(COUNTIFS(scans!$C$2:$C$1601,$C505,scans!$D$2:$D$1601,$D505)&gt;1,"two readings of this type: keep one; ",""))</f>
        <v/>
      </c>
    </row>
    <row r="506" customFormat="false" ht="15" hidden="false" customHeight="false" outlineLevel="0" collapsed="false">
      <c r="A506" s="11"/>
      <c r="B506" s="38"/>
      <c r="D506" s="10"/>
      <c r="G506" s="30" t="str">
        <f aca="false">IF($C506="","",IFERROR(IF(INDEX(links!$A$2:$A$501,MATCH($C506,links!$D$2:$D$501,0))="","",INDEX(links!$A$2:$A$501,MATCH($C506,links!$D$2:$D$501,0))),""))</f>
        <v/>
      </c>
      <c r="H506" s="30" t="str">
        <f aca="false">IF($C506="","",IFERROR(IF(INDEX(links!$B$2:$B$501,MATCH($C506,links!$D$2:$D$501,0))="","",INDEX(links!$B$2:$B$501,MATCH($C506,links!$D$2:$D$501,0))),""))</f>
        <v/>
      </c>
      <c r="I506" s="30" t="str">
        <f aca="false">IF($C506="","",IFERROR(IF(INDEX(links!$C$2:$C$501,MATCH($C506,links!$D$2:$D$501,0))="","",INDEX(links!$C$2:$C$501,MATCH($C506,links!$D$2:$D$501,0))),""))</f>
        <v/>
      </c>
      <c r="J506" s="30" t="str">
        <f aca="false">IF($C506="","",IF($G506="","slug not in links; ","")&amp;IF($D506="","reading type missing; ","")&amp;IF(COUNTIFS(scans!$C$2:$C$1601,$C506,scans!$D$2:$D$1601,$D506)&gt;1,"two readings of this type: keep one; ",""))</f>
        <v/>
      </c>
    </row>
    <row r="507" customFormat="false" ht="15" hidden="false" customHeight="false" outlineLevel="0" collapsed="false">
      <c r="A507" s="11"/>
      <c r="B507" s="38"/>
      <c r="D507" s="10"/>
      <c r="G507" s="30" t="str">
        <f aca="false">IF($C507="","",IFERROR(IF(INDEX(links!$A$2:$A$501,MATCH($C507,links!$D$2:$D$501,0))="","",INDEX(links!$A$2:$A$501,MATCH($C507,links!$D$2:$D$501,0))),""))</f>
        <v/>
      </c>
      <c r="H507" s="30" t="str">
        <f aca="false">IF($C507="","",IFERROR(IF(INDEX(links!$B$2:$B$501,MATCH($C507,links!$D$2:$D$501,0))="","",INDEX(links!$B$2:$B$501,MATCH($C507,links!$D$2:$D$501,0))),""))</f>
        <v/>
      </c>
      <c r="I507" s="30" t="str">
        <f aca="false">IF($C507="","",IFERROR(IF(INDEX(links!$C$2:$C$501,MATCH($C507,links!$D$2:$D$501,0))="","",INDEX(links!$C$2:$C$501,MATCH($C507,links!$D$2:$D$501,0))),""))</f>
        <v/>
      </c>
      <c r="J507" s="30" t="str">
        <f aca="false">IF($C507="","",IF($G507="","slug not in links; ","")&amp;IF($D507="","reading type missing; ","")&amp;IF(COUNTIFS(scans!$C$2:$C$1601,$C507,scans!$D$2:$D$1601,$D507)&gt;1,"two readings of this type: keep one; ",""))</f>
        <v/>
      </c>
    </row>
    <row r="508" customFormat="false" ht="15" hidden="false" customHeight="false" outlineLevel="0" collapsed="false">
      <c r="A508" s="11"/>
      <c r="B508" s="38"/>
      <c r="D508" s="10"/>
      <c r="G508" s="30" t="str">
        <f aca="false">IF($C508="","",IFERROR(IF(INDEX(links!$A$2:$A$501,MATCH($C508,links!$D$2:$D$501,0))="","",INDEX(links!$A$2:$A$501,MATCH($C508,links!$D$2:$D$501,0))),""))</f>
        <v/>
      </c>
      <c r="H508" s="30" t="str">
        <f aca="false">IF($C508="","",IFERROR(IF(INDEX(links!$B$2:$B$501,MATCH($C508,links!$D$2:$D$501,0))="","",INDEX(links!$B$2:$B$501,MATCH($C508,links!$D$2:$D$501,0))),""))</f>
        <v/>
      </c>
      <c r="I508" s="30" t="str">
        <f aca="false">IF($C508="","",IFERROR(IF(INDEX(links!$C$2:$C$501,MATCH($C508,links!$D$2:$D$501,0))="","",INDEX(links!$C$2:$C$501,MATCH($C508,links!$D$2:$D$501,0))),""))</f>
        <v/>
      </c>
      <c r="J508" s="30" t="str">
        <f aca="false">IF($C508="","",IF($G508="","slug not in links; ","")&amp;IF($D508="","reading type missing; ","")&amp;IF(COUNTIFS(scans!$C$2:$C$1601,$C508,scans!$D$2:$D$1601,$D508)&gt;1,"two readings of this type: keep one; ",""))</f>
        <v/>
      </c>
    </row>
    <row r="509" customFormat="false" ht="15" hidden="false" customHeight="false" outlineLevel="0" collapsed="false">
      <c r="A509" s="11"/>
      <c r="B509" s="38"/>
      <c r="D509" s="10"/>
      <c r="G509" s="30" t="str">
        <f aca="false">IF($C509="","",IFERROR(IF(INDEX(links!$A$2:$A$501,MATCH($C509,links!$D$2:$D$501,0))="","",INDEX(links!$A$2:$A$501,MATCH($C509,links!$D$2:$D$501,0))),""))</f>
        <v/>
      </c>
      <c r="H509" s="30" t="str">
        <f aca="false">IF($C509="","",IFERROR(IF(INDEX(links!$B$2:$B$501,MATCH($C509,links!$D$2:$D$501,0))="","",INDEX(links!$B$2:$B$501,MATCH($C509,links!$D$2:$D$501,0))),""))</f>
        <v/>
      </c>
      <c r="I509" s="30" t="str">
        <f aca="false">IF($C509="","",IFERROR(IF(INDEX(links!$C$2:$C$501,MATCH($C509,links!$D$2:$D$501,0))="","",INDEX(links!$C$2:$C$501,MATCH($C509,links!$D$2:$D$501,0))),""))</f>
        <v/>
      </c>
      <c r="J509" s="30" t="str">
        <f aca="false">IF($C509="","",IF($G509="","slug not in links; ","")&amp;IF($D509="","reading type missing; ","")&amp;IF(COUNTIFS(scans!$C$2:$C$1601,$C509,scans!$D$2:$D$1601,$D509)&gt;1,"two readings of this type: keep one; ",""))</f>
        <v/>
      </c>
    </row>
    <row r="510" customFormat="false" ht="15" hidden="false" customHeight="false" outlineLevel="0" collapsed="false">
      <c r="A510" s="11"/>
      <c r="B510" s="38"/>
      <c r="D510" s="10"/>
      <c r="G510" s="30" t="str">
        <f aca="false">IF($C510="","",IFERROR(IF(INDEX(links!$A$2:$A$501,MATCH($C510,links!$D$2:$D$501,0))="","",INDEX(links!$A$2:$A$501,MATCH($C510,links!$D$2:$D$501,0))),""))</f>
        <v/>
      </c>
      <c r="H510" s="30" t="str">
        <f aca="false">IF($C510="","",IFERROR(IF(INDEX(links!$B$2:$B$501,MATCH($C510,links!$D$2:$D$501,0))="","",INDEX(links!$B$2:$B$501,MATCH($C510,links!$D$2:$D$501,0))),""))</f>
        <v/>
      </c>
      <c r="I510" s="30" t="str">
        <f aca="false">IF($C510="","",IFERROR(IF(INDEX(links!$C$2:$C$501,MATCH($C510,links!$D$2:$D$501,0))="","",INDEX(links!$C$2:$C$501,MATCH($C510,links!$D$2:$D$501,0))),""))</f>
        <v/>
      </c>
      <c r="J510" s="30" t="str">
        <f aca="false">IF($C510="","",IF($G510="","slug not in links; ","")&amp;IF($D510="","reading type missing; ","")&amp;IF(COUNTIFS(scans!$C$2:$C$1601,$C510,scans!$D$2:$D$1601,$D510)&gt;1,"two readings of this type: keep one; ",""))</f>
        <v/>
      </c>
    </row>
    <row r="511" customFormat="false" ht="15" hidden="false" customHeight="false" outlineLevel="0" collapsed="false">
      <c r="A511" s="11"/>
      <c r="B511" s="38"/>
      <c r="D511" s="10"/>
      <c r="G511" s="30" t="str">
        <f aca="false">IF($C511="","",IFERROR(IF(INDEX(links!$A$2:$A$501,MATCH($C511,links!$D$2:$D$501,0))="","",INDEX(links!$A$2:$A$501,MATCH($C511,links!$D$2:$D$501,0))),""))</f>
        <v/>
      </c>
      <c r="H511" s="30" t="str">
        <f aca="false">IF($C511="","",IFERROR(IF(INDEX(links!$B$2:$B$501,MATCH($C511,links!$D$2:$D$501,0))="","",INDEX(links!$B$2:$B$501,MATCH($C511,links!$D$2:$D$501,0))),""))</f>
        <v/>
      </c>
      <c r="I511" s="30" t="str">
        <f aca="false">IF($C511="","",IFERROR(IF(INDEX(links!$C$2:$C$501,MATCH($C511,links!$D$2:$D$501,0))="","",INDEX(links!$C$2:$C$501,MATCH($C511,links!$D$2:$D$501,0))),""))</f>
        <v/>
      </c>
      <c r="J511" s="30" t="str">
        <f aca="false">IF($C511="","",IF($G511="","slug not in links; ","")&amp;IF($D511="","reading type missing; ","")&amp;IF(COUNTIFS(scans!$C$2:$C$1601,$C511,scans!$D$2:$D$1601,$D511)&gt;1,"two readings of this type: keep one; ",""))</f>
        <v/>
      </c>
    </row>
    <row r="512" customFormat="false" ht="15" hidden="false" customHeight="false" outlineLevel="0" collapsed="false">
      <c r="A512" s="11"/>
      <c r="B512" s="38"/>
      <c r="D512" s="10"/>
      <c r="G512" s="30" t="str">
        <f aca="false">IF($C512="","",IFERROR(IF(INDEX(links!$A$2:$A$501,MATCH($C512,links!$D$2:$D$501,0))="","",INDEX(links!$A$2:$A$501,MATCH($C512,links!$D$2:$D$501,0))),""))</f>
        <v/>
      </c>
      <c r="H512" s="30" t="str">
        <f aca="false">IF($C512="","",IFERROR(IF(INDEX(links!$B$2:$B$501,MATCH($C512,links!$D$2:$D$501,0))="","",INDEX(links!$B$2:$B$501,MATCH($C512,links!$D$2:$D$501,0))),""))</f>
        <v/>
      </c>
      <c r="I512" s="30" t="str">
        <f aca="false">IF($C512="","",IFERROR(IF(INDEX(links!$C$2:$C$501,MATCH($C512,links!$D$2:$D$501,0))="","",INDEX(links!$C$2:$C$501,MATCH($C512,links!$D$2:$D$501,0))),""))</f>
        <v/>
      </c>
      <c r="J512" s="30" t="str">
        <f aca="false">IF($C512="","",IF($G512="","slug not in links; ","")&amp;IF($D512="","reading type missing; ","")&amp;IF(COUNTIFS(scans!$C$2:$C$1601,$C512,scans!$D$2:$D$1601,$D512)&gt;1,"two readings of this type: keep one; ",""))</f>
        <v/>
      </c>
    </row>
    <row r="513" customFormat="false" ht="15" hidden="false" customHeight="false" outlineLevel="0" collapsed="false">
      <c r="A513" s="11"/>
      <c r="B513" s="38"/>
      <c r="D513" s="10"/>
      <c r="G513" s="30" t="str">
        <f aca="false">IF($C513="","",IFERROR(IF(INDEX(links!$A$2:$A$501,MATCH($C513,links!$D$2:$D$501,0))="","",INDEX(links!$A$2:$A$501,MATCH($C513,links!$D$2:$D$501,0))),""))</f>
        <v/>
      </c>
      <c r="H513" s="30" t="str">
        <f aca="false">IF($C513="","",IFERROR(IF(INDEX(links!$B$2:$B$501,MATCH($C513,links!$D$2:$D$501,0))="","",INDEX(links!$B$2:$B$501,MATCH($C513,links!$D$2:$D$501,0))),""))</f>
        <v/>
      </c>
      <c r="I513" s="30" t="str">
        <f aca="false">IF($C513="","",IFERROR(IF(INDEX(links!$C$2:$C$501,MATCH($C513,links!$D$2:$D$501,0))="","",INDEX(links!$C$2:$C$501,MATCH($C513,links!$D$2:$D$501,0))),""))</f>
        <v/>
      </c>
      <c r="J513" s="30" t="str">
        <f aca="false">IF($C513="","",IF($G513="","slug not in links; ","")&amp;IF($D513="","reading type missing; ","")&amp;IF(COUNTIFS(scans!$C$2:$C$1601,$C513,scans!$D$2:$D$1601,$D513)&gt;1,"two readings of this type: keep one; ",""))</f>
        <v/>
      </c>
    </row>
    <row r="514" customFormat="false" ht="15" hidden="false" customHeight="false" outlineLevel="0" collapsed="false">
      <c r="A514" s="11"/>
      <c r="B514" s="38"/>
      <c r="D514" s="10"/>
      <c r="G514" s="30" t="str">
        <f aca="false">IF($C514="","",IFERROR(IF(INDEX(links!$A$2:$A$501,MATCH($C514,links!$D$2:$D$501,0))="","",INDEX(links!$A$2:$A$501,MATCH($C514,links!$D$2:$D$501,0))),""))</f>
        <v/>
      </c>
      <c r="H514" s="30" t="str">
        <f aca="false">IF($C514="","",IFERROR(IF(INDEX(links!$B$2:$B$501,MATCH($C514,links!$D$2:$D$501,0))="","",INDEX(links!$B$2:$B$501,MATCH($C514,links!$D$2:$D$501,0))),""))</f>
        <v/>
      </c>
      <c r="I514" s="30" t="str">
        <f aca="false">IF($C514="","",IFERROR(IF(INDEX(links!$C$2:$C$501,MATCH($C514,links!$D$2:$D$501,0))="","",INDEX(links!$C$2:$C$501,MATCH($C514,links!$D$2:$D$501,0))),""))</f>
        <v/>
      </c>
      <c r="J514" s="30" t="str">
        <f aca="false">IF($C514="","",IF($G514="","slug not in links; ","")&amp;IF($D514="","reading type missing; ","")&amp;IF(COUNTIFS(scans!$C$2:$C$1601,$C514,scans!$D$2:$D$1601,$D514)&gt;1,"two readings of this type: keep one; ",""))</f>
        <v/>
      </c>
    </row>
    <row r="515" customFormat="false" ht="15" hidden="false" customHeight="false" outlineLevel="0" collapsed="false">
      <c r="A515" s="11"/>
      <c r="B515" s="38"/>
      <c r="D515" s="10"/>
      <c r="G515" s="30" t="str">
        <f aca="false">IF($C515="","",IFERROR(IF(INDEX(links!$A$2:$A$501,MATCH($C515,links!$D$2:$D$501,0))="","",INDEX(links!$A$2:$A$501,MATCH($C515,links!$D$2:$D$501,0))),""))</f>
        <v/>
      </c>
      <c r="H515" s="30" t="str">
        <f aca="false">IF($C515="","",IFERROR(IF(INDEX(links!$B$2:$B$501,MATCH($C515,links!$D$2:$D$501,0))="","",INDEX(links!$B$2:$B$501,MATCH($C515,links!$D$2:$D$501,0))),""))</f>
        <v/>
      </c>
      <c r="I515" s="30" t="str">
        <f aca="false">IF($C515="","",IFERROR(IF(INDEX(links!$C$2:$C$501,MATCH($C515,links!$D$2:$D$501,0))="","",INDEX(links!$C$2:$C$501,MATCH($C515,links!$D$2:$D$501,0))),""))</f>
        <v/>
      </c>
      <c r="J515" s="30" t="str">
        <f aca="false">IF($C515="","",IF($G515="","slug not in links; ","")&amp;IF($D515="","reading type missing; ","")&amp;IF(COUNTIFS(scans!$C$2:$C$1601,$C515,scans!$D$2:$D$1601,$D515)&gt;1,"two readings of this type: keep one; ",""))</f>
        <v/>
      </c>
    </row>
    <row r="516" customFormat="false" ht="15" hidden="false" customHeight="false" outlineLevel="0" collapsed="false">
      <c r="A516" s="11"/>
      <c r="B516" s="38"/>
      <c r="D516" s="10"/>
      <c r="G516" s="30" t="str">
        <f aca="false">IF($C516="","",IFERROR(IF(INDEX(links!$A$2:$A$501,MATCH($C516,links!$D$2:$D$501,0))="","",INDEX(links!$A$2:$A$501,MATCH($C516,links!$D$2:$D$501,0))),""))</f>
        <v/>
      </c>
      <c r="H516" s="30" t="str">
        <f aca="false">IF($C516="","",IFERROR(IF(INDEX(links!$B$2:$B$501,MATCH($C516,links!$D$2:$D$501,0))="","",INDEX(links!$B$2:$B$501,MATCH($C516,links!$D$2:$D$501,0))),""))</f>
        <v/>
      </c>
      <c r="I516" s="30" t="str">
        <f aca="false">IF($C516="","",IFERROR(IF(INDEX(links!$C$2:$C$501,MATCH($C516,links!$D$2:$D$501,0))="","",INDEX(links!$C$2:$C$501,MATCH($C516,links!$D$2:$D$501,0))),""))</f>
        <v/>
      </c>
      <c r="J516" s="30" t="str">
        <f aca="false">IF($C516="","",IF($G516="","slug not in links; ","")&amp;IF($D516="","reading type missing; ","")&amp;IF(COUNTIFS(scans!$C$2:$C$1601,$C516,scans!$D$2:$D$1601,$D516)&gt;1,"two readings of this type: keep one; ",""))</f>
        <v/>
      </c>
    </row>
    <row r="517" customFormat="false" ht="15" hidden="false" customHeight="false" outlineLevel="0" collapsed="false">
      <c r="A517" s="11"/>
      <c r="B517" s="38"/>
      <c r="D517" s="10"/>
      <c r="G517" s="30" t="str">
        <f aca="false">IF($C517="","",IFERROR(IF(INDEX(links!$A$2:$A$501,MATCH($C517,links!$D$2:$D$501,0))="","",INDEX(links!$A$2:$A$501,MATCH($C517,links!$D$2:$D$501,0))),""))</f>
        <v/>
      </c>
      <c r="H517" s="30" t="str">
        <f aca="false">IF($C517="","",IFERROR(IF(INDEX(links!$B$2:$B$501,MATCH($C517,links!$D$2:$D$501,0))="","",INDEX(links!$B$2:$B$501,MATCH($C517,links!$D$2:$D$501,0))),""))</f>
        <v/>
      </c>
      <c r="I517" s="30" t="str">
        <f aca="false">IF($C517="","",IFERROR(IF(INDEX(links!$C$2:$C$501,MATCH($C517,links!$D$2:$D$501,0))="","",INDEX(links!$C$2:$C$501,MATCH($C517,links!$D$2:$D$501,0))),""))</f>
        <v/>
      </c>
      <c r="J517" s="30" t="str">
        <f aca="false">IF($C517="","",IF($G517="","slug not in links; ","")&amp;IF($D517="","reading type missing; ","")&amp;IF(COUNTIFS(scans!$C$2:$C$1601,$C517,scans!$D$2:$D$1601,$D517)&gt;1,"two readings of this type: keep one; ",""))</f>
        <v/>
      </c>
    </row>
    <row r="518" customFormat="false" ht="15" hidden="false" customHeight="false" outlineLevel="0" collapsed="false">
      <c r="A518" s="11"/>
      <c r="B518" s="38"/>
      <c r="D518" s="10"/>
      <c r="G518" s="30" t="str">
        <f aca="false">IF($C518="","",IFERROR(IF(INDEX(links!$A$2:$A$501,MATCH($C518,links!$D$2:$D$501,0))="","",INDEX(links!$A$2:$A$501,MATCH($C518,links!$D$2:$D$501,0))),""))</f>
        <v/>
      </c>
      <c r="H518" s="30" t="str">
        <f aca="false">IF($C518="","",IFERROR(IF(INDEX(links!$B$2:$B$501,MATCH($C518,links!$D$2:$D$501,0))="","",INDEX(links!$B$2:$B$501,MATCH($C518,links!$D$2:$D$501,0))),""))</f>
        <v/>
      </c>
      <c r="I518" s="30" t="str">
        <f aca="false">IF($C518="","",IFERROR(IF(INDEX(links!$C$2:$C$501,MATCH($C518,links!$D$2:$D$501,0))="","",INDEX(links!$C$2:$C$501,MATCH($C518,links!$D$2:$D$501,0))),""))</f>
        <v/>
      </c>
      <c r="J518" s="30" t="str">
        <f aca="false">IF($C518="","",IF($G518="","slug not in links; ","")&amp;IF($D518="","reading type missing; ","")&amp;IF(COUNTIFS(scans!$C$2:$C$1601,$C518,scans!$D$2:$D$1601,$D518)&gt;1,"two readings of this type: keep one; ",""))</f>
        <v/>
      </c>
    </row>
    <row r="519" customFormat="false" ht="15" hidden="false" customHeight="false" outlineLevel="0" collapsed="false">
      <c r="A519" s="11"/>
      <c r="B519" s="38"/>
      <c r="D519" s="10"/>
      <c r="G519" s="30" t="str">
        <f aca="false">IF($C519="","",IFERROR(IF(INDEX(links!$A$2:$A$501,MATCH($C519,links!$D$2:$D$501,0))="","",INDEX(links!$A$2:$A$501,MATCH($C519,links!$D$2:$D$501,0))),""))</f>
        <v/>
      </c>
      <c r="H519" s="30" t="str">
        <f aca="false">IF($C519="","",IFERROR(IF(INDEX(links!$B$2:$B$501,MATCH($C519,links!$D$2:$D$501,0))="","",INDEX(links!$B$2:$B$501,MATCH($C519,links!$D$2:$D$501,0))),""))</f>
        <v/>
      </c>
      <c r="I519" s="30" t="str">
        <f aca="false">IF($C519="","",IFERROR(IF(INDEX(links!$C$2:$C$501,MATCH($C519,links!$D$2:$D$501,0))="","",INDEX(links!$C$2:$C$501,MATCH($C519,links!$D$2:$D$501,0))),""))</f>
        <v/>
      </c>
      <c r="J519" s="30" t="str">
        <f aca="false">IF($C519="","",IF($G519="","slug not in links; ","")&amp;IF($D519="","reading type missing; ","")&amp;IF(COUNTIFS(scans!$C$2:$C$1601,$C519,scans!$D$2:$D$1601,$D519)&gt;1,"two readings of this type: keep one; ",""))</f>
        <v/>
      </c>
    </row>
    <row r="520" customFormat="false" ht="15" hidden="false" customHeight="false" outlineLevel="0" collapsed="false">
      <c r="A520" s="11"/>
      <c r="B520" s="38"/>
      <c r="D520" s="10"/>
      <c r="G520" s="30" t="str">
        <f aca="false">IF($C520="","",IFERROR(IF(INDEX(links!$A$2:$A$501,MATCH($C520,links!$D$2:$D$501,0))="","",INDEX(links!$A$2:$A$501,MATCH($C520,links!$D$2:$D$501,0))),""))</f>
        <v/>
      </c>
      <c r="H520" s="30" t="str">
        <f aca="false">IF($C520="","",IFERROR(IF(INDEX(links!$B$2:$B$501,MATCH($C520,links!$D$2:$D$501,0))="","",INDEX(links!$B$2:$B$501,MATCH($C520,links!$D$2:$D$501,0))),""))</f>
        <v/>
      </c>
      <c r="I520" s="30" t="str">
        <f aca="false">IF($C520="","",IFERROR(IF(INDEX(links!$C$2:$C$501,MATCH($C520,links!$D$2:$D$501,0))="","",INDEX(links!$C$2:$C$501,MATCH($C520,links!$D$2:$D$501,0))),""))</f>
        <v/>
      </c>
      <c r="J520" s="30" t="str">
        <f aca="false">IF($C520="","",IF($G520="","slug not in links; ","")&amp;IF($D520="","reading type missing; ","")&amp;IF(COUNTIFS(scans!$C$2:$C$1601,$C520,scans!$D$2:$D$1601,$D520)&gt;1,"two readings of this type: keep one; ",""))</f>
        <v/>
      </c>
    </row>
    <row r="521" customFormat="false" ht="15" hidden="false" customHeight="false" outlineLevel="0" collapsed="false">
      <c r="A521" s="11"/>
      <c r="B521" s="38"/>
      <c r="D521" s="10"/>
      <c r="G521" s="30" t="str">
        <f aca="false">IF($C521="","",IFERROR(IF(INDEX(links!$A$2:$A$501,MATCH($C521,links!$D$2:$D$501,0))="","",INDEX(links!$A$2:$A$501,MATCH($C521,links!$D$2:$D$501,0))),""))</f>
        <v/>
      </c>
      <c r="H521" s="30" t="str">
        <f aca="false">IF($C521="","",IFERROR(IF(INDEX(links!$B$2:$B$501,MATCH($C521,links!$D$2:$D$501,0))="","",INDEX(links!$B$2:$B$501,MATCH($C521,links!$D$2:$D$501,0))),""))</f>
        <v/>
      </c>
      <c r="I521" s="30" t="str">
        <f aca="false">IF($C521="","",IFERROR(IF(INDEX(links!$C$2:$C$501,MATCH($C521,links!$D$2:$D$501,0))="","",INDEX(links!$C$2:$C$501,MATCH($C521,links!$D$2:$D$501,0))),""))</f>
        <v/>
      </c>
      <c r="J521" s="30" t="str">
        <f aca="false">IF($C521="","",IF($G521="","slug not in links; ","")&amp;IF($D521="","reading type missing; ","")&amp;IF(COUNTIFS(scans!$C$2:$C$1601,$C521,scans!$D$2:$D$1601,$D521)&gt;1,"two readings of this type: keep one; ",""))</f>
        <v/>
      </c>
    </row>
    <row r="522" customFormat="false" ht="15" hidden="false" customHeight="false" outlineLevel="0" collapsed="false">
      <c r="A522" s="11"/>
      <c r="B522" s="38"/>
      <c r="D522" s="10"/>
      <c r="G522" s="30" t="str">
        <f aca="false">IF($C522="","",IFERROR(IF(INDEX(links!$A$2:$A$501,MATCH($C522,links!$D$2:$D$501,0))="","",INDEX(links!$A$2:$A$501,MATCH($C522,links!$D$2:$D$501,0))),""))</f>
        <v/>
      </c>
      <c r="H522" s="30" t="str">
        <f aca="false">IF($C522="","",IFERROR(IF(INDEX(links!$B$2:$B$501,MATCH($C522,links!$D$2:$D$501,0))="","",INDEX(links!$B$2:$B$501,MATCH($C522,links!$D$2:$D$501,0))),""))</f>
        <v/>
      </c>
      <c r="I522" s="30" t="str">
        <f aca="false">IF($C522="","",IFERROR(IF(INDEX(links!$C$2:$C$501,MATCH($C522,links!$D$2:$D$501,0))="","",INDEX(links!$C$2:$C$501,MATCH($C522,links!$D$2:$D$501,0))),""))</f>
        <v/>
      </c>
      <c r="J522" s="30" t="str">
        <f aca="false">IF($C522="","",IF($G522="","slug not in links; ","")&amp;IF($D522="","reading type missing; ","")&amp;IF(COUNTIFS(scans!$C$2:$C$1601,$C522,scans!$D$2:$D$1601,$D522)&gt;1,"two readings of this type: keep one; ",""))</f>
        <v/>
      </c>
    </row>
    <row r="523" customFormat="false" ht="15" hidden="false" customHeight="false" outlineLevel="0" collapsed="false">
      <c r="A523" s="11"/>
      <c r="B523" s="38"/>
      <c r="D523" s="10"/>
      <c r="G523" s="30" t="str">
        <f aca="false">IF($C523="","",IFERROR(IF(INDEX(links!$A$2:$A$501,MATCH($C523,links!$D$2:$D$501,0))="","",INDEX(links!$A$2:$A$501,MATCH($C523,links!$D$2:$D$501,0))),""))</f>
        <v/>
      </c>
      <c r="H523" s="30" t="str">
        <f aca="false">IF($C523="","",IFERROR(IF(INDEX(links!$B$2:$B$501,MATCH($C523,links!$D$2:$D$501,0))="","",INDEX(links!$B$2:$B$501,MATCH($C523,links!$D$2:$D$501,0))),""))</f>
        <v/>
      </c>
      <c r="I523" s="30" t="str">
        <f aca="false">IF($C523="","",IFERROR(IF(INDEX(links!$C$2:$C$501,MATCH($C523,links!$D$2:$D$501,0))="","",INDEX(links!$C$2:$C$501,MATCH($C523,links!$D$2:$D$501,0))),""))</f>
        <v/>
      </c>
      <c r="J523" s="30" t="str">
        <f aca="false">IF($C523="","",IF($G523="","slug not in links; ","")&amp;IF($D523="","reading type missing; ","")&amp;IF(COUNTIFS(scans!$C$2:$C$1601,$C523,scans!$D$2:$D$1601,$D523)&gt;1,"two readings of this type: keep one; ",""))</f>
        <v/>
      </c>
    </row>
    <row r="524" customFormat="false" ht="15" hidden="false" customHeight="false" outlineLevel="0" collapsed="false">
      <c r="A524" s="11"/>
      <c r="B524" s="38"/>
      <c r="D524" s="10"/>
      <c r="G524" s="30" t="str">
        <f aca="false">IF($C524="","",IFERROR(IF(INDEX(links!$A$2:$A$501,MATCH($C524,links!$D$2:$D$501,0))="","",INDEX(links!$A$2:$A$501,MATCH($C524,links!$D$2:$D$501,0))),""))</f>
        <v/>
      </c>
      <c r="H524" s="30" t="str">
        <f aca="false">IF($C524="","",IFERROR(IF(INDEX(links!$B$2:$B$501,MATCH($C524,links!$D$2:$D$501,0))="","",INDEX(links!$B$2:$B$501,MATCH($C524,links!$D$2:$D$501,0))),""))</f>
        <v/>
      </c>
      <c r="I524" s="30" t="str">
        <f aca="false">IF($C524="","",IFERROR(IF(INDEX(links!$C$2:$C$501,MATCH($C524,links!$D$2:$D$501,0))="","",INDEX(links!$C$2:$C$501,MATCH($C524,links!$D$2:$D$501,0))),""))</f>
        <v/>
      </c>
      <c r="J524" s="30" t="str">
        <f aca="false">IF($C524="","",IF($G524="","slug not in links; ","")&amp;IF($D524="","reading type missing; ","")&amp;IF(COUNTIFS(scans!$C$2:$C$1601,$C524,scans!$D$2:$D$1601,$D524)&gt;1,"two readings of this type: keep one; ",""))</f>
        <v/>
      </c>
    </row>
    <row r="525" customFormat="false" ht="15" hidden="false" customHeight="false" outlineLevel="0" collapsed="false">
      <c r="A525" s="11"/>
      <c r="B525" s="38"/>
      <c r="D525" s="10"/>
      <c r="G525" s="30" t="str">
        <f aca="false">IF($C525="","",IFERROR(IF(INDEX(links!$A$2:$A$501,MATCH($C525,links!$D$2:$D$501,0))="","",INDEX(links!$A$2:$A$501,MATCH($C525,links!$D$2:$D$501,0))),""))</f>
        <v/>
      </c>
      <c r="H525" s="30" t="str">
        <f aca="false">IF($C525="","",IFERROR(IF(INDEX(links!$B$2:$B$501,MATCH($C525,links!$D$2:$D$501,0))="","",INDEX(links!$B$2:$B$501,MATCH($C525,links!$D$2:$D$501,0))),""))</f>
        <v/>
      </c>
      <c r="I525" s="30" t="str">
        <f aca="false">IF($C525="","",IFERROR(IF(INDEX(links!$C$2:$C$501,MATCH($C525,links!$D$2:$D$501,0))="","",INDEX(links!$C$2:$C$501,MATCH($C525,links!$D$2:$D$501,0))),""))</f>
        <v/>
      </c>
      <c r="J525" s="30" t="str">
        <f aca="false">IF($C525="","",IF($G525="","slug not in links; ","")&amp;IF($D525="","reading type missing; ","")&amp;IF(COUNTIFS(scans!$C$2:$C$1601,$C525,scans!$D$2:$D$1601,$D525)&gt;1,"two readings of this type: keep one; ",""))</f>
        <v/>
      </c>
    </row>
    <row r="526" customFormat="false" ht="15" hidden="false" customHeight="false" outlineLevel="0" collapsed="false">
      <c r="A526" s="11"/>
      <c r="B526" s="38"/>
      <c r="D526" s="10"/>
      <c r="G526" s="30" t="str">
        <f aca="false">IF($C526="","",IFERROR(IF(INDEX(links!$A$2:$A$501,MATCH($C526,links!$D$2:$D$501,0))="","",INDEX(links!$A$2:$A$501,MATCH($C526,links!$D$2:$D$501,0))),""))</f>
        <v/>
      </c>
      <c r="H526" s="30" t="str">
        <f aca="false">IF($C526="","",IFERROR(IF(INDEX(links!$B$2:$B$501,MATCH($C526,links!$D$2:$D$501,0))="","",INDEX(links!$B$2:$B$501,MATCH($C526,links!$D$2:$D$501,0))),""))</f>
        <v/>
      </c>
      <c r="I526" s="30" t="str">
        <f aca="false">IF($C526="","",IFERROR(IF(INDEX(links!$C$2:$C$501,MATCH($C526,links!$D$2:$D$501,0))="","",INDEX(links!$C$2:$C$501,MATCH($C526,links!$D$2:$D$501,0))),""))</f>
        <v/>
      </c>
      <c r="J526" s="30" t="str">
        <f aca="false">IF($C526="","",IF($G526="","slug not in links; ","")&amp;IF($D526="","reading type missing; ","")&amp;IF(COUNTIFS(scans!$C$2:$C$1601,$C526,scans!$D$2:$D$1601,$D526)&gt;1,"two readings of this type: keep one; ",""))</f>
        <v/>
      </c>
    </row>
    <row r="527" customFormat="false" ht="15" hidden="false" customHeight="false" outlineLevel="0" collapsed="false">
      <c r="A527" s="11"/>
      <c r="B527" s="38"/>
      <c r="D527" s="10"/>
      <c r="G527" s="30" t="str">
        <f aca="false">IF($C527="","",IFERROR(IF(INDEX(links!$A$2:$A$501,MATCH($C527,links!$D$2:$D$501,0))="","",INDEX(links!$A$2:$A$501,MATCH($C527,links!$D$2:$D$501,0))),""))</f>
        <v/>
      </c>
      <c r="H527" s="30" t="str">
        <f aca="false">IF($C527="","",IFERROR(IF(INDEX(links!$B$2:$B$501,MATCH($C527,links!$D$2:$D$501,0))="","",INDEX(links!$B$2:$B$501,MATCH($C527,links!$D$2:$D$501,0))),""))</f>
        <v/>
      </c>
      <c r="I527" s="30" t="str">
        <f aca="false">IF($C527="","",IFERROR(IF(INDEX(links!$C$2:$C$501,MATCH($C527,links!$D$2:$D$501,0))="","",INDEX(links!$C$2:$C$501,MATCH($C527,links!$D$2:$D$501,0))),""))</f>
        <v/>
      </c>
      <c r="J527" s="30" t="str">
        <f aca="false">IF($C527="","",IF($G527="","slug not in links; ","")&amp;IF($D527="","reading type missing; ","")&amp;IF(COUNTIFS(scans!$C$2:$C$1601,$C527,scans!$D$2:$D$1601,$D527)&gt;1,"two readings of this type: keep one; ",""))</f>
        <v/>
      </c>
    </row>
    <row r="528" customFormat="false" ht="15" hidden="false" customHeight="false" outlineLevel="0" collapsed="false">
      <c r="A528" s="11"/>
      <c r="B528" s="38"/>
      <c r="D528" s="10"/>
      <c r="G528" s="30" t="str">
        <f aca="false">IF($C528="","",IFERROR(IF(INDEX(links!$A$2:$A$501,MATCH($C528,links!$D$2:$D$501,0))="","",INDEX(links!$A$2:$A$501,MATCH($C528,links!$D$2:$D$501,0))),""))</f>
        <v/>
      </c>
      <c r="H528" s="30" t="str">
        <f aca="false">IF($C528="","",IFERROR(IF(INDEX(links!$B$2:$B$501,MATCH($C528,links!$D$2:$D$501,0))="","",INDEX(links!$B$2:$B$501,MATCH($C528,links!$D$2:$D$501,0))),""))</f>
        <v/>
      </c>
      <c r="I528" s="30" t="str">
        <f aca="false">IF($C528="","",IFERROR(IF(INDEX(links!$C$2:$C$501,MATCH($C528,links!$D$2:$D$501,0))="","",INDEX(links!$C$2:$C$501,MATCH($C528,links!$D$2:$D$501,0))),""))</f>
        <v/>
      </c>
      <c r="J528" s="30" t="str">
        <f aca="false">IF($C528="","",IF($G528="","slug not in links; ","")&amp;IF($D528="","reading type missing; ","")&amp;IF(COUNTIFS(scans!$C$2:$C$1601,$C528,scans!$D$2:$D$1601,$D528)&gt;1,"two readings of this type: keep one; ",""))</f>
        <v/>
      </c>
    </row>
    <row r="529" customFormat="false" ht="15" hidden="false" customHeight="false" outlineLevel="0" collapsed="false">
      <c r="A529" s="11"/>
      <c r="B529" s="38"/>
      <c r="D529" s="10"/>
      <c r="G529" s="30" t="str">
        <f aca="false">IF($C529="","",IFERROR(IF(INDEX(links!$A$2:$A$501,MATCH($C529,links!$D$2:$D$501,0))="","",INDEX(links!$A$2:$A$501,MATCH($C529,links!$D$2:$D$501,0))),""))</f>
        <v/>
      </c>
      <c r="H529" s="30" t="str">
        <f aca="false">IF($C529="","",IFERROR(IF(INDEX(links!$B$2:$B$501,MATCH($C529,links!$D$2:$D$501,0))="","",INDEX(links!$B$2:$B$501,MATCH($C529,links!$D$2:$D$501,0))),""))</f>
        <v/>
      </c>
      <c r="I529" s="30" t="str">
        <f aca="false">IF($C529="","",IFERROR(IF(INDEX(links!$C$2:$C$501,MATCH($C529,links!$D$2:$D$501,0))="","",INDEX(links!$C$2:$C$501,MATCH($C529,links!$D$2:$D$501,0))),""))</f>
        <v/>
      </c>
      <c r="J529" s="30" t="str">
        <f aca="false">IF($C529="","",IF($G529="","slug not in links; ","")&amp;IF($D529="","reading type missing; ","")&amp;IF(COUNTIFS(scans!$C$2:$C$1601,$C529,scans!$D$2:$D$1601,$D529)&gt;1,"two readings of this type: keep one; ",""))</f>
        <v/>
      </c>
    </row>
    <row r="530" customFormat="false" ht="15" hidden="false" customHeight="false" outlineLevel="0" collapsed="false">
      <c r="A530" s="11"/>
      <c r="B530" s="38"/>
      <c r="D530" s="10"/>
      <c r="G530" s="30" t="str">
        <f aca="false">IF($C530="","",IFERROR(IF(INDEX(links!$A$2:$A$501,MATCH($C530,links!$D$2:$D$501,0))="","",INDEX(links!$A$2:$A$501,MATCH($C530,links!$D$2:$D$501,0))),""))</f>
        <v/>
      </c>
      <c r="H530" s="30" t="str">
        <f aca="false">IF($C530="","",IFERROR(IF(INDEX(links!$B$2:$B$501,MATCH($C530,links!$D$2:$D$501,0))="","",INDEX(links!$B$2:$B$501,MATCH($C530,links!$D$2:$D$501,0))),""))</f>
        <v/>
      </c>
      <c r="I530" s="30" t="str">
        <f aca="false">IF($C530="","",IFERROR(IF(INDEX(links!$C$2:$C$501,MATCH($C530,links!$D$2:$D$501,0))="","",INDEX(links!$C$2:$C$501,MATCH($C530,links!$D$2:$D$501,0))),""))</f>
        <v/>
      </c>
      <c r="J530" s="30" t="str">
        <f aca="false">IF($C530="","",IF($G530="","slug not in links; ","")&amp;IF($D530="","reading type missing; ","")&amp;IF(COUNTIFS(scans!$C$2:$C$1601,$C530,scans!$D$2:$D$1601,$D530)&gt;1,"two readings of this type: keep one; ",""))</f>
        <v/>
      </c>
    </row>
    <row r="531" customFormat="false" ht="15" hidden="false" customHeight="false" outlineLevel="0" collapsed="false">
      <c r="A531" s="11"/>
      <c r="B531" s="38"/>
      <c r="D531" s="10"/>
      <c r="G531" s="30" t="str">
        <f aca="false">IF($C531="","",IFERROR(IF(INDEX(links!$A$2:$A$501,MATCH($C531,links!$D$2:$D$501,0))="","",INDEX(links!$A$2:$A$501,MATCH($C531,links!$D$2:$D$501,0))),""))</f>
        <v/>
      </c>
      <c r="H531" s="30" t="str">
        <f aca="false">IF($C531="","",IFERROR(IF(INDEX(links!$B$2:$B$501,MATCH($C531,links!$D$2:$D$501,0))="","",INDEX(links!$B$2:$B$501,MATCH($C531,links!$D$2:$D$501,0))),""))</f>
        <v/>
      </c>
      <c r="I531" s="30" t="str">
        <f aca="false">IF($C531="","",IFERROR(IF(INDEX(links!$C$2:$C$501,MATCH($C531,links!$D$2:$D$501,0))="","",INDEX(links!$C$2:$C$501,MATCH($C531,links!$D$2:$D$501,0))),""))</f>
        <v/>
      </c>
      <c r="J531" s="30" t="str">
        <f aca="false">IF($C531="","",IF($G531="","slug not in links; ","")&amp;IF($D531="","reading type missing; ","")&amp;IF(COUNTIFS(scans!$C$2:$C$1601,$C531,scans!$D$2:$D$1601,$D531)&gt;1,"two readings of this type: keep one; ",""))</f>
        <v/>
      </c>
    </row>
    <row r="532" customFormat="false" ht="15" hidden="false" customHeight="false" outlineLevel="0" collapsed="false">
      <c r="A532" s="11"/>
      <c r="B532" s="38"/>
      <c r="D532" s="10"/>
      <c r="G532" s="30" t="str">
        <f aca="false">IF($C532="","",IFERROR(IF(INDEX(links!$A$2:$A$501,MATCH($C532,links!$D$2:$D$501,0))="","",INDEX(links!$A$2:$A$501,MATCH($C532,links!$D$2:$D$501,0))),""))</f>
        <v/>
      </c>
      <c r="H532" s="30" t="str">
        <f aca="false">IF($C532="","",IFERROR(IF(INDEX(links!$B$2:$B$501,MATCH($C532,links!$D$2:$D$501,0))="","",INDEX(links!$B$2:$B$501,MATCH($C532,links!$D$2:$D$501,0))),""))</f>
        <v/>
      </c>
      <c r="I532" s="30" t="str">
        <f aca="false">IF($C532="","",IFERROR(IF(INDEX(links!$C$2:$C$501,MATCH($C532,links!$D$2:$D$501,0))="","",INDEX(links!$C$2:$C$501,MATCH($C532,links!$D$2:$D$501,0))),""))</f>
        <v/>
      </c>
      <c r="J532" s="30" t="str">
        <f aca="false">IF($C532="","",IF($G532="","slug not in links; ","")&amp;IF($D532="","reading type missing; ","")&amp;IF(COUNTIFS(scans!$C$2:$C$1601,$C532,scans!$D$2:$D$1601,$D532)&gt;1,"two readings of this type: keep one; ",""))</f>
        <v/>
      </c>
    </row>
    <row r="533" customFormat="false" ht="15" hidden="false" customHeight="false" outlineLevel="0" collapsed="false">
      <c r="A533" s="11"/>
      <c r="B533" s="38"/>
      <c r="D533" s="10"/>
      <c r="G533" s="30" t="str">
        <f aca="false">IF($C533="","",IFERROR(IF(INDEX(links!$A$2:$A$501,MATCH($C533,links!$D$2:$D$501,0))="","",INDEX(links!$A$2:$A$501,MATCH($C533,links!$D$2:$D$501,0))),""))</f>
        <v/>
      </c>
      <c r="H533" s="30" t="str">
        <f aca="false">IF($C533="","",IFERROR(IF(INDEX(links!$B$2:$B$501,MATCH($C533,links!$D$2:$D$501,0))="","",INDEX(links!$B$2:$B$501,MATCH($C533,links!$D$2:$D$501,0))),""))</f>
        <v/>
      </c>
      <c r="I533" s="30" t="str">
        <f aca="false">IF($C533="","",IFERROR(IF(INDEX(links!$C$2:$C$501,MATCH($C533,links!$D$2:$D$501,0))="","",INDEX(links!$C$2:$C$501,MATCH($C533,links!$D$2:$D$501,0))),""))</f>
        <v/>
      </c>
      <c r="J533" s="30" t="str">
        <f aca="false">IF($C533="","",IF($G533="","slug not in links; ","")&amp;IF($D533="","reading type missing; ","")&amp;IF(COUNTIFS(scans!$C$2:$C$1601,$C533,scans!$D$2:$D$1601,$D533)&gt;1,"two readings of this type: keep one; ",""))</f>
        <v/>
      </c>
    </row>
    <row r="534" customFormat="false" ht="15" hidden="false" customHeight="false" outlineLevel="0" collapsed="false">
      <c r="A534" s="11"/>
      <c r="B534" s="38"/>
      <c r="D534" s="10"/>
      <c r="G534" s="30" t="str">
        <f aca="false">IF($C534="","",IFERROR(IF(INDEX(links!$A$2:$A$501,MATCH($C534,links!$D$2:$D$501,0))="","",INDEX(links!$A$2:$A$501,MATCH($C534,links!$D$2:$D$501,0))),""))</f>
        <v/>
      </c>
      <c r="H534" s="30" t="str">
        <f aca="false">IF($C534="","",IFERROR(IF(INDEX(links!$B$2:$B$501,MATCH($C534,links!$D$2:$D$501,0))="","",INDEX(links!$B$2:$B$501,MATCH($C534,links!$D$2:$D$501,0))),""))</f>
        <v/>
      </c>
      <c r="I534" s="30" t="str">
        <f aca="false">IF($C534="","",IFERROR(IF(INDEX(links!$C$2:$C$501,MATCH($C534,links!$D$2:$D$501,0))="","",INDEX(links!$C$2:$C$501,MATCH($C534,links!$D$2:$D$501,0))),""))</f>
        <v/>
      </c>
      <c r="J534" s="30" t="str">
        <f aca="false">IF($C534="","",IF($G534="","slug not in links; ","")&amp;IF($D534="","reading type missing; ","")&amp;IF(COUNTIFS(scans!$C$2:$C$1601,$C534,scans!$D$2:$D$1601,$D534)&gt;1,"two readings of this type: keep one; ",""))</f>
        <v/>
      </c>
    </row>
    <row r="535" customFormat="false" ht="15" hidden="false" customHeight="false" outlineLevel="0" collapsed="false">
      <c r="A535" s="11"/>
      <c r="B535" s="38"/>
      <c r="D535" s="10"/>
      <c r="G535" s="30" t="str">
        <f aca="false">IF($C535="","",IFERROR(IF(INDEX(links!$A$2:$A$501,MATCH($C535,links!$D$2:$D$501,0))="","",INDEX(links!$A$2:$A$501,MATCH($C535,links!$D$2:$D$501,0))),""))</f>
        <v/>
      </c>
      <c r="H535" s="30" t="str">
        <f aca="false">IF($C535="","",IFERROR(IF(INDEX(links!$B$2:$B$501,MATCH($C535,links!$D$2:$D$501,0))="","",INDEX(links!$B$2:$B$501,MATCH($C535,links!$D$2:$D$501,0))),""))</f>
        <v/>
      </c>
      <c r="I535" s="30" t="str">
        <f aca="false">IF($C535="","",IFERROR(IF(INDEX(links!$C$2:$C$501,MATCH($C535,links!$D$2:$D$501,0))="","",INDEX(links!$C$2:$C$501,MATCH($C535,links!$D$2:$D$501,0))),""))</f>
        <v/>
      </c>
      <c r="J535" s="30" t="str">
        <f aca="false">IF($C535="","",IF($G535="","slug not in links; ","")&amp;IF($D535="","reading type missing; ","")&amp;IF(COUNTIFS(scans!$C$2:$C$1601,$C535,scans!$D$2:$D$1601,$D535)&gt;1,"two readings of this type: keep one; ",""))</f>
        <v/>
      </c>
    </row>
    <row r="536" customFormat="false" ht="15" hidden="false" customHeight="false" outlineLevel="0" collapsed="false">
      <c r="A536" s="11"/>
      <c r="B536" s="38"/>
      <c r="D536" s="10"/>
      <c r="G536" s="30" t="str">
        <f aca="false">IF($C536="","",IFERROR(IF(INDEX(links!$A$2:$A$501,MATCH($C536,links!$D$2:$D$501,0))="","",INDEX(links!$A$2:$A$501,MATCH($C536,links!$D$2:$D$501,0))),""))</f>
        <v/>
      </c>
      <c r="H536" s="30" t="str">
        <f aca="false">IF($C536="","",IFERROR(IF(INDEX(links!$B$2:$B$501,MATCH($C536,links!$D$2:$D$501,0))="","",INDEX(links!$B$2:$B$501,MATCH($C536,links!$D$2:$D$501,0))),""))</f>
        <v/>
      </c>
      <c r="I536" s="30" t="str">
        <f aca="false">IF($C536="","",IFERROR(IF(INDEX(links!$C$2:$C$501,MATCH($C536,links!$D$2:$D$501,0))="","",INDEX(links!$C$2:$C$501,MATCH($C536,links!$D$2:$D$501,0))),""))</f>
        <v/>
      </c>
      <c r="J536" s="30" t="str">
        <f aca="false">IF($C536="","",IF($G536="","slug not in links; ","")&amp;IF($D536="","reading type missing; ","")&amp;IF(COUNTIFS(scans!$C$2:$C$1601,$C536,scans!$D$2:$D$1601,$D536)&gt;1,"two readings of this type: keep one; ",""))</f>
        <v/>
      </c>
    </row>
    <row r="537" customFormat="false" ht="15" hidden="false" customHeight="false" outlineLevel="0" collapsed="false">
      <c r="A537" s="11"/>
      <c r="B537" s="38"/>
      <c r="D537" s="10"/>
      <c r="G537" s="30" t="str">
        <f aca="false">IF($C537="","",IFERROR(IF(INDEX(links!$A$2:$A$501,MATCH($C537,links!$D$2:$D$501,0))="","",INDEX(links!$A$2:$A$501,MATCH($C537,links!$D$2:$D$501,0))),""))</f>
        <v/>
      </c>
      <c r="H537" s="30" t="str">
        <f aca="false">IF($C537="","",IFERROR(IF(INDEX(links!$B$2:$B$501,MATCH($C537,links!$D$2:$D$501,0))="","",INDEX(links!$B$2:$B$501,MATCH($C537,links!$D$2:$D$501,0))),""))</f>
        <v/>
      </c>
      <c r="I537" s="30" t="str">
        <f aca="false">IF($C537="","",IFERROR(IF(INDEX(links!$C$2:$C$501,MATCH($C537,links!$D$2:$D$501,0))="","",INDEX(links!$C$2:$C$501,MATCH($C537,links!$D$2:$D$501,0))),""))</f>
        <v/>
      </c>
      <c r="J537" s="30" t="str">
        <f aca="false">IF($C537="","",IF($G537="","slug not in links; ","")&amp;IF($D537="","reading type missing; ","")&amp;IF(COUNTIFS(scans!$C$2:$C$1601,$C537,scans!$D$2:$D$1601,$D537)&gt;1,"two readings of this type: keep one; ",""))</f>
        <v/>
      </c>
    </row>
    <row r="538" customFormat="false" ht="15" hidden="false" customHeight="false" outlineLevel="0" collapsed="false">
      <c r="A538" s="11"/>
      <c r="B538" s="38"/>
      <c r="D538" s="10"/>
      <c r="G538" s="30" t="str">
        <f aca="false">IF($C538="","",IFERROR(IF(INDEX(links!$A$2:$A$501,MATCH($C538,links!$D$2:$D$501,0))="","",INDEX(links!$A$2:$A$501,MATCH($C538,links!$D$2:$D$501,0))),""))</f>
        <v/>
      </c>
      <c r="H538" s="30" t="str">
        <f aca="false">IF($C538="","",IFERROR(IF(INDEX(links!$B$2:$B$501,MATCH($C538,links!$D$2:$D$501,0))="","",INDEX(links!$B$2:$B$501,MATCH($C538,links!$D$2:$D$501,0))),""))</f>
        <v/>
      </c>
      <c r="I538" s="30" t="str">
        <f aca="false">IF($C538="","",IFERROR(IF(INDEX(links!$C$2:$C$501,MATCH($C538,links!$D$2:$D$501,0))="","",INDEX(links!$C$2:$C$501,MATCH($C538,links!$D$2:$D$501,0))),""))</f>
        <v/>
      </c>
      <c r="J538" s="30" t="str">
        <f aca="false">IF($C538="","",IF($G538="","slug not in links; ","")&amp;IF($D538="","reading type missing; ","")&amp;IF(COUNTIFS(scans!$C$2:$C$1601,$C538,scans!$D$2:$D$1601,$D538)&gt;1,"two readings of this type: keep one; ",""))</f>
        <v/>
      </c>
    </row>
    <row r="539" customFormat="false" ht="15" hidden="false" customHeight="false" outlineLevel="0" collapsed="false">
      <c r="A539" s="11"/>
      <c r="B539" s="38"/>
      <c r="D539" s="10"/>
      <c r="G539" s="30" t="str">
        <f aca="false">IF($C539="","",IFERROR(IF(INDEX(links!$A$2:$A$501,MATCH($C539,links!$D$2:$D$501,0))="","",INDEX(links!$A$2:$A$501,MATCH($C539,links!$D$2:$D$501,0))),""))</f>
        <v/>
      </c>
      <c r="H539" s="30" t="str">
        <f aca="false">IF($C539="","",IFERROR(IF(INDEX(links!$B$2:$B$501,MATCH($C539,links!$D$2:$D$501,0))="","",INDEX(links!$B$2:$B$501,MATCH($C539,links!$D$2:$D$501,0))),""))</f>
        <v/>
      </c>
      <c r="I539" s="30" t="str">
        <f aca="false">IF($C539="","",IFERROR(IF(INDEX(links!$C$2:$C$501,MATCH($C539,links!$D$2:$D$501,0))="","",INDEX(links!$C$2:$C$501,MATCH($C539,links!$D$2:$D$501,0))),""))</f>
        <v/>
      </c>
      <c r="J539" s="30" t="str">
        <f aca="false">IF($C539="","",IF($G539="","slug not in links; ","")&amp;IF($D539="","reading type missing; ","")&amp;IF(COUNTIFS(scans!$C$2:$C$1601,$C539,scans!$D$2:$D$1601,$D539)&gt;1,"two readings of this type: keep one; ",""))</f>
        <v/>
      </c>
    </row>
    <row r="540" customFormat="false" ht="15" hidden="false" customHeight="false" outlineLevel="0" collapsed="false">
      <c r="A540" s="11"/>
      <c r="B540" s="38"/>
      <c r="D540" s="10"/>
      <c r="G540" s="30" t="str">
        <f aca="false">IF($C540="","",IFERROR(IF(INDEX(links!$A$2:$A$501,MATCH($C540,links!$D$2:$D$501,0))="","",INDEX(links!$A$2:$A$501,MATCH($C540,links!$D$2:$D$501,0))),""))</f>
        <v/>
      </c>
      <c r="H540" s="30" t="str">
        <f aca="false">IF($C540="","",IFERROR(IF(INDEX(links!$B$2:$B$501,MATCH($C540,links!$D$2:$D$501,0))="","",INDEX(links!$B$2:$B$501,MATCH($C540,links!$D$2:$D$501,0))),""))</f>
        <v/>
      </c>
      <c r="I540" s="30" t="str">
        <f aca="false">IF($C540="","",IFERROR(IF(INDEX(links!$C$2:$C$501,MATCH($C540,links!$D$2:$D$501,0))="","",INDEX(links!$C$2:$C$501,MATCH($C540,links!$D$2:$D$501,0))),""))</f>
        <v/>
      </c>
      <c r="J540" s="30" t="str">
        <f aca="false">IF($C540="","",IF($G540="","slug not in links; ","")&amp;IF($D540="","reading type missing; ","")&amp;IF(COUNTIFS(scans!$C$2:$C$1601,$C540,scans!$D$2:$D$1601,$D540)&gt;1,"two readings of this type: keep one; ",""))</f>
        <v/>
      </c>
    </row>
    <row r="541" customFormat="false" ht="15" hidden="false" customHeight="false" outlineLevel="0" collapsed="false">
      <c r="A541" s="11"/>
      <c r="B541" s="38"/>
      <c r="D541" s="10"/>
      <c r="G541" s="30" t="str">
        <f aca="false">IF($C541="","",IFERROR(IF(INDEX(links!$A$2:$A$501,MATCH($C541,links!$D$2:$D$501,0))="","",INDEX(links!$A$2:$A$501,MATCH($C541,links!$D$2:$D$501,0))),""))</f>
        <v/>
      </c>
      <c r="H541" s="30" t="str">
        <f aca="false">IF($C541="","",IFERROR(IF(INDEX(links!$B$2:$B$501,MATCH($C541,links!$D$2:$D$501,0))="","",INDEX(links!$B$2:$B$501,MATCH($C541,links!$D$2:$D$501,0))),""))</f>
        <v/>
      </c>
      <c r="I541" s="30" t="str">
        <f aca="false">IF($C541="","",IFERROR(IF(INDEX(links!$C$2:$C$501,MATCH($C541,links!$D$2:$D$501,0))="","",INDEX(links!$C$2:$C$501,MATCH($C541,links!$D$2:$D$501,0))),""))</f>
        <v/>
      </c>
      <c r="J541" s="30" t="str">
        <f aca="false">IF($C541="","",IF($G541="","slug not in links; ","")&amp;IF($D541="","reading type missing; ","")&amp;IF(COUNTIFS(scans!$C$2:$C$1601,$C541,scans!$D$2:$D$1601,$D541)&gt;1,"two readings of this type: keep one; ",""))</f>
        <v/>
      </c>
    </row>
    <row r="542" customFormat="false" ht="15" hidden="false" customHeight="false" outlineLevel="0" collapsed="false">
      <c r="A542" s="11"/>
      <c r="B542" s="38"/>
      <c r="D542" s="10"/>
      <c r="G542" s="30" t="str">
        <f aca="false">IF($C542="","",IFERROR(IF(INDEX(links!$A$2:$A$501,MATCH($C542,links!$D$2:$D$501,0))="","",INDEX(links!$A$2:$A$501,MATCH($C542,links!$D$2:$D$501,0))),""))</f>
        <v/>
      </c>
      <c r="H542" s="30" t="str">
        <f aca="false">IF($C542="","",IFERROR(IF(INDEX(links!$B$2:$B$501,MATCH($C542,links!$D$2:$D$501,0))="","",INDEX(links!$B$2:$B$501,MATCH($C542,links!$D$2:$D$501,0))),""))</f>
        <v/>
      </c>
      <c r="I542" s="30" t="str">
        <f aca="false">IF($C542="","",IFERROR(IF(INDEX(links!$C$2:$C$501,MATCH($C542,links!$D$2:$D$501,0))="","",INDEX(links!$C$2:$C$501,MATCH($C542,links!$D$2:$D$501,0))),""))</f>
        <v/>
      </c>
      <c r="J542" s="30" t="str">
        <f aca="false">IF($C542="","",IF($G542="","slug not in links; ","")&amp;IF($D542="","reading type missing; ","")&amp;IF(COUNTIFS(scans!$C$2:$C$1601,$C542,scans!$D$2:$D$1601,$D542)&gt;1,"two readings of this type: keep one; ",""))</f>
        <v/>
      </c>
    </row>
    <row r="543" customFormat="false" ht="15" hidden="false" customHeight="false" outlineLevel="0" collapsed="false">
      <c r="A543" s="11"/>
      <c r="B543" s="38"/>
      <c r="D543" s="10"/>
      <c r="G543" s="30" t="str">
        <f aca="false">IF($C543="","",IFERROR(IF(INDEX(links!$A$2:$A$501,MATCH($C543,links!$D$2:$D$501,0))="","",INDEX(links!$A$2:$A$501,MATCH($C543,links!$D$2:$D$501,0))),""))</f>
        <v/>
      </c>
      <c r="H543" s="30" t="str">
        <f aca="false">IF($C543="","",IFERROR(IF(INDEX(links!$B$2:$B$501,MATCH($C543,links!$D$2:$D$501,0))="","",INDEX(links!$B$2:$B$501,MATCH($C543,links!$D$2:$D$501,0))),""))</f>
        <v/>
      </c>
      <c r="I543" s="30" t="str">
        <f aca="false">IF($C543="","",IFERROR(IF(INDEX(links!$C$2:$C$501,MATCH($C543,links!$D$2:$D$501,0))="","",INDEX(links!$C$2:$C$501,MATCH($C543,links!$D$2:$D$501,0))),""))</f>
        <v/>
      </c>
      <c r="J543" s="30" t="str">
        <f aca="false">IF($C543="","",IF($G543="","slug not in links; ","")&amp;IF($D543="","reading type missing; ","")&amp;IF(COUNTIFS(scans!$C$2:$C$1601,$C543,scans!$D$2:$D$1601,$D543)&gt;1,"two readings of this type: keep one; ",""))</f>
        <v/>
      </c>
    </row>
    <row r="544" customFormat="false" ht="15" hidden="false" customHeight="false" outlineLevel="0" collapsed="false">
      <c r="A544" s="11"/>
      <c r="B544" s="38"/>
      <c r="D544" s="10"/>
      <c r="G544" s="30" t="str">
        <f aca="false">IF($C544="","",IFERROR(IF(INDEX(links!$A$2:$A$501,MATCH($C544,links!$D$2:$D$501,0))="","",INDEX(links!$A$2:$A$501,MATCH($C544,links!$D$2:$D$501,0))),""))</f>
        <v/>
      </c>
      <c r="H544" s="30" t="str">
        <f aca="false">IF($C544="","",IFERROR(IF(INDEX(links!$B$2:$B$501,MATCH($C544,links!$D$2:$D$501,0))="","",INDEX(links!$B$2:$B$501,MATCH($C544,links!$D$2:$D$501,0))),""))</f>
        <v/>
      </c>
      <c r="I544" s="30" t="str">
        <f aca="false">IF($C544="","",IFERROR(IF(INDEX(links!$C$2:$C$501,MATCH($C544,links!$D$2:$D$501,0))="","",INDEX(links!$C$2:$C$501,MATCH($C544,links!$D$2:$D$501,0))),""))</f>
        <v/>
      </c>
      <c r="J544" s="30" t="str">
        <f aca="false">IF($C544="","",IF($G544="","slug not in links; ","")&amp;IF($D544="","reading type missing; ","")&amp;IF(COUNTIFS(scans!$C$2:$C$1601,$C544,scans!$D$2:$D$1601,$D544)&gt;1,"two readings of this type: keep one; ",""))</f>
        <v/>
      </c>
    </row>
    <row r="545" customFormat="false" ht="15" hidden="false" customHeight="false" outlineLevel="0" collapsed="false">
      <c r="A545" s="11"/>
      <c r="B545" s="38"/>
      <c r="D545" s="10"/>
      <c r="G545" s="30" t="str">
        <f aca="false">IF($C545="","",IFERROR(IF(INDEX(links!$A$2:$A$501,MATCH($C545,links!$D$2:$D$501,0))="","",INDEX(links!$A$2:$A$501,MATCH($C545,links!$D$2:$D$501,0))),""))</f>
        <v/>
      </c>
      <c r="H545" s="30" t="str">
        <f aca="false">IF($C545="","",IFERROR(IF(INDEX(links!$B$2:$B$501,MATCH($C545,links!$D$2:$D$501,0))="","",INDEX(links!$B$2:$B$501,MATCH($C545,links!$D$2:$D$501,0))),""))</f>
        <v/>
      </c>
      <c r="I545" s="30" t="str">
        <f aca="false">IF($C545="","",IFERROR(IF(INDEX(links!$C$2:$C$501,MATCH($C545,links!$D$2:$D$501,0))="","",INDEX(links!$C$2:$C$501,MATCH($C545,links!$D$2:$D$501,0))),""))</f>
        <v/>
      </c>
      <c r="J545" s="30" t="str">
        <f aca="false">IF($C545="","",IF($G545="","slug not in links; ","")&amp;IF($D545="","reading type missing; ","")&amp;IF(COUNTIFS(scans!$C$2:$C$1601,$C545,scans!$D$2:$D$1601,$D545)&gt;1,"two readings of this type: keep one; ",""))</f>
        <v/>
      </c>
    </row>
    <row r="546" customFormat="false" ht="15" hidden="false" customHeight="false" outlineLevel="0" collapsed="false">
      <c r="A546" s="11"/>
      <c r="B546" s="38"/>
      <c r="D546" s="10"/>
      <c r="G546" s="30" t="str">
        <f aca="false">IF($C546="","",IFERROR(IF(INDEX(links!$A$2:$A$501,MATCH($C546,links!$D$2:$D$501,0))="","",INDEX(links!$A$2:$A$501,MATCH($C546,links!$D$2:$D$501,0))),""))</f>
        <v/>
      </c>
      <c r="H546" s="30" t="str">
        <f aca="false">IF($C546="","",IFERROR(IF(INDEX(links!$B$2:$B$501,MATCH($C546,links!$D$2:$D$501,0))="","",INDEX(links!$B$2:$B$501,MATCH($C546,links!$D$2:$D$501,0))),""))</f>
        <v/>
      </c>
      <c r="I546" s="30" t="str">
        <f aca="false">IF($C546="","",IFERROR(IF(INDEX(links!$C$2:$C$501,MATCH($C546,links!$D$2:$D$501,0))="","",INDEX(links!$C$2:$C$501,MATCH($C546,links!$D$2:$D$501,0))),""))</f>
        <v/>
      </c>
      <c r="J546" s="30" t="str">
        <f aca="false">IF($C546="","",IF($G546="","slug not in links; ","")&amp;IF($D546="","reading type missing; ","")&amp;IF(COUNTIFS(scans!$C$2:$C$1601,$C546,scans!$D$2:$D$1601,$D546)&gt;1,"two readings of this type: keep one; ",""))</f>
        <v/>
      </c>
    </row>
    <row r="547" customFormat="false" ht="15" hidden="false" customHeight="false" outlineLevel="0" collapsed="false">
      <c r="A547" s="11"/>
      <c r="B547" s="38"/>
      <c r="D547" s="10"/>
      <c r="G547" s="30" t="str">
        <f aca="false">IF($C547="","",IFERROR(IF(INDEX(links!$A$2:$A$501,MATCH($C547,links!$D$2:$D$501,0))="","",INDEX(links!$A$2:$A$501,MATCH($C547,links!$D$2:$D$501,0))),""))</f>
        <v/>
      </c>
      <c r="H547" s="30" t="str">
        <f aca="false">IF($C547="","",IFERROR(IF(INDEX(links!$B$2:$B$501,MATCH($C547,links!$D$2:$D$501,0))="","",INDEX(links!$B$2:$B$501,MATCH($C547,links!$D$2:$D$501,0))),""))</f>
        <v/>
      </c>
      <c r="I547" s="30" t="str">
        <f aca="false">IF($C547="","",IFERROR(IF(INDEX(links!$C$2:$C$501,MATCH($C547,links!$D$2:$D$501,0))="","",INDEX(links!$C$2:$C$501,MATCH($C547,links!$D$2:$D$501,0))),""))</f>
        <v/>
      </c>
      <c r="J547" s="30" t="str">
        <f aca="false">IF($C547="","",IF($G547="","slug not in links; ","")&amp;IF($D547="","reading type missing; ","")&amp;IF(COUNTIFS(scans!$C$2:$C$1601,$C547,scans!$D$2:$D$1601,$D547)&gt;1,"two readings of this type: keep one; ",""))</f>
        <v/>
      </c>
    </row>
    <row r="548" customFormat="false" ht="15" hidden="false" customHeight="false" outlineLevel="0" collapsed="false">
      <c r="A548" s="11"/>
      <c r="B548" s="38"/>
      <c r="D548" s="10"/>
      <c r="G548" s="30" t="str">
        <f aca="false">IF($C548="","",IFERROR(IF(INDEX(links!$A$2:$A$501,MATCH($C548,links!$D$2:$D$501,0))="","",INDEX(links!$A$2:$A$501,MATCH($C548,links!$D$2:$D$501,0))),""))</f>
        <v/>
      </c>
      <c r="H548" s="30" t="str">
        <f aca="false">IF($C548="","",IFERROR(IF(INDEX(links!$B$2:$B$501,MATCH($C548,links!$D$2:$D$501,0))="","",INDEX(links!$B$2:$B$501,MATCH($C548,links!$D$2:$D$501,0))),""))</f>
        <v/>
      </c>
      <c r="I548" s="30" t="str">
        <f aca="false">IF($C548="","",IFERROR(IF(INDEX(links!$C$2:$C$501,MATCH($C548,links!$D$2:$D$501,0))="","",INDEX(links!$C$2:$C$501,MATCH($C548,links!$D$2:$D$501,0))),""))</f>
        <v/>
      </c>
      <c r="J548" s="30" t="str">
        <f aca="false">IF($C548="","",IF($G548="","slug not in links; ","")&amp;IF($D548="","reading type missing; ","")&amp;IF(COUNTIFS(scans!$C$2:$C$1601,$C548,scans!$D$2:$D$1601,$D548)&gt;1,"two readings of this type: keep one; ",""))</f>
        <v/>
      </c>
    </row>
    <row r="549" customFormat="false" ht="15" hidden="false" customHeight="false" outlineLevel="0" collapsed="false">
      <c r="A549" s="11"/>
      <c r="B549" s="38"/>
      <c r="D549" s="10"/>
      <c r="G549" s="30" t="str">
        <f aca="false">IF($C549="","",IFERROR(IF(INDEX(links!$A$2:$A$501,MATCH($C549,links!$D$2:$D$501,0))="","",INDEX(links!$A$2:$A$501,MATCH($C549,links!$D$2:$D$501,0))),""))</f>
        <v/>
      </c>
      <c r="H549" s="30" t="str">
        <f aca="false">IF($C549="","",IFERROR(IF(INDEX(links!$B$2:$B$501,MATCH($C549,links!$D$2:$D$501,0))="","",INDEX(links!$B$2:$B$501,MATCH($C549,links!$D$2:$D$501,0))),""))</f>
        <v/>
      </c>
      <c r="I549" s="30" t="str">
        <f aca="false">IF($C549="","",IFERROR(IF(INDEX(links!$C$2:$C$501,MATCH($C549,links!$D$2:$D$501,0))="","",INDEX(links!$C$2:$C$501,MATCH($C549,links!$D$2:$D$501,0))),""))</f>
        <v/>
      </c>
      <c r="J549" s="30" t="str">
        <f aca="false">IF($C549="","",IF($G549="","slug not in links; ","")&amp;IF($D549="","reading type missing; ","")&amp;IF(COUNTIFS(scans!$C$2:$C$1601,$C549,scans!$D$2:$D$1601,$D549)&gt;1,"two readings of this type: keep one; ",""))</f>
        <v/>
      </c>
    </row>
    <row r="550" customFormat="false" ht="15" hidden="false" customHeight="false" outlineLevel="0" collapsed="false">
      <c r="A550" s="11"/>
      <c r="B550" s="38"/>
      <c r="D550" s="10"/>
      <c r="G550" s="30" t="str">
        <f aca="false">IF($C550="","",IFERROR(IF(INDEX(links!$A$2:$A$501,MATCH($C550,links!$D$2:$D$501,0))="","",INDEX(links!$A$2:$A$501,MATCH($C550,links!$D$2:$D$501,0))),""))</f>
        <v/>
      </c>
      <c r="H550" s="30" t="str">
        <f aca="false">IF($C550="","",IFERROR(IF(INDEX(links!$B$2:$B$501,MATCH($C550,links!$D$2:$D$501,0))="","",INDEX(links!$B$2:$B$501,MATCH($C550,links!$D$2:$D$501,0))),""))</f>
        <v/>
      </c>
      <c r="I550" s="30" t="str">
        <f aca="false">IF($C550="","",IFERROR(IF(INDEX(links!$C$2:$C$501,MATCH($C550,links!$D$2:$D$501,0))="","",INDEX(links!$C$2:$C$501,MATCH($C550,links!$D$2:$D$501,0))),""))</f>
        <v/>
      </c>
      <c r="J550" s="30" t="str">
        <f aca="false">IF($C550="","",IF($G550="","slug not in links; ","")&amp;IF($D550="","reading type missing; ","")&amp;IF(COUNTIFS(scans!$C$2:$C$1601,$C550,scans!$D$2:$D$1601,$D550)&gt;1,"two readings of this type: keep one; ",""))</f>
        <v/>
      </c>
    </row>
    <row r="551" customFormat="false" ht="15" hidden="false" customHeight="false" outlineLevel="0" collapsed="false">
      <c r="A551" s="11"/>
      <c r="B551" s="38"/>
      <c r="D551" s="10"/>
      <c r="G551" s="30" t="str">
        <f aca="false">IF($C551="","",IFERROR(IF(INDEX(links!$A$2:$A$501,MATCH($C551,links!$D$2:$D$501,0))="","",INDEX(links!$A$2:$A$501,MATCH($C551,links!$D$2:$D$501,0))),""))</f>
        <v/>
      </c>
      <c r="H551" s="30" t="str">
        <f aca="false">IF($C551="","",IFERROR(IF(INDEX(links!$B$2:$B$501,MATCH($C551,links!$D$2:$D$501,0))="","",INDEX(links!$B$2:$B$501,MATCH($C551,links!$D$2:$D$501,0))),""))</f>
        <v/>
      </c>
      <c r="I551" s="30" t="str">
        <f aca="false">IF($C551="","",IFERROR(IF(INDEX(links!$C$2:$C$501,MATCH($C551,links!$D$2:$D$501,0))="","",INDEX(links!$C$2:$C$501,MATCH($C551,links!$D$2:$D$501,0))),""))</f>
        <v/>
      </c>
      <c r="J551" s="30" t="str">
        <f aca="false">IF($C551="","",IF($G551="","slug not in links; ","")&amp;IF($D551="","reading type missing; ","")&amp;IF(COUNTIFS(scans!$C$2:$C$1601,$C551,scans!$D$2:$D$1601,$D551)&gt;1,"two readings of this type: keep one; ",""))</f>
        <v/>
      </c>
    </row>
    <row r="552" customFormat="false" ht="15" hidden="false" customHeight="false" outlineLevel="0" collapsed="false">
      <c r="A552" s="11"/>
      <c r="B552" s="38"/>
      <c r="D552" s="10"/>
      <c r="G552" s="30" t="str">
        <f aca="false">IF($C552="","",IFERROR(IF(INDEX(links!$A$2:$A$501,MATCH($C552,links!$D$2:$D$501,0))="","",INDEX(links!$A$2:$A$501,MATCH($C552,links!$D$2:$D$501,0))),""))</f>
        <v/>
      </c>
      <c r="H552" s="30" t="str">
        <f aca="false">IF($C552="","",IFERROR(IF(INDEX(links!$B$2:$B$501,MATCH($C552,links!$D$2:$D$501,0))="","",INDEX(links!$B$2:$B$501,MATCH($C552,links!$D$2:$D$501,0))),""))</f>
        <v/>
      </c>
      <c r="I552" s="30" t="str">
        <f aca="false">IF($C552="","",IFERROR(IF(INDEX(links!$C$2:$C$501,MATCH($C552,links!$D$2:$D$501,0))="","",INDEX(links!$C$2:$C$501,MATCH($C552,links!$D$2:$D$501,0))),""))</f>
        <v/>
      </c>
      <c r="J552" s="30" t="str">
        <f aca="false">IF($C552="","",IF($G552="","slug not in links; ","")&amp;IF($D552="","reading type missing; ","")&amp;IF(COUNTIFS(scans!$C$2:$C$1601,$C552,scans!$D$2:$D$1601,$D552)&gt;1,"two readings of this type: keep one; ",""))</f>
        <v/>
      </c>
    </row>
    <row r="553" customFormat="false" ht="15" hidden="false" customHeight="false" outlineLevel="0" collapsed="false">
      <c r="A553" s="11"/>
      <c r="B553" s="38"/>
      <c r="D553" s="10"/>
      <c r="G553" s="30" t="str">
        <f aca="false">IF($C553="","",IFERROR(IF(INDEX(links!$A$2:$A$501,MATCH($C553,links!$D$2:$D$501,0))="","",INDEX(links!$A$2:$A$501,MATCH($C553,links!$D$2:$D$501,0))),""))</f>
        <v/>
      </c>
      <c r="H553" s="30" t="str">
        <f aca="false">IF($C553="","",IFERROR(IF(INDEX(links!$B$2:$B$501,MATCH($C553,links!$D$2:$D$501,0))="","",INDEX(links!$B$2:$B$501,MATCH($C553,links!$D$2:$D$501,0))),""))</f>
        <v/>
      </c>
      <c r="I553" s="30" t="str">
        <f aca="false">IF($C553="","",IFERROR(IF(INDEX(links!$C$2:$C$501,MATCH($C553,links!$D$2:$D$501,0))="","",INDEX(links!$C$2:$C$501,MATCH($C553,links!$D$2:$D$501,0))),""))</f>
        <v/>
      </c>
      <c r="J553" s="30" t="str">
        <f aca="false">IF($C553="","",IF($G553="","slug not in links; ","")&amp;IF($D553="","reading type missing; ","")&amp;IF(COUNTIFS(scans!$C$2:$C$1601,$C553,scans!$D$2:$D$1601,$D553)&gt;1,"two readings of this type: keep one; ",""))</f>
        <v/>
      </c>
    </row>
    <row r="554" customFormat="false" ht="15" hidden="false" customHeight="false" outlineLevel="0" collapsed="false">
      <c r="A554" s="11"/>
      <c r="B554" s="38"/>
      <c r="D554" s="10"/>
      <c r="G554" s="30" t="str">
        <f aca="false">IF($C554="","",IFERROR(IF(INDEX(links!$A$2:$A$501,MATCH($C554,links!$D$2:$D$501,0))="","",INDEX(links!$A$2:$A$501,MATCH($C554,links!$D$2:$D$501,0))),""))</f>
        <v/>
      </c>
      <c r="H554" s="30" t="str">
        <f aca="false">IF($C554="","",IFERROR(IF(INDEX(links!$B$2:$B$501,MATCH($C554,links!$D$2:$D$501,0))="","",INDEX(links!$B$2:$B$501,MATCH($C554,links!$D$2:$D$501,0))),""))</f>
        <v/>
      </c>
      <c r="I554" s="30" t="str">
        <f aca="false">IF($C554="","",IFERROR(IF(INDEX(links!$C$2:$C$501,MATCH($C554,links!$D$2:$D$501,0))="","",INDEX(links!$C$2:$C$501,MATCH($C554,links!$D$2:$D$501,0))),""))</f>
        <v/>
      </c>
      <c r="J554" s="30" t="str">
        <f aca="false">IF($C554="","",IF($G554="","slug not in links; ","")&amp;IF($D554="","reading type missing; ","")&amp;IF(COUNTIFS(scans!$C$2:$C$1601,$C554,scans!$D$2:$D$1601,$D554)&gt;1,"two readings of this type: keep one; ",""))</f>
        <v/>
      </c>
    </row>
    <row r="555" customFormat="false" ht="15" hidden="false" customHeight="false" outlineLevel="0" collapsed="false">
      <c r="A555" s="11"/>
      <c r="B555" s="38"/>
      <c r="D555" s="10"/>
      <c r="G555" s="30" t="str">
        <f aca="false">IF($C555="","",IFERROR(IF(INDEX(links!$A$2:$A$501,MATCH($C555,links!$D$2:$D$501,0))="","",INDEX(links!$A$2:$A$501,MATCH($C555,links!$D$2:$D$501,0))),""))</f>
        <v/>
      </c>
      <c r="H555" s="30" t="str">
        <f aca="false">IF($C555="","",IFERROR(IF(INDEX(links!$B$2:$B$501,MATCH($C555,links!$D$2:$D$501,0))="","",INDEX(links!$B$2:$B$501,MATCH($C555,links!$D$2:$D$501,0))),""))</f>
        <v/>
      </c>
      <c r="I555" s="30" t="str">
        <f aca="false">IF($C555="","",IFERROR(IF(INDEX(links!$C$2:$C$501,MATCH($C555,links!$D$2:$D$501,0))="","",INDEX(links!$C$2:$C$501,MATCH($C555,links!$D$2:$D$501,0))),""))</f>
        <v/>
      </c>
      <c r="J555" s="30" t="str">
        <f aca="false">IF($C555="","",IF($G555="","slug not in links; ","")&amp;IF($D555="","reading type missing; ","")&amp;IF(COUNTIFS(scans!$C$2:$C$1601,$C555,scans!$D$2:$D$1601,$D555)&gt;1,"two readings of this type: keep one; ",""))</f>
        <v/>
      </c>
    </row>
    <row r="556" customFormat="false" ht="15" hidden="false" customHeight="false" outlineLevel="0" collapsed="false">
      <c r="A556" s="11"/>
      <c r="B556" s="38"/>
      <c r="D556" s="10"/>
      <c r="G556" s="30" t="str">
        <f aca="false">IF($C556="","",IFERROR(IF(INDEX(links!$A$2:$A$501,MATCH($C556,links!$D$2:$D$501,0))="","",INDEX(links!$A$2:$A$501,MATCH($C556,links!$D$2:$D$501,0))),""))</f>
        <v/>
      </c>
      <c r="H556" s="30" t="str">
        <f aca="false">IF($C556="","",IFERROR(IF(INDEX(links!$B$2:$B$501,MATCH($C556,links!$D$2:$D$501,0))="","",INDEX(links!$B$2:$B$501,MATCH($C556,links!$D$2:$D$501,0))),""))</f>
        <v/>
      </c>
      <c r="I556" s="30" t="str">
        <f aca="false">IF($C556="","",IFERROR(IF(INDEX(links!$C$2:$C$501,MATCH($C556,links!$D$2:$D$501,0))="","",INDEX(links!$C$2:$C$501,MATCH($C556,links!$D$2:$D$501,0))),""))</f>
        <v/>
      </c>
      <c r="J556" s="30" t="str">
        <f aca="false">IF($C556="","",IF($G556="","slug not in links; ","")&amp;IF($D556="","reading type missing; ","")&amp;IF(COUNTIFS(scans!$C$2:$C$1601,$C556,scans!$D$2:$D$1601,$D556)&gt;1,"two readings of this type: keep one; ",""))</f>
        <v/>
      </c>
    </row>
    <row r="557" customFormat="false" ht="15" hidden="false" customHeight="false" outlineLevel="0" collapsed="false">
      <c r="A557" s="11"/>
      <c r="B557" s="38"/>
      <c r="D557" s="10"/>
      <c r="G557" s="30" t="str">
        <f aca="false">IF($C557="","",IFERROR(IF(INDEX(links!$A$2:$A$501,MATCH($C557,links!$D$2:$D$501,0))="","",INDEX(links!$A$2:$A$501,MATCH($C557,links!$D$2:$D$501,0))),""))</f>
        <v/>
      </c>
      <c r="H557" s="30" t="str">
        <f aca="false">IF($C557="","",IFERROR(IF(INDEX(links!$B$2:$B$501,MATCH($C557,links!$D$2:$D$501,0))="","",INDEX(links!$B$2:$B$501,MATCH($C557,links!$D$2:$D$501,0))),""))</f>
        <v/>
      </c>
      <c r="I557" s="30" t="str">
        <f aca="false">IF($C557="","",IFERROR(IF(INDEX(links!$C$2:$C$501,MATCH($C557,links!$D$2:$D$501,0))="","",INDEX(links!$C$2:$C$501,MATCH($C557,links!$D$2:$D$501,0))),""))</f>
        <v/>
      </c>
      <c r="J557" s="30" t="str">
        <f aca="false">IF($C557="","",IF($G557="","slug not in links; ","")&amp;IF($D557="","reading type missing; ","")&amp;IF(COUNTIFS(scans!$C$2:$C$1601,$C557,scans!$D$2:$D$1601,$D557)&gt;1,"two readings of this type: keep one; ",""))</f>
        <v/>
      </c>
    </row>
    <row r="558" customFormat="false" ht="15" hidden="false" customHeight="false" outlineLevel="0" collapsed="false">
      <c r="A558" s="11"/>
      <c r="B558" s="38"/>
      <c r="D558" s="10"/>
      <c r="G558" s="30" t="str">
        <f aca="false">IF($C558="","",IFERROR(IF(INDEX(links!$A$2:$A$501,MATCH($C558,links!$D$2:$D$501,0))="","",INDEX(links!$A$2:$A$501,MATCH($C558,links!$D$2:$D$501,0))),""))</f>
        <v/>
      </c>
      <c r="H558" s="30" t="str">
        <f aca="false">IF($C558="","",IFERROR(IF(INDEX(links!$B$2:$B$501,MATCH($C558,links!$D$2:$D$501,0))="","",INDEX(links!$B$2:$B$501,MATCH($C558,links!$D$2:$D$501,0))),""))</f>
        <v/>
      </c>
      <c r="I558" s="30" t="str">
        <f aca="false">IF($C558="","",IFERROR(IF(INDEX(links!$C$2:$C$501,MATCH($C558,links!$D$2:$D$501,0))="","",INDEX(links!$C$2:$C$501,MATCH($C558,links!$D$2:$D$501,0))),""))</f>
        <v/>
      </c>
      <c r="J558" s="30" t="str">
        <f aca="false">IF($C558="","",IF($G558="","slug not in links; ","")&amp;IF($D558="","reading type missing; ","")&amp;IF(COUNTIFS(scans!$C$2:$C$1601,$C558,scans!$D$2:$D$1601,$D558)&gt;1,"two readings of this type: keep one; ",""))</f>
        <v/>
      </c>
    </row>
    <row r="559" customFormat="false" ht="15" hidden="false" customHeight="false" outlineLevel="0" collapsed="false">
      <c r="A559" s="11"/>
      <c r="B559" s="38"/>
      <c r="D559" s="10"/>
      <c r="G559" s="30" t="str">
        <f aca="false">IF($C559="","",IFERROR(IF(INDEX(links!$A$2:$A$501,MATCH($C559,links!$D$2:$D$501,0))="","",INDEX(links!$A$2:$A$501,MATCH($C559,links!$D$2:$D$501,0))),""))</f>
        <v/>
      </c>
      <c r="H559" s="30" t="str">
        <f aca="false">IF($C559="","",IFERROR(IF(INDEX(links!$B$2:$B$501,MATCH($C559,links!$D$2:$D$501,0))="","",INDEX(links!$B$2:$B$501,MATCH($C559,links!$D$2:$D$501,0))),""))</f>
        <v/>
      </c>
      <c r="I559" s="30" t="str">
        <f aca="false">IF($C559="","",IFERROR(IF(INDEX(links!$C$2:$C$501,MATCH($C559,links!$D$2:$D$501,0))="","",INDEX(links!$C$2:$C$501,MATCH($C559,links!$D$2:$D$501,0))),""))</f>
        <v/>
      </c>
      <c r="J559" s="30" t="str">
        <f aca="false">IF($C559="","",IF($G559="","slug not in links; ","")&amp;IF($D559="","reading type missing; ","")&amp;IF(COUNTIFS(scans!$C$2:$C$1601,$C559,scans!$D$2:$D$1601,$D559)&gt;1,"two readings of this type: keep one; ",""))</f>
        <v/>
      </c>
    </row>
    <row r="560" customFormat="false" ht="15" hidden="false" customHeight="false" outlineLevel="0" collapsed="false">
      <c r="A560" s="11"/>
      <c r="B560" s="38"/>
      <c r="D560" s="10"/>
      <c r="G560" s="30" t="str">
        <f aca="false">IF($C560="","",IFERROR(IF(INDEX(links!$A$2:$A$501,MATCH($C560,links!$D$2:$D$501,0))="","",INDEX(links!$A$2:$A$501,MATCH($C560,links!$D$2:$D$501,0))),""))</f>
        <v/>
      </c>
      <c r="H560" s="30" t="str">
        <f aca="false">IF($C560="","",IFERROR(IF(INDEX(links!$B$2:$B$501,MATCH($C560,links!$D$2:$D$501,0))="","",INDEX(links!$B$2:$B$501,MATCH($C560,links!$D$2:$D$501,0))),""))</f>
        <v/>
      </c>
      <c r="I560" s="30" t="str">
        <f aca="false">IF($C560="","",IFERROR(IF(INDEX(links!$C$2:$C$501,MATCH($C560,links!$D$2:$D$501,0))="","",INDEX(links!$C$2:$C$501,MATCH($C560,links!$D$2:$D$501,0))),""))</f>
        <v/>
      </c>
      <c r="J560" s="30" t="str">
        <f aca="false">IF($C560="","",IF($G560="","slug not in links; ","")&amp;IF($D560="","reading type missing; ","")&amp;IF(COUNTIFS(scans!$C$2:$C$1601,$C560,scans!$D$2:$D$1601,$D560)&gt;1,"two readings of this type: keep one; ",""))</f>
        <v/>
      </c>
    </row>
    <row r="561" customFormat="false" ht="15" hidden="false" customHeight="false" outlineLevel="0" collapsed="false">
      <c r="A561" s="11"/>
      <c r="B561" s="38"/>
      <c r="D561" s="10"/>
      <c r="G561" s="30" t="str">
        <f aca="false">IF($C561="","",IFERROR(IF(INDEX(links!$A$2:$A$501,MATCH($C561,links!$D$2:$D$501,0))="","",INDEX(links!$A$2:$A$501,MATCH($C561,links!$D$2:$D$501,0))),""))</f>
        <v/>
      </c>
      <c r="H561" s="30" t="str">
        <f aca="false">IF($C561="","",IFERROR(IF(INDEX(links!$B$2:$B$501,MATCH($C561,links!$D$2:$D$501,0))="","",INDEX(links!$B$2:$B$501,MATCH($C561,links!$D$2:$D$501,0))),""))</f>
        <v/>
      </c>
      <c r="I561" s="30" t="str">
        <f aca="false">IF($C561="","",IFERROR(IF(INDEX(links!$C$2:$C$501,MATCH($C561,links!$D$2:$D$501,0))="","",INDEX(links!$C$2:$C$501,MATCH($C561,links!$D$2:$D$501,0))),""))</f>
        <v/>
      </c>
      <c r="J561" s="30" t="str">
        <f aca="false">IF($C561="","",IF($G561="","slug not in links; ","")&amp;IF($D561="","reading type missing; ","")&amp;IF(COUNTIFS(scans!$C$2:$C$1601,$C561,scans!$D$2:$D$1601,$D561)&gt;1,"two readings of this type: keep one; ",""))</f>
        <v/>
      </c>
    </row>
    <row r="562" customFormat="false" ht="15" hidden="false" customHeight="false" outlineLevel="0" collapsed="false">
      <c r="A562" s="11"/>
      <c r="B562" s="38"/>
      <c r="D562" s="10"/>
      <c r="G562" s="30" t="str">
        <f aca="false">IF($C562="","",IFERROR(IF(INDEX(links!$A$2:$A$501,MATCH($C562,links!$D$2:$D$501,0))="","",INDEX(links!$A$2:$A$501,MATCH($C562,links!$D$2:$D$501,0))),""))</f>
        <v/>
      </c>
      <c r="H562" s="30" t="str">
        <f aca="false">IF($C562="","",IFERROR(IF(INDEX(links!$B$2:$B$501,MATCH($C562,links!$D$2:$D$501,0))="","",INDEX(links!$B$2:$B$501,MATCH($C562,links!$D$2:$D$501,0))),""))</f>
        <v/>
      </c>
      <c r="I562" s="30" t="str">
        <f aca="false">IF($C562="","",IFERROR(IF(INDEX(links!$C$2:$C$501,MATCH($C562,links!$D$2:$D$501,0))="","",INDEX(links!$C$2:$C$501,MATCH($C562,links!$D$2:$D$501,0))),""))</f>
        <v/>
      </c>
      <c r="J562" s="30" t="str">
        <f aca="false">IF($C562="","",IF($G562="","slug not in links; ","")&amp;IF($D562="","reading type missing; ","")&amp;IF(COUNTIFS(scans!$C$2:$C$1601,$C562,scans!$D$2:$D$1601,$D562)&gt;1,"two readings of this type: keep one; ",""))</f>
        <v/>
      </c>
    </row>
    <row r="563" customFormat="false" ht="15" hidden="false" customHeight="false" outlineLevel="0" collapsed="false">
      <c r="A563" s="11"/>
      <c r="B563" s="38"/>
      <c r="D563" s="10"/>
      <c r="G563" s="30" t="str">
        <f aca="false">IF($C563="","",IFERROR(IF(INDEX(links!$A$2:$A$501,MATCH($C563,links!$D$2:$D$501,0))="","",INDEX(links!$A$2:$A$501,MATCH($C563,links!$D$2:$D$501,0))),""))</f>
        <v/>
      </c>
      <c r="H563" s="30" t="str">
        <f aca="false">IF($C563="","",IFERROR(IF(INDEX(links!$B$2:$B$501,MATCH($C563,links!$D$2:$D$501,0))="","",INDEX(links!$B$2:$B$501,MATCH($C563,links!$D$2:$D$501,0))),""))</f>
        <v/>
      </c>
      <c r="I563" s="30" t="str">
        <f aca="false">IF($C563="","",IFERROR(IF(INDEX(links!$C$2:$C$501,MATCH($C563,links!$D$2:$D$501,0))="","",INDEX(links!$C$2:$C$501,MATCH($C563,links!$D$2:$D$501,0))),""))</f>
        <v/>
      </c>
      <c r="J563" s="30" t="str">
        <f aca="false">IF($C563="","",IF($G563="","slug not in links; ","")&amp;IF($D563="","reading type missing; ","")&amp;IF(COUNTIFS(scans!$C$2:$C$1601,$C563,scans!$D$2:$D$1601,$D563)&gt;1,"two readings of this type: keep one; ",""))</f>
        <v/>
      </c>
    </row>
    <row r="564" customFormat="false" ht="15" hidden="false" customHeight="false" outlineLevel="0" collapsed="false">
      <c r="A564" s="11"/>
      <c r="B564" s="38"/>
      <c r="D564" s="10"/>
      <c r="G564" s="30" t="str">
        <f aca="false">IF($C564="","",IFERROR(IF(INDEX(links!$A$2:$A$501,MATCH($C564,links!$D$2:$D$501,0))="","",INDEX(links!$A$2:$A$501,MATCH($C564,links!$D$2:$D$501,0))),""))</f>
        <v/>
      </c>
      <c r="H564" s="30" t="str">
        <f aca="false">IF($C564="","",IFERROR(IF(INDEX(links!$B$2:$B$501,MATCH($C564,links!$D$2:$D$501,0))="","",INDEX(links!$B$2:$B$501,MATCH($C564,links!$D$2:$D$501,0))),""))</f>
        <v/>
      </c>
      <c r="I564" s="30" t="str">
        <f aca="false">IF($C564="","",IFERROR(IF(INDEX(links!$C$2:$C$501,MATCH($C564,links!$D$2:$D$501,0))="","",INDEX(links!$C$2:$C$501,MATCH($C564,links!$D$2:$D$501,0))),""))</f>
        <v/>
      </c>
      <c r="J564" s="30" t="str">
        <f aca="false">IF($C564="","",IF($G564="","slug not in links; ","")&amp;IF($D564="","reading type missing; ","")&amp;IF(COUNTIFS(scans!$C$2:$C$1601,$C564,scans!$D$2:$D$1601,$D564)&gt;1,"two readings of this type: keep one; ",""))</f>
        <v/>
      </c>
    </row>
    <row r="565" customFormat="false" ht="15" hidden="false" customHeight="false" outlineLevel="0" collapsed="false">
      <c r="A565" s="11"/>
      <c r="B565" s="38"/>
      <c r="D565" s="10"/>
      <c r="G565" s="30" t="str">
        <f aca="false">IF($C565="","",IFERROR(IF(INDEX(links!$A$2:$A$501,MATCH($C565,links!$D$2:$D$501,0))="","",INDEX(links!$A$2:$A$501,MATCH($C565,links!$D$2:$D$501,0))),""))</f>
        <v/>
      </c>
      <c r="H565" s="30" t="str">
        <f aca="false">IF($C565="","",IFERROR(IF(INDEX(links!$B$2:$B$501,MATCH($C565,links!$D$2:$D$501,0))="","",INDEX(links!$B$2:$B$501,MATCH($C565,links!$D$2:$D$501,0))),""))</f>
        <v/>
      </c>
      <c r="I565" s="30" t="str">
        <f aca="false">IF($C565="","",IFERROR(IF(INDEX(links!$C$2:$C$501,MATCH($C565,links!$D$2:$D$501,0))="","",INDEX(links!$C$2:$C$501,MATCH($C565,links!$D$2:$D$501,0))),""))</f>
        <v/>
      </c>
      <c r="J565" s="30" t="str">
        <f aca="false">IF($C565="","",IF($G565="","slug not in links; ","")&amp;IF($D565="","reading type missing; ","")&amp;IF(COUNTIFS(scans!$C$2:$C$1601,$C565,scans!$D$2:$D$1601,$D565)&gt;1,"two readings of this type: keep one; ",""))</f>
        <v/>
      </c>
    </row>
    <row r="566" customFormat="false" ht="15" hidden="false" customHeight="false" outlineLevel="0" collapsed="false">
      <c r="A566" s="11"/>
      <c r="B566" s="38"/>
      <c r="D566" s="10"/>
      <c r="G566" s="30" t="str">
        <f aca="false">IF($C566="","",IFERROR(IF(INDEX(links!$A$2:$A$501,MATCH($C566,links!$D$2:$D$501,0))="","",INDEX(links!$A$2:$A$501,MATCH($C566,links!$D$2:$D$501,0))),""))</f>
        <v/>
      </c>
      <c r="H566" s="30" t="str">
        <f aca="false">IF($C566="","",IFERROR(IF(INDEX(links!$B$2:$B$501,MATCH($C566,links!$D$2:$D$501,0))="","",INDEX(links!$B$2:$B$501,MATCH($C566,links!$D$2:$D$501,0))),""))</f>
        <v/>
      </c>
      <c r="I566" s="30" t="str">
        <f aca="false">IF($C566="","",IFERROR(IF(INDEX(links!$C$2:$C$501,MATCH($C566,links!$D$2:$D$501,0))="","",INDEX(links!$C$2:$C$501,MATCH($C566,links!$D$2:$D$501,0))),""))</f>
        <v/>
      </c>
      <c r="J566" s="30" t="str">
        <f aca="false">IF($C566="","",IF($G566="","slug not in links; ","")&amp;IF($D566="","reading type missing; ","")&amp;IF(COUNTIFS(scans!$C$2:$C$1601,$C566,scans!$D$2:$D$1601,$D566)&gt;1,"two readings of this type: keep one; ",""))</f>
        <v/>
      </c>
    </row>
    <row r="567" customFormat="false" ht="15" hidden="false" customHeight="false" outlineLevel="0" collapsed="false">
      <c r="A567" s="11"/>
      <c r="B567" s="38"/>
      <c r="D567" s="10"/>
      <c r="G567" s="30" t="str">
        <f aca="false">IF($C567="","",IFERROR(IF(INDEX(links!$A$2:$A$501,MATCH($C567,links!$D$2:$D$501,0))="","",INDEX(links!$A$2:$A$501,MATCH($C567,links!$D$2:$D$501,0))),""))</f>
        <v/>
      </c>
      <c r="H567" s="30" t="str">
        <f aca="false">IF($C567="","",IFERROR(IF(INDEX(links!$B$2:$B$501,MATCH($C567,links!$D$2:$D$501,0))="","",INDEX(links!$B$2:$B$501,MATCH($C567,links!$D$2:$D$501,0))),""))</f>
        <v/>
      </c>
      <c r="I567" s="30" t="str">
        <f aca="false">IF($C567="","",IFERROR(IF(INDEX(links!$C$2:$C$501,MATCH($C567,links!$D$2:$D$501,0))="","",INDEX(links!$C$2:$C$501,MATCH($C567,links!$D$2:$D$501,0))),""))</f>
        <v/>
      </c>
      <c r="J567" s="30" t="str">
        <f aca="false">IF($C567="","",IF($G567="","slug not in links; ","")&amp;IF($D567="","reading type missing; ","")&amp;IF(COUNTIFS(scans!$C$2:$C$1601,$C567,scans!$D$2:$D$1601,$D567)&gt;1,"two readings of this type: keep one; ",""))</f>
        <v/>
      </c>
    </row>
    <row r="568" customFormat="false" ht="15" hidden="false" customHeight="false" outlineLevel="0" collapsed="false">
      <c r="A568" s="11"/>
      <c r="B568" s="38"/>
      <c r="D568" s="10"/>
      <c r="G568" s="30" t="str">
        <f aca="false">IF($C568="","",IFERROR(IF(INDEX(links!$A$2:$A$501,MATCH($C568,links!$D$2:$D$501,0))="","",INDEX(links!$A$2:$A$501,MATCH($C568,links!$D$2:$D$501,0))),""))</f>
        <v/>
      </c>
      <c r="H568" s="30" t="str">
        <f aca="false">IF($C568="","",IFERROR(IF(INDEX(links!$B$2:$B$501,MATCH($C568,links!$D$2:$D$501,0))="","",INDEX(links!$B$2:$B$501,MATCH($C568,links!$D$2:$D$501,0))),""))</f>
        <v/>
      </c>
      <c r="I568" s="30" t="str">
        <f aca="false">IF($C568="","",IFERROR(IF(INDEX(links!$C$2:$C$501,MATCH($C568,links!$D$2:$D$501,0))="","",INDEX(links!$C$2:$C$501,MATCH($C568,links!$D$2:$D$501,0))),""))</f>
        <v/>
      </c>
      <c r="J568" s="30" t="str">
        <f aca="false">IF($C568="","",IF($G568="","slug not in links; ","")&amp;IF($D568="","reading type missing; ","")&amp;IF(COUNTIFS(scans!$C$2:$C$1601,$C568,scans!$D$2:$D$1601,$D568)&gt;1,"two readings of this type: keep one; ",""))</f>
        <v/>
      </c>
    </row>
    <row r="569" customFormat="false" ht="15" hidden="false" customHeight="false" outlineLevel="0" collapsed="false">
      <c r="A569" s="11"/>
      <c r="B569" s="38"/>
      <c r="D569" s="10"/>
      <c r="G569" s="30" t="str">
        <f aca="false">IF($C569="","",IFERROR(IF(INDEX(links!$A$2:$A$501,MATCH($C569,links!$D$2:$D$501,0))="","",INDEX(links!$A$2:$A$501,MATCH($C569,links!$D$2:$D$501,0))),""))</f>
        <v/>
      </c>
      <c r="H569" s="30" t="str">
        <f aca="false">IF($C569="","",IFERROR(IF(INDEX(links!$B$2:$B$501,MATCH($C569,links!$D$2:$D$501,0))="","",INDEX(links!$B$2:$B$501,MATCH($C569,links!$D$2:$D$501,0))),""))</f>
        <v/>
      </c>
      <c r="I569" s="30" t="str">
        <f aca="false">IF($C569="","",IFERROR(IF(INDEX(links!$C$2:$C$501,MATCH($C569,links!$D$2:$D$501,0))="","",INDEX(links!$C$2:$C$501,MATCH($C569,links!$D$2:$D$501,0))),""))</f>
        <v/>
      </c>
      <c r="J569" s="30" t="str">
        <f aca="false">IF($C569="","",IF($G569="","slug not in links; ","")&amp;IF($D569="","reading type missing; ","")&amp;IF(COUNTIFS(scans!$C$2:$C$1601,$C569,scans!$D$2:$D$1601,$D569)&gt;1,"two readings of this type: keep one; ",""))</f>
        <v/>
      </c>
    </row>
    <row r="570" customFormat="false" ht="15" hidden="false" customHeight="false" outlineLevel="0" collapsed="false">
      <c r="A570" s="11"/>
      <c r="B570" s="38"/>
      <c r="D570" s="10"/>
      <c r="G570" s="30" t="str">
        <f aca="false">IF($C570="","",IFERROR(IF(INDEX(links!$A$2:$A$501,MATCH($C570,links!$D$2:$D$501,0))="","",INDEX(links!$A$2:$A$501,MATCH($C570,links!$D$2:$D$501,0))),""))</f>
        <v/>
      </c>
      <c r="H570" s="30" t="str">
        <f aca="false">IF($C570="","",IFERROR(IF(INDEX(links!$B$2:$B$501,MATCH($C570,links!$D$2:$D$501,0))="","",INDEX(links!$B$2:$B$501,MATCH($C570,links!$D$2:$D$501,0))),""))</f>
        <v/>
      </c>
      <c r="I570" s="30" t="str">
        <f aca="false">IF($C570="","",IFERROR(IF(INDEX(links!$C$2:$C$501,MATCH($C570,links!$D$2:$D$501,0))="","",INDEX(links!$C$2:$C$501,MATCH($C570,links!$D$2:$D$501,0))),""))</f>
        <v/>
      </c>
      <c r="J570" s="30" t="str">
        <f aca="false">IF($C570="","",IF($G570="","slug not in links; ","")&amp;IF($D570="","reading type missing; ","")&amp;IF(COUNTIFS(scans!$C$2:$C$1601,$C570,scans!$D$2:$D$1601,$D570)&gt;1,"two readings of this type: keep one; ",""))</f>
        <v/>
      </c>
    </row>
    <row r="571" customFormat="false" ht="15" hidden="false" customHeight="false" outlineLevel="0" collapsed="false">
      <c r="A571" s="11"/>
      <c r="B571" s="38"/>
      <c r="D571" s="10"/>
      <c r="G571" s="30" t="str">
        <f aca="false">IF($C571="","",IFERROR(IF(INDEX(links!$A$2:$A$501,MATCH($C571,links!$D$2:$D$501,0))="","",INDEX(links!$A$2:$A$501,MATCH($C571,links!$D$2:$D$501,0))),""))</f>
        <v/>
      </c>
      <c r="H571" s="30" t="str">
        <f aca="false">IF($C571="","",IFERROR(IF(INDEX(links!$B$2:$B$501,MATCH($C571,links!$D$2:$D$501,0))="","",INDEX(links!$B$2:$B$501,MATCH($C571,links!$D$2:$D$501,0))),""))</f>
        <v/>
      </c>
      <c r="I571" s="30" t="str">
        <f aca="false">IF($C571="","",IFERROR(IF(INDEX(links!$C$2:$C$501,MATCH($C571,links!$D$2:$D$501,0))="","",INDEX(links!$C$2:$C$501,MATCH($C571,links!$D$2:$D$501,0))),""))</f>
        <v/>
      </c>
      <c r="J571" s="30" t="str">
        <f aca="false">IF($C571="","",IF($G571="","slug not in links; ","")&amp;IF($D571="","reading type missing; ","")&amp;IF(COUNTIFS(scans!$C$2:$C$1601,$C571,scans!$D$2:$D$1601,$D571)&gt;1,"two readings of this type: keep one; ",""))</f>
        <v/>
      </c>
    </row>
    <row r="572" customFormat="false" ht="15" hidden="false" customHeight="false" outlineLevel="0" collapsed="false">
      <c r="A572" s="11"/>
      <c r="B572" s="38"/>
      <c r="D572" s="10"/>
      <c r="G572" s="30" t="str">
        <f aca="false">IF($C572="","",IFERROR(IF(INDEX(links!$A$2:$A$501,MATCH($C572,links!$D$2:$D$501,0))="","",INDEX(links!$A$2:$A$501,MATCH($C572,links!$D$2:$D$501,0))),""))</f>
        <v/>
      </c>
      <c r="H572" s="30" t="str">
        <f aca="false">IF($C572="","",IFERROR(IF(INDEX(links!$B$2:$B$501,MATCH($C572,links!$D$2:$D$501,0))="","",INDEX(links!$B$2:$B$501,MATCH($C572,links!$D$2:$D$501,0))),""))</f>
        <v/>
      </c>
      <c r="I572" s="30" t="str">
        <f aca="false">IF($C572="","",IFERROR(IF(INDEX(links!$C$2:$C$501,MATCH($C572,links!$D$2:$D$501,0))="","",INDEX(links!$C$2:$C$501,MATCH($C572,links!$D$2:$D$501,0))),""))</f>
        <v/>
      </c>
      <c r="J572" s="30" t="str">
        <f aca="false">IF($C572="","",IF($G572="","slug not in links; ","")&amp;IF($D572="","reading type missing; ","")&amp;IF(COUNTIFS(scans!$C$2:$C$1601,$C572,scans!$D$2:$D$1601,$D572)&gt;1,"two readings of this type: keep one; ",""))</f>
        <v/>
      </c>
    </row>
    <row r="573" customFormat="false" ht="15" hidden="false" customHeight="false" outlineLevel="0" collapsed="false">
      <c r="A573" s="11"/>
      <c r="B573" s="38"/>
      <c r="D573" s="10"/>
      <c r="G573" s="30" t="str">
        <f aca="false">IF($C573="","",IFERROR(IF(INDEX(links!$A$2:$A$501,MATCH($C573,links!$D$2:$D$501,0))="","",INDEX(links!$A$2:$A$501,MATCH($C573,links!$D$2:$D$501,0))),""))</f>
        <v/>
      </c>
      <c r="H573" s="30" t="str">
        <f aca="false">IF($C573="","",IFERROR(IF(INDEX(links!$B$2:$B$501,MATCH($C573,links!$D$2:$D$501,0))="","",INDEX(links!$B$2:$B$501,MATCH($C573,links!$D$2:$D$501,0))),""))</f>
        <v/>
      </c>
      <c r="I573" s="30" t="str">
        <f aca="false">IF($C573="","",IFERROR(IF(INDEX(links!$C$2:$C$501,MATCH($C573,links!$D$2:$D$501,0))="","",INDEX(links!$C$2:$C$501,MATCH($C573,links!$D$2:$D$501,0))),""))</f>
        <v/>
      </c>
      <c r="J573" s="30" t="str">
        <f aca="false">IF($C573="","",IF($G573="","slug not in links; ","")&amp;IF($D573="","reading type missing; ","")&amp;IF(COUNTIFS(scans!$C$2:$C$1601,$C573,scans!$D$2:$D$1601,$D573)&gt;1,"two readings of this type: keep one; ",""))</f>
        <v/>
      </c>
    </row>
    <row r="574" customFormat="false" ht="15" hidden="false" customHeight="false" outlineLevel="0" collapsed="false">
      <c r="A574" s="11"/>
      <c r="B574" s="38"/>
      <c r="D574" s="10"/>
      <c r="G574" s="30" t="str">
        <f aca="false">IF($C574="","",IFERROR(IF(INDEX(links!$A$2:$A$501,MATCH($C574,links!$D$2:$D$501,0))="","",INDEX(links!$A$2:$A$501,MATCH($C574,links!$D$2:$D$501,0))),""))</f>
        <v/>
      </c>
      <c r="H574" s="30" t="str">
        <f aca="false">IF($C574="","",IFERROR(IF(INDEX(links!$B$2:$B$501,MATCH($C574,links!$D$2:$D$501,0))="","",INDEX(links!$B$2:$B$501,MATCH($C574,links!$D$2:$D$501,0))),""))</f>
        <v/>
      </c>
      <c r="I574" s="30" t="str">
        <f aca="false">IF($C574="","",IFERROR(IF(INDEX(links!$C$2:$C$501,MATCH($C574,links!$D$2:$D$501,0))="","",INDEX(links!$C$2:$C$501,MATCH($C574,links!$D$2:$D$501,0))),""))</f>
        <v/>
      </c>
      <c r="J574" s="30" t="str">
        <f aca="false">IF($C574="","",IF($G574="","slug not in links; ","")&amp;IF($D574="","reading type missing; ","")&amp;IF(COUNTIFS(scans!$C$2:$C$1601,$C574,scans!$D$2:$D$1601,$D574)&gt;1,"two readings of this type: keep one; ",""))</f>
        <v/>
      </c>
    </row>
    <row r="575" customFormat="false" ht="15" hidden="false" customHeight="false" outlineLevel="0" collapsed="false">
      <c r="A575" s="11"/>
      <c r="B575" s="38"/>
      <c r="D575" s="10"/>
      <c r="G575" s="30" t="str">
        <f aca="false">IF($C575="","",IFERROR(IF(INDEX(links!$A$2:$A$501,MATCH($C575,links!$D$2:$D$501,0))="","",INDEX(links!$A$2:$A$501,MATCH($C575,links!$D$2:$D$501,0))),""))</f>
        <v/>
      </c>
      <c r="H575" s="30" t="str">
        <f aca="false">IF($C575="","",IFERROR(IF(INDEX(links!$B$2:$B$501,MATCH($C575,links!$D$2:$D$501,0))="","",INDEX(links!$B$2:$B$501,MATCH($C575,links!$D$2:$D$501,0))),""))</f>
        <v/>
      </c>
      <c r="I575" s="30" t="str">
        <f aca="false">IF($C575="","",IFERROR(IF(INDEX(links!$C$2:$C$501,MATCH($C575,links!$D$2:$D$501,0))="","",INDEX(links!$C$2:$C$501,MATCH($C575,links!$D$2:$D$501,0))),""))</f>
        <v/>
      </c>
      <c r="J575" s="30" t="str">
        <f aca="false">IF($C575="","",IF($G575="","slug not in links; ","")&amp;IF($D575="","reading type missing; ","")&amp;IF(COUNTIFS(scans!$C$2:$C$1601,$C575,scans!$D$2:$D$1601,$D575)&gt;1,"two readings of this type: keep one; ",""))</f>
        <v/>
      </c>
    </row>
    <row r="576" customFormat="false" ht="15" hidden="false" customHeight="false" outlineLevel="0" collapsed="false">
      <c r="A576" s="11"/>
      <c r="B576" s="38"/>
      <c r="D576" s="10"/>
      <c r="G576" s="30" t="str">
        <f aca="false">IF($C576="","",IFERROR(IF(INDEX(links!$A$2:$A$501,MATCH($C576,links!$D$2:$D$501,0))="","",INDEX(links!$A$2:$A$501,MATCH($C576,links!$D$2:$D$501,0))),""))</f>
        <v/>
      </c>
      <c r="H576" s="30" t="str">
        <f aca="false">IF($C576="","",IFERROR(IF(INDEX(links!$B$2:$B$501,MATCH($C576,links!$D$2:$D$501,0))="","",INDEX(links!$B$2:$B$501,MATCH($C576,links!$D$2:$D$501,0))),""))</f>
        <v/>
      </c>
      <c r="I576" s="30" t="str">
        <f aca="false">IF($C576="","",IFERROR(IF(INDEX(links!$C$2:$C$501,MATCH($C576,links!$D$2:$D$501,0))="","",INDEX(links!$C$2:$C$501,MATCH($C576,links!$D$2:$D$501,0))),""))</f>
        <v/>
      </c>
      <c r="J576" s="30" t="str">
        <f aca="false">IF($C576="","",IF($G576="","slug not in links; ","")&amp;IF($D576="","reading type missing; ","")&amp;IF(COUNTIFS(scans!$C$2:$C$1601,$C576,scans!$D$2:$D$1601,$D576)&gt;1,"two readings of this type: keep one; ",""))</f>
        <v/>
      </c>
    </row>
    <row r="577" customFormat="false" ht="15" hidden="false" customHeight="false" outlineLevel="0" collapsed="false">
      <c r="A577" s="11"/>
      <c r="B577" s="38"/>
      <c r="D577" s="10"/>
      <c r="G577" s="30" t="str">
        <f aca="false">IF($C577="","",IFERROR(IF(INDEX(links!$A$2:$A$501,MATCH($C577,links!$D$2:$D$501,0))="","",INDEX(links!$A$2:$A$501,MATCH($C577,links!$D$2:$D$501,0))),""))</f>
        <v/>
      </c>
      <c r="H577" s="30" t="str">
        <f aca="false">IF($C577="","",IFERROR(IF(INDEX(links!$B$2:$B$501,MATCH($C577,links!$D$2:$D$501,0))="","",INDEX(links!$B$2:$B$501,MATCH($C577,links!$D$2:$D$501,0))),""))</f>
        <v/>
      </c>
      <c r="I577" s="30" t="str">
        <f aca="false">IF($C577="","",IFERROR(IF(INDEX(links!$C$2:$C$501,MATCH($C577,links!$D$2:$D$501,0))="","",INDEX(links!$C$2:$C$501,MATCH($C577,links!$D$2:$D$501,0))),""))</f>
        <v/>
      </c>
      <c r="J577" s="30" t="str">
        <f aca="false">IF($C577="","",IF($G577="","slug not in links; ","")&amp;IF($D577="","reading type missing; ","")&amp;IF(COUNTIFS(scans!$C$2:$C$1601,$C577,scans!$D$2:$D$1601,$D577)&gt;1,"two readings of this type: keep one; ",""))</f>
        <v/>
      </c>
    </row>
    <row r="578" customFormat="false" ht="15" hidden="false" customHeight="false" outlineLevel="0" collapsed="false">
      <c r="A578" s="11"/>
      <c r="B578" s="38"/>
      <c r="D578" s="10"/>
      <c r="G578" s="30" t="str">
        <f aca="false">IF($C578="","",IFERROR(IF(INDEX(links!$A$2:$A$501,MATCH($C578,links!$D$2:$D$501,0))="","",INDEX(links!$A$2:$A$501,MATCH($C578,links!$D$2:$D$501,0))),""))</f>
        <v/>
      </c>
      <c r="H578" s="30" t="str">
        <f aca="false">IF($C578="","",IFERROR(IF(INDEX(links!$B$2:$B$501,MATCH($C578,links!$D$2:$D$501,0))="","",INDEX(links!$B$2:$B$501,MATCH($C578,links!$D$2:$D$501,0))),""))</f>
        <v/>
      </c>
      <c r="I578" s="30" t="str">
        <f aca="false">IF($C578="","",IFERROR(IF(INDEX(links!$C$2:$C$501,MATCH($C578,links!$D$2:$D$501,0))="","",INDEX(links!$C$2:$C$501,MATCH($C578,links!$D$2:$D$501,0))),""))</f>
        <v/>
      </c>
      <c r="J578" s="30" t="str">
        <f aca="false">IF($C578="","",IF($G578="","slug not in links; ","")&amp;IF($D578="","reading type missing; ","")&amp;IF(COUNTIFS(scans!$C$2:$C$1601,$C578,scans!$D$2:$D$1601,$D578)&gt;1,"two readings of this type: keep one; ",""))</f>
        <v/>
      </c>
    </row>
    <row r="579" customFormat="false" ht="15" hidden="false" customHeight="false" outlineLevel="0" collapsed="false">
      <c r="A579" s="11"/>
      <c r="B579" s="38"/>
      <c r="D579" s="10"/>
      <c r="G579" s="30" t="str">
        <f aca="false">IF($C579="","",IFERROR(IF(INDEX(links!$A$2:$A$501,MATCH($C579,links!$D$2:$D$501,0))="","",INDEX(links!$A$2:$A$501,MATCH($C579,links!$D$2:$D$501,0))),""))</f>
        <v/>
      </c>
      <c r="H579" s="30" t="str">
        <f aca="false">IF($C579="","",IFERROR(IF(INDEX(links!$B$2:$B$501,MATCH($C579,links!$D$2:$D$501,0))="","",INDEX(links!$B$2:$B$501,MATCH($C579,links!$D$2:$D$501,0))),""))</f>
        <v/>
      </c>
      <c r="I579" s="30" t="str">
        <f aca="false">IF($C579="","",IFERROR(IF(INDEX(links!$C$2:$C$501,MATCH($C579,links!$D$2:$D$501,0))="","",INDEX(links!$C$2:$C$501,MATCH($C579,links!$D$2:$D$501,0))),""))</f>
        <v/>
      </c>
      <c r="J579" s="30" t="str">
        <f aca="false">IF($C579="","",IF($G579="","slug not in links; ","")&amp;IF($D579="","reading type missing; ","")&amp;IF(COUNTIFS(scans!$C$2:$C$1601,$C579,scans!$D$2:$D$1601,$D579)&gt;1,"two readings of this type: keep one; ",""))</f>
        <v/>
      </c>
    </row>
    <row r="580" customFormat="false" ht="15" hidden="false" customHeight="false" outlineLevel="0" collapsed="false">
      <c r="A580" s="11"/>
      <c r="B580" s="38"/>
      <c r="D580" s="10"/>
      <c r="G580" s="30" t="str">
        <f aca="false">IF($C580="","",IFERROR(IF(INDEX(links!$A$2:$A$501,MATCH($C580,links!$D$2:$D$501,0))="","",INDEX(links!$A$2:$A$501,MATCH($C580,links!$D$2:$D$501,0))),""))</f>
        <v/>
      </c>
      <c r="H580" s="30" t="str">
        <f aca="false">IF($C580="","",IFERROR(IF(INDEX(links!$B$2:$B$501,MATCH($C580,links!$D$2:$D$501,0))="","",INDEX(links!$B$2:$B$501,MATCH($C580,links!$D$2:$D$501,0))),""))</f>
        <v/>
      </c>
      <c r="I580" s="30" t="str">
        <f aca="false">IF($C580="","",IFERROR(IF(INDEX(links!$C$2:$C$501,MATCH($C580,links!$D$2:$D$501,0))="","",INDEX(links!$C$2:$C$501,MATCH($C580,links!$D$2:$D$501,0))),""))</f>
        <v/>
      </c>
      <c r="J580" s="30" t="str">
        <f aca="false">IF($C580="","",IF($G580="","slug not in links; ","")&amp;IF($D580="","reading type missing; ","")&amp;IF(COUNTIFS(scans!$C$2:$C$1601,$C580,scans!$D$2:$D$1601,$D580)&gt;1,"two readings of this type: keep one; ",""))</f>
        <v/>
      </c>
    </row>
    <row r="581" customFormat="false" ht="15" hidden="false" customHeight="false" outlineLevel="0" collapsed="false">
      <c r="A581" s="11"/>
      <c r="B581" s="38"/>
      <c r="D581" s="10"/>
      <c r="G581" s="30" t="str">
        <f aca="false">IF($C581="","",IFERROR(IF(INDEX(links!$A$2:$A$501,MATCH($C581,links!$D$2:$D$501,0))="","",INDEX(links!$A$2:$A$501,MATCH($C581,links!$D$2:$D$501,0))),""))</f>
        <v/>
      </c>
      <c r="H581" s="30" t="str">
        <f aca="false">IF($C581="","",IFERROR(IF(INDEX(links!$B$2:$B$501,MATCH($C581,links!$D$2:$D$501,0))="","",INDEX(links!$B$2:$B$501,MATCH($C581,links!$D$2:$D$501,0))),""))</f>
        <v/>
      </c>
      <c r="I581" s="30" t="str">
        <f aca="false">IF($C581="","",IFERROR(IF(INDEX(links!$C$2:$C$501,MATCH($C581,links!$D$2:$D$501,0))="","",INDEX(links!$C$2:$C$501,MATCH($C581,links!$D$2:$D$501,0))),""))</f>
        <v/>
      </c>
      <c r="J581" s="30" t="str">
        <f aca="false">IF($C581="","",IF($G581="","slug not in links; ","")&amp;IF($D581="","reading type missing; ","")&amp;IF(COUNTIFS(scans!$C$2:$C$1601,$C581,scans!$D$2:$D$1601,$D581)&gt;1,"two readings of this type: keep one; ",""))</f>
        <v/>
      </c>
    </row>
    <row r="582" customFormat="false" ht="15" hidden="false" customHeight="false" outlineLevel="0" collapsed="false">
      <c r="A582" s="11"/>
      <c r="B582" s="38"/>
      <c r="D582" s="10"/>
      <c r="G582" s="30" t="str">
        <f aca="false">IF($C582="","",IFERROR(IF(INDEX(links!$A$2:$A$501,MATCH($C582,links!$D$2:$D$501,0))="","",INDEX(links!$A$2:$A$501,MATCH($C582,links!$D$2:$D$501,0))),""))</f>
        <v/>
      </c>
      <c r="H582" s="30" t="str">
        <f aca="false">IF($C582="","",IFERROR(IF(INDEX(links!$B$2:$B$501,MATCH($C582,links!$D$2:$D$501,0))="","",INDEX(links!$B$2:$B$501,MATCH($C582,links!$D$2:$D$501,0))),""))</f>
        <v/>
      </c>
      <c r="I582" s="30" t="str">
        <f aca="false">IF($C582="","",IFERROR(IF(INDEX(links!$C$2:$C$501,MATCH($C582,links!$D$2:$D$501,0))="","",INDEX(links!$C$2:$C$501,MATCH($C582,links!$D$2:$D$501,0))),""))</f>
        <v/>
      </c>
      <c r="J582" s="30" t="str">
        <f aca="false">IF($C582="","",IF($G582="","slug not in links; ","")&amp;IF($D582="","reading type missing; ","")&amp;IF(COUNTIFS(scans!$C$2:$C$1601,$C582,scans!$D$2:$D$1601,$D582)&gt;1,"two readings of this type: keep one; ",""))</f>
        <v/>
      </c>
    </row>
    <row r="583" customFormat="false" ht="15" hidden="false" customHeight="false" outlineLevel="0" collapsed="false">
      <c r="A583" s="11"/>
      <c r="B583" s="38"/>
      <c r="D583" s="10"/>
      <c r="G583" s="30" t="str">
        <f aca="false">IF($C583="","",IFERROR(IF(INDEX(links!$A$2:$A$501,MATCH($C583,links!$D$2:$D$501,0))="","",INDEX(links!$A$2:$A$501,MATCH($C583,links!$D$2:$D$501,0))),""))</f>
        <v/>
      </c>
      <c r="H583" s="30" t="str">
        <f aca="false">IF($C583="","",IFERROR(IF(INDEX(links!$B$2:$B$501,MATCH($C583,links!$D$2:$D$501,0))="","",INDEX(links!$B$2:$B$501,MATCH($C583,links!$D$2:$D$501,0))),""))</f>
        <v/>
      </c>
      <c r="I583" s="30" t="str">
        <f aca="false">IF($C583="","",IFERROR(IF(INDEX(links!$C$2:$C$501,MATCH($C583,links!$D$2:$D$501,0))="","",INDEX(links!$C$2:$C$501,MATCH($C583,links!$D$2:$D$501,0))),""))</f>
        <v/>
      </c>
      <c r="J583" s="30" t="str">
        <f aca="false">IF($C583="","",IF($G583="","slug not in links; ","")&amp;IF($D583="","reading type missing; ","")&amp;IF(COUNTIFS(scans!$C$2:$C$1601,$C583,scans!$D$2:$D$1601,$D583)&gt;1,"two readings of this type: keep one; ",""))</f>
        <v/>
      </c>
    </row>
    <row r="584" customFormat="false" ht="15" hidden="false" customHeight="false" outlineLevel="0" collapsed="false">
      <c r="A584" s="11"/>
      <c r="B584" s="38"/>
      <c r="D584" s="10"/>
      <c r="G584" s="30" t="str">
        <f aca="false">IF($C584="","",IFERROR(IF(INDEX(links!$A$2:$A$501,MATCH($C584,links!$D$2:$D$501,0))="","",INDEX(links!$A$2:$A$501,MATCH($C584,links!$D$2:$D$501,0))),""))</f>
        <v/>
      </c>
      <c r="H584" s="30" t="str">
        <f aca="false">IF($C584="","",IFERROR(IF(INDEX(links!$B$2:$B$501,MATCH($C584,links!$D$2:$D$501,0))="","",INDEX(links!$B$2:$B$501,MATCH($C584,links!$D$2:$D$501,0))),""))</f>
        <v/>
      </c>
      <c r="I584" s="30" t="str">
        <f aca="false">IF($C584="","",IFERROR(IF(INDEX(links!$C$2:$C$501,MATCH($C584,links!$D$2:$D$501,0))="","",INDEX(links!$C$2:$C$501,MATCH($C584,links!$D$2:$D$501,0))),""))</f>
        <v/>
      </c>
      <c r="J584" s="30" t="str">
        <f aca="false">IF($C584="","",IF($G584="","slug not in links; ","")&amp;IF($D584="","reading type missing; ","")&amp;IF(COUNTIFS(scans!$C$2:$C$1601,$C584,scans!$D$2:$D$1601,$D584)&gt;1,"two readings of this type: keep one; ",""))</f>
        <v/>
      </c>
    </row>
    <row r="585" customFormat="false" ht="15" hidden="false" customHeight="false" outlineLevel="0" collapsed="false">
      <c r="A585" s="11"/>
      <c r="B585" s="38"/>
      <c r="D585" s="10"/>
      <c r="G585" s="30" t="str">
        <f aca="false">IF($C585="","",IFERROR(IF(INDEX(links!$A$2:$A$501,MATCH($C585,links!$D$2:$D$501,0))="","",INDEX(links!$A$2:$A$501,MATCH($C585,links!$D$2:$D$501,0))),""))</f>
        <v/>
      </c>
      <c r="H585" s="30" t="str">
        <f aca="false">IF($C585="","",IFERROR(IF(INDEX(links!$B$2:$B$501,MATCH($C585,links!$D$2:$D$501,0))="","",INDEX(links!$B$2:$B$501,MATCH($C585,links!$D$2:$D$501,0))),""))</f>
        <v/>
      </c>
      <c r="I585" s="30" t="str">
        <f aca="false">IF($C585="","",IFERROR(IF(INDEX(links!$C$2:$C$501,MATCH($C585,links!$D$2:$D$501,0))="","",INDEX(links!$C$2:$C$501,MATCH($C585,links!$D$2:$D$501,0))),""))</f>
        <v/>
      </c>
      <c r="J585" s="30" t="str">
        <f aca="false">IF($C585="","",IF($G585="","slug not in links; ","")&amp;IF($D585="","reading type missing; ","")&amp;IF(COUNTIFS(scans!$C$2:$C$1601,$C585,scans!$D$2:$D$1601,$D585)&gt;1,"two readings of this type: keep one; ",""))</f>
        <v/>
      </c>
    </row>
    <row r="586" customFormat="false" ht="15" hidden="false" customHeight="false" outlineLevel="0" collapsed="false">
      <c r="A586" s="11"/>
      <c r="B586" s="38"/>
      <c r="D586" s="10"/>
      <c r="G586" s="30" t="str">
        <f aca="false">IF($C586="","",IFERROR(IF(INDEX(links!$A$2:$A$501,MATCH($C586,links!$D$2:$D$501,0))="","",INDEX(links!$A$2:$A$501,MATCH($C586,links!$D$2:$D$501,0))),""))</f>
        <v/>
      </c>
      <c r="H586" s="30" t="str">
        <f aca="false">IF($C586="","",IFERROR(IF(INDEX(links!$B$2:$B$501,MATCH($C586,links!$D$2:$D$501,0))="","",INDEX(links!$B$2:$B$501,MATCH($C586,links!$D$2:$D$501,0))),""))</f>
        <v/>
      </c>
      <c r="I586" s="30" t="str">
        <f aca="false">IF($C586="","",IFERROR(IF(INDEX(links!$C$2:$C$501,MATCH($C586,links!$D$2:$D$501,0))="","",INDEX(links!$C$2:$C$501,MATCH($C586,links!$D$2:$D$501,0))),""))</f>
        <v/>
      </c>
      <c r="J586" s="30" t="str">
        <f aca="false">IF($C586="","",IF($G586="","slug not in links; ","")&amp;IF($D586="","reading type missing; ","")&amp;IF(COUNTIFS(scans!$C$2:$C$1601,$C586,scans!$D$2:$D$1601,$D586)&gt;1,"two readings of this type: keep one; ",""))</f>
        <v/>
      </c>
    </row>
    <row r="587" customFormat="false" ht="15" hidden="false" customHeight="false" outlineLevel="0" collapsed="false">
      <c r="A587" s="11"/>
      <c r="B587" s="38"/>
      <c r="D587" s="10"/>
      <c r="G587" s="30" t="str">
        <f aca="false">IF($C587="","",IFERROR(IF(INDEX(links!$A$2:$A$501,MATCH($C587,links!$D$2:$D$501,0))="","",INDEX(links!$A$2:$A$501,MATCH($C587,links!$D$2:$D$501,0))),""))</f>
        <v/>
      </c>
      <c r="H587" s="30" t="str">
        <f aca="false">IF($C587="","",IFERROR(IF(INDEX(links!$B$2:$B$501,MATCH($C587,links!$D$2:$D$501,0))="","",INDEX(links!$B$2:$B$501,MATCH($C587,links!$D$2:$D$501,0))),""))</f>
        <v/>
      </c>
      <c r="I587" s="30" t="str">
        <f aca="false">IF($C587="","",IFERROR(IF(INDEX(links!$C$2:$C$501,MATCH($C587,links!$D$2:$D$501,0))="","",INDEX(links!$C$2:$C$501,MATCH($C587,links!$D$2:$D$501,0))),""))</f>
        <v/>
      </c>
      <c r="J587" s="30" t="str">
        <f aca="false">IF($C587="","",IF($G587="","slug not in links; ","")&amp;IF($D587="","reading type missing; ","")&amp;IF(COUNTIFS(scans!$C$2:$C$1601,$C587,scans!$D$2:$D$1601,$D587)&gt;1,"two readings of this type: keep one; ",""))</f>
        <v/>
      </c>
    </row>
    <row r="588" customFormat="false" ht="15" hidden="false" customHeight="false" outlineLevel="0" collapsed="false">
      <c r="A588" s="11"/>
      <c r="B588" s="38"/>
      <c r="D588" s="10"/>
      <c r="G588" s="30" t="str">
        <f aca="false">IF($C588="","",IFERROR(IF(INDEX(links!$A$2:$A$501,MATCH($C588,links!$D$2:$D$501,0))="","",INDEX(links!$A$2:$A$501,MATCH($C588,links!$D$2:$D$501,0))),""))</f>
        <v/>
      </c>
      <c r="H588" s="30" t="str">
        <f aca="false">IF($C588="","",IFERROR(IF(INDEX(links!$B$2:$B$501,MATCH($C588,links!$D$2:$D$501,0))="","",INDEX(links!$B$2:$B$501,MATCH($C588,links!$D$2:$D$501,0))),""))</f>
        <v/>
      </c>
      <c r="I588" s="30" t="str">
        <f aca="false">IF($C588="","",IFERROR(IF(INDEX(links!$C$2:$C$501,MATCH($C588,links!$D$2:$D$501,0))="","",INDEX(links!$C$2:$C$501,MATCH($C588,links!$D$2:$D$501,0))),""))</f>
        <v/>
      </c>
      <c r="J588" s="30" t="str">
        <f aca="false">IF($C588="","",IF($G588="","slug not in links; ","")&amp;IF($D588="","reading type missing; ","")&amp;IF(COUNTIFS(scans!$C$2:$C$1601,$C588,scans!$D$2:$D$1601,$D588)&gt;1,"two readings of this type: keep one; ",""))</f>
        <v/>
      </c>
    </row>
    <row r="589" customFormat="false" ht="15" hidden="false" customHeight="false" outlineLevel="0" collapsed="false">
      <c r="A589" s="11"/>
      <c r="B589" s="38"/>
      <c r="D589" s="10"/>
      <c r="G589" s="30" t="str">
        <f aca="false">IF($C589="","",IFERROR(IF(INDEX(links!$A$2:$A$501,MATCH($C589,links!$D$2:$D$501,0))="","",INDEX(links!$A$2:$A$501,MATCH($C589,links!$D$2:$D$501,0))),""))</f>
        <v/>
      </c>
      <c r="H589" s="30" t="str">
        <f aca="false">IF($C589="","",IFERROR(IF(INDEX(links!$B$2:$B$501,MATCH($C589,links!$D$2:$D$501,0))="","",INDEX(links!$B$2:$B$501,MATCH($C589,links!$D$2:$D$501,0))),""))</f>
        <v/>
      </c>
      <c r="I589" s="30" t="str">
        <f aca="false">IF($C589="","",IFERROR(IF(INDEX(links!$C$2:$C$501,MATCH($C589,links!$D$2:$D$501,0))="","",INDEX(links!$C$2:$C$501,MATCH($C589,links!$D$2:$D$501,0))),""))</f>
        <v/>
      </c>
      <c r="J589" s="30" t="str">
        <f aca="false">IF($C589="","",IF($G589="","slug not in links; ","")&amp;IF($D589="","reading type missing; ","")&amp;IF(COUNTIFS(scans!$C$2:$C$1601,$C589,scans!$D$2:$D$1601,$D589)&gt;1,"two readings of this type: keep one; ",""))</f>
        <v/>
      </c>
    </row>
    <row r="590" customFormat="false" ht="15" hidden="false" customHeight="false" outlineLevel="0" collapsed="false">
      <c r="A590" s="11"/>
      <c r="B590" s="38"/>
      <c r="D590" s="10"/>
      <c r="G590" s="30" t="str">
        <f aca="false">IF($C590="","",IFERROR(IF(INDEX(links!$A$2:$A$501,MATCH($C590,links!$D$2:$D$501,0))="","",INDEX(links!$A$2:$A$501,MATCH($C590,links!$D$2:$D$501,0))),""))</f>
        <v/>
      </c>
      <c r="H590" s="30" t="str">
        <f aca="false">IF($C590="","",IFERROR(IF(INDEX(links!$B$2:$B$501,MATCH($C590,links!$D$2:$D$501,0))="","",INDEX(links!$B$2:$B$501,MATCH($C590,links!$D$2:$D$501,0))),""))</f>
        <v/>
      </c>
      <c r="I590" s="30" t="str">
        <f aca="false">IF($C590="","",IFERROR(IF(INDEX(links!$C$2:$C$501,MATCH($C590,links!$D$2:$D$501,0))="","",INDEX(links!$C$2:$C$501,MATCH($C590,links!$D$2:$D$501,0))),""))</f>
        <v/>
      </c>
      <c r="J590" s="30" t="str">
        <f aca="false">IF($C590="","",IF($G590="","slug not in links; ","")&amp;IF($D590="","reading type missing; ","")&amp;IF(COUNTIFS(scans!$C$2:$C$1601,$C590,scans!$D$2:$D$1601,$D590)&gt;1,"two readings of this type: keep one; ",""))</f>
        <v/>
      </c>
    </row>
    <row r="591" customFormat="false" ht="15" hidden="false" customHeight="false" outlineLevel="0" collapsed="false">
      <c r="A591" s="11"/>
      <c r="B591" s="38"/>
      <c r="D591" s="10"/>
      <c r="G591" s="30" t="str">
        <f aca="false">IF($C591="","",IFERROR(IF(INDEX(links!$A$2:$A$501,MATCH($C591,links!$D$2:$D$501,0))="","",INDEX(links!$A$2:$A$501,MATCH($C591,links!$D$2:$D$501,0))),""))</f>
        <v/>
      </c>
      <c r="H591" s="30" t="str">
        <f aca="false">IF($C591="","",IFERROR(IF(INDEX(links!$B$2:$B$501,MATCH($C591,links!$D$2:$D$501,0))="","",INDEX(links!$B$2:$B$501,MATCH($C591,links!$D$2:$D$501,0))),""))</f>
        <v/>
      </c>
      <c r="I591" s="30" t="str">
        <f aca="false">IF($C591="","",IFERROR(IF(INDEX(links!$C$2:$C$501,MATCH($C591,links!$D$2:$D$501,0))="","",INDEX(links!$C$2:$C$501,MATCH($C591,links!$D$2:$D$501,0))),""))</f>
        <v/>
      </c>
      <c r="J591" s="30" t="str">
        <f aca="false">IF($C591="","",IF($G591="","slug not in links; ","")&amp;IF($D591="","reading type missing; ","")&amp;IF(COUNTIFS(scans!$C$2:$C$1601,$C591,scans!$D$2:$D$1601,$D591)&gt;1,"two readings of this type: keep one; ",""))</f>
        <v/>
      </c>
    </row>
    <row r="592" customFormat="false" ht="15" hidden="false" customHeight="false" outlineLevel="0" collapsed="false">
      <c r="A592" s="11"/>
      <c r="B592" s="38"/>
      <c r="D592" s="10"/>
      <c r="G592" s="30" t="str">
        <f aca="false">IF($C592="","",IFERROR(IF(INDEX(links!$A$2:$A$501,MATCH($C592,links!$D$2:$D$501,0))="","",INDEX(links!$A$2:$A$501,MATCH($C592,links!$D$2:$D$501,0))),""))</f>
        <v/>
      </c>
      <c r="H592" s="30" t="str">
        <f aca="false">IF($C592="","",IFERROR(IF(INDEX(links!$B$2:$B$501,MATCH($C592,links!$D$2:$D$501,0))="","",INDEX(links!$B$2:$B$501,MATCH($C592,links!$D$2:$D$501,0))),""))</f>
        <v/>
      </c>
      <c r="I592" s="30" t="str">
        <f aca="false">IF($C592="","",IFERROR(IF(INDEX(links!$C$2:$C$501,MATCH($C592,links!$D$2:$D$501,0))="","",INDEX(links!$C$2:$C$501,MATCH($C592,links!$D$2:$D$501,0))),""))</f>
        <v/>
      </c>
      <c r="J592" s="30" t="str">
        <f aca="false">IF($C592="","",IF($G592="","slug not in links; ","")&amp;IF($D592="","reading type missing; ","")&amp;IF(COUNTIFS(scans!$C$2:$C$1601,$C592,scans!$D$2:$D$1601,$D592)&gt;1,"two readings of this type: keep one; ",""))</f>
        <v/>
      </c>
    </row>
    <row r="593" customFormat="false" ht="15" hidden="false" customHeight="false" outlineLevel="0" collapsed="false">
      <c r="A593" s="11"/>
      <c r="B593" s="38"/>
      <c r="D593" s="10"/>
      <c r="G593" s="30" t="str">
        <f aca="false">IF($C593="","",IFERROR(IF(INDEX(links!$A$2:$A$501,MATCH($C593,links!$D$2:$D$501,0))="","",INDEX(links!$A$2:$A$501,MATCH($C593,links!$D$2:$D$501,0))),""))</f>
        <v/>
      </c>
      <c r="H593" s="30" t="str">
        <f aca="false">IF($C593="","",IFERROR(IF(INDEX(links!$B$2:$B$501,MATCH($C593,links!$D$2:$D$501,0))="","",INDEX(links!$B$2:$B$501,MATCH($C593,links!$D$2:$D$501,0))),""))</f>
        <v/>
      </c>
      <c r="I593" s="30" t="str">
        <f aca="false">IF($C593="","",IFERROR(IF(INDEX(links!$C$2:$C$501,MATCH($C593,links!$D$2:$D$501,0))="","",INDEX(links!$C$2:$C$501,MATCH($C593,links!$D$2:$D$501,0))),""))</f>
        <v/>
      </c>
      <c r="J593" s="30" t="str">
        <f aca="false">IF($C593="","",IF($G593="","slug not in links; ","")&amp;IF($D593="","reading type missing; ","")&amp;IF(COUNTIFS(scans!$C$2:$C$1601,$C593,scans!$D$2:$D$1601,$D593)&gt;1,"two readings of this type: keep one; ",""))</f>
        <v/>
      </c>
    </row>
    <row r="594" customFormat="false" ht="15" hidden="false" customHeight="false" outlineLevel="0" collapsed="false">
      <c r="A594" s="11"/>
      <c r="B594" s="38"/>
      <c r="D594" s="10"/>
      <c r="G594" s="30" t="str">
        <f aca="false">IF($C594="","",IFERROR(IF(INDEX(links!$A$2:$A$501,MATCH($C594,links!$D$2:$D$501,0))="","",INDEX(links!$A$2:$A$501,MATCH($C594,links!$D$2:$D$501,0))),""))</f>
        <v/>
      </c>
      <c r="H594" s="30" t="str">
        <f aca="false">IF($C594="","",IFERROR(IF(INDEX(links!$B$2:$B$501,MATCH($C594,links!$D$2:$D$501,0))="","",INDEX(links!$B$2:$B$501,MATCH($C594,links!$D$2:$D$501,0))),""))</f>
        <v/>
      </c>
      <c r="I594" s="30" t="str">
        <f aca="false">IF($C594="","",IFERROR(IF(INDEX(links!$C$2:$C$501,MATCH($C594,links!$D$2:$D$501,0))="","",INDEX(links!$C$2:$C$501,MATCH($C594,links!$D$2:$D$501,0))),""))</f>
        <v/>
      </c>
      <c r="J594" s="30" t="str">
        <f aca="false">IF($C594="","",IF($G594="","slug not in links; ","")&amp;IF($D594="","reading type missing; ","")&amp;IF(COUNTIFS(scans!$C$2:$C$1601,$C594,scans!$D$2:$D$1601,$D594)&gt;1,"two readings of this type: keep one; ",""))</f>
        <v/>
      </c>
    </row>
    <row r="595" customFormat="false" ht="15" hidden="false" customHeight="false" outlineLevel="0" collapsed="false">
      <c r="A595" s="11"/>
      <c r="B595" s="38"/>
      <c r="D595" s="10"/>
      <c r="G595" s="30" t="str">
        <f aca="false">IF($C595="","",IFERROR(IF(INDEX(links!$A$2:$A$501,MATCH($C595,links!$D$2:$D$501,0))="","",INDEX(links!$A$2:$A$501,MATCH($C595,links!$D$2:$D$501,0))),""))</f>
        <v/>
      </c>
      <c r="H595" s="30" t="str">
        <f aca="false">IF($C595="","",IFERROR(IF(INDEX(links!$B$2:$B$501,MATCH($C595,links!$D$2:$D$501,0))="","",INDEX(links!$B$2:$B$501,MATCH($C595,links!$D$2:$D$501,0))),""))</f>
        <v/>
      </c>
      <c r="I595" s="30" t="str">
        <f aca="false">IF($C595="","",IFERROR(IF(INDEX(links!$C$2:$C$501,MATCH($C595,links!$D$2:$D$501,0))="","",INDEX(links!$C$2:$C$501,MATCH($C595,links!$D$2:$D$501,0))),""))</f>
        <v/>
      </c>
      <c r="J595" s="30" t="str">
        <f aca="false">IF($C595="","",IF($G595="","slug not in links; ","")&amp;IF($D595="","reading type missing; ","")&amp;IF(COUNTIFS(scans!$C$2:$C$1601,$C595,scans!$D$2:$D$1601,$D595)&gt;1,"two readings of this type: keep one; ",""))</f>
        <v/>
      </c>
    </row>
    <row r="596" customFormat="false" ht="15" hidden="false" customHeight="false" outlineLevel="0" collapsed="false">
      <c r="A596" s="11"/>
      <c r="B596" s="38"/>
      <c r="D596" s="10"/>
      <c r="G596" s="30" t="str">
        <f aca="false">IF($C596="","",IFERROR(IF(INDEX(links!$A$2:$A$501,MATCH($C596,links!$D$2:$D$501,0))="","",INDEX(links!$A$2:$A$501,MATCH($C596,links!$D$2:$D$501,0))),""))</f>
        <v/>
      </c>
      <c r="H596" s="30" t="str">
        <f aca="false">IF($C596="","",IFERROR(IF(INDEX(links!$B$2:$B$501,MATCH($C596,links!$D$2:$D$501,0))="","",INDEX(links!$B$2:$B$501,MATCH($C596,links!$D$2:$D$501,0))),""))</f>
        <v/>
      </c>
      <c r="I596" s="30" t="str">
        <f aca="false">IF($C596="","",IFERROR(IF(INDEX(links!$C$2:$C$501,MATCH($C596,links!$D$2:$D$501,0))="","",INDEX(links!$C$2:$C$501,MATCH($C596,links!$D$2:$D$501,0))),""))</f>
        <v/>
      </c>
      <c r="J596" s="30" t="str">
        <f aca="false">IF($C596="","",IF($G596="","slug not in links; ","")&amp;IF($D596="","reading type missing; ","")&amp;IF(COUNTIFS(scans!$C$2:$C$1601,$C596,scans!$D$2:$D$1601,$D596)&gt;1,"two readings of this type: keep one; ",""))</f>
        <v/>
      </c>
    </row>
    <row r="597" customFormat="false" ht="15" hidden="false" customHeight="false" outlineLevel="0" collapsed="false">
      <c r="A597" s="11"/>
      <c r="B597" s="38"/>
      <c r="D597" s="10"/>
      <c r="G597" s="30" t="str">
        <f aca="false">IF($C597="","",IFERROR(IF(INDEX(links!$A$2:$A$501,MATCH($C597,links!$D$2:$D$501,0))="","",INDEX(links!$A$2:$A$501,MATCH($C597,links!$D$2:$D$501,0))),""))</f>
        <v/>
      </c>
      <c r="H597" s="30" t="str">
        <f aca="false">IF($C597="","",IFERROR(IF(INDEX(links!$B$2:$B$501,MATCH($C597,links!$D$2:$D$501,0))="","",INDEX(links!$B$2:$B$501,MATCH($C597,links!$D$2:$D$501,0))),""))</f>
        <v/>
      </c>
      <c r="I597" s="30" t="str">
        <f aca="false">IF($C597="","",IFERROR(IF(INDEX(links!$C$2:$C$501,MATCH($C597,links!$D$2:$D$501,0))="","",INDEX(links!$C$2:$C$501,MATCH($C597,links!$D$2:$D$501,0))),""))</f>
        <v/>
      </c>
      <c r="J597" s="30" t="str">
        <f aca="false">IF($C597="","",IF($G597="","slug not in links; ","")&amp;IF($D597="","reading type missing; ","")&amp;IF(COUNTIFS(scans!$C$2:$C$1601,$C597,scans!$D$2:$D$1601,$D597)&gt;1,"two readings of this type: keep one; ",""))</f>
        <v/>
      </c>
    </row>
    <row r="598" customFormat="false" ht="15" hidden="false" customHeight="false" outlineLevel="0" collapsed="false">
      <c r="A598" s="11"/>
      <c r="B598" s="38"/>
      <c r="D598" s="10"/>
      <c r="G598" s="30" t="str">
        <f aca="false">IF($C598="","",IFERROR(IF(INDEX(links!$A$2:$A$501,MATCH($C598,links!$D$2:$D$501,0))="","",INDEX(links!$A$2:$A$501,MATCH($C598,links!$D$2:$D$501,0))),""))</f>
        <v/>
      </c>
      <c r="H598" s="30" t="str">
        <f aca="false">IF($C598="","",IFERROR(IF(INDEX(links!$B$2:$B$501,MATCH($C598,links!$D$2:$D$501,0))="","",INDEX(links!$B$2:$B$501,MATCH($C598,links!$D$2:$D$501,0))),""))</f>
        <v/>
      </c>
      <c r="I598" s="30" t="str">
        <f aca="false">IF($C598="","",IFERROR(IF(INDEX(links!$C$2:$C$501,MATCH($C598,links!$D$2:$D$501,0))="","",INDEX(links!$C$2:$C$501,MATCH($C598,links!$D$2:$D$501,0))),""))</f>
        <v/>
      </c>
      <c r="J598" s="30" t="str">
        <f aca="false">IF($C598="","",IF($G598="","slug not in links; ","")&amp;IF($D598="","reading type missing; ","")&amp;IF(COUNTIFS(scans!$C$2:$C$1601,$C598,scans!$D$2:$D$1601,$D598)&gt;1,"two readings of this type: keep one; ",""))</f>
        <v/>
      </c>
    </row>
    <row r="599" customFormat="false" ht="15" hidden="false" customHeight="false" outlineLevel="0" collapsed="false">
      <c r="A599" s="11"/>
      <c r="B599" s="38"/>
      <c r="D599" s="10"/>
      <c r="G599" s="30" t="str">
        <f aca="false">IF($C599="","",IFERROR(IF(INDEX(links!$A$2:$A$501,MATCH($C599,links!$D$2:$D$501,0))="","",INDEX(links!$A$2:$A$501,MATCH($C599,links!$D$2:$D$501,0))),""))</f>
        <v/>
      </c>
      <c r="H599" s="30" t="str">
        <f aca="false">IF($C599="","",IFERROR(IF(INDEX(links!$B$2:$B$501,MATCH($C599,links!$D$2:$D$501,0))="","",INDEX(links!$B$2:$B$501,MATCH($C599,links!$D$2:$D$501,0))),""))</f>
        <v/>
      </c>
      <c r="I599" s="30" t="str">
        <f aca="false">IF($C599="","",IFERROR(IF(INDEX(links!$C$2:$C$501,MATCH($C599,links!$D$2:$D$501,0))="","",INDEX(links!$C$2:$C$501,MATCH($C599,links!$D$2:$D$501,0))),""))</f>
        <v/>
      </c>
      <c r="J599" s="30" t="str">
        <f aca="false">IF($C599="","",IF($G599="","slug not in links; ","")&amp;IF($D599="","reading type missing; ","")&amp;IF(COUNTIFS(scans!$C$2:$C$1601,$C599,scans!$D$2:$D$1601,$D599)&gt;1,"two readings of this type: keep one; ",""))</f>
        <v/>
      </c>
    </row>
    <row r="600" customFormat="false" ht="15" hidden="false" customHeight="false" outlineLevel="0" collapsed="false">
      <c r="A600" s="11"/>
      <c r="B600" s="38"/>
      <c r="D600" s="10"/>
      <c r="G600" s="30" t="str">
        <f aca="false">IF($C600="","",IFERROR(IF(INDEX(links!$A$2:$A$501,MATCH($C600,links!$D$2:$D$501,0))="","",INDEX(links!$A$2:$A$501,MATCH($C600,links!$D$2:$D$501,0))),""))</f>
        <v/>
      </c>
      <c r="H600" s="30" t="str">
        <f aca="false">IF($C600="","",IFERROR(IF(INDEX(links!$B$2:$B$501,MATCH($C600,links!$D$2:$D$501,0))="","",INDEX(links!$B$2:$B$501,MATCH($C600,links!$D$2:$D$501,0))),""))</f>
        <v/>
      </c>
      <c r="I600" s="30" t="str">
        <f aca="false">IF($C600="","",IFERROR(IF(INDEX(links!$C$2:$C$501,MATCH($C600,links!$D$2:$D$501,0))="","",INDEX(links!$C$2:$C$501,MATCH($C600,links!$D$2:$D$501,0))),""))</f>
        <v/>
      </c>
      <c r="J600" s="30" t="str">
        <f aca="false">IF($C600="","",IF($G600="","slug not in links; ","")&amp;IF($D600="","reading type missing; ","")&amp;IF(COUNTIFS(scans!$C$2:$C$1601,$C600,scans!$D$2:$D$1601,$D600)&gt;1,"two readings of this type: keep one; ",""))</f>
        <v/>
      </c>
    </row>
    <row r="601" customFormat="false" ht="15" hidden="false" customHeight="false" outlineLevel="0" collapsed="false">
      <c r="A601" s="11"/>
      <c r="B601" s="38"/>
      <c r="D601" s="10"/>
      <c r="G601" s="30" t="str">
        <f aca="false">IF($C601="","",IFERROR(IF(INDEX(links!$A$2:$A$501,MATCH($C601,links!$D$2:$D$501,0))="","",INDEX(links!$A$2:$A$501,MATCH($C601,links!$D$2:$D$501,0))),""))</f>
        <v/>
      </c>
      <c r="H601" s="30" t="str">
        <f aca="false">IF($C601="","",IFERROR(IF(INDEX(links!$B$2:$B$501,MATCH($C601,links!$D$2:$D$501,0))="","",INDEX(links!$B$2:$B$501,MATCH($C601,links!$D$2:$D$501,0))),""))</f>
        <v/>
      </c>
      <c r="I601" s="30" t="str">
        <f aca="false">IF($C601="","",IFERROR(IF(INDEX(links!$C$2:$C$501,MATCH($C601,links!$D$2:$D$501,0))="","",INDEX(links!$C$2:$C$501,MATCH($C601,links!$D$2:$D$501,0))),""))</f>
        <v/>
      </c>
      <c r="J601" s="30" t="str">
        <f aca="false">IF($C601="","",IF($G601="","slug not in links; ","")&amp;IF($D601="","reading type missing; ","")&amp;IF(COUNTIFS(scans!$C$2:$C$1601,$C601,scans!$D$2:$D$1601,$D601)&gt;1,"two readings of this type: keep one; ",""))</f>
        <v/>
      </c>
    </row>
    <row r="602" customFormat="false" ht="15" hidden="false" customHeight="false" outlineLevel="0" collapsed="false">
      <c r="A602" s="11"/>
      <c r="B602" s="38"/>
      <c r="D602" s="10"/>
      <c r="G602" s="30" t="str">
        <f aca="false">IF($C602="","",IFERROR(IF(INDEX(links!$A$2:$A$501,MATCH($C602,links!$D$2:$D$501,0))="","",INDEX(links!$A$2:$A$501,MATCH($C602,links!$D$2:$D$501,0))),""))</f>
        <v/>
      </c>
      <c r="H602" s="30" t="str">
        <f aca="false">IF($C602="","",IFERROR(IF(INDEX(links!$B$2:$B$501,MATCH($C602,links!$D$2:$D$501,0))="","",INDEX(links!$B$2:$B$501,MATCH($C602,links!$D$2:$D$501,0))),""))</f>
        <v/>
      </c>
      <c r="I602" s="30" t="str">
        <f aca="false">IF($C602="","",IFERROR(IF(INDEX(links!$C$2:$C$501,MATCH($C602,links!$D$2:$D$501,0))="","",INDEX(links!$C$2:$C$501,MATCH($C602,links!$D$2:$D$501,0))),""))</f>
        <v/>
      </c>
      <c r="J602" s="30" t="str">
        <f aca="false">IF($C602="","",IF($G602="","slug not in links; ","")&amp;IF($D602="","reading type missing; ","")&amp;IF(COUNTIFS(scans!$C$2:$C$1601,$C602,scans!$D$2:$D$1601,$D602)&gt;1,"two readings of this type: keep one; ",""))</f>
        <v/>
      </c>
    </row>
    <row r="603" customFormat="false" ht="15" hidden="false" customHeight="false" outlineLevel="0" collapsed="false">
      <c r="A603" s="11"/>
      <c r="B603" s="38"/>
      <c r="D603" s="10"/>
      <c r="G603" s="30" t="str">
        <f aca="false">IF($C603="","",IFERROR(IF(INDEX(links!$A$2:$A$501,MATCH($C603,links!$D$2:$D$501,0))="","",INDEX(links!$A$2:$A$501,MATCH($C603,links!$D$2:$D$501,0))),""))</f>
        <v/>
      </c>
      <c r="H603" s="30" t="str">
        <f aca="false">IF($C603="","",IFERROR(IF(INDEX(links!$B$2:$B$501,MATCH($C603,links!$D$2:$D$501,0))="","",INDEX(links!$B$2:$B$501,MATCH($C603,links!$D$2:$D$501,0))),""))</f>
        <v/>
      </c>
      <c r="I603" s="30" t="str">
        <f aca="false">IF($C603="","",IFERROR(IF(INDEX(links!$C$2:$C$501,MATCH($C603,links!$D$2:$D$501,0))="","",INDEX(links!$C$2:$C$501,MATCH($C603,links!$D$2:$D$501,0))),""))</f>
        <v/>
      </c>
      <c r="J603" s="30" t="str">
        <f aca="false">IF($C603="","",IF($G603="","slug not in links; ","")&amp;IF($D603="","reading type missing; ","")&amp;IF(COUNTIFS(scans!$C$2:$C$1601,$C603,scans!$D$2:$D$1601,$D603)&gt;1,"two readings of this type: keep one; ",""))</f>
        <v/>
      </c>
    </row>
    <row r="604" customFormat="false" ht="15" hidden="false" customHeight="false" outlineLevel="0" collapsed="false">
      <c r="A604" s="11"/>
      <c r="B604" s="38"/>
      <c r="D604" s="10"/>
      <c r="G604" s="30" t="str">
        <f aca="false">IF($C604="","",IFERROR(IF(INDEX(links!$A$2:$A$501,MATCH($C604,links!$D$2:$D$501,0))="","",INDEX(links!$A$2:$A$501,MATCH($C604,links!$D$2:$D$501,0))),""))</f>
        <v/>
      </c>
      <c r="H604" s="30" t="str">
        <f aca="false">IF($C604="","",IFERROR(IF(INDEX(links!$B$2:$B$501,MATCH($C604,links!$D$2:$D$501,0))="","",INDEX(links!$B$2:$B$501,MATCH($C604,links!$D$2:$D$501,0))),""))</f>
        <v/>
      </c>
      <c r="I604" s="30" t="str">
        <f aca="false">IF($C604="","",IFERROR(IF(INDEX(links!$C$2:$C$501,MATCH($C604,links!$D$2:$D$501,0))="","",INDEX(links!$C$2:$C$501,MATCH($C604,links!$D$2:$D$501,0))),""))</f>
        <v/>
      </c>
      <c r="J604" s="30" t="str">
        <f aca="false">IF($C604="","",IF($G604="","slug not in links; ","")&amp;IF($D604="","reading type missing; ","")&amp;IF(COUNTIFS(scans!$C$2:$C$1601,$C604,scans!$D$2:$D$1601,$D604)&gt;1,"two readings of this type: keep one; ",""))</f>
        <v/>
      </c>
    </row>
    <row r="605" customFormat="false" ht="15" hidden="false" customHeight="false" outlineLevel="0" collapsed="false">
      <c r="A605" s="11"/>
      <c r="B605" s="38"/>
      <c r="D605" s="10"/>
      <c r="G605" s="30" t="str">
        <f aca="false">IF($C605="","",IFERROR(IF(INDEX(links!$A$2:$A$501,MATCH($C605,links!$D$2:$D$501,0))="","",INDEX(links!$A$2:$A$501,MATCH($C605,links!$D$2:$D$501,0))),""))</f>
        <v/>
      </c>
      <c r="H605" s="30" t="str">
        <f aca="false">IF($C605="","",IFERROR(IF(INDEX(links!$B$2:$B$501,MATCH($C605,links!$D$2:$D$501,0))="","",INDEX(links!$B$2:$B$501,MATCH($C605,links!$D$2:$D$501,0))),""))</f>
        <v/>
      </c>
      <c r="I605" s="30" t="str">
        <f aca="false">IF($C605="","",IFERROR(IF(INDEX(links!$C$2:$C$501,MATCH($C605,links!$D$2:$D$501,0))="","",INDEX(links!$C$2:$C$501,MATCH($C605,links!$D$2:$D$501,0))),""))</f>
        <v/>
      </c>
      <c r="J605" s="30" t="str">
        <f aca="false">IF($C605="","",IF($G605="","slug not in links; ","")&amp;IF($D605="","reading type missing; ","")&amp;IF(COUNTIFS(scans!$C$2:$C$1601,$C605,scans!$D$2:$D$1601,$D605)&gt;1,"two readings of this type: keep one; ",""))</f>
        <v/>
      </c>
    </row>
    <row r="606" customFormat="false" ht="15" hidden="false" customHeight="false" outlineLevel="0" collapsed="false">
      <c r="A606" s="11"/>
      <c r="B606" s="38"/>
      <c r="D606" s="10"/>
      <c r="G606" s="30" t="str">
        <f aca="false">IF($C606="","",IFERROR(IF(INDEX(links!$A$2:$A$501,MATCH($C606,links!$D$2:$D$501,0))="","",INDEX(links!$A$2:$A$501,MATCH($C606,links!$D$2:$D$501,0))),""))</f>
        <v/>
      </c>
      <c r="H606" s="30" t="str">
        <f aca="false">IF($C606="","",IFERROR(IF(INDEX(links!$B$2:$B$501,MATCH($C606,links!$D$2:$D$501,0))="","",INDEX(links!$B$2:$B$501,MATCH($C606,links!$D$2:$D$501,0))),""))</f>
        <v/>
      </c>
      <c r="I606" s="30" t="str">
        <f aca="false">IF($C606="","",IFERROR(IF(INDEX(links!$C$2:$C$501,MATCH($C606,links!$D$2:$D$501,0))="","",INDEX(links!$C$2:$C$501,MATCH($C606,links!$D$2:$D$501,0))),""))</f>
        <v/>
      </c>
      <c r="J606" s="30" t="str">
        <f aca="false">IF($C606="","",IF($G606="","slug not in links; ","")&amp;IF($D606="","reading type missing; ","")&amp;IF(COUNTIFS(scans!$C$2:$C$1601,$C606,scans!$D$2:$D$1601,$D606)&gt;1,"two readings of this type: keep one; ",""))</f>
        <v/>
      </c>
    </row>
    <row r="607" customFormat="false" ht="15" hidden="false" customHeight="false" outlineLevel="0" collapsed="false">
      <c r="A607" s="11"/>
      <c r="B607" s="38"/>
      <c r="D607" s="10"/>
      <c r="G607" s="30" t="str">
        <f aca="false">IF($C607="","",IFERROR(IF(INDEX(links!$A$2:$A$501,MATCH($C607,links!$D$2:$D$501,0))="","",INDEX(links!$A$2:$A$501,MATCH($C607,links!$D$2:$D$501,0))),""))</f>
        <v/>
      </c>
      <c r="H607" s="30" t="str">
        <f aca="false">IF($C607="","",IFERROR(IF(INDEX(links!$B$2:$B$501,MATCH($C607,links!$D$2:$D$501,0))="","",INDEX(links!$B$2:$B$501,MATCH($C607,links!$D$2:$D$501,0))),""))</f>
        <v/>
      </c>
      <c r="I607" s="30" t="str">
        <f aca="false">IF($C607="","",IFERROR(IF(INDEX(links!$C$2:$C$501,MATCH($C607,links!$D$2:$D$501,0))="","",INDEX(links!$C$2:$C$501,MATCH($C607,links!$D$2:$D$501,0))),""))</f>
        <v/>
      </c>
      <c r="J607" s="30" t="str">
        <f aca="false">IF($C607="","",IF($G607="","slug not in links; ","")&amp;IF($D607="","reading type missing; ","")&amp;IF(COUNTIFS(scans!$C$2:$C$1601,$C607,scans!$D$2:$D$1601,$D607)&gt;1,"two readings of this type: keep one; ",""))</f>
        <v/>
      </c>
    </row>
    <row r="608" customFormat="false" ht="15" hidden="false" customHeight="false" outlineLevel="0" collapsed="false">
      <c r="A608" s="11"/>
      <c r="B608" s="38"/>
      <c r="D608" s="10"/>
      <c r="G608" s="30" t="str">
        <f aca="false">IF($C608="","",IFERROR(IF(INDEX(links!$A$2:$A$501,MATCH($C608,links!$D$2:$D$501,0))="","",INDEX(links!$A$2:$A$501,MATCH($C608,links!$D$2:$D$501,0))),""))</f>
        <v/>
      </c>
      <c r="H608" s="30" t="str">
        <f aca="false">IF($C608="","",IFERROR(IF(INDEX(links!$B$2:$B$501,MATCH($C608,links!$D$2:$D$501,0))="","",INDEX(links!$B$2:$B$501,MATCH($C608,links!$D$2:$D$501,0))),""))</f>
        <v/>
      </c>
      <c r="I608" s="30" t="str">
        <f aca="false">IF($C608="","",IFERROR(IF(INDEX(links!$C$2:$C$501,MATCH($C608,links!$D$2:$D$501,0))="","",INDEX(links!$C$2:$C$501,MATCH($C608,links!$D$2:$D$501,0))),""))</f>
        <v/>
      </c>
      <c r="J608" s="30" t="str">
        <f aca="false">IF($C608="","",IF($G608="","slug not in links; ","")&amp;IF($D608="","reading type missing; ","")&amp;IF(COUNTIFS(scans!$C$2:$C$1601,$C608,scans!$D$2:$D$1601,$D608)&gt;1,"two readings of this type: keep one; ",""))</f>
        <v/>
      </c>
    </row>
    <row r="609" customFormat="false" ht="15" hidden="false" customHeight="false" outlineLevel="0" collapsed="false">
      <c r="A609" s="11"/>
      <c r="B609" s="38"/>
      <c r="D609" s="10"/>
      <c r="G609" s="30" t="str">
        <f aca="false">IF($C609="","",IFERROR(IF(INDEX(links!$A$2:$A$501,MATCH($C609,links!$D$2:$D$501,0))="","",INDEX(links!$A$2:$A$501,MATCH($C609,links!$D$2:$D$501,0))),""))</f>
        <v/>
      </c>
      <c r="H609" s="30" t="str">
        <f aca="false">IF($C609="","",IFERROR(IF(INDEX(links!$B$2:$B$501,MATCH($C609,links!$D$2:$D$501,0))="","",INDEX(links!$B$2:$B$501,MATCH($C609,links!$D$2:$D$501,0))),""))</f>
        <v/>
      </c>
      <c r="I609" s="30" t="str">
        <f aca="false">IF($C609="","",IFERROR(IF(INDEX(links!$C$2:$C$501,MATCH($C609,links!$D$2:$D$501,0))="","",INDEX(links!$C$2:$C$501,MATCH($C609,links!$D$2:$D$501,0))),""))</f>
        <v/>
      </c>
      <c r="J609" s="30" t="str">
        <f aca="false">IF($C609="","",IF($G609="","slug not in links; ","")&amp;IF($D609="","reading type missing; ","")&amp;IF(COUNTIFS(scans!$C$2:$C$1601,$C609,scans!$D$2:$D$1601,$D609)&gt;1,"two readings of this type: keep one; ",""))</f>
        <v/>
      </c>
    </row>
    <row r="610" customFormat="false" ht="15" hidden="false" customHeight="false" outlineLevel="0" collapsed="false">
      <c r="A610" s="11"/>
      <c r="B610" s="38"/>
      <c r="D610" s="10"/>
      <c r="G610" s="30" t="str">
        <f aca="false">IF($C610="","",IFERROR(IF(INDEX(links!$A$2:$A$501,MATCH($C610,links!$D$2:$D$501,0))="","",INDEX(links!$A$2:$A$501,MATCH($C610,links!$D$2:$D$501,0))),""))</f>
        <v/>
      </c>
      <c r="H610" s="30" t="str">
        <f aca="false">IF($C610="","",IFERROR(IF(INDEX(links!$B$2:$B$501,MATCH($C610,links!$D$2:$D$501,0))="","",INDEX(links!$B$2:$B$501,MATCH($C610,links!$D$2:$D$501,0))),""))</f>
        <v/>
      </c>
      <c r="I610" s="30" t="str">
        <f aca="false">IF($C610="","",IFERROR(IF(INDEX(links!$C$2:$C$501,MATCH($C610,links!$D$2:$D$501,0))="","",INDEX(links!$C$2:$C$501,MATCH($C610,links!$D$2:$D$501,0))),""))</f>
        <v/>
      </c>
      <c r="J610" s="30" t="str">
        <f aca="false">IF($C610="","",IF($G610="","slug not in links; ","")&amp;IF($D610="","reading type missing; ","")&amp;IF(COUNTIFS(scans!$C$2:$C$1601,$C610,scans!$D$2:$D$1601,$D610)&gt;1,"two readings of this type: keep one; ",""))</f>
        <v/>
      </c>
    </row>
    <row r="611" customFormat="false" ht="15" hidden="false" customHeight="false" outlineLevel="0" collapsed="false">
      <c r="A611" s="11"/>
      <c r="B611" s="38"/>
      <c r="D611" s="10"/>
      <c r="G611" s="30" t="str">
        <f aca="false">IF($C611="","",IFERROR(IF(INDEX(links!$A$2:$A$501,MATCH($C611,links!$D$2:$D$501,0))="","",INDEX(links!$A$2:$A$501,MATCH($C611,links!$D$2:$D$501,0))),""))</f>
        <v/>
      </c>
      <c r="H611" s="30" t="str">
        <f aca="false">IF($C611="","",IFERROR(IF(INDEX(links!$B$2:$B$501,MATCH($C611,links!$D$2:$D$501,0))="","",INDEX(links!$B$2:$B$501,MATCH($C611,links!$D$2:$D$501,0))),""))</f>
        <v/>
      </c>
      <c r="I611" s="30" t="str">
        <f aca="false">IF($C611="","",IFERROR(IF(INDEX(links!$C$2:$C$501,MATCH($C611,links!$D$2:$D$501,0))="","",INDEX(links!$C$2:$C$501,MATCH($C611,links!$D$2:$D$501,0))),""))</f>
        <v/>
      </c>
      <c r="J611" s="30" t="str">
        <f aca="false">IF($C611="","",IF($G611="","slug not in links; ","")&amp;IF($D611="","reading type missing; ","")&amp;IF(COUNTIFS(scans!$C$2:$C$1601,$C611,scans!$D$2:$D$1601,$D611)&gt;1,"two readings of this type: keep one; ",""))</f>
        <v/>
      </c>
    </row>
    <row r="612" customFormat="false" ht="15" hidden="false" customHeight="false" outlineLevel="0" collapsed="false">
      <c r="A612" s="11"/>
      <c r="B612" s="38"/>
      <c r="D612" s="10"/>
      <c r="G612" s="30" t="str">
        <f aca="false">IF($C612="","",IFERROR(IF(INDEX(links!$A$2:$A$501,MATCH($C612,links!$D$2:$D$501,0))="","",INDEX(links!$A$2:$A$501,MATCH($C612,links!$D$2:$D$501,0))),""))</f>
        <v/>
      </c>
      <c r="H612" s="30" t="str">
        <f aca="false">IF($C612="","",IFERROR(IF(INDEX(links!$B$2:$B$501,MATCH($C612,links!$D$2:$D$501,0))="","",INDEX(links!$B$2:$B$501,MATCH($C612,links!$D$2:$D$501,0))),""))</f>
        <v/>
      </c>
      <c r="I612" s="30" t="str">
        <f aca="false">IF($C612="","",IFERROR(IF(INDEX(links!$C$2:$C$501,MATCH($C612,links!$D$2:$D$501,0))="","",INDEX(links!$C$2:$C$501,MATCH($C612,links!$D$2:$D$501,0))),""))</f>
        <v/>
      </c>
      <c r="J612" s="30" t="str">
        <f aca="false">IF($C612="","",IF($G612="","slug not in links; ","")&amp;IF($D612="","reading type missing; ","")&amp;IF(COUNTIFS(scans!$C$2:$C$1601,$C612,scans!$D$2:$D$1601,$D612)&gt;1,"two readings of this type: keep one; ",""))</f>
        <v/>
      </c>
    </row>
    <row r="613" customFormat="false" ht="15" hidden="false" customHeight="false" outlineLevel="0" collapsed="false">
      <c r="A613" s="11"/>
      <c r="B613" s="38"/>
      <c r="D613" s="10"/>
      <c r="G613" s="30" t="str">
        <f aca="false">IF($C613="","",IFERROR(IF(INDEX(links!$A$2:$A$501,MATCH($C613,links!$D$2:$D$501,0))="","",INDEX(links!$A$2:$A$501,MATCH($C613,links!$D$2:$D$501,0))),""))</f>
        <v/>
      </c>
      <c r="H613" s="30" t="str">
        <f aca="false">IF($C613="","",IFERROR(IF(INDEX(links!$B$2:$B$501,MATCH($C613,links!$D$2:$D$501,0))="","",INDEX(links!$B$2:$B$501,MATCH($C613,links!$D$2:$D$501,0))),""))</f>
        <v/>
      </c>
      <c r="I613" s="30" t="str">
        <f aca="false">IF($C613="","",IFERROR(IF(INDEX(links!$C$2:$C$501,MATCH($C613,links!$D$2:$D$501,0))="","",INDEX(links!$C$2:$C$501,MATCH($C613,links!$D$2:$D$501,0))),""))</f>
        <v/>
      </c>
      <c r="J613" s="30" t="str">
        <f aca="false">IF($C613="","",IF($G613="","slug not in links; ","")&amp;IF($D613="","reading type missing; ","")&amp;IF(COUNTIFS(scans!$C$2:$C$1601,$C613,scans!$D$2:$D$1601,$D613)&gt;1,"two readings of this type: keep one; ",""))</f>
        <v/>
      </c>
    </row>
    <row r="614" customFormat="false" ht="15" hidden="false" customHeight="false" outlineLevel="0" collapsed="false">
      <c r="A614" s="11"/>
      <c r="B614" s="38"/>
      <c r="D614" s="10"/>
      <c r="G614" s="30" t="str">
        <f aca="false">IF($C614="","",IFERROR(IF(INDEX(links!$A$2:$A$501,MATCH($C614,links!$D$2:$D$501,0))="","",INDEX(links!$A$2:$A$501,MATCH($C614,links!$D$2:$D$501,0))),""))</f>
        <v/>
      </c>
      <c r="H614" s="30" t="str">
        <f aca="false">IF($C614="","",IFERROR(IF(INDEX(links!$B$2:$B$501,MATCH($C614,links!$D$2:$D$501,0))="","",INDEX(links!$B$2:$B$501,MATCH($C614,links!$D$2:$D$501,0))),""))</f>
        <v/>
      </c>
      <c r="I614" s="30" t="str">
        <f aca="false">IF($C614="","",IFERROR(IF(INDEX(links!$C$2:$C$501,MATCH($C614,links!$D$2:$D$501,0))="","",INDEX(links!$C$2:$C$501,MATCH($C614,links!$D$2:$D$501,0))),""))</f>
        <v/>
      </c>
      <c r="J614" s="30" t="str">
        <f aca="false">IF($C614="","",IF($G614="","slug not in links; ","")&amp;IF($D614="","reading type missing; ","")&amp;IF(COUNTIFS(scans!$C$2:$C$1601,$C614,scans!$D$2:$D$1601,$D614)&gt;1,"two readings of this type: keep one; ",""))</f>
        <v/>
      </c>
    </row>
    <row r="615" customFormat="false" ht="15" hidden="false" customHeight="false" outlineLevel="0" collapsed="false">
      <c r="A615" s="11"/>
      <c r="B615" s="38"/>
      <c r="D615" s="10"/>
      <c r="G615" s="30" t="str">
        <f aca="false">IF($C615="","",IFERROR(IF(INDEX(links!$A$2:$A$501,MATCH($C615,links!$D$2:$D$501,0))="","",INDEX(links!$A$2:$A$501,MATCH($C615,links!$D$2:$D$501,0))),""))</f>
        <v/>
      </c>
      <c r="H615" s="30" t="str">
        <f aca="false">IF($C615="","",IFERROR(IF(INDEX(links!$B$2:$B$501,MATCH($C615,links!$D$2:$D$501,0))="","",INDEX(links!$B$2:$B$501,MATCH($C615,links!$D$2:$D$501,0))),""))</f>
        <v/>
      </c>
      <c r="I615" s="30" t="str">
        <f aca="false">IF($C615="","",IFERROR(IF(INDEX(links!$C$2:$C$501,MATCH($C615,links!$D$2:$D$501,0))="","",INDEX(links!$C$2:$C$501,MATCH($C615,links!$D$2:$D$501,0))),""))</f>
        <v/>
      </c>
      <c r="J615" s="30" t="str">
        <f aca="false">IF($C615="","",IF($G615="","slug not in links; ","")&amp;IF($D615="","reading type missing; ","")&amp;IF(COUNTIFS(scans!$C$2:$C$1601,$C615,scans!$D$2:$D$1601,$D615)&gt;1,"two readings of this type: keep one; ",""))</f>
        <v/>
      </c>
    </row>
    <row r="616" customFormat="false" ht="15" hidden="false" customHeight="false" outlineLevel="0" collapsed="false">
      <c r="A616" s="11"/>
      <c r="B616" s="38"/>
      <c r="D616" s="10"/>
      <c r="G616" s="30" t="str">
        <f aca="false">IF($C616="","",IFERROR(IF(INDEX(links!$A$2:$A$501,MATCH($C616,links!$D$2:$D$501,0))="","",INDEX(links!$A$2:$A$501,MATCH($C616,links!$D$2:$D$501,0))),""))</f>
        <v/>
      </c>
      <c r="H616" s="30" t="str">
        <f aca="false">IF($C616="","",IFERROR(IF(INDEX(links!$B$2:$B$501,MATCH($C616,links!$D$2:$D$501,0))="","",INDEX(links!$B$2:$B$501,MATCH($C616,links!$D$2:$D$501,0))),""))</f>
        <v/>
      </c>
      <c r="I616" s="30" t="str">
        <f aca="false">IF($C616="","",IFERROR(IF(INDEX(links!$C$2:$C$501,MATCH($C616,links!$D$2:$D$501,0))="","",INDEX(links!$C$2:$C$501,MATCH($C616,links!$D$2:$D$501,0))),""))</f>
        <v/>
      </c>
      <c r="J616" s="30" t="str">
        <f aca="false">IF($C616="","",IF($G616="","slug not in links; ","")&amp;IF($D616="","reading type missing; ","")&amp;IF(COUNTIFS(scans!$C$2:$C$1601,$C616,scans!$D$2:$D$1601,$D616)&gt;1,"two readings of this type: keep one; ",""))</f>
        <v/>
      </c>
    </row>
    <row r="617" customFormat="false" ht="15" hidden="false" customHeight="false" outlineLevel="0" collapsed="false">
      <c r="A617" s="11"/>
      <c r="B617" s="38"/>
      <c r="D617" s="10"/>
      <c r="G617" s="30" t="str">
        <f aca="false">IF($C617="","",IFERROR(IF(INDEX(links!$A$2:$A$501,MATCH($C617,links!$D$2:$D$501,0))="","",INDEX(links!$A$2:$A$501,MATCH($C617,links!$D$2:$D$501,0))),""))</f>
        <v/>
      </c>
      <c r="H617" s="30" t="str">
        <f aca="false">IF($C617="","",IFERROR(IF(INDEX(links!$B$2:$B$501,MATCH($C617,links!$D$2:$D$501,0))="","",INDEX(links!$B$2:$B$501,MATCH($C617,links!$D$2:$D$501,0))),""))</f>
        <v/>
      </c>
      <c r="I617" s="30" t="str">
        <f aca="false">IF($C617="","",IFERROR(IF(INDEX(links!$C$2:$C$501,MATCH($C617,links!$D$2:$D$501,0))="","",INDEX(links!$C$2:$C$501,MATCH($C617,links!$D$2:$D$501,0))),""))</f>
        <v/>
      </c>
      <c r="J617" s="30" t="str">
        <f aca="false">IF($C617="","",IF($G617="","slug not in links; ","")&amp;IF($D617="","reading type missing; ","")&amp;IF(COUNTIFS(scans!$C$2:$C$1601,$C617,scans!$D$2:$D$1601,$D617)&gt;1,"two readings of this type: keep one; ",""))</f>
        <v/>
      </c>
    </row>
    <row r="618" customFormat="false" ht="15" hidden="false" customHeight="false" outlineLevel="0" collapsed="false">
      <c r="A618" s="11"/>
      <c r="B618" s="38"/>
      <c r="D618" s="10"/>
      <c r="G618" s="30" t="str">
        <f aca="false">IF($C618="","",IFERROR(IF(INDEX(links!$A$2:$A$501,MATCH($C618,links!$D$2:$D$501,0))="","",INDEX(links!$A$2:$A$501,MATCH($C618,links!$D$2:$D$501,0))),""))</f>
        <v/>
      </c>
      <c r="H618" s="30" t="str">
        <f aca="false">IF($C618="","",IFERROR(IF(INDEX(links!$B$2:$B$501,MATCH($C618,links!$D$2:$D$501,0))="","",INDEX(links!$B$2:$B$501,MATCH($C618,links!$D$2:$D$501,0))),""))</f>
        <v/>
      </c>
      <c r="I618" s="30" t="str">
        <f aca="false">IF($C618="","",IFERROR(IF(INDEX(links!$C$2:$C$501,MATCH($C618,links!$D$2:$D$501,0))="","",INDEX(links!$C$2:$C$501,MATCH($C618,links!$D$2:$D$501,0))),""))</f>
        <v/>
      </c>
      <c r="J618" s="30" t="str">
        <f aca="false">IF($C618="","",IF($G618="","slug not in links; ","")&amp;IF($D618="","reading type missing; ","")&amp;IF(COUNTIFS(scans!$C$2:$C$1601,$C618,scans!$D$2:$D$1601,$D618)&gt;1,"two readings of this type: keep one; ",""))</f>
        <v/>
      </c>
    </row>
    <row r="619" customFormat="false" ht="15" hidden="false" customHeight="false" outlineLevel="0" collapsed="false">
      <c r="A619" s="11"/>
      <c r="B619" s="38"/>
      <c r="D619" s="10"/>
      <c r="G619" s="30" t="str">
        <f aca="false">IF($C619="","",IFERROR(IF(INDEX(links!$A$2:$A$501,MATCH($C619,links!$D$2:$D$501,0))="","",INDEX(links!$A$2:$A$501,MATCH($C619,links!$D$2:$D$501,0))),""))</f>
        <v/>
      </c>
      <c r="H619" s="30" t="str">
        <f aca="false">IF($C619="","",IFERROR(IF(INDEX(links!$B$2:$B$501,MATCH($C619,links!$D$2:$D$501,0))="","",INDEX(links!$B$2:$B$501,MATCH($C619,links!$D$2:$D$501,0))),""))</f>
        <v/>
      </c>
      <c r="I619" s="30" t="str">
        <f aca="false">IF($C619="","",IFERROR(IF(INDEX(links!$C$2:$C$501,MATCH($C619,links!$D$2:$D$501,0))="","",INDEX(links!$C$2:$C$501,MATCH($C619,links!$D$2:$D$501,0))),""))</f>
        <v/>
      </c>
      <c r="J619" s="30" t="str">
        <f aca="false">IF($C619="","",IF($G619="","slug not in links; ","")&amp;IF($D619="","reading type missing; ","")&amp;IF(COUNTIFS(scans!$C$2:$C$1601,$C619,scans!$D$2:$D$1601,$D619)&gt;1,"two readings of this type: keep one; ",""))</f>
        <v/>
      </c>
    </row>
    <row r="620" customFormat="false" ht="15" hidden="false" customHeight="false" outlineLevel="0" collapsed="false">
      <c r="A620" s="11"/>
      <c r="B620" s="38"/>
      <c r="D620" s="10"/>
      <c r="G620" s="30" t="str">
        <f aca="false">IF($C620="","",IFERROR(IF(INDEX(links!$A$2:$A$501,MATCH($C620,links!$D$2:$D$501,0))="","",INDEX(links!$A$2:$A$501,MATCH($C620,links!$D$2:$D$501,0))),""))</f>
        <v/>
      </c>
      <c r="H620" s="30" t="str">
        <f aca="false">IF($C620="","",IFERROR(IF(INDEX(links!$B$2:$B$501,MATCH($C620,links!$D$2:$D$501,0))="","",INDEX(links!$B$2:$B$501,MATCH($C620,links!$D$2:$D$501,0))),""))</f>
        <v/>
      </c>
      <c r="I620" s="30" t="str">
        <f aca="false">IF($C620="","",IFERROR(IF(INDEX(links!$C$2:$C$501,MATCH($C620,links!$D$2:$D$501,0))="","",INDEX(links!$C$2:$C$501,MATCH($C620,links!$D$2:$D$501,0))),""))</f>
        <v/>
      </c>
      <c r="J620" s="30" t="str">
        <f aca="false">IF($C620="","",IF($G620="","slug not in links; ","")&amp;IF($D620="","reading type missing; ","")&amp;IF(COUNTIFS(scans!$C$2:$C$1601,$C620,scans!$D$2:$D$1601,$D620)&gt;1,"two readings of this type: keep one; ",""))</f>
        <v/>
      </c>
    </row>
    <row r="621" customFormat="false" ht="15" hidden="false" customHeight="false" outlineLevel="0" collapsed="false">
      <c r="A621" s="11"/>
      <c r="B621" s="38"/>
      <c r="D621" s="10"/>
      <c r="G621" s="30" t="str">
        <f aca="false">IF($C621="","",IFERROR(IF(INDEX(links!$A$2:$A$501,MATCH($C621,links!$D$2:$D$501,0))="","",INDEX(links!$A$2:$A$501,MATCH($C621,links!$D$2:$D$501,0))),""))</f>
        <v/>
      </c>
      <c r="H621" s="30" t="str">
        <f aca="false">IF($C621="","",IFERROR(IF(INDEX(links!$B$2:$B$501,MATCH($C621,links!$D$2:$D$501,0))="","",INDEX(links!$B$2:$B$501,MATCH($C621,links!$D$2:$D$501,0))),""))</f>
        <v/>
      </c>
      <c r="I621" s="30" t="str">
        <f aca="false">IF($C621="","",IFERROR(IF(INDEX(links!$C$2:$C$501,MATCH($C621,links!$D$2:$D$501,0))="","",INDEX(links!$C$2:$C$501,MATCH($C621,links!$D$2:$D$501,0))),""))</f>
        <v/>
      </c>
      <c r="J621" s="30" t="str">
        <f aca="false">IF($C621="","",IF($G621="","slug not in links; ","")&amp;IF($D621="","reading type missing; ","")&amp;IF(COUNTIFS(scans!$C$2:$C$1601,$C621,scans!$D$2:$D$1601,$D621)&gt;1,"two readings of this type: keep one; ",""))</f>
        <v/>
      </c>
    </row>
    <row r="622" customFormat="false" ht="15" hidden="false" customHeight="false" outlineLevel="0" collapsed="false">
      <c r="A622" s="11"/>
      <c r="B622" s="38"/>
      <c r="D622" s="10"/>
      <c r="G622" s="30" t="str">
        <f aca="false">IF($C622="","",IFERROR(IF(INDEX(links!$A$2:$A$501,MATCH($C622,links!$D$2:$D$501,0))="","",INDEX(links!$A$2:$A$501,MATCH($C622,links!$D$2:$D$501,0))),""))</f>
        <v/>
      </c>
      <c r="H622" s="30" t="str">
        <f aca="false">IF($C622="","",IFERROR(IF(INDEX(links!$B$2:$B$501,MATCH($C622,links!$D$2:$D$501,0))="","",INDEX(links!$B$2:$B$501,MATCH($C622,links!$D$2:$D$501,0))),""))</f>
        <v/>
      </c>
      <c r="I622" s="30" t="str">
        <f aca="false">IF($C622="","",IFERROR(IF(INDEX(links!$C$2:$C$501,MATCH($C622,links!$D$2:$D$501,0))="","",INDEX(links!$C$2:$C$501,MATCH($C622,links!$D$2:$D$501,0))),""))</f>
        <v/>
      </c>
      <c r="J622" s="30" t="str">
        <f aca="false">IF($C622="","",IF($G622="","slug not in links; ","")&amp;IF($D622="","reading type missing; ","")&amp;IF(COUNTIFS(scans!$C$2:$C$1601,$C622,scans!$D$2:$D$1601,$D622)&gt;1,"two readings of this type: keep one; ",""))</f>
        <v/>
      </c>
    </row>
    <row r="623" customFormat="false" ht="15" hidden="false" customHeight="false" outlineLevel="0" collapsed="false">
      <c r="A623" s="11"/>
      <c r="B623" s="38"/>
      <c r="D623" s="10"/>
      <c r="G623" s="30" t="str">
        <f aca="false">IF($C623="","",IFERROR(IF(INDEX(links!$A$2:$A$501,MATCH($C623,links!$D$2:$D$501,0))="","",INDEX(links!$A$2:$A$501,MATCH($C623,links!$D$2:$D$501,0))),""))</f>
        <v/>
      </c>
      <c r="H623" s="30" t="str">
        <f aca="false">IF($C623="","",IFERROR(IF(INDEX(links!$B$2:$B$501,MATCH($C623,links!$D$2:$D$501,0))="","",INDEX(links!$B$2:$B$501,MATCH($C623,links!$D$2:$D$501,0))),""))</f>
        <v/>
      </c>
      <c r="I623" s="30" t="str">
        <f aca="false">IF($C623="","",IFERROR(IF(INDEX(links!$C$2:$C$501,MATCH($C623,links!$D$2:$D$501,0))="","",INDEX(links!$C$2:$C$501,MATCH($C623,links!$D$2:$D$501,0))),""))</f>
        <v/>
      </c>
      <c r="J623" s="30" t="str">
        <f aca="false">IF($C623="","",IF($G623="","slug not in links; ","")&amp;IF($D623="","reading type missing; ","")&amp;IF(COUNTIFS(scans!$C$2:$C$1601,$C623,scans!$D$2:$D$1601,$D623)&gt;1,"two readings of this type: keep one; ",""))</f>
        <v/>
      </c>
    </row>
    <row r="624" customFormat="false" ht="15" hidden="false" customHeight="false" outlineLevel="0" collapsed="false">
      <c r="A624" s="11"/>
      <c r="B624" s="38"/>
      <c r="D624" s="10"/>
      <c r="G624" s="30" t="str">
        <f aca="false">IF($C624="","",IFERROR(IF(INDEX(links!$A$2:$A$501,MATCH($C624,links!$D$2:$D$501,0))="","",INDEX(links!$A$2:$A$501,MATCH($C624,links!$D$2:$D$501,0))),""))</f>
        <v/>
      </c>
      <c r="H624" s="30" t="str">
        <f aca="false">IF($C624="","",IFERROR(IF(INDEX(links!$B$2:$B$501,MATCH($C624,links!$D$2:$D$501,0))="","",INDEX(links!$B$2:$B$501,MATCH($C624,links!$D$2:$D$501,0))),""))</f>
        <v/>
      </c>
      <c r="I624" s="30" t="str">
        <f aca="false">IF($C624="","",IFERROR(IF(INDEX(links!$C$2:$C$501,MATCH($C624,links!$D$2:$D$501,0))="","",INDEX(links!$C$2:$C$501,MATCH($C624,links!$D$2:$D$501,0))),""))</f>
        <v/>
      </c>
      <c r="J624" s="30" t="str">
        <f aca="false">IF($C624="","",IF($G624="","slug not in links; ","")&amp;IF($D624="","reading type missing; ","")&amp;IF(COUNTIFS(scans!$C$2:$C$1601,$C624,scans!$D$2:$D$1601,$D624)&gt;1,"two readings of this type: keep one; ",""))</f>
        <v/>
      </c>
    </row>
    <row r="625" customFormat="false" ht="15" hidden="false" customHeight="false" outlineLevel="0" collapsed="false">
      <c r="A625" s="11"/>
      <c r="B625" s="38"/>
      <c r="D625" s="10"/>
      <c r="G625" s="30" t="str">
        <f aca="false">IF($C625="","",IFERROR(IF(INDEX(links!$A$2:$A$501,MATCH($C625,links!$D$2:$D$501,0))="","",INDEX(links!$A$2:$A$501,MATCH($C625,links!$D$2:$D$501,0))),""))</f>
        <v/>
      </c>
      <c r="H625" s="30" t="str">
        <f aca="false">IF($C625="","",IFERROR(IF(INDEX(links!$B$2:$B$501,MATCH($C625,links!$D$2:$D$501,0))="","",INDEX(links!$B$2:$B$501,MATCH($C625,links!$D$2:$D$501,0))),""))</f>
        <v/>
      </c>
      <c r="I625" s="30" t="str">
        <f aca="false">IF($C625="","",IFERROR(IF(INDEX(links!$C$2:$C$501,MATCH($C625,links!$D$2:$D$501,0))="","",INDEX(links!$C$2:$C$501,MATCH($C625,links!$D$2:$D$501,0))),""))</f>
        <v/>
      </c>
      <c r="J625" s="30" t="str">
        <f aca="false">IF($C625="","",IF($G625="","slug not in links; ","")&amp;IF($D625="","reading type missing; ","")&amp;IF(COUNTIFS(scans!$C$2:$C$1601,$C625,scans!$D$2:$D$1601,$D625)&gt;1,"two readings of this type: keep one; ",""))</f>
        <v/>
      </c>
    </row>
    <row r="626" customFormat="false" ht="15" hidden="false" customHeight="false" outlineLevel="0" collapsed="false">
      <c r="A626" s="11"/>
      <c r="B626" s="38"/>
      <c r="D626" s="10"/>
      <c r="G626" s="30" t="str">
        <f aca="false">IF($C626="","",IFERROR(IF(INDEX(links!$A$2:$A$501,MATCH($C626,links!$D$2:$D$501,0))="","",INDEX(links!$A$2:$A$501,MATCH($C626,links!$D$2:$D$501,0))),""))</f>
        <v/>
      </c>
      <c r="H626" s="30" t="str">
        <f aca="false">IF($C626="","",IFERROR(IF(INDEX(links!$B$2:$B$501,MATCH($C626,links!$D$2:$D$501,0))="","",INDEX(links!$B$2:$B$501,MATCH($C626,links!$D$2:$D$501,0))),""))</f>
        <v/>
      </c>
      <c r="I626" s="30" t="str">
        <f aca="false">IF($C626="","",IFERROR(IF(INDEX(links!$C$2:$C$501,MATCH($C626,links!$D$2:$D$501,0))="","",INDEX(links!$C$2:$C$501,MATCH($C626,links!$D$2:$D$501,0))),""))</f>
        <v/>
      </c>
      <c r="J626" s="30" t="str">
        <f aca="false">IF($C626="","",IF($G626="","slug not in links; ","")&amp;IF($D626="","reading type missing; ","")&amp;IF(COUNTIFS(scans!$C$2:$C$1601,$C626,scans!$D$2:$D$1601,$D626)&gt;1,"two readings of this type: keep one; ",""))</f>
        <v/>
      </c>
    </row>
    <row r="627" customFormat="false" ht="15" hidden="false" customHeight="false" outlineLevel="0" collapsed="false">
      <c r="A627" s="11"/>
      <c r="B627" s="38"/>
      <c r="D627" s="10"/>
      <c r="G627" s="30" t="str">
        <f aca="false">IF($C627="","",IFERROR(IF(INDEX(links!$A$2:$A$501,MATCH($C627,links!$D$2:$D$501,0))="","",INDEX(links!$A$2:$A$501,MATCH($C627,links!$D$2:$D$501,0))),""))</f>
        <v/>
      </c>
      <c r="H627" s="30" t="str">
        <f aca="false">IF($C627="","",IFERROR(IF(INDEX(links!$B$2:$B$501,MATCH($C627,links!$D$2:$D$501,0))="","",INDEX(links!$B$2:$B$501,MATCH($C627,links!$D$2:$D$501,0))),""))</f>
        <v/>
      </c>
      <c r="I627" s="30" t="str">
        <f aca="false">IF($C627="","",IFERROR(IF(INDEX(links!$C$2:$C$501,MATCH($C627,links!$D$2:$D$501,0))="","",INDEX(links!$C$2:$C$501,MATCH($C627,links!$D$2:$D$501,0))),""))</f>
        <v/>
      </c>
      <c r="J627" s="30" t="str">
        <f aca="false">IF($C627="","",IF($G627="","slug not in links; ","")&amp;IF($D627="","reading type missing; ","")&amp;IF(COUNTIFS(scans!$C$2:$C$1601,$C627,scans!$D$2:$D$1601,$D627)&gt;1,"two readings of this type: keep one; ",""))</f>
        <v/>
      </c>
    </row>
    <row r="628" customFormat="false" ht="15" hidden="false" customHeight="false" outlineLevel="0" collapsed="false">
      <c r="A628" s="11"/>
      <c r="B628" s="38"/>
      <c r="D628" s="10"/>
      <c r="G628" s="30" t="str">
        <f aca="false">IF($C628="","",IFERROR(IF(INDEX(links!$A$2:$A$501,MATCH($C628,links!$D$2:$D$501,0))="","",INDEX(links!$A$2:$A$501,MATCH($C628,links!$D$2:$D$501,0))),""))</f>
        <v/>
      </c>
      <c r="H628" s="30" t="str">
        <f aca="false">IF($C628="","",IFERROR(IF(INDEX(links!$B$2:$B$501,MATCH($C628,links!$D$2:$D$501,0))="","",INDEX(links!$B$2:$B$501,MATCH($C628,links!$D$2:$D$501,0))),""))</f>
        <v/>
      </c>
      <c r="I628" s="30" t="str">
        <f aca="false">IF($C628="","",IFERROR(IF(INDEX(links!$C$2:$C$501,MATCH($C628,links!$D$2:$D$501,0))="","",INDEX(links!$C$2:$C$501,MATCH($C628,links!$D$2:$D$501,0))),""))</f>
        <v/>
      </c>
      <c r="J628" s="30" t="str">
        <f aca="false">IF($C628="","",IF($G628="","slug not in links; ","")&amp;IF($D628="","reading type missing; ","")&amp;IF(COUNTIFS(scans!$C$2:$C$1601,$C628,scans!$D$2:$D$1601,$D628)&gt;1,"two readings of this type: keep one; ",""))</f>
        <v/>
      </c>
    </row>
    <row r="629" customFormat="false" ht="15" hidden="false" customHeight="false" outlineLevel="0" collapsed="false">
      <c r="A629" s="11"/>
      <c r="B629" s="38"/>
      <c r="D629" s="10"/>
      <c r="G629" s="30" t="str">
        <f aca="false">IF($C629="","",IFERROR(IF(INDEX(links!$A$2:$A$501,MATCH($C629,links!$D$2:$D$501,0))="","",INDEX(links!$A$2:$A$501,MATCH($C629,links!$D$2:$D$501,0))),""))</f>
        <v/>
      </c>
      <c r="H629" s="30" t="str">
        <f aca="false">IF($C629="","",IFERROR(IF(INDEX(links!$B$2:$B$501,MATCH($C629,links!$D$2:$D$501,0))="","",INDEX(links!$B$2:$B$501,MATCH($C629,links!$D$2:$D$501,0))),""))</f>
        <v/>
      </c>
      <c r="I629" s="30" t="str">
        <f aca="false">IF($C629="","",IFERROR(IF(INDEX(links!$C$2:$C$501,MATCH($C629,links!$D$2:$D$501,0))="","",INDEX(links!$C$2:$C$501,MATCH($C629,links!$D$2:$D$501,0))),""))</f>
        <v/>
      </c>
      <c r="J629" s="30" t="str">
        <f aca="false">IF($C629="","",IF($G629="","slug not in links; ","")&amp;IF($D629="","reading type missing; ","")&amp;IF(COUNTIFS(scans!$C$2:$C$1601,$C629,scans!$D$2:$D$1601,$D629)&gt;1,"two readings of this type: keep one; ",""))</f>
        <v/>
      </c>
    </row>
    <row r="630" customFormat="false" ht="15" hidden="false" customHeight="false" outlineLevel="0" collapsed="false">
      <c r="A630" s="11"/>
      <c r="B630" s="38"/>
      <c r="D630" s="10"/>
      <c r="G630" s="30" t="str">
        <f aca="false">IF($C630="","",IFERROR(IF(INDEX(links!$A$2:$A$501,MATCH($C630,links!$D$2:$D$501,0))="","",INDEX(links!$A$2:$A$501,MATCH($C630,links!$D$2:$D$501,0))),""))</f>
        <v/>
      </c>
      <c r="H630" s="30" t="str">
        <f aca="false">IF($C630="","",IFERROR(IF(INDEX(links!$B$2:$B$501,MATCH($C630,links!$D$2:$D$501,0))="","",INDEX(links!$B$2:$B$501,MATCH($C630,links!$D$2:$D$501,0))),""))</f>
        <v/>
      </c>
      <c r="I630" s="30" t="str">
        <f aca="false">IF($C630="","",IFERROR(IF(INDEX(links!$C$2:$C$501,MATCH($C630,links!$D$2:$D$501,0))="","",INDEX(links!$C$2:$C$501,MATCH($C630,links!$D$2:$D$501,0))),""))</f>
        <v/>
      </c>
      <c r="J630" s="30" t="str">
        <f aca="false">IF($C630="","",IF($G630="","slug not in links; ","")&amp;IF($D630="","reading type missing; ","")&amp;IF(COUNTIFS(scans!$C$2:$C$1601,$C630,scans!$D$2:$D$1601,$D630)&gt;1,"two readings of this type: keep one; ",""))</f>
        <v/>
      </c>
    </row>
    <row r="631" customFormat="false" ht="15" hidden="false" customHeight="false" outlineLevel="0" collapsed="false">
      <c r="A631" s="11"/>
      <c r="B631" s="38"/>
      <c r="D631" s="10"/>
      <c r="G631" s="30" t="str">
        <f aca="false">IF($C631="","",IFERROR(IF(INDEX(links!$A$2:$A$501,MATCH($C631,links!$D$2:$D$501,0))="","",INDEX(links!$A$2:$A$501,MATCH($C631,links!$D$2:$D$501,0))),""))</f>
        <v/>
      </c>
      <c r="H631" s="30" t="str">
        <f aca="false">IF($C631="","",IFERROR(IF(INDEX(links!$B$2:$B$501,MATCH($C631,links!$D$2:$D$501,0))="","",INDEX(links!$B$2:$B$501,MATCH($C631,links!$D$2:$D$501,0))),""))</f>
        <v/>
      </c>
      <c r="I631" s="30" t="str">
        <f aca="false">IF($C631="","",IFERROR(IF(INDEX(links!$C$2:$C$501,MATCH($C631,links!$D$2:$D$501,0))="","",INDEX(links!$C$2:$C$501,MATCH($C631,links!$D$2:$D$501,0))),""))</f>
        <v/>
      </c>
      <c r="J631" s="30" t="str">
        <f aca="false">IF($C631="","",IF($G631="","slug not in links; ","")&amp;IF($D631="","reading type missing; ","")&amp;IF(COUNTIFS(scans!$C$2:$C$1601,$C631,scans!$D$2:$D$1601,$D631)&gt;1,"two readings of this type: keep one; ",""))</f>
        <v/>
      </c>
    </row>
    <row r="632" customFormat="false" ht="15" hidden="false" customHeight="false" outlineLevel="0" collapsed="false">
      <c r="A632" s="11"/>
      <c r="B632" s="38"/>
      <c r="D632" s="10"/>
      <c r="G632" s="30" t="str">
        <f aca="false">IF($C632="","",IFERROR(IF(INDEX(links!$A$2:$A$501,MATCH($C632,links!$D$2:$D$501,0))="","",INDEX(links!$A$2:$A$501,MATCH($C632,links!$D$2:$D$501,0))),""))</f>
        <v/>
      </c>
      <c r="H632" s="30" t="str">
        <f aca="false">IF($C632="","",IFERROR(IF(INDEX(links!$B$2:$B$501,MATCH($C632,links!$D$2:$D$501,0))="","",INDEX(links!$B$2:$B$501,MATCH($C632,links!$D$2:$D$501,0))),""))</f>
        <v/>
      </c>
      <c r="I632" s="30" t="str">
        <f aca="false">IF($C632="","",IFERROR(IF(INDEX(links!$C$2:$C$501,MATCH($C632,links!$D$2:$D$501,0))="","",INDEX(links!$C$2:$C$501,MATCH($C632,links!$D$2:$D$501,0))),""))</f>
        <v/>
      </c>
      <c r="J632" s="30" t="str">
        <f aca="false">IF($C632="","",IF($G632="","slug not in links; ","")&amp;IF($D632="","reading type missing; ","")&amp;IF(COUNTIFS(scans!$C$2:$C$1601,$C632,scans!$D$2:$D$1601,$D632)&gt;1,"two readings of this type: keep one; ",""))</f>
        <v/>
      </c>
    </row>
    <row r="633" customFormat="false" ht="15" hidden="false" customHeight="false" outlineLevel="0" collapsed="false">
      <c r="A633" s="11"/>
      <c r="B633" s="38"/>
      <c r="D633" s="10"/>
      <c r="G633" s="30" t="str">
        <f aca="false">IF($C633="","",IFERROR(IF(INDEX(links!$A$2:$A$501,MATCH($C633,links!$D$2:$D$501,0))="","",INDEX(links!$A$2:$A$501,MATCH($C633,links!$D$2:$D$501,0))),""))</f>
        <v/>
      </c>
      <c r="H633" s="30" t="str">
        <f aca="false">IF($C633="","",IFERROR(IF(INDEX(links!$B$2:$B$501,MATCH($C633,links!$D$2:$D$501,0))="","",INDEX(links!$B$2:$B$501,MATCH($C633,links!$D$2:$D$501,0))),""))</f>
        <v/>
      </c>
      <c r="I633" s="30" t="str">
        <f aca="false">IF($C633="","",IFERROR(IF(INDEX(links!$C$2:$C$501,MATCH($C633,links!$D$2:$D$501,0))="","",INDEX(links!$C$2:$C$501,MATCH($C633,links!$D$2:$D$501,0))),""))</f>
        <v/>
      </c>
      <c r="J633" s="30" t="str">
        <f aca="false">IF($C633="","",IF($G633="","slug not in links; ","")&amp;IF($D633="","reading type missing; ","")&amp;IF(COUNTIFS(scans!$C$2:$C$1601,$C633,scans!$D$2:$D$1601,$D633)&gt;1,"two readings of this type: keep one; ",""))</f>
        <v/>
      </c>
    </row>
    <row r="634" customFormat="false" ht="15" hidden="false" customHeight="false" outlineLevel="0" collapsed="false">
      <c r="A634" s="11"/>
      <c r="B634" s="38"/>
      <c r="D634" s="10"/>
      <c r="G634" s="30" t="str">
        <f aca="false">IF($C634="","",IFERROR(IF(INDEX(links!$A$2:$A$501,MATCH($C634,links!$D$2:$D$501,0))="","",INDEX(links!$A$2:$A$501,MATCH($C634,links!$D$2:$D$501,0))),""))</f>
        <v/>
      </c>
      <c r="H634" s="30" t="str">
        <f aca="false">IF($C634="","",IFERROR(IF(INDEX(links!$B$2:$B$501,MATCH($C634,links!$D$2:$D$501,0))="","",INDEX(links!$B$2:$B$501,MATCH($C634,links!$D$2:$D$501,0))),""))</f>
        <v/>
      </c>
      <c r="I634" s="30" t="str">
        <f aca="false">IF($C634="","",IFERROR(IF(INDEX(links!$C$2:$C$501,MATCH($C634,links!$D$2:$D$501,0))="","",INDEX(links!$C$2:$C$501,MATCH($C634,links!$D$2:$D$501,0))),""))</f>
        <v/>
      </c>
      <c r="J634" s="30" t="str">
        <f aca="false">IF($C634="","",IF($G634="","slug not in links; ","")&amp;IF($D634="","reading type missing; ","")&amp;IF(COUNTIFS(scans!$C$2:$C$1601,$C634,scans!$D$2:$D$1601,$D634)&gt;1,"two readings of this type: keep one; ",""))</f>
        <v/>
      </c>
    </row>
    <row r="635" customFormat="false" ht="15" hidden="false" customHeight="false" outlineLevel="0" collapsed="false">
      <c r="A635" s="11"/>
      <c r="B635" s="38"/>
      <c r="D635" s="10"/>
      <c r="G635" s="30" t="str">
        <f aca="false">IF($C635="","",IFERROR(IF(INDEX(links!$A$2:$A$501,MATCH($C635,links!$D$2:$D$501,0))="","",INDEX(links!$A$2:$A$501,MATCH($C635,links!$D$2:$D$501,0))),""))</f>
        <v/>
      </c>
      <c r="H635" s="30" t="str">
        <f aca="false">IF($C635="","",IFERROR(IF(INDEX(links!$B$2:$B$501,MATCH($C635,links!$D$2:$D$501,0))="","",INDEX(links!$B$2:$B$501,MATCH($C635,links!$D$2:$D$501,0))),""))</f>
        <v/>
      </c>
      <c r="I635" s="30" t="str">
        <f aca="false">IF($C635="","",IFERROR(IF(INDEX(links!$C$2:$C$501,MATCH($C635,links!$D$2:$D$501,0))="","",INDEX(links!$C$2:$C$501,MATCH($C635,links!$D$2:$D$501,0))),""))</f>
        <v/>
      </c>
      <c r="J635" s="30" t="str">
        <f aca="false">IF($C635="","",IF($G635="","slug not in links; ","")&amp;IF($D635="","reading type missing; ","")&amp;IF(COUNTIFS(scans!$C$2:$C$1601,$C635,scans!$D$2:$D$1601,$D635)&gt;1,"two readings of this type: keep one; ",""))</f>
        <v/>
      </c>
    </row>
    <row r="636" customFormat="false" ht="15" hidden="false" customHeight="false" outlineLevel="0" collapsed="false">
      <c r="A636" s="11"/>
      <c r="B636" s="38"/>
      <c r="D636" s="10"/>
      <c r="G636" s="30" t="str">
        <f aca="false">IF($C636="","",IFERROR(IF(INDEX(links!$A$2:$A$501,MATCH($C636,links!$D$2:$D$501,0))="","",INDEX(links!$A$2:$A$501,MATCH($C636,links!$D$2:$D$501,0))),""))</f>
        <v/>
      </c>
      <c r="H636" s="30" t="str">
        <f aca="false">IF($C636="","",IFERROR(IF(INDEX(links!$B$2:$B$501,MATCH($C636,links!$D$2:$D$501,0))="","",INDEX(links!$B$2:$B$501,MATCH($C636,links!$D$2:$D$501,0))),""))</f>
        <v/>
      </c>
      <c r="I636" s="30" t="str">
        <f aca="false">IF($C636="","",IFERROR(IF(INDEX(links!$C$2:$C$501,MATCH($C636,links!$D$2:$D$501,0))="","",INDEX(links!$C$2:$C$501,MATCH($C636,links!$D$2:$D$501,0))),""))</f>
        <v/>
      </c>
      <c r="J636" s="30" t="str">
        <f aca="false">IF($C636="","",IF($G636="","slug not in links; ","")&amp;IF($D636="","reading type missing; ","")&amp;IF(COUNTIFS(scans!$C$2:$C$1601,$C636,scans!$D$2:$D$1601,$D636)&gt;1,"two readings of this type: keep one; ",""))</f>
        <v/>
      </c>
    </row>
    <row r="637" customFormat="false" ht="15" hidden="false" customHeight="false" outlineLevel="0" collapsed="false">
      <c r="A637" s="11"/>
      <c r="B637" s="38"/>
      <c r="D637" s="10"/>
      <c r="G637" s="30" t="str">
        <f aca="false">IF($C637="","",IFERROR(IF(INDEX(links!$A$2:$A$501,MATCH($C637,links!$D$2:$D$501,0))="","",INDEX(links!$A$2:$A$501,MATCH($C637,links!$D$2:$D$501,0))),""))</f>
        <v/>
      </c>
      <c r="H637" s="30" t="str">
        <f aca="false">IF($C637="","",IFERROR(IF(INDEX(links!$B$2:$B$501,MATCH($C637,links!$D$2:$D$501,0))="","",INDEX(links!$B$2:$B$501,MATCH($C637,links!$D$2:$D$501,0))),""))</f>
        <v/>
      </c>
      <c r="I637" s="30" t="str">
        <f aca="false">IF($C637="","",IFERROR(IF(INDEX(links!$C$2:$C$501,MATCH($C637,links!$D$2:$D$501,0))="","",INDEX(links!$C$2:$C$501,MATCH($C637,links!$D$2:$D$501,0))),""))</f>
        <v/>
      </c>
      <c r="J637" s="30" t="str">
        <f aca="false">IF($C637="","",IF($G637="","slug not in links; ","")&amp;IF($D637="","reading type missing; ","")&amp;IF(COUNTIFS(scans!$C$2:$C$1601,$C637,scans!$D$2:$D$1601,$D637)&gt;1,"two readings of this type: keep one; ",""))</f>
        <v/>
      </c>
    </row>
    <row r="638" customFormat="false" ht="15" hidden="false" customHeight="false" outlineLevel="0" collapsed="false">
      <c r="A638" s="11"/>
      <c r="B638" s="38"/>
      <c r="D638" s="10"/>
      <c r="G638" s="30" t="str">
        <f aca="false">IF($C638="","",IFERROR(IF(INDEX(links!$A$2:$A$501,MATCH($C638,links!$D$2:$D$501,0))="","",INDEX(links!$A$2:$A$501,MATCH($C638,links!$D$2:$D$501,0))),""))</f>
        <v/>
      </c>
      <c r="H638" s="30" t="str">
        <f aca="false">IF($C638="","",IFERROR(IF(INDEX(links!$B$2:$B$501,MATCH($C638,links!$D$2:$D$501,0))="","",INDEX(links!$B$2:$B$501,MATCH($C638,links!$D$2:$D$501,0))),""))</f>
        <v/>
      </c>
      <c r="I638" s="30" t="str">
        <f aca="false">IF($C638="","",IFERROR(IF(INDEX(links!$C$2:$C$501,MATCH($C638,links!$D$2:$D$501,0))="","",INDEX(links!$C$2:$C$501,MATCH($C638,links!$D$2:$D$501,0))),""))</f>
        <v/>
      </c>
      <c r="J638" s="30" t="str">
        <f aca="false">IF($C638="","",IF($G638="","slug not in links; ","")&amp;IF($D638="","reading type missing; ","")&amp;IF(COUNTIFS(scans!$C$2:$C$1601,$C638,scans!$D$2:$D$1601,$D638)&gt;1,"two readings of this type: keep one; ",""))</f>
        <v/>
      </c>
    </row>
    <row r="639" customFormat="false" ht="15" hidden="false" customHeight="false" outlineLevel="0" collapsed="false">
      <c r="A639" s="11"/>
      <c r="B639" s="38"/>
      <c r="D639" s="10"/>
      <c r="G639" s="30" t="str">
        <f aca="false">IF($C639="","",IFERROR(IF(INDEX(links!$A$2:$A$501,MATCH($C639,links!$D$2:$D$501,0))="","",INDEX(links!$A$2:$A$501,MATCH($C639,links!$D$2:$D$501,0))),""))</f>
        <v/>
      </c>
      <c r="H639" s="30" t="str">
        <f aca="false">IF($C639="","",IFERROR(IF(INDEX(links!$B$2:$B$501,MATCH($C639,links!$D$2:$D$501,0))="","",INDEX(links!$B$2:$B$501,MATCH($C639,links!$D$2:$D$501,0))),""))</f>
        <v/>
      </c>
      <c r="I639" s="30" t="str">
        <f aca="false">IF($C639="","",IFERROR(IF(INDEX(links!$C$2:$C$501,MATCH($C639,links!$D$2:$D$501,0))="","",INDEX(links!$C$2:$C$501,MATCH($C639,links!$D$2:$D$501,0))),""))</f>
        <v/>
      </c>
      <c r="J639" s="30" t="str">
        <f aca="false">IF($C639="","",IF($G639="","slug not in links; ","")&amp;IF($D639="","reading type missing; ","")&amp;IF(COUNTIFS(scans!$C$2:$C$1601,$C639,scans!$D$2:$D$1601,$D639)&gt;1,"two readings of this type: keep one; ",""))</f>
        <v/>
      </c>
    </row>
    <row r="640" customFormat="false" ht="15" hidden="false" customHeight="false" outlineLevel="0" collapsed="false">
      <c r="A640" s="11"/>
      <c r="B640" s="38"/>
      <c r="D640" s="10"/>
      <c r="G640" s="30" t="str">
        <f aca="false">IF($C640="","",IFERROR(IF(INDEX(links!$A$2:$A$501,MATCH($C640,links!$D$2:$D$501,0))="","",INDEX(links!$A$2:$A$501,MATCH($C640,links!$D$2:$D$501,0))),""))</f>
        <v/>
      </c>
      <c r="H640" s="30" t="str">
        <f aca="false">IF($C640="","",IFERROR(IF(INDEX(links!$B$2:$B$501,MATCH($C640,links!$D$2:$D$501,0))="","",INDEX(links!$B$2:$B$501,MATCH($C640,links!$D$2:$D$501,0))),""))</f>
        <v/>
      </c>
      <c r="I640" s="30" t="str">
        <f aca="false">IF($C640="","",IFERROR(IF(INDEX(links!$C$2:$C$501,MATCH($C640,links!$D$2:$D$501,0))="","",INDEX(links!$C$2:$C$501,MATCH($C640,links!$D$2:$D$501,0))),""))</f>
        <v/>
      </c>
      <c r="J640" s="30" t="str">
        <f aca="false">IF($C640="","",IF($G640="","slug not in links; ","")&amp;IF($D640="","reading type missing; ","")&amp;IF(COUNTIFS(scans!$C$2:$C$1601,$C640,scans!$D$2:$D$1601,$D640)&gt;1,"two readings of this type: keep one; ",""))</f>
        <v/>
      </c>
    </row>
    <row r="641" customFormat="false" ht="15" hidden="false" customHeight="false" outlineLevel="0" collapsed="false">
      <c r="A641" s="11"/>
      <c r="B641" s="38"/>
      <c r="D641" s="10"/>
      <c r="G641" s="30" t="str">
        <f aca="false">IF($C641="","",IFERROR(IF(INDEX(links!$A$2:$A$501,MATCH($C641,links!$D$2:$D$501,0))="","",INDEX(links!$A$2:$A$501,MATCH($C641,links!$D$2:$D$501,0))),""))</f>
        <v/>
      </c>
      <c r="H641" s="30" t="str">
        <f aca="false">IF($C641="","",IFERROR(IF(INDEX(links!$B$2:$B$501,MATCH($C641,links!$D$2:$D$501,0))="","",INDEX(links!$B$2:$B$501,MATCH($C641,links!$D$2:$D$501,0))),""))</f>
        <v/>
      </c>
      <c r="I641" s="30" t="str">
        <f aca="false">IF($C641="","",IFERROR(IF(INDEX(links!$C$2:$C$501,MATCH($C641,links!$D$2:$D$501,0))="","",INDEX(links!$C$2:$C$501,MATCH($C641,links!$D$2:$D$501,0))),""))</f>
        <v/>
      </c>
      <c r="J641" s="30" t="str">
        <f aca="false">IF($C641="","",IF($G641="","slug not in links; ","")&amp;IF($D641="","reading type missing; ","")&amp;IF(COUNTIFS(scans!$C$2:$C$1601,$C641,scans!$D$2:$D$1601,$D641)&gt;1,"two readings of this type: keep one; ",""))</f>
        <v/>
      </c>
    </row>
    <row r="642" customFormat="false" ht="15" hidden="false" customHeight="false" outlineLevel="0" collapsed="false">
      <c r="A642" s="11"/>
      <c r="B642" s="38"/>
      <c r="D642" s="10"/>
      <c r="G642" s="30" t="str">
        <f aca="false">IF($C642="","",IFERROR(IF(INDEX(links!$A$2:$A$501,MATCH($C642,links!$D$2:$D$501,0))="","",INDEX(links!$A$2:$A$501,MATCH($C642,links!$D$2:$D$501,0))),""))</f>
        <v/>
      </c>
      <c r="H642" s="30" t="str">
        <f aca="false">IF($C642="","",IFERROR(IF(INDEX(links!$B$2:$B$501,MATCH($C642,links!$D$2:$D$501,0))="","",INDEX(links!$B$2:$B$501,MATCH($C642,links!$D$2:$D$501,0))),""))</f>
        <v/>
      </c>
      <c r="I642" s="30" t="str">
        <f aca="false">IF($C642="","",IFERROR(IF(INDEX(links!$C$2:$C$501,MATCH($C642,links!$D$2:$D$501,0))="","",INDEX(links!$C$2:$C$501,MATCH($C642,links!$D$2:$D$501,0))),""))</f>
        <v/>
      </c>
      <c r="J642" s="30" t="str">
        <f aca="false">IF($C642="","",IF($G642="","slug not in links; ","")&amp;IF($D642="","reading type missing; ","")&amp;IF(COUNTIFS(scans!$C$2:$C$1601,$C642,scans!$D$2:$D$1601,$D642)&gt;1,"two readings of this type: keep one; ",""))</f>
        <v/>
      </c>
    </row>
    <row r="643" customFormat="false" ht="15" hidden="false" customHeight="false" outlineLevel="0" collapsed="false">
      <c r="A643" s="11"/>
      <c r="B643" s="38"/>
      <c r="D643" s="10"/>
      <c r="G643" s="30" t="str">
        <f aca="false">IF($C643="","",IFERROR(IF(INDEX(links!$A$2:$A$501,MATCH($C643,links!$D$2:$D$501,0))="","",INDEX(links!$A$2:$A$501,MATCH($C643,links!$D$2:$D$501,0))),""))</f>
        <v/>
      </c>
      <c r="H643" s="30" t="str">
        <f aca="false">IF($C643="","",IFERROR(IF(INDEX(links!$B$2:$B$501,MATCH($C643,links!$D$2:$D$501,0))="","",INDEX(links!$B$2:$B$501,MATCH($C643,links!$D$2:$D$501,0))),""))</f>
        <v/>
      </c>
      <c r="I643" s="30" t="str">
        <f aca="false">IF($C643="","",IFERROR(IF(INDEX(links!$C$2:$C$501,MATCH($C643,links!$D$2:$D$501,0))="","",INDEX(links!$C$2:$C$501,MATCH($C643,links!$D$2:$D$501,0))),""))</f>
        <v/>
      </c>
      <c r="J643" s="30" t="str">
        <f aca="false">IF($C643="","",IF($G643="","slug not in links; ","")&amp;IF($D643="","reading type missing; ","")&amp;IF(COUNTIFS(scans!$C$2:$C$1601,$C643,scans!$D$2:$D$1601,$D643)&gt;1,"two readings of this type: keep one; ",""))</f>
        <v/>
      </c>
    </row>
    <row r="644" customFormat="false" ht="15" hidden="false" customHeight="false" outlineLevel="0" collapsed="false">
      <c r="A644" s="11"/>
      <c r="B644" s="38"/>
      <c r="D644" s="10"/>
      <c r="G644" s="30" t="str">
        <f aca="false">IF($C644="","",IFERROR(IF(INDEX(links!$A$2:$A$501,MATCH($C644,links!$D$2:$D$501,0))="","",INDEX(links!$A$2:$A$501,MATCH($C644,links!$D$2:$D$501,0))),""))</f>
        <v/>
      </c>
      <c r="H644" s="30" t="str">
        <f aca="false">IF($C644="","",IFERROR(IF(INDEX(links!$B$2:$B$501,MATCH($C644,links!$D$2:$D$501,0))="","",INDEX(links!$B$2:$B$501,MATCH($C644,links!$D$2:$D$501,0))),""))</f>
        <v/>
      </c>
      <c r="I644" s="30" t="str">
        <f aca="false">IF($C644="","",IFERROR(IF(INDEX(links!$C$2:$C$501,MATCH($C644,links!$D$2:$D$501,0))="","",INDEX(links!$C$2:$C$501,MATCH($C644,links!$D$2:$D$501,0))),""))</f>
        <v/>
      </c>
      <c r="J644" s="30" t="str">
        <f aca="false">IF($C644="","",IF($G644="","slug not in links; ","")&amp;IF($D644="","reading type missing; ","")&amp;IF(COUNTIFS(scans!$C$2:$C$1601,$C644,scans!$D$2:$D$1601,$D644)&gt;1,"two readings of this type: keep one; ",""))</f>
        <v/>
      </c>
    </row>
    <row r="645" customFormat="false" ht="15" hidden="false" customHeight="false" outlineLevel="0" collapsed="false">
      <c r="A645" s="11"/>
      <c r="B645" s="38"/>
      <c r="D645" s="10"/>
      <c r="G645" s="30" t="str">
        <f aca="false">IF($C645="","",IFERROR(IF(INDEX(links!$A$2:$A$501,MATCH($C645,links!$D$2:$D$501,0))="","",INDEX(links!$A$2:$A$501,MATCH($C645,links!$D$2:$D$501,0))),""))</f>
        <v/>
      </c>
      <c r="H645" s="30" t="str">
        <f aca="false">IF($C645="","",IFERROR(IF(INDEX(links!$B$2:$B$501,MATCH($C645,links!$D$2:$D$501,0))="","",INDEX(links!$B$2:$B$501,MATCH($C645,links!$D$2:$D$501,0))),""))</f>
        <v/>
      </c>
      <c r="I645" s="30" t="str">
        <f aca="false">IF($C645="","",IFERROR(IF(INDEX(links!$C$2:$C$501,MATCH($C645,links!$D$2:$D$501,0))="","",INDEX(links!$C$2:$C$501,MATCH($C645,links!$D$2:$D$501,0))),""))</f>
        <v/>
      </c>
      <c r="J645" s="30" t="str">
        <f aca="false">IF($C645="","",IF($G645="","slug not in links; ","")&amp;IF($D645="","reading type missing; ","")&amp;IF(COUNTIFS(scans!$C$2:$C$1601,$C645,scans!$D$2:$D$1601,$D645)&gt;1,"two readings of this type: keep one; ",""))</f>
        <v/>
      </c>
    </row>
    <row r="646" customFormat="false" ht="15" hidden="false" customHeight="false" outlineLevel="0" collapsed="false">
      <c r="A646" s="11"/>
      <c r="B646" s="38"/>
      <c r="D646" s="10"/>
      <c r="G646" s="30" t="str">
        <f aca="false">IF($C646="","",IFERROR(IF(INDEX(links!$A$2:$A$501,MATCH($C646,links!$D$2:$D$501,0))="","",INDEX(links!$A$2:$A$501,MATCH($C646,links!$D$2:$D$501,0))),""))</f>
        <v/>
      </c>
      <c r="H646" s="30" t="str">
        <f aca="false">IF($C646="","",IFERROR(IF(INDEX(links!$B$2:$B$501,MATCH($C646,links!$D$2:$D$501,0))="","",INDEX(links!$B$2:$B$501,MATCH($C646,links!$D$2:$D$501,0))),""))</f>
        <v/>
      </c>
      <c r="I646" s="30" t="str">
        <f aca="false">IF($C646="","",IFERROR(IF(INDEX(links!$C$2:$C$501,MATCH($C646,links!$D$2:$D$501,0))="","",INDEX(links!$C$2:$C$501,MATCH($C646,links!$D$2:$D$501,0))),""))</f>
        <v/>
      </c>
      <c r="J646" s="30" t="str">
        <f aca="false">IF($C646="","",IF($G646="","slug not in links; ","")&amp;IF($D646="","reading type missing; ","")&amp;IF(COUNTIFS(scans!$C$2:$C$1601,$C646,scans!$D$2:$D$1601,$D646)&gt;1,"two readings of this type: keep one; ",""))</f>
        <v/>
      </c>
    </row>
    <row r="647" customFormat="false" ht="15" hidden="false" customHeight="false" outlineLevel="0" collapsed="false">
      <c r="A647" s="11"/>
      <c r="B647" s="38"/>
      <c r="D647" s="10"/>
      <c r="G647" s="30" t="str">
        <f aca="false">IF($C647="","",IFERROR(IF(INDEX(links!$A$2:$A$501,MATCH($C647,links!$D$2:$D$501,0))="","",INDEX(links!$A$2:$A$501,MATCH($C647,links!$D$2:$D$501,0))),""))</f>
        <v/>
      </c>
      <c r="H647" s="30" t="str">
        <f aca="false">IF($C647="","",IFERROR(IF(INDEX(links!$B$2:$B$501,MATCH($C647,links!$D$2:$D$501,0))="","",INDEX(links!$B$2:$B$501,MATCH($C647,links!$D$2:$D$501,0))),""))</f>
        <v/>
      </c>
      <c r="I647" s="30" t="str">
        <f aca="false">IF($C647="","",IFERROR(IF(INDEX(links!$C$2:$C$501,MATCH($C647,links!$D$2:$D$501,0))="","",INDEX(links!$C$2:$C$501,MATCH($C647,links!$D$2:$D$501,0))),""))</f>
        <v/>
      </c>
      <c r="J647" s="30" t="str">
        <f aca="false">IF($C647="","",IF($G647="","slug not in links; ","")&amp;IF($D647="","reading type missing; ","")&amp;IF(COUNTIFS(scans!$C$2:$C$1601,$C647,scans!$D$2:$D$1601,$D647)&gt;1,"two readings of this type: keep one; ",""))</f>
        <v/>
      </c>
    </row>
    <row r="648" customFormat="false" ht="15" hidden="false" customHeight="false" outlineLevel="0" collapsed="false">
      <c r="A648" s="11"/>
      <c r="B648" s="38"/>
      <c r="D648" s="10"/>
      <c r="G648" s="30" t="str">
        <f aca="false">IF($C648="","",IFERROR(IF(INDEX(links!$A$2:$A$501,MATCH($C648,links!$D$2:$D$501,0))="","",INDEX(links!$A$2:$A$501,MATCH($C648,links!$D$2:$D$501,0))),""))</f>
        <v/>
      </c>
      <c r="H648" s="30" t="str">
        <f aca="false">IF($C648="","",IFERROR(IF(INDEX(links!$B$2:$B$501,MATCH($C648,links!$D$2:$D$501,0))="","",INDEX(links!$B$2:$B$501,MATCH($C648,links!$D$2:$D$501,0))),""))</f>
        <v/>
      </c>
      <c r="I648" s="30" t="str">
        <f aca="false">IF($C648="","",IFERROR(IF(INDEX(links!$C$2:$C$501,MATCH($C648,links!$D$2:$D$501,0))="","",INDEX(links!$C$2:$C$501,MATCH($C648,links!$D$2:$D$501,0))),""))</f>
        <v/>
      </c>
      <c r="J648" s="30" t="str">
        <f aca="false">IF($C648="","",IF($G648="","slug not in links; ","")&amp;IF($D648="","reading type missing; ","")&amp;IF(COUNTIFS(scans!$C$2:$C$1601,$C648,scans!$D$2:$D$1601,$D648)&gt;1,"two readings of this type: keep one; ",""))</f>
        <v/>
      </c>
    </row>
    <row r="649" customFormat="false" ht="15" hidden="false" customHeight="false" outlineLevel="0" collapsed="false">
      <c r="A649" s="11"/>
      <c r="B649" s="38"/>
      <c r="D649" s="10"/>
      <c r="G649" s="30" t="str">
        <f aca="false">IF($C649="","",IFERROR(IF(INDEX(links!$A$2:$A$501,MATCH($C649,links!$D$2:$D$501,0))="","",INDEX(links!$A$2:$A$501,MATCH($C649,links!$D$2:$D$501,0))),""))</f>
        <v/>
      </c>
      <c r="H649" s="30" t="str">
        <f aca="false">IF($C649="","",IFERROR(IF(INDEX(links!$B$2:$B$501,MATCH($C649,links!$D$2:$D$501,0))="","",INDEX(links!$B$2:$B$501,MATCH($C649,links!$D$2:$D$501,0))),""))</f>
        <v/>
      </c>
      <c r="I649" s="30" t="str">
        <f aca="false">IF($C649="","",IFERROR(IF(INDEX(links!$C$2:$C$501,MATCH($C649,links!$D$2:$D$501,0))="","",INDEX(links!$C$2:$C$501,MATCH($C649,links!$D$2:$D$501,0))),""))</f>
        <v/>
      </c>
      <c r="J649" s="30" t="str">
        <f aca="false">IF($C649="","",IF($G649="","slug not in links; ","")&amp;IF($D649="","reading type missing; ","")&amp;IF(COUNTIFS(scans!$C$2:$C$1601,$C649,scans!$D$2:$D$1601,$D649)&gt;1,"two readings of this type: keep one; ",""))</f>
        <v/>
      </c>
    </row>
    <row r="650" customFormat="false" ht="15" hidden="false" customHeight="false" outlineLevel="0" collapsed="false">
      <c r="A650" s="11"/>
      <c r="B650" s="38"/>
      <c r="D650" s="10"/>
      <c r="G650" s="30" t="str">
        <f aca="false">IF($C650="","",IFERROR(IF(INDEX(links!$A$2:$A$501,MATCH($C650,links!$D$2:$D$501,0))="","",INDEX(links!$A$2:$A$501,MATCH($C650,links!$D$2:$D$501,0))),""))</f>
        <v/>
      </c>
      <c r="H650" s="30" t="str">
        <f aca="false">IF($C650="","",IFERROR(IF(INDEX(links!$B$2:$B$501,MATCH($C650,links!$D$2:$D$501,0))="","",INDEX(links!$B$2:$B$501,MATCH($C650,links!$D$2:$D$501,0))),""))</f>
        <v/>
      </c>
      <c r="I650" s="30" t="str">
        <f aca="false">IF($C650="","",IFERROR(IF(INDEX(links!$C$2:$C$501,MATCH($C650,links!$D$2:$D$501,0))="","",INDEX(links!$C$2:$C$501,MATCH($C650,links!$D$2:$D$501,0))),""))</f>
        <v/>
      </c>
      <c r="J650" s="30" t="str">
        <f aca="false">IF($C650="","",IF($G650="","slug not in links; ","")&amp;IF($D650="","reading type missing; ","")&amp;IF(COUNTIFS(scans!$C$2:$C$1601,$C650,scans!$D$2:$D$1601,$D650)&gt;1,"two readings of this type: keep one; ",""))</f>
        <v/>
      </c>
    </row>
    <row r="651" customFormat="false" ht="15" hidden="false" customHeight="false" outlineLevel="0" collapsed="false">
      <c r="A651" s="11"/>
      <c r="B651" s="38"/>
      <c r="D651" s="10"/>
      <c r="G651" s="30" t="str">
        <f aca="false">IF($C651="","",IFERROR(IF(INDEX(links!$A$2:$A$501,MATCH($C651,links!$D$2:$D$501,0))="","",INDEX(links!$A$2:$A$501,MATCH($C651,links!$D$2:$D$501,0))),""))</f>
        <v/>
      </c>
      <c r="H651" s="30" t="str">
        <f aca="false">IF($C651="","",IFERROR(IF(INDEX(links!$B$2:$B$501,MATCH($C651,links!$D$2:$D$501,0))="","",INDEX(links!$B$2:$B$501,MATCH($C651,links!$D$2:$D$501,0))),""))</f>
        <v/>
      </c>
      <c r="I651" s="30" t="str">
        <f aca="false">IF($C651="","",IFERROR(IF(INDEX(links!$C$2:$C$501,MATCH($C651,links!$D$2:$D$501,0))="","",INDEX(links!$C$2:$C$501,MATCH($C651,links!$D$2:$D$501,0))),""))</f>
        <v/>
      </c>
      <c r="J651" s="30" t="str">
        <f aca="false">IF($C651="","",IF($G651="","slug not in links; ","")&amp;IF($D651="","reading type missing; ","")&amp;IF(COUNTIFS(scans!$C$2:$C$1601,$C651,scans!$D$2:$D$1601,$D651)&gt;1,"two readings of this type: keep one; ",""))</f>
        <v/>
      </c>
    </row>
    <row r="652" customFormat="false" ht="15" hidden="false" customHeight="false" outlineLevel="0" collapsed="false">
      <c r="A652" s="11"/>
      <c r="B652" s="38"/>
      <c r="D652" s="10"/>
      <c r="G652" s="30" t="str">
        <f aca="false">IF($C652="","",IFERROR(IF(INDEX(links!$A$2:$A$501,MATCH($C652,links!$D$2:$D$501,0))="","",INDEX(links!$A$2:$A$501,MATCH($C652,links!$D$2:$D$501,0))),""))</f>
        <v/>
      </c>
      <c r="H652" s="30" t="str">
        <f aca="false">IF($C652="","",IFERROR(IF(INDEX(links!$B$2:$B$501,MATCH($C652,links!$D$2:$D$501,0))="","",INDEX(links!$B$2:$B$501,MATCH($C652,links!$D$2:$D$501,0))),""))</f>
        <v/>
      </c>
      <c r="I652" s="30" t="str">
        <f aca="false">IF($C652="","",IFERROR(IF(INDEX(links!$C$2:$C$501,MATCH($C652,links!$D$2:$D$501,0))="","",INDEX(links!$C$2:$C$501,MATCH($C652,links!$D$2:$D$501,0))),""))</f>
        <v/>
      </c>
      <c r="J652" s="30" t="str">
        <f aca="false">IF($C652="","",IF($G652="","slug not in links; ","")&amp;IF($D652="","reading type missing; ","")&amp;IF(COUNTIFS(scans!$C$2:$C$1601,$C652,scans!$D$2:$D$1601,$D652)&gt;1,"two readings of this type: keep one; ",""))</f>
        <v/>
      </c>
    </row>
    <row r="653" customFormat="false" ht="15" hidden="false" customHeight="false" outlineLevel="0" collapsed="false">
      <c r="A653" s="11"/>
      <c r="B653" s="38"/>
      <c r="D653" s="10"/>
      <c r="G653" s="30" t="str">
        <f aca="false">IF($C653="","",IFERROR(IF(INDEX(links!$A$2:$A$501,MATCH($C653,links!$D$2:$D$501,0))="","",INDEX(links!$A$2:$A$501,MATCH($C653,links!$D$2:$D$501,0))),""))</f>
        <v/>
      </c>
      <c r="H653" s="30" t="str">
        <f aca="false">IF($C653="","",IFERROR(IF(INDEX(links!$B$2:$B$501,MATCH($C653,links!$D$2:$D$501,0))="","",INDEX(links!$B$2:$B$501,MATCH($C653,links!$D$2:$D$501,0))),""))</f>
        <v/>
      </c>
      <c r="I653" s="30" t="str">
        <f aca="false">IF($C653="","",IFERROR(IF(INDEX(links!$C$2:$C$501,MATCH($C653,links!$D$2:$D$501,0))="","",INDEX(links!$C$2:$C$501,MATCH($C653,links!$D$2:$D$501,0))),""))</f>
        <v/>
      </c>
      <c r="J653" s="30" t="str">
        <f aca="false">IF($C653="","",IF($G653="","slug not in links; ","")&amp;IF($D653="","reading type missing; ","")&amp;IF(COUNTIFS(scans!$C$2:$C$1601,$C653,scans!$D$2:$D$1601,$D653)&gt;1,"two readings of this type: keep one; ",""))</f>
        <v/>
      </c>
    </row>
    <row r="654" customFormat="false" ht="15" hidden="false" customHeight="false" outlineLevel="0" collapsed="false">
      <c r="A654" s="11"/>
      <c r="B654" s="38"/>
      <c r="D654" s="10"/>
      <c r="G654" s="30" t="str">
        <f aca="false">IF($C654="","",IFERROR(IF(INDEX(links!$A$2:$A$501,MATCH($C654,links!$D$2:$D$501,0))="","",INDEX(links!$A$2:$A$501,MATCH($C654,links!$D$2:$D$501,0))),""))</f>
        <v/>
      </c>
      <c r="H654" s="30" t="str">
        <f aca="false">IF($C654="","",IFERROR(IF(INDEX(links!$B$2:$B$501,MATCH($C654,links!$D$2:$D$501,0))="","",INDEX(links!$B$2:$B$501,MATCH($C654,links!$D$2:$D$501,0))),""))</f>
        <v/>
      </c>
      <c r="I654" s="30" t="str">
        <f aca="false">IF($C654="","",IFERROR(IF(INDEX(links!$C$2:$C$501,MATCH($C654,links!$D$2:$D$501,0))="","",INDEX(links!$C$2:$C$501,MATCH($C654,links!$D$2:$D$501,0))),""))</f>
        <v/>
      </c>
      <c r="J654" s="30" t="str">
        <f aca="false">IF($C654="","",IF($G654="","slug not in links; ","")&amp;IF($D654="","reading type missing; ","")&amp;IF(COUNTIFS(scans!$C$2:$C$1601,$C654,scans!$D$2:$D$1601,$D654)&gt;1,"two readings of this type: keep one; ",""))</f>
        <v/>
      </c>
    </row>
    <row r="655" customFormat="false" ht="15" hidden="false" customHeight="false" outlineLevel="0" collapsed="false">
      <c r="A655" s="11"/>
      <c r="B655" s="38"/>
      <c r="D655" s="10"/>
      <c r="G655" s="30" t="str">
        <f aca="false">IF($C655="","",IFERROR(IF(INDEX(links!$A$2:$A$501,MATCH($C655,links!$D$2:$D$501,0))="","",INDEX(links!$A$2:$A$501,MATCH($C655,links!$D$2:$D$501,0))),""))</f>
        <v/>
      </c>
      <c r="H655" s="30" t="str">
        <f aca="false">IF($C655="","",IFERROR(IF(INDEX(links!$B$2:$B$501,MATCH($C655,links!$D$2:$D$501,0))="","",INDEX(links!$B$2:$B$501,MATCH($C655,links!$D$2:$D$501,0))),""))</f>
        <v/>
      </c>
      <c r="I655" s="30" t="str">
        <f aca="false">IF($C655="","",IFERROR(IF(INDEX(links!$C$2:$C$501,MATCH($C655,links!$D$2:$D$501,0))="","",INDEX(links!$C$2:$C$501,MATCH($C655,links!$D$2:$D$501,0))),""))</f>
        <v/>
      </c>
      <c r="J655" s="30" t="str">
        <f aca="false">IF($C655="","",IF($G655="","slug not in links; ","")&amp;IF($D655="","reading type missing; ","")&amp;IF(COUNTIFS(scans!$C$2:$C$1601,$C655,scans!$D$2:$D$1601,$D655)&gt;1,"two readings of this type: keep one; ",""))</f>
        <v/>
      </c>
    </row>
    <row r="656" customFormat="false" ht="15" hidden="false" customHeight="false" outlineLevel="0" collapsed="false">
      <c r="A656" s="11"/>
      <c r="B656" s="38"/>
      <c r="D656" s="10"/>
      <c r="G656" s="30" t="str">
        <f aca="false">IF($C656="","",IFERROR(IF(INDEX(links!$A$2:$A$501,MATCH($C656,links!$D$2:$D$501,0))="","",INDEX(links!$A$2:$A$501,MATCH($C656,links!$D$2:$D$501,0))),""))</f>
        <v/>
      </c>
      <c r="H656" s="30" t="str">
        <f aca="false">IF($C656="","",IFERROR(IF(INDEX(links!$B$2:$B$501,MATCH($C656,links!$D$2:$D$501,0))="","",INDEX(links!$B$2:$B$501,MATCH($C656,links!$D$2:$D$501,0))),""))</f>
        <v/>
      </c>
      <c r="I656" s="30" t="str">
        <f aca="false">IF($C656="","",IFERROR(IF(INDEX(links!$C$2:$C$501,MATCH($C656,links!$D$2:$D$501,0))="","",INDEX(links!$C$2:$C$501,MATCH($C656,links!$D$2:$D$501,0))),""))</f>
        <v/>
      </c>
      <c r="J656" s="30" t="str">
        <f aca="false">IF($C656="","",IF($G656="","slug not in links; ","")&amp;IF($D656="","reading type missing; ","")&amp;IF(COUNTIFS(scans!$C$2:$C$1601,$C656,scans!$D$2:$D$1601,$D656)&gt;1,"two readings of this type: keep one; ",""))</f>
        <v/>
      </c>
    </row>
    <row r="657" customFormat="false" ht="15" hidden="false" customHeight="false" outlineLevel="0" collapsed="false">
      <c r="A657" s="11"/>
      <c r="B657" s="38"/>
      <c r="D657" s="10"/>
      <c r="G657" s="30" t="str">
        <f aca="false">IF($C657="","",IFERROR(IF(INDEX(links!$A$2:$A$501,MATCH($C657,links!$D$2:$D$501,0))="","",INDEX(links!$A$2:$A$501,MATCH($C657,links!$D$2:$D$501,0))),""))</f>
        <v/>
      </c>
      <c r="H657" s="30" t="str">
        <f aca="false">IF($C657="","",IFERROR(IF(INDEX(links!$B$2:$B$501,MATCH($C657,links!$D$2:$D$501,0))="","",INDEX(links!$B$2:$B$501,MATCH($C657,links!$D$2:$D$501,0))),""))</f>
        <v/>
      </c>
      <c r="I657" s="30" t="str">
        <f aca="false">IF($C657="","",IFERROR(IF(INDEX(links!$C$2:$C$501,MATCH($C657,links!$D$2:$D$501,0))="","",INDEX(links!$C$2:$C$501,MATCH($C657,links!$D$2:$D$501,0))),""))</f>
        <v/>
      </c>
      <c r="J657" s="30" t="str">
        <f aca="false">IF($C657="","",IF($G657="","slug not in links; ","")&amp;IF($D657="","reading type missing; ","")&amp;IF(COUNTIFS(scans!$C$2:$C$1601,$C657,scans!$D$2:$D$1601,$D657)&gt;1,"two readings of this type: keep one; ",""))</f>
        <v/>
      </c>
    </row>
    <row r="658" customFormat="false" ht="15" hidden="false" customHeight="false" outlineLevel="0" collapsed="false">
      <c r="A658" s="11"/>
      <c r="B658" s="38"/>
      <c r="D658" s="10"/>
      <c r="G658" s="30" t="str">
        <f aca="false">IF($C658="","",IFERROR(IF(INDEX(links!$A$2:$A$501,MATCH($C658,links!$D$2:$D$501,0))="","",INDEX(links!$A$2:$A$501,MATCH($C658,links!$D$2:$D$501,0))),""))</f>
        <v/>
      </c>
      <c r="H658" s="30" t="str">
        <f aca="false">IF($C658="","",IFERROR(IF(INDEX(links!$B$2:$B$501,MATCH($C658,links!$D$2:$D$501,0))="","",INDEX(links!$B$2:$B$501,MATCH($C658,links!$D$2:$D$501,0))),""))</f>
        <v/>
      </c>
      <c r="I658" s="30" t="str">
        <f aca="false">IF($C658="","",IFERROR(IF(INDEX(links!$C$2:$C$501,MATCH($C658,links!$D$2:$D$501,0))="","",INDEX(links!$C$2:$C$501,MATCH($C658,links!$D$2:$D$501,0))),""))</f>
        <v/>
      </c>
      <c r="J658" s="30" t="str">
        <f aca="false">IF($C658="","",IF($G658="","slug not in links; ","")&amp;IF($D658="","reading type missing; ","")&amp;IF(COUNTIFS(scans!$C$2:$C$1601,$C658,scans!$D$2:$D$1601,$D658)&gt;1,"two readings of this type: keep one; ",""))</f>
        <v/>
      </c>
    </row>
    <row r="659" customFormat="false" ht="15" hidden="false" customHeight="false" outlineLevel="0" collapsed="false">
      <c r="A659" s="11"/>
      <c r="B659" s="38"/>
      <c r="D659" s="10"/>
      <c r="G659" s="30" t="str">
        <f aca="false">IF($C659="","",IFERROR(IF(INDEX(links!$A$2:$A$501,MATCH($C659,links!$D$2:$D$501,0))="","",INDEX(links!$A$2:$A$501,MATCH($C659,links!$D$2:$D$501,0))),""))</f>
        <v/>
      </c>
      <c r="H659" s="30" t="str">
        <f aca="false">IF($C659="","",IFERROR(IF(INDEX(links!$B$2:$B$501,MATCH($C659,links!$D$2:$D$501,0))="","",INDEX(links!$B$2:$B$501,MATCH($C659,links!$D$2:$D$501,0))),""))</f>
        <v/>
      </c>
      <c r="I659" s="30" t="str">
        <f aca="false">IF($C659="","",IFERROR(IF(INDEX(links!$C$2:$C$501,MATCH($C659,links!$D$2:$D$501,0))="","",INDEX(links!$C$2:$C$501,MATCH($C659,links!$D$2:$D$501,0))),""))</f>
        <v/>
      </c>
      <c r="J659" s="30" t="str">
        <f aca="false">IF($C659="","",IF($G659="","slug not in links; ","")&amp;IF($D659="","reading type missing; ","")&amp;IF(COUNTIFS(scans!$C$2:$C$1601,$C659,scans!$D$2:$D$1601,$D659)&gt;1,"two readings of this type: keep one; ",""))</f>
        <v/>
      </c>
    </row>
    <row r="660" customFormat="false" ht="15" hidden="false" customHeight="false" outlineLevel="0" collapsed="false">
      <c r="A660" s="11"/>
      <c r="B660" s="38"/>
      <c r="D660" s="10"/>
      <c r="G660" s="30" t="str">
        <f aca="false">IF($C660="","",IFERROR(IF(INDEX(links!$A$2:$A$501,MATCH($C660,links!$D$2:$D$501,0))="","",INDEX(links!$A$2:$A$501,MATCH($C660,links!$D$2:$D$501,0))),""))</f>
        <v/>
      </c>
      <c r="H660" s="30" t="str">
        <f aca="false">IF($C660="","",IFERROR(IF(INDEX(links!$B$2:$B$501,MATCH($C660,links!$D$2:$D$501,0))="","",INDEX(links!$B$2:$B$501,MATCH($C660,links!$D$2:$D$501,0))),""))</f>
        <v/>
      </c>
      <c r="I660" s="30" t="str">
        <f aca="false">IF($C660="","",IFERROR(IF(INDEX(links!$C$2:$C$501,MATCH($C660,links!$D$2:$D$501,0))="","",INDEX(links!$C$2:$C$501,MATCH($C660,links!$D$2:$D$501,0))),""))</f>
        <v/>
      </c>
      <c r="J660" s="30" t="str">
        <f aca="false">IF($C660="","",IF($G660="","slug not in links; ","")&amp;IF($D660="","reading type missing; ","")&amp;IF(COUNTIFS(scans!$C$2:$C$1601,$C660,scans!$D$2:$D$1601,$D660)&gt;1,"two readings of this type: keep one; ",""))</f>
        <v/>
      </c>
    </row>
    <row r="661" customFormat="false" ht="15" hidden="false" customHeight="false" outlineLevel="0" collapsed="false">
      <c r="A661" s="11"/>
      <c r="B661" s="38"/>
      <c r="D661" s="10"/>
      <c r="G661" s="30" t="str">
        <f aca="false">IF($C661="","",IFERROR(IF(INDEX(links!$A$2:$A$501,MATCH($C661,links!$D$2:$D$501,0))="","",INDEX(links!$A$2:$A$501,MATCH($C661,links!$D$2:$D$501,0))),""))</f>
        <v/>
      </c>
      <c r="H661" s="30" t="str">
        <f aca="false">IF($C661="","",IFERROR(IF(INDEX(links!$B$2:$B$501,MATCH($C661,links!$D$2:$D$501,0))="","",INDEX(links!$B$2:$B$501,MATCH($C661,links!$D$2:$D$501,0))),""))</f>
        <v/>
      </c>
      <c r="I661" s="30" t="str">
        <f aca="false">IF($C661="","",IFERROR(IF(INDEX(links!$C$2:$C$501,MATCH($C661,links!$D$2:$D$501,0))="","",INDEX(links!$C$2:$C$501,MATCH($C661,links!$D$2:$D$501,0))),""))</f>
        <v/>
      </c>
      <c r="J661" s="30" t="str">
        <f aca="false">IF($C661="","",IF($G661="","slug not in links; ","")&amp;IF($D661="","reading type missing; ","")&amp;IF(COUNTIFS(scans!$C$2:$C$1601,$C661,scans!$D$2:$D$1601,$D661)&gt;1,"two readings of this type: keep one; ",""))</f>
        <v/>
      </c>
    </row>
    <row r="662" customFormat="false" ht="15" hidden="false" customHeight="false" outlineLevel="0" collapsed="false">
      <c r="A662" s="11"/>
      <c r="B662" s="38"/>
      <c r="D662" s="10"/>
      <c r="G662" s="30" t="str">
        <f aca="false">IF($C662="","",IFERROR(IF(INDEX(links!$A$2:$A$501,MATCH($C662,links!$D$2:$D$501,0))="","",INDEX(links!$A$2:$A$501,MATCH($C662,links!$D$2:$D$501,0))),""))</f>
        <v/>
      </c>
      <c r="H662" s="30" t="str">
        <f aca="false">IF($C662="","",IFERROR(IF(INDEX(links!$B$2:$B$501,MATCH($C662,links!$D$2:$D$501,0))="","",INDEX(links!$B$2:$B$501,MATCH($C662,links!$D$2:$D$501,0))),""))</f>
        <v/>
      </c>
      <c r="I662" s="30" t="str">
        <f aca="false">IF($C662="","",IFERROR(IF(INDEX(links!$C$2:$C$501,MATCH($C662,links!$D$2:$D$501,0))="","",INDEX(links!$C$2:$C$501,MATCH($C662,links!$D$2:$D$501,0))),""))</f>
        <v/>
      </c>
      <c r="J662" s="30" t="str">
        <f aca="false">IF($C662="","",IF($G662="","slug not in links; ","")&amp;IF($D662="","reading type missing; ","")&amp;IF(COUNTIFS(scans!$C$2:$C$1601,$C662,scans!$D$2:$D$1601,$D662)&gt;1,"two readings of this type: keep one; ",""))</f>
        <v/>
      </c>
    </row>
    <row r="663" customFormat="false" ht="15" hidden="false" customHeight="false" outlineLevel="0" collapsed="false">
      <c r="A663" s="11"/>
      <c r="B663" s="38"/>
      <c r="D663" s="10"/>
      <c r="G663" s="30" t="str">
        <f aca="false">IF($C663="","",IFERROR(IF(INDEX(links!$A$2:$A$501,MATCH($C663,links!$D$2:$D$501,0))="","",INDEX(links!$A$2:$A$501,MATCH($C663,links!$D$2:$D$501,0))),""))</f>
        <v/>
      </c>
      <c r="H663" s="30" t="str">
        <f aca="false">IF($C663="","",IFERROR(IF(INDEX(links!$B$2:$B$501,MATCH($C663,links!$D$2:$D$501,0))="","",INDEX(links!$B$2:$B$501,MATCH($C663,links!$D$2:$D$501,0))),""))</f>
        <v/>
      </c>
      <c r="I663" s="30" t="str">
        <f aca="false">IF($C663="","",IFERROR(IF(INDEX(links!$C$2:$C$501,MATCH($C663,links!$D$2:$D$501,0))="","",INDEX(links!$C$2:$C$501,MATCH($C663,links!$D$2:$D$501,0))),""))</f>
        <v/>
      </c>
      <c r="J663" s="30" t="str">
        <f aca="false">IF($C663="","",IF($G663="","slug not in links; ","")&amp;IF($D663="","reading type missing; ","")&amp;IF(COUNTIFS(scans!$C$2:$C$1601,$C663,scans!$D$2:$D$1601,$D663)&gt;1,"two readings of this type: keep one; ",""))</f>
        <v/>
      </c>
    </row>
    <row r="664" customFormat="false" ht="15" hidden="false" customHeight="false" outlineLevel="0" collapsed="false">
      <c r="A664" s="11"/>
      <c r="B664" s="38"/>
      <c r="D664" s="10"/>
      <c r="G664" s="30" t="str">
        <f aca="false">IF($C664="","",IFERROR(IF(INDEX(links!$A$2:$A$501,MATCH($C664,links!$D$2:$D$501,0))="","",INDEX(links!$A$2:$A$501,MATCH($C664,links!$D$2:$D$501,0))),""))</f>
        <v/>
      </c>
      <c r="H664" s="30" t="str">
        <f aca="false">IF($C664="","",IFERROR(IF(INDEX(links!$B$2:$B$501,MATCH($C664,links!$D$2:$D$501,0))="","",INDEX(links!$B$2:$B$501,MATCH($C664,links!$D$2:$D$501,0))),""))</f>
        <v/>
      </c>
      <c r="I664" s="30" t="str">
        <f aca="false">IF($C664="","",IFERROR(IF(INDEX(links!$C$2:$C$501,MATCH($C664,links!$D$2:$D$501,0))="","",INDEX(links!$C$2:$C$501,MATCH($C664,links!$D$2:$D$501,0))),""))</f>
        <v/>
      </c>
      <c r="J664" s="30" t="str">
        <f aca="false">IF($C664="","",IF($G664="","slug not in links; ","")&amp;IF($D664="","reading type missing; ","")&amp;IF(COUNTIFS(scans!$C$2:$C$1601,$C664,scans!$D$2:$D$1601,$D664)&gt;1,"two readings of this type: keep one; ",""))</f>
        <v/>
      </c>
    </row>
    <row r="665" customFormat="false" ht="15" hidden="false" customHeight="false" outlineLevel="0" collapsed="false">
      <c r="A665" s="11"/>
      <c r="B665" s="38"/>
      <c r="D665" s="10"/>
      <c r="G665" s="30" t="str">
        <f aca="false">IF($C665="","",IFERROR(IF(INDEX(links!$A$2:$A$501,MATCH($C665,links!$D$2:$D$501,0))="","",INDEX(links!$A$2:$A$501,MATCH($C665,links!$D$2:$D$501,0))),""))</f>
        <v/>
      </c>
      <c r="H665" s="30" t="str">
        <f aca="false">IF($C665="","",IFERROR(IF(INDEX(links!$B$2:$B$501,MATCH($C665,links!$D$2:$D$501,0))="","",INDEX(links!$B$2:$B$501,MATCH($C665,links!$D$2:$D$501,0))),""))</f>
        <v/>
      </c>
      <c r="I665" s="30" t="str">
        <f aca="false">IF($C665="","",IFERROR(IF(INDEX(links!$C$2:$C$501,MATCH($C665,links!$D$2:$D$501,0))="","",INDEX(links!$C$2:$C$501,MATCH($C665,links!$D$2:$D$501,0))),""))</f>
        <v/>
      </c>
      <c r="J665" s="30" t="str">
        <f aca="false">IF($C665="","",IF($G665="","slug not in links; ","")&amp;IF($D665="","reading type missing; ","")&amp;IF(COUNTIFS(scans!$C$2:$C$1601,$C665,scans!$D$2:$D$1601,$D665)&gt;1,"two readings of this type: keep one; ",""))</f>
        <v/>
      </c>
    </row>
    <row r="666" customFormat="false" ht="15" hidden="false" customHeight="false" outlineLevel="0" collapsed="false">
      <c r="A666" s="11"/>
      <c r="B666" s="38"/>
      <c r="D666" s="10"/>
      <c r="G666" s="30" t="str">
        <f aca="false">IF($C666="","",IFERROR(IF(INDEX(links!$A$2:$A$501,MATCH($C666,links!$D$2:$D$501,0))="","",INDEX(links!$A$2:$A$501,MATCH($C666,links!$D$2:$D$501,0))),""))</f>
        <v/>
      </c>
      <c r="H666" s="30" t="str">
        <f aca="false">IF($C666="","",IFERROR(IF(INDEX(links!$B$2:$B$501,MATCH($C666,links!$D$2:$D$501,0))="","",INDEX(links!$B$2:$B$501,MATCH($C666,links!$D$2:$D$501,0))),""))</f>
        <v/>
      </c>
      <c r="I666" s="30" t="str">
        <f aca="false">IF($C666="","",IFERROR(IF(INDEX(links!$C$2:$C$501,MATCH($C666,links!$D$2:$D$501,0))="","",INDEX(links!$C$2:$C$501,MATCH($C666,links!$D$2:$D$501,0))),""))</f>
        <v/>
      </c>
      <c r="J666" s="30" t="str">
        <f aca="false">IF($C666="","",IF($G666="","slug not in links; ","")&amp;IF($D666="","reading type missing; ","")&amp;IF(COUNTIFS(scans!$C$2:$C$1601,$C666,scans!$D$2:$D$1601,$D666)&gt;1,"two readings of this type: keep one; ",""))</f>
        <v/>
      </c>
    </row>
    <row r="667" customFormat="false" ht="15" hidden="false" customHeight="false" outlineLevel="0" collapsed="false">
      <c r="A667" s="11"/>
      <c r="B667" s="38"/>
      <c r="D667" s="10"/>
      <c r="G667" s="30" t="str">
        <f aca="false">IF($C667="","",IFERROR(IF(INDEX(links!$A$2:$A$501,MATCH($C667,links!$D$2:$D$501,0))="","",INDEX(links!$A$2:$A$501,MATCH($C667,links!$D$2:$D$501,0))),""))</f>
        <v/>
      </c>
      <c r="H667" s="30" t="str">
        <f aca="false">IF($C667="","",IFERROR(IF(INDEX(links!$B$2:$B$501,MATCH($C667,links!$D$2:$D$501,0))="","",INDEX(links!$B$2:$B$501,MATCH($C667,links!$D$2:$D$501,0))),""))</f>
        <v/>
      </c>
      <c r="I667" s="30" t="str">
        <f aca="false">IF($C667="","",IFERROR(IF(INDEX(links!$C$2:$C$501,MATCH($C667,links!$D$2:$D$501,0))="","",INDEX(links!$C$2:$C$501,MATCH($C667,links!$D$2:$D$501,0))),""))</f>
        <v/>
      </c>
      <c r="J667" s="30" t="str">
        <f aca="false">IF($C667="","",IF($G667="","slug not in links; ","")&amp;IF($D667="","reading type missing; ","")&amp;IF(COUNTIFS(scans!$C$2:$C$1601,$C667,scans!$D$2:$D$1601,$D667)&gt;1,"two readings of this type: keep one; ",""))</f>
        <v/>
      </c>
    </row>
    <row r="668" customFormat="false" ht="15" hidden="false" customHeight="false" outlineLevel="0" collapsed="false">
      <c r="A668" s="11"/>
      <c r="B668" s="38"/>
      <c r="D668" s="10"/>
      <c r="G668" s="30" t="str">
        <f aca="false">IF($C668="","",IFERROR(IF(INDEX(links!$A$2:$A$501,MATCH($C668,links!$D$2:$D$501,0))="","",INDEX(links!$A$2:$A$501,MATCH($C668,links!$D$2:$D$501,0))),""))</f>
        <v/>
      </c>
      <c r="H668" s="30" t="str">
        <f aca="false">IF($C668="","",IFERROR(IF(INDEX(links!$B$2:$B$501,MATCH($C668,links!$D$2:$D$501,0))="","",INDEX(links!$B$2:$B$501,MATCH($C668,links!$D$2:$D$501,0))),""))</f>
        <v/>
      </c>
      <c r="I668" s="30" t="str">
        <f aca="false">IF($C668="","",IFERROR(IF(INDEX(links!$C$2:$C$501,MATCH($C668,links!$D$2:$D$501,0))="","",INDEX(links!$C$2:$C$501,MATCH($C668,links!$D$2:$D$501,0))),""))</f>
        <v/>
      </c>
      <c r="J668" s="30" t="str">
        <f aca="false">IF($C668="","",IF($G668="","slug not in links; ","")&amp;IF($D668="","reading type missing; ","")&amp;IF(COUNTIFS(scans!$C$2:$C$1601,$C668,scans!$D$2:$D$1601,$D668)&gt;1,"two readings of this type: keep one; ",""))</f>
        <v/>
      </c>
    </row>
    <row r="669" customFormat="false" ht="15" hidden="false" customHeight="false" outlineLevel="0" collapsed="false">
      <c r="A669" s="11"/>
      <c r="B669" s="38"/>
      <c r="D669" s="10"/>
      <c r="G669" s="30" t="str">
        <f aca="false">IF($C669="","",IFERROR(IF(INDEX(links!$A$2:$A$501,MATCH($C669,links!$D$2:$D$501,0))="","",INDEX(links!$A$2:$A$501,MATCH($C669,links!$D$2:$D$501,0))),""))</f>
        <v/>
      </c>
      <c r="H669" s="30" t="str">
        <f aca="false">IF($C669="","",IFERROR(IF(INDEX(links!$B$2:$B$501,MATCH($C669,links!$D$2:$D$501,0))="","",INDEX(links!$B$2:$B$501,MATCH($C669,links!$D$2:$D$501,0))),""))</f>
        <v/>
      </c>
      <c r="I669" s="30" t="str">
        <f aca="false">IF($C669="","",IFERROR(IF(INDEX(links!$C$2:$C$501,MATCH($C669,links!$D$2:$D$501,0))="","",INDEX(links!$C$2:$C$501,MATCH($C669,links!$D$2:$D$501,0))),""))</f>
        <v/>
      </c>
      <c r="J669" s="30" t="str">
        <f aca="false">IF($C669="","",IF($G669="","slug not in links; ","")&amp;IF($D669="","reading type missing; ","")&amp;IF(COUNTIFS(scans!$C$2:$C$1601,$C669,scans!$D$2:$D$1601,$D669)&gt;1,"two readings of this type: keep one; ",""))</f>
        <v/>
      </c>
    </row>
    <row r="670" customFormat="false" ht="15" hidden="false" customHeight="false" outlineLevel="0" collapsed="false">
      <c r="A670" s="11"/>
      <c r="B670" s="38"/>
      <c r="D670" s="10"/>
      <c r="G670" s="30" t="str">
        <f aca="false">IF($C670="","",IFERROR(IF(INDEX(links!$A$2:$A$501,MATCH($C670,links!$D$2:$D$501,0))="","",INDEX(links!$A$2:$A$501,MATCH($C670,links!$D$2:$D$501,0))),""))</f>
        <v/>
      </c>
      <c r="H670" s="30" t="str">
        <f aca="false">IF($C670="","",IFERROR(IF(INDEX(links!$B$2:$B$501,MATCH($C670,links!$D$2:$D$501,0))="","",INDEX(links!$B$2:$B$501,MATCH($C670,links!$D$2:$D$501,0))),""))</f>
        <v/>
      </c>
      <c r="I670" s="30" t="str">
        <f aca="false">IF($C670="","",IFERROR(IF(INDEX(links!$C$2:$C$501,MATCH($C670,links!$D$2:$D$501,0))="","",INDEX(links!$C$2:$C$501,MATCH($C670,links!$D$2:$D$501,0))),""))</f>
        <v/>
      </c>
      <c r="J670" s="30" t="str">
        <f aca="false">IF($C670="","",IF($G670="","slug not in links; ","")&amp;IF($D670="","reading type missing; ","")&amp;IF(COUNTIFS(scans!$C$2:$C$1601,$C670,scans!$D$2:$D$1601,$D670)&gt;1,"two readings of this type: keep one; ",""))</f>
        <v/>
      </c>
    </row>
    <row r="671" customFormat="false" ht="15" hidden="false" customHeight="false" outlineLevel="0" collapsed="false">
      <c r="A671" s="11"/>
      <c r="B671" s="38"/>
      <c r="D671" s="10"/>
      <c r="G671" s="30" t="str">
        <f aca="false">IF($C671="","",IFERROR(IF(INDEX(links!$A$2:$A$501,MATCH($C671,links!$D$2:$D$501,0))="","",INDEX(links!$A$2:$A$501,MATCH($C671,links!$D$2:$D$501,0))),""))</f>
        <v/>
      </c>
      <c r="H671" s="30" t="str">
        <f aca="false">IF($C671="","",IFERROR(IF(INDEX(links!$B$2:$B$501,MATCH($C671,links!$D$2:$D$501,0))="","",INDEX(links!$B$2:$B$501,MATCH($C671,links!$D$2:$D$501,0))),""))</f>
        <v/>
      </c>
      <c r="I671" s="30" t="str">
        <f aca="false">IF($C671="","",IFERROR(IF(INDEX(links!$C$2:$C$501,MATCH($C671,links!$D$2:$D$501,0))="","",INDEX(links!$C$2:$C$501,MATCH($C671,links!$D$2:$D$501,0))),""))</f>
        <v/>
      </c>
      <c r="J671" s="30" t="str">
        <f aca="false">IF($C671="","",IF($G671="","slug not in links; ","")&amp;IF($D671="","reading type missing; ","")&amp;IF(COUNTIFS(scans!$C$2:$C$1601,$C671,scans!$D$2:$D$1601,$D671)&gt;1,"two readings of this type: keep one; ",""))</f>
        <v/>
      </c>
    </row>
    <row r="672" customFormat="false" ht="15" hidden="false" customHeight="false" outlineLevel="0" collapsed="false">
      <c r="A672" s="11"/>
      <c r="B672" s="38"/>
      <c r="D672" s="10"/>
      <c r="G672" s="30" t="str">
        <f aca="false">IF($C672="","",IFERROR(IF(INDEX(links!$A$2:$A$501,MATCH($C672,links!$D$2:$D$501,0))="","",INDEX(links!$A$2:$A$501,MATCH($C672,links!$D$2:$D$501,0))),""))</f>
        <v/>
      </c>
      <c r="H672" s="30" t="str">
        <f aca="false">IF($C672="","",IFERROR(IF(INDEX(links!$B$2:$B$501,MATCH($C672,links!$D$2:$D$501,0))="","",INDEX(links!$B$2:$B$501,MATCH($C672,links!$D$2:$D$501,0))),""))</f>
        <v/>
      </c>
      <c r="I672" s="30" t="str">
        <f aca="false">IF($C672="","",IFERROR(IF(INDEX(links!$C$2:$C$501,MATCH($C672,links!$D$2:$D$501,0))="","",INDEX(links!$C$2:$C$501,MATCH($C672,links!$D$2:$D$501,0))),""))</f>
        <v/>
      </c>
      <c r="J672" s="30" t="str">
        <f aca="false">IF($C672="","",IF($G672="","slug not in links; ","")&amp;IF($D672="","reading type missing; ","")&amp;IF(COUNTIFS(scans!$C$2:$C$1601,$C672,scans!$D$2:$D$1601,$D672)&gt;1,"two readings of this type: keep one; ",""))</f>
        <v/>
      </c>
    </row>
    <row r="673" customFormat="false" ht="15" hidden="false" customHeight="false" outlineLevel="0" collapsed="false">
      <c r="A673" s="11"/>
      <c r="B673" s="38"/>
      <c r="D673" s="10"/>
      <c r="G673" s="30" t="str">
        <f aca="false">IF($C673="","",IFERROR(IF(INDEX(links!$A$2:$A$501,MATCH($C673,links!$D$2:$D$501,0))="","",INDEX(links!$A$2:$A$501,MATCH($C673,links!$D$2:$D$501,0))),""))</f>
        <v/>
      </c>
      <c r="H673" s="30" t="str">
        <f aca="false">IF($C673="","",IFERROR(IF(INDEX(links!$B$2:$B$501,MATCH($C673,links!$D$2:$D$501,0))="","",INDEX(links!$B$2:$B$501,MATCH($C673,links!$D$2:$D$501,0))),""))</f>
        <v/>
      </c>
      <c r="I673" s="30" t="str">
        <f aca="false">IF($C673="","",IFERROR(IF(INDEX(links!$C$2:$C$501,MATCH($C673,links!$D$2:$D$501,0))="","",INDEX(links!$C$2:$C$501,MATCH($C673,links!$D$2:$D$501,0))),""))</f>
        <v/>
      </c>
      <c r="J673" s="30" t="str">
        <f aca="false">IF($C673="","",IF($G673="","slug not in links; ","")&amp;IF($D673="","reading type missing; ","")&amp;IF(COUNTIFS(scans!$C$2:$C$1601,$C673,scans!$D$2:$D$1601,$D673)&gt;1,"two readings of this type: keep one; ",""))</f>
        <v/>
      </c>
    </row>
    <row r="674" customFormat="false" ht="15" hidden="false" customHeight="false" outlineLevel="0" collapsed="false">
      <c r="A674" s="11"/>
      <c r="B674" s="38"/>
      <c r="D674" s="10"/>
      <c r="G674" s="30" t="str">
        <f aca="false">IF($C674="","",IFERROR(IF(INDEX(links!$A$2:$A$501,MATCH($C674,links!$D$2:$D$501,0))="","",INDEX(links!$A$2:$A$501,MATCH($C674,links!$D$2:$D$501,0))),""))</f>
        <v/>
      </c>
      <c r="H674" s="30" t="str">
        <f aca="false">IF($C674="","",IFERROR(IF(INDEX(links!$B$2:$B$501,MATCH($C674,links!$D$2:$D$501,0))="","",INDEX(links!$B$2:$B$501,MATCH($C674,links!$D$2:$D$501,0))),""))</f>
        <v/>
      </c>
      <c r="I674" s="30" t="str">
        <f aca="false">IF($C674="","",IFERROR(IF(INDEX(links!$C$2:$C$501,MATCH($C674,links!$D$2:$D$501,0))="","",INDEX(links!$C$2:$C$501,MATCH($C674,links!$D$2:$D$501,0))),""))</f>
        <v/>
      </c>
      <c r="J674" s="30" t="str">
        <f aca="false">IF($C674="","",IF($G674="","slug not in links; ","")&amp;IF($D674="","reading type missing; ","")&amp;IF(COUNTIFS(scans!$C$2:$C$1601,$C674,scans!$D$2:$D$1601,$D674)&gt;1,"two readings of this type: keep one; ",""))</f>
        <v/>
      </c>
    </row>
    <row r="675" customFormat="false" ht="15" hidden="false" customHeight="false" outlineLevel="0" collapsed="false">
      <c r="A675" s="11"/>
      <c r="B675" s="38"/>
      <c r="D675" s="10"/>
      <c r="G675" s="30" t="str">
        <f aca="false">IF($C675="","",IFERROR(IF(INDEX(links!$A$2:$A$501,MATCH($C675,links!$D$2:$D$501,0))="","",INDEX(links!$A$2:$A$501,MATCH($C675,links!$D$2:$D$501,0))),""))</f>
        <v/>
      </c>
      <c r="H675" s="30" t="str">
        <f aca="false">IF($C675="","",IFERROR(IF(INDEX(links!$B$2:$B$501,MATCH($C675,links!$D$2:$D$501,0))="","",INDEX(links!$B$2:$B$501,MATCH($C675,links!$D$2:$D$501,0))),""))</f>
        <v/>
      </c>
      <c r="I675" s="30" t="str">
        <f aca="false">IF($C675="","",IFERROR(IF(INDEX(links!$C$2:$C$501,MATCH($C675,links!$D$2:$D$501,0))="","",INDEX(links!$C$2:$C$501,MATCH($C675,links!$D$2:$D$501,0))),""))</f>
        <v/>
      </c>
      <c r="J675" s="30" t="str">
        <f aca="false">IF($C675="","",IF($G675="","slug not in links; ","")&amp;IF($D675="","reading type missing; ","")&amp;IF(COUNTIFS(scans!$C$2:$C$1601,$C675,scans!$D$2:$D$1601,$D675)&gt;1,"two readings of this type: keep one; ",""))</f>
        <v/>
      </c>
    </row>
    <row r="676" customFormat="false" ht="15" hidden="false" customHeight="false" outlineLevel="0" collapsed="false">
      <c r="A676" s="11"/>
      <c r="B676" s="38"/>
      <c r="D676" s="10"/>
      <c r="G676" s="30" t="str">
        <f aca="false">IF($C676="","",IFERROR(IF(INDEX(links!$A$2:$A$501,MATCH($C676,links!$D$2:$D$501,0))="","",INDEX(links!$A$2:$A$501,MATCH($C676,links!$D$2:$D$501,0))),""))</f>
        <v/>
      </c>
      <c r="H676" s="30" t="str">
        <f aca="false">IF($C676="","",IFERROR(IF(INDEX(links!$B$2:$B$501,MATCH($C676,links!$D$2:$D$501,0))="","",INDEX(links!$B$2:$B$501,MATCH($C676,links!$D$2:$D$501,0))),""))</f>
        <v/>
      </c>
      <c r="I676" s="30" t="str">
        <f aca="false">IF($C676="","",IFERROR(IF(INDEX(links!$C$2:$C$501,MATCH($C676,links!$D$2:$D$501,0))="","",INDEX(links!$C$2:$C$501,MATCH($C676,links!$D$2:$D$501,0))),""))</f>
        <v/>
      </c>
      <c r="J676" s="30" t="str">
        <f aca="false">IF($C676="","",IF($G676="","slug not in links; ","")&amp;IF($D676="","reading type missing; ","")&amp;IF(COUNTIFS(scans!$C$2:$C$1601,$C676,scans!$D$2:$D$1601,$D676)&gt;1,"two readings of this type: keep one; ",""))</f>
        <v/>
      </c>
    </row>
    <row r="677" customFormat="false" ht="15" hidden="false" customHeight="false" outlineLevel="0" collapsed="false">
      <c r="A677" s="11"/>
      <c r="B677" s="38"/>
      <c r="D677" s="10"/>
      <c r="G677" s="30" t="str">
        <f aca="false">IF($C677="","",IFERROR(IF(INDEX(links!$A$2:$A$501,MATCH($C677,links!$D$2:$D$501,0))="","",INDEX(links!$A$2:$A$501,MATCH($C677,links!$D$2:$D$501,0))),""))</f>
        <v/>
      </c>
      <c r="H677" s="30" t="str">
        <f aca="false">IF($C677="","",IFERROR(IF(INDEX(links!$B$2:$B$501,MATCH($C677,links!$D$2:$D$501,0))="","",INDEX(links!$B$2:$B$501,MATCH($C677,links!$D$2:$D$501,0))),""))</f>
        <v/>
      </c>
      <c r="I677" s="30" t="str">
        <f aca="false">IF($C677="","",IFERROR(IF(INDEX(links!$C$2:$C$501,MATCH($C677,links!$D$2:$D$501,0))="","",INDEX(links!$C$2:$C$501,MATCH($C677,links!$D$2:$D$501,0))),""))</f>
        <v/>
      </c>
      <c r="J677" s="30" t="str">
        <f aca="false">IF($C677="","",IF($G677="","slug not in links; ","")&amp;IF($D677="","reading type missing; ","")&amp;IF(COUNTIFS(scans!$C$2:$C$1601,$C677,scans!$D$2:$D$1601,$D677)&gt;1,"two readings of this type: keep one; ",""))</f>
        <v/>
      </c>
    </row>
    <row r="678" customFormat="false" ht="15" hidden="false" customHeight="false" outlineLevel="0" collapsed="false">
      <c r="A678" s="11"/>
      <c r="B678" s="38"/>
      <c r="D678" s="10"/>
      <c r="G678" s="30" t="str">
        <f aca="false">IF($C678="","",IFERROR(IF(INDEX(links!$A$2:$A$501,MATCH($C678,links!$D$2:$D$501,0))="","",INDEX(links!$A$2:$A$501,MATCH($C678,links!$D$2:$D$501,0))),""))</f>
        <v/>
      </c>
      <c r="H678" s="30" t="str">
        <f aca="false">IF($C678="","",IFERROR(IF(INDEX(links!$B$2:$B$501,MATCH($C678,links!$D$2:$D$501,0))="","",INDEX(links!$B$2:$B$501,MATCH($C678,links!$D$2:$D$501,0))),""))</f>
        <v/>
      </c>
      <c r="I678" s="30" t="str">
        <f aca="false">IF($C678="","",IFERROR(IF(INDEX(links!$C$2:$C$501,MATCH($C678,links!$D$2:$D$501,0))="","",INDEX(links!$C$2:$C$501,MATCH($C678,links!$D$2:$D$501,0))),""))</f>
        <v/>
      </c>
      <c r="J678" s="30" t="str">
        <f aca="false">IF($C678="","",IF($G678="","slug not in links; ","")&amp;IF($D678="","reading type missing; ","")&amp;IF(COUNTIFS(scans!$C$2:$C$1601,$C678,scans!$D$2:$D$1601,$D678)&gt;1,"two readings of this type: keep one; ",""))</f>
        <v/>
      </c>
    </row>
    <row r="679" customFormat="false" ht="15" hidden="false" customHeight="false" outlineLevel="0" collapsed="false">
      <c r="A679" s="11"/>
      <c r="B679" s="38"/>
      <c r="D679" s="10"/>
      <c r="G679" s="30" t="str">
        <f aca="false">IF($C679="","",IFERROR(IF(INDEX(links!$A$2:$A$501,MATCH($C679,links!$D$2:$D$501,0))="","",INDEX(links!$A$2:$A$501,MATCH($C679,links!$D$2:$D$501,0))),""))</f>
        <v/>
      </c>
      <c r="H679" s="30" t="str">
        <f aca="false">IF($C679="","",IFERROR(IF(INDEX(links!$B$2:$B$501,MATCH($C679,links!$D$2:$D$501,0))="","",INDEX(links!$B$2:$B$501,MATCH($C679,links!$D$2:$D$501,0))),""))</f>
        <v/>
      </c>
      <c r="I679" s="30" t="str">
        <f aca="false">IF($C679="","",IFERROR(IF(INDEX(links!$C$2:$C$501,MATCH($C679,links!$D$2:$D$501,0))="","",INDEX(links!$C$2:$C$501,MATCH($C679,links!$D$2:$D$501,0))),""))</f>
        <v/>
      </c>
      <c r="J679" s="30" t="str">
        <f aca="false">IF($C679="","",IF($G679="","slug not in links; ","")&amp;IF($D679="","reading type missing; ","")&amp;IF(COUNTIFS(scans!$C$2:$C$1601,$C679,scans!$D$2:$D$1601,$D679)&gt;1,"two readings of this type: keep one; ",""))</f>
        <v/>
      </c>
    </row>
    <row r="680" customFormat="false" ht="15" hidden="false" customHeight="false" outlineLevel="0" collapsed="false">
      <c r="A680" s="11"/>
      <c r="B680" s="38"/>
      <c r="D680" s="10"/>
      <c r="G680" s="30" t="str">
        <f aca="false">IF($C680="","",IFERROR(IF(INDEX(links!$A$2:$A$501,MATCH($C680,links!$D$2:$D$501,0))="","",INDEX(links!$A$2:$A$501,MATCH($C680,links!$D$2:$D$501,0))),""))</f>
        <v/>
      </c>
      <c r="H680" s="30" t="str">
        <f aca="false">IF($C680="","",IFERROR(IF(INDEX(links!$B$2:$B$501,MATCH($C680,links!$D$2:$D$501,0))="","",INDEX(links!$B$2:$B$501,MATCH($C680,links!$D$2:$D$501,0))),""))</f>
        <v/>
      </c>
      <c r="I680" s="30" t="str">
        <f aca="false">IF($C680="","",IFERROR(IF(INDEX(links!$C$2:$C$501,MATCH($C680,links!$D$2:$D$501,0))="","",INDEX(links!$C$2:$C$501,MATCH($C680,links!$D$2:$D$501,0))),""))</f>
        <v/>
      </c>
      <c r="J680" s="30" t="str">
        <f aca="false">IF($C680="","",IF($G680="","slug not in links; ","")&amp;IF($D680="","reading type missing; ","")&amp;IF(COUNTIFS(scans!$C$2:$C$1601,$C680,scans!$D$2:$D$1601,$D680)&gt;1,"two readings of this type: keep one; ",""))</f>
        <v/>
      </c>
    </row>
    <row r="681" customFormat="false" ht="15" hidden="false" customHeight="false" outlineLevel="0" collapsed="false">
      <c r="A681" s="11"/>
      <c r="B681" s="38"/>
      <c r="D681" s="10"/>
      <c r="G681" s="30" t="str">
        <f aca="false">IF($C681="","",IFERROR(IF(INDEX(links!$A$2:$A$501,MATCH($C681,links!$D$2:$D$501,0))="","",INDEX(links!$A$2:$A$501,MATCH($C681,links!$D$2:$D$501,0))),""))</f>
        <v/>
      </c>
      <c r="H681" s="30" t="str">
        <f aca="false">IF($C681="","",IFERROR(IF(INDEX(links!$B$2:$B$501,MATCH($C681,links!$D$2:$D$501,0))="","",INDEX(links!$B$2:$B$501,MATCH($C681,links!$D$2:$D$501,0))),""))</f>
        <v/>
      </c>
      <c r="I681" s="30" t="str">
        <f aca="false">IF($C681="","",IFERROR(IF(INDEX(links!$C$2:$C$501,MATCH($C681,links!$D$2:$D$501,0))="","",INDEX(links!$C$2:$C$501,MATCH($C681,links!$D$2:$D$501,0))),""))</f>
        <v/>
      </c>
      <c r="J681" s="30" t="str">
        <f aca="false">IF($C681="","",IF($G681="","slug not in links; ","")&amp;IF($D681="","reading type missing; ","")&amp;IF(COUNTIFS(scans!$C$2:$C$1601,$C681,scans!$D$2:$D$1601,$D681)&gt;1,"two readings of this type: keep one; ",""))</f>
        <v/>
      </c>
    </row>
    <row r="682" customFormat="false" ht="15" hidden="false" customHeight="false" outlineLevel="0" collapsed="false">
      <c r="A682" s="11"/>
      <c r="B682" s="38"/>
      <c r="D682" s="10"/>
      <c r="G682" s="30" t="str">
        <f aca="false">IF($C682="","",IFERROR(IF(INDEX(links!$A$2:$A$501,MATCH($C682,links!$D$2:$D$501,0))="","",INDEX(links!$A$2:$A$501,MATCH($C682,links!$D$2:$D$501,0))),""))</f>
        <v/>
      </c>
      <c r="H682" s="30" t="str">
        <f aca="false">IF($C682="","",IFERROR(IF(INDEX(links!$B$2:$B$501,MATCH($C682,links!$D$2:$D$501,0))="","",INDEX(links!$B$2:$B$501,MATCH($C682,links!$D$2:$D$501,0))),""))</f>
        <v/>
      </c>
      <c r="I682" s="30" t="str">
        <f aca="false">IF($C682="","",IFERROR(IF(INDEX(links!$C$2:$C$501,MATCH($C682,links!$D$2:$D$501,0))="","",INDEX(links!$C$2:$C$501,MATCH($C682,links!$D$2:$D$501,0))),""))</f>
        <v/>
      </c>
      <c r="J682" s="30" t="str">
        <f aca="false">IF($C682="","",IF($G682="","slug not in links; ","")&amp;IF($D682="","reading type missing; ","")&amp;IF(COUNTIFS(scans!$C$2:$C$1601,$C682,scans!$D$2:$D$1601,$D682)&gt;1,"two readings of this type: keep one; ",""))</f>
        <v/>
      </c>
    </row>
    <row r="683" customFormat="false" ht="15" hidden="false" customHeight="false" outlineLevel="0" collapsed="false">
      <c r="A683" s="11"/>
      <c r="B683" s="38"/>
      <c r="D683" s="10"/>
      <c r="G683" s="30" t="str">
        <f aca="false">IF($C683="","",IFERROR(IF(INDEX(links!$A$2:$A$501,MATCH($C683,links!$D$2:$D$501,0))="","",INDEX(links!$A$2:$A$501,MATCH($C683,links!$D$2:$D$501,0))),""))</f>
        <v/>
      </c>
      <c r="H683" s="30" t="str">
        <f aca="false">IF($C683="","",IFERROR(IF(INDEX(links!$B$2:$B$501,MATCH($C683,links!$D$2:$D$501,0))="","",INDEX(links!$B$2:$B$501,MATCH($C683,links!$D$2:$D$501,0))),""))</f>
        <v/>
      </c>
      <c r="I683" s="30" t="str">
        <f aca="false">IF($C683="","",IFERROR(IF(INDEX(links!$C$2:$C$501,MATCH($C683,links!$D$2:$D$501,0))="","",INDEX(links!$C$2:$C$501,MATCH($C683,links!$D$2:$D$501,0))),""))</f>
        <v/>
      </c>
      <c r="J683" s="30" t="str">
        <f aca="false">IF($C683="","",IF($G683="","slug not in links; ","")&amp;IF($D683="","reading type missing; ","")&amp;IF(COUNTIFS(scans!$C$2:$C$1601,$C683,scans!$D$2:$D$1601,$D683)&gt;1,"two readings of this type: keep one; ",""))</f>
        <v/>
      </c>
    </row>
    <row r="684" customFormat="false" ht="15" hidden="false" customHeight="false" outlineLevel="0" collapsed="false">
      <c r="A684" s="11"/>
      <c r="B684" s="38"/>
      <c r="D684" s="10"/>
      <c r="G684" s="30" t="str">
        <f aca="false">IF($C684="","",IFERROR(IF(INDEX(links!$A$2:$A$501,MATCH($C684,links!$D$2:$D$501,0))="","",INDEX(links!$A$2:$A$501,MATCH($C684,links!$D$2:$D$501,0))),""))</f>
        <v/>
      </c>
      <c r="H684" s="30" t="str">
        <f aca="false">IF($C684="","",IFERROR(IF(INDEX(links!$B$2:$B$501,MATCH($C684,links!$D$2:$D$501,0))="","",INDEX(links!$B$2:$B$501,MATCH($C684,links!$D$2:$D$501,0))),""))</f>
        <v/>
      </c>
      <c r="I684" s="30" t="str">
        <f aca="false">IF($C684="","",IFERROR(IF(INDEX(links!$C$2:$C$501,MATCH($C684,links!$D$2:$D$501,0))="","",INDEX(links!$C$2:$C$501,MATCH($C684,links!$D$2:$D$501,0))),""))</f>
        <v/>
      </c>
      <c r="J684" s="30" t="str">
        <f aca="false">IF($C684="","",IF($G684="","slug not in links; ","")&amp;IF($D684="","reading type missing; ","")&amp;IF(COUNTIFS(scans!$C$2:$C$1601,$C684,scans!$D$2:$D$1601,$D684)&gt;1,"two readings of this type: keep one; ",""))</f>
        <v/>
      </c>
    </row>
    <row r="685" customFormat="false" ht="15" hidden="false" customHeight="false" outlineLevel="0" collapsed="false">
      <c r="A685" s="11"/>
      <c r="B685" s="38"/>
      <c r="D685" s="10"/>
      <c r="G685" s="30" t="str">
        <f aca="false">IF($C685="","",IFERROR(IF(INDEX(links!$A$2:$A$501,MATCH($C685,links!$D$2:$D$501,0))="","",INDEX(links!$A$2:$A$501,MATCH($C685,links!$D$2:$D$501,0))),""))</f>
        <v/>
      </c>
      <c r="H685" s="30" t="str">
        <f aca="false">IF($C685="","",IFERROR(IF(INDEX(links!$B$2:$B$501,MATCH($C685,links!$D$2:$D$501,0))="","",INDEX(links!$B$2:$B$501,MATCH($C685,links!$D$2:$D$501,0))),""))</f>
        <v/>
      </c>
      <c r="I685" s="30" t="str">
        <f aca="false">IF($C685="","",IFERROR(IF(INDEX(links!$C$2:$C$501,MATCH($C685,links!$D$2:$D$501,0))="","",INDEX(links!$C$2:$C$501,MATCH($C685,links!$D$2:$D$501,0))),""))</f>
        <v/>
      </c>
      <c r="J685" s="30" t="str">
        <f aca="false">IF($C685="","",IF($G685="","slug not in links; ","")&amp;IF($D685="","reading type missing; ","")&amp;IF(COUNTIFS(scans!$C$2:$C$1601,$C685,scans!$D$2:$D$1601,$D685)&gt;1,"two readings of this type: keep one; ",""))</f>
        <v/>
      </c>
    </row>
    <row r="686" customFormat="false" ht="15" hidden="false" customHeight="false" outlineLevel="0" collapsed="false">
      <c r="A686" s="11"/>
      <c r="B686" s="38"/>
      <c r="D686" s="10"/>
      <c r="G686" s="30" t="str">
        <f aca="false">IF($C686="","",IFERROR(IF(INDEX(links!$A$2:$A$501,MATCH($C686,links!$D$2:$D$501,0))="","",INDEX(links!$A$2:$A$501,MATCH($C686,links!$D$2:$D$501,0))),""))</f>
        <v/>
      </c>
      <c r="H686" s="30" t="str">
        <f aca="false">IF($C686="","",IFERROR(IF(INDEX(links!$B$2:$B$501,MATCH($C686,links!$D$2:$D$501,0))="","",INDEX(links!$B$2:$B$501,MATCH($C686,links!$D$2:$D$501,0))),""))</f>
        <v/>
      </c>
      <c r="I686" s="30" t="str">
        <f aca="false">IF($C686="","",IFERROR(IF(INDEX(links!$C$2:$C$501,MATCH($C686,links!$D$2:$D$501,0))="","",INDEX(links!$C$2:$C$501,MATCH($C686,links!$D$2:$D$501,0))),""))</f>
        <v/>
      </c>
      <c r="J686" s="30" t="str">
        <f aca="false">IF($C686="","",IF($G686="","slug not in links; ","")&amp;IF($D686="","reading type missing; ","")&amp;IF(COUNTIFS(scans!$C$2:$C$1601,$C686,scans!$D$2:$D$1601,$D686)&gt;1,"two readings of this type: keep one; ",""))</f>
        <v/>
      </c>
    </row>
    <row r="687" customFormat="false" ht="15" hidden="false" customHeight="false" outlineLevel="0" collapsed="false">
      <c r="A687" s="11"/>
      <c r="B687" s="38"/>
      <c r="D687" s="10"/>
      <c r="G687" s="30" t="str">
        <f aca="false">IF($C687="","",IFERROR(IF(INDEX(links!$A$2:$A$501,MATCH($C687,links!$D$2:$D$501,0))="","",INDEX(links!$A$2:$A$501,MATCH($C687,links!$D$2:$D$501,0))),""))</f>
        <v/>
      </c>
      <c r="H687" s="30" t="str">
        <f aca="false">IF($C687="","",IFERROR(IF(INDEX(links!$B$2:$B$501,MATCH($C687,links!$D$2:$D$501,0))="","",INDEX(links!$B$2:$B$501,MATCH($C687,links!$D$2:$D$501,0))),""))</f>
        <v/>
      </c>
      <c r="I687" s="30" t="str">
        <f aca="false">IF($C687="","",IFERROR(IF(INDEX(links!$C$2:$C$501,MATCH($C687,links!$D$2:$D$501,0))="","",INDEX(links!$C$2:$C$501,MATCH($C687,links!$D$2:$D$501,0))),""))</f>
        <v/>
      </c>
      <c r="J687" s="30" t="str">
        <f aca="false">IF($C687="","",IF($G687="","slug not in links; ","")&amp;IF($D687="","reading type missing; ","")&amp;IF(COUNTIFS(scans!$C$2:$C$1601,$C687,scans!$D$2:$D$1601,$D687)&gt;1,"two readings of this type: keep one; ",""))</f>
        <v/>
      </c>
    </row>
    <row r="688" customFormat="false" ht="15" hidden="false" customHeight="false" outlineLevel="0" collapsed="false">
      <c r="A688" s="11"/>
      <c r="B688" s="38"/>
      <c r="D688" s="10"/>
      <c r="G688" s="30" t="str">
        <f aca="false">IF($C688="","",IFERROR(IF(INDEX(links!$A$2:$A$501,MATCH($C688,links!$D$2:$D$501,0))="","",INDEX(links!$A$2:$A$501,MATCH($C688,links!$D$2:$D$501,0))),""))</f>
        <v/>
      </c>
      <c r="H688" s="30" t="str">
        <f aca="false">IF($C688="","",IFERROR(IF(INDEX(links!$B$2:$B$501,MATCH($C688,links!$D$2:$D$501,0))="","",INDEX(links!$B$2:$B$501,MATCH($C688,links!$D$2:$D$501,0))),""))</f>
        <v/>
      </c>
      <c r="I688" s="30" t="str">
        <f aca="false">IF($C688="","",IFERROR(IF(INDEX(links!$C$2:$C$501,MATCH($C688,links!$D$2:$D$501,0))="","",INDEX(links!$C$2:$C$501,MATCH($C688,links!$D$2:$D$501,0))),""))</f>
        <v/>
      </c>
      <c r="J688" s="30" t="str">
        <f aca="false">IF($C688="","",IF($G688="","slug not in links; ","")&amp;IF($D688="","reading type missing; ","")&amp;IF(COUNTIFS(scans!$C$2:$C$1601,$C688,scans!$D$2:$D$1601,$D688)&gt;1,"two readings of this type: keep one; ",""))</f>
        <v/>
      </c>
    </row>
    <row r="689" customFormat="false" ht="15" hidden="false" customHeight="false" outlineLevel="0" collapsed="false">
      <c r="A689" s="11"/>
      <c r="B689" s="38"/>
      <c r="D689" s="10"/>
      <c r="G689" s="30" t="str">
        <f aca="false">IF($C689="","",IFERROR(IF(INDEX(links!$A$2:$A$501,MATCH($C689,links!$D$2:$D$501,0))="","",INDEX(links!$A$2:$A$501,MATCH($C689,links!$D$2:$D$501,0))),""))</f>
        <v/>
      </c>
      <c r="H689" s="30" t="str">
        <f aca="false">IF($C689="","",IFERROR(IF(INDEX(links!$B$2:$B$501,MATCH($C689,links!$D$2:$D$501,0))="","",INDEX(links!$B$2:$B$501,MATCH($C689,links!$D$2:$D$501,0))),""))</f>
        <v/>
      </c>
      <c r="I689" s="30" t="str">
        <f aca="false">IF($C689="","",IFERROR(IF(INDEX(links!$C$2:$C$501,MATCH($C689,links!$D$2:$D$501,0))="","",INDEX(links!$C$2:$C$501,MATCH($C689,links!$D$2:$D$501,0))),""))</f>
        <v/>
      </c>
      <c r="J689" s="30" t="str">
        <f aca="false">IF($C689="","",IF($G689="","slug not in links; ","")&amp;IF($D689="","reading type missing; ","")&amp;IF(COUNTIFS(scans!$C$2:$C$1601,$C689,scans!$D$2:$D$1601,$D689)&gt;1,"two readings of this type: keep one; ",""))</f>
        <v/>
      </c>
    </row>
    <row r="690" customFormat="false" ht="15" hidden="false" customHeight="false" outlineLevel="0" collapsed="false">
      <c r="A690" s="11"/>
      <c r="B690" s="38"/>
      <c r="D690" s="10"/>
      <c r="G690" s="30" t="str">
        <f aca="false">IF($C690="","",IFERROR(IF(INDEX(links!$A$2:$A$501,MATCH($C690,links!$D$2:$D$501,0))="","",INDEX(links!$A$2:$A$501,MATCH($C690,links!$D$2:$D$501,0))),""))</f>
        <v/>
      </c>
      <c r="H690" s="30" t="str">
        <f aca="false">IF($C690="","",IFERROR(IF(INDEX(links!$B$2:$B$501,MATCH($C690,links!$D$2:$D$501,0))="","",INDEX(links!$B$2:$B$501,MATCH($C690,links!$D$2:$D$501,0))),""))</f>
        <v/>
      </c>
      <c r="I690" s="30" t="str">
        <f aca="false">IF($C690="","",IFERROR(IF(INDEX(links!$C$2:$C$501,MATCH($C690,links!$D$2:$D$501,0))="","",INDEX(links!$C$2:$C$501,MATCH($C690,links!$D$2:$D$501,0))),""))</f>
        <v/>
      </c>
      <c r="J690" s="30" t="str">
        <f aca="false">IF($C690="","",IF($G690="","slug not in links; ","")&amp;IF($D690="","reading type missing; ","")&amp;IF(COUNTIFS(scans!$C$2:$C$1601,$C690,scans!$D$2:$D$1601,$D690)&gt;1,"two readings of this type: keep one; ",""))</f>
        <v/>
      </c>
    </row>
    <row r="691" customFormat="false" ht="15" hidden="false" customHeight="false" outlineLevel="0" collapsed="false">
      <c r="A691" s="11"/>
      <c r="B691" s="38"/>
      <c r="D691" s="10"/>
      <c r="G691" s="30" t="str">
        <f aca="false">IF($C691="","",IFERROR(IF(INDEX(links!$A$2:$A$501,MATCH($C691,links!$D$2:$D$501,0))="","",INDEX(links!$A$2:$A$501,MATCH($C691,links!$D$2:$D$501,0))),""))</f>
        <v/>
      </c>
      <c r="H691" s="30" t="str">
        <f aca="false">IF($C691="","",IFERROR(IF(INDEX(links!$B$2:$B$501,MATCH($C691,links!$D$2:$D$501,0))="","",INDEX(links!$B$2:$B$501,MATCH($C691,links!$D$2:$D$501,0))),""))</f>
        <v/>
      </c>
      <c r="I691" s="30" t="str">
        <f aca="false">IF($C691="","",IFERROR(IF(INDEX(links!$C$2:$C$501,MATCH($C691,links!$D$2:$D$501,0))="","",INDEX(links!$C$2:$C$501,MATCH($C691,links!$D$2:$D$501,0))),""))</f>
        <v/>
      </c>
      <c r="J691" s="30" t="str">
        <f aca="false">IF($C691="","",IF($G691="","slug not in links; ","")&amp;IF($D691="","reading type missing; ","")&amp;IF(COUNTIFS(scans!$C$2:$C$1601,$C691,scans!$D$2:$D$1601,$D691)&gt;1,"two readings of this type: keep one; ",""))</f>
        <v/>
      </c>
    </row>
    <row r="692" customFormat="false" ht="15" hidden="false" customHeight="false" outlineLevel="0" collapsed="false">
      <c r="A692" s="11"/>
      <c r="B692" s="38"/>
      <c r="D692" s="10"/>
      <c r="G692" s="30" t="str">
        <f aca="false">IF($C692="","",IFERROR(IF(INDEX(links!$A$2:$A$501,MATCH($C692,links!$D$2:$D$501,0))="","",INDEX(links!$A$2:$A$501,MATCH($C692,links!$D$2:$D$501,0))),""))</f>
        <v/>
      </c>
      <c r="H692" s="30" t="str">
        <f aca="false">IF($C692="","",IFERROR(IF(INDEX(links!$B$2:$B$501,MATCH($C692,links!$D$2:$D$501,0))="","",INDEX(links!$B$2:$B$501,MATCH($C692,links!$D$2:$D$501,0))),""))</f>
        <v/>
      </c>
      <c r="I692" s="30" t="str">
        <f aca="false">IF($C692="","",IFERROR(IF(INDEX(links!$C$2:$C$501,MATCH($C692,links!$D$2:$D$501,0))="","",INDEX(links!$C$2:$C$501,MATCH($C692,links!$D$2:$D$501,0))),""))</f>
        <v/>
      </c>
      <c r="J692" s="30" t="str">
        <f aca="false">IF($C692="","",IF($G692="","slug not in links; ","")&amp;IF($D692="","reading type missing; ","")&amp;IF(COUNTIFS(scans!$C$2:$C$1601,$C692,scans!$D$2:$D$1601,$D692)&gt;1,"two readings of this type: keep one; ",""))</f>
        <v/>
      </c>
    </row>
    <row r="693" customFormat="false" ht="15" hidden="false" customHeight="false" outlineLevel="0" collapsed="false">
      <c r="A693" s="11"/>
      <c r="B693" s="38"/>
      <c r="D693" s="10"/>
      <c r="G693" s="30" t="str">
        <f aca="false">IF($C693="","",IFERROR(IF(INDEX(links!$A$2:$A$501,MATCH($C693,links!$D$2:$D$501,0))="","",INDEX(links!$A$2:$A$501,MATCH($C693,links!$D$2:$D$501,0))),""))</f>
        <v/>
      </c>
      <c r="H693" s="30" t="str">
        <f aca="false">IF($C693="","",IFERROR(IF(INDEX(links!$B$2:$B$501,MATCH($C693,links!$D$2:$D$501,0))="","",INDEX(links!$B$2:$B$501,MATCH($C693,links!$D$2:$D$501,0))),""))</f>
        <v/>
      </c>
      <c r="I693" s="30" t="str">
        <f aca="false">IF($C693="","",IFERROR(IF(INDEX(links!$C$2:$C$501,MATCH($C693,links!$D$2:$D$501,0))="","",INDEX(links!$C$2:$C$501,MATCH($C693,links!$D$2:$D$501,0))),""))</f>
        <v/>
      </c>
      <c r="J693" s="30" t="str">
        <f aca="false">IF($C693="","",IF($G693="","slug not in links; ","")&amp;IF($D693="","reading type missing; ","")&amp;IF(COUNTIFS(scans!$C$2:$C$1601,$C693,scans!$D$2:$D$1601,$D693)&gt;1,"two readings of this type: keep one; ",""))</f>
        <v/>
      </c>
    </row>
    <row r="694" customFormat="false" ht="15" hidden="false" customHeight="false" outlineLevel="0" collapsed="false">
      <c r="A694" s="11"/>
      <c r="B694" s="38"/>
      <c r="D694" s="10"/>
      <c r="G694" s="30" t="str">
        <f aca="false">IF($C694="","",IFERROR(IF(INDEX(links!$A$2:$A$501,MATCH($C694,links!$D$2:$D$501,0))="","",INDEX(links!$A$2:$A$501,MATCH($C694,links!$D$2:$D$501,0))),""))</f>
        <v/>
      </c>
      <c r="H694" s="30" t="str">
        <f aca="false">IF($C694="","",IFERROR(IF(INDEX(links!$B$2:$B$501,MATCH($C694,links!$D$2:$D$501,0))="","",INDEX(links!$B$2:$B$501,MATCH($C694,links!$D$2:$D$501,0))),""))</f>
        <v/>
      </c>
      <c r="I694" s="30" t="str">
        <f aca="false">IF($C694="","",IFERROR(IF(INDEX(links!$C$2:$C$501,MATCH($C694,links!$D$2:$D$501,0))="","",INDEX(links!$C$2:$C$501,MATCH($C694,links!$D$2:$D$501,0))),""))</f>
        <v/>
      </c>
      <c r="J694" s="30" t="str">
        <f aca="false">IF($C694="","",IF($G694="","slug not in links; ","")&amp;IF($D694="","reading type missing; ","")&amp;IF(COUNTIFS(scans!$C$2:$C$1601,$C694,scans!$D$2:$D$1601,$D694)&gt;1,"two readings of this type: keep one; ",""))</f>
        <v/>
      </c>
    </row>
    <row r="695" customFormat="false" ht="15" hidden="false" customHeight="false" outlineLevel="0" collapsed="false">
      <c r="A695" s="11"/>
      <c r="B695" s="38"/>
      <c r="D695" s="10"/>
      <c r="G695" s="30" t="str">
        <f aca="false">IF($C695="","",IFERROR(IF(INDEX(links!$A$2:$A$501,MATCH($C695,links!$D$2:$D$501,0))="","",INDEX(links!$A$2:$A$501,MATCH($C695,links!$D$2:$D$501,0))),""))</f>
        <v/>
      </c>
      <c r="H695" s="30" t="str">
        <f aca="false">IF($C695="","",IFERROR(IF(INDEX(links!$B$2:$B$501,MATCH($C695,links!$D$2:$D$501,0))="","",INDEX(links!$B$2:$B$501,MATCH($C695,links!$D$2:$D$501,0))),""))</f>
        <v/>
      </c>
      <c r="I695" s="30" t="str">
        <f aca="false">IF($C695="","",IFERROR(IF(INDEX(links!$C$2:$C$501,MATCH($C695,links!$D$2:$D$501,0))="","",INDEX(links!$C$2:$C$501,MATCH($C695,links!$D$2:$D$501,0))),""))</f>
        <v/>
      </c>
      <c r="J695" s="30" t="str">
        <f aca="false">IF($C695="","",IF($G695="","slug not in links; ","")&amp;IF($D695="","reading type missing; ","")&amp;IF(COUNTIFS(scans!$C$2:$C$1601,$C695,scans!$D$2:$D$1601,$D695)&gt;1,"two readings of this type: keep one; ",""))</f>
        <v/>
      </c>
    </row>
    <row r="696" customFormat="false" ht="15" hidden="false" customHeight="false" outlineLevel="0" collapsed="false">
      <c r="A696" s="11"/>
      <c r="B696" s="38"/>
      <c r="D696" s="10"/>
      <c r="G696" s="30" t="str">
        <f aca="false">IF($C696="","",IFERROR(IF(INDEX(links!$A$2:$A$501,MATCH($C696,links!$D$2:$D$501,0))="","",INDEX(links!$A$2:$A$501,MATCH($C696,links!$D$2:$D$501,0))),""))</f>
        <v/>
      </c>
      <c r="H696" s="30" t="str">
        <f aca="false">IF($C696="","",IFERROR(IF(INDEX(links!$B$2:$B$501,MATCH($C696,links!$D$2:$D$501,0))="","",INDEX(links!$B$2:$B$501,MATCH($C696,links!$D$2:$D$501,0))),""))</f>
        <v/>
      </c>
      <c r="I696" s="30" t="str">
        <f aca="false">IF($C696="","",IFERROR(IF(INDEX(links!$C$2:$C$501,MATCH($C696,links!$D$2:$D$501,0))="","",INDEX(links!$C$2:$C$501,MATCH($C696,links!$D$2:$D$501,0))),""))</f>
        <v/>
      </c>
      <c r="J696" s="30" t="str">
        <f aca="false">IF($C696="","",IF($G696="","slug not in links; ","")&amp;IF($D696="","reading type missing; ","")&amp;IF(COUNTIFS(scans!$C$2:$C$1601,$C696,scans!$D$2:$D$1601,$D696)&gt;1,"two readings of this type: keep one; ",""))</f>
        <v/>
      </c>
    </row>
    <row r="697" customFormat="false" ht="15" hidden="false" customHeight="false" outlineLevel="0" collapsed="false">
      <c r="A697" s="11"/>
      <c r="B697" s="38"/>
      <c r="D697" s="10"/>
      <c r="G697" s="30" t="str">
        <f aca="false">IF($C697="","",IFERROR(IF(INDEX(links!$A$2:$A$501,MATCH($C697,links!$D$2:$D$501,0))="","",INDEX(links!$A$2:$A$501,MATCH($C697,links!$D$2:$D$501,0))),""))</f>
        <v/>
      </c>
      <c r="H697" s="30" t="str">
        <f aca="false">IF($C697="","",IFERROR(IF(INDEX(links!$B$2:$B$501,MATCH($C697,links!$D$2:$D$501,0))="","",INDEX(links!$B$2:$B$501,MATCH($C697,links!$D$2:$D$501,0))),""))</f>
        <v/>
      </c>
      <c r="I697" s="30" t="str">
        <f aca="false">IF($C697="","",IFERROR(IF(INDEX(links!$C$2:$C$501,MATCH($C697,links!$D$2:$D$501,0))="","",INDEX(links!$C$2:$C$501,MATCH($C697,links!$D$2:$D$501,0))),""))</f>
        <v/>
      </c>
      <c r="J697" s="30" t="str">
        <f aca="false">IF($C697="","",IF($G697="","slug not in links; ","")&amp;IF($D697="","reading type missing; ","")&amp;IF(COUNTIFS(scans!$C$2:$C$1601,$C697,scans!$D$2:$D$1601,$D697)&gt;1,"two readings of this type: keep one; ",""))</f>
        <v/>
      </c>
    </row>
    <row r="698" customFormat="false" ht="15" hidden="false" customHeight="false" outlineLevel="0" collapsed="false">
      <c r="A698" s="11"/>
      <c r="B698" s="38"/>
      <c r="D698" s="10"/>
      <c r="G698" s="30" t="str">
        <f aca="false">IF($C698="","",IFERROR(IF(INDEX(links!$A$2:$A$501,MATCH($C698,links!$D$2:$D$501,0))="","",INDEX(links!$A$2:$A$501,MATCH($C698,links!$D$2:$D$501,0))),""))</f>
        <v/>
      </c>
      <c r="H698" s="30" t="str">
        <f aca="false">IF($C698="","",IFERROR(IF(INDEX(links!$B$2:$B$501,MATCH($C698,links!$D$2:$D$501,0))="","",INDEX(links!$B$2:$B$501,MATCH($C698,links!$D$2:$D$501,0))),""))</f>
        <v/>
      </c>
      <c r="I698" s="30" t="str">
        <f aca="false">IF($C698="","",IFERROR(IF(INDEX(links!$C$2:$C$501,MATCH($C698,links!$D$2:$D$501,0))="","",INDEX(links!$C$2:$C$501,MATCH($C698,links!$D$2:$D$501,0))),""))</f>
        <v/>
      </c>
      <c r="J698" s="30" t="str">
        <f aca="false">IF($C698="","",IF($G698="","slug not in links; ","")&amp;IF($D698="","reading type missing; ","")&amp;IF(COUNTIFS(scans!$C$2:$C$1601,$C698,scans!$D$2:$D$1601,$D698)&gt;1,"two readings of this type: keep one; ",""))</f>
        <v/>
      </c>
    </row>
    <row r="699" customFormat="false" ht="15" hidden="false" customHeight="false" outlineLevel="0" collapsed="false">
      <c r="A699" s="11"/>
      <c r="B699" s="38"/>
      <c r="D699" s="10"/>
      <c r="G699" s="30" t="str">
        <f aca="false">IF($C699="","",IFERROR(IF(INDEX(links!$A$2:$A$501,MATCH($C699,links!$D$2:$D$501,0))="","",INDEX(links!$A$2:$A$501,MATCH($C699,links!$D$2:$D$501,0))),""))</f>
        <v/>
      </c>
      <c r="H699" s="30" t="str">
        <f aca="false">IF($C699="","",IFERROR(IF(INDEX(links!$B$2:$B$501,MATCH($C699,links!$D$2:$D$501,0))="","",INDEX(links!$B$2:$B$501,MATCH($C699,links!$D$2:$D$501,0))),""))</f>
        <v/>
      </c>
      <c r="I699" s="30" t="str">
        <f aca="false">IF($C699="","",IFERROR(IF(INDEX(links!$C$2:$C$501,MATCH($C699,links!$D$2:$D$501,0))="","",INDEX(links!$C$2:$C$501,MATCH($C699,links!$D$2:$D$501,0))),""))</f>
        <v/>
      </c>
      <c r="J699" s="30" t="str">
        <f aca="false">IF($C699="","",IF($G699="","slug not in links; ","")&amp;IF($D699="","reading type missing; ","")&amp;IF(COUNTIFS(scans!$C$2:$C$1601,$C699,scans!$D$2:$D$1601,$D699)&gt;1,"two readings of this type: keep one; ",""))</f>
        <v/>
      </c>
    </row>
    <row r="700" customFormat="false" ht="15" hidden="false" customHeight="false" outlineLevel="0" collapsed="false">
      <c r="A700" s="11"/>
      <c r="B700" s="38"/>
      <c r="D700" s="10"/>
      <c r="G700" s="30" t="str">
        <f aca="false">IF($C700="","",IFERROR(IF(INDEX(links!$A$2:$A$501,MATCH($C700,links!$D$2:$D$501,0))="","",INDEX(links!$A$2:$A$501,MATCH($C700,links!$D$2:$D$501,0))),""))</f>
        <v/>
      </c>
      <c r="H700" s="30" t="str">
        <f aca="false">IF($C700="","",IFERROR(IF(INDEX(links!$B$2:$B$501,MATCH($C700,links!$D$2:$D$501,0))="","",INDEX(links!$B$2:$B$501,MATCH($C700,links!$D$2:$D$501,0))),""))</f>
        <v/>
      </c>
      <c r="I700" s="30" t="str">
        <f aca="false">IF($C700="","",IFERROR(IF(INDEX(links!$C$2:$C$501,MATCH($C700,links!$D$2:$D$501,0))="","",INDEX(links!$C$2:$C$501,MATCH($C700,links!$D$2:$D$501,0))),""))</f>
        <v/>
      </c>
      <c r="J700" s="30" t="str">
        <f aca="false">IF($C700="","",IF($G700="","slug not in links; ","")&amp;IF($D700="","reading type missing; ","")&amp;IF(COUNTIFS(scans!$C$2:$C$1601,$C700,scans!$D$2:$D$1601,$D700)&gt;1,"two readings of this type: keep one; ",""))</f>
        <v/>
      </c>
    </row>
    <row r="701" customFormat="false" ht="15" hidden="false" customHeight="false" outlineLevel="0" collapsed="false">
      <c r="A701" s="11"/>
      <c r="B701" s="38"/>
      <c r="D701" s="10"/>
      <c r="G701" s="30" t="str">
        <f aca="false">IF($C701="","",IFERROR(IF(INDEX(links!$A$2:$A$501,MATCH($C701,links!$D$2:$D$501,0))="","",INDEX(links!$A$2:$A$501,MATCH($C701,links!$D$2:$D$501,0))),""))</f>
        <v/>
      </c>
      <c r="H701" s="30" t="str">
        <f aca="false">IF($C701="","",IFERROR(IF(INDEX(links!$B$2:$B$501,MATCH($C701,links!$D$2:$D$501,0))="","",INDEX(links!$B$2:$B$501,MATCH($C701,links!$D$2:$D$501,0))),""))</f>
        <v/>
      </c>
      <c r="I701" s="30" t="str">
        <f aca="false">IF($C701="","",IFERROR(IF(INDEX(links!$C$2:$C$501,MATCH($C701,links!$D$2:$D$501,0))="","",INDEX(links!$C$2:$C$501,MATCH($C701,links!$D$2:$D$501,0))),""))</f>
        <v/>
      </c>
      <c r="J701" s="30" t="str">
        <f aca="false">IF($C701="","",IF($G701="","slug not in links; ","")&amp;IF($D701="","reading type missing; ","")&amp;IF(COUNTIFS(scans!$C$2:$C$1601,$C701,scans!$D$2:$D$1601,$D701)&gt;1,"two readings of this type: keep one; ",""))</f>
        <v/>
      </c>
    </row>
    <row r="702" customFormat="false" ht="15" hidden="false" customHeight="false" outlineLevel="0" collapsed="false">
      <c r="A702" s="11"/>
      <c r="B702" s="38"/>
      <c r="D702" s="10"/>
      <c r="G702" s="30" t="str">
        <f aca="false">IF($C702="","",IFERROR(IF(INDEX(links!$A$2:$A$501,MATCH($C702,links!$D$2:$D$501,0))="","",INDEX(links!$A$2:$A$501,MATCH($C702,links!$D$2:$D$501,0))),""))</f>
        <v/>
      </c>
      <c r="H702" s="30" t="str">
        <f aca="false">IF($C702="","",IFERROR(IF(INDEX(links!$B$2:$B$501,MATCH($C702,links!$D$2:$D$501,0))="","",INDEX(links!$B$2:$B$501,MATCH($C702,links!$D$2:$D$501,0))),""))</f>
        <v/>
      </c>
      <c r="I702" s="30" t="str">
        <f aca="false">IF($C702="","",IFERROR(IF(INDEX(links!$C$2:$C$501,MATCH($C702,links!$D$2:$D$501,0))="","",INDEX(links!$C$2:$C$501,MATCH($C702,links!$D$2:$D$501,0))),""))</f>
        <v/>
      </c>
      <c r="J702" s="30" t="str">
        <f aca="false">IF($C702="","",IF($G702="","slug not in links; ","")&amp;IF($D702="","reading type missing; ","")&amp;IF(COUNTIFS(scans!$C$2:$C$1601,$C702,scans!$D$2:$D$1601,$D702)&gt;1,"two readings of this type: keep one; ",""))</f>
        <v/>
      </c>
    </row>
    <row r="703" customFormat="false" ht="15" hidden="false" customHeight="false" outlineLevel="0" collapsed="false">
      <c r="A703" s="11"/>
      <c r="B703" s="38"/>
      <c r="D703" s="10"/>
      <c r="G703" s="30" t="str">
        <f aca="false">IF($C703="","",IFERROR(IF(INDEX(links!$A$2:$A$501,MATCH($C703,links!$D$2:$D$501,0))="","",INDEX(links!$A$2:$A$501,MATCH($C703,links!$D$2:$D$501,0))),""))</f>
        <v/>
      </c>
      <c r="H703" s="30" t="str">
        <f aca="false">IF($C703="","",IFERROR(IF(INDEX(links!$B$2:$B$501,MATCH($C703,links!$D$2:$D$501,0))="","",INDEX(links!$B$2:$B$501,MATCH($C703,links!$D$2:$D$501,0))),""))</f>
        <v/>
      </c>
      <c r="I703" s="30" t="str">
        <f aca="false">IF($C703="","",IFERROR(IF(INDEX(links!$C$2:$C$501,MATCH($C703,links!$D$2:$D$501,0))="","",INDEX(links!$C$2:$C$501,MATCH($C703,links!$D$2:$D$501,0))),""))</f>
        <v/>
      </c>
      <c r="J703" s="30" t="str">
        <f aca="false">IF($C703="","",IF($G703="","slug not in links; ","")&amp;IF($D703="","reading type missing; ","")&amp;IF(COUNTIFS(scans!$C$2:$C$1601,$C703,scans!$D$2:$D$1601,$D703)&gt;1,"two readings of this type: keep one; ",""))</f>
        <v/>
      </c>
    </row>
    <row r="704" customFormat="false" ht="15" hidden="false" customHeight="false" outlineLevel="0" collapsed="false">
      <c r="A704" s="11"/>
      <c r="B704" s="38"/>
      <c r="D704" s="10"/>
      <c r="G704" s="30" t="str">
        <f aca="false">IF($C704="","",IFERROR(IF(INDEX(links!$A$2:$A$501,MATCH($C704,links!$D$2:$D$501,0))="","",INDEX(links!$A$2:$A$501,MATCH($C704,links!$D$2:$D$501,0))),""))</f>
        <v/>
      </c>
      <c r="H704" s="30" t="str">
        <f aca="false">IF($C704="","",IFERROR(IF(INDEX(links!$B$2:$B$501,MATCH($C704,links!$D$2:$D$501,0))="","",INDEX(links!$B$2:$B$501,MATCH($C704,links!$D$2:$D$501,0))),""))</f>
        <v/>
      </c>
      <c r="I704" s="30" t="str">
        <f aca="false">IF($C704="","",IFERROR(IF(INDEX(links!$C$2:$C$501,MATCH($C704,links!$D$2:$D$501,0))="","",INDEX(links!$C$2:$C$501,MATCH($C704,links!$D$2:$D$501,0))),""))</f>
        <v/>
      </c>
      <c r="J704" s="30" t="str">
        <f aca="false">IF($C704="","",IF($G704="","slug not in links; ","")&amp;IF($D704="","reading type missing; ","")&amp;IF(COUNTIFS(scans!$C$2:$C$1601,$C704,scans!$D$2:$D$1601,$D704)&gt;1,"two readings of this type: keep one; ",""))</f>
        <v/>
      </c>
    </row>
    <row r="705" customFormat="false" ht="15" hidden="false" customHeight="false" outlineLevel="0" collapsed="false">
      <c r="A705" s="11"/>
      <c r="B705" s="38"/>
      <c r="D705" s="10"/>
      <c r="G705" s="30" t="str">
        <f aca="false">IF($C705="","",IFERROR(IF(INDEX(links!$A$2:$A$501,MATCH($C705,links!$D$2:$D$501,0))="","",INDEX(links!$A$2:$A$501,MATCH($C705,links!$D$2:$D$501,0))),""))</f>
        <v/>
      </c>
      <c r="H705" s="30" t="str">
        <f aca="false">IF($C705="","",IFERROR(IF(INDEX(links!$B$2:$B$501,MATCH($C705,links!$D$2:$D$501,0))="","",INDEX(links!$B$2:$B$501,MATCH($C705,links!$D$2:$D$501,0))),""))</f>
        <v/>
      </c>
      <c r="I705" s="30" t="str">
        <f aca="false">IF($C705="","",IFERROR(IF(INDEX(links!$C$2:$C$501,MATCH($C705,links!$D$2:$D$501,0))="","",INDEX(links!$C$2:$C$501,MATCH($C705,links!$D$2:$D$501,0))),""))</f>
        <v/>
      </c>
      <c r="J705" s="30" t="str">
        <f aca="false">IF($C705="","",IF($G705="","slug not in links; ","")&amp;IF($D705="","reading type missing; ","")&amp;IF(COUNTIFS(scans!$C$2:$C$1601,$C705,scans!$D$2:$D$1601,$D705)&gt;1,"two readings of this type: keep one; ",""))</f>
        <v/>
      </c>
    </row>
    <row r="706" customFormat="false" ht="15" hidden="false" customHeight="false" outlineLevel="0" collapsed="false">
      <c r="A706" s="11"/>
      <c r="B706" s="38"/>
      <c r="D706" s="10"/>
      <c r="G706" s="30" t="str">
        <f aca="false">IF($C706="","",IFERROR(IF(INDEX(links!$A$2:$A$501,MATCH($C706,links!$D$2:$D$501,0))="","",INDEX(links!$A$2:$A$501,MATCH($C706,links!$D$2:$D$501,0))),""))</f>
        <v/>
      </c>
      <c r="H706" s="30" t="str">
        <f aca="false">IF($C706="","",IFERROR(IF(INDEX(links!$B$2:$B$501,MATCH($C706,links!$D$2:$D$501,0))="","",INDEX(links!$B$2:$B$501,MATCH($C706,links!$D$2:$D$501,0))),""))</f>
        <v/>
      </c>
      <c r="I706" s="30" t="str">
        <f aca="false">IF($C706="","",IFERROR(IF(INDEX(links!$C$2:$C$501,MATCH($C706,links!$D$2:$D$501,0))="","",INDEX(links!$C$2:$C$501,MATCH($C706,links!$D$2:$D$501,0))),""))</f>
        <v/>
      </c>
      <c r="J706" s="30" t="str">
        <f aca="false">IF($C706="","",IF($G706="","slug not in links; ","")&amp;IF($D706="","reading type missing; ","")&amp;IF(COUNTIFS(scans!$C$2:$C$1601,$C706,scans!$D$2:$D$1601,$D706)&gt;1,"two readings of this type: keep one; ",""))</f>
        <v/>
      </c>
    </row>
    <row r="707" customFormat="false" ht="15" hidden="false" customHeight="false" outlineLevel="0" collapsed="false">
      <c r="A707" s="11"/>
      <c r="B707" s="38"/>
      <c r="D707" s="10"/>
      <c r="G707" s="30" t="str">
        <f aca="false">IF($C707="","",IFERROR(IF(INDEX(links!$A$2:$A$501,MATCH($C707,links!$D$2:$D$501,0))="","",INDEX(links!$A$2:$A$501,MATCH($C707,links!$D$2:$D$501,0))),""))</f>
        <v/>
      </c>
      <c r="H707" s="30" t="str">
        <f aca="false">IF($C707="","",IFERROR(IF(INDEX(links!$B$2:$B$501,MATCH($C707,links!$D$2:$D$501,0))="","",INDEX(links!$B$2:$B$501,MATCH($C707,links!$D$2:$D$501,0))),""))</f>
        <v/>
      </c>
      <c r="I707" s="30" t="str">
        <f aca="false">IF($C707="","",IFERROR(IF(INDEX(links!$C$2:$C$501,MATCH($C707,links!$D$2:$D$501,0))="","",INDEX(links!$C$2:$C$501,MATCH($C707,links!$D$2:$D$501,0))),""))</f>
        <v/>
      </c>
      <c r="J707" s="30" t="str">
        <f aca="false">IF($C707="","",IF($G707="","slug not in links; ","")&amp;IF($D707="","reading type missing; ","")&amp;IF(COUNTIFS(scans!$C$2:$C$1601,$C707,scans!$D$2:$D$1601,$D707)&gt;1,"two readings of this type: keep one; ",""))</f>
        <v/>
      </c>
    </row>
    <row r="708" customFormat="false" ht="15" hidden="false" customHeight="false" outlineLevel="0" collapsed="false">
      <c r="A708" s="11"/>
      <c r="B708" s="38"/>
      <c r="D708" s="10"/>
      <c r="G708" s="30" t="str">
        <f aca="false">IF($C708="","",IFERROR(IF(INDEX(links!$A$2:$A$501,MATCH($C708,links!$D$2:$D$501,0))="","",INDEX(links!$A$2:$A$501,MATCH($C708,links!$D$2:$D$501,0))),""))</f>
        <v/>
      </c>
      <c r="H708" s="30" t="str">
        <f aca="false">IF($C708="","",IFERROR(IF(INDEX(links!$B$2:$B$501,MATCH($C708,links!$D$2:$D$501,0))="","",INDEX(links!$B$2:$B$501,MATCH($C708,links!$D$2:$D$501,0))),""))</f>
        <v/>
      </c>
      <c r="I708" s="30" t="str">
        <f aca="false">IF($C708="","",IFERROR(IF(INDEX(links!$C$2:$C$501,MATCH($C708,links!$D$2:$D$501,0))="","",INDEX(links!$C$2:$C$501,MATCH($C708,links!$D$2:$D$501,0))),""))</f>
        <v/>
      </c>
      <c r="J708" s="30" t="str">
        <f aca="false">IF($C708="","",IF($G708="","slug not in links; ","")&amp;IF($D708="","reading type missing; ","")&amp;IF(COUNTIFS(scans!$C$2:$C$1601,$C708,scans!$D$2:$D$1601,$D708)&gt;1,"two readings of this type: keep one; ",""))</f>
        <v/>
      </c>
    </row>
    <row r="709" customFormat="false" ht="15" hidden="false" customHeight="false" outlineLevel="0" collapsed="false">
      <c r="A709" s="11"/>
      <c r="B709" s="38"/>
      <c r="D709" s="10"/>
      <c r="G709" s="30" t="str">
        <f aca="false">IF($C709="","",IFERROR(IF(INDEX(links!$A$2:$A$501,MATCH($C709,links!$D$2:$D$501,0))="","",INDEX(links!$A$2:$A$501,MATCH($C709,links!$D$2:$D$501,0))),""))</f>
        <v/>
      </c>
      <c r="H709" s="30" t="str">
        <f aca="false">IF($C709="","",IFERROR(IF(INDEX(links!$B$2:$B$501,MATCH($C709,links!$D$2:$D$501,0))="","",INDEX(links!$B$2:$B$501,MATCH($C709,links!$D$2:$D$501,0))),""))</f>
        <v/>
      </c>
      <c r="I709" s="30" t="str">
        <f aca="false">IF($C709="","",IFERROR(IF(INDEX(links!$C$2:$C$501,MATCH($C709,links!$D$2:$D$501,0))="","",INDEX(links!$C$2:$C$501,MATCH($C709,links!$D$2:$D$501,0))),""))</f>
        <v/>
      </c>
      <c r="J709" s="30" t="str">
        <f aca="false">IF($C709="","",IF($G709="","slug not in links; ","")&amp;IF($D709="","reading type missing; ","")&amp;IF(COUNTIFS(scans!$C$2:$C$1601,$C709,scans!$D$2:$D$1601,$D709)&gt;1,"two readings of this type: keep one; ",""))</f>
        <v/>
      </c>
    </row>
    <row r="710" customFormat="false" ht="15" hidden="false" customHeight="false" outlineLevel="0" collapsed="false">
      <c r="A710" s="11"/>
      <c r="B710" s="38"/>
      <c r="D710" s="10"/>
      <c r="G710" s="30" t="str">
        <f aca="false">IF($C710="","",IFERROR(IF(INDEX(links!$A$2:$A$501,MATCH($C710,links!$D$2:$D$501,0))="","",INDEX(links!$A$2:$A$501,MATCH($C710,links!$D$2:$D$501,0))),""))</f>
        <v/>
      </c>
      <c r="H710" s="30" t="str">
        <f aca="false">IF($C710="","",IFERROR(IF(INDEX(links!$B$2:$B$501,MATCH($C710,links!$D$2:$D$501,0))="","",INDEX(links!$B$2:$B$501,MATCH($C710,links!$D$2:$D$501,0))),""))</f>
        <v/>
      </c>
      <c r="I710" s="30" t="str">
        <f aca="false">IF($C710="","",IFERROR(IF(INDEX(links!$C$2:$C$501,MATCH($C710,links!$D$2:$D$501,0))="","",INDEX(links!$C$2:$C$501,MATCH($C710,links!$D$2:$D$501,0))),""))</f>
        <v/>
      </c>
      <c r="J710" s="30" t="str">
        <f aca="false">IF($C710="","",IF($G710="","slug not in links; ","")&amp;IF($D710="","reading type missing; ","")&amp;IF(COUNTIFS(scans!$C$2:$C$1601,$C710,scans!$D$2:$D$1601,$D710)&gt;1,"two readings of this type: keep one; ",""))</f>
        <v/>
      </c>
    </row>
    <row r="711" customFormat="false" ht="15" hidden="false" customHeight="false" outlineLevel="0" collapsed="false">
      <c r="A711" s="11"/>
      <c r="B711" s="38"/>
      <c r="D711" s="10"/>
      <c r="G711" s="30" t="str">
        <f aca="false">IF($C711="","",IFERROR(IF(INDEX(links!$A$2:$A$501,MATCH($C711,links!$D$2:$D$501,0))="","",INDEX(links!$A$2:$A$501,MATCH($C711,links!$D$2:$D$501,0))),""))</f>
        <v/>
      </c>
      <c r="H711" s="30" t="str">
        <f aca="false">IF($C711="","",IFERROR(IF(INDEX(links!$B$2:$B$501,MATCH($C711,links!$D$2:$D$501,0))="","",INDEX(links!$B$2:$B$501,MATCH($C711,links!$D$2:$D$501,0))),""))</f>
        <v/>
      </c>
      <c r="I711" s="30" t="str">
        <f aca="false">IF($C711="","",IFERROR(IF(INDEX(links!$C$2:$C$501,MATCH($C711,links!$D$2:$D$501,0))="","",INDEX(links!$C$2:$C$501,MATCH($C711,links!$D$2:$D$501,0))),""))</f>
        <v/>
      </c>
      <c r="J711" s="30" t="str">
        <f aca="false">IF($C711="","",IF($G711="","slug not in links; ","")&amp;IF($D711="","reading type missing; ","")&amp;IF(COUNTIFS(scans!$C$2:$C$1601,$C711,scans!$D$2:$D$1601,$D711)&gt;1,"two readings of this type: keep one; ",""))</f>
        <v/>
      </c>
    </row>
    <row r="712" customFormat="false" ht="15" hidden="false" customHeight="false" outlineLevel="0" collapsed="false">
      <c r="A712" s="11"/>
      <c r="B712" s="38"/>
      <c r="D712" s="10"/>
      <c r="G712" s="30" t="str">
        <f aca="false">IF($C712="","",IFERROR(IF(INDEX(links!$A$2:$A$501,MATCH($C712,links!$D$2:$D$501,0))="","",INDEX(links!$A$2:$A$501,MATCH($C712,links!$D$2:$D$501,0))),""))</f>
        <v/>
      </c>
      <c r="H712" s="30" t="str">
        <f aca="false">IF($C712="","",IFERROR(IF(INDEX(links!$B$2:$B$501,MATCH($C712,links!$D$2:$D$501,0))="","",INDEX(links!$B$2:$B$501,MATCH($C712,links!$D$2:$D$501,0))),""))</f>
        <v/>
      </c>
      <c r="I712" s="30" t="str">
        <f aca="false">IF($C712="","",IFERROR(IF(INDEX(links!$C$2:$C$501,MATCH($C712,links!$D$2:$D$501,0))="","",INDEX(links!$C$2:$C$501,MATCH($C712,links!$D$2:$D$501,0))),""))</f>
        <v/>
      </c>
      <c r="J712" s="30" t="str">
        <f aca="false">IF($C712="","",IF($G712="","slug not in links; ","")&amp;IF($D712="","reading type missing; ","")&amp;IF(COUNTIFS(scans!$C$2:$C$1601,$C712,scans!$D$2:$D$1601,$D712)&gt;1,"two readings of this type: keep one; ",""))</f>
        <v/>
      </c>
    </row>
    <row r="713" customFormat="false" ht="15" hidden="false" customHeight="false" outlineLevel="0" collapsed="false">
      <c r="A713" s="11"/>
      <c r="B713" s="38"/>
      <c r="D713" s="10"/>
      <c r="G713" s="30" t="str">
        <f aca="false">IF($C713="","",IFERROR(IF(INDEX(links!$A$2:$A$501,MATCH($C713,links!$D$2:$D$501,0))="","",INDEX(links!$A$2:$A$501,MATCH($C713,links!$D$2:$D$501,0))),""))</f>
        <v/>
      </c>
      <c r="H713" s="30" t="str">
        <f aca="false">IF($C713="","",IFERROR(IF(INDEX(links!$B$2:$B$501,MATCH($C713,links!$D$2:$D$501,0))="","",INDEX(links!$B$2:$B$501,MATCH($C713,links!$D$2:$D$501,0))),""))</f>
        <v/>
      </c>
      <c r="I713" s="30" t="str">
        <f aca="false">IF($C713="","",IFERROR(IF(INDEX(links!$C$2:$C$501,MATCH($C713,links!$D$2:$D$501,0))="","",INDEX(links!$C$2:$C$501,MATCH($C713,links!$D$2:$D$501,0))),""))</f>
        <v/>
      </c>
      <c r="J713" s="30" t="str">
        <f aca="false">IF($C713="","",IF($G713="","slug not in links; ","")&amp;IF($D713="","reading type missing; ","")&amp;IF(COUNTIFS(scans!$C$2:$C$1601,$C713,scans!$D$2:$D$1601,$D713)&gt;1,"two readings of this type: keep one; ",""))</f>
        <v/>
      </c>
    </row>
    <row r="714" customFormat="false" ht="15" hidden="false" customHeight="false" outlineLevel="0" collapsed="false">
      <c r="A714" s="11"/>
      <c r="B714" s="38"/>
      <c r="D714" s="10"/>
      <c r="G714" s="30" t="str">
        <f aca="false">IF($C714="","",IFERROR(IF(INDEX(links!$A$2:$A$501,MATCH($C714,links!$D$2:$D$501,0))="","",INDEX(links!$A$2:$A$501,MATCH($C714,links!$D$2:$D$501,0))),""))</f>
        <v/>
      </c>
      <c r="H714" s="30" t="str">
        <f aca="false">IF($C714="","",IFERROR(IF(INDEX(links!$B$2:$B$501,MATCH($C714,links!$D$2:$D$501,0))="","",INDEX(links!$B$2:$B$501,MATCH($C714,links!$D$2:$D$501,0))),""))</f>
        <v/>
      </c>
      <c r="I714" s="30" t="str">
        <f aca="false">IF($C714="","",IFERROR(IF(INDEX(links!$C$2:$C$501,MATCH($C714,links!$D$2:$D$501,0))="","",INDEX(links!$C$2:$C$501,MATCH($C714,links!$D$2:$D$501,0))),""))</f>
        <v/>
      </c>
      <c r="J714" s="30" t="str">
        <f aca="false">IF($C714="","",IF($G714="","slug not in links; ","")&amp;IF($D714="","reading type missing; ","")&amp;IF(COUNTIFS(scans!$C$2:$C$1601,$C714,scans!$D$2:$D$1601,$D714)&gt;1,"two readings of this type: keep one; ",""))</f>
        <v/>
      </c>
    </row>
    <row r="715" customFormat="false" ht="15" hidden="false" customHeight="false" outlineLevel="0" collapsed="false">
      <c r="A715" s="11"/>
      <c r="B715" s="38"/>
      <c r="D715" s="10"/>
      <c r="G715" s="30" t="str">
        <f aca="false">IF($C715="","",IFERROR(IF(INDEX(links!$A$2:$A$501,MATCH($C715,links!$D$2:$D$501,0))="","",INDEX(links!$A$2:$A$501,MATCH($C715,links!$D$2:$D$501,0))),""))</f>
        <v/>
      </c>
      <c r="H715" s="30" t="str">
        <f aca="false">IF($C715="","",IFERROR(IF(INDEX(links!$B$2:$B$501,MATCH($C715,links!$D$2:$D$501,0))="","",INDEX(links!$B$2:$B$501,MATCH($C715,links!$D$2:$D$501,0))),""))</f>
        <v/>
      </c>
      <c r="I715" s="30" t="str">
        <f aca="false">IF($C715="","",IFERROR(IF(INDEX(links!$C$2:$C$501,MATCH($C715,links!$D$2:$D$501,0))="","",INDEX(links!$C$2:$C$501,MATCH($C715,links!$D$2:$D$501,0))),""))</f>
        <v/>
      </c>
      <c r="J715" s="30" t="str">
        <f aca="false">IF($C715="","",IF($G715="","slug not in links; ","")&amp;IF($D715="","reading type missing; ","")&amp;IF(COUNTIFS(scans!$C$2:$C$1601,$C715,scans!$D$2:$D$1601,$D715)&gt;1,"two readings of this type: keep one; ",""))</f>
        <v/>
      </c>
    </row>
    <row r="716" customFormat="false" ht="15" hidden="false" customHeight="false" outlineLevel="0" collapsed="false">
      <c r="A716" s="11"/>
      <c r="B716" s="38"/>
      <c r="D716" s="10"/>
      <c r="G716" s="30" t="str">
        <f aca="false">IF($C716="","",IFERROR(IF(INDEX(links!$A$2:$A$501,MATCH($C716,links!$D$2:$D$501,0))="","",INDEX(links!$A$2:$A$501,MATCH($C716,links!$D$2:$D$501,0))),""))</f>
        <v/>
      </c>
      <c r="H716" s="30" t="str">
        <f aca="false">IF($C716="","",IFERROR(IF(INDEX(links!$B$2:$B$501,MATCH($C716,links!$D$2:$D$501,0))="","",INDEX(links!$B$2:$B$501,MATCH($C716,links!$D$2:$D$501,0))),""))</f>
        <v/>
      </c>
      <c r="I716" s="30" t="str">
        <f aca="false">IF($C716="","",IFERROR(IF(INDEX(links!$C$2:$C$501,MATCH($C716,links!$D$2:$D$501,0))="","",INDEX(links!$C$2:$C$501,MATCH($C716,links!$D$2:$D$501,0))),""))</f>
        <v/>
      </c>
      <c r="J716" s="30" t="str">
        <f aca="false">IF($C716="","",IF($G716="","slug not in links; ","")&amp;IF($D716="","reading type missing; ","")&amp;IF(COUNTIFS(scans!$C$2:$C$1601,$C716,scans!$D$2:$D$1601,$D716)&gt;1,"two readings of this type: keep one; ",""))</f>
        <v/>
      </c>
    </row>
    <row r="717" customFormat="false" ht="15" hidden="false" customHeight="false" outlineLevel="0" collapsed="false">
      <c r="A717" s="11"/>
      <c r="B717" s="38"/>
      <c r="D717" s="10"/>
      <c r="G717" s="30" t="str">
        <f aca="false">IF($C717="","",IFERROR(IF(INDEX(links!$A$2:$A$501,MATCH($C717,links!$D$2:$D$501,0))="","",INDEX(links!$A$2:$A$501,MATCH($C717,links!$D$2:$D$501,0))),""))</f>
        <v/>
      </c>
      <c r="H717" s="30" t="str">
        <f aca="false">IF($C717="","",IFERROR(IF(INDEX(links!$B$2:$B$501,MATCH($C717,links!$D$2:$D$501,0))="","",INDEX(links!$B$2:$B$501,MATCH($C717,links!$D$2:$D$501,0))),""))</f>
        <v/>
      </c>
      <c r="I717" s="30" t="str">
        <f aca="false">IF($C717="","",IFERROR(IF(INDEX(links!$C$2:$C$501,MATCH($C717,links!$D$2:$D$501,0))="","",INDEX(links!$C$2:$C$501,MATCH($C717,links!$D$2:$D$501,0))),""))</f>
        <v/>
      </c>
      <c r="J717" s="30" t="str">
        <f aca="false">IF($C717="","",IF($G717="","slug not in links; ","")&amp;IF($D717="","reading type missing; ","")&amp;IF(COUNTIFS(scans!$C$2:$C$1601,$C717,scans!$D$2:$D$1601,$D717)&gt;1,"two readings of this type: keep one; ",""))</f>
        <v/>
      </c>
    </row>
    <row r="718" customFormat="false" ht="15" hidden="false" customHeight="false" outlineLevel="0" collapsed="false">
      <c r="A718" s="11"/>
      <c r="B718" s="38"/>
      <c r="D718" s="10"/>
      <c r="G718" s="30" t="str">
        <f aca="false">IF($C718="","",IFERROR(IF(INDEX(links!$A$2:$A$501,MATCH($C718,links!$D$2:$D$501,0))="","",INDEX(links!$A$2:$A$501,MATCH($C718,links!$D$2:$D$501,0))),""))</f>
        <v/>
      </c>
      <c r="H718" s="30" t="str">
        <f aca="false">IF($C718="","",IFERROR(IF(INDEX(links!$B$2:$B$501,MATCH($C718,links!$D$2:$D$501,0))="","",INDEX(links!$B$2:$B$501,MATCH($C718,links!$D$2:$D$501,0))),""))</f>
        <v/>
      </c>
      <c r="I718" s="30" t="str">
        <f aca="false">IF($C718="","",IFERROR(IF(INDEX(links!$C$2:$C$501,MATCH($C718,links!$D$2:$D$501,0))="","",INDEX(links!$C$2:$C$501,MATCH($C718,links!$D$2:$D$501,0))),""))</f>
        <v/>
      </c>
      <c r="J718" s="30" t="str">
        <f aca="false">IF($C718="","",IF($G718="","slug not in links; ","")&amp;IF($D718="","reading type missing; ","")&amp;IF(COUNTIFS(scans!$C$2:$C$1601,$C718,scans!$D$2:$D$1601,$D718)&gt;1,"two readings of this type: keep one; ",""))</f>
        <v/>
      </c>
    </row>
    <row r="719" customFormat="false" ht="15" hidden="false" customHeight="false" outlineLevel="0" collapsed="false">
      <c r="A719" s="11"/>
      <c r="B719" s="38"/>
      <c r="D719" s="10"/>
      <c r="G719" s="30" t="str">
        <f aca="false">IF($C719="","",IFERROR(IF(INDEX(links!$A$2:$A$501,MATCH($C719,links!$D$2:$D$501,0))="","",INDEX(links!$A$2:$A$501,MATCH($C719,links!$D$2:$D$501,0))),""))</f>
        <v/>
      </c>
      <c r="H719" s="30" t="str">
        <f aca="false">IF($C719="","",IFERROR(IF(INDEX(links!$B$2:$B$501,MATCH($C719,links!$D$2:$D$501,0))="","",INDEX(links!$B$2:$B$501,MATCH($C719,links!$D$2:$D$501,0))),""))</f>
        <v/>
      </c>
      <c r="I719" s="30" t="str">
        <f aca="false">IF($C719="","",IFERROR(IF(INDEX(links!$C$2:$C$501,MATCH($C719,links!$D$2:$D$501,0))="","",INDEX(links!$C$2:$C$501,MATCH($C719,links!$D$2:$D$501,0))),""))</f>
        <v/>
      </c>
      <c r="J719" s="30" t="str">
        <f aca="false">IF($C719="","",IF($G719="","slug not in links; ","")&amp;IF($D719="","reading type missing; ","")&amp;IF(COUNTIFS(scans!$C$2:$C$1601,$C719,scans!$D$2:$D$1601,$D719)&gt;1,"two readings of this type: keep one; ",""))</f>
        <v/>
      </c>
    </row>
    <row r="720" customFormat="false" ht="15" hidden="false" customHeight="false" outlineLevel="0" collapsed="false">
      <c r="A720" s="11"/>
      <c r="B720" s="38"/>
      <c r="D720" s="10"/>
      <c r="G720" s="30" t="str">
        <f aca="false">IF($C720="","",IFERROR(IF(INDEX(links!$A$2:$A$501,MATCH($C720,links!$D$2:$D$501,0))="","",INDEX(links!$A$2:$A$501,MATCH($C720,links!$D$2:$D$501,0))),""))</f>
        <v/>
      </c>
      <c r="H720" s="30" t="str">
        <f aca="false">IF($C720="","",IFERROR(IF(INDEX(links!$B$2:$B$501,MATCH($C720,links!$D$2:$D$501,0))="","",INDEX(links!$B$2:$B$501,MATCH($C720,links!$D$2:$D$501,0))),""))</f>
        <v/>
      </c>
      <c r="I720" s="30" t="str">
        <f aca="false">IF($C720="","",IFERROR(IF(INDEX(links!$C$2:$C$501,MATCH($C720,links!$D$2:$D$501,0))="","",INDEX(links!$C$2:$C$501,MATCH($C720,links!$D$2:$D$501,0))),""))</f>
        <v/>
      </c>
      <c r="J720" s="30" t="str">
        <f aca="false">IF($C720="","",IF($G720="","slug not in links; ","")&amp;IF($D720="","reading type missing; ","")&amp;IF(COUNTIFS(scans!$C$2:$C$1601,$C720,scans!$D$2:$D$1601,$D720)&gt;1,"two readings of this type: keep one; ",""))</f>
        <v/>
      </c>
    </row>
    <row r="721" customFormat="false" ht="15" hidden="false" customHeight="false" outlineLevel="0" collapsed="false">
      <c r="A721" s="11"/>
      <c r="B721" s="38"/>
      <c r="D721" s="10"/>
      <c r="G721" s="30" t="str">
        <f aca="false">IF($C721="","",IFERROR(IF(INDEX(links!$A$2:$A$501,MATCH($C721,links!$D$2:$D$501,0))="","",INDEX(links!$A$2:$A$501,MATCH($C721,links!$D$2:$D$501,0))),""))</f>
        <v/>
      </c>
      <c r="H721" s="30" t="str">
        <f aca="false">IF($C721="","",IFERROR(IF(INDEX(links!$B$2:$B$501,MATCH($C721,links!$D$2:$D$501,0))="","",INDEX(links!$B$2:$B$501,MATCH($C721,links!$D$2:$D$501,0))),""))</f>
        <v/>
      </c>
      <c r="I721" s="30" t="str">
        <f aca="false">IF($C721="","",IFERROR(IF(INDEX(links!$C$2:$C$501,MATCH($C721,links!$D$2:$D$501,0))="","",INDEX(links!$C$2:$C$501,MATCH($C721,links!$D$2:$D$501,0))),""))</f>
        <v/>
      </c>
      <c r="J721" s="30" t="str">
        <f aca="false">IF($C721="","",IF($G721="","slug not in links; ","")&amp;IF($D721="","reading type missing; ","")&amp;IF(COUNTIFS(scans!$C$2:$C$1601,$C721,scans!$D$2:$D$1601,$D721)&gt;1,"two readings of this type: keep one; ",""))</f>
        <v/>
      </c>
    </row>
    <row r="722" customFormat="false" ht="15" hidden="false" customHeight="false" outlineLevel="0" collapsed="false">
      <c r="A722" s="11"/>
      <c r="B722" s="38"/>
      <c r="D722" s="10"/>
      <c r="G722" s="30" t="str">
        <f aca="false">IF($C722="","",IFERROR(IF(INDEX(links!$A$2:$A$501,MATCH($C722,links!$D$2:$D$501,0))="","",INDEX(links!$A$2:$A$501,MATCH($C722,links!$D$2:$D$501,0))),""))</f>
        <v/>
      </c>
      <c r="H722" s="30" t="str">
        <f aca="false">IF($C722="","",IFERROR(IF(INDEX(links!$B$2:$B$501,MATCH($C722,links!$D$2:$D$501,0))="","",INDEX(links!$B$2:$B$501,MATCH($C722,links!$D$2:$D$501,0))),""))</f>
        <v/>
      </c>
      <c r="I722" s="30" t="str">
        <f aca="false">IF($C722="","",IFERROR(IF(INDEX(links!$C$2:$C$501,MATCH($C722,links!$D$2:$D$501,0))="","",INDEX(links!$C$2:$C$501,MATCH($C722,links!$D$2:$D$501,0))),""))</f>
        <v/>
      </c>
      <c r="J722" s="30" t="str">
        <f aca="false">IF($C722="","",IF($G722="","slug not in links; ","")&amp;IF($D722="","reading type missing; ","")&amp;IF(COUNTIFS(scans!$C$2:$C$1601,$C722,scans!$D$2:$D$1601,$D722)&gt;1,"two readings of this type: keep one; ",""))</f>
        <v/>
      </c>
    </row>
    <row r="723" customFormat="false" ht="15" hidden="false" customHeight="false" outlineLevel="0" collapsed="false">
      <c r="A723" s="11"/>
      <c r="B723" s="38"/>
      <c r="D723" s="10"/>
      <c r="G723" s="30" t="str">
        <f aca="false">IF($C723="","",IFERROR(IF(INDEX(links!$A$2:$A$501,MATCH($C723,links!$D$2:$D$501,0))="","",INDEX(links!$A$2:$A$501,MATCH($C723,links!$D$2:$D$501,0))),""))</f>
        <v/>
      </c>
      <c r="H723" s="30" t="str">
        <f aca="false">IF($C723="","",IFERROR(IF(INDEX(links!$B$2:$B$501,MATCH($C723,links!$D$2:$D$501,0))="","",INDEX(links!$B$2:$B$501,MATCH($C723,links!$D$2:$D$501,0))),""))</f>
        <v/>
      </c>
      <c r="I723" s="30" t="str">
        <f aca="false">IF($C723="","",IFERROR(IF(INDEX(links!$C$2:$C$501,MATCH($C723,links!$D$2:$D$501,0))="","",INDEX(links!$C$2:$C$501,MATCH($C723,links!$D$2:$D$501,0))),""))</f>
        <v/>
      </c>
      <c r="J723" s="30" t="str">
        <f aca="false">IF($C723="","",IF($G723="","slug not in links; ","")&amp;IF($D723="","reading type missing; ","")&amp;IF(COUNTIFS(scans!$C$2:$C$1601,$C723,scans!$D$2:$D$1601,$D723)&gt;1,"two readings of this type: keep one; ",""))</f>
        <v/>
      </c>
    </row>
    <row r="724" customFormat="false" ht="15" hidden="false" customHeight="false" outlineLevel="0" collapsed="false">
      <c r="A724" s="11"/>
      <c r="B724" s="38"/>
      <c r="D724" s="10"/>
      <c r="G724" s="30" t="str">
        <f aca="false">IF($C724="","",IFERROR(IF(INDEX(links!$A$2:$A$501,MATCH($C724,links!$D$2:$D$501,0))="","",INDEX(links!$A$2:$A$501,MATCH($C724,links!$D$2:$D$501,0))),""))</f>
        <v/>
      </c>
      <c r="H724" s="30" t="str">
        <f aca="false">IF($C724="","",IFERROR(IF(INDEX(links!$B$2:$B$501,MATCH($C724,links!$D$2:$D$501,0))="","",INDEX(links!$B$2:$B$501,MATCH($C724,links!$D$2:$D$501,0))),""))</f>
        <v/>
      </c>
      <c r="I724" s="30" t="str">
        <f aca="false">IF($C724="","",IFERROR(IF(INDEX(links!$C$2:$C$501,MATCH($C724,links!$D$2:$D$501,0))="","",INDEX(links!$C$2:$C$501,MATCH($C724,links!$D$2:$D$501,0))),""))</f>
        <v/>
      </c>
      <c r="J724" s="30" t="str">
        <f aca="false">IF($C724="","",IF($G724="","slug not in links; ","")&amp;IF($D724="","reading type missing; ","")&amp;IF(COUNTIFS(scans!$C$2:$C$1601,$C724,scans!$D$2:$D$1601,$D724)&gt;1,"two readings of this type: keep one; ",""))</f>
        <v/>
      </c>
    </row>
    <row r="725" customFormat="false" ht="15" hidden="false" customHeight="false" outlineLevel="0" collapsed="false">
      <c r="A725" s="11"/>
      <c r="B725" s="38"/>
      <c r="D725" s="10"/>
      <c r="G725" s="30" t="str">
        <f aca="false">IF($C725="","",IFERROR(IF(INDEX(links!$A$2:$A$501,MATCH($C725,links!$D$2:$D$501,0))="","",INDEX(links!$A$2:$A$501,MATCH($C725,links!$D$2:$D$501,0))),""))</f>
        <v/>
      </c>
      <c r="H725" s="30" t="str">
        <f aca="false">IF($C725="","",IFERROR(IF(INDEX(links!$B$2:$B$501,MATCH($C725,links!$D$2:$D$501,0))="","",INDEX(links!$B$2:$B$501,MATCH($C725,links!$D$2:$D$501,0))),""))</f>
        <v/>
      </c>
      <c r="I725" s="30" t="str">
        <f aca="false">IF($C725="","",IFERROR(IF(INDEX(links!$C$2:$C$501,MATCH($C725,links!$D$2:$D$501,0))="","",INDEX(links!$C$2:$C$501,MATCH($C725,links!$D$2:$D$501,0))),""))</f>
        <v/>
      </c>
      <c r="J725" s="30" t="str">
        <f aca="false">IF($C725="","",IF($G725="","slug not in links; ","")&amp;IF($D725="","reading type missing; ","")&amp;IF(COUNTIFS(scans!$C$2:$C$1601,$C725,scans!$D$2:$D$1601,$D725)&gt;1,"two readings of this type: keep one; ",""))</f>
        <v/>
      </c>
    </row>
    <row r="726" customFormat="false" ht="15" hidden="false" customHeight="false" outlineLevel="0" collapsed="false">
      <c r="A726" s="11"/>
      <c r="B726" s="38"/>
      <c r="D726" s="10"/>
      <c r="G726" s="30" t="str">
        <f aca="false">IF($C726="","",IFERROR(IF(INDEX(links!$A$2:$A$501,MATCH($C726,links!$D$2:$D$501,0))="","",INDEX(links!$A$2:$A$501,MATCH($C726,links!$D$2:$D$501,0))),""))</f>
        <v/>
      </c>
      <c r="H726" s="30" t="str">
        <f aca="false">IF($C726="","",IFERROR(IF(INDEX(links!$B$2:$B$501,MATCH($C726,links!$D$2:$D$501,0))="","",INDEX(links!$B$2:$B$501,MATCH($C726,links!$D$2:$D$501,0))),""))</f>
        <v/>
      </c>
      <c r="I726" s="30" t="str">
        <f aca="false">IF($C726="","",IFERROR(IF(INDEX(links!$C$2:$C$501,MATCH($C726,links!$D$2:$D$501,0))="","",INDEX(links!$C$2:$C$501,MATCH($C726,links!$D$2:$D$501,0))),""))</f>
        <v/>
      </c>
      <c r="J726" s="30" t="str">
        <f aca="false">IF($C726="","",IF($G726="","slug not in links; ","")&amp;IF($D726="","reading type missing; ","")&amp;IF(COUNTIFS(scans!$C$2:$C$1601,$C726,scans!$D$2:$D$1601,$D726)&gt;1,"two readings of this type: keep one; ",""))</f>
        <v/>
      </c>
    </row>
    <row r="727" customFormat="false" ht="15" hidden="false" customHeight="false" outlineLevel="0" collapsed="false">
      <c r="A727" s="11"/>
      <c r="B727" s="38"/>
      <c r="D727" s="10"/>
      <c r="G727" s="30" t="str">
        <f aca="false">IF($C727="","",IFERROR(IF(INDEX(links!$A$2:$A$501,MATCH($C727,links!$D$2:$D$501,0))="","",INDEX(links!$A$2:$A$501,MATCH($C727,links!$D$2:$D$501,0))),""))</f>
        <v/>
      </c>
      <c r="H727" s="30" t="str">
        <f aca="false">IF($C727="","",IFERROR(IF(INDEX(links!$B$2:$B$501,MATCH($C727,links!$D$2:$D$501,0))="","",INDEX(links!$B$2:$B$501,MATCH($C727,links!$D$2:$D$501,0))),""))</f>
        <v/>
      </c>
      <c r="I727" s="30" t="str">
        <f aca="false">IF($C727="","",IFERROR(IF(INDEX(links!$C$2:$C$501,MATCH($C727,links!$D$2:$D$501,0))="","",INDEX(links!$C$2:$C$501,MATCH($C727,links!$D$2:$D$501,0))),""))</f>
        <v/>
      </c>
      <c r="J727" s="30" t="str">
        <f aca="false">IF($C727="","",IF($G727="","slug not in links; ","")&amp;IF($D727="","reading type missing; ","")&amp;IF(COUNTIFS(scans!$C$2:$C$1601,$C727,scans!$D$2:$D$1601,$D727)&gt;1,"two readings of this type: keep one; ",""))</f>
        <v/>
      </c>
    </row>
    <row r="728" customFormat="false" ht="15" hidden="false" customHeight="false" outlineLevel="0" collapsed="false">
      <c r="A728" s="11"/>
      <c r="B728" s="38"/>
      <c r="D728" s="10"/>
      <c r="G728" s="30" t="str">
        <f aca="false">IF($C728="","",IFERROR(IF(INDEX(links!$A$2:$A$501,MATCH($C728,links!$D$2:$D$501,0))="","",INDEX(links!$A$2:$A$501,MATCH($C728,links!$D$2:$D$501,0))),""))</f>
        <v/>
      </c>
      <c r="H728" s="30" t="str">
        <f aca="false">IF($C728="","",IFERROR(IF(INDEX(links!$B$2:$B$501,MATCH($C728,links!$D$2:$D$501,0))="","",INDEX(links!$B$2:$B$501,MATCH($C728,links!$D$2:$D$501,0))),""))</f>
        <v/>
      </c>
      <c r="I728" s="30" t="str">
        <f aca="false">IF($C728="","",IFERROR(IF(INDEX(links!$C$2:$C$501,MATCH($C728,links!$D$2:$D$501,0))="","",INDEX(links!$C$2:$C$501,MATCH($C728,links!$D$2:$D$501,0))),""))</f>
        <v/>
      </c>
      <c r="J728" s="30" t="str">
        <f aca="false">IF($C728="","",IF($G728="","slug not in links; ","")&amp;IF($D728="","reading type missing; ","")&amp;IF(COUNTIFS(scans!$C$2:$C$1601,$C728,scans!$D$2:$D$1601,$D728)&gt;1,"two readings of this type: keep one; ",""))</f>
        <v/>
      </c>
    </row>
    <row r="729" customFormat="false" ht="15" hidden="false" customHeight="false" outlineLevel="0" collapsed="false">
      <c r="A729" s="11"/>
      <c r="B729" s="38"/>
      <c r="D729" s="10"/>
      <c r="G729" s="30" t="str">
        <f aca="false">IF($C729="","",IFERROR(IF(INDEX(links!$A$2:$A$501,MATCH($C729,links!$D$2:$D$501,0))="","",INDEX(links!$A$2:$A$501,MATCH($C729,links!$D$2:$D$501,0))),""))</f>
        <v/>
      </c>
      <c r="H729" s="30" t="str">
        <f aca="false">IF($C729="","",IFERROR(IF(INDEX(links!$B$2:$B$501,MATCH($C729,links!$D$2:$D$501,0))="","",INDEX(links!$B$2:$B$501,MATCH($C729,links!$D$2:$D$501,0))),""))</f>
        <v/>
      </c>
      <c r="I729" s="30" t="str">
        <f aca="false">IF($C729="","",IFERROR(IF(INDEX(links!$C$2:$C$501,MATCH($C729,links!$D$2:$D$501,0))="","",INDEX(links!$C$2:$C$501,MATCH($C729,links!$D$2:$D$501,0))),""))</f>
        <v/>
      </c>
      <c r="J729" s="30" t="str">
        <f aca="false">IF($C729="","",IF($G729="","slug not in links; ","")&amp;IF($D729="","reading type missing; ","")&amp;IF(COUNTIFS(scans!$C$2:$C$1601,$C729,scans!$D$2:$D$1601,$D729)&gt;1,"two readings of this type: keep one; ",""))</f>
        <v/>
      </c>
    </row>
    <row r="730" customFormat="false" ht="15" hidden="false" customHeight="false" outlineLevel="0" collapsed="false">
      <c r="A730" s="11"/>
      <c r="B730" s="38"/>
      <c r="D730" s="10"/>
      <c r="G730" s="30" t="str">
        <f aca="false">IF($C730="","",IFERROR(IF(INDEX(links!$A$2:$A$501,MATCH($C730,links!$D$2:$D$501,0))="","",INDEX(links!$A$2:$A$501,MATCH($C730,links!$D$2:$D$501,0))),""))</f>
        <v/>
      </c>
      <c r="H730" s="30" t="str">
        <f aca="false">IF($C730="","",IFERROR(IF(INDEX(links!$B$2:$B$501,MATCH($C730,links!$D$2:$D$501,0))="","",INDEX(links!$B$2:$B$501,MATCH($C730,links!$D$2:$D$501,0))),""))</f>
        <v/>
      </c>
      <c r="I730" s="30" t="str">
        <f aca="false">IF($C730="","",IFERROR(IF(INDEX(links!$C$2:$C$501,MATCH($C730,links!$D$2:$D$501,0))="","",INDEX(links!$C$2:$C$501,MATCH($C730,links!$D$2:$D$501,0))),""))</f>
        <v/>
      </c>
      <c r="J730" s="30" t="str">
        <f aca="false">IF($C730="","",IF($G730="","slug not in links; ","")&amp;IF($D730="","reading type missing; ","")&amp;IF(COUNTIFS(scans!$C$2:$C$1601,$C730,scans!$D$2:$D$1601,$D730)&gt;1,"two readings of this type: keep one; ",""))</f>
        <v/>
      </c>
    </row>
    <row r="731" customFormat="false" ht="15" hidden="false" customHeight="false" outlineLevel="0" collapsed="false">
      <c r="A731" s="11"/>
      <c r="B731" s="38"/>
      <c r="D731" s="10"/>
      <c r="G731" s="30" t="str">
        <f aca="false">IF($C731="","",IFERROR(IF(INDEX(links!$A$2:$A$501,MATCH($C731,links!$D$2:$D$501,0))="","",INDEX(links!$A$2:$A$501,MATCH($C731,links!$D$2:$D$501,0))),""))</f>
        <v/>
      </c>
      <c r="H731" s="30" t="str">
        <f aca="false">IF($C731="","",IFERROR(IF(INDEX(links!$B$2:$B$501,MATCH($C731,links!$D$2:$D$501,0))="","",INDEX(links!$B$2:$B$501,MATCH($C731,links!$D$2:$D$501,0))),""))</f>
        <v/>
      </c>
      <c r="I731" s="30" t="str">
        <f aca="false">IF($C731="","",IFERROR(IF(INDEX(links!$C$2:$C$501,MATCH($C731,links!$D$2:$D$501,0))="","",INDEX(links!$C$2:$C$501,MATCH($C731,links!$D$2:$D$501,0))),""))</f>
        <v/>
      </c>
      <c r="J731" s="30" t="str">
        <f aca="false">IF($C731="","",IF($G731="","slug not in links; ","")&amp;IF($D731="","reading type missing; ","")&amp;IF(COUNTIFS(scans!$C$2:$C$1601,$C731,scans!$D$2:$D$1601,$D731)&gt;1,"two readings of this type: keep one; ",""))</f>
        <v/>
      </c>
    </row>
    <row r="732" customFormat="false" ht="15" hidden="false" customHeight="false" outlineLevel="0" collapsed="false">
      <c r="A732" s="11"/>
      <c r="B732" s="38"/>
      <c r="D732" s="10"/>
      <c r="G732" s="30" t="str">
        <f aca="false">IF($C732="","",IFERROR(IF(INDEX(links!$A$2:$A$501,MATCH($C732,links!$D$2:$D$501,0))="","",INDEX(links!$A$2:$A$501,MATCH($C732,links!$D$2:$D$501,0))),""))</f>
        <v/>
      </c>
      <c r="H732" s="30" t="str">
        <f aca="false">IF($C732="","",IFERROR(IF(INDEX(links!$B$2:$B$501,MATCH($C732,links!$D$2:$D$501,0))="","",INDEX(links!$B$2:$B$501,MATCH($C732,links!$D$2:$D$501,0))),""))</f>
        <v/>
      </c>
      <c r="I732" s="30" t="str">
        <f aca="false">IF($C732="","",IFERROR(IF(INDEX(links!$C$2:$C$501,MATCH($C732,links!$D$2:$D$501,0))="","",INDEX(links!$C$2:$C$501,MATCH($C732,links!$D$2:$D$501,0))),""))</f>
        <v/>
      </c>
      <c r="J732" s="30" t="str">
        <f aca="false">IF($C732="","",IF($G732="","slug not in links; ","")&amp;IF($D732="","reading type missing; ","")&amp;IF(COUNTIFS(scans!$C$2:$C$1601,$C732,scans!$D$2:$D$1601,$D732)&gt;1,"two readings of this type: keep one; ",""))</f>
        <v/>
      </c>
    </row>
    <row r="733" customFormat="false" ht="15" hidden="false" customHeight="false" outlineLevel="0" collapsed="false">
      <c r="A733" s="11"/>
      <c r="B733" s="38"/>
      <c r="D733" s="10"/>
      <c r="G733" s="30" t="str">
        <f aca="false">IF($C733="","",IFERROR(IF(INDEX(links!$A$2:$A$501,MATCH($C733,links!$D$2:$D$501,0))="","",INDEX(links!$A$2:$A$501,MATCH($C733,links!$D$2:$D$501,0))),""))</f>
        <v/>
      </c>
      <c r="H733" s="30" t="str">
        <f aca="false">IF($C733="","",IFERROR(IF(INDEX(links!$B$2:$B$501,MATCH($C733,links!$D$2:$D$501,0))="","",INDEX(links!$B$2:$B$501,MATCH($C733,links!$D$2:$D$501,0))),""))</f>
        <v/>
      </c>
      <c r="I733" s="30" t="str">
        <f aca="false">IF($C733="","",IFERROR(IF(INDEX(links!$C$2:$C$501,MATCH($C733,links!$D$2:$D$501,0))="","",INDEX(links!$C$2:$C$501,MATCH($C733,links!$D$2:$D$501,0))),""))</f>
        <v/>
      </c>
      <c r="J733" s="30" t="str">
        <f aca="false">IF($C733="","",IF($G733="","slug not in links; ","")&amp;IF($D733="","reading type missing; ","")&amp;IF(COUNTIFS(scans!$C$2:$C$1601,$C733,scans!$D$2:$D$1601,$D733)&gt;1,"two readings of this type: keep one; ",""))</f>
        <v/>
      </c>
    </row>
    <row r="734" customFormat="false" ht="15" hidden="false" customHeight="false" outlineLevel="0" collapsed="false">
      <c r="A734" s="11"/>
      <c r="B734" s="38"/>
      <c r="D734" s="10"/>
      <c r="G734" s="30" t="str">
        <f aca="false">IF($C734="","",IFERROR(IF(INDEX(links!$A$2:$A$501,MATCH($C734,links!$D$2:$D$501,0))="","",INDEX(links!$A$2:$A$501,MATCH($C734,links!$D$2:$D$501,0))),""))</f>
        <v/>
      </c>
      <c r="H734" s="30" t="str">
        <f aca="false">IF($C734="","",IFERROR(IF(INDEX(links!$B$2:$B$501,MATCH($C734,links!$D$2:$D$501,0))="","",INDEX(links!$B$2:$B$501,MATCH($C734,links!$D$2:$D$501,0))),""))</f>
        <v/>
      </c>
      <c r="I734" s="30" t="str">
        <f aca="false">IF($C734="","",IFERROR(IF(INDEX(links!$C$2:$C$501,MATCH($C734,links!$D$2:$D$501,0))="","",INDEX(links!$C$2:$C$501,MATCH($C734,links!$D$2:$D$501,0))),""))</f>
        <v/>
      </c>
      <c r="J734" s="30" t="str">
        <f aca="false">IF($C734="","",IF($G734="","slug not in links; ","")&amp;IF($D734="","reading type missing; ","")&amp;IF(COUNTIFS(scans!$C$2:$C$1601,$C734,scans!$D$2:$D$1601,$D734)&gt;1,"two readings of this type: keep one; ",""))</f>
        <v/>
      </c>
    </row>
    <row r="735" customFormat="false" ht="15" hidden="false" customHeight="false" outlineLevel="0" collapsed="false">
      <c r="A735" s="11"/>
      <c r="B735" s="38"/>
      <c r="D735" s="10"/>
      <c r="G735" s="30" t="str">
        <f aca="false">IF($C735="","",IFERROR(IF(INDEX(links!$A$2:$A$501,MATCH($C735,links!$D$2:$D$501,0))="","",INDEX(links!$A$2:$A$501,MATCH($C735,links!$D$2:$D$501,0))),""))</f>
        <v/>
      </c>
      <c r="H735" s="30" t="str">
        <f aca="false">IF($C735="","",IFERROR(IF(INDEX(links!$B$2:$B$501,MATCH($C735,links!$D$2:$D$501,0))="","",INDEX(links!$B$2:$B$501,MATCH($C735,links!$D$2:$D$501,0))),""))</f>
        <v/>
      </c>
      <c r="I735" s="30" t="str">
        <f aca="false">IF($C735="","",IFERROR(IF(INDEX(links!$C$2:$C$501,MATCH($C735,links!$D$2:$D$501,0))="","",INDEX(links!$C$2:$C$501,MATCH($C735,links!$D$2:$D$501,0))),""))</f>
        <v/>
      </c>
      <c r="J735" s="30" t="str">
        <f aca="false">IF($C735="","",IF($G735="","slug not in links; ","")&amp;IF($D735="","reading type missing; ","")&amp;IF(COUNTIFS(scans!$C$2:$C$1601,$C735,scans!$D$2:$D$1601,$D735)&gt;1,"two readings of this type: keep one; ",""))</f>
        <v/>
      </c>
    </row>
    <row r="736" customFormat="false" ht="15" hidden="false" customHeight="false" outlineLevel="0" collapsed="false">
      <c r="A736" s="11"/>
      <c r="B736" s="38"/>
      <c r="D736" s="10"/>
      <c r="G736" s="30" t="str">
        <f aca="false">IF($C736="","",IFERROR(IF(INDEX(links!$A$2:$A$501,MATCH($C736,links!$D$2:$D$501,0))="","",INDEX(links!$A$2:$A$501,MATCH($C736,links!$D$2:$D$501,0))),""))</f>
        <v/>
      </c>
      <c r="H736" s="30" t="str">
        <f aca="false">IF($C736="","",IFERROR(IF(INDEX(links!$B$2:$B$501,MATCH($C736,links!$D$2:$D$501,0))="","",INDEX(links!$B$2:$B$501,MATCH($C736,links!$D$2:$D$501,0))),""))</f>
        <v/>
      </c>
      <c r="I736" s="30" t="str">
        <f aca="false">IF($C736="","",IFERROR(IF(INDEX(links!$C$2:$C$501,MATCH($C736,links!$D$2:$D$501,0))="","",INDEX(links!$C$2:$C$501,MATCH($C736,links!$D$2:$D$501,0))),""))</f>
        <v/>
      </c>
      <c r="J736" s="30" t="str">
        <f aca="false">IF($C736="","",IF($G736="","slug not in links; ","")&amp;IF($D736="","reading type missing; ","")&amp;IF(COUNTIFS(scans!$C$2:$C$1601,$C736,scans!$D$2:$D$1601,$D736)&gt;1,"two readings of this type: keep one; ",""))</f>
        <v/>
      </c>
    </row>
    <row r="737" customFormat="false" ht="15" hidden="false" customHeight="false" outlineLevel="0" collapsed="false">
      <c r="A737" s="11"/>
      <c r="B737" s="38"/>
      <c r="D737" s="10"/>
      <c r="G737" s="30" t="str">
        <f aca="false">IF($C737="","",IFERROR(IF(INDEX(links!$A$2:$A$501,MATCH($C737,links!$D$2:$D$501,0))="","",INDEX(links!$A$2:$A$501,MATCH($C737,links!$D$2:$D$501,0))),""))</f>
        <v/>
      </c>
      <c r="H737" s="30" t="str">
        <f aca="false">IF($C737="","",IFERROR(IF(INDEX(links!$B$2:$B$501,MATCH($C737,links!$D$2:$D$501,0))="","",INDEX(links!$B$2:$B$501,MATCH($C737,links!$D$2:$D$501,0))),""))</f>
        <v/>
      </c>
      <c r="I737" s="30" t="str">
        <f aca="false">IF($C737="","",IFERROR(IF(INDEX(links!$C$2:$C$501,MATCH($C737,links!$D$2:$D$501,0))="","",INDEX(links!$C$2:$C$501,MATCH($C737,links!$D$2:$D$501,0))),""))</f>
        <v/>
      </c>
      <c r="J737" s="30" t="str">
        <f aca="false">IF($C737="","",IF($G737="","slug not in links; ","")&amp;IF($D737="","reading type missing; ","")&amp;IF(COUNTIFS(scans!$C$2:$C$1601,$C737,scans!$D$2:$D$1601,$D737)&gt;1,"two readings of this type: keep one; ",""))</f>
        <v/>
      </c>
    </row>
    <row r="738" customFormat="false" ht="15" hidden="false" customHeight="false" outlineLevel="0" collapsed="false">
      <c r="A738" s="11"/>
      <c r="B738" s="38"/>
      <c r="D738" s="10"/>
      <c r="G738" s="30" t="str">
        <f aca="false">IF($C738="","",IFERROR(IF(INDEX(links!$A$2:$A$501,MATCH($C738,links!$D$2:$D$501,0))="","",INDEX(links!$A$2:$A$501,MATCH($C738,links!$D$2:$D$501,0))),""))</f>
        <v/>
      </c>
      <c r="H738" s="30" t="str">
        <f aca="false">IF($C738="","",IFERROR(IF(INDEX(links!$B$2:$B$501,MATCH($C738,links!$D$2:$D$501,0))="","",INDEX(links!$B$2:$B$501,MATCH($C738,links!$D$2:$D$501,0))),""))</f>
        <v/>
      </c>
      <c r="I738" s="30" t="str">
        <f aca="false">IF($C738="","",IFERROR(IF(INDEX(links!$C$2:$C$501,MATCH($C738,links!$D$2:$D$501,0))="","",INDEX(links!$C$2:$C$501,MATCH($C738,links!$D$2:$D$501,0))),""))</f>
        <v/>
      </c>
      <c r="J738" s="30" t="str">
        <f aca="false">IF($C738="","",IF($G738="","slug not in links; ","")&amp;IF($D738="","reading type missing; ","")&amp;IF(COUNTIFS(scans!$C$2:$C$1601,$C738,scans!$D$2:$D$1601,$D738)&gt;1,"two readings of this type: keep one; ",""))</f>
        <v/>
      </c>
    </row>
    <row r="739" customFormat="false" ht="15" hidden="false" customHeight="false" outlineLevel="0" collapsed="false">
      <c r="A739" s="11"/>
      <c r="B739" s="38"/>
      <c r="D739" s="10"/>
      <c r="G739" s="30" t="str">
        <f aca="false">IF($C739="","",IFERROR(IF(INDEX(links!$A$2:$A$501,MATCH($C739,links!$D$2:$D$501,0))="","",INDEX(links!$A$2:$A$501,MATCH($C739,links!$D$2:$D$501,0))),""))</f>
        <v/>
      </c>
      <c r="H739" s="30" t="str">
        <f aca="false">IF($C739="","",IFERROR(IF(INDEX(links!$B$2:$B$501,MATCH($C739,links!$D$2:$D$501,0))="","",INDEX(links!$B$2:$B$501,MATCH($C739,links!$D$2:$D$501,0))),""))</f>
        <v/>
      </c>
      <c r="I739" s="30" t="str">
        <f aca="false">IF($C739="","",IFERROR(IF(INDEX(links!$C$2:$C$501,MATCH($C739,links!$D$2:$D$501,0))="","",INDEX(links!$C$2:$C$501,MATCH($C739,links!$D$2:$D$501,0))),""))</f>
        <v/>
      </c>
      <c r="J739" s="30" t="str">
        <f aca="false">IF($C739="","",IF($G739="","slug not in links; ","")&amp;IF($D739="","reading type missing; ","")&amp;IF(COUNTIFS(scans!$C$2:$C$1601,$C739,scans!$D$2:$D$1601,$D739)&gt;1,"two readings of this type: keep one; ",""))</f>
        <v/>
      </c>
    </row>
    <row r="740" customFormat="false" ht="15" hidden="false" customHeight="false" outlineLevel="0" collapsed="false">
      <c r="A740" s="11"/>
      <c r="B740" s="38"/>
      <c r="D740" s="10"/>
      <c r="G740" s="30" t="str">
        <f aca="false">IF($C740="","",IFERROR(IF(INDEX(links!$A$2:$A$501,MATCH($C740,links!$D$2:$D$501,0))="","",INDEX(links!$A$2:$A$501,MATCH($C740,links!$D$2:$D$501,0))),""))</f>
        <v/>
      </c>
      <c r="H740" s="30" t="str">
        <f aca="false">IF($C740="","",IFERROR(IF(INDEX(links!$B$2:$B$501,MATCH($C740,links!$D$2:$D$501,0))="","",INDEX(links!$B$2:$B$501,MATCH($C740,links!$D$2:$D$501,0))),""))</f>
        <v/>
      </c>
      <c r="I740" s="30" t="str">
        <f aca="false">IF($C740="","",IFERROR(IF(INDEX(links!$C$2:$C$501,MATCH($C740,links!$D$2:$D$501,0))="","",INDEX(links!$C$2:$C$501,MATCH($C740,links!$D$2:$D$501,0))),""))</f>
        <v/>
      </c>
      <c r="J740" s="30" t="str">
        <f aca="false">IF($C740="","",IF($G740="","slug not in links; ","")&amp;IF($D740="","reading type missing; ","")&amp;IF(COUNTIFS(scans!$C$2:$C$1601,$C740,scans!$D$2:$D$1601,$D740)&gt;1,"two readings of this type: keep one; ",""))</f>
        <v/>
      </c>
    </row>
    <row r="741" customFormat="false" ht="15" hidden="false" customHeight="false" outlineLevel="0" collapsed="false">
      <c r="A741" s="11"/>
      <c r="B741" s="38"/>
      <c r="D741" s="10"/>
      <c r="G741" s="30" t="str">
        <f aca="false">IF($C741="","",IFERROR(IF(INDEX(links!$A$2:$A$501,MATCH($C741,links!$D$2:$D$501,0))="","",INDEX(links!$A$2:$A$501,MATCH($C741,links!$D$2:$D$501,0))),""))</f>
        <v/>
      </c>
      <c r="H741" s="30" t="str">
        <f aca="false">IF($C741="","",IFERROR(IF(INDEX(links!$B$2:$B$501,MATCH($C741,links!$D$2:$D$501,0))="","",INDEX(links!$B$2:$B$501,MATCH($C741,links!$D$2:$D$501,0))),""))</f>
        <v/>
      </c>
      <c r="I741" s="30" t="str">
        <f aca="false">IF($C741="","",IFERROR(IF(INDEX(links!$C$2:$C$501,MATCH($C741,links!$D$2:$D$501,0))="","",INDEX(links!$C$2:$C$501,MATCH($C741,links!$D$2:$D$501,0))),""))</f>
        <v/>
      </c>
      <c r="J741" s="30" t="str">
        <f aca="false">IF($C741="","",IF($G741="","slug not in links; ","")&amp;IF($D741="","reading type missing; ","")&amp;IF(COUNTIFS(scans!$C$2:$C$1601,$C741,scans!$D$2:$D$1601,$D741)&gt;1,"two readings of this type: keep one; ",""))</f>
        <v/>
      </c>
    </row>
    <row r="742" customFormat="false" ht="15" hidden="false" customHeight="false" outlineLevel="0" collapsed="false">
      <c r="A742" s="11"/>
      <c r="B742" s="38"/>
      <c r="D742" s="10"/>
      <c r="G742" s="30" t="str">
        <f aca="false">IF($C742="","",IFERROR(IF(INDEX(links!$A$2:$A$501,MATCH($C742,links!$D$2:$D$501,0))="","",INDEX(links!$A$2:$A$501,MATCH($C742,links!$D$2:$D$501,0))),""))</f>
        <v/>
      </c>
      <c r="H742" s="30" t="str">
        <f aca="false">IF($C742="","",IFERROR(IF(INDEX(links!$B$2:$B$501,MATCH($C742,links!$D$2:$D$501,0))="","",INDEX(links!$B$2:$B$501,MATCH($C742,links!$D$2:$D$501,0))),""))</f>
        <v/>
      </c>
      <c r="I742" s="30" t="str">
        <f aca="false">IF($C742="","",IFERROR(IF(INDEX(links!$C$2:$C$501,MATCH($C742,links!$D$2:$D$501,0))="","",INDEX(links!$C$2:$C$501,MATCH($C742,links!$D$2:$D$501,0))),""))</f>
        <v/>
      </c>
      <c r="J742" s="30" t="str">
        <f aca="false">IF($C742="","",IF($G742="","slug not in links; ","")&amp;IF($D742="","reading type missing; ","")&amp;IF(COUNTIFS(scans!$C$2:$C$1601,$C742,scans!$D$2:$D$1601,$D742)&gt;1,"two readings of this type: keep one; ",""))</f>
        <v/>
      </c>
    </row>
    <row r="743" customFormat="false" ht="15" hidden="false" customHeight="false" outlineLevel="0" collapsed="false">
      <c r="A743" s="11"/>
      <c r="B743" s="38"/>
      <c r="D743" s="10"/>
      <c r="G743" s="30" t="str">
        <f aca="false">IF($C743="","",IFERROR(IF(INDEX(links!$A$2:$A$501,MATCH($C743,links!$D$2:$D$501,0))="","",INDEX(links!$A$2:$A$501,MATCH($C743,links!$D$2:$D$501,0))),""))</f>
        <v/>
      </c>
      <c r="H743" s="30" t="str">
        <f aca="false">IF($C743="","",IFERROR(IF(INDEX(links!$B$2:$B$501,MATCH($C743,links!$D$2:$D$501,0))="","",INDEX(links!$B$2:$B$501,MATCH($C743,links!$D$2:$D$501,0))),""))</f>
        <v/>
      </c>
      <c r="I743" s="30" t="str">
        <f aca="false">IF($C743="","",IFERROR(IF(INDEX(links!$C$2:$C$501,MATCH($C743,links!$D$2:$D$501,0))="","",INDEX(links!$C$2:$C$501,MATCH($C743,links!$D$2:$D$501,0))),""))</f>
        <v/>
      </c>
      <c r="J743" s="30" t="str">
        <f aca="false">IF($C743="","",IF($G743="","slug not in links; ","")&amp;IF($D743="","reading type missing; ","")&amp;IF(COUNTIFS(scans!$C$2:$C$1601,$C743,scans!$D$2:$D$1601,$D743)&gt;1,"two readings of this type: keep one; ",""))</f>
        <v/>
      </c>
    </row>
    <row r="744" customFormat="false" ht="15" hidden="false" customHeight="false" outlineLevel="0" collapsed="false">
      <c r="A744" s="11"/>
      <c r="B744" s="38"/>
      <c r="D744" s="10"/>
      <c r="G744" s="30" t="str">
        <f aca="false">IF($C744="","",IFERROR(IF(INDEX(links!$A$2:$A$501,MATCH($C744,links!$D$2:$D$501,0))="","",INDEX(links!$A$2:$A$501,MATCH($C744,links!$D$2:$D$501,0))),""))</f>
        <v/>
      </c>
      <c r="H744" s="30" t="str">
        <f aca="false">IF($C744="","",IFERROR(IF(INDEX(links!$B$2:$B$501,MATCH($C744,links!$D$2:$D$501,0))="","",INDEX(links!$B$2:$B$501,MATCH($C744,links!$D$2:$D$501,0))),""))</f>
        <v/>
      </c>
      <c r="I744" s="30" t="str">
        <f aca="false">IF($C744="","",IFERROR(IF(INDEX(links!$C$2:$C$501,MATCH($C744,links!$D$2:$D$501,0))="","",INDEX(links!$C$2:$C$501,MATCH($C744,links!$D$2:$D$501,0))),""))</f>
        <v/>
      </c>
      <c r="J744" s="30" t="str">
        <f aca="false">IF($C744="","",IF($G744="","slug not in links; ","")&amp;IF($D744="","reading type missing; ","")&amp;IF(COUNTIFS(scans!$C$2:$C$1601,$C744,scans!$D$2:$D$1601,$D744)&gt;1,"two readings of this type: keep one; ",""))</f>
        <v/>
      </c>
    </row>
    <row r="745" customFormat="false" ht="15" hidden="false" customHeight="false" outlineLevel="0" collapsed="false">
      <c r="A745" s="11"/>
      <c r="B745" s="38"/>
      <c r="D745" s="10"/>
      <c r="G745" s="30" t="str">
        <f aca="false">IF($C745="","",IFERROR(IF(INDEX(links!$A$2:$A$501,MATCH($C745,links!$D$2:$D$501,0))="","",INDEX(links!$A$2:$A$501,MATCH($C745,links!$D$2:$D$501,0))),""))</f>
        <v/>
      </c>
      <c r="H745" s="30" t="str">
        <f aca="false">IF($C745="","",IFERROR(IF(INDEX(links!$B$2:$B$501,MATCH($C745,links!$D$2:$D$501,0))="","",INDEX(links!$B$2:$B$501,MATCH($C745,links!$D$2:$D$501,0))),""))</f>
        <v/>
      </c>
      <c r="I745" s="30" t="str">
        <f aca="false">IF($C745="","",IFERROR(IF(INDEX(links!$C$2:$C$501,MATCH($C745,links!$D$2:$D$501,0))="","",INDEX(links!$C$2:$C$501,MATCH($C745,links!$D$2:$D$501,0))),""))</f>
        <v/>
      </c>
      <c r="J745" s="30" t="str">
        <f aca="false">IF($C745="","",IF($G745="","slug not in links; ","")&amp;IF($D745="","reading type missing; ","")&amp;IF(COUNTIFS(scans!$C$2:$C$1601,$C745,scans!$D$2:$D$1601,$D745)&gt;1,"two readings of this type: keep one; ",""))</f>
        <v/>
      </c>
    </row>
    <row r="746" customFormat="false" ht="15" hidden="false" customHeight="false" outlineLevel="0" collapsed="false">
      <c r="A746" s="11"/>
      <c r="B746" s="38"/>
      <c r="D746" s="10"/>
      <c r="G746" s="30" t="str">
        <f aca="false">IF($C746="","",IFERROR(IF(INDEX(links!$A$2:$A$501,MATCH($C746,links!$D$2:$D$501,0))="","",INDEX(links!$A$2:$A$501,MATCH($C746,links!$D$2:$D$501,0))),""))</f>
        <v/>
      </c>
      <c r="H746" s="30" t="str">
        <f aca="false">IF($C746="","",IFERROR(IF(INDEX(links!$B$2:$B$501,MATCH($C746,links!$D$2:$D$501,0))="","",INDEX(links!$B$2:$B$501,MATCH($C746,links!$D$2:$D$501,0))),""))</f>
        <v/>
      </c>
      <c r="I746" s="30" t="str">
        <f aca="false">IF($C746="","",IFERROR(IF(INDEX(links!$C$2:$C$501,MATCH($C746,links!$D$2:$D$501,0))="","",INDEX(links!$C$2:$C$501,MATCH($C746,links!$D$2:$D$501,0))),""))</f>
        <v/>
      </c>
      <c r="J746" s="30" t="str">
        <f aca="false">IF($C746="","",IF($G746="","slug not in links; ","")&amp;IF($D746="","reading type missing; ","")&amp;IF(COUNTIFS(scans!$C$2:$C$1601,$C746,scans!$D$2:$D$1601,$D746)&gt;1,"two readings of this type: keep one; ",""))</f>
        <v/>
      </c>
    </row>
    <row r="747" customFormat="false" ht="15" hidden="false" customHeight="false" outlineLevel="0" collapsed="false">
      <c r="A747" s="11"/>
      <c r="B747" s="38"/>
      <c r="D747" s="10"/>
      <c r="G747" s="30" t="str">
        <f aca="false">IF($C747="","",IFERROR(IF(INDEX(links!$A$2:$A$501,MATCH($C747,links!$D$2:$D$501,0))="","",INDEX(links!$A$2:$A$501,MATCH($C747,links!$D$2:$D$501,0))),""))</f>
        <v/>
      </c>
      <c r="H747" s="30" t="str">
        <f aca="false">IF($C747="","",IFERROR(IF(INDEX(links!$B$2:$B$501,MATCH($C747,links!$D$2:$D$501,0))="","",INDEX(links!$B$2:$B$501,MATCH($C747,links!$D$2:$D$501,0))),""))</f>
        <v/>
      </c>
      <c r="I747" s="30" t="str">
        <f aca="false">IF($C747="","",IFERROR(IF(INDEX(links!$C$2:$C$501,MATCH($C747,links!$D$2:$D$501,0))="","",INDEX(links!$C$2:$C$501,MATCH($C747,links!$D$2:$D$501,0))),""))</f>
        <v/>
      </c>
      <c r="J747" s="30" t="str">
        <f aca="false">IF($C747="","",IF($G747="","slug not in links; ","")&amp;IF($D747="","reading type missing; ","")&amp;IF(COUNTIFS(scans!$C$2:$C$1601,$C747,scans!$D$2:$D$1601,$D747)&gt;1,"two readings of this type: keep one; ",""))</f>
        <v/>
      </c>
    </row>
    <row r="748" customFormat="false" ht="15" hidden="false" customHeight="false" outlineLevel="0" collapsed="false">
      <c r="A748" s="11"/>
      <c r="B748" s="38"/>
      <c r="D748" s="10"/>
      <c r="G748" s="30" t="str">
        <f aca="false">IF($C748="","",IFERROR(IF(INDEX(links!$A$2:$A$501,MATCH($C748,links!$D$2:$D$501,0))="","",INDEX(links!$A$2:$A$501,MATCH($C748,links!$D$2:$D$501,0))),""))</f>
        <v/>
      </c>
      <c r="H748" s="30" t="str">
        <f aca="false">IF($C748="","",IFERROR(IF(INDEX(links!$B$2:$B$501,MATCH($C748,links!$D$2:$D$501,0))="","",INDEX(links!$B$2:$B$501,MATCH($C748,links!$D$2:$D$501,0))),""))</f>
        <v/>
      </c>
      <c r="I748" s="30" t="str">
        <f aca="false">IF($C748="","",IFERROR(IF(INDEX(links!$C$2:$C$501,MATCH($C748,links!$D$2:$D$501,0))="","",INDEX(links!$C$2:$C$501,MATCH($C748,links!$D$2:$D$501,0))),""))</f>
        <v/>
      </c>
      <c r="J748" s="30" t="str">
        <f aca="false">IF($C748="","",IF($G748="","slug not in links; ","")&amp;IF($D748="","reading type missing; ","")&amp;IF(COUNTIFS(scans!$C$2:$C$1601,$C748,scans!$D$2:$D$1601,$D748)&gt;1,"two readings of this type: keep one; ",""))</f>
        <v/>
      </c>
    </row>
    <row r="749" customFormat="false" ht="15" hidden="false" customHeight="false" outlineLevel="0" collapsed="false">
      <c r="A749" s="11"/>
      <c r="B749" s="38"/>
      <c r="D749" s="10"/>
      <c r="G749" s="30" t="str">
        <f aca="false">IF($C749="","",IFERROR(IF(INDEX(links!$A$2:$A$501,MATCH($C749,links!$D$2:$D$501,0))="","",INDEX(links!$A$2:$A$501,MATCH($C749,links!$D$2:$D$501,0))),""))</f>
        <v/>
      </c>
      <c r="H749" s="30" t="str">
        <f aca="false">IF($C749="","",IFERROR(IF(INDEX(links!$B$2:$B$501,MATCH($C749,links!$D$2:$D$501,0))="","",INDEX(links!$B$2:$B$501,MATCH($C749,links!$D$2:$D$501,0))),""))</f>
        <v/>
      </c>
      <c r="I749" s="30" t="str">
        <f aca="false">IF($C749="","",IFERROR(IF(INDEX(links!$C$2:$C$501,MATCH($C749,links!$D$2:$D$501,0))="","",INDEX(links!$C$2:$C$501,MATCH($C749,links!$D$2:$D$501,0))),""))</f>
        <v/>
      </c>
      <c r="J749" s="30" t="str">
        <f aca="false">IF($C749="","",IF($G749="","slug not in links; ","")&amp;IF($D749="","reading type missing; ","")&amp;IF(COUNTIFS(scans!$C$2:$C$1601,$C749,scans!$D$2:$D$1601,$D749)&gt;1,"two readings of this type: keep one; ",""))</f>
        <v/>
      </c>
    </row>
    <row r="750" customFormat="false" ht="15" hidden="false" customHeight="false" outlineLevel="0" collapsed="false">
      <c r="A750" s="11"/>
      <c r="B750" s="38"/>
      <c r="D750" s="10"/>
      <c r="G750" s="30" t="str">
        <f aca="false">IF($C750="","",IFERROR(IF(INDEX(links!$A$2:$A$501,MATCH($C750,links!$D$2:$D$501,0))="","",INDEX(links!$A$2:$A$501,MATCH($C750,links!$D$2:$D$501,0))),""))</f>
        <v/>
      </c>
      <c r="H750" s="30" t="str">
        <f aca="false">IF($C750="","",IFERROR(IF(INDEX(links!$B$2:$B$501,MATCH($C750,links!$D$2:$D$501,0))="","",INDEX(links!$B$2:$B$501,MATCH($C750,links!$D$2:$D$501,0))),""))</f>
        <v/>
      </c>
      <c r="I750" s="30" t="str">
        <f aca="false">IF($C750="","",IFERROR(IF(INDEX(links!$C$2:$C$501,MATCH($C750,links!$D$2:$D$501,0))="","",INDEX(links!$C$2:$C$501,MATCH($C750,links!$D$2:$D$501,0))),""))</f>
        <v/>
      </c>
      <c r="J750" s="30" t="str">
        <f aca="false">IF($C750="","",IF($G750="","slug not in links; ","")&amp;IF($D750="","reading type missing; ","")&amp;IF(COUNTIFS(scans!$C$2:$C$1601,$C750,scans!$D$2:$D$1601,$D750)&gt;1,"two readings of this type: keep one; ",""))</f>
        <v/>
      </c>
    </row>
    <row r="751" customFormat="false" ht="15" hidden="false" customHeight="false" outlineLevel="0" collapsed="false">
      <c r="A751" s="11"/>
      <c r="B751" s="38"/>
      <c r="D751" s="10"/>
      <c r="G751" s="30" t="str">
        <f aca="false">IF($C751="","",IFERROR(IF(INDEX(links!$A$2:$A$501,MATCH($C751,links!$D$2:$D$501,0))="","",INDEX(links!$A$2:$A$501,MATCH($C751,links!$D$2:$D$501,0))),""))</f>
        <v/>
      </c>
      <c r="H751" s="30" t="str">
        <f aca="false">IF($C751="","",IFERROR(IF(INDEX(links!$B$2:$B$501,MATCH($C751,links!$D$2:$D$501,0))="","",INDEX(links!$B$2:$B$501,MATCH($C751,links!$D$2:$D$501,0))),""))</f>
        <v/>
      </c>
      <c r="I751" s="30" t="str">
        <f aca="false">IF($C751="","",IFERROR(IF(INDEX(links!$C$2:$C$501,MATCH($C751,links!$D$2:$D$501,0))="","",INDEX(links!$C$2:$C$501,MATCH($C751,links!$D$2:$D$501,0))),""))</f>
        <v/>
      </c>
      <c r="J751" s="30" t="str">
        <f aca="false">IF($C751="","",IF($G751="","slug not in links; ","")&amp;IF($D751="","reading type missing; ","")&amp;IF(COUNTIFS(scans!$C$2:$C$1601,$C751,scans!$D$2:$D$1601,$D751)&gt;1,"two readings of this type: keep one; ",""))</f>
        <v/>
      </c>
    </row>
    <row r="752" customFormat="false" ht="15" hidden="false" customHeight="false" outlineLevel="0" collapsed="false">
      <c r="A752" s="11"/>
      <c r="B752" s="38"/>
      <c r="D752" s="10"/>
      <c r="G752" s="30" t="str">
        <f aca="false">IF($C752="","",IFERROR(IF(INDEX(links!$A$2:$A$501,MATCH($C752,links!$D$2:$D$501,0))="","",INDEX(links!$A$2:$A$501,MATCH($C752,links!$D$2:$D$501,0))),""))</f>
        <v/>
      </c>
      <c r="H752" s="30" t="str">
        <f aca="false">IF($C752="","",IFERROR(IF(INDEX(links!$B$2:$B$501,MATCH($C752,links!$D$2:$D$501,0))="","",INDEX(links!$B$2:$B$501,MATCH($C752,links!$D$2:$D$501,0))),""))</f>
        <v/>
      </c>
      <c r="I752" s="30" t="str">
        <f aca="false">IF($C752="","",IFERROR(IF(INDEX(links!$C$2:$C$501,MATCH($C752,links!$D$2:$D$501,0))="","",INDEX(links!$C$2:$C$501,MATCH($C752,links!$D$2:$D$501,0))),""))</f>
        <v/>
      </c>
      <c r="J752" s="30" t="str">
        <f aca="false">IF($C752="","",IF($G752="","slug not in links; ","")&amp;IF($D752="","reading type missing; ","")&amp;IF(COUNTIFS(scans!$C$2:$C$1601,$C752,scans!$D$2:$D$1601,$D752)&gt;1,"two readings of this type: keep one; ",""))</f>
        <v/>
      </c>
    </row>
    <row r="753" customFormat="false" ht="15" hidden="false" customHeight="false" outlineLevel="0" collapsed="false">
      <c r="A753" s="11"/>
      <c r="B753" s="38"/>
      <c r="D753" s="10"/>
      <c r="G753" s="30" t="str">
        <f aca="false">IF($C753="","",IFERROR(IF(INDEX(links!$A$2:$A$501,MATCH($C753,links!$D$2:$D$501,0))="","",INDEX(links!$A$2:$A$501,MATCH($C753,links!$D$2:$D$501,0))),""))</f>
        <v/>
      </c>
      <c r="H753" s="30" t="str">
        <f aca="false">IF($C753="","",IFERROR(IF(INDEX(links!$B$2:$B$501,MATCH($C753,links!$D$2:$D$501,0))="","",INDEX(links!$B$2:$B$501,MATCH($C753,links!$D$2:$D$501,0))),""))</f>
        <v/>
      </c>
      <c r="I753" s="30" t="str">
        <f aca="false">IF($C753="","",IFERROR(IF(INDEX(links!$C$2:$C$501,MATCH($C753,links!$D$2:$D$501,0))="","",INDEX(links!$C$2:$C$501,MATCH($C753,links!$D$2:$D$501,0))),""))</f>
        <v/>
      </c>
      <c r="J753" s="30" t="str">
        <f aca="false">IF($C753="","",IF($G753="","slug not in links; ","")&amp;IF($D753="","reading type missing; ","")&amp;IF(COUNTIFS(scans!$C$2:$C$1601,$C753,scans!$D$2:$D$1601,$D753)&gt;1,"two readings of this type: keep one; ",""))</f>
        <v/>
      </c>
    </row>
    <row r="754" customFormat="false" ht="15" hidden="false" customHeight="false" outlineLevel="0" collapsed="false">
      <c r="A754" s="11"/>
      <c r="B754" s="38"/>
      <c r="D754" s="10"/>
      <c r="G754" s="30" t="str">
        <f aca="false">IF($C754="","",IFERROR(IF(INDEX(links!$A$2:$A$501,MATCH($C754,links!$D$2:$D$501,0))="","",INDEX(links!$A$2:$A$501,MATCH($C754,links!$D$2:$D$501,0))),""))</f>
        <v/>
      </c>
      <c r="H754" s="30" t="str">
        <f aca="false">IF($C754="","",IFERROR(IF(INDEX(links!$B$2:$B$501,MATCH($C754,links!$D$2:$D$501,0))="","",INDEX(links!$B$2:$B$501,MATCH($C754,links!$D$2:$D$501,0))),""))</f>
        <v/>
      </c>
      <c r="I754" s="30" t="str">
        <f aca="false">IF($C754="","",IFERROR(IF(INDEX(links!$C$2:$C$501,MATCH($C754,links!$D$2:$D$501,0))="","",INDEX(links!$C$2:$C$501,MATCH($C754,links!$D$2:$D$501,0))),""))</f>
        <v/>
      </c>
      <c r="J754" s="30" t="str">
        <f aca="false">IF($C754="","",IF($G754="","slug not in links; ","")&amp;IF($D754="","reading type missing; ","")&amp;IF(COUNTIFS(scans!$C$2:$C$1601,$C754,scans!$D$2:$D$1601,$D754)&gt;1,"two readings of this type: keep one; ",""))</f>
        <v/>
      </c>
    </row>
    <row r="755" customFormat="false" ht="15" hidden="false" customHeight="false" outlineLevel="0" collapsed="false">
      <c r="A755" s="11"/>
      <c r="B755" s="38"/>
      <c r="D755" s="10"/>
      <c r="G755" s="30" t="str">
        <f aca="false">IF($C755="","",IFERROR(IF(INDEX(links!$A$2:$A$501,MATCH($C755,links!$D$2:$D$501,0))="","",INDEX(links!$A$2:$A$501,MATCH($C755,links!$D$2:$D$501,0))),""))</f>
        <v/>
      </c>
      <c r="H755" s="30" t="str">
        <f aca="false">IF($C755="","",IFERROR(IF(INDEX(links!$B$2:$B$501,MATCH($C755,links!$D$2:$D$501,0))="","",INDEX(links!$B$2:$B$501,MATCH($C755,links!$D$2:$D$501,0))),""))</f>
        <v/>
      </c>
      <c r="I755" s="30" t="str">
        <f aca="false">IF($C755="","",IFERROR(IF(INDEX(links!$C$2:$C$501,MATCH($C755,links!$D$2:$D$501,0))="","",INDEX(links!$C$2:$C$501,MATCH($C755,links!$D$2:$D$501,0))),""))</f>
        <v/>
      </c>
      <c r="J755" s="30" t="str">
        <f aca="false">IF($C755="","",IF($G755="","slug not in links; ","")&amp;IF($D755="","reading type missing; ","")&amp;IF(COUNTIFS(scans!$C$2:$C$1601,$C755,scans!$D$2:$D$1601,$D755)&gt;1,"two readings of this type: keep one; ",""))</f>
        <v/>
      </c>
    </row>
    <row r="756" customFormat="false" ht="15" hidden="false" customHeight="false" outlineLevel="0" collapsed="false">
      <c r="A756" s="11"/>
      <c r="B756" s="38"/>
      <c r="D756" s="10"/>
      <c r="G756" s="30" t="str">
        <f aca="false">IF($C756="","",IFERROR(IF(INDEX(links!$A$2:$A$501,MATCH($C756,links!$D$2:$D$501,0))="","",INDEX(links!$A$2:$A$501,MATCH($C756,links!$D$2:$D$501,0))),""))</f>
        <v/>
      </c>
      <c r="H756" s="30" t="str">
        <f aca="false">IF($C756="","",IFERROR(IF(INDEX(links!$B$2:$B$501,MATCH($C756,links!$D$2:$D$501,0))="","",INDEX(links!$B$2:$B$501,MATCH($C756,links!$D$2:$D$501,0))),""))</f>
        <v/>
      </c>
      <c r="I756" s="30" t="str">
        <f aca="false">IF($C756="","",IFERROR(IF(INDEX(links!$C$2:$C$501,MATCH($C756,links!$D$2:$D$501,0))="","",INDEX(links!$C$2:$C$501,MATCH($C756,links!$D$2:$D$501,0))),""))</f>
        <v/>
      </c>
      <c r="J756" s="30" t="str">
        <f aca="false">IF($C756="","",IF($G756="","slug not in links; ","")&amp;IF($D756="","reading type missing; ","")&amp;IF(COUNTIFS(scans!$C$2:$C$1601,$C756,scans!$D$2:$D$1601,$D756)&gt;1,"two readings of this type: keep one; ",""))</f>
        <v/>
      </c>
    </row>
    <row r="757" customFormat="false" ht="15" hidden="false" customHeight="false" outlineLevel="0" collapsed="false">
      <c r="A757" s="11"/>
      <c r="B757" s="38"/>
      <c r="D757" s="10"/>
      <c r="G757" s="30" t="str">
        <f aca="false">IF($C757="","",IFERROR(IF(INDEX(links!$A$2:$A$501,MATCH($C757,links!$D$2:$D$501,0))="","",INDEX(links!$A$2:$A$501,MATCH($C757,links!$D$2:$D$501,0))),""))</f>
        <v/>
      </c>
      <c r="H757" s="30" t="str">
        <f aca="false">IF($C757="","",IFERROR(IF(INDEX(links!$B$2:$B$501,MATCH($C757,links!$D$2:$D$501,0))="","",INDEX(links!$B$2:$B$501,MATCH($C757,links!$D$2:$D$501,0))),""))</f>
        <v/>
      </c>
      <c r="I757" s="30" t="str">
        <f aca="false">IF($C757="","",IFERROR(IF(INDEX(links!$C$2:$C$501,MATCH($C757,links!$D$2:$D$501,0))="","",INDEX(links!$C$2:$C$501,MATCH($C757,links!$D$2:$D$501,0))),""))</f>
        <v/>
      </c>
      <c r="J757" s="30" t="str">
        <f aca="false">IF($C757="","",IF($G757="","slug not in links; ","")&amp;IF($D757="","reading type missing; ","")&amp;IF(COUNTIFS(scans!$C$2:$C$1601,$C757,scans!$D$2:$D$1601,$D757)&gt;1,"two readings of this type: keep one; ",""))</f>
        <v/>
      </c>
    </row>
    <row r="758" customFormat="false" ht="15" hidden="false" customHeight="false" outlineLevel="0" collapsed="false">
      <c r="A758" s="11"/>
      <c r="B758" s="38"/>
      <c r="D758" s="10"/>
      <c r="G758" s="30" t="str">
        <f aca="false">IF($C758="","",IFERROR(IF(INDEX(links!$A$2:$A$501,MATCH($C758,links!$D$2:$D$501,0))="","",INDEX(links!$A$2:$A$501,MATCH($C758,links!$D$2:$D$501,0))),""))</f>
        <v/>
      </c>
      <c r="H758" s="30" t="str">
        <f aca="false">IF($C758="","",IFERROR(IF(INDEX(links!$B$2:$B$501,MATCH($C758,links!$D$2:$D$501,0))="","",INDEX(links!$B$2:$B$501,MATCH($C758,links!$D$2:$D$501,0))),""))</f>
        <v/>
      </c>
      <c r="I758" s="30" t="str">
        <f aca="false">IF($C758="","",IFERROR(IF(INDEX(links!$C$2:$C$501,MATCH($C758,links!$D$2:$D$501,0))="","",INDEX(links!$C$2:$C$501,MATCH($C758,links!$D$2:$D$501,0))),""))</f>
        <v/>
      </c>
      <c r="J758" s="30" t="str">
        <f aca="false">IF($C758="","",IF($G758="","slug not in links; ","")&amp;IF($D758="","reading type missing; ","")&amp;IF(COUNTIFS(scans!$C$2:$C$1601,$C758,scans!$D$2:$D$1601,$D758)&gt;1,"two readings of this type: keep one; ",""))</f>
        <v/>
      </c>
    </row>
    <row r="759" customFormat="false" ht="15" hidden="false" customHeight="false" outlineLevel="0" collapsed="false">
      <c r="A759" s="11"/>
      <c r="B759" s="38"/>
      <c r="D759" s="10"/>
      <c r="G759" s="30" t="str">
        <f aca="false">IF($C759="","",IFERROR(IF(INDEX(links!$A$2:$A$501,MATCH($C759,links!$D$2:$D$501,0))="","",INDEX(links!$A$2:$A$501,MATCH($C759,links!$D$2:$D$501,0))),""))</f>
        <v/>
      </c>
      <c r="H759" s="30" t="str">
        <f aca="false">IF($C759="","",IFERROR(IF(INDEX(links!$B$2:$B$501,MATCH($C759,links!$D$2:$D$501,0))="","",INDEX(links!$B$2:$B$501,MATCH($C759,links!$D$2:$D$501,0))),""))</f>
        <v/>
      </c>
      <c r="I759" s="30" t="str">
        <f aca="false">IF($C759="","",IFERROR(IF(INDEX(links!$C$2:$C$501,MATCH($C759,links!$D$2:$D$501,0))="","",INDEX(links!$C$2:$C$501,MATCH($C759,links!$D$2:$D$501,0))),""))</f>
        <v/>
      </c>
      <c r="J759" s="30" t="str">
        <f aca="false">IF($C759="","",IF($G759="","slug not in links; ","")&amp;IF($D759="","reading type missing; ","")&amp;IF(COUNTIFS(scans!$C$2:$C$1601,$C759,scans!$D$2:$D$1601,$D759)&gt;1,"two readings of this type: keep one; ",""))</f>
        <v/>
      </c>
    </row>
    <row r="760" customFormat="false" ht="15" hidden="false" customHeight="false" outlineLevel="0" collapsed="false">
      <c r="A760" s="11"/>
      <c r="B760" s="38"/>
      <c r="D760" s="10"/>
      <c r="G760" s="30" t="str">
        <f aca="false">IF($C760="","",IFERROR(IF(INDEX(links!$A$2:$A$501,MATCH($C760,links!$D$2:$D$501,0))="","",INDEX(links!$A$2:$A$501,MATCH($C760,links!$D$2:$D$501,0))),""))</f>
        <v/>
      </c>
      <c r="H760" s="30" t="str">
        <f aca="false">IF($C760="","",IFERROR(IF(INDEX(links!$B$2:$B$501,MATCH($C760,links!$D$2:$D$501,0))="","",INDEX(links!$B$2:$B$501,MATCH($C760,links!$D$2:$D$501,0))),""))</f>
        <v/>
      </c>
      <c r="I760" s="30" t="str">
        <f aca="false">IF($C760="","",IFERROR(IF(INDEX(links!$C$2:$C$501,MATCH($C760,links!$D$2:$D$501,0))="","",INDEX(links!$C$2:$C$501,MATCH($C760,links!$D$2:$D$501,0))),""))</f>
        <v/>
      </c>
      <c r="J760" s="30" t="str">
        <f aca="false">IF($C760="","",IF($G760="","slug not in links; ","")&amp;IF($D760="","reading type missing; ","")&amp;IF(COUNTIFS(scans!$C$2:$C$1601,$C760,scans!$D$2:$D$1601,$D760)&gt;1,"two readings of this type: keep one; ",""))</f>
        <v/>
      </c>
    </row>
    <row r="761" customFormat="false" ht="15" hidden="false" customHeight="false" outlineLevel="0" collapsed="false">
      <c r="A761" s="11"/>
      <c r="B761" s="38"/>
      <c r="D761" s="10"/>
      <c r="G761" s="30" t="str">
        <f aca="false">IF($C761="","",IFERROR(IF(INDEX(links!$A$2:$A$501,MATCH($C761,links!$D$2:$D$501,0))="","",INDEX(links!$A$2:$A$501,MATCH($C761,links!$D$2:$D$501,0))),""))</f>
        <v/>
      </c>
      <c r="H761" s="30" t="str">
        <f aca="false">IF($C761="","",IFERROR(IF(INDEX(links!$B$2:$B$501,MATCH($C761,links!$D$2:$D$501,0))="","",INDEX(links!$B$2:$B$501,MATCH($C761,links!$D$2:$D$501,0))),""))</f>
        <v/>
      </c>
      <c r="I761" s="30" t="str">
        <f aca="false">IF($C761="","",IFERROR(IF(INDEX(links!$C$2:$C$501,MATCH($C761,links!$D$2:$D$501,0))="","",INDEX(links!$C$2:$C$501,MATCH($C761,links!$D$2:$D$501,0))),""))</f>
        <v/>
      </c>
      <c r="J761" s="30" t="str">
        <f aca="false">IF($C761="","",IF($G761="","slug not in links; ","")&amp;IF($D761="","reading type missing; ","")&amp;IF(COUNTIFS(scans!$C$2:$C$1601,$C761,scans!$D$2:$D$1601,$D761)&gt;1,"two readings of this type: keep one; ",""))</f>
        <v/>
      </c>
    </row>
    <row r="762" customFormat="false" ht="15" hidden="false" customHeight="false" outlineLevel="0" collapsed="false">
      <c r="A762" s="11"/>
      <c r="B762" s="38"/>
      <c r="D762" s="10"/>
      <c r="G762" s="30" t="str">
        <f aca="false">IF($C762="","",IFERROR(IF(INDEX(links!$A$2:$A$501,MATCH($C762,links!$D$2:$D$501,0))="","",INDEX(links!$A$2:$A$501,MATCH($C762,links!$D$2:$D$501,0))),""))</f>
        <v/>
      </c>
      <c r="H762" s="30" t="str">
        <f aca="false">IF($C762="","",IFERROR(IF(INDEX(links!$B$2:$B$501,MATCH($C762,links!$D$2:$D$501,0))="","",INDEX(links!$B$2:$B$501,MATCH($C762,links!$D$2:$D$501,0))),""))</f>
        <v/>
      </c>
      <c r="I762" s="30" t="str">
        <f aca="false">IF($C762="","",IFERROR(IF(INDEX(links!$C$2:$C$501,MATCH($C762,links!$D$2:$D$501,0))="","",INDEX(links!$C$2:$C$501,MATCH($C762,links!$D$2:$D$501,0))),""))</f>
        <v/>
      </c>
      <c r="J762" s="30" t="str">
        <f aca="false">IF($C762="","",IF($G762="","slug not in links; ","")&amp;IF($D762="","reading type missing; ","")&amp;IF(COUNTIFS(scans!$C$2:$C$1601,$C762,scans!$D$2:$D$1601,$D762)&gt;1,"two readings of this type: keep one; ",""))</f>
        <v/>
      </c>
    </row>
    <row r="763" customFormat="false" ht="15" hidden="false" customHeight="false" outlineLevel="0" collapsed="false">
      <c r="A763" s="11"/>
      <c r="B763" s="38"/>
      <c r="D763" s="10"/>
      <c r="G763" s="30" t="str">
        <f aca="false">IF($C763="","",IFERROR(IF(INDEX(links!$A$2:$A$501,MATCH($C763,links!$D$2:$D$501,0))="","",INDEX(links!$A$2:$A$501,MATCH($C763,links!$D$2:$D$501,0))),""))</f>
        <v/>
      </c>
      <c r="H763" s="30" t="str">
        <f aca="false">IF($C763="","",IFERROR(IF(INDEX(links!$B$2:$B$501,MATCH($C763,links!$D$2:$D$501,0))="","",INDEX(links!$B$2:$B$501,MATCH($C763,links!$D$2:$D$501,0))),""))</f>
        <v/>
      </c>
      <c r="I763" s="30" t="str">
        <f aca="false">IF($C763="","",IFERROR(IF(INDEX(links!$C$2:$C$501,MATCH($C763,links!$D$2:$D$501,0))="","",INDEX(links!$C$2:$C$501,MATCH($C763,links!$D$2:$D$501,0))),""))</f>
        <v/>
      </c>
      <c r="J763" s="30" t="str">
        <f aca="false">IF($C763="","",IF($G763="","slug not in links; ","")&amp;IF($D763="","reading type missing; ","")&amp;IF(COUNTIFS(scans!$C$2:$C$1601,$C763,scans!$D$2:$D$1601,$D763)&gt;1,"two readings of this type: keep one; ",""))</f>
        <v/>
      </c>
    </row>
    <row r="764" customFormat="false" ht="15" hidden="false" customHeight="false" outlineLevel="0" collapsed="false">
      <c r="A764" s="11"/>
      <c r="B764" s="38"/>
      <c r="D764" s="10"/>
      <c r="G764" s="30" t="str">
        <f aca="false">IF($C764="","",IFERROR(IF(INDEX(links!$A$2:$A$501,MATCH($C764,links!$D$2:$D$501,0))="","",INDEX(links!$A$2:$A$501,MATCH($C764,links!$D$2:$D$501,0))),""))</f>
        <v/>
      </c>
      <c r="H764" s="30" t="str">
        <f aca="false">IF($C764="","",IFERROR(IF(INDEX(links!$B$2:$B$501,MATCH($C764,links!$D$2:$D$501,0))="","",INDEX(links!$B$2:$B$501,MATCH($C764,links!$D$2:$D$501,0))),""))</f>
        <v/>
      </c>
      <c r="I764" s="30" t="str">
        <f aca="false">IF($C764="","",IFERROR(IF(INDEX(links!$C$2:$C$501,MATCH($C764,links!$D$2:$D$501,0))="","",INDEX(links!$C$2:$C$501,MATCH($C764,links!$D$2:$D$501,0))),""))</f>
        <v/>
      </c>
      <c r="J764" s="30" t="str">
        <f aca="false">IF($C764="","",IF($G764="","slug not in links; ","")&amp;IF($D764="","reading type missing; ","")&amp;IF(COUNTIFS(scans!$C$2:$C$1601,$C764,scans!$D$2:$D$1601,$D764)&gt;1,"two readings of this type: keep one; ",""))</f>
        <v/>
      </c>
    </row>
    <row r="765" customFormat="false" ht="15" hidden="false" customHeight="false" outlineLevel="0" collapsed="false">
      <c r="A765" s="11"/>
      <c r="B765" s="38"/>
      <c r="D765" s="10"/>
      <c r="G765" s="30" t="str">
        <f aca="false">IF($C765="","",IFERROR(IF(INDEX(links!$A$2:$A$501,MATCH($C765,links!$D$2:$D$501,0))="","",INDEX(links!$A$2:$A$501,MATCH($C765,links!$D$2:$D$501,0))),""))</f>
        <v/>
      </c>
      <c r="H765" s="30" t="str">
        <f aca="false">IF($C765="","",IFERROR(IF(INDEX(links!$B$2:$B$501,MATCH($C765,links!$D$2:$D$501,0))="","",INDEX(links!$B$2:$B$501,MATCH($C765,links!$D$2:$D$501,0))),""))</f>
        <v/>
      </c>
      <c r="I765" s="30" t="str">
        <f aca="false">IF($C765="","",IFERROR(IF(INDEX(links!$C$2:$C$501,MATCH($C765,links!$D$2:$D$501,0))="","",INDEX(links!$C$2:$C$501,MATCH($C765,links!$D$2:$D$501,0))),""))</f>
        <v/>
      </c>
      <c r="J765" s="30" t="str">
        <f aca="false">IF($C765="","",IF($G765="","slug not in links; ","")&amp;IF($D765="","reading type missing; ","")&amp;IF(COUNTIFS(scans!$C$2:$C$1601,$C765,scans!$D$2:$D$1601,$D765)&gt;1,"two readings of this type: keep one; ",""))</f>
        <v/>
      </c>
    </row>
    <row r="766" customFormat="false" ht="15" hidden="false" customHeight="false" outlineLevel="0" collapsed="false">
      <c r="A766" s="11"/>
      <c r="B766" s="38"/>
      <c r="D766" s="10"/>
      <c r="G766" s="30" t="str">
        <f aca="false">IF($C766="","",IFERROR(IF(INDEX(links!$A$2:$A$501,MATCH($C766,links!$D$2:$D$501,0))="","",INDEX(links!$A$2:$A$501,MATCH($C766,links!$D$2:$D$501,0))),""))</f>
        <v/>
      </c>
      <c r="H766" s="30" t="str">
        <f aca="false">IF($C766="","",IFERROR(IF(INDEX(links!$B$2:$B$501,MATCH($C766,links!$D$2:$D$501,0))="","",INDEX(links!$B$2:$B$501,MATCH($C766,links!$D$2:$D$501,0))),""))</f>
        <v/>
      </c>
      <c r="I766" s="30" t="str">
        <f aca="false">IF($C766="","",IFERROR(IF(INDEX(links!$C$2:$C$501,MATCH($C766,links!$D$2:$D$501,0))="","",INDEX(links!$C$2:$C$501,MATCH($C766,links!$D$2:$D$501,0))),""))</f>
        <v/>
      </c>
      <c r="J766" s="30" t="str">
        <f aca="false">IF($C766="","",IF($G766="","slug not in links; ","")&amp;IF($D766="","reading type missing; ","")&amp;IF(COUNTIFS(scans!$C$2:$C$1601,$C766,scans!$D$2:$D$1601,$D766)&gt;1,"two readings of this type: keep one; ",""))</f>
        <v/>
      </c>
    </row>
    <row r="767" customFormat="false" ht="15" hidden="false" customHeight="false" outlineLevel="0" collapsed="false">
      <c r="A767" s="11"/>
      <c r="B767" s="38"/>
      <c r="D767" s="10"/>
      <c r="G767" s="30" t="str">
        <f aca="false">IF($C767="","",IFERROR(IF(INDEX(links!$A$2:$A$501,MATCH($C767,links!$D$2:$D$501,0))="","",INDEX(links!$A$2:$A$501,MATCH($C767,links!$D$2:$D$501,0))),""))</f>
        <v/>
      </c>
      <c r="H767" s="30" t="str">
        <f aca="false">IF($C767="","",IFERROR(IF(INDEX(links!$B$2:$B$501,MATCH($C767,links!$D$2:$D$501,0))="","",INDEX(links!$B$2:$B$501,MATCH($C767,links!$D$2:$D$501,0))),""))</f>
        <v/>
      </c>
      <c r="I767" s="30" t="str">
        <f aca="false">IF($C767="","",IFERROR(IF(INDEX(links!$C$2:$C$501,MATCH($C767,links!$D$2:$D$501,0))="","",INDEX(links!$C$2:$C$501,MATCH($C767,links!$D$2:$D$501,0))),""))</f>
        <v/>
      </c>
      <c r="J767" s="30" t="str">
        <f aca="false">IF($C767="","",IF($G767="","slug not in links; ","")&amp;IF($D767="","reading type missing; ","")&amp;IF(COUNTIFS(scans!$C$2:$C$1601,$C767,scans!$D$2:$D$1601,$D767)&gt;1,"two readings of this type: keep one; ",""))</f>
        <v/>
      </c>
    </row>
    <row r="768" customFormat="false" ht="15" hidden="false" customHeight="false" outlineLevel="0" collapsed="false">
      <c r="A768" s="11"/>
      <c r="B768" s="38"/>
      <c r="D768" s="10"/>
      <c r="G768" s="30" t="str">
        <f aca="false">IF($C768="","",IFERROR(IF(INDEX(links!$A$2:$A$501,MATCH($C768,links!$D$2:$D$501,0))="","",INDEX(links!$A$2:$A$501,MATCH($C768,links!$D$2:$D$501,0))),""))</f>
        <v/>
      </c>
      <c r="H768" s="30" t="str">
        <f aca="false">IF($C768="","",IFERROR(IF(INDEX(links!$B$2:$B$501,MATCH($C768,links!$D$2:$D$501,0))="","",INDEX(links!$B$2:$B$501,MATCH($C768,links!$D$2:$D$501,0))),""))</f>
        <v/>
      </c>
      <c r="I768" s="30" t="str">
        <f aca="false">IF($C768="","",IFERROR(IF(INDEX(links!$C$2:$C$501,MATCH($C768,links!$D$2:$D$501,0))="","",INDEX(links!$C$2:$C$501,MATCH($C768,links!$D$2:$D$501,0))),""))</f>
        <v/>
      </c>
      <c r="J768" s="30" t="str">
        <f aca="false">IF($C768="","",IF($G768="","slug not in links; ","")&amp;IF($D768="","reading type missing; ","")&amp;IF(COUNTIFS(scans!$C$2:$C$1601,$C768,scans!$D$2:$D$1601,$D768)&gt;1,"two readings of this type: keep one; ",""))</f>
        <v/>
      </c>
    </row>
    <row r="769" customFormat="false" ht="15" hidden="false" customHeight="false" outlineLevel="0" collapsed="false">
      <c r="A769" s="11"/>
      <c r="B769" s="38"/>
      <c r="D769" s="10"/>
      <c r="G769" s="30" t="str">
        <f aca="false">IF($C769="","",IFERROR(IF(INDEX(links!$A$2:$A$501,MATCH($C769,links!$D$2:$D$501,0))="","",INDEX(links!$A$2:$A$501,MATCH($C769,links!$D$2:$D$501,0))),""))</f>
        <v/>
      </c>
      <c r="H769" s="30" t="str">
        <f aca="false">IF($C769="","",IFERROR(IF(INDEX(links!$B$2:$B$501,MATCH($C769,links!$D$2:$D$501,0))="","",INDEX(links!$B$2:$B$501,MATCH($C769,links!$D$2:$D$501,0))),""))</f>
        <v/>
      </c>
      <c r="I769" s="30" t="str">
        <f aca="false">IF($C769="","",IFERROR(IF(INDEX(links!$C$2:$C$501,MATCH($C769,links!$D$2:$D$501,0))="","",INDEX(links!$C$2:$C$501,MATCH($C769,links!$D$2:$D$501,0))),""))</f>
        <v/>
      </c>
      <c r="J769" s="30" t="str">
        <f aca="false">IF($C769="","",IF($G769="","slug not in links; ","")&amp;IF($D769="","reading type missing; ","")&amp;IF(COUNTIFS(scans!$C$2:$C$1601,$C769,scans!$D$2:$D$1601,$D769)&gt;1,"two readings of this type: keep one; ",""))</f>
        <v/>
      </c>
    </row>
    <row r="770" customFormat="false" ht="15" hidden="false" customHeight="false" outlineLevel="0" collapsed="false">
      <c r="A770" s="11"/>
      <c r="B770" s="38"/>
      <c r="D770" s="10"/>
      <c r="G770" s="30" t="str">
        <f aca="false">IF($C770="","",IFERROR(IF(INDEX(links!$A$2:$A$501,MATCH($C770,links!$D$2:$D$501,0))="","",INDEX(links!$A$2:$A$501,MATCH($C770,links!$D$2:$D$501,0))),""))</f>
        <v/>
      </c>
      <c r="H770" s="30" t="str">
        <f aca="false">IF($C770="","",IFERROR(IF(INDEX(links!$B$2:$B$501,MATCH($C770,links!$D$2:$D$501,0))="","",INDEX(links!$B$2:$B$501,MATCH($C770,links!$D$2:$D$501,0))),""))</f>
        <v/>
      </c>
      <c r="I770" s="30" t="str">
        <f aca="false">IF($C770="","",IFERROR(IF(INDEX(links!$C$2:$C$501,MATCH($C770,links!$D$2:$D$501,0))="","",INDEX(links!$C$2:$C$501,MATCH($C770,links!$D$2:$D$501,0))),""))</f>
        <v/>
      </c>
      <c r="J770" s="30" t="str">
        <f aca="false">IF($C770="","",IF($G770="","slug not in links; ","")&amp;IF($D770="","reading type missing; ","")&amp;IF(COUNTIFS(scans!$C$2:$C$1601,$C770,scans!$D$2:$D$1601,$D770)&gt;1,"two readings of this type: keep one; ",""))</f>
        <v/>
      </c>
    </row>
    <row r="771" customFormat="false" ht="15" hidden="false" customHeight="false" outlineLevel="0" collapsed="false">
      <c r="A771" s="11"/>
      <c r="B771" s="38"/>
      <c r="D771" s="10"/>
      <c r="G771" s="30" t="str">
        <f aca="false">IF($C771="","",IFERROR(IF(INDEX(links!$A$2:$A$501,MATCH($C771,links!$D$2:$D$501,0))="","",INDEX(links!$A$2:$A$501,MATCH($C771,links!$D$2:$D$501,0))),""))</f>
        <v/>
      </c>
      <c r="H771" s="30" t="str">
        <f aca="false">IF($C771="","",IFERROR(IF(INDEX(links!$B$2:$B$501,MATCH($C771,links!$D$2:$D$501,0))="","",INDEX(links!$B$2:$B$501,MATCH($C771,links!$D$2:$D$501,0))),""))</f>
        <v/>
      </c>
      <c r="I771" s="30" t="str">
        <f aca="false">IF($C771="","",IFERROR(IF(INDEX(links!$C$2:$C$501,MATCH($C771,links!$D$2:$D$501,0))="","",INDEX(links!$C$2:$C$501,MATCH($C771,links!$D$2:$D$501,0))),""))</f>
        <v/>
      </c>
      <c r="J771" s="30" t="str">
        <f aca="false">IF($C771="","",IF($G771="","slug not in links; ","")&amp;IF($D771="","reading type missing; ","")&amp;IF(COUNTIFS(scans!$C$2:$C$1601,$C771,scans!$D$2:$D$1601,$D771)&gt;1,"two readings of this type: keep one; ",""))</f>
        <v/>
      </c>
    </row>
    <row r="772" customFormat="false" ht="15" hidden="false" customHeight="false" outlineLevel="0" collapsed="false">
      <c r="A772" s="11"/>
      <c r="B772" s="38"/>
      <c r="D772" s="10"/>
      <c r="G772" s="30" t="str">
        <f aca="false">IF($C772="","",IFERROR(IF(INDEX(links!$A$2:$A$501,MATCH($C772,links!$D$2:$D$501,0))="","",INDEX(links!$A$2:$A$501,MATCH($C772,links!$D$2:$D$501,0))),""))</f>
        <v/>
      </c>
      <c r="H772" s="30" t="str">
        <f aca="false">IF($C772="","",IFERROR(IF(INDEX(links!$B$2:$B$501,MATCH($C772,links!$D$2:$D$501,0))="","",INDEX(links!$B$2:$B$501,MATCH($C772,links!$D$2:$D$501,0))),""))</f>
        <v/>
      </c>
      <c r="I772" s="30" t="str">
        <f aca="false">IF($C772="","",IFERROR(IF(INDEX(links!$C$2:$C$501,MATCH($C772,links!$D$2:$D$501,0))="","",INDEX(links!$C$2:$C$501,MATCH($C772,links!$D$2:$D$501,0))),""))</f>
        <v/>
      </c>
      <c r="J772" s="30" t="str">
        <f aca="false">IF($C772="","",IF($G772="","slug not in links; ","")&amp;IF($D772="","reading type missing; ","")&amp;IF(COUNTIFS(scans!$C$2:$C$1601,$C772,scans!$D$2:$D$1601,$D772)&gt;1,"two readings of this type: keep one; ",""))</f>
        <v/>
      </c>
    </row>
    <row r="773" customFormat="false" ht="15" hidden="false" customHeight="false" outlineLevel="0" collapsed="false">
      <c r="A773" s="11"/>
      <c r="B773" s="38"/>
      <c r="D773" s="10"/>
      <c r="G773" s="30" t="str">
        <f aca="false">IF($C773="","",IFERROR(IF(INDEX(links!$A$2:$A$501,MATCH($C773,links!$D$2:$D$501,0))="","",INDEX(links!$A$2:$A$501,MATCH($C773,links!$D$2:$D$501,0))),""))</f>
        <v/>
      </c>
      <c r="H773" s="30" t="str">
        <f aca="false">IF($C773="","",IFERROR(IF(INDEX(links!$B$2:$B$501,MATCH($C773,links!$D$2:$D$501,0))="","",INDEX(links!$B$2:$B$501,MATCH($C773,links!$D$2:$D$501,0))),""))</f>
        <v/>
      </c>
      <c r="I773" s="30" t="str">
        <f aca="false">IF($C773="","",IFERROR(IF(INDEX(links!$C$2:$C$501,MATCH($C773,links!$D$2:$D$501,0))="","",INDEX(links!$C$2:$C$501,MATCH($C773,links!$D$2:$D$501,0))),""))</f>
        <v/>
      </c>
      <c r="J773" s="30" t="str">
        <f aca="false">IF($C773="","",IF($G773="","slug not in links; ","")&amp;IF($D773="","reading type missing; ","")&amp;IF(COUNTIFS(scans!$C$2:$C$1601,$C773,scans!$D$2:$D$1601,$D773)&gt;1,"two readings of this type: keep one; ",""))</f>
        <v/>
      </c>
    </row>
    <row r="774" customFormat="false" ht="15" hidden="false" customHeight="false" outlineLevel="0" collapsed="false">
      <c r="A774" s="11"/>
      <c r="B774" s="38"/>
      <c r="D774" s="10"/>
      <c r="G774" s="30" t="str">
        <f aca="false">IF($C774="","",IFERROR(IF(INDEX(links!$A$2:$A$501,MATCH($C774,links!$D$2:$D$501,0))="","",INDEX(links!$A$2:$A$501,MATCH($C774,links!$D$2:$D$501,0))),""))</f>
        <v/>
      </c>
      <c r="H774" s="30" t="str">
        <f aca="false">IF($C774="","",IFERROR(IF(INDEX(links!$B$2:$B$501,MATCH($C774,links!$D$2:$D$501,0))="","",INDEX(links!$B$2:$B$501,MATCH($C774,links!$D$2:$D$501,0))),""))</f>
        <v/>
      </c>
      <c r="I774" s="30" t="str">
        <f aca="false">IF($C774="","",IFERROR(IF(INDEX(links!$C$2:$C$501,MATCH($C774,links!$D$2:$D$501,0))="","",INDEX(links!$C$2:$C$501,MATCH($C774,links!$D$2:$D$501,0))),""))</f>
        <v/>
      </c>
      <c r="J774" s="30" t="str">
        <f aca="false">IF($C774="","",IF($G774="","slug not in links; ","")&amp;IF($D774="","reading type missing; ","")&amp;IF(COUNTIFS(scans!$C$2:$C$1601,$C774,scans!$D$2:$D$1601,$D774)&gt;1,"two readings of this type: keep one; ",""))</f>
        <v/>
      </c>
    </row>
    <row r="775" customFormat="false" ht="15" hidden="false" customHeight="false" outlineLevel="0" collapsed="false">
      <c r="A775" s="11"/>
      <c r="B775" s="38"/>
      <c r="D775" s="10"/>
      <c r="G775" s="30" t="str">
        <f aca="false">IF($C775="","",IFERROR(IF(INDEX(links!$A$2:$A$501,MATCH($C775,links!$D$2:$D$501,0))="","",INDEX(links!$A$2:$A$501,MATCH($C775,links!$D$2:$D$501,0))),""))</f>
        <v/>
      </c>
      <c r="H775" s="30" t="str">
        <f aca="false">IF($C775="","",IFERROR(IF(INDEX(links!$B$2:$B$501,MATCH($C775,links!$D$2:$D$501,0))="","",INDEX(links!$B$2:$B$501,MATCH($C775,links!$D$2:$D$501,0))),""))</f>
        <v/>
      </c>
      <c r="I775" s="30" t="str">
        <f aca="false">IF($C775="","",IFERROR(IF(INDEX(links!$C$2:$C$501,MATCH($C775,links!$D$2:$D$501,0))="","",INDEX(links!$C$2:$C$501,MATCH($C775,links!$D$2:$D$501,0))),""))</f>
        <v/>
      </c>
      <c r="J775" s="30" t="str">
        <f aca="false">IF($C775="","",IF($G775="","slug not in links; ","")&amp;IF($D775="","reading type missing; ","")&amp;IF(COUNTIFS(scans!$C$2:$C$1601,$C775,scans!$D$2:$D$1601,$D775)&gt;1,"two readings of this type: keep one; ",""))</f>
        <v/>
      </c>
    </row>
    <row r="776" customFormat="false" ht="15" hidden="false" customHeight="false" outlineLevel="0" collapsed="false">
      <c r="A776" s="11"/>
      <c r="B776" s="38"/>
      <c r="D776" s="10"/>
      <c r="G776" s="30" t="str">
        <f aca="false">IF($C776="","",IFERROR(IF(INDEX(links!$A$2:$A$501,MATCH($C776,links!$D$2:$D$501,0))="","",INDEX(links!$A$2:$A$501,MATCH($C776,links!$D$2:$D$501,0))),""))</f>
        <v/>
      </c>
      <c r="H776" s="30" t="str">
        <f aca="false">IF($C776="","",IFERROR(IF(INDEX(links!$B$2:$B$501,MATCH($C776,links!$D$2:$D$501,0))="","",INDEX(links!$B$2:$B$501,MATCH($C776,links!$D$2:$D$501,0))),""))</f>
        <v/>
      </c>
      <c r="I776" s="30" t="str">
        <f aca="false">IF($C776="","",IFERROR(IF(INDEX(links!$C$2:$C$501,MATCH($C776,links!$D$2:$D$501,0))="","",INDEX(links!$C$2:$C$501,MATCH($C776,links!$D$2:$D$501,0))),""))</f>
        <v/>
      </c>
      <c r="J776" s="30" t="str">
        <f aca="false">IF($C776="","",IF($G776="","slug not in links; ","")&amp;IF($D776="","reading type missing; ","")&amp;IF(COUNTIFS(scans!$C$2:$C$1601,$C776,scans!$D$2:$D$1601,$D776)&gt;1,"two readings of this type: keep one; ",""))</f>
        <v/>
      </c>
    </row>
    <row r="777" customFormat="false" ht="15" hidden="false" customHeight="false" outlineLevel="0" collapsed="false">
      <c r="A777" s="11"/>
      <c r="B777" s="38"/>
      <c r="D777" s="10"/>
      <c r="G777" s="30" t="str">
        <f aca="false">IF($C777="","",IFERROR(IF(INDEX(links!$A$2:$A$501,MATCH($C777,links!$D$2:$D$501,0))="","",INDEX(links!$A$2:$A$501,MATCH($C777,links!$D$2:$D$501,0))),""))</f>
        <v/>
      </c>
      <c r="H777" s="30" t="str">
        <f aca="false">IF($C777="","",IFERROR(IF(INDEX(links!$B$2:$B$501,MATCH($C777,links!$D$2:$D$501,0))="","",INDEX(links!$B$2:$B$501,MATCH($C777,links!$D$2:$D$501,0))),""))</f>
        <v/>
      </c>
      <c r="I777" s="30" t="str">
        <f aca="false">IF($C777="","",IFERROR(IF(INDEX(links!$C$2:$C$501,MATCH($C777,links!$D$2:$D$501,0))="","",INDEX(links!$C$2:$C$501,MATCH($C777,links!$D$2:$D$501,0))),""))</f>
        <v/>
      </c>
      <c r="J777" s="30" t="str">
        <f aca="false">IF($C777="","",IF($G777="","slug not in links; ","")&amp;IF($D777="","reading type missing; ","")&amp;IF(COUNTIFS(scans!$C$2:$C$1601,$C777,scans!$D$2:$D$1601,$D777)&gt;1,"two readings of this type: keep one; ",""))</f>
        <v/>
      </c>
    </row>
    <row r="778" customFormat="false" ht="15" hidden="false" customHeight="false" outlineLevel="0" collapsed="false">
      <c r="A778" s="11"/>
      <c r="B778" s="38"/>
      <c r="D778" s="10"/>
      <c r="G778" s="30" t="str">
        <f aca="false">IF($C778="","",IFERROR(IF(INDEX(links!$A$2:$A$501,MATCH($C778,links!$D$2:$D$501,0))="","",INDEX(links!$A$2:$A$501,MATCH($C778,links!$D$2:$D$501,0))),""))</f>
        <v/>
      </c>
      <c r="H778" s="30" t="str">
        <f aca="false">IF($C778="","",IFERROR(IF(INDEX(links!$B$2:$B$501,MATCH($C778,links!$D$2:$D$501,0))="","",INDEX(links!$B$2:$B$501,MATCH($C778,links!$D$2:$D$501,0))),""))</f>
        <v/>
      </c>
      <c r="I778" s="30" t="str">
        <f aca="false">IF($C778="","",IFERROR(IF(INDEX(links!$C$2:$C$501,MATCH($C778,links!$D$2:$D$501,0))="","",INDEX(links!$C$2:$C$501,MATCH($C778,links!$D$2:$D$501,0))),""))</f>
        <v/>
      </c>
      <c r="J778" s="30" t="str">
        <f aca="false">IF($C778="","",IF($G778="","slug not in links; ","")&amp;IF($D778="","reading type missing; ","")&amp;IF(COUNTIFS(scans!$C$2:$C$1601,$C778,scans!$D$2:$D$1601,$D778)&gt;1,"two readings of this type: keep one; ",""))</f>
        <v/>
      </c>
    </row>
    <row r="779" customFormat="false" ht="15" hidden="false" customHeight="false" outlineLevel="0" collapsed="false">
      <c r="A779" s="11"/>
      <c r="B779" s="38"/>
      <c r="D779" s="10"/>
      <c r="G779" s="30" t="str">
        <f aca="false">IF($C779="","",IFERROR(IF(INDEX(links!$A$2:$A$501,MATCH($C779,links!$D$2:$D$501,0))="","",INDEX(links!$A$2:$A$501,MATCH($C779,links!$D$2:$D$501,0))),""))</f>
        <v/>
      </c>
      <c r="H779" s="30" t="str">
        <f aca="false">IF($C779="","",IFERROR(IF(INDEX(links!$B$2:$B$501,MATCH($C779,links!$D$2:$D$501,0))="","",INDEX(links!$B$2:$B$501,MATCH($C779,links!$D$2:$D$501,0))),""))</f>
        <v/>
      </c>
      <c r="I779" s="30" t="str">
        <f aca="false">IF($C779="","",IFERROR(IF(INDEX(links!$C$2:$C$501,MATCH($C779,links!$D$2:$D$501,0))="","",INDEX(links!$C$2:$C$501,MATCH($C779,links!$D$2:$D$501,0))),""))</f>
        <v/>
      </c>
      <c r="J779" s="30" t="str">
        <f aca="false">IF($C779="","",IF($G779="","slug not in links; ","")&amp;IF($D779="","reading type missing; ","")&amp;IF(COUNTIFS(scans!$C$2:$C$1601,$C779,scans!$D$2:$D$1601,$D779)&gt;1,"two readings of this type: keep one; ",""))</f>
        <v/>
      </c>
    </row>
    <row r="780" customFormat="false" ht="15" hidden="false" customHeight="false" outlineLevel="0" collapsed="false">
      <c r="A780" s="11"/>
      <c r="B780" s="38"/>
      <c r="D780" s="10"/>
      <c r="G780" s="30" t="str">
        <f aca="false">IF($C780="","",IFERROR(IF(INDEX(links!$A$2:$A$501,MATCH($C780,links!$D$2:$D$501,0))="","",INDEX(links!$A$2:$A$501,MATCH($C780,links!$D$2:$D$501,0))),""))</f>
        <v/>
      </c>
      <c r="H780" s="30" t="str">
        <f aca="false">IF($C780="","",IFERROR(IF(INDEX(links!$B$2:$B$501,MATCH($C780,links!$D$2:$D$501,0))="","",INDEX(links!$B$2:$B$501,MATCH($C780,links!$D$2:$D$501,0))),""))</f>
        <v/>
      </c>
      <c r="I780" s="30" t="str">
        <f aca="false">IF($C780="","",IFERROR(IF(INDEX(links!$C$2:$C$501,MATCH($C780,links!$D$2:$D$501,0))="","",INDEX(links!$C$2:$C$501,MATCH($C780,links!$D$2:$D$501,0))),""))</f>
        <v/>
      </c>
      <c r="J780" s="30" t="str">
        <f aca="false">IF($C780="","",IF($G780="","slug not in links; ","")&amp;IF($D780="","reading type missing; ","")&amp;IF(COUNTIFS(scans!$C$2:$C$1601,$C780,scans!$D$2:$D$1601,$D780)&gt;1,"two readings of this type: keep one; ",""))</f>
        <v/>
      </c>
    </row>
    <row r="781" customFormat="false" ht="15" hidden="false" customHeight="false" outlineLevel="0" collapsed="false">
      <c r="A781" s="11"/>
      <c r="B781" s="38"/>
      <c r="D781" s="10"/>
      <c r="G781" s="30" t="str">
        <f aca="false">IF($C781="","",IFERROR(IF(INDEX(links!$A$2:$A$501,MATCH($C781,links!$D$2:$D$501,0))="","",INDEX(links!$A$2:$A$501,MATCH($C781,links!$D$2:$D$501,0))),""))</f>
        <v/>
      </c>
      <c r="H781" s="30" t="str">
        <f aca="false">IF($C781="","",IFERROR(IF(INDEX(links!$B$2:$B$501,MATCH($C781,links!$D$2:$D$501,0))="","",INDEX(links!$B$2:$B$501,MATCH($C781,links!$D$2:$D$501,0))),""))</f>
        <v/>
      </c>
      <c r="I781" s="30" t="str">
        <f aca="false">IF($C781="","",IFERROR(IF(INDEX(links!$C$2:$C$501,MATCH($C781,links!$D$2:$D$501,0))="","",INDEX(links!$C$2:$C$501,MATCH($C781,links!$D$2:$D$501,0))),""))</f>
        <v/>
      </c>
      <c r="J781" s="30" t="str">
        <f aca="false">IF($C781="","",IF($G781="","slug not in links; ","")&amp;IF($D781="","reading type missing; ","")&amp;IF(COUNTIFS(scans!$C$2:$C$1601,$C781,scans!$D$2:$D$1601,$D781)&gt;1,"two readings of this type: keep one; ",""))</f>
        <v/>
      </c>
    </row>
    <row r="782" customFormat="false" ht="15" hidden="false" customHeight="false" outlineLevel="0" collapsed="false">
      <c r="A782" s="11"/>
      <c r="B782" s="38"/>
      <c r="D782" s="10"/>
      <c r="G782" s="30" t="str">
        <f aca="false">IF($C782="","",IFERROR(IF(INDEX(links!$A$2:$A$501,MATCH($C782,links!$D$2:$D$501,0))="","",INDEX(links!$A$2:$A$501,MATCH($C782,links!$D$2:$D$501,0))),""))</f>
        <v/>
      </c>
      <c r="H782" s="30" t="str">
        <f aca="false">IF($C782="","",IFERROR(IF(INDEX(links!$B$2:$B$501,MATCH($C782,links!$D$2:$D$501,0))="","",INDEX(links!$B$2:$B$501,MATCH($C782,links!$D$2:$D$501,0))),""))</f>
        <v/>
      </c>
      <c r="I782" s="30" t="str">
        <f aca="false">IF($C782="","",IFERROR(IF(INDEX(links!$C$2:$C$501,MATCH($C782,links!$D$2:$D$501,0))="","",INDEX(links!$C$2:$C$501,MATCH($C782,links!$D$2:$D$501,0))),""))</f>
        <v/>
      </c>
      <c r="J782" s="30" t="str">
        <f aca="false">IF($C782="","",IF($G782="","slug not in links; ","")&amp;IF($D782="","reading type missing; ","")&amp;IF(COUNTIFS(scans!$C$2:$C$1601,$C782,scans!$D$2:$D$1601,$D782)&gt;1,"two readings of this type: keep one; ",""))</f>
        <v/>
      </c>
    </row>
    <row r="783" customFormat="false" ht="15" hidden="false" customHeight="false" outlineLevel="0" collapsed="false">
      <c r="A783" s="11"/>
      <c r="B783" s="38"/>
      <c r="D783" s="10"/>
      <c r="G783" s="30" t="str">
        <f aca="false">IF($C783="","",IFERROR(IF(INDEX(links!$A$2:$A$501,MATCH($C783,links!$D$2:$D$501,0))="","",INDEX(links!$A$2:$A$501,MATCH($C783,links!$D$2:$D$501,0))),""))</f>
        <v/>
      </c>
      <c r="H783" s="30" t="str">
        <f aca="false">IF($C783="","",IFERROR(IF(INDEX(links!$B$2:$B$501,MATCH($C783,links!$D$2:$D$501,0))="","",INDEX(links!$B$2:$B$501,MATCH($C783,links!$D$2:$D$501,0))),""))</f>
        <v/>
      </c>
      <c r="I783" s="30" t="str">
        <f aca="false">IF($C783="","",IFERROR(IF(INDEX(links!$C$2:$C$501,MATCH($C783,links!$D$2:$D$501,0))="","",INDEX(links!$C$2:$C$501,MATCH($C783,links!$D$2:$D$501,0))),""))</f>
        <v/>
      </c>
      <c r="J783" s="30" t="str">
        <f aca="false">IF($C783="","",IF($G783="","slug not in links; ","")&amp;IF($D783="","reading type missing; ","")&amp;IF(COUNTIFS(scans!$C$2:$C$1601,$C783,scans!$D$2:$D$1601,$D783)&gt;1,"two readings of this type: keep one; ",""))</f>
        <v/>
      </c>
    </row>
    <row r="784" customFormat="false" ht="15" hidden="false" customHeight="false" outlineLevel="0" collapsed="false">
      <c r="A784" s="11"/>
      <c r="B784" s="38"/>
      <c r="D784" s="10"/>
      <c r="G784" s="30" t="str">
        <f aca="false">IF($C784="","",IFERROR(IF(INDEX(links!$A$2:$A$501,MATCH($C784,links!$D$2:$D$501,0))="","",INDEX(links!$A$2:$A$501,MATCH($C784,links!$D$2:$D$501,0))),""))</f>
        <v/>
      </c>
      <c r="H784" s="30" t="str">
        <f aca="false">IF($C784="","",IFERROR(IF(INDEX(links!$B$2:$B$501,MATCH($C784,links!$D$2:$D$501,0))="","",INDEX(links!$B$2:$B$501,MATCH($C784,links!$D$2:$D$501,0))),""))</f>
        <v/>
      </c>
      <c r="I784" s="30" t="str">
        <f aca="false">IF($C784="","",IFERROR(IF(INDEX(links!$C$2:$C$501,MATCH($C784,links!$D$2:$D$501,0))="","",INDEX(links!$C$2:$C$501,MATCH($C784,links!$D$2:$D$501,0))),""))</f>
        <v/>
      </c>
      <c r="J784" s="30" t="str">
        <f aca="false">IF($C784="","",IF($G784="","slug not in links; ","")&amp;IF($D784="","reading type missing; ","")&amp;IF(COUNTIFS(scans!$C$2:$C$1601,$C784,scans!$D$2:$D$1601,$D784)&gt;1,"two readings of this type: keep one; ",""))</f>
        <v/>
      </c>
    </row>
    <row r="785" customFormat="false" ht="15" hidden="false" customHeight="false" outlineLevel="0" collapsed="false">
      <c r="A785" s="11"/>
      <c r="B785" s="38"/>
      <c r="D785" s="10"/>
      <c r="G785" s="30" t="str">
        <f aca="false">IF($C785="","",IFERROR(IF(INDEX(links!$A$2:$A$501,MATCH($C785,links!$D$2:$D$501,0))="","",INDEX(links!$A$2:$A$501,MATCH($C785,links!$D$2:$D$501,0))),""))</f>
        <v/>
      </c>
      <c r="H785" s="30" t="str">
        <f aca="false">IF($C785="","",IFERROR(IF(INDEX(links!$B$2:$B$501,MATCH($C785,links!$D$2:$D$501,0))="","",INDEX(links!$B$2:$B$501,MATCH($C785,links!$D$2:$D$501,0))),""))</f>
        <v/>
      </c>
      <c r="I785" s="30" t="str">
        <f aca="false">IF($C785="","",IFERROR(IF(INDEX(links!$C$2:$C$501,MATCH($C785,links!$D$2:$D$501,0))="","",INDEX(links!$C$2:$C$501,MATCH($C785,links!$D$2:$D$501,0))),""))</f>
        <v/>
      </c>
      <c r="J785" s="30" t="str">
        <f aca="false">IF($C785="","",IF($G785="","slug not in links; ","")&amp;IF($D785="","reading type missing; ","")&amp;IF(COUNTIFS(scans!$C$2:$C$1601,$C785,scans!$D$2:$D$1601,$D785)&gt;1,"two readings of this type: keep one; ",""))</f>
        <v/>
      </c>
    </row>
    <row r="786" customFormat="false" ht="15" hidden="false" customHeight="false" outlineLevel="0" collapsed="false">
      <c r="A786" s="11"/>
      <c r="B786" s="38"/>
      <c r="D786" s="10"/>
      <c r="G786" s="30" t="str">
        <f aca="false">IF($C786="","",IFERROR(IF(INDEX(links!$A$2:$A$501,MATCH($C786,links!$D$2:$D$501,0))="","",INDEX(links!$A$2:$A$501,MATCH($C786,links!$D$2:$D$501,0))),""))</f>
        <v/>
      </c>
      <c r="H786" s="30" t="str">
        <f aca="false">IF($C786="","",IFERROR(IF(INDEX(links!$B$2:$B$501,MATCH($C786,links!$D$2:$D$501,0))="","",INDEX(links!$B$2:$B$501,MATCH($C786,links!$D$2:$D$501,0))),""))</f>
        <v/>
      </c>
      <c r="I786" s="30" t="str">
        <f aca="false">IF($C786="","",IFERROR(IF(INDEX(links!$C$2:$C$501,MATCH($C786,links!$D$2:$D$501,0))="","",INDEX(links!$C$2:$C$501,MATCH($C786,links!$D$2:$D$501,0))),""))</f>
        <v/>
      </c>
      <c r="J786" s="30" t="str">
        <f aca="false">IF($C786="","",IF($G786="","slug not in links; ","")&amp;IF($D786="","reading type missing; ","")&amp;IF(COUNTIFS(scans!$C$2:$C$1601,$C786,scans!$D$2:$D$1601,$D786)&gt;1,"two readings of this type: keep one; ",""))</f>
        <v/>
      </c>
    </row>
    <row r="787" customFormat="false" ht="15" hidden="false" customHeight="false" outlineLevel="0" collapsed="false">
      <c r="A787" s="11"/>
      <c r="B787" s="38"/>
      <c r="D787" s="10"/>
      <c r="G787" s="30" t="str">
        <f aca="false">IF($C787="","",IFERROR(IF(INDEX(links!$A$2:$A$501,MATCH($C787,links!$D$2:$D$501,0))="","",INDEX(links!$A$2:$A$501,MATCH($C787,links!$D$2:$D$501,0))),""))</f>
        <v/>
      </c>
      <c r="H787" s="30" t="str">
        <f aca="false">IF($C787="","",IFERROR(IF(INDEX(links!$B$2:$B$501,MATCH($C787,links!$D$2:$D$501,0))="","",INDEX(links!$B$2:$B$501,MATCH($C787,links!$D$2:$D$501,0))),""))</f>
        <v/>
      </c>
      <c r="I787" s="30" t="str">
        <f aca="false">IF($C787="","",IFERROR(IF(INDEX(links!$C$2:$C$501,MATCH($C787,links!$D$2:$D$501,0))="","",INDEX(links!$C$2:$C$501,MATCH($C787,links!$D$2:$D$501,0))),""))</f>
        <v/>
      </c>
      <c r="J787" s="30" t="str">
        <f aca="false">IF($C787="","",IF($G787="","slug not in links; ","")&amp;IF($D787="","reading type missing; ","")&amp;IF(COUNTIFS(scans!$C$2:$C$1601,$C787,scans!$D$2:$D$1601,$D787)&gt;1,"two readings of this type: keep one; ",""))</f>
        <v/>
      </c>
    </row>
    <row r="788" customFormat="false" ht="15" hidden="false" customHeight="false" outlineLevel="0" collapsed="false">
      <c r="A788" s="11"/>
      <c r="B788" s="38"/>
      <c r="D788" s="10"/>
      <c r="G788" s="30" t="str">
        <f aca="false">IF($C788="","",IFERROR(IF(INDEX(links!$A$2:$A$501,MATCH($C788,links!$D$2:$D$501,0))="","",INDEX(links!$A$2:$A$501,MATCH($C788,links!$D$2:$D$501,0))),""))</f>
        <v/>
      </c>
      <c r="H788" s="30" t="str">
        <f aca="false">IF($C788="","",IFERROR(IF(INDEX(links!$B$2:$B$501,MATCH($C788,links!$D$2:$D$501,0))="","",INDEX(links!$B$2:$B$501,MATCH($C788,links!$D$2:$D$501,0))),""))</f>
        <v/>
      </c>
      <c r="I788" s="30" t="str">
        <f aca="false">IF($C788="","",IFERROR(IF(INDEX(links!$C$2:$C$501,MATCH($C788,links!$D$2:$D$501,0))="","",INDEX(links!$C$2:$C$501,MATCH($C788,links!$D$2:$D$501,0))),""))</f>
        <v/>
      </c>
      <c r="J788" s="30" t="str">
        <f aca="false">IF($C788="","",IF($G788="","slug not in links; ","")&amp;IF($D788="","reading type missing; ","")&amp;IF(COUNTIFS(scans!$C$2:$C$1601,$C788,scans!$D$2:$D$1601,$D788)&gt;1,"two readings of this type: keep one; ",""))</f>
        <v/>
      </c>
    </row>
    <row r="789" customFormat="false" ht="15" hidden="false" customHeight="false" outlineLevel="0" collapsed="false">
      <c r="A789" s="11"/>
      <c r="B789" s="38"/>
      <c r="D789" s="10"/>
      <c r="G789" s="30" t="str">
        <f aca="false">IF($C789="","",IFERROR(IF(INDEX(links!$A$2:$A$501,MATCH($C789,links!$D$2:$D$501,0))="","",INDEX(links!$A$2:$A$501,MATCH($C789,links!$D$2:$D$501,0))),""))</f>
        <v/>
      </c>
      <c r="H789" s="30" t="str">
        <f aca="false">IF($C789="","",IFERROR(IF(INDEX(links!$B$2:$B$501,MATCH($C789,links!$D$2:$D$501,0))="","",INDEX(links!$B$2:$B$501,MATCH($C789,links!$D$2:$D$501,0))),""))</f>
        <v/>
      </c>
      <c r="I789" s="30" t="str">
        <f aca="false">IF($C789="","",IFERROR(IF(INDEX(links!$C$2:$C$501,MATCH($C789,links!$D$2:$D$501,0))="","",INDEX(links!$C$2:$C$501,MATCH($C789,links!$D$2:$D$501,0))),""))</f>
        <v/>
      </c>
      <c r="J789" s="30" t="str">
        <f aca="false">IF($C789="","",IF($G789="","slug not in links; ","")&amp;IF($D789="","reading type missing; ","")&amp;IF(COUNTIFS(scans!$C$2:$C$1601,$C789,scans!$D$2:$D$1601,$D789)&gt;1,"two readings of this type: keep one; ",""))</f>
        <v/>
      </c>
    </row>
    <row r="790" customFormat="false" ht="15" hidden="false" customHeight="false" outlineLevel="0" collapsed="false">
      <c r="A790" s="11"/>
      <c r="B790" s="38"/>
      <c r="D790" s="10"/>
      <c r="G790" s="30" t="str">
        <f aca="false">IF($C790="","",IFERROR(IF(INDEX(links!$A$2:$A$501,MATCH($C790,links!$D$2:$D$501,0))="","",INDEX(links!$A$2:$A$501,MATCH($C790,links!$D$2:$D$501,0))),""))</f>
        <v/>
      </c>
      <c r="H790" s="30" t="str">
        <f aca="false">IF($C790="","",IFERROR(IF(INDEX(links!$B$2:$B$501,MATCH($C790,links!$D$2:$D$501,0))="","",INDEX(links!$B$2:$B$501,MATCH($C790,links!$D$2:$D$501,0))),""))</f>
        <v/>
      </c>
      <c r="I790" s="30" t="str">
        <f aca="false">IF($C790="","",IFERROR(IF(INDEX(links!$C$2:$C$501,MATCH($C790,links!$D$2:$D$501,0))="","",INDEX(links!$C$2:$C$501,MATCH($C790,links!$D$2:$D$501,0))),""))</f>
        <v/>
      </c>
      <c r="J790" s="30" t="str">
        <f aca="false">IF($C790="","",IF($G790="","slug not in links; ","")&amp;IF($D790="","reading type missing; ","")&amp;IF(COUNTIFS(scans!$C$2:$C$1601,$C790,scans!$D$2:$D$1601,$D790)&gt;1,"two readings of this type: keep one; ",""))</f>
        <v/>
      </c>
    </row>
    <row r="791" customFormat="false" ht="15" hidden="false" customHeight="false" outlineLevel="0" collapsed="false">
      <c r="A791" s="11"/>
      <c r="B791" s="38"/>
      <c r="D791" s="10"/>
      <c r="G791" s="30" t="str">
        <f aca="false">IF($C791="","",IFERROR(IF(INDEX(links!$A$2:$A$501,MATCH($C791,links!$D$2:$D$501,0))="","",INDEX(links!$A$2:$A$501,MATCH($C791,links!$D$2:$D$501,0))),""))</f>
        <v/>
      </c>
      <c r="H791" s="30" t="str">
        <f aca="false">IF($C791="","",IFERROR(IF(INDEX(links!$B$2:$B$501,MATCH($C791,links!$D$2:$D$501,0))="","",INDEX(links!$B$2:$B$501,MATCH($C791,links!$D$2:$D$501,0))),""))</f>
        <v/>
      </c>
      <c r="I791" s="30" t="str">
        <f aca="false">IF($C791="","",IFERROR(IF(INDEX(links!$C$2:$C$501,MATCH($C791,links!$D$2:$D$501,0))="","",INDEX(links!$C$2:$C$501,MATCH($C791,links!$D$2:$D$501,0))),""))</f>
        <v/>
      </c>
      <c r="J791" s="30" t="str">
        <f aca="false">IF($C791="","",IF($G791="","slug not in links; ","")&amp;IF($D791="","reading type missing; ","")&amp;IF(COUNTIFS(scans!$C$2:$C$1601,$C791,scans!$D$2:$D$1601,$D791)&gt;1,"two readings of this type: keep one; ",""))</f>
        <v/>
      </c>
    </row>
    <row r="792" customFormat="false" ht="15" hidden="false" customHeight="false" outlineLevel="0" collapsed="false">
      <c r="A792" s="11"/>
      <c r="B792" s="38"/>
      <c r="D792" s="10"/>
      <c r="G792" s="30" t="str">
        <f aca="false">IF($C792="","",IFERROR(IF(INDEX(links!$A$2:$A$501,MATCH($C792,links!$D$2:$D$501,0))="","",INDEX(links!$A$2:$A$501,MATCH($C792,links!$D$2:$D$501,0))),""))</f>
        <v/>
      </c>
      <c r="H792" s="30" t="str">
        <f aca="false">IF($C792="","",IFERROR(IF(INDEX(links!$B$2:$B$501,MATCH($C792,links!$D$2:$D$501,0))="","",INDEX(links!$B$2:$B$501,MATCH($C792,links!$D$2:$D$501,0))),""))</f>
        <v/>
      </c>
      <c r="I792" s="30" t="str">
        <f aca="false">IF($C792="","",IFERROR(IF(INDEX(links!$C$2:$C$501,MATCH($C792,links!$D$2:$D$501,0))="","",INDEX(links!$C$2:$C$501,MATCH($C792,links!$D$2:$D$501,0))),""))</f>
        <v/>
      </c>
      <c r="J792" s="30" t="str">
        <f aca="false">IF($C792="","",IF($G792="","slug not in links; ","")&amp;IF($D792="","reading type missing; ","")&amp;IF(COUNTIFS(scans!$C$2:$C$1601,$C792,scans!$D$2:$D$1601,$D792)&gt;1,"two readings of this type: keep one; ",""))</f>
        <v/>
      </c>
    </row>
    <row r="793" customFormat="false" ht="15" hidden="false" customHeight="false" outlineLevel="0" collapsed="false">
      <c r="A793" s="11"/>
      <c r="B793" s="38"/>
      <c r="D793" s="10"/>
      <c r="G793" s="30" t="str">
        <f aca="false">IF($C793="","",IFERROR(IF(INDEX(links!$A$2:$A$501,MATCH($C793,links!$D$2:$D$501,0))="","",INDEX(links!$A$2:$A$501,MATCH($C793,links!$D$2:$D$501,0))),""))</f>
        <v/>
      </c>
      <c r="H793" s="30" t="str">
        <f aca="false">IF($C793="","",IFERROR(IF(INDEX(links!$B$2:$B$501,MATCH($C793,links!$D$2:$D$501,0))="","",INDEX(links!$B$2:$B$501,MATCH($C793,links!$D$2:$D$501,0))),""))</f>
        <v/>
      </c>
      <c r="I793" s="30" t="str">
        <f aca="false">IF($C793="","",IFERROR(IF(INDEX(links!$C$2:$C$501,MATCH($C793,links!$D$2:$D$501,0))="","",INDEX(links!$C$2:$C$501,MATCH($C793,links!$D$2:$D$501,0))),""))</f>
        <v/>
      </c>
      <c r="J793" s="30" t="str">
        <f aca="false">IF($C793="","",IF($G793="","slug not in links; ","")&amp;IF($D793="","reading type missing; ","")&amp;IF(COUNTIFS(scans!$C$2:$C$1601,$C793,scans!$D$2:$D$1601,$D793)&gt;1,"two readings of this type: keep one; ",""))</f>
        <v/>
      </c>
    </row>
    <row r="794" customFormat="false" ht="15" hidden="false" customHeight="false" outlineLevel="0" collapsed="false">
      <c r="A794" s="11"/>
      <c r="B794" s="38"/>
      <c r="D794" s="10"/>
      <c r="G794" s="30" t="str">
        <f aca="false">IF($C794="","",IFERROR(IF(INDEX(links!$A$2:$A$501,MATCH($C794,links!$D$2:$D$501,0))="","",INDEX(links!$A$2:$A$501,MATCH($C794,links!$D$2:$D$501,0))),""))</f>
        <v/>
      </c>
      <c r="H794" s="30" t="str">
        <f aca="false">IF($C794="","",IFERROR(IF(INDEX(links!$B$2:$B$501,MATCH($C794,links!$D$2:$D$501,0))="","",INDEX(links!$B$2:$B$501,MATCH($C794,links!$D$2:$D$501,0))),""))</f>
        <v/>
      </c>
      <c r="I794" s="30" t="str">
        <f aca="false">IF($C794="","",IFERROR(IF(INDEX(links!$C$2:$C$501,MATCH($C794,links!$D$2:$D$501,0))="","",INDEX(links!$C$2:$C$501,MATCH($C794,links!$D$2:$D$501,0))),""))</f>
        <v/>
      </c>
      <c r="J794" s="30" t="str">
        <f aca="false">IF($C794="","",IF($G794="","slug not in links; ","")&amp;IF($D794="","reading type missing; ","")&amp;IF(COUNTIFS(scans!$C$2:$C$1601,$C794,scans!$D$2:$D$1601,$D794)&gt;1,"two readings of this type: keep one; ",""))</f>
        <v/>
      </c>
    </row>
    <row r="795" customFormat="false" ht="15" hidden="false" customHeight="false" outlineLevel="0" collapsed="false">
      <c r="A795" s="11"/>
      <c r="B795" s="38"/>
      <c r="D795" s="10"/>
      <c r="G795" s="30" t="str">
        <f aca="false">IF($C795="","",IFERROR(IF(INDEX(links!$A$2:$A$501,MATCH($C795,links!$D$2:$D$501,0))="","",INDEX(links!$A$2:$A$501,MATCH($C795,links!$D$2:$D$501,0))),""))</f>
        <v/>
      </c>
      <c r="H795" s="30" t="str">
        <f aca="false">IF($C795="","",IFERROR(IF(INDEX(links!$B$2:$B$501,MATCH($C795,links!$D$2:$D$501,0))="","",INDEX(links!$B$2:$B$501,MATCH($C795,links!$D$2:$D$501,0))),""))</f>
        <v/>
      </c>
      <c r="I795" s="30" t="str">
        <f aca="false">IF($C795="","",IFERROR(IF(INDEX(links!$C$2:$C$501,MATCH($C795,links!$D$2:$D$501,0))="","",INDEX(links!$C$2:$C$501,MATCH($C795,links!$D$2:$D$501,0))),""))</f>
        <v/>
      </c>
      <c r="J795" s="30" t="str">
        <f aca="false">IF($C795="","",IF($G795="","slug not in links; ","")&amp;IF($D795="","reading type missing; ","")&amp;IF(COUNTIFS(scans!$C$2:$C$1601,$C795,scans!$D$2:$D$1601,$D795)&gt;1,"two readings of this type: keep one; ",""))</f>
        <v/>
      </c>
    </row>
    <row r="796" customFormat="false" ht="15" hidden="false" customHeight="false" outlineLevel="0" collapsed="false">
      <c r="A796" s="11"/>
      <c r="B796" s="38"/>
      <c r="D796" s="10"/>
      <c r="G796" s="30" t="str">
        <f aca="false">IF($C796="","",IFERROR(IF(INDEX(links!$A$2:$A$501,MATCH($C796,links!$D$2:$D$501,0))="","",INDEX(links!$A$2:$A$501,MATCH($C796,links!$D$2:$D$501,0))),""))</f>
        <v/>
      </c>
      <c r="H796" s="30" t="str">
        <f aca="false">IF($C796="","",IFERROR(IF(INDEX(links!$B$2:$B$501,MATCH($C796,links!$D$2:$D$501,0))="","",INDEX(links!$B$2:$B$501,MATCH($C796,links!$D$2:$D$501,0))),""))</f>
        <v/>
      </c>
      <c r="I796" s="30" t="str">
        <f aca="false">IF($C796="","",IFERROR(IF(INDEX(links!$C$2:$C$501,MATCH($C796,links!$D$2:$D$501,0))="","",INDEX(links!$C$2:$C$501,MATCH($C796,links!$D$2:$D$501,0))),""))</f>
        <v/>
      </c>
      <c r="J796" s="30" t="str">
        <f aca="false">IF($C796="","",IF($G796="","slug not in links; ","")&amp;IF($D796="","reading type missing; ","")&amp;IF(COUNTIFS(scans!$C$2:$C$1601,$C796,scans!$D$2:$D$1601,$D796)&gt;1,"two readings of this type: keep one; ",""))</f>
        <v/>
      </c>
    </row>
    <row r="797" customFormat="false" ht="15" hidden="false" customHeight="false" outlineLevel="0" collapsed="false">
      <c r="A797" s="11"/>
      <c r="B797" s="38"/>
      <c r="D797" s="10"/>
      <c r="G797" s="30" t="str">
        <f aca="false">IF($C797="","",IFERROR(IF(INDEX(links!$A$2:$A$501,MATCH($C797,links!$D$2:$D$501,0))="","",INDEX(links!$A$2:$A$501,MATCH($C797,links!$D$2:$D$501,0))),""))</f>
        <v/>
      </c>
      <c r="H797" s="30" t="str">
        <f aca="false">IF($C797="","",IFERROR(IF(INDEX(links!$B$2:$B$501,MATCH($C797,links!$D$2:$D$501,0))="","",INDEX(links!$B$2:$B$501,MATCH($C797,links!$D$2:$D$501,0))),""))</f>
        <v/>
      </c>
      <c r="I797" s="30" t="str">
        <f aca="false">IF($C797="","",IFERROR(IF(INDEX(links!$C$2:$C$501,MATCH($C797,links!$D$2:$D$501,0))="","",INDEX(links!$C$2:$C$501,MATCH($C797,links!$D$2:$D$501,0))),""))</f>
        <v/>
      </c>
      <c r="J797" s="30" t="str">
        <f aca="false">IF($C797="","",IF($G797="","slug not in links; ","")&amp;IF($D797="","reading type missing; ","")&amp;IF(COUNTIFS(scans!$C$2:$C$1601,$C797,scans!$D$2:$D$1601,$D797)&gt;1,"two readings of this type: keep one; ",""))</f>
        <v/>
      </c>
    </row>
    <row r="798" customFormat="false" ht="15" hidden="false" customHeight="false" outlineLevel="0" collapsed="false">
      <c r="A798" s="11"/>
      <c r="B798" s="38"/>
      <c r="D798" s="10"/>
      <c r="G798" s="30" t="str">
        <f aca="false">IF($C798="","",IFERROR(IF(INDEX(links!$A$2:$A$501,MATCH($C798,links!$D$2:$D$501,0))="","",INDEX(links!$A$2:$A$501,MATCH($C798,links!$D$2:$D$501,0))),""))</f>
        <v/>
      </c>
      <c r="H798" s="30" t="str">
        <f aca="false">IF($C798="","",IFERROR(IF(INDEX(links!$B$2:$B$501,MATCH($C798,links!$D$2:$D$501,0))="","",INDEX(links!$B$2:$B$501,MATCH($C798,links!$D$2:$D$501,0))),""))</f>
        <v/>
      </c>
      <c r="I798" s="30" t="str">
        <f aca="false">IF($C798="","",IFERROR(IF(INDEX(links!$C$2:$C$501,MATCH($C798,links!$D$2:$D$501,0))="","",INDEX(links!$C$2:$C$501,MATCH($C798,links!$D$2:$D$501,0))),""))</f>
        <v/>
      </c>
      <c r="J798" s="30" t="str">
        <f aca="false">IF($C798="","",IF($G798="","slug not in links; ","")&amp;IF($D798="","reading type missing; ","")&amp;IF(COUNTIFS(scans!$C$2:$C$1601,$C798,scans!$D$2:$D$1601,$D798)&gt;1,"two readings of this type: keep one; ",""))</f>
        <v/>
      </c>
    </row>
    <row r="799" customFormat="false" ht="15" hidden="false" customHeight="false" outlineLevel="0" collapsed="false">
      <c r="A799" s="11"/>
      <c r="B799" s="38"/>
      <c r="D799" s="10"/>
      <c r="G799" s="30" t="str">
        <f aca="false">IF($C799="","",IFERROR(IF(INDEX(links!$A$2:$A$501,MATCH($C799,links!$D$2:$D$501,0))="","",INDEX(links!$A$2:$A$501,MATCH($C799,links!$D$2:$D$501,0))),""))</f>
        <v/>
      </c>
      <c r="H799" s="30" t="str">
        <f aca="false">IF($C799="","",IFERROR(IF(INDEX(links!$B$2:$B$501,MATCH($C799,links!$D$2:$D$501,0))="","",INDEX(links!$B$2:$B$501,MATCH($C799,links!$D$2:$D$501,0))),""))</f>
        <v/>
      </c>
      <c r="I799" s="30" t="str">
        <f aca="false">IF($C799="","",IFERROR(IF(INDEX(links!$C$2:$C$501,MATCH($C799,links!$D$2:$D$501,0))="","",INDEX(links!$C$2:$C$501,MATCH($C799,links!$D$2:$D$501,0))),""))</f>
        <v/>
      </c>
      <c r="J799" s="30" t="str">
        <f aca="false">IF($C799="","",IF($G799="","slug not in links; ","")&amp;IF($D799="","reading type missing; ","")&amp;IF(COUNTIFS(scans!$C$2:$C$1601,$C799,scans!$D$2:$D$1601,$D799)&gt;1,"two readings of this type: keep one; ",""))</f>
        <v/>
      </c>
    </row>
    <row r="800" customFormat="false" ht="15" hidden="false" customHeight="false" outlineLevel="0" collapsed="false">
      <c r="A800" s="11"/>
      <c r="B800" s="38"/>
      <c r="D800" s="10"/>
      <c r="G800" s="30" t="str">
        <f aca="false">IF($C800="","",IFERROR(IF(INDEX(links!$A$2:$A$501,MATCH($C800,links!$D$2:$D$501,0))="","",INDEX(links!$A$2:$A$501,MATCH($C800,links!$D$2:$D$501,0))),""))</f>
        <v/>
      </c>
      <c r="H800" s="30" t="str">
        <f aca="false">IF($C800="","",IFERROR(IF(INDEX(links!$B$2:$B$501,MATCH($C800,links!$D$2:$D$501,0))="","",INDEX(links!$B$2:$B$501,MATCH($C800,links!$D$2:$D$501,0))),""))</f>
        <v/>
      </c>
      <c r="I800" s="30" t="str">
        <f aca="false">IF($C800="","",IFERROR(IF(INDEX(links!$C$2:$C$501,MATCH($C800,links!$D$2:$D$501,0))="","",INDEX(links!$C$2:$C$501,MATCH($C800,links!$D$2:$D$501,0))),""))</f>
        <v/>
      </c>
      <c r="J800" s="30" t="str">
        <f aca="false">IF($C800="","",IF($G800="","slug not in links; ","")&amp;IF($D800="","reading type missing; ","")&amp;IF(COUNTIFS(scans!$C$2:$C$1601,$C800,scans!$D$2:$D$1601,$D800)&gt;1,"two readings of this type: keep one; ",""))</f>
        <v/>
      </c>
    </row>
    <row r="801" customFormat="false" ht="15" hidden="false" customHeight="false" outlineLevel="0" collapsed="false">
      <c r="A801" s="11"/>
      <c r="B801" s="38"/>
      <c r="D801" s="10"/>
      <c r="G801" s="30" t="str">
        <f aca="false">IF($C801="","",IFERROR(IF(INDEX(links!$A$2:$A$501,MATCH($C801,links!$D$2:$D$501,0))="","",INDEX(links!$A$2:$A$501,MATCH($C801,links!$D$2:$D$501,0))),""))</f>
        <v/>
      </c>
      <c r="H801" s="30" t="str">
        <f aca="false">IF($C801="","",IFERROR(IF(INDEX(links!$B$2:$B$501,MATCH($C801,links!$D$2:$D$501,0))="","",INDEX(links!$B$2:$B$501,MATCH($C801,links!$D$2:$D$501,0))),""))</f>
        <v/>
      </c>
      <c r="I801" s="30" t="str">
        <f aca="false">IF($C801="","",IFERROR(IF(INDEX(links!$C$2:$C$501,MATCH($C801,links!$D$2:$D$501,0))="","",INDEX(links!$C$2:$C$501,MATCH($C801,links!$D$2:$D$501,0))),""))</f>
        <v/>
      </c>
      <c r="J801" s="30" t="str">
        <f aca="false">IF($C801="","",IF($G801="","slug not in links; ","")&amp;IF($D801="","reading type missing; ","")&amp;IF(COUNTIFS(scans!$C$2:$C$1601,$C801,scans!$D$2:$D$1601,$D801)&gt;1,"two readings of this type: keep one; ",""))</f>
        <v/>
      </c>
    </row>
    <row r="802" customFormat="false" ht="15" hidden="false" customHeight="false" outlineLevel="0" collapsed="false">
      <c r="A802" s="11"/>
      <c r="B802" s="38"/>
      <c r="D802" s="10"/>
      <c r="G802" s="30" t="str">
        <f aca="false">IF($C802="","",IFERROR(IF(INDEX(links!$A$2:$A$501,MATCH($C802,links!$D$2:$D$501,0))="","",INDEX(links!$A$2:$A$501,MATCH($C802,links!$D$2:$D$501,0))),""))</f>
        <v/>
      </c>
      <c r="H802" s="30" t="str">
        <f aca="false">IF($C802="","",IFERROR(IF(INDEX(links!$B$2:$B$501,MATCH($C802,links!$D$2:$D$501,0))="","",INDEX(links!$B$2:$B$501,MATCH($C802,links!$D$2:$D$501,0))),""))</f>
        <v/>
      </c>
      <c r="I802" s="30" t="str">
        <f aca="false">IF($C802="","",IFERROR(IF(INDEX(links!$C$2:$C$501,MATCH($C802,links!$D$2:$D$501,0))="","",INDEX(links!$C$2:$C$501,MATCH($C802,links!$D$2:$D$501,0))),""))</f>
        <v/>
      </c>
      <c r="J802" s="30" t="str">
        <f aca="false">IF($C802="","",IF($G802="","slug not in links; ","")&amp;IF($D802="","reading type missing; ","")&amp;IF(COUNTIFS(scans!$C$2:$C$1601,$C802,scans!$D$2:$D$1601,$D802)&gt;1,"two readings of this type: keep one; ",""))</f>
        <v/>
      </c>
    </row>
    <row r="803" customFormat="false" ht="15" hidden="false" customHeight="false" outlineLevel="0" collapsed="false">
      <c r="A803" s="11"/>
      <c r="B803" s="38"/>
      <c r="D803" s="10"/>
      <c r="G803" s="30" t="str">
        <f aca="false">IF($C803="","",IFERROR(IF(INDEX(links!$A$2:$A$501,MATCH($C803,links!$D$2:$D$501,0))="","",INDEX(links!$A$2:$A$501,MATCH($C803,links!$D$2:$D$501,0))),""))</f>
        <v/>
      </c>
      <c r="H803" s="30" t="str">
        <f aca="false">IF($C803="","",IFERROR(IF(INDEX(links!$B$2:$B$501,MATCH($C803,links!$D$2:$D$501,0))="","",INDEX(links!$B$2:$B$501,MATCH($C803,links!$D$2:$D$501,0))),""))</f>
        <v/>
      </c>
      <c r="I803" s="30" t="str">
        <f aca="false">IF($C803="","",IFERROR(IF(INDEX(links!$C$2:$C$501,MATCH($C803,links!$D$2:$D$501,0))="","",INDEX(links!$C$2:$C$501,MATCH($C803,links!$D$2:$D$501,0))),""))</f>
        <v/>
      </c>
      <c r="J803" s="30" t="str">
        <f aca="false">IF($C803="","",IF($G803="","slug not in links; ","")&amp;IF($D803="","reading type missing; ","")&amp;IF(COUNTIFS(scans!$C$2:$C$1601,$C803,scans!$D$2:$D$1601,$D803)&gt;1,"two readings of this type: keep one; ",""))</f>
        <v/>
      </c>
    </row>
    <row r="804" customFormat="false" ht="15" hidden="false" customHeight="false" outlineLevel="0" collapsed="false">
      <c r="A804" s="11"/>
      <c r="B804" s="38"/>
      <c r="D804" s="10"/>
      <c r="G804" s="30" t="str">
        <f aca="false">IF($C804="","",IFERROR(IF(INDEX(links!$A$2:$A$501,MATCH($C804,links!$D$2:$D$501,0))="","",INDEX(links!$A$2:$A$501,MATCH($C804,links!$D$2:$D$501,0))),""))</f>
        <v/>
      </c>
      <c r="H804" s="30" t="str">
        <f aca="false">IF($C804="","",IFERROR(IF(INDEX(links!$B$2:$B$501,MATCH($C804,links!$D$2:$D$501,0))="","",INDEX(links!$B$2:$B$501,MATCH($C804,links!$D$2:$D$501,0))),""))</f>
        <v/>
      </c>
      <c r="I804" s="30" t="str">
        <f aca="false">IF($C804="","",IFERROR(IF(INDEX(links!$C$2:$C$501,MATCH($C804,links!$D$2:$D$501,0))="","",INDEX(links!$C$2:$C$501,MATCH($C804,links!$D$2:$D$501,0))),""))</f>
        <v/>
      </c>
      <c r="J804" s="30" t="str">
        <f aca="false">IF($C804="","",IF($G804="","slug not in links; ","")&amp;IF($D804="","reading type missing; ","")&amp;IF(COUNTIFS(scans!$C$2:$C$1601,$C804,scans!$D$2:$D$1601,$D804)&gt;1,"two readings of this type: keep one; ",""))</f>
        <v/>
      </c>
    </row>
    <row r="805" customFormat="false" ht="15" hidden="false" customHeight="false" outlineLevel="0" collapsed="false">
      <c r="A805" s="11"/>
      <c r="B805" s="38"/>
      <c r="D805" s="10"/>
      <c r="G805" s="30" t="str">
        <f aca="false">IF($C805="","",IFERROR(IF(INDEX(links!$A$2:$A$501,MATCH($C805,links!$D$2:$D$501,0))="","",INDEX(links!$A$2:$A$501,MATCH($C805,links!$D$2:$D$501,0))),""))</f>
        <v/>
      </c>
      <c r="H805" s="30" t="str">
        <f aca="false">IF($C805="","",IFERROR(IF(INDEX(links!$B$2:$B$501,MATCH($C805,links!$D$2:$D$501,0))="","",INDEX(links!$B$2:$B$501,MATCH($C805,links!$D$2:$D$501,0))),""))</f>
        <v/>
      </c>
      <c r="I805" s="30" t="str">
        <f aca="false">IF($C805="","",IFERROR(IF(INDEX(links!$C$2:$C$501,MATCH($C805,links!$D$2:$D$501,0))="","",INDEX(links!$C$2:$C$501,MATCH($C805,links!$D$2:$D$501,0))),""))</f>
        <v/>
      </c>
      <c r="J805" s="30" t="str">
        <f aca="false">IF($C805="","",IF($G805="","slug not in links; ","")&amp;IF($D805="","reading type missing; ","")&amp;IF(COUNTIFS(scans!$C$2:$C$1601,$C805,scans!$D$2:$D$1601,$D805)&gt;1,"two readings of this type: keep one; ",""))</f>
        <v/>
      </c>
    </row>
    <row r="806" customFormat="false" ht="15" hidden="false" customHeight="false" outlineLevel="0" collapsed="false">
      <c r="A806" s="11"/>
      <c r="B806" s="38"/>
      <c r="D806" s="10"/>
      <c r="G806" s="30" t="str">
        <f aca="false">IF($C806="","",IFERROR(IF(INDEX(links!$A$2:$A$501,MATCH($C806,links!$D$2:$D$501,0))="","",INDEX(links!$A$2:$A$501,MATCH($C806,links!$D$2:$D$501,0))),""))</f>
        <v/>
      </c>
      <c r="H806" s="30" t="str">
        <f aca="false">IF($C806="","",IFERROR(IF(INDEX(links!$B$2:$B$501,MATCH($C806,links!$D$2:$D$501,0))="","",INDEX(links!$B$2:$B$501,MATCH($C806,links!$D$2:$D$501,0))),""))</f>
        <v/>
      </c>
      <c r="I806" s="30" t="str">
        <f aca="false">IF($C806="","",IFERROR(IF(INDEX(links!$C$2:$C$501,MATCH($C806,links!$D$2:$D$501,0))="","",INDEX(links!$C$2:$C$501,MATCH($C806,links!$D$2:$D$501,0))),""))</f>
        <v/>
      </c>
      <c r="J806" s="30" t="str">
        <f aca="false">IF($C806="","",IF($G806="","slug not in links; ","")&amp;IF($D806="","reading type missing; ","")&amp;IF(COUNTIFS(scans!$C$2:$C$1601,$C806,scans!$D$2:$D$1601,$D806)&gt;1,"two readings of this type: keep one; ",""))</f>
        <v/>
      </c>
    </row>
    <row r="807" customFormat="false" ht="15" hidden="false" customHeight="false" outlineLevel="0" collapsed="false">
      <c r="A807" s="11"/>
      <c r="B807" s="38"/>
      <c r="D807" s="10"/>
      <c r="G807" s="30" t="str">
        <f aca="false">IF($C807="","",IFERROR(IF(INDEX(links!$A$2:$A$501,MATCH($C807,links!$D$2:$D$501,0))="","",INDEX(links!$A$2:$A$501,MATCH($C807,links!$D$2:$D$501,0))),""))</f>
        <v/>
      </c>
      <c r="H807" s="30" t="str">
        <f aca="false">IF($C807="","",IFERROR(IF(INDEX(links!$B$2:$B$501,MATCH($C807,links!$D$2:$D$501,0))="","",INDEX(links!$B$2:$B$501,MATCH($C807,links!$D$2:$D$501,0))),""))</f>
        <v/>
      </c>
      <c r="I807" s="30" t="str">
        <f aca="false">IF($C807="","",IFERROR(IF(INDEX(links!$C$2:$C$501,MATCH($C807,links!$D$2:$D$501,0))="","",INDEX(links!$C$2:$C$501,MATCH($C807,links!$D$2:$D$501,0))),""))</f>
        <v/>
      </c>
      <c r="J807" s="30" t="str">
        <f aca="false">IF($C807="","",IF($G807="","slug not in links; ","")&amp;IF($D807="","reading type missing; ","")&amp;IF(COUNTIFS(scans!$C$2:$C$1601,$C807,scans!$D$2:$D$1601,$D807)&gt;1,"two readings of this type: keep one; ",""))</f>
        <v/>
      </c>
    </row>
    <row r="808" customFormat="false" ht="15" hidden="false" customHeight="false" outlineLevel="0" collapsed="false">
      <c r="A808" s="11"/>
      <c r="B808" s="38"/>
      <c r="D808" s="10"/>
      <c r="G808" s="30" t="str">
        <f aca="false">IF($C808="","",IFERROR(IF(INDEX(links!$A$2:$A$501,MATCH($C808,links!$D$2:$D$501,0))="","",INDEX(links!$A$2:$A$501,MATCH($C808,links!$D$2:$D$501,0))),""))</f>
        <v/>
      </c>
      <c r="H808" s="30" t="str">
        <f aca="false">IF($C808="","",IFERROR(IF(INDEX(links!$B$2:$B$501,MATCH($C808,links!$D$2:$D$501,0))="","",INDEX(links!$B$2:$B$501,MATCH($C808,links!$D$2:$D$501,0))),""))</f>
        <v/>
      </c>
      <c r="I808" s="30" t="str">
        <f aca="false">IF($C808="","",IFERROR(IF(INDEX(links!$C$2:$C$501,MATCH($C808,links!$D$2:$D$501,0))="","",INDEX(links!$C$2:$C$501,MATCH($C808,links!$D$2:$D$501,0))),""))</f>
        <v/>
      </c>
      <c r="J808" s="30" t="str">
        <f aca="false">IF($C808="","",IF($G808="","slug not in links; ","")&amp;IF($D808="","reading type missing; ","")&amp;IF(COUNTIFS(scans!$C$2:$C$1601,$C808,scans!$D$2:$D$1601,$D808)&gt;1,"two readings of this type: keep one; ",""))</f>
        <v/>
      </c>
    </row>
    <row r="809" customFormat="false" ht="15" hidden="false" customHeight="false" outlineLevel="0" collapsed="false">
      <c r="A809" s="11"/>
      <c r="B809" s="38"/>
      <c r="D809" s="10"/>
      <c r="G809" s="30" t="str">
        <f aca="false">IF($C809="","",IFERROR(IF(INDEX(links!$A$2:$A$501,MATCH($C809,links!$D$2:$D$501,0))="","",INDEX(links!$A$2:$A$501,MATCH($C809,links!$D$2:$D$501,0))),""))</f>
        <v/>
      </c>
      <c r="H809" s="30" t="str">
        <f aca="false">IF($C809="","",IFERROR(IF(INDEX(links!$B$2:$B$501,MATCH($C809,links!$D$2:$D$501,0))="","",INDEX(links!$B$2:$B$501,MATCH($C809,links!$D$2:$D$501,0))),""))</f>
        <v/>
      </c>
      <c r="I809" s="30" t="str">
        <f aca="false">IF($C809="","",IFERROR(IF(INDEX(links!$C$2:$C$501,MATCH($C809,links!$D$2:$D$501,0))="","",INDEX(links!$C$2:$C$501,MATCH($C809,links!$D$2:$D$501,0))),""))</f>
        <v/>
      </c>
      <c r="J809" s="30" t="str">
        <f aca="false">IF($C809="","",IF($G809="","slug not in links; ","")&amp;IF($D809="","reading type missing; ","")&amp;IF(COUNTIFS(scans!$C$2:$C$1601,$C809,scans!$D$2:$D$1601,$D809)&gt;1,"two readings of this type: keep one; ",""))</f>
        <v/>
      </c>
    </row>
    <row r="810" customFormat="false" ht="15" hidden="false" customHeight="false" outlineLevel="0" collapsed="false">
      <c r="A810" s="11"/>
      <c r="B810" s="38"/>
      <c r="D810" s="10"/>
      <c r="G810" s="30" t="str">
        <f aca="false">IF($C810="","",IFERROR(IF(INDEX(links!$A$2:$A$501,MATCH($C810,links!$D$2:$D$501,0))="","",INDEX(links!$A$2:$A$501,MATCH($C810,links!$D$2:$D$501,0))),""))</f>
        <v/>
      </c>
      <c r="H810" s="30" t="str">
        <f aca="false">IF($C810="","",IFERROR(IF(INDEX(links!$B$2:$B$501,MATCH($C810,links!$D$2:$D$501,0))="","",INDEX(links!$B$2:$B$501,MATCH($C810,links!$D$2:$D$501,0))),""))</f>
        <v/>
      </c>
      <c r="I810" s="30" t="str">
        <f aca="false">IF($C810="","",IFERROR(IF(INDEX(links!$C$2:$C$501,MATCH($C810,links!$D$2:$D$501,0))="","",INDEX(links!$C$2:$C$501,MATCH($C810,links!$D$2:$D$501,0))),""))</f>
        <v/>
      </c>
      <c r="J810" s="30" t="str">
        <f aca="false">IF($C810="","",IF($G810="","slug not in links; ","")&amp;IF($D810="","reading type missing; ","")&amp;IF(COUNTIFS(scans!$C$2:$C$1601,$C810,scans!$D$2:$D$1601,$D810)&gt;1,"two readings of this type: keep one; ",""))</f>
        <v/>
      </c>
    </row>
    <row r="811" customFormat="false" ht="15" hidden="false" customHeight="false" outlineLevel="0" collapsed="false">
      <c r="A811" s="11"/>
      <c r="B811" s="38"/>
      <c r="D811" s="10"/>
      <c r="G811" s="30" t="str">
        <f aca="false">IF($C811="","",IFERROR(IF(INDEX(links!$A$2:$A$501,MATCH($C811,links!$D$2:$D$501,0))="","",INDEX(links!$A$2:$A$501,MATCH($C811,links!$D$2:$D$501,0))),""))</f>
        <v/>
      </c>
      <c r="H811" s="30" t="str">
        <f aca="false">IF($C811="","",IFERROR(IF(INDEX(links!$B$2:$B$501,MATCH($C811,links!$D$2:$D$501,0))="","",INDEX(links!$B$2:$B$501,MATCH($C811,links!$D$2:$D$501,0))),""))</f>
        <v/>
      </c>
      <c r="I811" s="30" t="str">
        <f aca="false">IF($C811="","",IFERROR(IF(INDEX(links!$C$2:$C$501,MATCH($C811,links!$D$2:$D$501,0))="","",INDEX(links!$C$2:$C$501,MATCH($C811,links!$D$2:$D$501,0))),""))</f>
        <v/>
      </c>
      <c r="J811" s="30" t="str">
        <f aca="false">IF($C811="","",IF($G811="","slug not in links; ","")&amp;IF($D811="","reading type missing; ","")&amp;IF(COUNTIFS(scans!$C$2:$C$1601,$C811,scans!$D$2:$D$1601,$D811)&gt;1,"two readings of this type: keep one; ",""))</f>
        <v/>
      </c>
    </row>
    <row r="812" customFormat="false" ht="15" hidden="false" customHeight="false" outlineLevel="0" collapsed="false">
      <c r="A812" s="11"/>
      <c r="B812" s="38"/>
      <c r="D812" s="10"/>
      <c r="G812" s="30" t="str">
        <f aca="false">IF($C812="","",IFERROR(IF(INDEX(links!$A$2:$A$501,MATCH($C812,links!$D$2:$D$501,0))="","",INDEX(links!$A$2:$A$501,MATCH($C812,links!$D$2:$D$501,0))),""))</f>
        <v/>
      </c>
      <c r="H812" s="30" t="str">
        <f aca="false">IF($C812="","",IFERROR(IF(INDEX(links!$B$2:$B$501,MATCH($C812,links!$D$2:$D$501,0))="","",INDEX(links!$B$2:$B$501,MATCH($C812,links!$D$2:$D$501,0))),""))</f>
        <v/>
      </c>
      <c r="I812" s="30" t="str">
        <f aca="false">IF($C812="","",IFERROR(IF(INDEX(links!$C$2:$C$501,MATCH($C812,links!$D$2:$D$501,0))="","",INDEX(links!$C$2:$C$501,MATCH($C812,links!$D$2:$D$501,0))),""))</f>
        <v/>
      </c>
      <c r="J812" s="30" t="str">
        <f aca="false">IF($C812="","",IF($G812="","slug not in links; ","")&amp;IF($D812="","reading type missing; ","")&amp;IF(COUNTIFS(scans!$C$2:$C$1601,$C812,scans!$D$2:$D$1601,$D812)&gt;1,"two readings of this type: keep one; ",""))</f>
        <v/>
      </c>
    </row>
    <row r="813" customFormat="false" ht="15" hidden="false" customHeight="false" outlineLevel="0" collapsed="false">
      <c r="A813" s="11"/>
      <c r="B813" s="38"/>
      <c r="D813" s="10"/>
      <c r="G813" s="30" t="str">
        <f aca="false">IF($C813="","",IFERROR(IF(INDEX(links!$A$2:$A$501,MATCH($C813,links!$D$2:$D$501,0))="","",INDEX(links!$A$2:$A$501,MATCH($C813,links!$D$2:$D$501,0))),""))</f>
        <v/>
      </c>
      <c r="H813" s="30" t="str">
        <f aca="false">IF($C813="","",IFERROR(IF(INDEX(links!$B$2:$B$501,MATCH($C813,links!$D$2:$D$501,0))="","",INDEX(links!$B$2:$B$501,MATCH($C813,links!$D$2:$D$501,0))),""))</f>
        <v/>
      </c>
      <c r="I813" s="30" t="str">
        <f aca="false">IF($C813="","",IFERROR(IF(INDEX(links!$C$2:$C$501,MATCH($C813,links!$D$2:$D$501,0))="","",INDEX(links!$C$2:$C$501,MATCH($C813,links!$D$2:$D$501,0))),""))</f>
        <v/>
      </c>
      <c r="J813" s="30" t="str">
        <f aca="false">IF($C813="","",IF($G813="","slug not in links; ","")&amp;IF($D813="","reading type missing; ","")&amp;IF(COUNTIFS(scans!$C$2:$C$1601,$C813,scans!$D$2:$D$1601,$D813)&gt;1,"two readings of this type: keep one; ",""))</f>
        <v/>
      </c>
    </row>
    <row r="814" customFormat="false" ht="15" hidden="false" customHeight="false" outlineLevel="0" collapsed="false">
      <c r="A814" s="11"/>
      <c r="B814" s="38"/>
      <c r="D814" s="10"/>
      <c r="G814" s="30" t="str">
        <f aca="false">IF($C814="","",IFERROR(IF(INDEX(links!$A$2:$A$501,MATCH($C814,links!$D$2:$D$501,0))="","",INDEX(links!$A$2:$A$501,MATCH($C814,links!$D$2:$D$501,0))),""))</f>
        <v/>
      </c>
      <c r="H814" s="30" t="str">
        <f aca="false">IF($C814="","",IFERROR(IF(INDEX(links!$B$2:$B$501,MATCH($C814,links!$D$2:$D$501,0))="","",INDEX(links!$B$2:$B$501,MATCH($C814,links!$D$2:$D$501,0))),""))</f>
        <v/>
      </c>
      <c r="I814" s="30" t="str">
        <f aca="false">IF($C814="","",IFERROR(IF(INDEX(links!$C$2:$C$501,MATCH($C814,links!$D$2:$D$501,0))="","",INDEX(links!$C$2:$C$501,MATCH($C814,links!$D$2:$D$501,0))),""))</f>
        <v/>
      </c>
      <c r="J814" s="30" t="str">
        <f aca="false">IF($C814="","",IF($G814="","slug not in links; ","")&amp;IF($D814="","reading type missing; ","")&amp;IF(COUNTIFS(scans!$C$2:$C$1601,$C814,scans!$D$2:$D$1601,$D814)&gt;1,"two readings of this type: keep one; ",""))</f>
        <v/>
      </c>
    </row>
    <row r="815" customFormat="false" ht="15" hidden="false" customHeight="false" outlineLevel="0" collapsed="false">
      <c r="A815" s="11"/>
      <c r="B815" s="38"/>
      <c r="D815" s="10"/>
      <c r="G815" s="30" t="str">
        <f aca="false">IF($C815="","",IFERROR(IF(INDEX(links!$A$2:$A$501,MATCH($C815,links!$D$2:$D$501,0))="","",INDEX(links!$A$2:$A$501,MATCH($C815,links!$D$2:$D$501,0))),""))</f>
        <v/>
      </c>
      <c r="H815" s="30" t="str">
        <f aca="false">IF($C815="","",IFERROR(IF(INDEX(links!$B$2:$B$501,MATCH($C815,links!$D$2:$D$501,0))="","",INDEX(links!$B$2:$B$501,MATCH($C815,links!$D$2:$D$501,0))),""))</f>
        <v/>
      </c>
      <c r="I815" s="30" t="str">
        <f aca="false">IF($C815="","",IFERROR(IF(INDEX(links!$C$2:$C$501,MATCH($C815,links!$D$2:$D$501,0))="","",INDEX(links!$C$2:$C$501,MATCH($C815,links!$D$2:$D$501,0))),""))</f>
        <v/>
      </c>
      <c r="J815" s="30" t="str">
        <f aca="false">IF($C815="","",IF($G815="","slug not in links; ","")&amp;IF($D815="","reading type missing; ","")&amp;IF(COUNTIFS(scans!$C$2:$C$1601,$C815,scans!$D$2:$D$1601,$D815)&gt;1,"two readings of this type: keep one; ",""))</f>
        <v/>
      </c>
    </row>
    <row r="816" customFormat="false" ht="15" hidden="false" customHeight="false" outlineLevel="0" collapsed="false">
      <c r="A816" s="11"/>
      <c r="B816" s="38"/>
      <c r="D816" s="10"/>
      <c r="G816" s="30" t="str">
        <f aca="false">IF($C816="","",IFERROR(IF(INDEX(links!$A$2:$A$501,MATCH($C816,links!$D$2:$D$501,0))="","",INDEX(links!$A$2:$A$501,MATCH($C816,links!$D$2:$D$501,0))),""))</f>
        <v/>
      </c>
      <c r="H816" s="30" t="str">
        <f aca="false">IF($C816="","",IFERROR(IF(INDEX(links!$B$2:$B$501,MATCH($C816,links!$D$2:$D$501,0))="","",INDEX(links!$B$2:$B$501,MATCH($C816,links!$D$2:$D$501,0))),""))</f>
        <v/>
      </c>
      <c r="I816" s="30" t="str">
        <f aca="false">IF($C816="","",IFERROR(IF(INDEX(links!$C$2:$C$501,MATCH($C816,links!$D$2:$D$501,0))="","",INDEX(links!$C$2:$C$501,MATCH($C816,links!$D$2:$D$501,0))),""))</f>
        <v/>
      </c>
      <c r="J816" s="30" t="str">
        <f aca="false">IF($C816="","",IF($G816="","slug not in links; ","")&amp;IF($D816="","reading type missing; ","")&amp;IF(COUNTIFS(scans!$C$2:$C$1601,$C816,scans!$D$2:$D$1601,$D816)&gt;1,"two readings of this type: keep one; ",""))</f>
        <v/>
      </c>
    </row>
    <row r="817" customFormat="false" ht="15" hidden="false" customHeight="false" outlineLevel="0" collapsed="false">
      <c r="A817" s="11"/>
      <c r="B817" s="38"/>
      <c r="D817" s="10"/>
      <c r="G817" s="30" t="str">
        <f aca="false">IF($C817="","",IFERROR(IF(INDEX(links!$A$2:$A$501,MATCH($C817,links!$D$2:$D$501,0))="","",INDEX(links!$A$2:$A$501,MATCH($C817,links!$D$2:$D$501,0))),""))</f>
        <v/>
      </c>
      <c r="H817" s="30" t="str">
        <f aca="false">IF($C817="","",IFERROR(IF(INDEX(links!$B$2:$B$501,MATCH($C817,links!$D$2:$D$501,0))="","",INDEX(links!$B$2:$B$501,MATCH($C817,links!$D$2:$D$501,0))),""))</f>
        <v/>
      </c>
      <c r="I817" s="30" t="str">
        <f aca="false">IF($C817="","",IFERROR(IF(INDEX(links!$C$2:$C$501,MATCH($C817,links!$D$2:$D$501,0))="","",INDEX(links!$C$2:$C$501,MATCH($C817,links!$D$2:$D$501,0))),""))</f>
        <v/>
      </c>
      <c r="J817" s="30" t="str">
        <f aca="false">IF($C817="","",IF($G817="","slug not in links; ","")&amp;IF($D817="","reading type missing; ","")&amp;IF(COUNTIFS(scans!$C$2:$C$1601,$C817,scans!$D$2:$D$1601,$D817)&gt;1,"two readings of this type: keep one; ",""))</f>
        <v/>
      </c>
    </row>
    <row r="818" customFormat="false" ht="15" hidden="false" customHeight="false" outlineLevel="0" collapsed="false">
      <c r="A818" s="11"/>
      <c r="B818" s="38"/>
      <c r="D818" s="10"/>
      <c r="G818" s="30" t="str">
        <f aca="false">IF($C818="","",IFERROR(IF(INDEX(links!$A$2:$A$501,MATCH($C818,links!$D$2:$D$501,0))="","",INDEX(links!$A$2:$A$501,MATCH($C818,links!$D$2:$D$501,0))),""))</f>
        <v/>
      </c>
      <c r="H818" s="30" t="str">
        <f aca="false">IF($C818="","",IFERROR(IF(INDEX(links!$B$2:$B$501,MATCH($C818,links!$D$2:$D$501,0))="","",INDEX(links!$B$2:$B$501,MATCH($C818,links!$D$2:$D$501,0))),""))</f>
        <v/>
      </c>
      <c r="I818" s="30" t="str">
        <f aca="false">IF($C818="","",IFERROR(IF(INDEX(links!$C$2:$C$501,MATCH($C818,links!$D$2:$D$501,0))="","",INDEX(links!$C$2:$C$501,MATCH($C818,links!$D$2:$D$501,0))),""))</f>
        <v/>
      </c>
      <c r="J818" s="30" t="str">
        <f aca="false">IF($C818="","",IF($G818="","slug not in links; ","")&amp;IF($D818="","reading type missing; ","")&amp;IF(COUNTIFS(scans!$C$2:$C$1601,$C818,scans!$D$2:$D$1601,$D818)&gt;1,"two readings of this type: keep one; ",""))</f>
        <v/>
      </c>
    </row>
    <row r="819" customFormat="false" ht="15" hidden="false" customHeight="false" outlineLevel="0" collapsed="false">
      <c r="A819" s="11"/>
      <c r="B819" s="38"/>
      <c r="D819" s="10"/>
      <c r="G819" s="30" t="str">
        <f aca="false">IF($C819="","",IFERROR(IF(INDEX(links!$A$2:$A$501,MATCH($C819,links!$D$2:$D$501,0))="","",INDEX(links!$A$2:$A$501,MATCH($C819,links!$D$2:$D$501,0))),""))</f>
        <v/>
      </c>
      <c r="H819" s="30" t="str">
        <f aca="false">IF($C819="","",IFERROR(IF(INDEX(links!$B$2:$B$501,MATCH($C819,links!$D$2:$D$501,0))="","",INDEX(links!$B$2:$B$501,MATCH($C819,links!$D$2:$D$501,0))),""))</f>
        <v/>
      </c>
      <c r="I819" s="30" t="str">
        <f aca="false">IF($C819="","",IFERROR(IF(INDEX(links!$C$2:$C$501,MATCH($C819,links!$D$2:$D$501,0))="","",INDEX(links!$C$2:$C$501,MATCH($C819,links!$D$2:$D$501,0))),""))</f>
        <v/>
      </c>
      <c r="J819" s="30" t="str">
        <f aca="false">IF($C819="","",IF($G819="","slug not in links; ","")&amp;IF($D819="","reading type missing; ","")&amp;IF(COUNTIFS(scans!$C$2:$C$1601,$C819,scans!$D$2:$D$1601,$D819)&gt;1,"two readings of this type: keep one; ",""))</f>
        <v/>
      </c>
    </row>
    <row r="820" customFormat="false" ht="15" hidden="false" customHeight="false" outlineLevel="0" collapsed="false">
      <c r="A820" s="11"/>
      <c r="B820" s="38"/>
      <c r="D820" s="10"/>
      <c r="G820" s="30" t="str">
        <f aca="false">IF($C820="","",IFERROR(IF(INDEX(links!$A$2:$A$501,MATCH($C820,links!$D$2:$D$501,0))="","",INDEX(links!$A$2:$A$501,MATCH($C820,links!$D$2:$D$501,0))),""))</f>
        <v/>
      </c>
      <c r="H820" s="30" t="str">
        <f aca="false">IF($C820="","",IFERROR(IF(INDEX(links!$B$2:$B$501,MATCH($C820,links!$D$2:$D$501,0))="","",INDEX(links!$B$2:$B$501,MATCH($C820,links!$D$2:$D$501,0))),""))</f>
        <v/>
      </c>
      <c r="I820" s="30" t="str">
        <f aca="false">IF($C820="","",IFERROR(IF(INDEX(links!$C$2:$C$501,MATCH($C820,links!$D$2:$D$501,0))="","",INDEX(links!$C$2:$C$501,MATCH($C820,links!$D$2:$D$501,0))),""))</f>
        <v/>
      </c>
      <c r="J820" s="30" t="str">
        <f aca="false">IF($C820="","",IF($G820="","slug not in links; ","")&amp;IF($D820="","reading type missing; ","")&amp;IF(COUNTIFS(scans!$C$2:$C$1601,$C820,scans!$D$2:$D$1601,$D820)&gt;1,"two readings of this type: keep one; ",""))</f>
        <v/>
      </c>
    </row>
    <row r="821" customFormat="false" ht="15" hidden="false" customHeight="false" outlineLevel="0" collapsed="false">
      <c r="A821" s="11"/>
      <c r="B821" s="38"/>
      <c r="D821" s="10"/>
      <c r="G821" s="30" t="str">
        <f aca="false">IF($C821="","",IFERROR(IF(INDEX(links!$A$2:$A$501,MATCH($C821,links!$D$2:$D$501,0))="","",INDEX(links!$A$2:$A$501,MATCH($C821,links!$D$2:$D$501,0))),""))</f>
        <v/>
      </c>
      <c r="H821" s="30" t="str">
        <f aca="false">IF($C821="","",IFERROR(IF(INDEX(links!$B$2:$B$501,MATCH($C821,links!$D$2:$D$501,0))="","",INDEX(links!$B$2:$B$501,MATCH($C821,links!$D$2:$D$501,0))),""))</f>
        <v/>
      </c>
      <c r="I821" s="30" t="str">
        <f aca="false">IF($C821="","",IFERROR(IF(INDEX(links!$C$2:$C$501,MATCH($C821,links!$D$2:$D$501,0))="","",INDEX(links!$C$2:$C$501,MATCH($C821,links!$D$2:$D$501,0))),""))</f>
        <v/>
      </c>
      <c r="J821" s="30" t="str">
        <f aca="false">IF($C821="","",IF($G821="","slug not in links; ","")&amp;IF($D821="","reading type missing; ","")&amp;IF(COUNTIFS(scans!$C$2:$C$1601,$C821,scans!$D$2:$D$1601,$D821)&gt;1,"two readings of this type: keep one; ",""))</f>
        <v/>
      </c>
    </row>
    <row r="822" customFormat="false" ht="15" hidden="false" customHeight="false" outlineLevel="0" collapsed="false">
      <c r="A822" s="11"/>
      <c r="B822" s="38"/>
      <c r="D822" s="10"/>
      <c r="G822" s="30" t="str">
        <f aca="false">IF($C822="","",IFERROR(IF(INDEX(links!$A$2:$A$501,MATCH($C822,links!$D$2:$D$501,0))="","",INDEX(links!$A$2:$A$501,MATCH($C822,links!$D$2:$D$501,0))),""))</f>
        <v/>
      </c>
      <c r="H822" s="30" t="str">
        <f aca="false">IF($C822="","",IFERROR(IF(INDEX(links!$B$2:$B$501,MATCH($C822,links!$D$2:$D$501,0))="","",INDEX(links!$B$2:$B$501,MATCH($C822,links!$D$2:$D$501,0))),""))</f>
        <v/>
      </c>
      <c r="I822" s="30" t="str">
        <f aca="false">IF($C822="","",IFERROR(IF(INDEX(links!$C$2:$C$501,MATCH($C822,links!$D$2:$D$501,0))="","",INDEX(links!$C$2:$C$501,MATCH($C822,links!$D$2:$D$501,0))),""))</f>
        <v/>
      </c>
      <c r="J822" s="30" t="str">
        <f aca="false">IF($C822="","",IF($G822="","slug not in links; ","")&amp;IF($D822="","reading type missing; ","")&amp;IF(COUNTIFS(scans!$C$2:$C$1601,$C822,scans!$D$2:$D$1601,$D822)&gt;1,"two readings of this type: keep one; ",""))</f>
        <v/>
      </c>
    </row>
    <row r="823" customFormat="false" ht="15" hidden="false" customHeight="false" outlineLevel="0" collapsed="false">
      <c r="A823" s="11"/>
      <c r="B823" s="38"/>
      <c r="D823" s="10"/>
      <c r="G823" s="30" t="str">
        <f aca="false">IF($C823="","",IFERROR(IF(INDEX(links!$A$2:$A$501,MATCH($C823,links!$D$2:$D$501,0))="","",INDEX(links!$A$2:$A$501,MATCH($C823,links!$D$2:$D$501,0))),""))</f>
        <v/>
      </c>
      <c r="H823" s="30" t="str">
        <f aca="false">IF($C823="","",IFERROR(IF(INDEX(links!$B$2:$B$501,MATCH($C823,links!$D$2:$D$501,0))="","",INDEX(links!$B$2:$B$501,MATCH($C823,links!$D$2:$D$501,0))),""))</f>
        <v/>
      </c>
      <c r="I823" s="30" t="str">
        <f aca="false">IF($C823="","",IFERROR(IF(INDEX(links!$C$2:$C$501,MATCH($C823,links!$D$2:$D$501,0))="","",INDEX(links!$C$2:$C$501,MATCH($C823,links!$D$2:$D$501,0))),""))</f>
        <v/>
      </c>
      <c r="J823" s="30" t="str">
        <f aca="false">IF($C823="","",IF($G823="","slug not in links; ","")&amp;IF($D823="","reading type missing; ","")&amp;IF(COUNTIFS(scans!$C$2:$C$1601,$C823,scans!$D$2:$D$1601,$D823)&gt;1,"two readings of this type: keep one; ",""))</f>
        <v/>
      </c>
    </row>
    <row r="824" customFormat="false" ht="15" hidden="false" customHeight="false" outlineLevel="0" collapsed="false">
      <c r="A824" s="11"/>
      <c r="B824" s="38"/>
      <c r="D824" s="10"/>
      <c r="G824" s="30" t="str">
        <f aca="false">IF($C824="","",IFERROR(IF(INDEX(links!$A$2:$A$501,MATCH($C824,links!$D$2:$D$501,0))="","",INDEX(links!$A$2:$A$501,MATCH($C824,links!$D$2:$D$501,0))),""))</f>
        <v/>
      </c>
      <c r="H824" s="30" t="str">
        <f aca="false">IF($C824="","",IFERROR(IF(INDEX(links!$B$2:$B$501,MATCH($C824,links!$D$2:$D$501,0))="","",INDEX(links!$B$2:$B$501,MATCH($C824,links!$D$2:$D$501,0))),""))</f>
        <v/>
      </c>
      <c r="I824" s="30" t="str">
        <f aca="false">IF($C824="","",IFERROR(IF(INDEX(links!$C$2:$C$501,MATCH($C824,links!$D$2:$D$501,0))="","",INDEX(links!$C$2:$C$501,MATCH($C824,links!$D$2:$D$501,0))),""))</f>
        <v/>
      </c>
      <c r="J824" s="30" t="str">
        <f aca="false">IF($C824="","",IF($G824="","slug not in links; ","")&amp;IF($D824="","reading type missing; ","")&amp;IF(COUNTIFS(scans!$C$2:$C$1601,$C824,scans!$D$2:$D$1601,$D824)&gt;1,"two readings of this type: keep one; ",""))</f>
        <v/>
      </c>
    </row>
    <row r="825" customFormat="false" ht="15" hidden="false" customHeight="false" outlineLevel="0" collapsed="false">
      <c r="A825" s="11"/>
      <c r="B825" s="38"/>
      <c r="D825" s="10"/>
      <c r="G825" s="30" t="str">
        <f aca="false">IF($C825="","",IFERROR(IF(INDEX(links!$A$2:$A$501,MATCH($C825,links!$D$2:$D$501,0))="","",INDEX(links!$A$2:$A$501,MATCH($C825,links!$D$2:$D$501,0))),""))</f>
        <v/>
      </c>
      <c r="H825" s="30" t="str">
        <f aca="false">IF($C825="","",IFERROR(IF(INDEX(links!$B$2:$B$501,MATCH($C825,links!$D$2:$D$501,0))="","",INDEX(links!$B$2:$B$501,MATCH($C825,links!$D$2:$D$501,0))),""))</f>
        <v/>
      </c>
      <c r="I825" s="30" t="str">
        <f aca="false">IF($C825="","",IFERROR(IF(INDEX(links!$C$2:$C$501,MATCH($C825,links!$D$2:$D$501,0))="","",INDEX(links!$C$2:$C$501,MATCH($C825,links!$D$2:$D$501,0))),""))</f>
        <v/>
      </c>
      <c r="J825" s="30" t="str">
        <f aca="false">IF($C825="","",IF($G825="","slug not in links; ","")&amp;IF($D825="","reading type missing; ","")&amp;IF(COUNTIFS(scans!$C$2:$C$1601,$C825,scans!$D$2:$D$1601,$D825)&gt;1,"two readings of this type: keep one; ",""))</f>
        <v/>
      </c>
    </row>
    <row r="826" customFormat="false" ht="15" hidden="false" customHeight="false" outlineLevel="0" collapsed="false">
      <c r="A826" s="11"/>
      <c r="B826" s="38"/>
      <c r="D826" s="10"/>
      <c r="G826" s="30" t="str">
        <f aca="false">IF($C826="","",IFERROR(IF(INDEX(links!$A$2:$A$501,MATCH($C826,links!$D$2:$D$501,0))="","",INDEX(links!$A$2:$A$501,MATCH($C826,links!$D$2:$D$501,0))),""))</f>
        <v/>
      </c>
      <c r="H826" s="30" t="str">
        <f aca="false">IF($C826="","",IFERROR(IF(INDEX(links!$B$2:$B$501,MATCH($C826,links!$D$2:$D$501,0))="","",INDEX(links!$B$2:$B$501,MATCH($C826,links!$D$2:$D$501,0))),""))</f>
        <v/>
      </c>
      <c r="I826" s="30" t="str">
        <f aca="false">IF($C826="","",IFERROR(IF(INDEX(links!$C$2:$C$501,MATCH($C826,links!$D$2:$D$501,0))="","",INDEX(links!$C$2:$C$501,MATCH($C826,links!$D$2:$D$501,0))),""))</f>
        <v/>
      </c>
      <c r="J826" s="30" t="str">
        <f aca="false">IF($C826="","",IF($G826="","slug not in links; ","")&amp;IF($D826="","reading type missing; ","")&amp;IF(COUNTIFS(scans!$C$2:$C$1601,$C826,scans!$D$2:$D$1601,$D826)&gt;1,"two readings of this type: keep one; ",""))</f>
        <v/>
      </c>
    </row>
    <row r="827" customFormat="false" ht="15" hidden="false" customHeight="false" outlineLevel="0" collapsed="false">
      <c r="A827" s="11"/>
      <c r="B827" s="38"/>
      <c r="D827" s="10"/>
      <c r="G827" s="30" t="str">
        <f aca="false">IF($C827="","",IFERROR(IF(INDEX(links!$A$2:$A$501,MATCH($C827,links!$D$2:$D$501,0))="","",INDEX(links!$A$2:$A$501,MATCH($C827,links!$D$2:$D$501,0))),""))</f>
        <v/>
      </c>
      <c r="H827" s="30" t="str">
        <f aca="false">IF($C827="","",IFERROR(IF(INDEX(links!$B$2:$B$501,MATCH($C827,links!$D$2:$D$501,0))="","",INDEX(links!$B$2:$B$501,MATCH($C827,links!$D$2:$D$501,0))),""))</f>
        <v/>
      </c>
      <c r="I827" s="30" t="str">
        <f aca="false">IF($C827="","",IFERROR(IF(INDEX(links!$C$2:$C$501,MATCH($C827,links!$D$2:$D$501,0))="","",INDEX(links!$C$2:$C$501,MATCH($C827,links!$D$2:$D$501,0))),""))</f>
        <v/>
      </c>
      <c r="J827" s="30" t="str">
        <f aca="false">IF($C827="","",IF($G827="","slug not in links; ","")&amp;IF($D827="","reading type missing; ","")&amp;IF(COUNTIFS(scans!$C$2:$C$1601,$C827,scans!$D$2:$D$1601,$D827)&gt;1,"two readings of this type: keep one; ",""))</f>
        <v/>
      </c>
    </row>
    <row r="828" customFormat="false" ht="15" hidden="false" customHeight="false" outlineLevel="0" collapsed="false">
      <c r="A828" s="11"/>
      <c r="B828" s="38"/>
      <c r="D828" s="10"/>
      <c r="G828" s="30" t="str">
        <f aca="false">IF($C828="","",IFERROR(IF(INDEX(links!$A$2:$A$501,MATCH($C828,links!$D$2:$D$501,0))="","",INDEX(links!$A$2:$A$501,MATCH($C828,links!$D$2:$D$501,0))),""))</f>
        <v/>
      </c>
      <c r="H828" s="30" t="str">
        <f aca="false">IF($C828="","",IFERROR(IF(INDEX(links!$B$2:$B$501,MATCH($C828,links!$D$2:$D$501,0))="","",INDEX(links!$B$2:$B$501,MATCH($C828,links!$D$2:$D$501,0))),""))</f>
        <v/>
      </c>
      <c r="I828" s="30" t="str">
        <f aca="false">IF($C828="","",IFERROR(IF(INDEX(links!$C$2:$C$501,MATCH($C828,links!$D$2:$D$501,0))="","",INDEX(links!$C$2:$C$501,MATCH($C828,links!$D$2:$D$501,0))),""))</f>
        <v/>
      </c>
      <c r="J828" s="30" t="str">
        <f aca="false">IF($C828="","",IF($G828="","slug not in links; ","")&amp;IF($D828="","reading type missing; ","")&amp;IF(COUNTIFS(scans!$C$2:$C$1601,$C828,scans!$D$2:$D$1601,$D828)&gt;1,"two readings of this type: keep one; ",""))</f>
        <v/>
      </c>
    </row>
    <row r="829" customFormat="false" ht="15" hidden="false" customHeight="false" outlineLevel="0" collapsed="false">
      <c r="A829" s="11"/>
      <c r="B829" s="38"/>
      <c r="D829" s="10"/>
      <c r="G829" s="30" t="str">
        <f aca="false">IF($C829="","",IFERROR(IF(INDEX(links!$A$2:$A$501,MATCH($C829,links!$D$2:$D$501,0))="","",INDEX(links!$A$2:$A$501,MATCH($C829,links!$D$2:$D$501,0))),""))</f>
        <v/>
      </c>
      <c r="H829" s="30" t="str">
        <f aca="false">IF($C829="","",IFERROR(IF(INDEX(links!$B$2:$B$501,MATCH($C829,links!$D$2:$D$501,0))="","",INDEX(links!$B$2:$B$501,MATCH($C829,links!$D$2:$D$501,0))),""))</f>
        <v/>
      </c>
      <c r="I829" s="30" t="str">
        <f aca="false">IF($C829="","",IFERROR(IF(INDEX(links!$C$2:$C$501,MATCH($C829,links!$D$2:$D$501,0))="","",INDEX(links!$C$2:$C$501,MATCH($C829,links!$D$2:$D$501,0))),""))</f>
        <v/>
      </c>
      <c r="J829" s="30" t="str">
        <f aca="false">IF($C829="","",IF($G829="","slug not in links; ","")&amp;IF($D829="","reading type missing; ","")&amp;IF(COUNTIFS(scans!$C$2:$C$1601,$C829,scans!$D$2:$D$1601,$D829)&gt;1,"two readings of this type: keep one; ",""))</f>
        <v/>
      </c>
    </row>
    <row r="830" customFormat="false" ht="15" hidden="false" customHeight="false" outlineLevel="0" collapsed="false">
      <c r="A830" s="11"/>
      <c r="B830" s="38"/>
      <c r="D830" s="10"/>
      <c r="G830" s="30" t="str">
        <f aca="false">IF($C830="","",IFERROR(IF(INDEX(links!$A$2:$A$501,MATCH($C830,links!$D$2:$D$501,0))="","",INDEX(links!$A$2:$A$501,MATCH($C830,links!$D$2:$D$501,0))),""))</f>
        <v/>
      </c>
      <c r="H830" s="30" t="str">
        <f aca="false">IF($C830="","",IFERROR(IF(INDEX(links!$B$2:$B$501,MATCH($C830,links!$D$2:$D$501,0))="","",INDEX(links!$B$2:$B$501,MATCH($C830,links!$D$2:$D$501,0))),""))</f>
        <v/>
      </c>
      <c r="I830" s="30" t="str">
        <f aca="false">IF($C830="","",IFERROR(IF(INDEX(links!$C$2:$C$501,MATCH($C830,links!$D$2:$D$501,0))="","",INDEX(links!$C$2:$C$501,MATCH($C830,links!$D$2:$D$501,0))),""))</f>
        <v/>
      </c>
      <c r="J830" s="30" t="str">
        <f aca="false">IF($C830="","",IF($G830="","slug not in links; ","")&amp;IF($D830="","reading type missing; ","")&amp;IF(COUNTIFS(scans!$C$2:$C$1601,$C830,scans!$D$2:$D$1601,$D830)&gt;1,"two readings of this type: keep one; ",""))</f>
        <v/>
      </c>
    </row>
    <row r="831" customFormat="false" ht="15" hidden="false" customHeight="false" outlineLevel="0" collapsed="false">
      <c r="A831" s="11"/>
      <c r="B831" s="38"/>
      <c r="D831" s="10"/>
      <c r="G831" s="30" t="str">
        <f aca="false">IF($C831="","",IFERROR(IF(INDEX(links!$A$2:$A$501,MATCH($C831,links!$D$2:$D$501,0))="","",INDEX(links!$A$2:$A$501,MATCH($C831,links!$D$2:$D$501,0))),""))</f>
        <v/>
      </c>
      <c r="H831" s="30" t="str">
        <f aca="false">IF($C831="","",IFERROR(IF(INDEX(links!$B$2:$B$501,MATCH($C831,links!$D$2:$D$501,0))="","",INDEX(links!$B$2:$B$501,MATCH($C831,links!$D$2:$D$501,0))),""))</f>
        <v/>
      </c>
      <c r="I831" s="30" t="str">
        <f aca="false">IF($C831="","",IFERROR(IF(INDEX(links!$C$2:$C$501,MATCH($C831,links!$D$2:$D$501,0))="","",INDEX(links!$C$2:$C$501,MATCH($C831,links!$D$2:$D$501,0))),""))</f>
        <v/>
      </c>
      <c r="J831" s="30" t="str">
        <f aca="false">IF($C831="","",IF($G831="","slug not in links; ","")&amp;IF($D831="","reading type missing; ","")&amp;IF(COUNTIFS(scans!$C$2:$C$1601,$C831,scans!$D$2:$D$1601,$D831)&gt;1,"two readings of this type: keep one; ",""))</f>
        <v/>
      </c>
    </row>
    <row r="832" customFormat="false" ht="15" hidden="false" customHeight="false" outlineLevel="0" collapsed="false">
      <c r="A832" s="11"/>
      <c r="B832" s="38"/>
      <c r="D832" s="10"/>
      <c r="G832" s="30" t="str">
        <f aca="false">IF($C832="","",IFERROR(IF(INDEX(links!$A$2:$A$501,MATCH($C832,links!$D$2:$D$501,0))="","",INDEX(links!$A$2:$A$501,MATCH($C832,links!$D$2:$D$501,0))),""))</f>
        <v/>
      </c>
      <c r="H832" s="30" t="str">
        <f aca="false">IF($C832="","",IFERROR(IF(INDEX(links!$B$2:$B$501,MATCH($C832,links!$D$2:$D$501,0))="","",INDEX(links!$B$2:$B$501,MATCH($C832,links!$D$2:$D$501,0))),""))</f>
        <v/>
      </c>
      <c r="I832" s="30" t="str">
        <f aca="false">IF($C832="","",IFERROR(IF(INDEX(links!$C$2:$C$501,MATCH($C832,links!$D$2:$D$501,0))="","",INDEX(links!$C$2:$C$501,MATCH($C832,links!$D$2:$D$501,0))),""))</f>
        <v/>
      </c>
      <c r="J832" s="30" t="str">
        <f aca="false">IF($C832="","",IF($G832="","slug not in links; ","")&amp;IF($D832="","reading type missing; ","")&amp;IF(COUNTIFS(scans!$C$2:$C$1601,$C832,scans!$D$2:$D$1601,$D832)&gt;1,"two readings of this type: keep one; ",""))</f>
        <v/>
      </c>
    </row>
    <row r="833" customFormat="false" ht="15" hidden="false" customHeight="false" outlineLevel="0" collapsed="false">
      <c r="A833" s="11"/>
      <c r="B833" s="38"/>
      <c r="D833" s="10"/>
      <c r="G833" s="30" t="str">
        <f aca="false">IF($C833="","",IFERROR(IF(INDEX(links!$A$2:$A$501,MATCH($C833,links!$D$2:$D$501,0))="","",INDEX(links!$A$2:$A$501,MATCH($C833,links!$D$2:$D$501,0))),""))</f>
        <v/>
      </c>
      <c r="H833" s="30" t="str">
        <f aca="false">IF($C833="","",IFERROR(IF(INDEX(links!$B$2:$B$501,MATCH($C833,links!$D$2:$D$501,0))="","",INDEX(links!$B$2:$B$501,MATCH($C833,links!$D$2:$D$501,0))),""))</f>
        <v/>
      </c>
      <c r="I833" s="30" t="str">
        <f aca="false">IF($C833="","",IFERROR(IF(INDEX(links!$C$2:$C$501,MATCH($C833,links!$D$2:$D$501,0))="","",INDEX(links!$C$2:$C$501,MATCH($C833,links!$D$2:$D$501,0))),""))</f>
        <v/>
      </c>
      <c r="J833" s="30" t="str">
        <f aca="false">IF($C833="","",IF($G833="","slug not in links; ","")&amp;IF($D833="","reading type missing; ","")&amp;IF(COUNTIFS(scans!$C$2:$C$1601,$C833,scans!$D$2:$D$1601,$D833)&gt;1,"two readings of this type: keep one; ",""))</f>
        <v/>
      </c>
    </row>
    <row r="834" customFormat="false" ht="15" hidden="false" customHeight="false" outlineLevel="0" collapsed="false">
      <c r="A834" s="11"/>
      <c r="B834" s="38"/>
      <c r="D834" s="10"/>
      <c r="G834" s="30" t="str">
        <f aca="false">IF($C834="","",IFERROR(IF(INDEX(links!$A$2:$A$501,MATCH($C834,links!$D$2:$D$501,0))="","",INDEX(links!$A$2:$A$501,MATCH($C834,links!$D$2:$D$501,0))),""))</f>
        <v/>
      </c>
      <c r="H834" s="30" t="str">
        <f aca="false">IF($C834="","",IFERROR(IF(INDEX(links!$B$2:$B$501,MATCH($C834,links!$D$2:$D$501,0))="","",INDEX(links!$B$2:$B$501,MATCH($C834,links!$D$2:$D$501,0))),""))</f>
        <v/>
      </c>
      <c r="I834" s="30" t="str">
        <f aca="false">IF($C834="","",IFERROR(IF(INDEX(links!$C$2:$C$501,MATCH($C834,links!$D$2:$D$501,0))="","",INDEX(links!$C$2:$C$501,MATCH($C834,links!$D$2:$D$501,0))),""))</f>
        <v/>
      </c>
      <c r="J834" s="30" t="str">
        <f aca="false">IF($C834="","",IF($G834="","slug not in links; ","")&amp;IF($D834="","reading type missing; ","")&amp;IF(COUNTIFS(scans!$C$2:$C$1601,$C834,scans!$D$2:$D$1601,$D834)&gt;1,"two readings of this type: keep one; ",""))</f>
        <v/>
      </c>
    </row>
    <row r="835" customFormat="false" ht="15" hidden="false" customHeight="false" outlineLevel="0" collapsed="false">
      <c r="A835" s="11"/>
      <c r="B835" s="38"/>
      <c r="D835" s="10"/>
      <c r="G835" s="30" t="str">
        <f aca="false">IF($C835="","",IFERROR(IF(INDEX(links!$A$2:$A$501,MATCH($C835,links!$D$2:$D$501,0))="","",INDEX(links!$A$2:$A$501,MATCH($C835,links!$D$2:$D$501,0))),""))</f>
        <v/>
      </c>
      <c r="H835" s="30" t="str">
        <f aca="false">IF($C835="","",IFERROR(IF(INDEX(links!$B$2:$B$501,MATCH($C835,links!$D$2:$D$501,0))="","",INDEX(links!$B$2:$B$501,MATCH($C835,links!$D$2:$D$501,0))),""))</f>
        <v/>
      </c>
      <c r="I835" s="30" t="str">
        <f aca="false">IF($C835="","",IFERROR(IF(INDEX(links!$C$2:$C$501,MATCH($C835,links!$D$2:$D$501,0))="","",INDEX(links!$C$2:$C$501,MATCH($C835,links!$D$2:$D$501,0))),""))</f>
        <v/>
      </c>
      <c r="J835" s="30" t="str">
        <f aca="false">IF($C835="","",IF($G835="","slug not in links; ","")&amp;IF($D835="","reading type missing; ","")&amp;IF(COUNTIFS(scans!$C$2:$C$1601,$C835,scans!$D$2:$D$1601,$D835)&gt;1,"two readings of this type: keep one; ",""))</f>
        <v/>
      </c>
    </row>
    <row r="836" customFormat="false" ht="15" hidden="false" customHeight="false" outlineLevel="0" collapsed="false">
      <c r="A836" s="11"/>
      <c r="B836" s="38"/>
      <c r="D836" s="10"/>
      <c r="G836" s="30" t="str">
        <f aca="false">IF($C836="","",IFERROR(IF(INDEX(links!$A$2:$A$501,MATCH($C836,links!$D$2:$D$501,0))="","",INDEX(links!$A$2:$A$501,MATCH($C836,links!$D$2:$D$501,0))),""))</f>
        <v/>
      </c>
      <c r="H836" s="30" t="str">
        <f aca="false">IF($C836="","",IFERROR(IF(INDEX(links!$B$2:$B$501,MATCH($C836,links!$D$2:$D$501,0))="","",INDEX(links!$B$2:$B$501,MATCH($C836,links!$D$2:$D$501,0))),""))</f>
        <v/>
      </c>
      <c r="I836" s="30" t="str">
        <f aca="false">IF($C836="","",IFERROR(IF(INDEX(links!$C$2:$C$501,MATCH($C836,links!$D$2:$D$501,0))="","",INDEX(links!$C$2:$C$501,MATCH($C836,links!$D$2:$D$501,0))),""))</f>
        <v/>
      </c>
      <c r="J836" s="30" t="str">
        <f aca="false">IF($C836="","",IF($G836="","slug not in links; ","")&amp;IF($D836="","reading type missing; ","")&amp;IF(COUNTIFS(scans!$C$2:$C$1601,$C836,scans!$D$2:$D$1601,$D836)&gt;1,"two readings of this type: keep one; ",""))</f>
        <v/>
      </c>
    </row>
    <row r="837" customFormat="false" ht="15" hidden="false" customHeight="false" outlineLevel="0" collapsed="false">
      <c r="A837" s="11"/>
      <c r="B837" s="38"/>
      <c r="D837" s="10"/>
      <c r="G837" s="30" t="str">
        <f aca="false">IF($C837="","",IFERROR(IF(INDEX(links!$A$2:$A$501,MATCH($C837,links!$D$2:$D$501,0))="","",INDEX(links!$A$2:$A$501,MATCH($C837,links!$D$2:$D$501,0))),""))</f>
        <v/>
      </c>
      <c r="H837" s="30" t="str">
        <f aca="false">IF($C837="","",IFERROR(IF(INDEX(links!$B$2:$B$501,MATCH($C837,links!$D$2:$D$501,0))="","",INDEX(links!$B$2:$B$501,MATCH($C837,links!$D$2:$D$501,0))),""))</f>
        <v/>
      </c>
      <c r="I837" s="30" t="str">
        <f aca="false">IF($C837="","",IFERROR(IF(INDEX(links!$C$2:$C$501,MATCH($C837,links!$D$2:$D$501,0))="","",INDEX(links!$C$2:$C$501,MATCH($C837,links!$D$2:$D$501,0))),""))</f>
        <v/>
      </c>
      <c r="J837" s="30" t="str">
        <f aca="false">IF($C837="","",IF($G837="","slug not in links; ","")&amp;IF($D837="","reading type missing; ","")&amp;IF(COUNTIFS(scans!$C$2:$C$1601,$C837,scans!$D$2:$D$1601,$D837)&gt;1,"two readings of this type: keep one; ",""))</f>
        <v/>
      </c>
    </row>
    <row r="838" customFormat="false" ht="15" hidden="false" customHeight="false" outlineLevel="0" collapsed="false">
      <c r="A838" s="11"/>
      <c r="B838" s="38"/>
      <c r="D838" s="10"/>
      <c r="G838" s="30" t="str">
        <f aca="false">IF($C838="","",IFERROR(IF(INDEX(links!$A$2:$A$501,MATCH($C838,links!$D$2:$D$501,0))="","",INDEX(links!$A$2:$A$501,MATCH($C838,links!$D$2:$D$501,0))),""))</f>
        <v/>
      </c>
      <c r="H838" s="30" t="str">
        <f aca="false">IF($C838="","",IFERROR(IF(INDEX(links!$B$2:$B$501,MATCH($C838,links!$D$2:$D$501,0))="","",INDEX(links!$B$2:$B$501,MATCH($C838,links!$D$2:$D$501,0))),""))</f>
        <v/>
      </c>
      <c r="I838" s="30" t="str">
        <f aca="false">IF($C838="","",IFERROR(IF(INDEX(links!$C$2:$C$501,MATCH($C838,links!$D$2:$D$501,0))="","",INDEX(links!$C$2:$C$501,MATCH($C838,links!$D$2:$D$501,0))),""))</f>
        <v/>
      </c>
      <c r="J838" s="30" t="str">
        <f aca="false">IF($C838="","",IF($G838="","slug not in links; ","")&amp;IF($D838="","reading type missing; ","")&amp;IF(COUNTIFS(scans!$C$2:$C$1601,$C838,scans!$D$2:$D$1601,$D838)&gt;1,"two readings of this type: keep one; ",""))</f>
        <v/>
      </c>
    </row>
    <row r="839" customFormat="false" ht="15" hidden="false" customHeight="false" outlineLevel="0" collapsed="false">
      <c r="A839" s="11"/>
      <c r="B839" s="38"/>
      <c r="D839" s="10"/>
      <c r="G839" s="30" t="str">
        <f aca="false">IF($C839="","",IFERROR(IF(INDEX(links!$A$2:$A$501,MATCH($C839,links!$D$2:$D$501,0))="","",INDEX(links!$A$2:$A$501,MATCH($C839,links!$D$2:$D$501,0))),""))</f>
        <v/>
      </c>
      <c r="H839" s="30" t="str">
        <f aca="false">IF($C839="","",IFERROR(IF(INDEX(links!$B$2:$B$501,MATCH($C839,links!$D$2:$D$501,0))="","",INDEX(links!$B$2:$B$501,MATCH($C839,links!$D$2:$D$501,0))),""))</f>
        <v/>
      </c>
      <c r="I839" s="30" t="str">
        <f aca="false">IF($C839="","",IFERROR(IF(INDEX(links!$C$2:$C$501,MATCH($C839,links!$D$2:$D$501,0))="","",INDEX(links!$C$2:$C$501,MATCH($C839,links!$D$2:$D$501,0))),""))</f>
        <v/>
      </c>
      <c r="J839" s="30" t="str">
        <f aca="false">IF($C839="","",IF($G839="","slug not in links; ","")&amp;IF($D839="","reading type missing; ","")&amp;IF(COUNTIFS(scans!$C$2:$C$1601,$C839,scans!$D$2:$D$1601,$D839)&gt;1,"two readings of this type: keep one; ",""))</f>
        <v/>
      </c>
    </row>
    <row r="840" customFormat="false" ht="15" hidden="false" customHeight="false" outlineLevel="0" collapsed="false">
      <c r="A840" s="11"/>
      <c r="B840" s="38"/>
      <c r="D840" s="10"/>
      <c r="G840" s="30" t="str">
        <f aca="false">IF($C840="","",IFERROR(IF(INDEX(links!$A$2:$A$501,MATCH($C840,links!$D$2:$D$501,0))="","",INDEX(links!$A$2:$A$501,MATCH($C840,links!$D$2:$D$501,0))),""))</f>
        <v/>
      </c>
      <c r="H840" s="30" t="str">
        <f aca="false">IF($C840="","",IFERROR(IF(INDEX(links!$B$2:$B$501,MATCH($C840,links!$D$2:$D$501,0))="","",INDEX(links!$B$2:$B$501,MATCH($C840,links!$D$2:$D$501,0))),""))</f>
        <v/>
      </c>
      <c r="I840" s="30" t="str">
        <f aca="false">IF($C840="","",IFERROR(IF(INDEX(links!$C$2:$C$501,MATCH($C840,links!$D$2:$D$501,0))="","",INDEX(links!$C$2:$C$501,MATCH($C840,links!$D$2:$D$501,0))),""))</f>
        <v/>
      </c>
      <c r="J840" s="30" t="str">
        <f aca="false">IF($C840="","",IF($G840="","slug not in links; ","")&amp;IF($D840="","reading type missing; ","")&amp;IF(COUNTIFS(scans!$C$2:$C$1601,$C840,scans!$D$2:$D$1601,$D840)&gt;1,"two readings of this type: keep one; ",""))</f>
        <v/>
      </c>
    </row>
    <row r="841" customFormat="false" ht="15" hidden="false" customHeight="false" outlineLevel="0" collapsed="false">
      <c r="A841" s="11"/>
      <c r="B841" s="38"/>
      <c r="D841" s="10"/>
      <c r="G841" s="30" t="str">
        <f aca="false">IF($C841="","",IFERROR(IF(INDEX(links!$A$2:$A$501,MATCH($C841,links!$D$2:$D$501,0))="","",INDEX(links!$A$2:$A$501,MATCH($C841,links!$D$2:$D$501,0))),""))</f>
        <v/>
      </c>
      <c r="H841" s="30" t="str">
        <f aca="false">IF($C841="","",IFERROR(IF(INDEX(links!$B$2:$B$501,MATCH($C841,links!$D$2:$D$501,0))="","",INDEX(links!$B$2:$B$501,MATCH($C841,links!$D$2:$D$501,0))),""))</f>
        <v/>
      </c>
      <c r="I841" s="30" t="str">
        <f aca="false">IF($C841="","",IFERROR(IF(INDEX(links!$C$2:$C$501,MATCH($C841,links!$D$2:$D$501,0))="","",INDEX(links!$C$2:$C$501,MATCH($C841,links!$D$2:$D$501,0))),""))</f>
        <v/>
      </c>
      <c r="J841" s="30" t="str">
        <f aca="false">IF($C841="","",IF($G841="","slug not in links; ","")&amp;IF($D841="","reading type missing; ","")&amp;IF(COUNTIFS(scans!$C$2:$C$1601,$C841,scans!$D$2:$D$1601,$D841)&gt;1,"two readings of this type: keep one; ",""))</f>
        <v/>
      </c>
    </row>
    <row r="842" customFormat="false" ht="15" hidden="false" customHeight="false" outlineLevel="0" collapsed="false">
      <c r="A842" s="11"/>
      <c r="B842" s="38"/>
      <c r="D842" s="10"/>
      <c r="G842" s="30" t="str">
        <f aca="false">IF($C842="","",IFERROR(IF(INDEX(links!$A$2:$A$501,MATCH($C842,links!$D$2:$D$501,0))="","",INDEX(links!$A$2:$A$501,MATCH($C842,links!$D$2:$D$501,0))),""))</f>
        <v/>
      </c>
      <c r="H842" s="30" t="str">
        <f aca="false">IF($C842="","",IFERROR(IF(INDEX(links!$B$2:$B$501,MATCH($C842,links!$D$2:$D$501,0))="","",INDEX(links!$B$2:$B$501,MATCH($C842,links!$D$2:$D$501,0))),""))</f>
        <v/>
      </c>
      <c r="I842" s="30" t="str">
        <f aca="false">IF($C842="","",IFERROR(IF(INDEX(links!$C$2:$C$501,MATCH($C842,links!$D$2:$D$501,0))="","",INDEX(links!$C$2:$C$501,MATCH($C842,links!$D$2:$D$501,0))),""))</f>
        <v/>
      </c>
      <c r="J842" s="30" t="str">
        <f aca="false">IF($C842="","",IF($G842="","slug not in links; ","")&amp;IF($D842="","reading type missing; ","")&amp;IF(COUNTIFS(scans!$C$2:$C$1601,$C842,scans!$D$2:$D$1601,$D842)&gt;1,"two readings of this type: keep one; ",""))</f>
        <v/>
      </c>
    </row>
    <row r="843" customFormat="false" ht="15" hidden="false" customHeight="false" outlineLevel="0" collapsed="false">
      <c r="A843" s="11"/>
      <c r="B843" s="38"/>
      <c r="D843" s="10"/>
      <c r="G843" s="30" t="str">
        <f aca="false">IF($C843="","",IFERROR(IF(INDEX(links!$A$2:$A$501,MATCH($C843,links!$D$2:$D$501,0))="","",INDEX(links!$A$2:$A$501,MATCH($C843,links!$D$2:$D$501,0))),""))</f>
        <v/>
      </c>
      <c r="H843" s="30" t="str">
        <f aca="false">IF($C843="","",IFERROR(IF(INDEX(links!$B$2:$B$501,MATCH($C843,links!$D$2:$D$501,0))="","",INDEX(links!$B$2:$B$501,MATCH($C843,links!$D$2:$D$501,0))),""))</f>
        <v/>
      </c>
      <c r="I843" s="30" t="str">
        <f aca="false">IF($C843="","",IFERROR(IF(INDEX(links!$C$2:$C$501,MATCH($C843,links!$D$2:$D$501,0))="","",INDEX(links!$C$2:$C$501,MATCH($C843,links!$D$2:$D$501,0))),""))</f>
        <v/>
      </c>
      <c r="J843" s="30" t="str">
        <f aca="false">IF($C843="","",IF($G843="","slug not in links; ","")&amp;IF($D843="","reading type missing; ","")&amp;IF(COUNTIFS(scans!$C$2:$C$1601,$C843,scans!$D$2:$D$1601,$D843)&gt;1,"two readings of this type: keep one; ",""))</f>
        <v/>
      </c>
    </row>
    <row r="844" customFormat="false" ht="15" hidden="false" customHeight="false" outlineLevel="0" collapsed="false">
      <c r="A844" s="11"/>
      <c r="B844" s="38"/>
      <c r="D844" s="10"/>
      <c r="G844" s="30" t="str">
        <f aca="false">IF($C844="","",IFERROR(IF(INDEX(links!$A$2:$A$501,MATCH($C844,links!$D$2:$D$501,0))="","",INDEX(links!$A$2:$A$501,MATCH($C844,links!$D$2:$D$501,0))),""))</f>
        <v/>
      </c>
      <c r="H844" s="30" t="str">
        <f aca="false">IF($C844="","",IFERROR(IF(INDEX(links!$B$2:$B$501,MATCH($C844,links!$D$2:$D$501,0))="","",INDEX(links!$B$2:$B$501,MATCH($C844,links!$D$2:$D$501,0))),""))</f>
        <v/>
      </c>
      <c r="I844" s="30" t="str">
        <f aca="false">IF($C844="","",IFERROR(IF(INDEX(links!$C$2:$C$501,MATCH($C844,links!$D$2:$D$501,0))="","",INDEX(links!$C$2:$C$501,MATCH($C844,links!$D$2:$D$501,0))),""))</f>
        <v/>
      </c>
      <c r="J844" s="30" t="str">
        <f aca="false">IF($C844="","",IF($G844="","slug not in links; ","")&amp;IF($D844="","reading type missing; ","")&amp;IF(COUNTIFS(scans!$C$2:$C$1601,$C844,scans!$D$2:$D$1601,$D844)&gt;1,"two readings of this type: keep one; ",""))</f>
        <v/>
      </c>
    </row>
    <row r="845" customFormat="false" ht="15" hidden="false" customHeight="false" outlineLevel="0" collapsed="false">
      <c r="A845" s="11"/>
      <c r="B845" s="38"/>
      <c r="D845" s="10"/>
      <c r="G845" s="30" t="str">
        <f aca="false">IF($C845="","",IFERROR(IF(INDEX(links!$A$2:$A$501,MATCH($C845,links!$D$2:$D$501,0))="","",INDEX(links!$A$2:$A$501,MATCH($C845,links!$D$2:$D$501,0))),""))</f>
        <v/>
      </c>
      <c r="H845" s="30" t="str">
        <f aca="false">IF($C845="","",IFERROR(IF(INDEX(links!$B$2:$B$501,MATCH($C845,links!$D$2:$D$501,0))="","",INDEX(links!$B$2:$B$501,MATCH($C845,links!$D$2:$D$501,0))),""))</f>
        <v/>
      </c>
      <c r="I845" s="30" t="str">
        <f aca="false">IF($C845="","",IFERROR(IF(INDEX(links!$C$2:$C$501,MATCH($C845,links!$D$2:$D$501,0))="","",INDEX(links!$C$2:$C$501,MATCH($C845,links!$D$2:$D$501,0))),""))</f>
        <v/>
      </c>
      <c r="J845" s="30" t="str">
        <f aca="false">IF($C845="","",IF($G845="","slug not in links; ","")&amp;IF($D845="","reading type missing; ","")&amp;IF(COUNTIFS(scans!$C$2:$C$1601,$C845,scans!$D$2:$D$1601,$D845)&gt;1,"two readings of this type: keep one; ",""))</f>
        <v/>
      </c>
    </row>
    <row r="846" customFormat="false" ht="15" hidden="false" customHeight="false" outlineLevel="0" collapsed="false">
      <c r="A846" s="11"/>
      <c r="B846" s="38"/>
      <c r="D846" s="10"/>
      <c r="G846" s="30" t="str">
        <f aca="false">IF($C846="","",IFERROR(IF(INDEX(links!$A$2:$A$501,MATCH($C846,links!$D$2:$D$501,0))="","",INDEX(links!$A$2:$A$501,MATCH($C846,links!$D$2:$D$501,0))),""))</f>
        <v/>
      </c>
      <c r="H846" s="30" t="str">
        <f aca="false">IF($C846="","",IFERROR(IF(INDEX(links!$B$2:$B$501,MATCH($C846,links!$D$2:$D$501,0))="","",INDEX(links!$B$2:$B$501,MATCH($C846,links!$D$2:$D$501,0))),""))</f>
        <v/>
      </c>
      <c r="I846" s="30" t="str">
        <f aca="false">IF($C846="","",IFERROR(IF(INDEX(links!$C$2:$C$501,MATCH($C846,links!$D$2:$D$501,0))="","",INDEX(links!$C$2:$C$501,MATCH($C846,links!$D$2:$D$501,0))),""))</f>
        <v/>
      </c>
      <c r="J846" s="30" t="str">
        <f aca="false">IF($C846="","",IF($G846="","slug not in links; ","")&amp;IF($D846="","reading type missing; ","")&amp;IF(COUNTIFS(scans!$C$2:$C$1601,$C846,scans!$D$2:$D$1601,$D846)&gt;1,"two readings of this type: keep one; ",""))</f>
        <v/>
      </c>
    </row>
    <row r="847" customFormat="false" ht="15" hidden="false" customHeight="false" outlineLevel="0" collapsed="false">
      <c r="A847" s="11"/>
      <c r="B847" s="38"/>
      <c r="D847" s="10"/>
      <c r="G847" s="30" t="str">
        <f aca="false">IF($C847="","",IFERROR(IF(INDEX(links!$A$2:$A$501,MATCH($C847,links!$D$2:$D$501,0))="","",INDEX(links!$A$2:$A$501,MATCH($C847,links!$D$2:$D$501,0))),""))</f>
        <v/>
      </c>
      <c r="H847" s="30" t="str">
        <f aca="false">IF($C847="","",IFERROR(IF(INDEX(links!$B$2:$B$501,MATCH($C847,links!$D$2:$D$501,0))="","",INDEX(links!$B$2:$B$501,MATCH($C847,links!$D$2:$D$501,0))),""))</f>
        <v/>
      </c>
      <c r="I847" s="30" t="str">
        <f aca="false">IF($C847="","",IFERROR(IF(INDEX(links!$C$2:$C$501,MATCH($C847,links!$D$2:$D$501,0))="","",INDEX(links!$C$2:$C$501,MATCH($C847,links!$D$2:$D$501,0))),""))</f>
        <v/>
      </c>
      <c r="J847" s="30" t="str">
        <f aca="false">IF($C847="","",IF($G847="","slug not in links; ","")&amp;IF($D847="","reading type missing; ","")&amp;IF(COUNTIFS(scans!$C$2:$C$1601,$C847,scans!$D$2:$D$1601,$D847)&gt;1,"two readings of this type: keep one; ",""))</f>
        <v/>
      </c>
    </row>
    <row r="848" customFormat="false" ht="15" hidden="false" customHeight="false" outlineLevel="0" collapsed="false">
      <c r="A848" s="11"/>
      <c r="B848" s="38"/>
      <c r="D848" s="10"/>
      <c r="G848" s="30" t="str">
        <f aca="false">IF($C848="","",IFERROR(IF(INDEX(links!$A$2:$A$501,MATCH($C848,links!$D$2:$D$501,0))="","",INDEX(links!$A$2:$A$501,MATCH($C848,links!$D$2:$D$501,0))),""))</f>
        <v/>
      </c>
      <c r="H848" s="30" t="str">
        <f aca="false">IF($C848="","",IFERROR(IF(INDEX(links!$B$2:$B$501,MATCH($C848,links!$D$2:$D$501,0))="","",INDEX(links!$B$2:$B$501,MATCH($C848,links!$D$2:$D$501,0))),""))</f>
        <v/>
      </c>
      <c r="I848" s="30" t="str">
        <f aca="false">IF($C848="","",IFERROR(IF(INDEX(links!$C$2:$C$501,MATCH($C848,links!$D$2:$D$501,0))="","",INDEX(links!$C$2:$C$501,MATCH($C848,links!$D$2:$D$501,0))),""))</f>
        <v/>
      </c>
      <c r="J848" s="30" t="str">
        <f aca="false">IF($C848="","",IF($G848="","slug not in links; ","")&amp;IF($D848="","reading type missing; ","")&amp;IF(COUNTIFS(scans!$C$2:$C$1601,$C848,scans!$D$2:$D$1601,$D848)&gt;1,"two readings of this type: keep one; ",""))</f>
        <v/>
      </c>
    </row>
    <row r="849" customFormat="false" ht="15" hidden="false" customHeight="false" outlineLevel="0" collapsed="false">
      <c r="A849" s="11"/>
      <c r="B849" s="38"/>
      <c r="D849" s="10"/>
      <c r="G849" s="30" t="str">
        <f aca="false">IF($C849="","",IFERROR(IF(INDEX(links!$A$2:$A$501,MATCH($C849,links!$D$2:$D$501,0))="","",INDEX(links!$A$2:$A$501,MATCH($C849,links!$D$2:$D$501,0))),""))</f>
        <v/>
      </c>
      <c r="H849" s="30" t="str">
        <f aca="false">IF($C849="","",IFERROR(IF(INDEX(links!$B$2:$B$501,MATCH($C849,links!$D$2:$D$501,0))="","",INDEX(links!$B$2:$B$501,MATCH($C849,links!$D$2:$D$501,0))),""))</f>
        <v/>
      </c>
      <c r="I849" s="30" t="str">
        <f aca="false">IF($C849="","",IFERROR(IF(INDEX(links!$C$2:$C$501,MATCH($C849,links!$D$2:$D$501,0))="","",INDEX(links!$C$2:$C$501,MATCH($C849,links!$D$2:$D$501,0))),""))</f>
        <v/>
      </c>
      <c r="J849" s="30" t="str">
        <f aca="false">IF($C849="","",IF($G849="","slug not in links; ","")&amp;IF($D849="","reading type missing; ","")&amp;IF(COUNTIFS(scans!$C$2:$C$1601,$C849,scans!$D$2:$D$1601,$D849)&gt;1,"two readings of this type: keep one; ",""))</f>
        <v/>
      </c>
    </row>
    <row r="850" customFormat="false" ht="15" hidden="false" customHeight="false" outlineLevel="0" collapsed="false">
      <c r="A850" s="11"/>
      <c r="B850" s="38"/>
      <c r="D850" s="10"/>
      <c r="G850" s="30" t="str">
        <f aca="false">IF($C850="","",IFERROR(IF(INDEX(links!$A$2:$A$501,MATCH($C850,links!$D$2:$D$501,0))="","",INDEX(links!$A$2:$A$501,MATCH($C850,links!$D$2:$D$501,0))),""))</f>
        <v/>
      </c>
      <c r="H850" s="30" t="str">
        <f aca="false">IF($C850="","",IFERROR(IF(INDEX(links!$B$2:$B$501,MATCH($C850,links!$D$2:$D$501,0))="","",INDEX(links!$B$2:$B$501,MATCH($C850,links!$D$2:$D$501,0))),""))</f>
        <v/>
      </c>
      <c r="I850" s="30" t="str">
        <f aca="false">IF($C850="","",IFERROR(IF(INDEX(links!$C$2:$C$501,MATCH($C850,links!$D$2:$D$501,0))="","",INDEX(links!$C$2:$C$501,MATCH($C850,links!$D$2:$D$501,0))),""))</f>
        <v/>
      </c>
      <c r="J850" s="30" t="str">
        <f aca="false">IF($C850="","",IF($G850="","slug not in links; ","")&amp;IF($D850="","reading type missing; ","")&amp;IF(COUNTIFS(scans!$C$2:$C$1601,$C850,scans!$D$2:$D$1601,$D850)&gt;1,"two readings of this type: keep one; ",""))</f>
        <v/>
      </c>
    </row>
    <row r="851" customFormat="false" ht="15" hidden="false" customHeight="false" outlineLevel="0" collapsed="false">
      <c r="A851" s="11"/>
      <c r="B851" s="38"/>
      <c r="D851" s="10"/>
      <c r="G851" s="30" t="str">
        <f aca="false">IF($C851="","",IFERROR(IF(INDEX(links!$A$2:$A$501,MATCH($C851,links!$D$2:$D$501,0))="","",INDEX(links!$A$2:$A$501,MATCH($C851,links!$D$2:$D$501,0))),""))</f>
        <v/>
      </c>
      <c r="H851" s="30" t="str">
        <f aca="false">IF($C851="","",IFERROR(IF(INDEX(links!$B$2:$B$501,MATCH($C851,links!$D$2:$D$501,0))="","",INDEX(links!$B$2:$B$501,MATCH($C851,links!$D$2:$D$501,0))),""))</f>
        <v/>
      </c>
      <c r="I851" s="30" t="str">
        <f aca="false">IF($C851="","",IFERROR(IF(INDEX(links!$C$2:$C$501,MATCH($C851,links!$D$2:$D$501,0))="","",INDEX(links!$C$2:$C$501,MATCH($C851,links!$D$2:$D$501,0))),""))</f>
        <v/>
      </c>
      <c r="J851" s="30" t="str">
        <f aca="false">IF($C851="","",IF($G851="","slug not in links; ","")&amp;IF($D851="","reading type missing; ","")&amp;IF(COUNTIFS(scans!$C$2:$C$1601,$C851,scans!$D$2:$D$1601,$D851)&gt;1,"two readings of this type: keep one; ",""))</f>
        <v/>
      </c>
    </row>
    <row r="852" customFormat="false" ht="15" hidden="false" customHeight="false" outlineLevel="0" collapsed="false">
      <c r="A852" s="11"/>
      <c r="B852" s="38"/>
      <c r="D852" s="10"/>
      <c r="G852" s="30" t="str">
        <f aca="false">IF($C852="","",IFERROR(IF(INDEX(links!$A$2:$A$501,MATCH($C852,links!$D$2:$D$501,0))="","",INDEX(links!$A$2:$A$501,MATCH($C852,links!$D$2:$D$501,0))),""))</f>
        <v/>
      </c>
      <c r="H852" s="30" t="str">
        <f aca="false">IF($C852="","",IFERROR(IF(INDEX(links!$B$2:$B$501,MATCH($C852,links!$D$2:$D$501,0))="","",INDEX(links!$B$2:$B$501,MATCH($C852,links!$D$2:$D$501,0))),""))</f>
        <v/>
      </c>
      <c r="I852" s="30" t="str">
        <f aca="false">IF($C852="","",IFERROR(IF(INDEX(links!$C$2:$C$501,MATCH($C852,links!$D$2:$D$501,0))="","",INDEX(links!$C$2:$C$501,MATCH($C852,links!$D$2:$D$501,0))),""))</f>
        <v/>
      </c>
      <c r="J852" s="30" t="str">
        <f aca="false">IF($C852="","",IF($G852="","slug not in links; ","")&amp;IF($D852="","reading type missing; ","")&amp;IF(COUNTIFS(scans!$C$2:$C$1601,$C852,scans!$D$2:$D$1601,$D852)&gt;1,"two readings of this type: keep one; ",""))</f>
        <v/>
      </c>
    </row>
    <row r="853" customFormat="false" ht="15" hidden="false" customHeight="false" outlineLevel="0" collapsed="false">
      <c r="A853" s="11"/>
      <c r="B853" s="38"/>
      <c r="D853" s="10"/>
      <c r="G853" s="30" t="str">
        <f aca="false">IF($C853="","",IFERROR(IF(INDEX(links!$A$2:$A$501,MATCH($C853,links!$D$2:$D$501,0))="","",INDEX(links!$A$2:$A$501,MATCH($C853,links!$D$2:$D$501,0))),""))</f>
        <v/>
      </c>
      <c r="H853" s="30" t="str">
        <f aca="false">IF($C853="","",IFERROR(IF(INDEX(links!$B$2:$B$501,MATCH($C853,links!$D$2:$D$501,0))="","",INDEX(links!$B$2:$B$501,MATCH($C853,links!$D$2:$D$501,0))),""))</f>
        <v/>
      </c>
      <c r="I853" s="30" t="str">
        <f aca="false">IF($C853="","",IFERROR(IF(INDEX(links!$C$2:$C$501,MATCH($C853,links!$D$2:$D$501,0))="","",INDEX(links!$C$2:$C$501,MATCH($C853,links!$D$2:$D$501,0))),""))</f>
        <v/>
      </c>
      <c r="J853" s="30" t="str">
        <f aca="false">IF($C853="","",IF($G853="","slug not in links; ","")&amp;IF($D853="","reading type missing; ","")&amp;IF(COUNTIFS(scans!$C$2:$C$1601,$C853,scans!$D$2:$D$1601,$D853)&gt;1,"two readings of this type: keep one; ",""))</f>
        <v/>
      </c>
    </row>
    <row r="854" customFormat="false" ht="15" hidden="false" customHeight="false" outlineLevel="0" collapsed="false">
      <c r="A854" s="11"/>
      <c r="B854" s="38"/>
      <c r="D854" s="10"/>
      <c r="G854" s="30" t="str">
        <f aca="false">IF($C854="","",IFERROR(IF(INDEX(links!$A$2:$A$501,MATCH($C854,links!$D$2:$D$501,0))="","",INDEX(links!$A$2:$A$501,MATCH($C854,links!$D$2:$D$501,0))),""))</f>
        <v/>
      </c>
      <c r="H854" s="30" t="str">
        <f aca="false">IF($C854="","",IFERROR(IF(INDEX(links!$B$2:$B$501,MATCH($C854,links!$D$2:$D$501,0))="","",INDEX(links!$B$2:$B$501,MATCH($C854,links!$D$2:$D$501,0))),""))</f>
        <v/>
      </c>
      <c r="I854" s="30" t="str">
        <f aca="false">IF($C854="","",IFERROR(IF(INDEX(links!$C$2:$C$501,MATCH($C854,links!$D$2:$D$501,0))="","",INDEX(links!$C$2:$C$501,MATCH($C854,links!$D$2:$D$501,0))),""))</f>
        <v/>
      </c>
      <c r="J854" s="30" t="str">
        <f aca="false">IF($C854="","",IF($G854="","slug not in links; ","")&amp;IF($D854="","reading type missing; ","")&amp;IF(COUNTIFS(scans!$C$2:$C$1601,$C854,scans!$D$2:$D$1601,$D854)&gt;1,"two readings of this type: keep one; ",""))</f>
        <v/>
      </c>
    </row>
    <row r="855" customFormat="false" ht="15" hidden="false" customHeight="false" outlineLevel="0" collapsed="false">
      <c r="A855" s="11"/>
      <c r="B855" s="38"/>
      <c r="D855" s="10"/>
      <c r="G855" s="30" t="str">
        <f aca="false">IF($C855="","",IFERROR(IF(INDEX(links!$A$2:$A$501,MATCH($C855,links!$D$2:$D$501,0))="","",INDEX(links!$A$2:$A$501,MATCH($C855,links!$D$2:$D$501,0))),""))</f>
        <v/>
      </c>
      <c r="H855" s="30" t="str">
        <f aca="false">IF($C855="","",IFERROR(IF(INDEX(links!$B$2:$B$501,MATCH($C855,links!$D$2:$D$501,0))="","",INDEX(links!$B$2:$B$501,MATCH($C855,links!$D$2:$D$501,0))),""))</f>
        <v/>
      </c>
      <c r="I855" s="30" t="str">
        <f aca="false">IF($C855="","",IFERROR(IF(INDEX(links!$C$2:$C$501,MATCH($C855,links!$D$2:$D$501,0))="","",INDEX(links!$C$2:$C$501,MATCH($C855,links!$D$2:$D$501,0))),""))</f>
        <v/>
      </c>
      <c r="J855" s="30" t="str">
        <f aca="false">IF($C855="","",IF($G855="","slug not in links; ","")&amp;IF($D855="","reading type missing; ","")&amp;IF(COUNTIFS(scans!$C$2:$C$1601,$C855,scans!$D$2:$D$1601,$D855)&gt;1,"two readings of this type: keep one; ",""))</f>
        <v/>
      </c>
    </row>
    <row r="856" customFormat="false" ht="15" hidden="false" customHeight="false" outlineLevel="0" collapsed="false">
      <c r="A856" s="11"/>
      <c r="B856" s="38"/>
      <c r="D856" s="10"/>
      <c r="G856" s="30" t="str">
        <f aca="false">IF($C856="","",IFERROR(IF(INDEX(links!$A$2:$A$501,MATCH($C856,links!$D$2:$D$501,0))="","",INDEX(links!$A$2:$A$501,MATCH($C856,links!$D$2:$D$501,0))),""))</f>
        <v/>
      </c>
      <c r="H856" s="30" t="str">
        <f aca="false">IF($C856="","",IFERROR(IF(INDEX(links!$B$2:$B$501,MATCH($C856,links!$D$2:$D$501,0))="","",INDEX(links!$B$2:$B$501,MATCH($C856,links!$D$2:$D$501,0))),""))</f>
        <v/>
      </c>
      <c r="I856" s="30" t="str">
        <f aca="false">IF($C856="","",IFERROR(IF(INDEX(links!$C$2:$C$501,MATCH($C856,links!$D$2:$D$501,0))="","",INDEX(links!$C$2:$C$501,MATCH($C856,links!$D$2:$D$501,0))),""))</f>
        <v/>
      </c>
      <c r="J856" s="30" t="str">
        <f aca="false">IF($C856="","",IF($G856="","slug not in links; ","")&amp;IF($D856="","reading type missing; ","")&amp;IF(COUNTIFS(scans!$C$2:$C$1601,$C856,scans!$D$2:$D$1601,$D856)&gt;1,"two readings of this type: keep one; ",""))</f>
        <v/>
      </c>
    </row>
    <row r="857" customFormat="false" ht="15" hidden="false" customHeight="false" outlineLevel="0" collapsed="false">
      <c r="A857" s="11"/>
      <c r="B857" s="38"/>
      <c r="D857" s="10"/>
      <c r="G857" s="30" t="str">
        <f aca="false">IF($C857="","",IFERROR(IF(INDEX(links!$A$2:$A$501,MATCH($C857,links!$D$2:$D$501,0))="","",INDEX(links!$A$2:$A$501,MATCH($C857,links!$D$2:$D$501,0))),""))</f>
        <v/>
      </c>
      <c r="H857" s="30" t="str">
        <f aca="false">IF($C857="","",IFERROR(IF(INDEX(links!$B$2:$B$501,MATCH($C857,links!$D$2:$D$501,0))="","",INDEX(links!$B$2:$B$501,MATCH($C857,links!$D$2:$D$501,0))),""))</f>
        <v/>
      </c>
      <c r="I857" s="30" t="str">
        <f aca="false">IF($C857="","",IFERROR(IF(INDEX(links!$C$2:$C$501,MATCH($C857,links!$D$2:$D$501,0))="","",INDEX(links!$C$2:$C$501,MATCH($C857,links!$D$2:$D$501,0))),""))</f>
        <v/>
      </c>
      <c r="J857" s="30" t="str">
        <f aca="false">IF($C857="","",IF($G857="","slug not in links; ","")&amp;IF($D857="","reading type missing; ","")&amp;IF(COUNTIFS(scans!$C$2:$C$1601,$C857,scans!$D$2:$D$1601,$D857)&gt;1,"two readings of this type: keep one; ",""))</f>
        <v/>
      </c>
    </row>
    <row r="858" customFormat="false" ht="15" hidden="false" customHeight="false" outlineLevel="0" collapsed="false">
      <c r="A858" s="11"/>
      <c r="B858" s="38"/>
      <c r="D858" s="10"/>
      <c r="G858" s="30" t="str">
        <f aca="false">IF($C858="","",IFERROR(IF(INDEX(links!$A$2:$A$501,MATCH($C858,links!$D$2:$D$501,0))="","",INDEX(links!$A$2:$A$501,MATCH($C858,links!$D$2:$D$501,0))),""))</f>
        <v/>
      </c>
      <c r="H858" s="30" t="str">
        <f aca="false">IF($C858="","",IFERROR(IF(INDEX(links!$B$2:$B$501,MATCH($C858,links!$D$2:$D$501,0))="","",INDEX(links!$B$2:$B$501,MATCH($C858,links!$D$2:$D$501,0))),""))</f>
        <v/>
      </c>
      <c r="I858" s="30" t="str">
        <f aca="false">IF($C858="","",IFERROR(IF(INDEX(links!$C$2:$C$501,MATCH($C858,links!$D$2:$D$501,0))="","",INDEX(links!$C$2:$C$501,MATCH($C858,links!$D$2:$D$501,0))),""))</f>
        <v/>
      </c>
      <c r="J858" s="30" t="str">
        <f aca="false">IF($C858="","",IF($G858="","slug not in links; ","")&amp;IF($D858="","reading type missing; ","")&amp;IF(COUNTIFS(scans!$C$2:$C$1601,$C858,scans!$D$2:$D$1601,$D858)&gt;1,"two readings of this type: keep one; ",""))</f>
        <v/>
      </c>
    </row>
    <row r="859" customFormat="false" ht="15" hidden="false" customHeight="false" outlineLevel="0" collapsed="false">
      <c r="A859" s="11"/>
      <c r="B859" s="38"/>
      <c r="D859" s="10"/>
      <c r="G859" s="30" t="str">
        <f aca="false">IF($C859="","",IFERROR(IF(INDEX(links!$A$2:$A$501,MATCH($C859,links!$D$2:$D$501,0))="","",INDEX(links!$A$2:$A$501,MATCH($C859,links!$D$2:$D$501,0))),""))</f>
        <v/>
      </c>
      <c r="H859" s="30" t="str">
        <f aca="false">IF($C859="","",IFERROR(IF(INDEX(links!$B$2:$B$501,MATCH($C859,links!$D$2:$D$501,0))="","",INDEX(links!$B$2:$B$501,MATCH($C859,links!$D$2:$D$501,0))),""))</f>
        <v/>
      </c>
      <c r="I859" s="30" t="str">
        <f aca="false">IF($C859="","",IFERROR(IF(INDEX(links!$C$2:$C$501,MATCH($C859,links!$D$2:$D$501,0))="","",INDEX(links!$C$2:$C$501,MATCH($C859,links!$D$2:$D$501,0))),""))</f>
        <v/>
      </c>
      <c r="J859" s="30" t="str">
        <f aca="false">IF($C859="","",IF($G859="","slug not in links; ","")&amp;IF($D859="","reading type missing; ","")&amp;IF(COUNTIFS(scans!$C$2:$C$1601,$C859,scans!$D$2:$D$1601,$D859)&gt;1,"two readings of this type: keep one; ",""))</f>
        <v/>
      </c>
    </row>
    <row r="860" customFormat="false" ht="15" hidden="false" customHeight="false" outlineLevel="0" collapsed="false">
      <c r="A860" s="11"/>
      <c r="B860" s="38"/>
      <c r="D860" s="10"/>
      <c r="G860" s="30" t="str">
        <f aca="false">IF($C860="","",IFERROR(IF(INDEX(links!$A$2:$A$501,MATCH($C860,links!$D$2:$D$501,0))="","",INDEX(links!$A$2:$A$501,MATCH($C860,links!$D$2:$D$501,0))),""))</f>
        <v/>
      </c>
      <c r="H860" s="30" t="str">
        <f aca="false">IF($C860="","",IFERROR(IF(INDEX(links!$B$2:$B$501,MATCH($C860,links!$D$2:$D$501,0))="","",INDEX(links!$B$2:$B$501,MATCH($C860,links!$D$2:$D$501,0))),""))</f>
        <v/>
      </c>
      <c r="I860" s="30" t="str">
        <f aca="false">IF($C860="","",IFERROR(IF(INDEX(links!$C$2:$C$501,MATCH($C860,links!$D$2:$D$501,0))="","",INDEX(links!$C$2:$C$501,MATCH($C860,links!$D$2:$D$501,0))),""))</f>
        <v/>
      </c>
      <c r="J860" s="30" t="str">
        <f aca="false">IF($C860="","",IF($G860="","slug not in links; ","")&amp;IF($D860="","reading type missing; ","")&amp;IF(COUNTIFS(scans!$C$2:$C$1601,$C860,scans!$D$2:$D$1601,$D860)&gt;1,"two readings of this type: keep one; ",""))</f>
        <v/>
      </c>
    </row>
    <row r="861" customFormat="false" ht="15" hidden="false" customHeight="false" outlineLevel="0" collapsed="false">
      <c r="A861" s="11"/>
      <c r="B861" s="38"/>
      <c r="D861" s="10"/>
      <c r="G861" s="30" t="str">
        <f aca="false">IF($C861="","",IFERROR(IF(INDEX(links!$A$2:$A$501,MATCH($C861,links!$D$2:$D$501,0))="","",INDEX(links!$A$2:$A$501,MATCH($C861,links!$D$2:$D$501,0))),""))</f>
        <v/>
      </c>
      <c r="H861" s="30" t="str">
        <f aca="false">IF($C861="","",IFERROR(IF(INDEX(links!$B$2:$B$501,MATCH($C861,links!$D$2:$D$501,0))="","",INDEX(links!$B$2:$B$501,MATCH($C861,links!$D$2:$D$501,0))),""))</f>
        <v/>
      </c>
      <c r="I861" s="30" t="str">
        <f aca="false">IF($C861="","",IFERROR(IF(INDEX(links!$C$2:$C$501,MATCH($C861,links!$D$2:$D$501,0))="","",INDEX(links!$C$2:$C$501,MATCH($C861,links!$D$2:$D$501,0))),""))</f>
        <v/>
      </c>
      <c r="J861" s="30" t="str">
        <f aca="false">IF($C861="","",IF($G861="","slug not in links; ","")&amp;IF($D861="","reading type missing; ","")&amp;IF(COUNTIFS(scans!$C$2:$C$1601,$C861,scans!$D$2:$D$1601,$D861)&gt;1,"two readings of this type: keep one; ",""))</f>
        <v/>
      </c>
    </row>
    <row r="862" customFormat="false" ht="15" hidden="false" customHeight="false" outlineLevel="0" collapsed="false">
      <c r="A862" s="11"/>
      <c r="B862" s="38"/>
      <c r="D862" s="10"/>
      <c r="G862" s="30" t="str">
        <f aca="false">IF($C862="","",IFERROR(IF(INDEX(links!$A$2:$A$501,MATCH($C862,links!$D$2:$D$501,0))="","",INDEX(links!$A$2:$A$501,MATCH($C862,links!$D$2:$D$501,0))),""))</f>
        <v/>
      </c>
      <c r="H862" s="30" t="str">
        <f aca="false">IF($C862="","",IFERROR(IF(INDEX(links!$B$2:$B$501,MATCH($C862,links!$D$2:$D$501,0))="","",INDEX(links!$B$2:$B$501,MATCH($C862,links!$D$2:$D$501,0))),""))</f>
        <v/>
      </c>
      <c r="I862" s="30" t="str">
        <f aca="false">IF($C862="","",IFERROR(IF(INDEX(links!$C$2:$C$501,MATCH($C862,links!$D$2:$D$501,0))="","",INDEX(links!$C$2:$C$501,MATCH($C862,links!$D$2:$D$501,0))),""))</f>
        <v/>
      </c>
      <c r="J862" s="30" t="str">
        <f aca="false">IF($C862="","",IF($G862="","slug not in links; ","")&amp;IF($D862="","reading type missing; ","")&amp;IF(COUNTIFS(scans!$C$2:$C$1601,$C862,scans!$D$2:$D$1601,$D862)&gt;1,"two readings of this type: keep one; ",""))</f>
        <v/>
      </c>
    </row>
    <row r="863" customFormat="false" ht="15" hidden="false" customHeight="false" outlineLevel="0" collapsed="false">
      <c r="A863" s="11"/>
      <c r="B863" s="38"/>
      <c r="D863" s="10"/>
      <c r="G863" s="30" t="str">
        <f aca="false">IF($C863="","",IFERROR(IF(INDEX(links!$A$2:$A$501,MATCH($C863,links!$D$2:$D$501,0))="","",INDEX(links!$A$2:$A$501,MATCH($C863,links!$D$2:$D$501,0))),""))</f>
        <v/>
      </c>
      <c r="H863" s="30" t="str">
        <f aca="false">IF($C863="","",IFERROR(IF(INDEX(links!$B$2:$B$501,MATCH($C863,links!$D$2:$D$501,0))="","",INDEX(links!$B$2:$B$501,MATCH($C863,links!$D$2:$D$501,0))),""))</f>
        <v/>
      </c>
      <c r="I863" s="30" t="str">
        <f aca="false">IF($C863="","",IFERROR(IF(INDEX(links!$C$2:$C$501,MATCH($C863,links!$D$2:$D$501,0))="","",INDEX(links!$C$2:$C$501,MATCH($C863,links!$D$2:$D$501,0))),""))</f>
        <v/>
      </c>
      <c r="J863" s="30" t="str">
        <f aca="false">IF($C863="","",IF($G863="","slug not in links; ","")&amp;IF($D863="","reading type missing; ","")&amp;IF(COUNTIFS(scans!$C$2:$C$1601,$C863,scans!$D$2:$D$1601,$D863)&gt;1,"two readings of this type: keep one; ",""))</f>
        <v/>
      </c>
    </row>
    <row r="864" customFormat="false" ht="15" hidden="false" customHeight="false" outlineLevel="0" collapsed="false">
      <c r="A864" s="11"/>
      <c r="B864" s="38"/>
      <c r="D864" s="10"/>
      <c r="G864" s="30" t="str">
        <f aca="false">IF($C864="","",IFERROR(IF(INDEX(links!$A$2:$A$501,MATCH($C864,links!$D$2:$D$501,0))="","",INDEX(links!$A$2:$A$501,MATCH($C864,links!$D$2:$D$501,0))),""))</f>
        <v/>
      </c>
      <c r="H864" s="30" t="str">
        <f aca="false">IF($C864="","",IFERROR(IF(INDEX(links!$B$2:$B$501,MATCH($C864,links!$D$2:$D$501,0))="","",INDEX(links!$B$2:$B$501,MATCH($C864,links!$D$2:$D$501,0))),""))</f>
        <v/>
      </c>
      <c r="I864" s="30" t="str">
        <f aca="false">IF($C864="","",IFERROR(IF(INDEX(links!$C$2:$C$501,MATCH($C864,links!$D$2:$D$501,0))="","",INDEX(links!$C$2:$C$501,MATCH($C864,links!$D$2:$D$501,0))),""))</f>
        <v/>
      </c>
      <c r="J864" s="30" t="str">
        <f aca="false">IF($C864="","",IF($G864="","slug not in links; ","")&amp;IF($D864="","reading type missing; ","")&amp;IF(COUNTIFS(scans!$C$2:$C$1601,$C864,scans!$D$2:$D$1601,$D864)&gt;1,"two readings of this type: keep one; ",""))</f>
        <v/>
      </c>
    </row>
    <row r="865" customFormat="false" ht="15" hidden="false" customHeight="false" outlineLevel="0" collapsed="false">
      <c r="A865" s="11"/>
      <c r="B865" s="38"/>
      <c r="D865" s="10"/>
      <c r="G865" s="30" t="str">
        <f aca="false">IF($C865="","",IFERROR(IF(INDEX(links!$A$2:$A$501,MATCH($C865,links!$D$2:$D$501,0))="","",INDEX(links!$A$2:$A$501,MATCH($C865,links!$D$2:$D$501,0))),""))</f>
        <v/>
      </c>
      <c r="H865" s="30" t="str">
        <f aca="false">IF($C865="","",IFERROR(IF(INDEX(links!$B$2:$B$501,MATCH($C865,links!$D$2:$D$501,0))="","",INDEX(links!$B$2:$B$501,MATCH($C865,links!$D$2:$D$501,0))),""))</f>
        <v/>
      </c>
      <c r="I865" s="30" t="str">
        <f aca="false">IF($C865="","",IFERROR(IF(INDEX(links!$C$2:$C$501,MATCH($C865,links!$D$2:$D$501,0))="","",INDEX(links!$C$2:$C$501,MATCH($C865,links!$D$2:$D$501,0))),""))</f>
        <v/>
      </c>
      <c r="J865" s="30" t="str">
        <f aca="false">IF($C865="","",IF($G865="","slug not in links; ","")&amp;IF($D865="","reading type missing; ","")&amp;IF(COUNTIFS(scans!$C$2:$C$1601,$C865,scans!$D$2:$D$1601,$D865)&gt;1,"two readings of this type: keep one; ",""))</f>
        <v/>
      </c>
    </row>
    <row r="866" customFormat="false" ht="15" hidden="false" customHeight="false" outlineLevel="0" collapsed="false">
      <c r="A866" s="11"/>
      <c r="B866" s="38"/>
      <c r="D866" s="10"/>
      <c r="G866" s="30" t="str">
        <f aca="false">IF($C866="","",IFERROR(IF(INDEX(links!$A$2:$A$501,MATCH($C866,links!$D$2:$D$501,0))="","",INDEX(links!$A$2:$A$501,MATCH($C866,links!$D$2:$D$501,0))),""))</f>
        <v/>
      </c>
      <c r="H866" s="30" t="str">
        <f aca="false">IF($C866="","",IFERROR(IF(INDEX(links!$B$2:$B$501,MATCH($C866,links!$D$2:$D$501,0))="","",INDEX(links!$B$2:$B$501,MATCH($C866,links!$D$2:$D$501,0))),""))</f>
        <v/>
      </c>
      <c r="I866" s="30" t="str">
        <f aca="false">IF($C866="","",IFERROR(IF(INDEX(links!$C$2:$C$501,MATCH($C866,links!$D$2:$D$501,0))="","",INDEX(links!$C$2:$C$501,MATCH($C866,links!$D$2:$D$501,0))),""))</f>
        <v/>
      </c>
      <c r="J866" s="30" t="str">
        <f aca="false">IF($C866="","",IF($G866="","slug not in links; ","")&amp;IF($D866="","reading type missing; ","")&amp;IF(COUNTIFS(scans!$C$2:$C$1601,$C866,scans!$D$2:$D$1601,$D866)&gt;1,"two readings of this type: keep one; ",""))</f>
        <v/>
      </c>
    </row>
    <row r="867" customFormat="false" ht="15" hidden="false" customHeight="false" outlineLevel="0" collapsed="false">
      <c r="A867" s="11"/>
      <c r="B867" s="38"/>
      <c r="D867" s="10"/>
      <c r="G867" s="30" t="str">
        <f aca="false">IF($C867="","",IFERROR(IF(INDEX(links!$A$2:$A$501,MATCH($C867,links!$D$2:$D$501,0))="","",INDEX(links!$A$2:$A$501,MATCH($C867,links!$D$2:$D$501,0))),""))</f>
        <v/>
      </c>
      <c r="H867" s="30" t="str">
        <f aca="false">IF($C867="","",IFERROR(IF(INDEX(links!$B$2:$B$501,MATCH($C867,links!$D$2:$D$501,0))="","",INDEX(links!$B$2:$B$501,MATCH($C867,links!$D$2:$D$501,0))),""))</f>
        <v/>
      </c>
      <c r="I867" s="30" t="str">
        <f aca="false">IF($C867="","",IFERROR(IF(INDEX(links!$C$2:$C$501,MATCH($C867,links!$D$2:$D$501,0))="","",INDEX(links!$C$2:$C$501,MATCH($C867,links!$D$2:$D$501,0))),""))</f>
        <v/>
      </c>
      <c r="J867" s="30" t="str">
        <f aca="false">IF($C867="","",IF($G867="","slug not in links; ","")&amp;IF($D867="","reading type missing; ","")&amp;IF(COUNTIFS(scans!$C$2:$C$1601,$C867,scans!$D$2:$D$1601,$D867)&gt;1,"two readings of this type: keep one; ",""))</f>
        <v/>
      </c>
    </row>
    <row r="868" customFormat="false" ht="15" hidden="false" customHeight="false" outlineLevel="0" collapsed="false">
      <c r="A868" s="11"/>
      <c r="B868" s="38"/>
      <c r="D868" s="10"/>
      <c r="G868" s="30" t="str">
        <f aca="false">IF($C868="","",IFERROR(IF(INDEX(links!$A$2:$A$501,MATCH($C868,links!$D$2:$D$501,0))="","",INDEX(links!$A$2:$A$501,MATCH($C868,links!$D$2:$D$501,0))),""))</f>
        <v/>
      </c>
      <c r="H868" s="30" t="str">
        <f aca="false">IF($C868="","",IFERROR(IF(INDEX(links!$B$2:$B$501,MATCH($C868,links!$D$2:$D$501,0))="","",INDEX(links!$B$2:$B$501,MATCH($C868,links!$D$2:$D$501,0))),""))</f>
        <v/>
      </c>
      <c r="I868" s="30" t="str">
        <f aca="false">IF($C868="","",IFERROR(IF(INDEX(links!$C$2:$C$501,MATCH($C868,links!$D$2:$D$501,0))="","",INDEX(links!$C$2:$C$501,MATCH($C868,links!$D$2:$D$501,0))),""))</f>
        <v/>
      </c>
      <c r="J868" s="30" t="str">
        <f aca="false">IF($C868="","",IF($G868="","slug not in links; ","")&amp;IF($D868="","reading type missing; ","")&amp;IF(COUNTIFS(scans!$C$2:$C$1601,$C868,scans!$D$2:$D$1601,$D868)&gt;1,"two readings of this type: keep one; ",""))</f>
        <v/>
      </c>
    </row>
    <row r="869" customFormat="false" ht="15" hidden="false" customHeight="false" outlineLevel="0" collapsed="false">
      <c r="A869" s="11"/>
      <c r="B869" s="38"/>
      <c r="D869" s="10"/>
      <c r="G869" s="30" t="str">
        <f aca="false">IF($C869="","",IFERROR(IF(INDEX(links!$A$2:$A$501,MATCH($C869,links!$D$2:$D$501,0))="","",INDEX(links!$A$2:$A$501,MATCH($C869,links!$D$2:$D$501,0))),""))</f>
        <v/>
      </c>
      <c r="H869" s="30" t="str">
        <f aca="false">IF($C869="","",IFERROR(IF(INDEX(links!$B$2:$B$501,MATCH($C869,links!$D$2:$D$501,0))="","",INDEX(links!$B$2:$B$501,MATCH($C869,links!$D$2:$D$501,0))),""))</f>
        <v/>
      </c>
      <c r="I869" s="30" t="str">
        <f aca="false">IF($C869="","",IFERROR(IF(INDEX(links!$C$2:$C$501,MATCH($C869,links!$D$2:$D$501,0))="","",INDEX(links!$C$2:$C$501,MATCH($C869,links!$D$2:$D$501,0))),""))</f>
        <v/>
      </c>
      <c r="J869" s="30" t="str">
        <f aca="false">IF($C869="","",IF($G869="","slug not in links; ","")&amp;IF($D869="","reading type missing; ","")&amp;IF(COUNTIFS(scans!$C$2:$C$1601,$C869,scans!$D$2:$D$1601,$D869)&gt;1,"two readings of this type: keep one; ",""))</f>
        <v/>
      </c>
    </row>
    <row r="870" customFormat="false" ht="15" hidden="false" customHeight="false" outlineLevel="0" collapsed="false">
      <c r="A870" s="11"/>
      <c r="B870" s="38"/>
      <c r="D870" s="10"/>
      <c r="G870" s="30" t="str">
        <f aca="false">IF($C870="","",IFERROR(IF(INDEX(links!$A$2:$A$501,MATCH($C870,links!$D$2:$D$501,0))="","",INDEX(links!$A$2:$A$501,MATCH($C870,links!$D$2:$D$501,0))),""))</f>
        <v/>
      </c>
      <c r="H870" s="30" t="str">
        <f aca="false">IF($C870="","",IFERROR(IF(INDEX(links!$B$2:$B$501,MATCH($C870,links!$D$2:$D$501,0))="","",INDEX(links!$B$2:$B$501,MATCH($C870,links!$D$2:$D$501,0))),""))</f>
        <v/>
      </c>
      <c r="I870" s="30" t="str">
        <f aca="false">IF($C870="","",IFERROR(IF(INDEX(links!$C$2:$C$501,MATCH($C870,links!$D$2:$D$501,0))="","",INDEX(links!$C$2:$C$501,MATCH($C870,links!$D$2:$D$501,0))),""))</f>
        <v/>
      </c>
      <c r="J870" s="30" t="str">
        <f aca="false">IF($C870="","",IF($G870="","slug not in links; ","")&amp;IF($D870="","reading type missing; ","")&amp;IF(COUNTIFS(scans!$C$2:$C$1601,$C870,scans!$D$2:$D$1601,$D870)&gt;1,"two readings of this type: keep one; ",""))</f>
        <v/>
      </c>
    </row>
    <row r="871" customFormat="false" ht="15" hidden="false" customHeight="false" outlineLevel="0" collapsed="false">
      <c r="A871" s="11"/>
      <c r="B871" s="38"/>
      <c r="D871" s="10"/>
      <c r="G871" s="30" t="str">
        <f aca="false">IF($C871="","",IFERROR(IF(INDEX(links!$A$2:$A$501,MATCH($C871,links!$D$2:$D$501,0))="","",INDEX(links!$A$2:$A$501,MATCH($C871,links!$D$2:$D$501,0))),""))</f>
        <v/>
      </c>
      <c r="H871" s="30" t="str">
        <f aca="false">IF($C871="","",IFERROR(IF(INDEX(links!$B$2:$B$501,MATCH($C871,links!$D$2:$D$501,0))="","",INDEX(links!$B$2:$B$501,MATCH($C871,links!$D$2:$D$501,0))),""))</f>
        <v/>
      </c>
      <c r="I871" s="30" t="str">
        <f aca="false">IF($C871="","",IFERROR(IF(INDEX(links!$C$2:$C$501,MATCH($C871,links!$D$2:$D$501,0))="","",INDEX(links!$C$2:$C$501,MATCH($C871,links!$D$2:$D$501,0))),""))</f>
        <v/>
      </c>
      <c r="J871" s="30" t="str">
        <f aca="false">IF($C871="","",IF($G871="","slug not in links; ","")&amp;IF($D871="","reading type missing; ","")&amp;IF(COUNTIFS(scans!$C$2:$C$1601,$C871,scans!$D$2:$D$1601,$D871)&gt;1,"two readings of this type: keep one; ",""))</f>
        <v/>
      </c>
    </row>
    <row r="872" customFormat="false" ht="15" hidden="false" customHeight="false" outlineLevel="0" collapsed="false">
      <c r="A872" s="11"/>
      <c r="B872" s="38"/>
      <c r="D872" s="10"/>
      <c r="G872" s="30" t="str">
        <f aca="false">IF($C872="","",IFERROR(IF(INDEX(links!$A$2:$A$501,MATCH($C872,links!$D$2:$D$501,0))="","",INDEX(links!$A$2:$A$501,MATCH($C872,links!$D$2:$D$501,0))),""))</f>
        <v/>
      </c>
      <c r="H872" s="30" t="str">
        <f aca="false">IF($C872="","",IFERROR(IF(INDEX(links!$B$2:$B$501,MATCH($C872,links!$D$2:$D$501,0))="","",INDEX(links!$B$2:$B$501,MATCH($C872,links!$D$2:$D$501,0))),""))</f>
        <v/>
      </c>
      <c r="I872" s="30" t="str">
        <f aca="false">IF($C872="","",IFERROR(IF(INDEX(links!$C$2:$C$501,MATCH($C872,links!$D$2:$D$501,0))="","",INDEX(links!$C$2:$C$501,MATCH($C872,links!$D$2:$D$501,0))),""))</f>
        <v/>
      </c>
      <c r="J872" s="30" t="str">
        <f aca="false">IF($C872="","",IF($G872="","slug not in links; ","")&amp;IF($D872="","reading type missing; ","")&amp;IF(COUNTIFS(scans!$C$2:$C$1601,$C872,scans!$D$2:$D$1601,$D872)&gt;1,"two readings of this type: keep one; ",""))</f>
        <v/>
      </c>
    </row>
    <row r="873" customFormat="false" ht="15" hidden="false" customHeight="false" outlineLevel="0" collapsed="false">
      <c r="A873" s="11"/>
      <c r="B873" s="38"/>
      <c r="D873" s="10"/>
      <c r="G873" s="30" t="str">
        <f aca="false">IF($C873="","",IFERROR(IF(INDEX(links!$A$2:$A$501,MATCH($C873,links!$D$2:$D$501,0))="","",INDEX(links!$A$2:$A$501,MATCH($C873,links!$D$2:$D$501,0))),""))</f>
        <v/>
      </c>
      <c r="H873" s="30" t="str">
        <f aca="false">IF($C873="","",IFERROR(IF(INDEX(links!$B$2:$B$501,MATCH($C873,links!$D$2:$D$501,0))="","",INDEX(links!$B$2:$B$501,MATCH($C873,links!$D$2:$D$501,0))),""))</f>
        <v/>
      </c>
      <c r="I873" s="30" t="str">
        <f aca="false">IF($C873="","",IFERROR(IF(INDEX(links!$C$2:$C$501,MATCH($C873,links!$D$2:$D$501,0))="","",INDEX(links!$C$2:$C$501,MATCH($C873,links!$D$2:$D$501,0))),""))</f>
        <v/>
      </c>
      <c r="J873" s="30" t="str">
        <f aca="false">IF($C873="","",IF($G873="","slug not in links; ","")&amp;IF($D873="","reading type missing; ","")&amp;IF(COUNTIFS(scans!$C$2:$C$1601,$C873,scans!$D$2:$D$1601,$D873)&gt;1,"two readings of this type: keep one; ",""))</f>
        <v/>
      </c>
    </row>
    <row r="874" customFormat="false" ht="15" hidden="false" customHeight="false" outlineLevel="0" collapsed="false">
      <c r="A874" s="11"/>
      <c r="B874" s="38"/>
      <c r="D874" s="10"/>
      <c r="G874" s="30" t="str">
        <f aca="false">IF($C874="","",IFERROR(IF(INDEX(links!$A$2:$A$501,MATCH($C874,links!$D$2:$D$501,0))="","",INDEX(links!$A$2:$A$501,MATCH($C874,links!$D$2:$D$501,0))),""))</f>
        <v/>
      </c>
      <c r="H874" s="30" t="str">
        <f aca="false">IF($C874="","",IFERROR(IF(INDEX(links!$B$2:$B$501,MATCH($C874,links!$D$2:$D$501,0))="","",INDEX(links!$B$2:$B$501,MATCH($C874,links!$D$2:$D$501,0))),""))</f>
        <v/>
      </c>
      <c r="I874" s="30" t="str">
        <f aca="false">IF($C874="","",IFERROR(IF(INDEX(links!$C$2:$C$501,MATCH($C874,links!$D$2:$D$501,0))="","",INDEX(links!$C$2:$C$501,MATCH($C874,links!$D$2:$D$501,0))),""))</f>
        <v/>
      </c>
      <c r="J874" s="30" t="str">
        <f aca="false">IF($C874="","",IF($G874="","slug not in links; ","")&amp;IF($D874="","reading type missing; ","")&amp;IF(COUNTIFS(scans!$C$2:$C$1601,$C874,scans!$D$2:$D$1601,$D874)&gt;1,"two readings of this type: keep one; ",""))</f>
        <v/>
      </c>
    </row>
    <row r="875" customFormat="false" ht="15" hidden="false" customHeight="false" outlineLevel="0" collapsed="false">
      <c r="A875" s="11"/>
      <c r="B875" s="38"/>
      <c r="D875" s="10"/>
      <c r="G875" s="30" t="str">
        <f aca="false">IF($C875="","",IFERROR(IF(INDEX(links!$A$2:$A$501,MATCH($C875,links!$D$2:$D$501,0))="","",INDEX(links!$A$2:$A$501,MATCH($C875,links!$D$2:$D$501,0))),""))</f>
        <v/>
      </c>
      <c r="H875" s="30" t="str">
        <f aca="false">IF($C875="","",IFERROR(IF(INDEX(links!$B$2:$B$501,MATCH($C875,links!$D$2:$D$501,0))="","",INDEX(links!$B$2:$B$501,MATCH($C875,links!$D$2:$D$501,0))),""))</f>
        <v/>
      </c>
      <c r="I875" s="30" t="str">
        <f aca="false">IF($C875="","",IFERROR(IF(INDEX(links!$C$2:$C$501,MATCH($C875,links!$D$2:$D$501,0))="","",INDEX(links!$C$2:$C$501,MATCH($C875,links!$D$2:$D$501,0))),""))</f>
        <v/>
      </c>
      <c r="J875" s="30" t="str">
        <f aca="false">IF($C875="","",IF($G875="","slug not in links; ","")&amp;IF($D875="","reading type missing; ","")&amp;IF(COUNTIFS(scans!$C$2:$C$1601,$C875,scans!$D$2:$D$1601,$D875)&gt;1,"two readings of this type: keep one; ",""))</f>
        <v/>
      </c>
    </row>
    <row r="876" customFormat="false" ht="15" hidden="false" customHeight="false" outlineLevel="0" collapsed="false">
      <c r="A876" s="11"/>
      <c r="B876" s="38"/>
      <c r="D876" s="10"/>
      <c r="G876" s="30" t="str">
        <f aca="false">IF($C876="","",IFERROR(IF(INDEX(links!$A$2:$A$501,MATCH($C876,links!$D$2:$D$501,0))="","",INDEX(links!$A$2:$A$501,MATCH($C876,links!$D$2:$D$501,0))),""))</f>
        <v/>
      </c>
      <c r="H876" s="30" t="str">
        <f aca="false">IF($C876="","",IFERROR(IF(INDEX(links!$B$2:$B$501,MATCH($C876,links!$D$2:$D$501,0))="","",INDEX(links!$B$2:$B$501,MATCH($C876,links!$D$2:$D$501,0))),""))</f>
        <v/>
      </c>
      <c r="I876" s="30" t="str">
        <f aca="false">IF($C876="","",IFERROR(IF(INDEX(links!$C$2:$C$501,MATCH($C876,links!$D$2:$D$501,0))="","",INDEX(links!$C$2:$C$501,MATCH($C876,links!$D$2:$D$501,0))),""))</f>
        <v/>
      </c>
      <c r="J876" s="30" t="str">
        <f aca="false">IF($C876="","",IF($G876="","slug not in links; ","")&amp;IF($D876="","reading type missing; ","")&amp;IF(COUNTIFS(scans!$C$2:$C$1601,$C876,scans!$D$2:$D$1601,$D876)&gt;1,"two readings of this type: keep one; ",""))</f>
        <v/>
      </c>
    </row>
    <row r="877" customFormat="false" ht="15" hidden="false" customHeight="false" outlineLevel="0" collapsed="false">
      <c r="A877" s="11"/>
      <c r="B877" s="38"/>
      <c r="D877" s="10"/>
      <c r="G877" s="30" t="str">
        <f aca="false">IF($C877="","",IFERROR(IF(INDEX(links!$A$2:$A$501,MATCH($C877,links!$D$2:$D$501,0))="","",INDEX(links!$A$2:$A$501,MATCH($C877,links!$D$2:$D$501,0))),""))</f>
        <v/>
      </c>
      <c r="H877" s="30" t="str">
        <f aca="false">IF($C877="","",IFERROR(IF(INDEX(links!$B$2:$B$501,MATCH($C877,links!$D$2:$D$501,0))="","",INDEX(links!$B$2:$B$501,MATCH($C877,links!$D$2:$D$501,0))),""))</f>
        <v/>
      </c>
      <c r="I877" s="30" t="str">
        <f aca="false">IF($C877="","",IFERROR(IF(INDEX(links!$C$2:$C$501,MATCH($C877,links!$D$2:$D$501,0))="","",INDEX(links!$C$2:$C$501,MATCH($C877,links!$D$2:$D$501,0))),""))</f>
        <v/>
      </c>
      <c r="J877" s="30" t="str">
        <f aca="false">IF($C877="","",IF($G877="","slug not in links; ","")&amp;IF($D877="","reading type missing; ","")&amp;IF(COUNTIFS(scans!$C$2:$C$1601,$C877,scans!$D$2:$D$1601,$D877)&gt;1,"two readings of this type: keep one; ",""))</f>
        <v/>
      </c>
    </row>
    <row r="878" customFormat="false" ht="15" hidden="false" customHeight="false" outlineLevel="0" collapsed="false">
      <c r="A878" s="11"/>
      <c r="B878" s="38"/>
      <c r="D878" s="10"/>
      <c r="G878" s="30" t="str">
        <f aca="false">IF($C878="","",IFERROR(IF(INDEX(links!$A$2:$A$501,MATCH($C878,links!$D$2:$D$501,0))="","",INDEX(links!$A$2:$A$501,MATCH($C878,links!$D$2:$D$501,0))),""))</f>
        <v/>
      </c>
      <c r="H878" s="30" t="str">
        <f aca="false">IF($C878="","",IFERROR(IF(INDEX(links!$B$2:$B$501,MATCH($C878,links!$D$2:$D$501,0))="","",INDEX(links!$B$2:$B$501,MATCH($C878,links!$D$2:$D$501,0))),""))</f>
        <v/>
      </c>
      <c r="I878" s="30" t="str">
        <f aca="false">IF($C878="","",IFERROR(IF(INDEX(links!$C$2:$C$501,MATCH($C878,links!$D$2:$D$501,0))="","",INDEX(links!$C$2:$C$501,MATCH($C878,links!$D$2:$D$501,0))),""))</f>
        <v/>
      </c>
      <c r="J878" s="30" t="str">
        <f aca="false">IF($C878="","",IF($G878="","slug not in links; ","")&amp;IF($D878="","reading type missing; ","")&amp;IF(COUNTIFS(scans!$C$2:$C$1601,$C878,scans!$D$2:$D$1601,$D878)&gt;1,"two readings of this type: keep one; ",""))</f>
        <v/>
      </c>
    </row>
    <row r="879" customFormat="false" ht="15" hidden="false" customHeight="false" outlineLevel="0" collapsed="false">
      <c r="A879" s="11"/>
      <c r="B879" s="38"/>
      <c r="D879" s="10"/>
      <c r="G879" s="30" t="str">
        <f aca="false">IF($C879="","",IFERROR(IF(INDEX(links!$A$2:$A$501,MATCH($C879,links!$D$2:$D$501,0))="","",INDEX(links!$A$2:$A$501,MATCH($C879,links!$D$2:$D$501,0))),""))</f>
        <v/>
      </c>
      <c r="H879" s="30" t="str">
        <f aca="false">IF($C879="","",IFERROR(IF(INDEX(links!$B$2:$B$501,MATCH($C879,links!$D$2:$D$501,0))="","",INDEX(links!$B$2:$B$501,MATCH($C879,links!$D$2:$D$501,0))),""))</f>
        <v/>
      </c>
      <c r="I879" s="30" t="str">
        <f aca="false">IF($C879="","",IFERROR(IF(INDEX(links!$C$2:$C$501,MATCH($C879,links!$D$2:$D$501,0))="","",INDEX(links!$C$2:$C$501,MATCH($C879,links!$D$2:$D$501,0))),""))</f>
        <v/>
      </c>
      <c r="J879" s="30" t="str">
        <f aca="false">IF($C879="","",IF($G879="","slug not in links; ","")&amp;IF($D879="","reading type missing; ","")&amp;IF(COUNTIFS(scans!$C$2:$C$1601,$C879,scans!$D$2:$D$1601,$D879)&gt;1,"two readings of this type: keep one; ",""))</f>
        <v/>
      </c>
    </row>
    <row r="880" customFormat="false" ht="15" hidden="false" customHeight="false" outlineLevel="0" collapsed="false">
      <c r="A880" s="11"/>
      <c r="B880" s="38"/>
      <c r="D880" s="10"/>
      <c r="G880" s="30" t="str">
        <f aca="false">IF($C880="","",IFERROR(IF(INDEX(links!$A$2:$A$501,MATCH($C880,links!$D$2:$D$501,0))="","",INDEX(links!$A$2:$A$501,MATCH($C880,links!$D$2:$D$501,0))),""))</f>
        <v/>
      </c>
      <c r="H880" s="30" t="str">
        <f aca="false">IF($C880="","",IFERROR(IF(INDEX(links!$B$2:$B$501,MATCH($C880,links!$D$2:$D$501,0))="","",INDEX(links!$B$2:$B$501,MATCH($C880,links!$D$2:$D$501,0))),""))</f>
        <v/>
      </c>
      <c r="I880" s="30" t="str">
        <f aca="false">IF($C880="","",IFERROR(IF(INDEX(links!$C$2:$C$501,MATCH($C880,links!$D$2:$D$501,0))="","",INDEX(links!$C$2:$C$501,MATCH($C880,links!$D$2:$D$501,0))),""))</f>
        <v/>
      </c>
      <c r="J880" s="30" t="str">
        <f aca="false">IF($C880="","",IF($G880="","slug not in links; ","")&amp;IF($D880="","reading type missing; ","")&amp;IF(COUNTIFS(scans!$C$2:$C$1601,$C880,scans!$D$2:$D$1601,$D880)&gt;1,"two readings of this type: keep one; ",""))</f>
        <v/>
      </c>
    </row>
    <row r="881" customFormat="false" ht="15" hidden="false" customHeight="false" outlineLevel="0" collapsed="false">
      <c r="A881" s="11"/>
      <c r="B881" s="38"/>
      <c r="D881" s="10"/>
      <c r="G881" s="30" t="str">
        <f aca="false">IF($C881="","",IFERROR(IF(INDEX(links!$A$2:$A$501,MATCH($C881,links!$D$2:$D$501,0))="","",INDEX(links!$A$2:$A$501,MATCH($C881,links!$D$2:$D$501,0))),""))</f>
        <v/>
      </c>
      <c r="H881" s="30" t="str">
        <f aca="false">IF($C881="","",IFERROR(IF(INDEX(links!$B$2:$B$501,MATCH($C881,links!$D$2:$D$501,0))="","",INDEX(links!$B$2:$B$501,MATCH($C881,links!$D$2:$D$501,0))),""))</f>
        <v/>
      </c>
      <c r="I881" s="30" t="str">
        <f aca="false">IF($C881="","",IFERROR(IF(INDEX(links!$C$2:$C$501,MATCH($C881,links!$D$2:$D$501,0))="","",INDEX(links!$C$2:$C$501,MATCH($C881,links!$D$2:$D$501,0))),""))</f>
        <v/>
      </c>
      <c r="J881" s="30" t="str">
        <f aca="false">IF($C881="","",IF($G881="","slug not in links; ","")&amp;IF($D881="","reading type missing; ","")&amp;IF(COUNTIFS(scans!$C$2:$C$1601,$C881,scans!$D$2:$D$1601,$D881)&gt;1,"two readings of this type: keep one; ",""))</f>
        <v/>
      </c>
    </row>
    <row r="882" customFormat="false" ht="15" hidden="false" customHeight="false" outlineLevel="0" collapsed="false">
      <c r="A882" s="11"/>
      <c r="B882" s="38"/>
      <c r="D882" s="10"/>
      <c r="G882" s="30" t="str">
        <f aca="false">IF($C882="","",IFERROR(IF(INDEX(links!$A$2:$A$501,MATCH($C882,links!$D$2:$D$501,0))="","",INDEX(links!$A$2:$A$501,MATCH($C882,links!$D$2:$D$501,0))),""))</f>
        <v/>
      </c>
      <c r="H882" s="30" t="str">
        <f aca="false">IF($C882="","",IFERROR(IF(INDEX(links!$B$2:$B$501,MATCH($C882,links!$D$2:$D$501,0))="","",INDEX(links!$B$2:$B$501,MATCH($C882,links!$D$2:$D$501,0))),""))</f>
        <v/>
      </c>
      <c r="I882" s="30" t="str">
        <f aca="false">IF($C882="","",IFERROR(IF(INDEX(links!$C$2:$C$501,MATCH($C882,links!$D$2:$D$501,0))="","",INDEX(links!$C$2:$C$501,MATCH($C882,links!$D$2:$D$501,0))),""))</f>
        <v/>
      </c>
      <c r="J882" s="30" t="str">
        <f aca="false">IF($C882="","",IF($G882="","slug not in links; ","")&amp;IF($D882="","reading type missing; ","")&amp;IF(COUNTIFS(scans!$C$2:$C$1601,$C882,scans!$D$2:$D$1601,$D882)&gt;1,"two readings of this type: keep one; ",""))</f>
        <v/>
      </c>
    </row>
    <row r="883" customFormat="false" ht="15" hidden="false" customHeight="false" outlineLevel="0" collapsed="false">
      <c r="A883" s="11"/>
      <c r="B883" s="38"/>
      <c r="D883" s="10"/>
      <c r="G883" s="30" t="str">
        <f aca="false">IF($C883="","",IFERROR(IF(INDEX(links!$A$2:$A$501,MATCH($C883,links!$D$2:$D$501,0))="","",INDEX(links!$A$2:$A$501,MATCH($C883,links!$D$2:$D$501,0))),""))</f>
        <v/>
      </c>
      <c r="H883" s="30" t="str">
        <f aca="false">IF($C883="","",IFERROR(IF(INDEX(links!$B$2:$B$501,MATCH($C883,links!$D$2:$D$501,0))="","",INDEX(links!$B$2:$B$501,MATCH($C883,links!$D$2:$D$501,0))),""))</f>
        <v/>
      </c>
      <c r="I883" s="30" t="str">
        <f aca="false">IF($C883="","",IFERROR(IF(INDEX(links!$C$2:$C$501,MATCH($C883,links!$D$2:$D$501,0))="","",INDEX(links!$C$2:$C$501,MATCH($C883,links!$D$2:$D$501,0))),""))</f>
        <v/>
      </c>
      <c r="J883" s="30" t="str">
        <f aca="false">IF($C883="","",IF($G883="","slug not in links; ","")&amp;IF($D883="","reading type missing; ","")&amp;IF(COUNTIFS(scans!$C$2:$C$1601,$C883,scans!$D$2:$D$1601,$D883)&gt;1,"two readings of this type: keep one; ",""))</f>
        <v/>
      </c>
    </row>
    <row r="884" customFormat="false" ht="15" hidden="false" customHeight="false" outlineLevel="0" collapsed="false">
      <c r="A884" s="11"/>
      <c r="B884" s="38"/>
      <c r="D884" s="10"/>
      <c r="G884" s="30" t="str">
        <f aca="false">IF($C884="","",IFERROR(IF(INDEX(links!$A$2:$A$501,MATCH($C884,links!$D$2:$D$501,0))="","",INDEX(links!$A$2:$A$501,MATCH($C884,links!$D$2:$D$501,0))),""))</f>
        <v/>
      </c>
      <c r="H884" s="30" t="str">
        <f aca="false">IF($C884="","",IFERROR(IF(INDEX(links!$B$2:$B$501,MATCH($C884,links!$D$2:$D$501,0))="","",INDEX(links!$B$2:$B$501,MATCH($C884,links!$D$2:$D$501,0))),""))</f>
        <v/>
      </c>
      <c r="I884" s="30" t="str">
        <f aca="false">IF($C884="","",IFERROR(IF(INDEX(links!$C$2:$C$501,MATCH($C884,links!$D$2:$D$501,0))="","",INDEX(links!$C$2:$C$501,MATCH($C884,links!$D$2:$D$501,0))),""))</f>
        <v/>
      </c>
      <c r="J884" s="30" t="str">
        <f aca="false">IF($C884="","",IF($G884="","slug not in links; ","")&amp;IF($D884="","reading type missing; ","")&amp;IF(COUNTIFS(scans!$C$2:$C$1601,$C884,scans!$D$2:$D$1601,$D884)&gt;1,"two readings of this type: keep one; ",""))</f>
        <v/>
      </c>
    </row>
    <row r="885" customFormat="false" ht="15" hidden="false" customHeight="false" outlineLevel="0" collapsed="false">
      <c r="A885" s="11"/>
      <c r="B885" s="38"/>
      <c r="D885" s="10"/>
      <c r="G885" s="30" t="str">
        <f aca="false">IF($C885="","",IFERROR(IF(INDEX(links!$A$2:$A$501,MATCH($C885,links!$D$2:$D$501,0))="","",INDEX(links!$A$2:$A$501,MATCH($C885,links!$D$2:$D$501,0))),""))</f>
        <v/>
      </c>
      <c r="H885" s="30" t="str">
        <f aca="false">IF($C885="","",IFERROR(IF(INDEX(links!$B$2:$B$501,MATCH($C885,links!$D$2:$D$501,0))="","",INDEX(links!$B$2:$B$501,MATCH($C885,links!$D$2:$D$501,0))),""))</f>
        <v/>
      </c>
      <c r="I885" s="30" t="str">
        <f aca="false">IF($C885="","",IFERROR(IF(INDEX(links!$C$2:$C$501,MATCH($C885,links!$D$2:$D$501,0))="","",INDEX(links!$C$2:$C$501,MATCH($C885,links!$D$2:$D$501,0))),""))</f>
        <v/>
      </c>
      <c r="J885" s="30" t="str">
        <f aca="false">IF($C885="","",IF($G885="","slug not in links; ","")&amp;IF($D885="","reading type missing; ","")&amp;IF(COUNTIFS(scans!$C$2:$C$1601,$C885,scans!$D$2:$D$1601,$D885)&gt;1,"two readings of this type: keep one; ",""))</f>
        <v/>
      </c>
    </row>
    <row r="886" customFormat="false" ht="15" hidden="false" customHeight="false" outlineLevel="0" collapsed="false">
      <c r="A886" s="11"/>
      <c r="B886" s="38"/>
      <c r="D886" s="10"/>
      <c r="G886" s="30" t="str">
        <f aca="false">IF($C886="","",IFERROR(IF(INDEX(links!$A$2:$A$501,MATCH($C886,links!$D$2:$D$501,0))="","",INDEX(links!$A$2:$A$501,MATCH($C886,links!$D$2:$D$501,0))),""))</f>
        <v/>
      </c>
      <c r="H886" s="30" t="str">
        <f aca="false">IF($C886="","",IFERROR(IF(INDEX(links!$B$2:$B$501,MATCH($C886,links!$D$2:$D$501,0))="","",INDEX(links!$B$2:$B$501,MATCH($C886,links!$D$2:$D$501,0))),""))</f>
        <v/>
      </c>
      <c r="I886" s="30" t="str">
        <f aca="false">IF($C886="","",IFERROR(IF(INDEX(links!$C$2:$C$501,MATCH($C886,links!$D$2:$D$501,0))="","",INDEX(links!$C$2:$C$501,MATCH($C886,links!$D$2:$D$501,0))),""))</f>
        <v/>
      </c>
      <c r="J886" s="30" t="str">
        <f aca="false">IF($C886="","",IF($G886="","slug not in links; ","")&amp;IF($D886="","reading type missing; ","")&amp;IF(COUNTIFS(scans!$C$2:$C$1601,$C886,scans!$D$2:$D$1601,$D886)&gt;1,"two readings of this type: keep one; ",""))</f>
        <v/>
      </c>
    </row>
    <row r="887" customFormat="false" ht="15" hidden="false" customHeight="false" outlineLevel="0" collapsed="false">
      <c r="A887" s="11"/>
      <c r="B887" s="38"/>
      <c r="D887" s="10"/>
      <c r="G887" s="30" t="str">
        <f aca="false">IF($C887="","",IFERROR(IF(INDEX(links!$A$2:$A$501,MATCH($C887,links!$D$2:$D$501,0))="","",INDEX(links!$A$2:$A$501,MATCH($C887,links!$D$2:$D$501,0))),""))</f>
        <v/>
      </c>
      <c r="H887" s="30" t="str">
        <f aca="false">IF($C887="","",IFERROR(IF(INDEX(links!$B$2:$B$501,MATCH($C887,links!$D$2:$D$501,0))="","",INDEX(links!$B$2:$B$501,MATCH($C887,links!$D$2:$D$501,0))),""))</f>
        <v/>
      </c>
      <c r="I887" s="30" t="str">
        <f aca="false">IF($C887="","",IFERROR(IF(INDEX(links!$C$2:$C$501,MATCH($C887,links!$D$2:$D$501,0))="","",INDEX(links!$C$2:$C$501,MATCH($C887,links!$D$2:$D$501,0))),""))</f>
        <v/>
      </c>
      <c r="J887" s="30" t="str">
        <f aca="false">IF($C887="","",IF($G887="","slug not in links; ","")&amp;IF($D887="","reading type missing; ","")&amp;IF(COUNTIFS(scans!$C$2:$C$1601,$C887,scans!$D$2:$D$1601,$D887)&gt;1,"two readings of this type: keep one; ",""))</f>
        <v/>
      </c>
    </row>
    <row r="888" customFormat="false" ht="15" hidden="false" customHeight="false" outlineLevel="0" collapsed="false">
      <c r="A888" s="11"/>
      <c r="B888" s="38"/>
      <c r="D888" s="10"/>
      <c r="G888" s="30" t="str">
        <f aca="false">IF($C888="","",IFERROR(IF(INDEX(links!$A$2:$A$501,MATCH($C888,links!$D$2:$D$501,0))="","",INDEX(links!$A$2:$A$501,MATCH($C888,links!$D$2:$D$501,0))),""))</f>
        <v/>
      </c>
      <c r="H888" s="30" t="str">
        <f aca="false">IF($C888="","",IFERROR(IF(INDEX(links!$B$2:$B$501,MATCH($C888,links!$D$2:$D$501,0))="","",INDEX(links!$B$2:$B$501,MATCH($C888,links!$D$2:$D$501,0))),""))</f>
        <v/>
      </c>
      <c r="I888" s="30" t="str">
        <f aca="false">IF($C888="","",IFERROR(IF(INDEX(links!$C$2:$C$501,MATCH($C888,links!$D$2:$D$501,0))="","",INDEX(links!$C$2:$C$501,MATCH($C888,links!$D$2:$D$501,0))),""))</f>
        <v/>
      </c>
      <c r="J888" s="30" t="str">
        <f aca="false">IF($C888="","",IF($G888="","slug not in links; ","")&amp;IF($D888="","reading type missing; ","")&amp;IF(COUNTIFS(scans!$C$2:$C$1601,$C888,scans!$D$2:$D$1601,$D888)&gt;1,"two readings of this type: keep one; ",""))</f>
        <v/>
      </c>
    </row>
    <row r="889" customFormat="false" ht="15" hidden="false" customHeight="false" outlineLevel="0" collapsed="false">
      <c r="A889" s="11"/>
      <c r="B889" s="38"/>
      <c r="D889" s="10"/>
      <c r="G889" s="30" t="str">
        <f aca="false">IF($C889="","",IFERROR(IF(INDEX(links!$A$2:$A$501,MATCH($C889,links!$D$2:$D$501,0))="","",INDEX(links!$A$2:$A$501,MATCH($C889,links!$D$2:$D$501,0))),""))</f>
        <v/>
      </c>
      <c r="H889" s="30" t="str">
        <f aca="false">IF($C889="","",IFERROR(IF(INDEX(links!$B$2:$B$501,MATCH($C889,links!$D$2:$D$501,0))="","",INDEX(links!$B$2:$B$501,MATCH($C889,links!$D$2:$D$501,0))),""))</f>
        <v/>
      </c>
      <c r="I889" s="30" t="str">
        <f aca="false">IF($C889="","",IFERROR(IF(INDEX(links!$C$2:$C$501,MATCH($C889,links!$D$2:$D$501,0))="","",INDEX(links!$C$2:$C$501,MATCH($C889,links!$D$2:$D$501,0))),""))</f>
        <v/>
      </c>
      <c r="J889" s="30" t="str">
        <f aca="false">IF($C889="","",IF($G889="","slug not in links; ","")&amp;IF($D889="","reading type missing; ","")&amp;IF(COUNTIFS(scans!$C$2:$C$1601,$C889,scans!$D$2:$D$1601,$D889)&gt;1,"two readings of this type: keep one; ",""))</f>
        <v/>
      </c>
    </row>
    <row r="890" customFormat="false" ht="15" hidden="false" customHeight="false" outlineLevel="0" collapsed="false">
      <c r="A890" s="11"/>
      <c r="B890" s="38"/>
      <c r="D890" s="10"/>
      <c r="G890" s="30" t="str">
        <f aca="false">IF($C890="","",IFERROR(IF(INDEX(links!$A$2:$A$501,MATCH($C890,links!$D$2:$D$501,0))="","",INDEX(links!$A$2:$A$501,MATCH($C890,links!$D$2:$D$501,0))),""))</f>
        <v/>
      </c>
      <c r="H890" s="30" t="str">
        <f aca="false">IF($C890="","",IFERROR(IF(INDEX(links!$B$2:$B$501,MATCH($C890,links!$D$2:$D$501,0))="","",INDEX(links!$B$2:$B$501,MATCH($C890,links!$D$2:$D$501,0))),""))</f>
        <v/>
      </c>
      <c r="I890" s="30" t="str">
        <f aca="false">IF($C890="","",IFERROR(IF(INDEX(links!$C$2:$C$501,MATCH($C890,links!$D$2:$D$501,0))="","",INDEX(links!$C$2:$C$501,MATCH($C890,links!$D$2:$D$501,0))),""))</f>
        <v/>
      </c>
      <c r="J890" s="30" t="str">
        <f aca="false">IF($C890="","",IF($G890="","slug not in links; ","")&amp;IF($D890="","reading type missing; ","")&amp;IF(COUNTIFS(scans!$C$2:$C$1601,$C890,scans!$D$2:$D$1601,$D890)&gt;1,"two readings of this type: keep one; ",""))</f>
        <v/>
      </c>
    </row>
    <row r="891" customFormat="false" ht="15" hidden="false" customHeight="false" outlineLevel="0" collapsed="false">
      <c r="A891" s="11"/>
      <c r="B891" s="38"/>
      <c r="D891" s="10"/>
      <c r="G891" s="30" t="str">
        <f aca="false">IF($C891="","",IFERROR(IF(INDEX(links!$A$2:$A$501,MATCH($C891,links!$D$2:$D$501,0))="","",INDEX(links!$A$2:$A$501,MATCH($C891,links!$D$2:$D$501,0))),""))</f>
        <v/>
      </c>
      <c r="H891" s="30" t="str">
        <f aca="false">IF($C891="","",IFERROR(IF(INDEX(links!$B$2:$B$501,MATCH($C891,links!$D$2:$D$501,0))="","",INDEX(links!$B$2:$B$501,MATCH($C891,links!$D$2:$D$501,0))),""))</f>
        <v/>
      </c>
      <c r="I891" s="30" t="str">
        <f aca="false">IF($C891="","",IFERROR(IF(INDEX(links!$C$2:$C$501,MATCH($C891,links!$D$2:$D$501,0))="","",INDEX(links!$C$2:$C$501,MATCH($C891,links!$D$2:$D$501,0))),""))</f>
        <v/>
      </c>
      <c r="J891" s="30" t="str">
        <f aca="false">IF($C891="","",IF($G891="","slug not in links; ","")&amp;IF($D891="","reading type missing; ","")&amp;IF(COUNTIFS(scans!$C$2:$C$1601,$C891,scans!$D$2:$D$1601,$D891)&gt;1,"two readings of this type: keep one; ",""))</f>
        <v/>
      </c>
    </row>
    <row r="892" customFormat="false" ht="15" hidden="false" customHeight="false" outlineLevel="0" collapsed="false">
      <c r="A892" s="11"/>
      <c r="B892" s="38"/>
      <c r="D892" s="10"/>
      <c r="G892" s="30" t="str">
        <f aca="false">IF($C892="","",IFERROR(IF(INDEX(links!$A$2:$A$501,MATCH($C892,links!$D$2:$D$501,0))="","",INDEX(links!$A$2:$A$501,MATCH($C892,links!$D$2:$D$501,0))),""))</f>
        <v/>
      </c>
      <c r="H892" s="30" t="str">
        <f aca="false">IF($C892="","",IFERROR(IF(INDEX(links!$B$2:$B$501,MATCH($C892,links!$D$2:$D$501,0))="","",INDEX(links!$B$2:$B$501,MATCH($C892,links!$D$2:$D$501,0))),""))</f>
        <v/>
      </c>
      <c r="I892" s="30" t="str">
        <f aca="false">IF($C892="","",IFERROR(IF(INDEX(links!$C$2:$C$501,MATCH($C892,links!$D$2:$D$501,0))="","",INDEX(links!$C$2:$C$501,MATCH($C892,links!$D$2:$D$501,0))),""))</f>
        <v/>
      </c>
      <c r="J892" s="30" t="str">
        <f aca="false">IF($C892="","",IF($G892="","slug not in links; ","")&amp;IF($D892="","reading type missing; ","")&amp;IF(COUNTIFS(scans!$C$2:$C$1601,$C892,scans!$D$2:$D$1601,$D892)&gt;1,"two readings of this type: keep one; ",""))</f>
        <v/>
      </c>
    </row>
    <row r="893" customFormat="false" ht="15" hidden="false" customHeight="false" outlineLevel="0" collapsed="false">
      <c r="A893" s="11"/>
      <c r="B893" s="38"/>
      <c r="D893" s="10"/>
      <c r="G893" s="30" t="str">
        <f aca="false">IF($C893="","",IFERROR(IF(INDEX(links!$A$2:$A$501,MATCH($C893,links!$D$2:$D$501,0))="","",INDEX(links!$A$2:$A$501,MATCH($C893,links!$D$2:$D$501,0))),""))</f>
        <v/>
      </c>
      <c r="H893" s="30" t="str">
        <f aca="false">IF($C893="","",IFERROR(IF(INDEX(links!$B$2:$B$501,MATCH($C893,links!$D$2:$D$501,0))="","",INDEX(links!$B$2:$B$501,MATCH($C893,links!$D$2:$D$501,0))),""))</f>
        <v/>
      </c>
      <c r="I893" s="30" t="str">
        <f aca="false">IF($C893="","",IFERROR(IF(INDEX(links!$C$2:$C$501,MATCH($C893,links!$D$2:$D$501,0))="","",INDEX(links!$C$2:$C$501,MATCH($C893,links!$D$2:$D$501,0))),""))</f>
        <v/>
      </c>
      <c r="J893" s="30" t="str">
        <f aca="false">IF($C893="","",IF($G893="","slug not in links; ","")&amp;IF($D893="","reading type missing; ","")&amp;IF(COUNTIFS(scans!$C$2:$C$1601,$C893,scans!$D$2:$D$1601,$D893)&gt;1,"two readings of this type: keep one; ",""))</f>
        <v/>
      </c>
    </row>
    <row r="894" customFormat="false" ht="15" hidden="false" customHeight="false" outlineLevel="0" collapsed="false">
      <c r="A894" s="11"/>
      <c r="B894" s="38"/>
      <c r="D894" s="10"/>
      <c r="G894" s="30" t="str">
        <f aca="false">IF($C894="","",IFERROR(IF(INDEX(links!$A$2:$A$501,MATCH($C894,links!$D$2:$D$501,0))="","",INDEX(links!$A$2:$A$501,MATCH($C894,links!$D$2:$D$501,0))),""))</f>
        <v/>
      </c>
      <c r="H894" s="30" t="str">
        <f aca="false">IF($C894="","",IFERROR(IF(INDEX(links!$B$2:$B$501,MATCH($C894,links!$D$2:$D$501,0))="","",INDEX(links!$B$2:$B$501,MATCH($C894,links!$D$2:$D$501,0))),""))</f>
        <v/>
      </c>
      <c r="I894" s="30" t="str">
        <f aca="false">IF($C894="","",IFERROR(IF(INDEX(links!$C$2:$C$501,MATCH($C894,links!$D$2:$D$501,0))="","",INDEX(links!$C$2:$C$501,MATCH($C894,links!$D$2:$D$501,0))),""))</f>
        <v/>
      </c>
      <c r="J894" s="30" t="str">
        <f aca="false">IF($C894="","",IF($G894="","slug not in links; ","")&amp;IF($D894="","reading type missing; ","")&amp;IF(COUNTIFS(scans!$C$2:$C$1601,$C894,scans!$D$2:$D$1601,$D894)&gt;1,"two readings of this type: keep one; ",""))</f>
        <v/>
      </c>
    </row>
    <row r="895" customFormat="false" ht="15" hidden="false" customHeight="false" outlineLevel="0" collapsed="false">
      <c r="A895" s="11"/>
      <c r="B895" s="38"/>
      <c r="D895" s="10"/>
      <c r="G895" s="30" t="str">
        <f aca="false">IF($C895="","",IFERROR(IF(INDEX(links!$A$2:$A$501,MATCH($C895,links!$D$2:$D$501,0))="","",INDEX(links!$A$2:$A$501,MATCH($C895,links!$D$2:$D$501,0))),""))</f>
        <v/>
      </c>
      <c r="H895" s="30" t="str">
        <f aca="false">IF($C895="","",IFERROR(IF(INDEX(links!$B$2:$B$501,MATCH($C895,links!$D$2:$D$501,0))="","",INDEX(links!$B$2:$B$501,MATCH($C895,links!$D$2:$D$501,0))),""))</f>
        <v/>
      </c>
      <c r="I895" s="30" t="str">
        <f aca="false">IF($C895="","",IFERROR(IF(INDEX(links!$C$2:$C$501,MATCH($C895,links!$D$2:$D$501,0))="","",INDEX(links!$C$2:$C$501,MATCH($C895,links!$D$2:$D$501,0))),""))</f>
        <v/>
      </c>
      <c r="J895" s="30" t="str">
        <f aca="false">IF($C895="","",IF($G895="","slug not in links; ","")&amp;IF($D895="","reading type missing; ","")&amp;IF(COUNTIFS(scans!$C$2:$C$1601,$C895,scans!$D$2:$D$1601,$D895)&gt;1,"two readings of this type: keep one; ",""))</f>
        <v/>
      </c>
    </row>
    <row r="896" customFormat="false" ht="15" hidden="false" customHeight="false" outlineLevel="0" collapsed="false">
      <c r="A896" s="11"/>
      <c r="B896" s="38"/>
      <c r="D896" s="10"/>
      <c r="G896" s="30" t="str">
        <f aca="false">IF($C896="","",IFERROR(IF(INDEX(links!$A$2:$A$501,MATCH($C896,links!$D$2:$D$501,0))="","",INDEX(links!$A$2:$A$501,MATCH($C896,links!$D$2:$D$501,0))),""))</f>
        <v/>
      </c>
      <c r="H896" s="30" t="str">
        <f aca="false">IF($C896="","",IFERROR(IF(INDEX(links!$B$2:$B$501,MATCH($C896,links!$D$2:$D$501,0))="","",INDEX(links!$B$2:$B$501,MATCH($C896,links!$D$2:$D$501,0))),""))</f>
        <v/>
      </c>
      <c r="I896" s="30" t="str">
        <f aca="false">IF($C896="","",IFERROR(IF(INDEX(links!$C$2:$C$501,MATCH($C896,links!$D$2:$D$501,0))="","",INDEX(links!$C$2:$C$501,MATCH($C896,links!$D$2:$D$501,0))),""))</f>
        <v/>
      </c>
      <c r="J896" s="30" t="str">
        <f aca="false">IF($C896="","",IF($G896="","slug not in links; ","")&amp;IF($D896="","reading type missing; ","")&amp;IF(COUNTIFS(scans!$C$2:$C$1601,$C896,scans!$D$2:$D$1601,$D896)&gt;1,"two readings of this type: keep one; ",""))</f>
        <v/>
      </c>
    </row>
    <row r="897" customFormat="false" ht="15" hidden="false" customHeight="false" outlineLevel="0" collapsed="false">
      <c r="A897" s="11"/>
      <c r="B897" s="38"/>
      <c r="D897" s="10"/>
      <c r="G897" s="30" t="str">
        <f aca="false">IF($C897="","",IFERROR(IF(INDEX(links!$A$2:$A$501,MATCH($C897,links!$D$2:$D$501,0))="","",INDEX(links!$A$2:$A$501,MATCH($C897,links!$D$2:$D$501,0))),""))</f>
        <v/>
      </c>
      <c r="H897" s="30" t="str">
        <f aca="false">IF($C897="","",IFERROR(IF(INDEX(links!$B$2:$B$501,MATCH($C897,links!$D$2:$D$501,0))="","",INDEX(links!$B$2:$B$501,MATCH($C897,links!$D$2:$D$501,0))),""))</f>
        <v/>
      </c>
      <c r="I897" s="30" t="str">
        <f aca="false">IF($C897="","",IFERROR(IF(INDEX(links!$C$2:$C$501,MATCH($C897,links!$D$2:$D$501,0))="","",INDEX(links!$C$2:$C$501,MATCH($C897,links!$D$2:$D$501,0))),""))</f>
        <v/>
      </c>
      <c r="J897" s="30" t="str">
        <f aca="false">IF($C897="","",IF($G897="","slug not in links; ","")&amp;IF($D897="","reading type missing; ","")&amp;IF(COUNTIFS(scans!$C$2:$C$1601,$C897,scans!$D$2:$D$1601,$D897)&gt;1,"two readings of this type: keep one; ",""))</f>
        <v/>
      </c>
    </row>
    <row r="898" customFormat="false" ht="15" hidden="false" customHeight="false" outlineLevel="0" collapsed="false">
      <c r="A898" s="11"/>
      <c r="B898" s="38"/>
      <c r="D898" s="10"/>
      <c r="G898" s="30" t="str">
        <f aca="false">IF($C898="","",IFERROR(IF(INDEX(links!$A$2:$A$501,MATCH($C898,links!$D$2:$D$501,0))="","",INDEX(links!$A$2:$A$501,MATCH($C898,links!$D$2:$D$501,0))),""))</f>
        <v/>
      </c>
      <c r="H898" s="30" t="str">
        <f aca="false">IF($C898="","",IFERROR(IF(INDEX(links!$B$2:$B$501,MATCH($C898,links!$D$2:$D$501,0))="","",INDEX(links!$B$2:$B$501,MATCH($C898,links!$D$2:$D$501,0))),""))</f>
        <v/>
      </c>
      <c r="I898" s="30" t="str">
        <f aca="false">IF($C898="","",IFERROR(IF(INDEX(links!$C$2:$C$501,MATCH($C898,links!$D$2:$D$501,0))="","",INDEX(links!$C$2:$C$501,MATCH($C898,links!$D$2:$D$501,0))),""))</f>
        <v/>
      </c>
      <c r="J898" s="30" t="str">
        <f aca="false">IF($C898="","",IF($G898="","slug not in links; ","")&amp;IF($D898="","reading type missing; ","")&amp;IF(COUNTIFS(scans!$C$2:$C$1601,$C898,scans!$D$2:$D$1601,$D898)&gt;1,"two readings of this type: keep one; ",""))</f>
        <v/>
      </c>
    </row>
    <row r="899" customFormat="false" ht="15" hidden="false" customHeight="false" outlineLevel="0" collapsed="false">
      <c r="A899" s="11"/>
      <c r="B899" s="38"/>
      <c r="D899" s="10"/>
      <c r="G899" s="30" t="str">
        <f aca="false">IF($C899="","",IFERROR(IF(INDEX(links!$A$2:$A$501,MATCH($C899,links!$D$2:$D$501,0))="","",INDEX(links!$A$2:$A$501,MATCH($C899,links!$D$2:$D$501,0))),""))</f>
        <v/>
      </c>
      <c r="H899" s="30" t="str">
        <f aca="false">IF($C899="","",IFERROR(IF(INDEX(links!$B$2:$B$501,MATCH($C899,links!$D$2:$D$501,0))="","",INDEX(links!$B$2:$B$501,MATCH($C899,links!$D$2:$D$501,0))),""))</f>
        <v/>
      </c>
      <c r="I899" s="30" t="str">
        <f aca="false">IF($C899="","",IFERROR(IF(INDEX(links!$C$2:$C$501,MATCH($C899,links!$D$2:$D$501,0))="","",INDEX(links!$C$2:$C$501,MATCH($C899,links!$D$2:$D$501,0))),""))</f>
        <v/>
      </c>
      <c r="J899" s="30" t="str">
        <f aca="false">IF($C899="","",IF($G899="","slug not in links; ","")&amp;IF($D899="","reading type missing; ","")&amp;IF(COUNTIFS(scans!$C$2:$C$1601,$C899,scans!$D$2:$D$1601,$D899)&gt;1,"two readings of this type: keep one; ",""))</f>
        <v/>
      </c>
    </row>
    <row r="900" customFormat="false" ht="15" hidden="false" customHeight="false" outlineLevel="0" collapsed="false">
      <c r="A900" s="11"/>
      <c r="B900" s="38"/>
      <c r="D900" s="10"/>
      <c r="G900" s="30" t="str">
        <f aca="false">IF($C900="","",IFERROR(IF(INDEX(links!$A$2:$A$501,MATCH($C900,links!$D$2:$D$501,0))="","",INDEX(links!$A$2:$A$501,MATCH($C900,links!$D$2:$D$501,0))),""))</f>
        <v/>
      </c>
      <c r="H900" s="30" t="str">
        <f aca="false">IF($C900="","",IFERROR(IF(INDEX(links!$B$2:$B$501,MATCH($C900,links!$D$2:$D$501,0))="","",INDEX(links!$B$2:$B$501,MATCH($C900,links!$D$2:$D$501,0))),""))</f>
        <v/>
      </c>
      <c r="I900" s="30" t="str">
        <f aca="false">IF($C900="","",IFERROR(IF(INDEX(links!$C$2:$C$501,MATCH($C900,links!$D$2:$D$501,0))="","",INDEX(links!$C$2:$C$501,MATCH($C900,links!$D$2:$D$501,0))),""))</f>
        <v/>
      </c>
      <c r="J900" s="30" t="str">
        <f aca="false">IF($C900="","",IF($G900="","slug not in links; ","")&amp;IF($D900="","reading type missing; ","")&amp;IF(COUNTIFS(scans!$C$2:$C$1601,$C900,scans!$D$2:$D$1601,$D900)&gt;1,"two readings of this type: keep one; ",""))</f>
        <v/>
      </c>
    </row>
    <row r="901" customFormat="false" ht="15" hidden="false" customHeight="false" outlineLevel="0" collapsed="false">
      <c r="A901" s="11"/>
      <c r="B901" s="38"/>
      <c r="D901" s="10"/>
      <c r="G901" s="30" t="str">
        <f aca="false">IF($C901="","",IFERROR(IF(INDEX(links!$A$2:$A$501,MATCH($C901,links!$D$2:$D$501,0))="","",INDEX(links!$A$2:$A$501,MATCH($C901,links!$D$2:$D$501,0))),""))</f>
        <v/>
      </c>
      <c r="H901" s="30" t="str">
        <f aca="false">IF($C901="","",IFERROR(IF(INDEX(links!$B$2:$B$501,MATCH($C901,links!$D$2:$D$501,0))="","",INDEX(links!$B$2:$B$501,MATCH($C901,links!$D$2:$D$501,0))),""))</f>
        <v/>
      </c>
      <c r="I901" s="30" t="str">
        <f aca="false">IF($C901="","",IFERROR(IF(INDEX(links!$C$2:$C$501,MATCH($C901,links!$D$2:$D$501,0))="","",INDEX(links!$C$2:$C$501,MATCH($C901,links!$D$2:$D$501,0))),""))</f>
        <v/>
      </c>
      <c r="J901" s="30" t="str">
        <f aca="false">IF($C901="","",IF($G901="","slug not in links; ","")&amp;IF($D901="","reading type missing; ","")&amp;IF(COUNTIFS(scans!$C$2:$C$1601,$C901,scans!$D$2:$D$1601,$D901)&gt;1,"two readings of this type: keep one; ",""))</f>
        <v/>
      </c>
    </row>
    <row r="902" customFormat="false" ht="15" hidden="false" customHeight="false" outlineLevel="0" collapsed="false">
      <c r="A902" s="11"/>
      <c r="B902" s="38"/>
      <c r="D902" s="10"/>
      <c r="G902" s="30" t="str">
        <f aca="false">IF($C902="","",IFERROR(IF(INDEX(links!$A$2:$A$501,MATCH($C902,links!$D$2:$D$501,0))="","",INDEX(links!$A$2:$A$501,MATCH($C902,links!$D$2:$D$501,0))),""))</f>
        <v/>
      </c>
      <c r="H902" s="30" t="str">
        <f aca="false">IF($C902="","",IFERROR(IF(INDEX(links!$B$2:$B$501,MATCH($C902,links!$D$2:$D$501,0))="","",INDEX(links!$B$2:$B$501,MATCH($C902,links!$D$2:$D$501,0))),""))</f>
        <v/>
      </c>
      <c r="I902" s="30" t="str">
        <f aca="false">IF($C902="","",IFERROR(IF(INDEX(links!$C$2:$C$501,MATCH($C902,links!$D$2:$D$501,0))="","",INDEX(links!$C$2:$C$501,MATCH($C902,links!$D$2:$D$501,0))),""))</f>
        <v/>
      </c>
      <c r="J902" s="30" t="str">
        <f aca="false">IF($C902="","",IF($G902="","slug not in links; ","")&amp;IF($D902="","reading type missing; ","")&amp;IF(COUNTIFS(scans!$C$2:$C$1601,$C902,scans!$D$2:$D$1601,$D902)&gt;1,"two readings of this type: keep one; ",""))</f>
        <v/>
      </c>
    </row>
    <row r="903" customFormat="false" ht="15" hidden="false" customHeight="false" outlineLevel="0" collapsed="false">
      <c r="A903" s="11"/>
      <c r="B903" s="38"/>
      <c r="D903" s="10"/>
      <c r="G903" s="30" t="str">
        <f aca="false">IF($C903="","",IFERROR(IF(INDEX(links!$A$2:$A$501,MATCH($C903,links!$D$2:$D$501,0))="","",INDEX(links!$A$2:$A$501,MATCH($C903,links!$D$2:$D$501,0))),""))</f>
        <v/>
      </c>
      <c r="H903" s="30" t="str">
        <f aca="false">IF($C903="","",IFERROR(IF(INDEX(links!$B$2:$B$501,MATCH($C903,links!$D$2:$D$501,0))="","",INDEX(links!$B$2:$B$501,MATCH($C903,links!$D$2:$D$501,0))),""))</f>
        <v/>
      </c>
      <c r="I903" s="30" t="str">
        <f aca="false">IF($C903="","",IFERROR(IF(INDEX(links!$C$2:$C$501,MATCH($C903,links!$D$2:$D$501,0))="","",INDEX(links!$C$2:$C$501,MATCH($C903,links!$D$2:$D$501,0))),""))</f>
        <v/>
      </c>
      <c r="J903" s="30" t="str">
        <f aca="false">IF($C903="","",IF($G903="","slug not in links; ","")&amp;IF($D903="","reading type missing; ","")&amp;IF(COUNTIFS(scans!$C$2:$C$1601,$C903,scans!$D$2:$D$1601,$D903)&gt;1,"two readings of this type: keep one; ",""))</f>
        <v/>
      </c>
    </row>
    <row r="904" customFormat="false" ht="15" hidden="false" customHeight="false" outlineLevel="0" collapsed="false">
      <c r="A904" s="11"/>
      <c r="B904" s="38"/>
      <c r="D904" s="10"/>
      <c r="G904" s="30" t="str">
        <f aca="false">IF($C904="","",IFERROR(IF(INDEX(links!$A$2:$A$501,MATCH($C904,links!$D$2:$D$501,0))="","",INDEX(links!$A$2:$A$501,MATCH($C904,links!$D$2:$D$501,0))),""))</f>
        <v/>
      </c>
      <c r="H904" s="30" t="str">
        <f aca="false">IF($C904="","",IFERROR(IF(INDEX(links!$B$2:$B$501,MATCH($C904,links!$D$2:$D$501,0))="","",INDEX(links!$B$2:$B$501,MATCH($C904,links!$D$2:$D$501,0))),""))</f>
        <v/>
      </c>
      <c r="I904" s="30" t="str">
        <f aca="false">IF($C904="","",IFERROR(IF(INDEX(links!$C$2:$C$501,MATCH($C904,links!$D$2:$D$501,0))="","",INDEX(links!$C$2:$C$501,MATCH($C904,links!$D$2:$D$501,0))),""))</f>
        <v/>
      </c>
      <c r="J904" s="30" t="str">
        <f aca="false">IF($C904="","",IF($G904="","slug not in links; ","")&amp;IF($D904="","reading type missing; ","")&amp;IF(COUNTIFS(scans!$C$2:$C$1601,$C904,scans!$D$2:$D$1601,$D904)&gt;1,"two readings of this type: keep one; ",""))</f>
        <v/>
      </c>
    </row>
    <row r="905" customFormat="false" ht="15" hidden="false" customHeight="false" outlineLevel="0" collapsed="false">
      <c r="A905" s="11"/>
      <c r="B905" s="38"/>
      <c r="D905" s="10"/>
      <c r="G905" s="30" t="str">
        <f aca="false">IF($C905="","",IFERROR(IF(INDEX(links!$A$2:$A$501,MATCH($C905,links!$D$2:$D$501,0))="","",INDEX(links!$A$2:$A$501,MATCH($C905,links!$D$2:$D$501,0))),""))</f>
        <v/>
      </c>
      <c r="H905" s="30" t="str">
        <f aca="false">IF($C905="","",IFERROR(IF(INDEX(links!$B$2:$B$501,MATCH($C905,links!$D$2:$D$501,0))="","",INDEX(links!$B$2:$B$501,MATCH($C905,links!$D$2:$D$501,0))),""))</f>
        <v/>
      </c>
      <c r="I905" s="30" t="str">
        <f aca="false">IF($C905="","",IFERROR(IF(INDEX(links!$C$2:$C$501,MATCH($C905,links!$D$2:$D$501,0))="","",INDEX(links!$C$2:$C$501,MATCH($C905,links!$D$2:$D$501,0))),""))</f>
        <v/>
      </c>
      <c r="J905" s="30" t="str">
        <f aca="false">IF($C905="","",IF($G905="","slug not in links; ","")&amp;IF($D905="","reading type missing; ","")&amp;IF(COUNTIFS(scans!$C$2:$C$1601,$C905,scans!$D$2:$D$1601,$D905)&gt;1,"two readings of this type: keep one; ",""))</f>
        <v/>
      </c>
    </row>
    <row r="906" customFormat="false" ht="15" hidden="false" customHeight="false" outlineLevel="0" collapsed="false">
      <c r="A906" s="11"/>
      <c r="B906" s="38"/>
      <c r="D906" s="10"/>
      <c r="G906" s="30" t="str">
        <f aca="false">IF($C906="","",IFERROR(IF(INDEX(links!$A$2:$A$501,MATCH($C906,links!$D$2:$D$501,0))="","",INDEX(links!$A$2:$A$501,MATCH($C906,links!$D$2:$D$501,0))),""))</f>
        <v/>
      </c>
      <c r="H906" s="30" t="str">
        <f aca="false">IF($C906="","",IFERROR(IF(INDEX(links!$B$2:$B$501,MATCH($C906,links!$D$2:$D$501,0))="","",INDEX(links!$B$2:$B$501,MATCH($C906,links!$D$2:$D$501,0))),""))</f>
        <v/>
      </c>
      <c r="I906" s="30" t="str">
        <f aca="false">IF($C906="","",IFERROR(IF(INDEX(links!$C$2:$C$501,MATCH($C906,links!$D$2:$D$501,0))="","",INDEX(links!$C$2:$C$501,MATCH($C906,links!$D$2:$D$501,0))),""))</f>
        <v/>
      </c>
      <c r="J906" s="30" t="str">
        <f aca="false">IF($C906="","",IF($G906="","slug not in links; ","")&amp;IF($D906="","reading type missing; ","")&amp;IF(COUNTIFS(scans!$C$2:$C$1601,$C906,scans!$D$2:$D$1601,$D906)&gt;1,"two readings of this type: keep one; ",""))</f>
        <v/>
      </c>
    </row>
    <row r="907" customFormat="false" ht="15" hidden="false" customHeight="false" outlineLevel="0" collapsed="false">
      <c r="A907" s="11"/>
      <c r="B907" s="38"/>
      <c r="D907" s="10"/>
      <c r="G907" s="30" t="str">
        <f aca="false">IF($C907="","",IFERROR(IF(INDEX(links!$A$2:$A$501,MATCH($C907,links!$D$2:$D$501,0))="","",INDEX(links!$A$2:$A$501,MATCH($C907,links!$D$2:$D$501,0))),""))</f>
        <v/>
      </c>
      <c r="H907" s="30" t="str">
        <f aca="false">IF($C907="","",IFERROR(IF(INDEX(links!$B$2:$B$501,MATCH($C907,links!$D$2:$D$501,0))="","",INDEX(links!$B$2:$B$501,MATCH($C907,links!$D$2:$D$501,0))),""))</f>
        <v/>
      </c>
      <c r="I907" s="30" t="str">
        <f aca="false">IF($C907="","",IFERROR(IF(INDEX(links!$C$2:$C$501,MATCH($C907,links!$D$2:$D$501,0))="","",INDEX(links!$C$2:$C$501,MATCH($C907,links!$D$2:$D$501,0))),""))</f>
        <v/>
      </c>
      <c r="J907" s="30" t="str">
        <f aca="false">IF($C907="","",IF($G907="","slug not in links; ","")&amp;IF($D907="","reading type missing; ","")&amp;IF(COUNTIFS(scans!$C$2:$C$1601,$C907,scans!$D$2:$D$1601,$D907)&gt;1,"two readings of this type: keep one; ",""))</f>
        <v/>
      </c>
    </row>
    <row r="908" customFormat="false" ht="15" hidden="false" customHeight="false" outlineLevel="0" collapsed="false">
      <c r="A908" s="11"/>
      <c r="B908" s="38"/>
      <c r="D908" s="10"/>
      <c r="G908" s="30" t="str">
        <f aca="false">IF($C908="","",IFERROR(IF(INDEX(links!$A$2:$A$501,MATCH($C908,links!$D$2:$D$501,0))="","",INDEX(links!$A$2:$A$501,MATCH($C908,links!$D$2:$D$501,0))),""))</f>
        <v/>
      </c>
      <c r="H908" s="30" t="str">
        <f aca="false">IF($C908="","",IFERROR(IF(INDEX(links!$B$2:$B$501,MATCH($C908,links!$D$2:$D$501,0))="","",INDEX(links!$B$2:$B$501,MATCH($C908,links!$D$2:$D$501,0))),""))</f>
        <v/>
      </c>
      <c r="I908" s="30" t="str">
        <f aca="false">IF($C908="","",IFERROR(IF(INDEX(links!$C$2:$C$501,MATCH($C908,links!$D$2:$D$501,0))="","",INDEX(links!$C$2:$C$501,MATCH($C908,links!$D$2:$D$501,0))),""))</f>
        <v/>
      </c>
      <c r="J908" s="30" t="str">
        <f aca="false">IF($C908="","",IF($G908="","slug not in links; ","")&amp;IF($D908="","reading type missing; ","")&amp;IF(COUNTIFS(scans!$C$2:$C$1601,$C908,scans!$D$2:$D$1601,$D908)&gt;1,"two readings of this type: keep one; ",""))</f>
        <v/>
      </c>
    </row>
    <row r="909" customFormat="false" ht="15" hidden="false" customHeight="false" outlineLevel="0" collapsed="false">
      <c r="A909" s="11"/>
      <c r="B909" s="38"/>
      <c r="D909" s="10"/>
      <c r="G909" s="30" t="str">
        <f aca="false">IF($C909="","",IFERROR(IF(INDEX(links!$A$2:$A$501,MATCH($C909,links!$D$2:$D$501,0))="","",INDEX(links!$A$2:$A$501,MATCH($C909,links!$D$2:$D$501,0))),""))</f>
        <v/>
      </c>
      <c r="H909" s="30" t="str">
        <f aca="false">IF($C909="","",IFERROR(IF(INDEX(links!$B$2:$B$501,MATCH($C909,links!$D$2:$D$501,0))="","",INDEX(links!$B$2:$B$501,MATCH($C909,links!$D$2:$D$501,0))),""))</f>
        <v/>
      </c>
      <c r="I909" s="30" t="str">
        <f aca="false">IF($C909="","",IFERROR(IF(INDEX(links!$C$2:$C$501,MATCH($C909,links!$D$2:$D$501,0))="","",INDEX(links!$C$2:$C$501,MATCH($C909,links!$D$2:$D$501,0))),""))</f>
        <v/>
      </c>
      <c r="J909" s="30" t="str">
        <f aca="false">IF($C909="","",IF($G909="","slug not in links; ","")&amp;IF($D909="","reading type missing; ","")&amp;IF(COUNTIFS(scans!$C$2:$C$1601,$C909,scans!$D$2:$D$1601,$D909)&gt;1,"two readings of this type: keep one; ",""))</f>
        <v/>
      </c>
    </row>
    <row r="910" customFormat="false" ht="15" hidden="false" customHeight="false" outlineLevel="0" collapsed="false">
      <c r="A910" s="11"/>
      <c r="B910" s="38"/>
      <c r="D910" s="10"/>
      <c r="G910" s="30" t="str">
        <f aca="false">IF($C910="","",IFERROR(IF(INDEX(links!$A$2:$A$501,MATCH($C910,links!$D$2:$D$501,0))="","",INDEX(links!$A$2:$A$501,MATCH($C910,links!$D$2:$D$501,0))),""))</f>
        <v/>
      </c>
      <c r="H910" s="30" t="str">
        <f aca="false">IF($C910="","",IFERROR(IF(INDEX(links!$B$2:$B$501,MATCH($C910,links!$D$2:$D$501,0))="","",INDEX(links!$B$2:$B$501,MATCH($C910,links!$D$2:$D$501,0))),""))</f>
        <v/>
      </c>
      <c r="I910" s="30" t="str">
        <f aca="false">IF($C910="","",IFERROR(IF(INDEX(links!$C$2:$C$501,MATCH($C910,links!$D$2:$D$501,0))="","",INDEX(links!$C$2:$C$501,MATCH($C910,links!$D$2:$D$501,0))),""))</f>
        <v/>
      </c>
      <c r="J910" s="30" t="str">
        <f aca="false">IF($C910="","",IF($G910="","slug not in links; ","")&amp;IF($D910="","reading type missing; ","")&amp;IF(COUNTIFS(scans!$C$2:$C$1601,$C910,scans!$D$2:$D$1601,$D910)&gt;1,"two readings of this type: keep one; ",""))</f>
        <v/>
      </c>
    </row>
    <row r="911" customFormat="false" ht="15" hidden="false" customHeight="false" outlineLevel="0" collapsed="false">
      <c r="A911" s="11"/>
      <c r="B911" s="38"/>
      <c r="D911" s="10"/>
      <c r="G911" s="30" t="str">
        <f aca="false">IF($C911="","",IFERROR(IF(INDEX(links!$A$2:$A$501,MATCH($C911,links!$D$2:$D$501,0))="","",INDEX(links!$A$2:$A$501,MATCH($C911,links!$D$2:$D$501,0))),""))</f>
        <v/>
      </c>
      <c r="H911" s="30" t="str">
        <f aca="false">IF($C911="","",IFERROR(IF(INDEX(links!$B$2:$B$501,MATCH($C911,links!$D$2:$D$501,0))="","",INDEX(links!$B$2:$B$501,MATCH($C911,links!$D$2:$D$501,0))),""))</f>
        <v/>
      </c>
      <c r="I911" s="30" t="str">
        <f aca="false">IF($C911="","",IFERROR(IF(INDEX(links!$C$2:$C$501,MATCH($C911,links!$D$2:$D$501,0))="","",INDEX(links!$C$2:$C$501,MATCH($C911,links!$D$2:$D$501,0))),""))</f>
        <v/>
      </c>
      <c r="J911" s="30" t="str">
        <f aca="false">IF($C911="","",IF($G911="","slug not in links; ","")&amp;IF($D911="","reading type missing; ","")&amp;IF(COUNTIFS(scans!$C$2:$C$1601,$C911,scans!$D$2:$D$1601,$D911)&gt;1,"two readings of this type: keep one; ",""))</f>
        <v/>
      </c>
    </row>
    <row r="912" customFormat="false" ht="15" hidden="false" customHeight="false" outlineLevel="0" collapsed="false">
      <c r="A912" s="11"/>
      <c r="B912" s="38"/>
      <c r="D912" s="10"/>
      <c r="G912" s="30" t="str">
        <f aca="false">IF($C912="","",IFERROR(IF(INDEX(links!$A$2:$A$501,MATCH($C912,links!$D$2:$D$501,0))="","",INDEX(links!$A$2:$A$501,MATCH($C912,links!$D$2:$D$501,0))),""))</f>
        <v/>
      </c>
      <c r="H912" s="30" t="str">
        <f aca="false">IF($C912="","",IFERROR(IF(INDEX(links!$B$2:$B$501,MATCH($C912,links!$D$2:$D$501,0))="","",INDEX(links!$B$2:$B$501,MATCH($C912,links!$D$2:$D$501,0))),""))</f>
        <v/>
      </c>
      <c r="I912" s="30" t="str">
        <f aca="false">IF($C912="","",IFERROR(IF(INDEX(links!$C$2:$C$501,MATCH($C912,links!$D$2:$D$501,0))="","",INDEX(links!$C$2:$C$501,MATCH($C912,links!$D$2:$D$501,0))),""))</f>
        <v/>
      </c>
      <c r="J912" s="30" t="str">
        <f aca="false">IF($C912="","",IF($G912="","slug not in links; ","")&amp;IF($D912="","reading type missing; ","")&amp;IF(COUNTIFS(scans!$C$2:$C$1601,$C912,scans!$D$2:$D$1601,$D912)&gt;1,"two readings of this type: keep one; ",""))</f>
        <v/>
      </c>
    </row>
    <row r="913" customFormat="false" ht="15" hidden="false" customHeight="false" outlineLevel="0" collapsed="false">
      <c r="A913" s="11"/>
      <c r="B913" s="38"/>
      <c r="D913" s="10"/>
      <c r="G913" s="30" t="str">
        <f aca="false">IF($C913="","",IFERROR(IF(INDEX(links!$A$2:$A$501,MATCH($C913,links!$D$2:$D$501,0))="","",INDEX(links!$A$2:$A$501,MATCH($C913,links!$D$2:$D$501,0))),""))</f>
        <v/>
      </c>
      <c r="H913" s="30" t="str">
        <f aca="false">IF($C913="","",IFERROR(IF(INDEX(links!$B$2:$B$501,MATCH($C913,links!$D$2:$D$501,0))="","",INDEX(links!$B$2:$B$501,MATCH($C913,links!$D$2:$D$501,0))),""))</f>
        <v/>
      </c>
      <c r="I913" s="30" t="str">
        <f aca="false">IF($C913="","",IFERROR(IF(INDEX(links!$C$2:$C$501,MATCH($C913,links!$D$2:$D$501,0))="","",INDEX(links!$C$2:$C$501,MATCH($C913,links!$D$2:$D$501,0))),""))</f>
        <v/>
      </c>
      <c r="J913" s="30" t="str">
        <f aca="false">IF($C913="","",IF($G913="","slug not in links; ","")&amp;IF($D913="","reading type missing; ","")&amp;IF(COUNTIFS(scans!$C$2:$C$1601,$C913,scans!$D$2:$D$1601,$D913)&gt;1,"two readings of this type: keep one; ",""))</f>
        <v/>
      </c>
    </row>
    <row r="914" customFormat="false" ht="15" hidden="false" customHeight="false" outlineLevel="0" collapsed="false">
      <c r="A914" s="11"/>
      <c r="B914" s="38"/>
      <c r="D914" s="10"/>
      <c r="G914" s="30" t="str">
        <f aca="false">IF($C914="","",IFERROR(IF(INDEX(links!$A$2:$A$501,MATCH($C914,links!$D$2:$D$501,0))="","",INDEX(links!$A$2:$A$501,MATCH($C914,links!$D$2:$D$501,0))),""))</f>
        <v/>
      </c>
      <c r="H914" s="30" t="str">
        <f aca="false">IF($C914="","",IFERROR(IF(INDEX(links!$B$2:$B$501,MATCH($C914,links!$D$2:$D$501,0))="","",INDEX(links!$B$2:$B$501,MATCH($C914,links!$D$2:$D$501,0))),""))</f>
        <v/>
      </c>
      <c r="I914" s="30" t="str">
        <f aca="false">IF($C914="","",IFERROR(IF(INDEX(links!$C$2:$C$501,MATCH($C914,links!$D$2:$D$501,0))="","",INDEX(links!$C$2:$C$501,MATCH($C914,links!$D$2:$D$501,0))),""))</f>
        <v/>
      </c>
      <c r="J914" s="30" t="str">
        <f aca="false">IF($C914="","",IF($G914="","slug not in links; ","")&amp;IF($D914="","reading type missing; ","")&amp;IF(COUNTIFS(scans!$C$2:$C$1601,$C914,scans!$D$2:$D$1601,$D914)&gt;1,"two readings of this type: keep one; ",""))</f>
        <v/>
      </c>
    </row>
    <row r="915" customFormat="false" ht="15" hidden="false" customHeight="false" outlineLevel="0" collapsed="false">
      <c r="A915" s="11"/>
      <c r="B915" s="38"/>
      <c r="D915" s="10"/>
      <c r="G915" s="30" t="str">
        <f aca="false">IF($C915="","",IFERROR(IF(INDEX(links!$A$2:$A$501,MATCH($C915,links!$D$2:$D$501,0))="","",INDEX(links!$A$2:$A$501,MATCH($C915,links!$D$2:$D$501,0))),""))</f>
        <v/>
      </c>
      <c r="H915" s="30" t="str">
        <f aca="false">IF($C915="","",IFERROR(IF(INDEX(links!$B$2:$B$501,MATCH($C915,links!$D$2:$D$501,0))="","",INDEX(links!$B$2:$B$501,MATCH($C915,links!$D$2:$D$501,0))),""))</f>
        <v/>
      </c>
      <c r="I915" s="30" t="str">
        <f aca="false">IF($C915="","",IFERROR(IF(INDEX(links!$C$2:$C$501,MATCH($C915,links!$D$2:$D$501,0))="","",INDEX(links!$C$2:$C$501,MATCH($C915,links!$D$2:$D$501,0))),""))</f>
        <v/>
      </c>
      <c r="J915" s="30" t="str">
        <f aca="false">IF($C915="","",IF($G915="","slug not in links; ","")&amp;IF($D915="","reading type missing; ","")&amp;IF(COUNTIFS(scans!$C$2:$C$1601,$C915,scans!$D$2:$D$1601,$D915)&gt;1,"two readings of this type: keep one; ",""))</f>
        <v/>
      </c>
    </row>
    <row r="916" customFormat="false" ht="15" hidden="false" customHeight="false" outlineLevel="0" collapsed="false">
      <c r="A916" s="11"/>
      <c r="B916" s="38"/>
      <c r="D916" s="10"/>
      <c r="G916" s="30" t="str">
        <f aca="false">IF($C916="","",IFERROR(IF(INDEX(links!$A$2:$A$501,MATCH($C916,links!$D$2:$D$501,0))="","",INDEX(links!$A$2:$A$501,MATCH($C916,links!$D$2:$D$501,0))),""))</f>
        <v/>
      </c>
      <c r="H916" s="30" t="str">
        <f aca="false">IF($C916="","",IFERROR(IF(INDEX(links!$B$2:$B$501,MATCH($C916,links!$D$2:$D$501,0))="","",INDEX(links!$B$2:$B$501,MATCH($C916,links!$D$2:$D$501,0))),""))</f>
        <v/>
      </c>
      <c r="I916" s="30" t="str">
        <f aca="false">IF($C916="","",IFERROR(IF(INDEX(links!$C$2:$C$501,MATCH($C916,links!$D$2:$D$501,0))="","",INDEX(links!$C$2:$C$501,MATCH($C916,links!$D$2:$D$501,0))),""))</f>
        <v/>
      </c>
      <c r="J916" s="30" t="str">
        <f aca="false">IF($C916="","",IF($G916="","slug not in links; ","")&amp;IF($D916="","reading type missing; ","")&amp;IF(COUNTIFS(scans!$C$2:$C$1601,$C916,scans!$D$2:$D$1601,$D916)&gt;1,"two readings of this type: keep one; ",""))</f>
        <v/>
      </c>
    </row>
    <row r="917" customFormat="false" ht="15" hidden="false" customHeight="false" outlineLevel="0" collapsed="false">
      <c r="A917" s="11"/>
      <c r="B917" s="38"/>
      <c r="D917" s="10"/>
      <c r="G917" s="30" t="str">
        <f aca="false">IF($C917="","",IFERROR(IF(INDEX(links!$A$2:$A$501,MATCH($C917,links!$D$2:$D$501,0))="","",INDEX(links!$A$2:$A$501,MATCH($C917,links!$D$2:$D$501,0))),""))</f>
        <v/>
      </c>
      <c r="H917" s="30" t="str">
        <f aca="false">IF($C917="","",IFERROR(IF(INDEX(links!$B$2:$B$501,MATCH($C917,links!$D$2:$D$501,0))="","",INDEX(links!$B$2:$B$501,MATCH($C917,links!$D$2:$D$501,0))),""))</f>
        <v/>
      </c>
      <c r="I917" s="30" t="str">
        <f aca="false">IF($C917="","",IFERROR(IF(INDEX(links!$C$2:$C$501,MATCH($C917,links!$D$2:$D$501,0))="","",INDEX(links!$C$2:$C$501,MATCH($C917,links!$D$2:$D$501,0))),""))</f>
        <v/>
      </c>
      <c r="J917" s="30" t="str">
        <f aca="false">IF($C917="","",IF($G917="","slug not in links; ","")&amp;IF($D917="","reading type missing; ","")&amp;IF(COUNTIFS(scans!$C$2:$C$1601,$C917,scans!$D$2:$D$1601,$D917)&gt;1,"two readings of this type: keep one; ",""))</f>
        <v/>
      </c>
    </row>
    <row r="918" customFormat="false" ht="15" hidden="false" customHeight="false" outlineLevel="0" collapsed="false">
      <c r="A918" s="11"/>
      <c r="B918" s="38"/>
      <c r="D918" s="10"/>
      <c r="G918" s="30" t="str">
        <f aca="false">IF($C918="","",IFERROR(IF(INDEX(links!$A$2:$A$501,MATCH($C918,links!$D$2:$D$501,0))="","",INDEX(links!$A$2:$A$501,MATCH($C918,links!$D$2:$D$501,0))),""))</f>
        <v/>
      </c>
      <c r="H918" s="30" t="str">
        <f aca="false">IF($C918="","",IFERROR(IF(INDEX(links!$B$2:$B$501,MATCH($C918,links!$D$2:$D$501,0))="","",INDEX(links!$B$2:$B$501,MATCH($C918,links!$D$2:$D$501,0))),""))</f>
        <v/>
      </c>
      <c r="I918" s="30" t="str">
        <f aca="false">IF($C918="","",IFERROR(IF(INDEX(links!$C$2:$C$501,MATCH($C918,links!$D$2:$D$501,0))="","",INDEX(links!$C$2:$C$501,MATCH($C918,links!$D$2:$D$501,0))),""))</f>
        <v/>
      </c>
      <c r="J918" s="30" t="str">
        <f aca="false">IF($C918="","",IF($G918="","slug not in links; ","")&amp;IF($D918="","reading type missing; ","")&amp;IF(COUNTIFS(scans!$C$2:$C$1601,$C918,scans!$D$2:$D$1601,$D918)&gt;1,"two readings of this type: keep one; ",""))</f>
        <v/>
      </c>
    </row>
    <row r="919" customFormat="false" ht="15" hidden="false" customHeight="false" outlineLevel="0" collapsed="false">
      <c r="A919" s="11"/>
      <c r="B919" s="38"/>
      <c r="D919" s="10"/>
      <c r="G919" s="30" t="str">
        <f aca="false">IF($C919="","",IFERROR(IF(INDEX(links!$A$2:$A$501,MATCH($C919,links!$D$2:$D$501,0))="","",INDEX(links!$A$2:$A$501,MATCH($C919,links!$D$2:$D$501,0))),""))</f>
        <v/>
      </c>
      <c r="H919" s="30" t="str">
        <f aca="false">IF($C919="","",IFERROR(IF(INDEX(links!$B$2:$B$501,MATCH($C919,links!$D$2:$D$501,0))="","",INDEX(links!$B$2:$B$501,MATCH($C919,links!$D$2:$D$501,0))),""))</f>
        <v/>
      </c>
      <c r="I919" s="30" t="str">
        <f aca="false">IF($C919="","",IFERROR(IF(INDEX(links!$C$2:$C$501,MATCH($C919,links!$D$2:$D$501,0))="","",INDEX(links!$C$2:$C$501,MATCH($C919,links!$D$2:$D$501,0))),""))</f>
        <v/>
      </c>
      <c r="J919" s="30" t="str">
        <f aca="false">IF($C919="","",IF($G919="","slug not in links; ","")&amp;IF($D919="","reading type missing; ","")&amp;IF(COUNTIFS(scans!$C$2:$C$1601,$C919,scans!$D$2:$D$1601,$D919)&gt;1,"two readings of this type: keep one; ",""))</f>
        <v/>
      </c>
    </row>
    <row r="920" customFormat="false" ht="15" hidden="false" customHeight="false" outlineLevel="0" collapsed="false">
      <c r="A920" s="11"/>
      <c r="B920" s="38"/>
      <c r="D920" s="10"/>
      <c r="G920" s="30" t="str">
        <f aca="false">IF($C920="","",IFERROR(IF(INDEX(links!$A$2:$A$501,MATCH($C920,links!$D$2:$D$501,0))="","",INDEX(links!$A$2:$A$501,MATCH($C920,links!$D$2:$D$501,0))),""))</f>
        <v/>
      </c>
      <c r="H920" s="30" t="str">
        <f aca="false">IF($C920="","",IFERROR(IF(INDEX(links!$B$2:$B$501,MATCH($C920,links!$D$2:$D$501,0))="","",INDEX(links!$B$2:$B$501,MATCH($C920,links!$D$2:$D$501,0))),""))</f>
        <v/>
      </c>
      <c r="I920" s="30" t="str">
        <f aca="false">IF($C920="","",IFERROR(IF(INDEX(links!$C$2:$C$501,MATCH($C920,links!$D$2:$D$501,0))="","",INDEX(links!$C$2:$C$501,MATCH($C920,links!$D$2:$D$501,0))),""))</f>
        <v/>
      </c>
      <c r="J920" s="30" t="str">
        <f aca="false">IF($C920="","",IF($G920="","slug not in links; ","")&amp;IF($D920="","reading type missing; ","")&amp;IF(COUNTIFS(scans!$C$2:$C$1601,$C920,scans!$D$2:$D$1601,$D920)&gt;1,"two readings of this type: keep one; ",""))</f>
        <v/>
      </c>
    </row>
    <row r="921" customFormat="false" ht="15" hidden="false" customHeight="false" outlineLevel="0" collapsed="false">
      <c r="A921" s="11"/>
      <c r="B921" s="38"/>
      <c r="D921" s="10"/>
      <c r="G921" s="30" t="str">
        <f aca="false">IF($C921="","",IFERROR(IF(INDEX(links!$A$2:$A$501,MATCH($C921,links!$D$2:$D$501,0))="","",INDEX(links!$A$2:$A$501,MATCH($C921,links!$D$2:$D$501,0))),""))</f>
        <v/>
      </c>
      <c r="H921" s="30" t="str">
        <f aca="false">IF($C921="","",IFERROR(IF(INDEX(links!$B$2:$B$501,MATCH($C921,links!$D$2:$D$501,0))="","",INDEX(links!$B$2:$B$501,MATCH($C921,links!$D$2:$D$501,0))),""))</f>
        <v/>
      </c>
      <c r="I921" s="30" t="str">
        <f aca="false">IF($C921="","",IFERROR(IF(INDEX(links!$C$2:$C$501,MATCH($C921,links!$D$2:$D$501,0))="","",INDEX(links!$C$2:$C$501,MATCH($C921,links!$D$2:$D$501,0))),""))</f>
        <v/>
      </c>
      <c r="J921" s="30" t="str">
        <f aca="false">IF($C921="","",IF($G921="","slug not in links; ","")&amp;IF($D921="","reading type missing; ","")&amp;IF(COUNTIFS(scans!$C$2:$C$1601,$C921,scans!$D$2:$D$1601,$D921)&gt;1,"two readings of this type: keep one; ",""))</f>
        <v/>
      </c>
    </row>
    <row r="922" customFormat="false" ht="15" hidden="false" customHeight="false" outlineLevel="0" collapsed="false">
      <c r="A922" s="11"/>
      <c r="B922" s="38"/>
      <c r="D922" s="10"/>
      <c r="G922" s="30" t="str">
        <f aca="false">IF($C922="","",IFERROR(IF(INDEX(links!$A$2:$A$501,MATCH($C922,links!$D$2:$D$501,0))="","",INDEX(links!$A$2:$A$501,MATCH($C922,links!$D$2:$D$501,0))),""))</f>
        <v/>
      </c>
      <c r="H922" s="30" t="str">
        <f aca="false">IF($C922="","",IFERROR(IF(INDEX(links!$B$2:$B$501,MATCH($C922,links!$D$2:$D$501,0))="","",INDEX(links!$B$2:$B$501,MATCH($C922,links!$D$2:$D$501,0))),""))</f>
        <v/>
      </c>
      <c r="I922" s="30" t="str">
        <f aca="false">IF($C922="","",IFERROR(IF(INDEX(links!$C$2:$C$501,MATCH($C922,links!$D$2:$D$501,0))="","",INDEX(links!$C$2:$C$501,MATCH($C922,links!$D$2:$D$501,0))),""))</f>
        <v/>
      </c>
      <c r="J922" s="30" t="str">
        <f aca="false">IF($C922="","",IF($G922="","slug not in links; ","")&amp;IF($D922="","reading type missing; ","")&amp;IF(COUNTIFS(scans!$C$2:$C$1601,$C922,scans!$D$2:$D$1601,$D922)&gt;1,"two readings of this type: keep one; ",""))</f>
        <v/>
      </c>
    </row>
    <row r="923" customFormat="false" ht="15" hidden="false" customHeight="false" outlineLevel="0" collapsed="false">
      <c r="A923" s="11"/>
      <c r="B923" s="38"/>
      <c r="D923" s="10"/>
      <c r="G923" s="30" t="str">
        <f aca="false">IF($C923="","",IFERROR(IF(INDEX(links!$A$2:$A$501,MATCH($C923,links!$D$2:$D$501,0))="","",INDEX(links!$A$2:$A$501,MATCH($C923,links!$D$2:$D$501,0))),""))</f>
        <v/>
      </c>
      <c r="H923" s="30" t="str">
        <f aca="false">IF($C923="","",IFERROR(IF(INDEX(links!$B$2:$B$501,MATCH($C923,links!$D$2:$D$501,0))="","",INDEX(links!$B$2:$B$501,MATCH($C923,links!$D$2:$D$501,0))),""))</f>
        <v/>
      </c>
      <c r="I923" s="30" t="str">
        <f aca="false">IF($C923="","",IFERROR(IF(INDEX(links!$C$2:$C$501,MATCH($C923,links!$D$2:$D$501,0))="","",INDEX(links!$C$2:$C$501,MATCH($C923,links!$D$2:$D$501,0))),""))</f>
        <v/>
      </c>
      <c r="J923" s="30" t="str">
        <f aca="false">IF($C923="","",IF($G923="","slug not in links; ","")&amp;IF($D923="","reading type missing; ","")&amp;IF(COUNTIFS(scans!$C$2:$C$1601,$C923,scans!$D$2:$D$1601,$D923)&gt;1,"two readings of this type: keep one; ",""))</f>
        <v/>
      </c>
    </row>
    <row r="924" customFormat="false" ht="15" hidden="false" customHeight="false" outlineLevel="0" collapsed="false">
      <c r="A924" s="11"/>
      <c r="B924" s="38"/>
      <c r="D924" s="10"/>
      <c r="G924" s="30" t="str">
        <f aca="false">IF($C924="","",IFERROR(IF(INDEX(links!$A$2:$A$501,MATCH($C924,links!$D$2:$D$501,0))="","",INDEX(links!$A$2:$A$501,MATCH($C924,links!$D$2:$D$501,0))),""))</f>
        <v/>
      </c>
      <c r="H924" s="30" t="str">
        <f aca="false">IF($C924="","",IFERROR(IF(INDEX(links!$B$2:$B$501,MATCH($C924,links!$D$2:$D$501,0))="","",INDEX(links!$B$2:$B$501,MATCH($C924,links!$D$2:$D$501,0))),""))</f>
        <v/>
      </c>
      <c r="I924" s="30" t="str">
        <f aca="false">IF($C924="","",IFERROR(IF(INDEX(links!$C$2:$C$501,MATCH($C924,links!$D$2:$D$501,0))="","",INDEX(links!$C$2:$C$501,MATCH($C924,links!$D$2:$D$501,0))),""))</f>
        <v/>
      </c>
      <c r="J924" s="30" t="str">
        <f aca="false">IF($C924="","",IF($G924="","slug not in links; ","")&amp;IF($D924="","reading type missing; ","")&amp;IF(COUNTIFS(scans!$C$2:$C$1601,$C924,scans!$D$2:$D$1601,$D924)&gt;1,"two readings of this type: keep one; ",""))</f>
        <v/>
      </c>
    </row>
    <row r="925" customFormat="false" ht="15" hidden="false" customHeight="false" outlineLevel="0" collapsed="false">
      <c r="A925" s="11"/>
      <c r="B925" s="38"/>
      <c r="D925" s="10"/>
      <c r="G925" s="30" t="str">
        <f aca="false">IF($C925="","",IFERROR(IF(INDEX(links!$A$2:$A$501,MATCH($C925,links!$D$2:$D$501,0))="","",INDEX(links!$A$2:$A$501,MATCH($C925,links!$D$2:$D$501,0))),""))</f>
        <v/>
      </c>
      <c r="H925" s="30" t="str">
        <f aca="false">IF($C925="","",IFERROR(IF(INDEX(links!$B$2:$B$501,MATCH($C925,links!$D$2:$D$501,0))="","",INDEX(links!$B$2:$B$501,MATCH($C925,links!$D$2:$D$501,0))),""))</f>
        <v/>
      </c>
      <c r="I925" s="30" t="str">
        <f aca="false">IF($C925="","",IFERROR(IF(INDEX(links!$C$2:$C$501,MATCH($C925,links!$D$2:$D$501,0))="","",INDEX(links!$C$2:$C$501,MATCH($C925,links!$D$2:$D$501,0))),""))</f>
        <v/>
      </c>
      <c r="J925" s="30" t="str">
        <f aca="false">IF($C925="","",IF($G925="","slug not in links; ","")&amp;IF($D925="","reading type missing; ","")&amp;IF(COUNTIFS(scans!$C$2:$C$1601,$C925,scans!$D$2:$D$1601,$D925)&gt;1,"two readings of this type: keep one; ",""))</f>
        <v/>
      </c>
    </row>
    <row r="926" customFormat="false" ht="15" hidden="false" customHeight="false" outlineLevel="0" collapsed="false">
      <c r="A926" s="11"/>
      <c r="B926" s="38"/>
      <c r="D926" s="10"/>
      <c r="G926" s="30" t="str">
        <f aca="false">IF($C926="","",IFERROR(IF(INDEX(links!$A$2:$A$501,MATCH($C926,links!$D$2:$D$501,0))="","",INDEX(links!$A$2:$A$501,MATCH($C926,links!$D$2:$D$501,0))),""))</f>
        <v/>
      </c>
      <c r="H926" s="30" t="str">
        <f aca="false">IF($C926="","",IFERROR(IF(INDEX(links!$B$2:$B$501,MATCH($C926,links!$D$2:$D$501,0))="","",INDEX(links!$B$2:$B$501,MATCH($C926,links!$D$2:$D$501,0))),""))</f>
        <v/>
      </c>
      <c r="I926" s="30" t="str">
        <f aca="false">IF($C926="","",IFERROR(IF(INDEX(links!$C$2:$C$501,MATCH($C926,links!$D$2:$D$501,0))="","",INDEX(links!$C$2:$C$501,MATCH($C926,links!$D$2:$D$501,0))),""))</f>
        <v/>
      </c>
      <c r="J926" s="30" t="str">
        <f aca="false">IF($C926="","",IF($G926="","slug not in links; ","")&amp;IF($D926="","reading type missing; ","")&amp;IF(COUNTIFS(scans!$C$2:$C$1601,$C926,scans!$D$2:$D$1601,$D926)&gt;1,"two readings of this type: keep one; ",""))</f>
        <v/>
      </c>
    </row>
    <row r="927" customFormat="false" ht="15" hidden="false" customHeight="false" outlineLevel="0" collapsed="false">
      <c r="A927" s="11"/>
      <c r="B927" s="38"/>
      <c r="D927" s="10"/>
      <c r="G927" s="30" t="str">
        <f aca="false">IF($C927="","",IFERROR(IF(INDEX(links!$A$2:$A$501,MATCH($C927,links!$D$2:$D$501,0))="","",INDEX(links!$A$2:$A$501,MATCH($C927,links!$D$2:$D$501,0))),""))</f>
        <v/>
      </c>
      <c r="H927" s="30" t="str">
        <f aca="false">IF($C927="","",IFERROR(IF(INDEX(links!$B$2:$B$501,MATCH($C927,links!$D$2:$D$501,0))="","",INDEX(links!$B$2:$B$501,MATCH($C927,links!$D$2:$D$501,0))),""))</f>
        <v/>
      </c>
      <c r="I927" s="30" t="str">
        <f aca="false">IF($C927="","",IFERROR(IF(INDEX(links!$C$2:$C$501,MATCH($C927,links!$D$2:$D$501,0))="","",INDEX(links!$C$2:$C$501,MATCH($C927,links!$D$2:$D$501,0))),""))</f>
        <v/>
      </c>
      <c r="J927" s="30" t="str">
        <f aca="false">IF($C927="","",IF($G927="","slug not in links; ","")&amp;IF($D927="","reading type missing; ","")&amp;IF(COUNTIFS(scans!$C$2:$C$1601,$C927,scans!$D$2:$D$1601,$D927)&gt;1,"two readings of this type: keep one; ",""))</f>
        <v/>
      </c>
    </row>
    <row r="928" customFormat="false" ht="15" hidden="false" customHeight="false" outlineLevel="0" collapsed="false">
      <c r="A928" s="11"/>
      <c r="B928" s="38"/>
      <c r="D928" s="10"/>
      <c r="G928" s="30" t="str">
        <f aca="false">IF($C928="","",IFERROR(IF(INDEX(links!$A$2:$A$501,MATCH($C928,links!$D$2:$D$501,0))="","",INDEX(links!$A$2:$A$501,MATCH($C928,links!$D$2:$D$501,0))),""))</f>
        <v/>
      </c>
      <c r="H928" s="30" t="str">
        <f aca="false">IF($C928="","",IFERROR(IF(INDEX(links!$B$2:$B$501,MATCH($C928,links!$D$2:$D$501,0))="","",INDEX(links!$B$2:$B$501,MATCH($C928,links!$D$2:$D$501,0))),""))</f>
        <v/>
      </c>
      <c r="I928" s="30" t="str">
        <f aca="false">IF($C928="","",IFERROR(IF(INDEX(links!$C$2:$C$501,MATCH($C928,links!$D$2:$D$501,0))="","",INDEX(links!$C$2:$C$501,MATCH($C928,links!$D$2:$D$501,0))),""))</f>
        <v/>
      </c>
      <c r="J928" s="30" t="str">
        <f aca="false">IF($C928="","",IF($G928="","slug not in links; ","")&amp;IF($D928="","reading type missing; ","")&amp;IF(COUNTIFS(scans!$C$2:$C$1601,$C928,scans!$D$2:$D$1601,$D928)&gt;1,"two readings of this type: keep one; ",""))</f>
        <v/>
      </c>
    </row>
    <row r="929" customFormat="false" ht="15" hidden="false" customHeight="false" outlineLevel="0" collapsed="false">
      <c r="A929" s="11"/>
      <c r="B929" s="38"/>
      <c r="D929" s="10"/>
      <c r="G929" s="30" t="str">
        <f aca="false">IF($C929="","",IFERROR(IF(INDEX(links!$A$2:$A$501,MATCH($C929,links!$D$2:$D$501,0))="","",INDEX(links!$A$2:$A$501,MATCH($C929,links!$D$2:$D$501,0))),""))</f>
        <v/>
      </c>
      <c r="H929" s="30" t="str">
        <f aca="false">IF($C929="","",IFERROR(IF(INDEX(links!$B$2:$B$501,MATCH($C929,links!$D$2:$D$501,0))="","",INDEX(links!$B$2:$B$501,MATCH($C929,links!$D$2:$D$501,0))),""))</f>
        <v/>
      </c>
      <c r="I929" s="30" t="str">
        <f aca="false">IF($C929="","",IFERROR(IF(INDEX(links!$C$2:$C$501,MATCH($C929,links!$D$2:$D$501,0))="","",INDEX(links!$C$2:$C$501,MATCH($C929,links!$D$2:$D$501,0))),""))</f>
        <v/>
      </c>
      <c r="J929" s="30" t="str">
        <f aca="false">IF($C929="","",IF($G929="","slug not in links; ","")&amp;IF($D929="","reading type missing; ","")&amp;IF(COUNTIFS(scans!$C$2:$C$1601,$C929,scans!$D$2:$D$1601,$D929)&gt;1,"two readings of this type: keep one; ",""))</f>
        <v/>
      </c>
    </row>
    <row r="930" customFormat="false" ht="15" hidden="false" customHeight="false" outlineLevel="0" collapsed="false">
      <c r="A930" s="11"/>
      <c r="B930" s="38"/>
      <c r="D930" s="10"/>
      <c r="G930" s="30" t="str">
        <f aca="false">IF($C930="","",IFERROR(IF(INDEX(links!$A$2:$A$501,MATCH($C930,links!$D$2:$D$501,0))="","",INDEX(links!$A$2:$A$501,MATCH($C930,links!$D$2:$D$501,0))),""))</f>
        <v/>
      </c>
      <c r="H930" s="30" t="str">
        <f aca="false">IF($C930="","",IFERROR(IF(INDEX(links!$B$2:$B$501,MATCH($C930,links!$D$2:$D$501,0))="","",INDEX(links!$B$2:$B$501,MATCH($C930,links!$D$2:$D$501,0))),""))</f>
        <v/>
      </c>
      <c r="I930" s="30" t="str">
        <f aca="false">IF($C930="","",IFERROR(IF(INDEX(links!$C$2:$C$501,MATCH($C930,links!$D$2:$D$501,0))="","",INDEX(links!$C$2:$C$501,MATCH($C930,links!$D$2:$D$501,0))),""))</f>
        <v/>
      </c>
      <c r="J930" s="30" t="str">
        <f aca="false">IF($C930="","",IF($G930="","slug not in links; ","")&amp;IF($D930="","reading type missing; ","")&amp;IF(COUNTIFS(scans!$C$2:$C$1601,$C930,scans!$D$2:$D$1601,$D930)&gt;1,"two readings of this type: keep one; ",""))</f>
        <v/>
      </c>
    </row>
    <row r="931" customFormat="false" ht="15" hidden="false" customHeight="false" outlineLevel="0" collapsed="false">
      <c r="A931" s="11"/>
      <c r="B931" s="38"/>
      <c r="D931" s="10"/>
      <c r="G931" s="30" t="str">
        <f aca="false">IF($C931="","",IFERROR(IF(INDEX(links!$A$2:$A$501,MATCH($C931,links!$D$2:$D$501,0))="","",INDEX(links!$A$2:$A$501,MATCH($C931,links!$D$2:$D$501,0))),""))</f>
        <v/>
      </c>
      <c r="H931" s="30" t="str">
        <f aca="false">IF($C931="","",IFERROR(IF(INDEX(links!$B$2:$B$501,MATCH($C931,links!$D$2:$D$501,0))="","",INDEX(links!$B$2:$B$501,MATCH($C931,links!$D$2:$D$501,0))),""))</f>
        <v/>
      </c>
      <c r="I931" s="30" t="str">
        <f aca="false">IF($C931="","",IFERROR(IF(INDEX(links!$C$2:$C$501,MATCH($C931,links!$D$2:$D$501,0))="","",INDEX(links!$C$2:$C$501,MATCH($C931,links!$D$2:$D$501,0))),""))</f>
        <v/>
      </c>
      <c r="J931" s="30" t="str">
        <f aca="false">IF($C931="","",IF($G931="","slug not in links; ","")&amp;IF($D931="","reading type missing; ","")&amp;IF(COUNTIFS(scans!$C$2:$C$1601,$C931,scans!$D$2:$D$1601,$D931)&gt;1,"two readings of this type: keep one; ",""))</f>
        <v/>
      </c>
    </row>
    <row r="932" customFormat="false" ht="15" hidden="false" customHeight="false" outlineLevel="0" collapsed="false">
      <c r="A932" s="11"/>
      <c r="B932" s="38"/>
      <c r="D932" s="10"/>
      <c r="G932" s="30" t="str">
        <f aca="false">IF($C932="","",IFERROR(IF(INDEX(links!$A$2:$A$501,MATCH($C932,links!$D$2:$D$501,0))="","",INDEX(links!$A$2:$A$501,MATCH($C932,links!$D$2:$D$501,0))),""))</f>
        <v/>
      </c>
      <c r="H932" s="30" t="str">
        <f aca="false">IF($C932="","",IFERROR(IF(INDEX(links!$B$2:$B$501,MATCH($C932,links!$D$2:$D$501,0))="","",INDEX(links!$B$2:$B$501,MATCH($C932,links!$D$2:$D$501,0))),""))</f>
        <v/>
      </c>
      <c r="I932" s="30" t="str">
        <f aca="false">IF($C932="","",IFERROR(IF(INDEX(links!$C$2:$C$501,MATCH($C932,links!$D$2:$D$501,0))="","",INDEX(links!$C$2:$C$501,MATCH($C932,links!$D$2:$D$501,0))),""))</f>
        <v/>
      </c>
      <c r="J932" s="30" t="str">
        <f aca="false">IF($C932="","",IF($G932="","slug not in links; ","")&amp;IF($D932="","reading type missing; ","")&amp;IF(COUNTIFS(scans!$C$2:$C$1601,$C932,scans!$D$2:$D$1601,$D932)&gt;1,"two readings of this type: keep one; ",""))</f>
        <v/>
      </c>
    </row>
    <row r="933" customFormat="false" ht="15" hidden="false" customHeight="false" outlineLevel="0" collapsed="false">
      <c r="A933" s="11"/>
      <c r="B933" s="38"/>
      <c r="D933" s="10"/>
      <c r="G933" s="30" t="str">
        <f aca="false">IF($C933="","",IFERROR(IF(INDEX(links!$A$2:$A$501,MATCH($C933,links!$D$2:$D$501,0))="","",INDEX(links!$A$2:$A$501,MATCH($C933,links!$D$2:$D$501,0))),""))</f>
        <v/>
      </c>
      <c r="H933" s="30" t="str">
        <f aca="false">IF($C933="","",IFERROR(IF(INDEX(links!$B$2:$B$501,MATCH($C933,links!$D$2:$D$501,0))="","",INDEX(links!$B$2:$B$501,MATCH($C933,links!$D$2:$D$501,0))),""))</f>
        <v/>
      </c>
      <c r="I933" s="30" t="str">
        <f aca="false">IF($C933="","",IFERROR(IF(INDEX(links!$C$2:$C$501,MATCH($C933,links!$D$2:$D$501,0))="","",INDEX(links!$C$2:$C$501,MATCH($C933,links!$D$2:$D$501,0))),""))</f>
        <v/>
      </c>
      <c r="J933" s="30" t="str">
        <f aca="false">IF($C933="","",IF($G933="","slug not in links; ","")&amp;IF($D933="","reading type missing; ","")&amp;IF(COUNTIFS(scans!$C$2:$C$1601,$C933,scans!$D$2:$D$1601,$D933)&gt;1,"two readings of this type: keep one; ",""))</f>
        <v/>
      </c>
    </row>
    <row r="934" customFormat="false" ht="15" hidden="false" customHeight="false" outlineLevel="0" collapsed="false">
      <c r="A934" s="11"/>
      <c r="B934" s="38"/>
      <c r="D934" s="10"/>
      <c r="G934" s="30" t="str">
        <f aca="false">IF($C934="","",IFERROR(IF(INDEX(links!$A$2:$A$501,MATCH($C934,links!$D$2:$D$501,0))="","",INDEX(links!$A$2:$A$501,MATCH($C934,links!$D$2:$D$501,0))),""))</f>
        <v/>
      </c>
      <c r="H934" s="30" t="str">
        <f aca="false">IF($C934="","",IFERROR(IF(INDEX(links!$B$2:$B$501,MATCH($C934,links!$D$2:$D$501,0))="","",INDEX(links!$B$2:$B$501,MATCH($C934,links!$D$2:$D$501,0))),""))</f>
        <v/>
      </c>
      <c r="I934" s="30" t="str">
        <f aca="false">IF($C934="","",IFERROR(IF(INDEX(links!$C$2:$C$501,MATCH($C934,links!$D$2:$D$501,0))="","",INDEX(links!$C$2:$C$501,MATCH($C934,links!$D$2:$D$501,0))),""))</f>
        <v/>
      </c>
      <c r="J934" s="30" t="str">
        <f aca="false">IF($C934="","",IF($G934="","slug not in links; ","")&amp;IF($D934="","reading type missing; ","")&amp;IF(COUNTIFS(scans!$C$2:$C$1601,$C934,scans!$D$2:$D$1601,$D934)&gt;1,"two readings of this type: keep one; ",""))</f>
        <v/>
      </c>
    </row>
    <row r="935" customFormat="false" ht="15" hidden="false" customHeight="false" outlineLevel="0" collapsed="false">
      <c r="A935" s="11"/>
      <c r="B935" s="38"/>
      <c r="D935" s="10"/>
      <c r="G935" s="30" t="str">
        <f aca="false">IF($C935="","",IFERROR(IF(INDEX(links!$A$2:$A$501,MATCH($C935,links!$D$2:$D$501,0))="","",INDEX(links!$A$2:$A$501,MATCH($C935,links!$D$2:$D$501,0))),""))</f>
        <v/>
      </c>
      <c r="H935" s="30" t="str">
        <f aca="false">IF($C935="","",IFERROR(IF(INDEX(links!$B$2:$B$501,MATCH($C935,links!$D$2:$D$501,0))="","",INDEX(links!$B$2:$B$501,MATCH($C935,links!$D$2:$D$501,0))),""))</f>
        <v/>
      </c>
      <c r="I935" s="30" t="str">
        <f aca="false">IF($C935="","",IFERROR(IF(INDEX(links!$C$2:$C$501,MATCH($C935,links!$D$2:$D$501,0))="","",INDEX(links!$C$2:$C$501,MATCH($C935,links!$D$2:$D$501,0))),""))</f>
        <v/>
      </c>
      <c r="J935" s="30" t="str">
        <f aca="false">IF($C935="","",IF($G935="","slug not in links; ","")&amp;IF($D935="","reading type missing; ","")&amp;IF(COUNTIFS(scans!$C$2:$C$1601,$C935,scans!$D$2:$D$1601,$D935)&gt;1,"two readings of this type: keep one; ",""))</f>
        <v/>
      </c>
    </row>
    <row r="936" customFormat="false" ht="15" hidden="false" customHeight="false" outlineLevel="0" collapsed="false">
      <c r="A936" s="11"/>
      <c r="B936" s="38"/>
      <c r="D936" s="10"/>
      <c r="G936" s="30" t="str">
        <f aca="false">IF($C936="","",IFERROR(IF(INDEX(links!$A$2:$A$501,MATCH($C936,links!$D$2:$D$501,0))="","",INDEX(links!$A$2:$A$501,MATCH($C936,links!$D$2:$D$501,0))),""))</f>
        <v/>
      </c>
      <c r="H936" s="30" t="str">
        <f aca="false">IF($C936="","",IFERROR(IF(INDEX(links!$B$2:$B$501,MATCH($C936,links!$D$2:$D$501,0))="","",INDEX(links!$B$2:$B$501,MATCH($C936,links!$D$2:$D$501,0))),""))</f>
        <v/>
      </c>
      <c r="I936" s="30" t="str">
        <f aca="false">IF($C936="","",IFERROR(IF(INDEX(links!$C$2:$C$501,MATCH($C936,links!$D$2:$D$501,0))="","",INDEX(links!$C$2:$C$501,MATCH($C936,links!$D$2:$D$501,0))),""))</f>
        <v/>
      </c>
      <c r="J936" s="30" t="str">
        <f aca="false">IF($C936="","",IF($G936="","slug not in links; ","")&amp;IF($D936="","reading type missing; ","")&amp;IF(COUNTIFS(scans!$C$2:$C$1601,$C936,scans!$D$2:$D$1601,$D936)&gt;1,"two readings of this type: keep one; ",""))</f>
        <v/>
      </c>
    </row>
    <row r="937" customFormat="false" ht="15" hidden="false" customHeight="false" outlineLevel="0" collapsed="false">
      <c r="A937" s="11"/>
      <c r="B937" s="38"/>
      <c r="D937" s="10"/>
      <c r="G937" s="30" t="str">
        <f aca="false">IF($C937="","",IFERROR(IF(INDEX(links!$A$2:$A$501,MATCH($C937,links!$D$2:$D$501,0))="","",INDEX(links!$A$2:$A$501,MATCH($C937,links!$D$2:$D$501,0))),""))</f>
        <v/>
      </c>
      <c r="H937" s="30" t="str">
        <f aca="false">IF($C937="","",IFERROR(IF(INDEX(links!$B$2:$B$501,MATCH($C937,links!$D$2:$D$501,0))="","",INDEX(links!$B$2:$B$501,MATCH($C937,links!$D$2:$D$501,0))),""))</f>
        <v/>
      </c>
      <c r="I937" s="30" t="str">
        <f aca="false">IF($C937="","",IFERROR(IF(INDEX(links!$C$2:$C$501,MATCH($C937,links!$D$2:$D$501,0))="","",INDEX(links!$C$2:$C$501,MATCH($C937,links!$D$2:$D$501,0))),""))</f>
        <v/>
      </c>
      <c r="J937" s="30" t="str">
        <f aca="false">IF($C937="","",IF($G937="","slug not in links; ","")&amp;IF($D937="","reading type missing; ","")&amp;IF(COUNTIFS(scans!$C$2:$C$1601,$C937,scans!$D$2:$D$1601,$D937)&gt;1,"two readings of this type: keep one; ",""))</f>
        <v/>
      </c>
    </row>
    <row r="938" customFormat="false" ht="15" hidden="false" customHeight="false" outlineLevel="0" collapsed="false">
      <c r="A938" s="11"/>
      <c r="B938" s="38"/>
      <c r="D938" s="10"/>
      <c r="G938" s="30" t="str">
        <f aca="false">IF($C938="","",IFERROR(IF(INDEX(links!$A$2:$A$501,MATCH($C938,links!$D$2:$D$501,0))="","",INDEX(links!$A$2:$A$501,MATCH($C938,links!$D$2:$D$501,0))),""))</f>
        <v/>
      </c>
      <c r="H938" s="30" t="str">
        <f aca="false">IF($C938="","",IFERROR(IF(INDEX(links!$B$2:$B$501,MATCH($C938,links!$D$2:$D$501,0))="","",INDEX(links!$B$2:$B$501,MATCH($C938,links!$D$2:$D$501,0))),""))</f>
        <v/>
      </c>
      <c r="I938" s="30" t="str">
        <f aca="false">IF($C938="","",IFERROR(IF(INDEX(links!$C$2:$C$501,MATCH($C938,links!$D$2:$D$501,0))="","",INDEX(links!$C$2:$C$501,MATCH($C938,links!$D$2:$D$501,0))),""))</f>
        <v/>
      </c>
      <c r="J938" s="30" t="str">
        <f aca="false">IF($C938="","",IF($G938="","slug not in links; ","")&amp;IF($D938="","reading type missing; ","")&amp;IF(COUNTIFS(scans!$C$2:$C$1601,$C938,scans!$D$2:$D$1601,$D938)&gt;1,"two readings of this type: keep one; ",""))</f>
        <v/>
      </c>
    </row>
    <row r="939" customFormat="false" ht="15" hidden="false" customHeight="false" outlineLevel="0" collapsed="false">
      <c r="A939" s="11"/>
      <c r="B939" s="38"/>
      <c r="D939" s="10"/>
      <c r="G939" s="30" t="str">
        <f aca="false">IF($C939="","",IFERROR(IF(INDEX(links!$A$2:$A$501,MATCH($C939,links!$D$2:$D$501,0))="","",INDEX(links!$A$2:$A$501,MATCH($C939,links!$D$2:$D$501,0))),""))</f>
        <v/>
      </c>
      <c r="H939" s="30" t="str">
        <f aca="false">IF($C939="","",IFERROR(IF(INDEX(links!$B$2:$B$501,MATCH($C939,links!$D$2:$D$501,0))="","",INDEX(links!$B$2:$B$501,MATCH($C939,links!$D$2:$D$501,0))),""))</f>
        <v/>
      </c>
      <c r="I939" s="30" t="str">
        <f aca="false">IF($C939="","",IFERROR(IF(INDEX(links!$C$2:$C$501,MATCH($C939,links!$D$2:$D$501,0))="","",INDEX(links!$C$2:$C$501,MATCH($C939,links!$D$2:$D$501,0))),""))</f>
        <v/>
      </c>
      <c r="J939" s="30" t="str">
        <f aca="false">IF($C939="","",IF($G939="","slug not in links; ","")&amp;IF($D939="","reading type missing; ","")&amp;IF(COUNTIFS(scans!$C$2:$C$1601,$C939,scans!$D$2:$D$1601,$D939)&gt;1,"two readings of this type: keep one; ",""))</f>
        <v/>
      </c>
    </row>
    <row r="940" customFormat="false" ht="15" hidden="false" customHeight="false" outlineLevel="0" collapsed="false">
      <c r="A940" s="11"/>
      <c r="B940" s="38"/>
      <c r="D940" s="10"/>
      <c r="G940" s="30" t="str">
        <f aca="false">IF($C940="","",IFERROR(IF(INDEX(links!$A$2:$A$501,MATCH($C940,links!$D$2:$D$501,0))="","",INDEX(links!$A$2:$A$501,MATCH($C940,links!$D$2:$D$501,0))),""))</f>
        <v/>
      </c>
      <c r="H940" s="30" t="str">
        <f aca="false">IF($C940="","",IFERROR(IF(INDEX(links!$B$2:$B$501,MATCH($C940,links!$D$2:$D$501,0))="","",INDEX(links!$B$2:$B$501,MATCH($C940,links!$D$2:$D$501,0))),""))</f>
        <v/>
      </c>
      <c r="I940" s="30" t="str">
        <f aca="false">IF($C940="","",IFERROR(IF(INDEX(links!$C$2:$C$501,MATCH($C940,links!$D$2:$D$501,0))="","",INDEX(links!$C$2:$C$501,MATCH($C940,links!$D$2:$D$501,0))),""))</f>
        <v/>
      </c>
      <c r="J940" s="30" t="str">
        <f aca="false">IF($C940="","",IF($G940="","slug not in links; ","")&amp;IF($D940="","reading type missing; ","")&amp;IF(COUNTIFS(scans!$C$2:$C$1601,$C940,scans!$D$2:$D$1601,$D940)&gt;1,"two readings of this type: keep one; ",""))</f>
        <v/>
      </c>
    </row>
    <row r="941" customFormat="false" ht="15" hidden="false" customHeight="false" outlineLevel="0" collapsed="false">
      <c r="A941" s="11"/>
      <c r="B941" s="38"/>
      <c r="D941" s="10"/>
      <c r="G941" s="30" t="str">
        <f aca="false">IF($C941="","",IFERROR(IF(INDEX(links!$A$2:$A$501,MATCH($C941,links!$D$2:$D$501,0))="","",INDEX(links!$A$2:$A$501,MATCH($C941,links!$D$2:$D$501,0))),""))</f>
        <v/>
      </c>
      <c r="H941" s="30" t="str">
        <f aca="false">IF($C941="","",IFERROR(IF(INDEX(links!$B$2:$B$501,MATCH($C941,links!$D$2:$D$501,0))="","",INDEX(links!$B$2:$B$501,MATCH($C941,links!$D$2:$D$501,0))),""))</f>
        <v/>
      </c>
      <c r="I941" s="30" t="str">
        <f aca="false">IF($C941="","",IFERROR(IF(INDEX(links!$C$2:$C$501,MATCH($C941,links!$D$2:$D$501,0))="","",INDEX(links!$C$2:$C$501,MATCH($C941,links!$D$2:$D$501,0))),""))</f>
        <v/>
      </c>
      <c r="J941" s="30" t="str">
        <f aca="false">IF($C941="","",IF($G941="","slug not in links; ","")&amp;IF($D941="","reading type missing; ","")&amp;IF(COUNTIFS(scans!$C$2:$C$1601,$C941,scans!$D$2:$D$1601,$D941)&gt;1,"two readings of this type: keep one; ",""))</f>
        <v/>
      </c>
    </row>
    <row r="942" customFormat="false" ht="15" hidden="false" customHeight="false" outlineLevel="0" collapsed="false">
      <c r="A942" s="11"/>
      <c r="B942" s="38"/>
      <c r="D942" s="10"/>
      <c r="G942" s="30" t="str">
        <f aca="false">IF($C942="","",IFERROR(IF(INDEX(links!$A$2:$A$501,MATCH($C942,links!$D$2:$D$501,0))="","",INDEX(links!$A$2:$A$501,MATCH($C942,links!$D$2:$D$501,0))),""))</f>
        <v/>
      </c>
      <c r="H942" s="30" t="str">
        <f aca="false">IF($C942="","",IFERROR(IF(INDEX(links!$B$2:$B$501,MATCH($C942,links!$D$2:$D$501,0))="","",INDEX(links!$B$2:$B$501,MATCH($C942,links!$D$2:$D$501,0))),""))</f>
        <v/>
      </c>
      <c r="I942" s="30" t="str">
        <f aca="false">IF($C942="","",IFERROR(IF(INDEX(links!$C$2:$C$501,MATCH($C942,links!$D$2:$D$501,0))="","",INDEX(links!$C$2:$C$501,MATCH($C942,links!$D$2:$D$501,0))),""))</f>
        <v/>
      </c>
      <c r="J942" s="30" t="str">
        <f aca="false">IF($C942="","",IF($G942="","slug not in links; ","")&amp;IF($D942="","reading type missing; ","")&amp;IF(COUNTIFS(scans!$C$2:$C$1601,$C942,scans!$D$2:$D$1601,$D942)&gt;1,"two readings of this type: keep one; ",""))</f>
        <v/>
      </c>
    </row>
    <row r="943" customFormat="false" ht="15" hidden="false" customHeight="false" outlineLevel="0" collapsed="false">
      <c r="A943" s="11"/>
      <c r="B943" s="38"/>
      <c r="D943" s="10"/>
      <c r="G943" s="30" t="str">
        <f aca="false">IF($C943="","",IFERROR(IF(INDEX(links!$A$2:$A$501,MATCH($C943,links!$D$2:$D$501,0))="","",INDEX(links!$A$2:$A$501,MATCH($C943,links!$D$2:$D$501,0))),""))</f>
        <v/>
      </c>
      <c r="H943" s="30" t="str">
        <f aca="false">IF($C943="","",IFERROR(IF(INDEX(links!$B$2:$B$501,MATCH($C943,links!$D$2:$D$501,0))="","",INDEX(links!$B$2:$B$501,MATCH($C943,links!$D$2:$D$501,0))),""))</f>
        <v/>
      </c>
      <c r="I943" s="30" t="str">
        <f aca="false">IF($C943="","",IFERROR(IF(INDEX(links!$C$2:$C$501,MATCH($C943,links!$D$2:$D$501,0))="","",INDEX(links!$C$2:$C$501,MATCH($C943,links!$D$2:$D$501,0))),""))</f>
        <v/>
      </c>
      <c r="J943" s="30" t="str">
        <f aca="false">IF($C943="","",IF($G943="","slug not in links; ","")&amp;IF($D943="","reading type missing; ","")&amp;IF(COUNTIFS(scans!$C$2:$C$1601,$C943,scans!$D$2:$D$1601,$D943)&gt;1,"two readings of this type: keep one; ",""))</f>
        <v/>
      </c>
    </row>
    <row r="944" customFormat="false" ht="15" hidden="false" customHeight="false" outlineLevel="0" collapsed="false">
      <c r="A944" s="11"/>
      <c r="B944" s="38"/>
      <c r="D944" s="10"/>
      <c r="G944" s="30" t="str">
        <f aca="false">IF($C944="","",IFERROR(IF(INDEX(links!$A$2:$A$501,MATCH($C944,links!$D$2:$D$501,0))="","",INDEX(links!$A$2:$A$501,MATCH($C944,links!$D$2:$D$501,0))),""))</f>
        <v/>
      </c>
      <c r="H944" s="30" t="str">
        <f aca="false">IF($C944="","",IFERROR(IF(INDEX(links!$B$2:$B$501,MATCH($C944,links!$D$2:$D$501,0))="","",INDEX(links!$B$2:$B$501,MATCH($C944,links!$D$2:$D$501,0))),""))</f>
        <v/>
      </c>
      <c r="I944" s="30" t="str">
        <f aca="false">IF($C944="","",IFERROR(IF(INDEX(links!$C$2:$C$501,MATCH($C944,links!$D$2:$D$501,0))="","",INDEX(links!$C$2:$C$501,MATCH($C944,links!$D$2:$D$501,0))),""))</f>
        <v/>
      </c>
      <c r="J944" s="30" t="str">
        <f aca="false">IF($C944="","",IF($G944="","slug not in links; ","")&amp;IF($D944="","reading type missing; ","")&amp;IF(COUNTIFS(scans!$C$2:$C$1601,$C944,scans!$D$2:$D$1601,$D944)&gt;1,"two readings of this type: keep one; ",""))</f>
        <v/>
      </c>
    </row>
    <row r="945" customFormat="false" ht="15" hidden="false" customHeight="false" outlineLevel="0" collapsed="false">
      <c r="A945" s="11"/>
      <c r="B945" s="38"/>
      <c r="D945" s="10"/>
      <c r="G945" s="30" t="str">
        <f aca="false">IF($C945="","",IFERROR(IF(INDEX(links!$A$2:$A$501,MATCH($C945,links!$D$2:$D$501,0))="","",INDEX(links!$A$2:$A$501,MATCH($C945,links!$D$2:$D$501,0))),""))</f>
        <v/>
      </c>
      <c r="H945" s="30" t="str">
        <f aca="false">IF($C945="","",IFERROR(IF(INDEX(links!$B$2:$B$501,MATCH($C945,links!$D$2:$D$501,0))="","",INDEX(links!$B$2:$B$501,MATCH($C945,links!$D$2:$D$501,0))),""))</f>
        <v/>
      </c>
      <c r="I945" s="30" t="str">
        <f aca="false">IF($C945="","",IFERROR(IF(INDEX(links!$C$2:$C$501,MATCH($C945,links!$D$2:$D$501,0))="","",INDEX(links!$C$2:$C$501,MATCH($C945,links!$D$2:$D$501,0))),""))</f>
        <v/>
      </c>
      <c r="J945" s="30" t="str">
        <f aca="false">IF($C945="","",IF($G945="","slug not in links; ","")&amp;IF($D945="","reading type missing; ","")&amp;IF(COUNTIFS(scans!$C$2:$C$1601,$C945,scans!$D$2:$D$1601,$D945)&gt;1,"two readings of this type: keep one; ",""))</f>
        <v/>
      </c>
    </row>
    <row r="946" customFormat="false" ht="15" hidden="false" customHeight="false" outlineLevel="0" collapsed="false">
      <c r="A946" s="11"/>
      <c r="B946" s="38"/>
      <c r="D946" s="10"/>
      <c r="G946" s="30" t="str">
        <f aca="false">IF($C946="","",IFERROR(IF(INDEX(links!$A$2:$A$501,MATCH($C946,links!$D$2:$D$501,0))="","",INDEX(links!$A$2:$A$501,MATCH($C946,links!$D$2:$D$501,0))),""))</f>
        <v/>
      </c>
      <c r="H946" s="30" t="str">
        <f aca="false">IF($C946="","",IFERROR(IF(INDEX(links!$B$2:$B$501,MATCH($C946,links!$D$2:$D$501,0))="","",INDEX(links!$B$2:$B$501,MATCH($C946,links!$D$2:$D$501,0))),""))</f>
        <v/>
      </c>
      <c r="I946" s="30" t="str">
        <f aca="false">IF($C946="","",IFERROR(IF(INDEX(links!$C$2:$C$501,MATCH($C946,links!$D$2:$D$501,0))="","",INDEX(links!$C$2:$C$501,MATCH($C946,links!$D$2:$D$501,0))),""))</f>
        <v/>
      </c>
      <c r="J946" s="30" t="str">
        <f aca="false">IF($C946="","",IF($G946="","slug not in links; ","")&amp;IF($D946="","reading type missing; ","")&amp;IF(COUNTIFS(scans!$C$2:$C$1601,$C946,scans!$D$2:$D$1601,$D946)&gt;1,"two readings of this type: keep one; ",""))</f>
        <v/>
      </c>
    </row>
    <row r="947" customFormat="false" ht="15" hidden="false" customHeight="false" outlineLevel="0" collapsed="false">
      <c r="A947" s="11"/>
      <c r="B947" s="38"/>
      <c r="D947" s="10"/>
      <c r="G947" s="30" t="str">
        <f aca="false">IF($C947="","",IFERROR(IF(INDEX(links!$A$2:$A$501,MATCH($C947,links!$D$2:$D$501,0))="","",INDEX(links!$A$2:$A$501,MATCH($C947,links!$D$2:$D$501,0))),""))</f>
        <v/>
      </c>
      <c r="H947" s="30" t="str">
        <f aca="false">IF($C947="","",IFERROR(IF(INDEX(links!$B$2:$B$501,MATCH($C947,links!$D$2:$D$501,0))="","",INDEX(links!$B$2:$B$501,MATCH($C947,links!$D$2:$D$501,0))),""))</f>
        <v/>
      </c>
      <c r="I947" s="30" t="str">
        <f aca="false">IF($C947="","",IFERROR(IF(INDEX(links!$C$2:$C$501,MATCH($C947,links!$D$2:$D$501,0))="","",INDEX(links!$C$2:$C$501,MATCH($C947,links!$D$2:$D$501,0))),""))</f>
        <v/>
      </c>
      <c r="J947" s="30" t="str">
        <f aca="false">IF($C947="","",IF($G947="","slug not in links; ","")&amp;IF($D947="","reading type missing; ","")&amp;IF(COUNTIFS(scans!$C$2:$C$1601,$C947,scans!$D$2:$D$1601,$D947)&gt;1,"two readings of this type: keep one; ",""))</f>
        <v/>
      </c>
    </row>
    <row r="948" customFormat="false" ht="15" hidden="false" customHeight="false" outlineLevel="0" collapsed="false">
      <c r="A948" s="11"/>
      <c r="B948" s="38"/>
      <c r="D948" s="10"/>
      <c r="G948" s="30" t="str">
        <f aca="false">IF($C948="","",IFERROR(IF(INDEX(links!$A$2:$A$501,MATCH($C948,links!$D$2:$D$501,0))="","",INDEX(links!$A$2:$A$501,MATCH($C948,links!$D$2:$D$501,0))),""))</f>
        <v/>
      </c>
      <c r="H948" s="30" t="str">
        <f aca="false">IF($C948="","",IFERROR(IF(INDEX(links!$B$2:$B$501,MATCH($C948,links!$D$2:$D$501,0))="","",INDEX(links!$B$2:$B$501,MATCH($C948,links!$D$2:$D$501,0))),""))</f>
        <v/>
      </c>
      <c r="I948" s="30" t="str">
        <f aca="false">IF($C948="","",IFERROR(IF(INDEX(links!$C$2:$C$501,MATCH($C948,links!$D$2:$D$501,0))="","",INDEX(links!$C$2:$C$501,MATCH($C948,links!$D$2:$D$501,0))),""))</f>
        <v/>
      </c>
      <c r="J948" s="30" t="str">
        <f aca="false">IF($C948="","",IF($G948="","slug not in links; ","")&amp;IF($D948="","reading type missing; ","")&amp;IF(COUNTIFS(scans!$C$2:$C$1601,$C948,scans!$D$2:$D$1601,$D948)&gt;1,"two readings of this type: keep one; ",""))</f>
        <v/>
      </c>
    </row>
    <row r="949" customFormat="false" ht="15" hidden="false" customHeight="false" outlineLevel="0" collapsed="false">
      <c r="A949" s="11"/>
      <c r="B949" s="38"/>
      <c r="D949" s="10"/>
      <c r="G949" s="30" t="str">
        <f aca="false">IF($C949="","",IFERROR(IF(INDEX(links!$A$2:$A$501,MATCH($C949,links!$D$2:$D$501,0))="","",INDEX(links!$A$2:$A$501,MATCH($C949,links!$D$2:$D$501,0))),""))</f>
        <v/>
      </c>
      <c r="H949" s="30" t="str">
        <f aca="false">IF($C949="","",IFERROR(IF(INDEX(links!$B$2:$B$501,MATCH($C949,links!$D$2:$D$501,0))="","",INDEX(links!$B$2:$B$501,MATCH($C949,links!$D$2:$D$501,0))),""))</f>
        <v/>
      </c>
      <c r="I949" s="30" t="str">
        <f aca="false">IF($C949="","",IFERROR(IF(INDEX(links!$C$2:$C$501,MATCH($C949,links!$D$2:$D$501,0))="","",INDEX(links!$C$2:$C$501,MATCH($C949,links!$D$2:$D$501,0))),""))</f>
        <v/>
      </c>
      <c r="J949" s="30" t="str">
        <f aca="false">IF($C949="","",IF($G949="","slug not in links; ","")&amp;IF($D949="","reading type missing; ","")&amp;IF(COUNTIFS(scans!$C$2:$C$1601,$C949,scans!$D$2:$D$1601,$D949)&gt;1,"two readings of this type: keep one; ",""))</f>
        <v/>
      </c>
    </row>
    <row r="950" customFormat="false" ht="15" hidden="false" customHeight="false" outlineLevel="0" collapsed="false">
      <c r="A950" s="11"/>
      <c r="B950" s="38"/>
      <c r="D950" s="10"/>
      <c r="G950" s="30" t="str">
        <f aca="false">IF($C950="","",IFERROR(IF(INDEX(links!$A$2:$A$501,MATCH($C950,links!$D$2:$D$501,0))="","",INDEX(links!$A$2:$A$501,MATCH($C950,links!$D$2:$D$501,0))),""))</f>
        <v/>
      </c>
      <c r="H950" s="30" t="str">
        <f aca="false">IF($C950="","",IFERROR(IF(INDEX(links!$B$2:$B$501,MATCH($C950,links!$D$2:$D$501,0))="","",INDEX(links!$B$2:$B$501,MATCH($C950,links!$D$2:$D$501,0))),""))</f>
        <v/>
      </c>
      <c r="I950" s="30" t="str">
        <f aca="false">IF($C950="","",IFERROR(IF(INDEX(links!$C$2:$C$501,MATCH($C950,links!$D$2:$D$501,0))="","",INDEX(links!$C$2:$C$501,MATCH($C950,links!$D$2:$D$501,0))),""))</f>
        <v/>
      </c>
      <c r="J950" s="30" t="str">
        <f aca="false">IF($C950="","",IF($G950="","slug not in links; ","")&amp;IF($D950="","reading type missing; ","")&amp;IF(COUNTIFS(scans!$C$2:$C$1601,$C950,scans!$D$2:$D$1601,$D950)&gt;1,"two readings of this type: keep one; ",""))</f>
        <v/>
      </c>
    </row>
    <row r="951" customFormat="false" ht="15" hidden="false" customHeight="false" outlineLevel="0" collapsed="false">
      <c r="A951" s="11"/>
      <c r="B951" s="38"/>
      <c r="D951" s="10"/>
      <c r="G951" s="30" t="str">
        <f aca="false">IF($C951="","",IFERROR(IF(INDEX(links!$A$2:$A$501,MATCH($C951,links!$D$2:$D$501,0))="","",INDEX(links!$A$2:$A$501,MATCH($C951,links!$D$2:$D$501,0))),""))</f>
        <v/>
      </c>
      <c r="H951" s="30" t="str">
        <f aca="false">IF($C951="","",IFERROR(IF(INDEX(links!$B$2:$B$501,MATCH($C951,links!$D$2:$D$501,0))="","",INDEX(links!$B$2:$B$501,MATCH($C951,links!$D$2:$D$501,0))),""))</f>
        <v/>
      </c>
      <c r="I951" s="30" t="str">
        <f aca="false">IF($C951="","",IFERROR(IF(INDEX(links!$C$2:$C$501,MATCH($C951,links!$D$2:$D$501,0))="","",INDEX(links!$C$2:$C$501,MATCH($C951,links!$D$2:$D$501,0))),""))</f>
        <v/>
      </c>
      <c r="J951" s="30" t="str">
        <f aca="false">IF($C951="","",IF($G951="","slug not in links; ","")&amp;IF($D951="","reading type missing; ","")&amp;IF(COUNTIFS(scans!$C$2:$C$1601,$C951,scans!$D$2:$D$1601,$D951)&gt;1,"two readings of this type: keep one; ",""))</f>
        <v/>
      </c>
    </row>
    <row r="952" customFormat="false" ht="15" hidden="false" customHeight="false" outlineLevel="0" collapsed="false">
      <c r="A952" s="11"/>
      <c r="B952" s="38"/>
      <c r="D952" s="10"/>
      <c r="G952" s="30" t="str">
        <f aca="false">IF($C952="","",IFERROR(IF(INDEX(links!$A$2:$A$501,MATCH($C952,links!$D$2:$D$501,0))="","",INDEX(links!$A$2:$A$501,MATCH($C952,links!$D$2:$D$501,0))),""))</f>
        <v/>
      </c>
      <c r="H952" s="30" t="str">
        <f aca="false">IF($C952="","",IFERROR(IF(INDEX(links!$B$2:$B$501,MATCH($C952,links!$D$2:$D$501,0))="","",INDEX(links!$B$2:$B$501,MATCH($C952,links!$D$2:$D$501,0))),""))</f>
        <v/>
      </c>
      <c r="I952" s="30" t="str">
        <f aca="false">IF($C952="","",IFERROR(IF(INDEX(links!$C$2:$C$501,MATCH($C952,links!$D$2:$D$501,0))="","",INDEX(links!$C$2:$C$501,MATCH($C952,links!$D$2:$D$501,0))),""))</f>
        <v/>
      </c>
      <c r="J952" s="30" t="str">
        <f aca="false">IF($C952="","",IF($G952="","slug not in links; ","")&amp;IF($D952="","reading type missing; ","")&amp;IF(COUNTIFS(scans!$C$2:$C$1601,$C952,scans!$D$2:$D$1601,$D952)&gt;1,"two readings of this type: keep one; ",""))</f>
        <v/>
      </c>
    </row>
    <row r="953" customFormat="false" ht="15" hidden="false" customHeight="false" outlineLevel="0" collapsed="false">
      <c r="A953" s="11"/>
      <c r="B953" s="38"/>
      <c r="D953" s="10"/>
      <c r="G953" s="30" t="str">
        <f aca="false">IF($C953="","",IFERROR(IF(INDEX(links!$A$2:$A$501,MATCH($C953,links!$D$2:$D$501,0))="","",INDEX(links!$A$2:$A$501,MATCH($C953,links!$D$2:$D$501,0))),""))</f>
        <v/>
      </c>
      <c r="H953" s="30" t="str">
        <f aca="false">IF($C953="","",IFERROR(IF(INDEX(links!$B$2:$B$501,MATCH($C953,links!$D$2:$D$501,0))="","",INDEX(links!$B$2:$B$501,MATCH($C953,links!$D$2:$D$501,0))),""))</f>
        <v/>
      </c>
      <c r="I953" s="30" t="str">
        <f aca="false">IF($C953="","",IFERROR(IF(INDEX(links!$C$2:$C$501,MATCH($C953,links!$D$2:$D$501,0))="","",INDEX(links!$C$2:$C$501,MATCH($C953,links!$D$2:$D$501,0))),""))</f>
        <v/>
      </c>
      <c r="J953" s="30" t="str">
        <f aca="false">IF($C953="","",IF($G953="","slug not in links; ","")&amp;IF($D953="","reading type missing; ","")&amp;IF(COUNTIFS(scans!$C$2:$C$1601,$C953,scans!$D$2:$D$1601,$D953)&gt;1,"two readings of this type: keep one; ",""))</f>
        <v/>
      </c>
    </row>
    <row r="954" customFormat="false" ht="15" hidden="false" customHeight="false" outlineLevel="0" collapsed="false">
      <c r="A954" s="11"/>
      <c r="B954" s="38"/>
      <c r="D954" s="10"/>
      <c r="G954" s="30" t="str">
        <f aca="false">IF($C954="","",IFERROR(IF(INDEX(links!$A$2:$A$501,MATCH($C954,links!$D$2:$D$501,0))="","",INDEX(links!$A$2:$A$501,MATCH($C954,links!$D$2:$D$501,0))),""))</f>
        <v/>
      </c>
      <c r="H954" s="30" t="str">
        <f aca="false">IF($C954="","",IFERROR(IF(INDEX(links!$B$2:$B$501,MATCH($C954,links!$D$2:$D$501,0))="","",INDEX(links!$B$2:$B$501,MATCH($C954,links!$D$2:$D$501,0))),""))</f>
        <v/>
      </c>
      <c r="I954" s="30" t="str">
        <f aca="false">IF($C954="","",IFERROR(IF(INDEX(links!$C$2:$C$501,MATCH($C954,links!$D$2:$D$501,0))="","",INDEX(links!$C$2:$C$501,MATCH($C954,links!$D$2:$D$501,0))),""))</f>
        <v/>
      </c>
      <c r="J954" s="30" t="str">
        <f aca="false">IF($C954="","",IF($G954="","slug not in links; ","")&amp;IF($D954="","reading type missing; ","")&amp;IF(COUNTIFS(scans!$C$2:$C$1601,$C954,scans!$D$2:$D$1601,$D954)&gt;1,"two readings of this type: keep one; ",""))</f>
        <v/>
      </c>
    </row>
    <row r="955" customFormat="false" ht="15" hidden="false" customHeight="false" outlineLevel="0" collapsed="false">
      <c r="A955" s="11"/>
      <c r="B955" s="38"/>
      <c r="D955" s="10"/>
      <c r="G955" s="30" t="str">
        <f aca="false">IF($C955="","",IFERROR(IF(INDEX(links!$A$2:$A$501,MATCH($C955,links!$D$2:$D$501,0))="","",INDEX(links!$A$2:$A$501,MATCH($C955,links!$D$2:$D$501,0))),""))</f>
        <v/>
      </c>
      <c r="H955" s="30" t="str">
        <f aca="false">IF($C955="","",IFERROR(IF(INDEX(links!$B$2:$B$501,MATCH($C955,links!$D$2:$D$501,0))="","",INDEX(links!$B$2:$B$501,MATCH($C955,links!$D$2:$D$501,0))),""))</f>
        <v/>
      </c>
      <c r="I955" s="30" t="str">
        <f aca="false">IF($C955="","",IFERROR(IF(INDEX(links!$C$2:$C$501,MATCH($C955,links!$D$2:$D$501,0))="","",INDEX(links!$C$2:$C$501,MATCH($C955,links!$D$2:$D$501,0))),""))</f>
        <v/>
      </c>
      <c r="J955" s="30" t="str">
        <f aca="false">IF($C955="","",IF($G955="","slug not in links; ","")&amp;IF($D955="","reading type missing; ","")&amp;IF(COUNTIFS(scans!$C$2:$C$1601,$C955,scans!$D$2:$D$1601,$D955)&gt;1,"two readings of this type: keep one; ",""))</f>
        <v/>
      </c>
    </row>
    <row r="956" customFormat="false" ht="15" hidden="false" customHeight="false" outlineLevel="0" collapsed="false">
      <c r="A956" s="11"/>
      <c r="B956" s="38"/>
      <c r="D956" s="10"/>
      <c r="G956" s="30" t="str">
        <f aca="false">IF($C956="","",IFERROR(IF(INDEX(links!$A$2:$A$501,MATCH($C956,links!$D$2:$D$501,0))="","",INDEX(links!$A$2:$A$501,MATCH($C956,links!$D$2:$D$501,0))),""))</f>
        <v/>
      </c>
      <c r="H956" s="30" t="str">
        <f aca="false">IF($C956="","",IFERROR(IF(INDEX(links!$B$2:$B$501,MATCH($C956,links!$D$2:$D$501,0))="","",INDEX(links!$B$2:$B$501,MATCH($C956,links!$D$2:$D$501,0))),""))</f>
        <v/>
      </c>
      <c r="I956" s="30" t="str">
        <f aca="false">IF($C956="","",IFERROR(IF(INDEX(links!$C$2:$C$501,MATCH($C956,links!$D$2:$D$501,0))="","",INDEX(links!$C$2:$C$501,MATCH($C956,links!$D$2:$D$501,0))),""))</f>
        <v/>
      </c>
      <c r="J956" s="30" t="str">
        <f aca="false">IF($C956="","",IF($G956="","slug not in links; ","")&amp;IF($D956="","reading type missing; ","")&amp;IF(COUNTIFS(scans!$C$2:$C$1601,$C956,scans!$D$2:$D$1601,$D956)&gt;1,"two readings of this type: keep one; ",""))</f>
        <v/>
      </c>
    </row>
    <row r="957" customFormat="false" ht="15" hidden="false" customHeight="false" outlineLevel="0" collapsed="false">
      <c r="A957" s="11"/>
      <c r="B957" s="38"/>
      <c r="D957" s="10"/>
      <c r="G957" s="30" t="str">
        <f aca="false">IF($C957="","",IFERROR(IF(INDEX(links!$A$2:$A$501,MATCH($C957,links!$D$2:$D$501,0))="","",INDEX(links!$A$2:$A$501,MATCH($C957,links!$D$2:$D$501,0))),""))</f>
        <v/>
      </c>
      <c r="H957" s="30" t="str">
        <f aca="false">IF($C957="","",IFERROR(IF(INDEX(links!$B$2:$B$501,MATCH($C957,links!$D$2:$D$501,0))="","",INDEX(links!$B$2:$B$501,MATCH($C957,links!$D$2:$D$501,0))),""))</f>
        <v/>
      </c>
      <c r="I957" s="30" t="str">
        <f aca="false">IF($C957="","",IFERROR(IF(INDEX(links!$C$2:$C$501,MATCH($C957,links!$D$2:$D$501,0))="","",INDEX(links!$C$2:$C$501,MATCH($C957,links!$D$2:$D$501,0))),""))</f>
        <v/>
      </c>
      <c r="J957" s="30" t="str">
        <f aca="false">IF($C957="","",IF($G957="","slug not in links; ","")&amp;IF($D957="","reading type missing; ","")&amp;IF(COUNTIFS(scans!$C$2:$C$1601,$C957,scans!$D$2:$D$1601,$D957)&gt;1,"two readings of this type: keep one; ",""))</f>
        <v/>
      </c>
    </row>
    <row r="958" customFormat="false" ht="15" hidden="false" customHeight="false" outlineLevel="0" collapsed="false">
      <c r="A958" s="11"/>
      <c r="B958" s="38"/>
      <c r="D958" s="10"/>
      <c r="G958" s="30" t="str">
        <f aca="false">IF($C958="","",IFERROR(IF(INDEX(links!$A$2:$A$501,MATCH($C958,links!$D$2:$D$501,0))="","",INDEX(links!$A$2:$A$501,MATCH($C958,links!$D$2:$D$501,0))),""))</f>
        <v/>
      </c>
      <c r="H958" s="30" t="str">
        <f aca="false">IF($C958="","",IFERROR(IF(INDEX(links!$B$2:$B$501,MATCH($C958,links!$D$2:$D$501,0))="","",INDEX(links!$B$2:$B$501,MATCH($C958,links!$D$2:$D$501,0))),""))</f>
        <v/>
      </c>
      <c r="I958" s="30" t="str">
        <f aca="false">IF($C958="","",IFERROR(IF(INDEX(links!$C$2:$C$501,MATCH($C958,links!$D$2:$D$501,0))="","",INDEX(links!$C$2:$C$501,MATCH($C958,links!$D$2:$D$501,0))),""))</f>
        <v/>
      </c>
      <c r="J958" s="30" t="str">
        <f aca="false">IF($C958="","",IF($G958="","slug not in links; ","")&amp;IF($D958="","reading type missing; ","")&amp;IF(COUNTIFS(scans!$C$2:$C$1601,$C958,scans!$D$2:$D$1601,$D958)&gt;1,"two readings of this type: keep one; ",""))</f>
        <v/>
      </c>
    </row>
    <row r="959" customFormat="false" ht="15" hidden="false" customHeight="false" outlineLevel="0" collapsed="false">
      <c r="A959" s="11"/>
      <c r="B959" s="38"/>
      <c r="D959" s="10"/>
      <c r="G959" s="30" t="str">
        <f aca="false">IF($C959="","",IFERROR(IF(INDEX(links!$A$2:$A$501,MATCH($C959,links!$D$2:$D$501,0))="","",INDEX(links!$A$2:$A$501,MATCH($C959,links!$D$2:$D$501,0))),""))</f>
        <v/>
      </c>
      <c r="H959" s="30" t="str">
        <f aca="false">IF($C959="","",IFERROR(IF(INDEX(links!$B$2:$B$501,MATCH($C959,links!$D$2:$D$501,0))="","",INDEX(links!$B$2:$B$501,MATCH($C959,links!$D$2:$D$501,0))),""))</f>
        <v/>
      </c>
      <c r="I959" s="30" t="str">
        <f aca="false">IF($C959="","",IFERROR(IF(INDEX(links!$C$2:$C$501,MATCH($C959,links!$D$2:$D$501,0))="","",INDEX(links!$C$2:$C$501,MATCH($C959,links!$D$2:$D$501,0))),""))</f>
        <v/>
      </c>
      <c r="J959" s="30" t="str">
        <f aca="false">IF($C959="","",IF($G959="","slug not in links; ","")&amp;IF($D959="","reading type missing; ","")&amp;IF(COUNTIFS(scans!$C$2:$C$1601,$C959,scans!$D$2:$D$1601,$D959)&gt;1,"two readings of this type: keep one; ",""))</f>
        <v/>
      </c>
    </row>
    <row r="960" customFormat="false" ht="15" hidden="false" customHeight="false" outlineLevel="0" collapsed="false">
      <c r="A960" s="11"/>
      <c r="B960" s="38"/>
      <c r="D960" s="10"/>
      <c r="G960" s="30" t="str">
        <f aca="false">IF($C960="","",IFERROR(IF(INDEX(links!$A$2:$A$501,MATCH($C960,links!$D$2:$D$501,0))="","",INDEX(links!$A$2:$A$501,MATCH($C960,links!$D$2:$D$501,0))),""))</f>
        <v/>
      </c>
      <c r="H960" s="30" t="str">
        <f aca="false">IF($C960="","",IFERROR(IF(INDEX(links!$B$2:$B$501,MATCH($C960,links!$D$2:$D$501,0))="","",INDEX(links!$B$2:$B$501,MATCH($C960,links!$D$2:$D$501,0))),""))</f>
        <v/>
      </c>
      <c r="I960" s="30" t="str">
        <f aca="false">IF($C960="","",IFERROR(IF(INDEX(links!$C$2:$C$501,MATCH($C960,links!$D$2:$D$501,0))="","",INDEX(links!$C$2:$C$501,MATCH($C960,links!$D$2:$D$501,0))),""))</f>
        <v/>
      </c>
      <c r="J960" s="30" t="str">
        <f aca="false">IF($C960="","",IF($G960="","slug not in links; ","")&amp;IF($D960="","reading type missing; ","")&amp;IF(COUNTIFS(scans!$C$2:$C$1601,$C960,scans!$D$2:$D$1601,$D960)&gt;1,"two readings of this type: keep one; ",""))</f>
        <v/>
      </c>
    </row>
    <row r="961" customFormat="false" ht="15" hidden="false" customHeight="false" outlineLevel="0" collapsed="false">
      <c r="A961" s="11"/>
      <c r="B961" s="38"/>
      <c r="D961" s="10"/>
      <c r="G961" s="30" t="str">
        <f aca="false">IF($C961="","",IFERROR(IF(INDEX(links!$A$2:$A$501,MATCH($C961,links!$D$2:$D$501,0))="","",INDEX(links!$A$2:$A$501,MATCH($C961,links!$D$2:$D$501,0))),""))</f>
        <v/>
      </c>
      <c r="H961" s="30" t="str">
        <f aca="false">IF($C961="","",IFERROR(IF(INDEX(links!$B$2:$B$501,MATCH($C961,links!$D$2:$D$501,0))="","",INDEX(links!$B$2:$B$501,MATCH($C961,links!$D$2:$D$501,0))),""))</f>
        <v/>
      </c>
      <c r="I961" s="30" t="str">
        <f aca="false">IF($C961="","",IFERROR(IF(INDEX(links!$C$2:$C$501,MATCH($C961,links!$D$2:$D$501,0))="","",INDEX(links!$C$2:$C$501,MATCH($C961,links!$D$2:$D$501,0))),""))</f>
        <v/>
      </c>
      <c r="J961" s="30" t="str">
        <f aca="false">IF($C961="","",IF($G961="","slug not in links; ","")&amp;IF($D961="","reading type missing; ","")&amp;IF(COUNTIFS(scans!$C$2:$C$1601,$C961,scans!$D$2:$D$1601,$D961)&gt;1,"two readings of this type: keep one; ",""))</f>
        <v/>
      </c>
    </row>
    <row r="962" customFormat="false" ht="15" hidden="false" customHeight="false" outlineLevel="0" collapsed="false">
      <c r="A962" s="11"/>
      <c r="B962" s="38"/>
      <c r="D962" s="10"/>
      <c r="G962" s="30" t="str">
        <f aca="false">IF($C962="","",IFERROR(IF(INDEX(links!$A$2:$A$501,MATCH($C962,links!$D$2:$D$501,0))="","",INDEX(links!$A$2:$A$501,MATCH($C962,links!$D$2:$D$501,0))),""))</f>
        <v/>
      </c>
      <c r="H962" s="30" t="str">
        <f aca="false">IF($C962="","",IFERROR(IF(INDEX(links!$B$2:$B$501,MATCH($C962,links!$D$2:$D$501,0))="","",INDEX(links!$B$2:$B$501,MATCH($C962,links!$D$2:$D$501,0))),""))</f>
        <v/>
      </c>
      <c r="I962" s="30" t="str">
        <f aca="false">IF($C962="","",IFERROR(IF(INDEX(links!$C$2:$C$501,MATCH($C962,links!$D$2:$D$501,0))="","",INDEX(links!$C$2:$C$501,MATCH($C962,links!$D$2:$D$501,0))),""))</f>
        <v/>
      </c>
      <c r="J962" s="30" t="str">
        <f aca="false">IF($C962="","",IF($G962="","slug not in links; ","")&amp;IF($D962="","reading type missing; ","")&amp;IF(COUNTIFS(scans!$C$2:$C$1601,$C962,scans!$D$2:$D$1601,$D962)&gt;1,"two readings of this type: keep one; ",""))</f>
        <v/>
      </c>
    </row>
    <row r="963" customFormat="false" ht="15" hidden="false" customHeight="false" outlineLevel="0" collapsed="false">
      <c r="A963" s="11"/>
      <c r="B963" s="38"/>
      <c r="D963" s="10"/>
      <c r="G963" s="30" t="str">
        <f aca="false">IF($C963="","",IFERROR(IF(INDEX(links!$A$2:$A$501,MATCH($C963,links!$D$2:$D$501,0))="","",INDEX(links!$A$2:$A$501,MATCH($C963,links!$D$2:$D$501,0))),""))</f>
        <v/>
      </c>
      <c r="H963" s="30" t="str">
        <f aca="false">IF($C963="","",IFERROR(IF(INDEX(links!$B$2:$B$501,MATCH($C963,links!$D$2:$D$501,0))="","",INDEX(links!$B$2:$B$501,MATCH($C963,links!$D$2:$D$501,0))),""))</f>
        <v/>
      </c>
      <c r="I963" s="30" t="str">
        <f aca="false">IF($C963="","",IFERROR(IF(INDEX(links!$C$2:$C$501,MATCH($C963,links!$D$2:$D$501,0))="","",INDEX(links!$C$2:$C$501,MATCH($C963,links!$D$2:$D$501,0))),""))</f>
        <v/>
      </c>
      <c r="J963" s="30" t="str">
        <f aca="false">IF($C963="","",IF($G963="","slug not in links; ","")&amp;IF($D963="","reading type missing; ","")&amp;IF(COUNTIFS(scans!$C$2:$C$1601,$C963,scans!$D$2:$D$1601,$D963)&gt;1,"two readings of this type: keep one; ",""))</f>
        <v/>
      </c>
    </row>
    <row r="964" customFormat="false" ht="15" hidden="false" customHeight="false" outlineLevel="0" collapsed="false">
      <c r="A964" s="11"/>
      <c r="B964" s="38"/>
      <c r="D964" s="10"/>
      <c r="G964" s="30" t="str">
        <f aca="false">IF($C964="","",IFERROR(IF(INDEX(links!$A$2:$A$501,MATCH($C964,links!$D$2:$D$501,0))="","",INDEX(links!$A$2:$A$501,MATCH($C964,links!$D$2:$D$501,0))),""))</f>
        <v/>
      </c>
      <c r="H964" s="30" t="str">
        <f aca="false">IF($C964="","",IFERROR(IF(INDEX(links!$B$2:$B$501,MATCH($C964,links!$D$2:$D$501,0))="","",INDEX(links!$B$2:$B$501,MATCH($C964,links!$D$2:$D$501,0))),""))</f>
        <v/>
      </c>
      <c r="I964" s="30" t="str">
        <f aca="false">IF($C964="","",IFERROR(IF(INDEX(links!$C$2:$C$501,MATCH($C964,links!$D$2:$D$501,0))="","",INDEX(links!$C$2:$C$501,MATCH($C964,links!$D$2:$D$501,0))),""))</f>
        <v/>
      </c>
      <c r="J964" s="30" t="str">
        <f aca="false">IF($C964="","",IF($G964="","slug not in links; ","")&amp;IF($D964="","reading type missing; ","")&amp;IF(COUNTIFS(scans!$C$2:$C$1601,$C964,scans!$D$2:$D$1601,$D964)&gt;1,"two readings of this type: keep one; ",""))</f>
        <v/>
      </c>
    </row>
    <row r="965" customFormat="false" ht="15" hidden="false" customHeight="false" outlineLevel="0" collapsed="false">
      <c r="A965" s="11"/>
      <c r="B965" s="38"/>
      <c r="D965" s="10"/>
      <c r="G965" s="30" t="str">
        <f aca="false">IF($C965="","",IFERROR(IF(INDEX(links!$A$2:$A$501,MATCH($C965,links!$D$2:$D$501,0))="","",INDEX(links!$A$2:$A$501,MATCH($C965,links!$D$2:$D$501,0))),""))</f>
        <v/>
      </c>
      <c r="H965" s="30" t="str">
        <f aca="false">IF($C965="","",IFERROR(IF(INDEX(links!$B$2:$B$501,MATCH($C965,links!$D$2:$D$501,0))="","",INDEX(links!$B$2:$B$501,MATCH($C965,links!$D$2:$D$501,0))),""))</f>
        <v/>
      </c>
      <c r="I965" s="30" t="str">
        <f aca="false">IF($C965="","",IFERROR(IF(INDEX(links!$C$2:$C$501,MATCH($C965,links!$D$2:$D$501,0))="","",INDEX(links!$C$2:$C$501,MATCH($C965,links!$D$2:$D$501,0))),""))</f>
        <v/>
      </c>
      <c r="J965" s="30" t="str">
        <f aca="false">IF($C965="","",IF($G965="","slug not in links; ","")&amp;IF($D965="","reading type missing; ","")&amp;IF(COUNTIFS(scans!$C$2:$C$1601,$C965,scans!$D$2:$D$1601,$D965)&gt;1,"two readings of this type: keep one; ",""))</f>
        <v/>
      </c>
    </row>
    <row r="966" customFormat="false" ht="15" hidden="false" customHeight="false" outlineLevel="0" collapsed="false">
      <c r="A966" s="11"/>
      <c r="B966" s="38"/>
      <c r="D966" s="10"/>
      <c r="G966" s="30" t="str">
        <f aca="false">IF($C966="","",IFERROR(IF(INDEX(links!$A$2:$A$501,MATCH($C966,links!$D$2:$D$501,0))="","",INDEX(links!$A$2:$A$501,MATCH($C966,links!$D$2:$D$501,0))),""))</f>
        <v/>
      </c>
      <c r="H966" s="30" t="str">
        <f aca="false">IF($C966="","",IFERROR(IF(INDEX(links!$B$2:$B$501,MATCH($C966,links!$D$2:$D$501,0))="","",INDEX(links!$B$2:$B$501,MATCH($C966,links!$D$2:$D$501,0))),""))</f>
        <v/>
      </c>
      <c r="I966" s="30" t="str">
        <f aca="false">IF($C966="","",IFERROR(IF(INDEX(links!$C$2:$C$501,MATCH($C966,links!$D$2:$D$501,0))="","",INDEX(links!$C$2:$C$501,MATCH($C966,links!$D$2:$D$501,0))),""))</f>
        <v/>
      </c>
      <c r="J966" s="30" t="str">
        <f aca="false">IF($C966="","",IF($G966="","slug not in links; ","")&amp;IF($D966="","reading type missing; ","")&amp;IF(COUNTIFS(scans!$C$2:$C$1601,$C966,scans!$D$2:$D$1601,$D966)&gt;1,"two readings of this type: keep one; ",""))</f>
        <v/>
      </c>
    </row>
    <row r="967" customFormat="false" ht="15" hidden="false" customHeight="false" outlineLevel="0" collapsed="false">
      <c r="A967" s="11"/>
      <c r="B967" s="38"/>
      <c r="D967" s="10"/>
      <c r="G967" s="30" t="str">
        <f aca="false">IF($C967="","",IFERROR(IF(INDEX(links!$A$2:$A$501,MATCH($C967,links!$D$2:$D$501,0))="","",INDEX(links!$A$2:$A$501,MATCH($C967,links!$D$2:$D$501,0))),""))</f>
        <v/>
      </c>
      <c r="H967" s="30" t="str">
        <f aca="false">IF($C967="","",IFERROR(IF(INDEX(links!$B$2:$B$501,MATCH($C967,links!$D$2:$D$501,0))="","",INDEX(links!$B$2:$B$501,MATCH($C967,links!$D$2:$D$501,0))),""))</f>
        <v/>
      </c>
      <c r="I967" s="30" t="str">
        <f aca="false">IF($C967="","",IFERROR(IF(INDEX(links!$C$2:$C$501,MATCH($C967,links!$D$2:$D$501,0))="","",INDEX(links!$C$2:$C$501,MATCH($C967,links!$D$2:$D$501,0))),""))</f>
        <v/>
      </c>
      <c r="J967" s="30" t="str">
        <f aca="false">IF($C967="","",IF($G967="","slug not in links; ","")&amp;IF($D967="","reading type missing; ","")&amp;IF(COUNTIFS(scans!$C$2:$C$1601,$C967,scans!$D$2:$D$1601,$D967)&gt;1,"two readings of this type: keep one; ",""))</f>
        <v/>
      </c>
    </row>
    <row r="968" customFormat="false" ht="15" hidden="false" customHeight="false" outlineLevel="0" collapsed="false">
      <c r="A968" s="11"/>
      <c r="B968" s="38"/>
      <c r="D968" s="10"/>
      <c r="G968" s="30" t="str">
        <f aca="false">IF($C968="","",IFERROR(IF(INDEX(links!$A$2:$A$501,MATCH($C968,links!$D$2:$D$501,0))="","",INDEX(links!$A$2:$A$501,MATCH($C968,links!$D$2:$D$501,0))),""))</f>
        <v/>
      </c>
      <c r="H968" s="30" t="str">
        <f aca="false">IF($C968="","",IFERROR(IF(INDEX(links!$B$2:$B$501,MATCH($C968,links!$D$2:$D$501,0))="","",INDEX(links!$B$2:$B$501,MATCH($C968,links!$D$2:$D$501,0))),""))</f>
        <v/>
      </c>
      <c r="I968" s="30" t="str">
        <f aca="false">IF($C968="","",IFERROR(IF(INDEX(links!$C$2:$C$501,MATCH($C968,links!$D$2:$D$501,0))="","",INDEX(links!$C$2:$C$501,MATCH($C968,links!$D$2:$D$501,0))),""))</f>
        <v/>
      </c>
      <c r="J968" s="30" t="str">
        <f aca="false">IF($C968="","",IF($G968="","slug not in links; ","")&amp;IF($D968="","reading type missing; ","")&amp;IF(COUNTIFS(scans!$C$2:$C$1601,$C968,scans!$D$2:$D$1601,$D968)&gt;1,"two readings of this type: keep one; ",""))</f>
        <v/>
      </c>
    </row>
    <row r="969" customFormat="false" ht="15" hidden="false" customHeight="false" outlineLevel="0" collapsed="false">
      <c r="A969" s="11"/>
      <c r="B969" s="38"/>
      <c r="D969" s="10"/>
      <c r="G969" s="30" t="str">
        <f aca="false">IF($C969="","",IFERROR(IF(INDEX(links!$A$2:$A$501,MATCH($C969,links!$D$2:$D$501,0))="","",INDEX(links!$A$2:$A$501,MATCH($C969,links!$D$2:$D$501,0))),""))</f>
        <v/>
      </c>
      <c r="H969" s="30" t="str">
        <f aca="false">IF($C969="","",IFERROR(IF(INDEX(links!$B$2:$B$501,MATCH($C969,links!$D$2:$D$501,0))="","",INDEX(links!$B$2:$B$501,MATCH($C969,links!$D$2:$D$501,0))),""))</f>
        <v/>
      </c>
      <c r="I969" s="30" t="str">
        <f aca="false">IF($C969="","",IFERROR(IF(INDEX(links!$C$2:$C$501,MATCH($C969,links!$D$2:$D$501,0))="","",INDEX(links!$C$2:$C$501,MATCH($C969,links!$D$2:$D$501,0))),""))</f>
        <v/>
      </c>
      <c r="J969" s="30" t="str">
        <f aca="false">IF($C969="","",IF($G969="","slug not in links; ","")&amp;IF($D969="","reading type missing; ","")&amp;IF(COUNTIFS(scans!$C$2:$C$1601,$C969,scans!$D$2:$D$1601,$D969)&gt;1,"two readings of this type: keep one; ",""))</f>
        <v/>
      </c>
    </row>
    <row r="970" customFormat="false" ht="15" hidden="false" customHeight="false" outlineLevel="0" collapsed="false">
      <c r="A970" s="11"/>
      <c r="B970" s="38"/>
      <c r="D970" s="10"/>
      <c r="G970" s="30" t="str">
        <f aca="false">IF($C970="","",IFERROR(IF(INDEX(links!$A$2:$A$501,MATCH($C970,links!$D$2:$D$501,0))="","",INDEX(links!$A$2:$A$501,MATCH($C970,links!$D$2:$D$501,0))),""))</f>
        <v/>
      </c>
      <c r="H970" s="30" t="str">
        <f aca="false">IF($C970="","",IFERROR(IF(INDEX(links!$B$2:$B$501,MATCH($C970,links!$D$2:$D$501,0))="","",INDEX(links!$B$2:$B$501,MATCH($C970,links!$D$2:$D$501,0))),""))</f>
        <v/>
      </c>
      <c r="I970" s="30" t="str">
        <f aca="false">IF($C970="","",IFERROR(IF(INDEX(links!$C$2:$C$501,MATCH($C970,links!$D$2:$D$501,0))="","",INDEX(links!$C$2:$C$501,MATCH($C970,links!$D$2:$D$501,0))),""))</f>
        <v/>
      </c>
      <c r="J970" s="30" t="str">
        <f aca="false">IF($C970="","",IF($G970="","slug not in links; ","")&amp;IF($D970="","reading type missing; ","")&amp;IF(COUNTIFS(scans!$C$2:$C$1601,$C970,scans!$D$2:$D$1601,$D970)&gt;1,"two readings of this type: keep one; ",""))</f>
        <v/>
      </c>
    </row>
    <row r="971" customFormat="false" ht="15" hidden="false" customHeight="false" outlineLevel="0" collapsed="false">
      <c r="A971" s="11"/>
      <c r="B971" s="38"/>
      <c r="D971" s="10"/>
      <c r="G971" s="30" t="str">
        <f aca="false">IF($C971="","",IFERROR(IF(INDEX(links!$A$2:$A$501,MATCH($C971,links!$D$2:$D$501,0))="","",INDEX(links!$A$2:$A$501,MATCH($C971,links!$D$2:$D$501,0))),""))</f>
        <v/>
      </c>
      <c r="H971" s="30" t="str">
        <f aca="false">IF($C971="","",IFERROR(IF(INDEX(links!$B$2:$B$501,MATCH($C971,links!$D$2:$D$501,0))="","",INDEX(links!$B$2:$B$501,MATCH($C971,links!$D$2:$D$501,0))),""))</f>
        <v/>
      </c>
      <c r="I971" s="30" t="str">
        <f aca="false">IF($C971="","",IFERROR(IF(INDEX(links!$C$2:$C$501,MATCH($C971,links!$D$2:$D$501,0))="","",INDEX(links!$C$2:$C$501,MATCH($C971,links!$D$2:$D$501,0))),""))</f>
        <v/>
      </c>
      <c r="J971" s="30" t="str">
        <f aca="false">IF($C971="","",IF($G971="","slug not in links; ","")&amp;IF($D971="","reading type missing; ","")&amp;IF(COUNTIFS(scans!$C$2:$C$1601,$C971,scans!$D$2:$D$1601,$D971)&gt;1,"two readings of this type: keep one; ",""))</f>
        <v/>
      </c>
    </row>
    <row r="972" customFormat="false" ht="15" hidden="false" customHeight="false" outlineLevel="0" collapsed="false">
      <c r="A972" s="11"/>
      <c r="B972" s="38"/>
      <c r="D972" s="10"/>
      <c r="G972" s="30" t="str">
        <f aca="false">IF($C972="","",IFERROR(IF(INDEX(links!$A$2:$A$501,MATCH($C972,links!$D$2:$D$501,0))="","",INDEX(links!$A$2:$A$501,MATCH($C972,links!$D$2:$D$501,0))),""))</f>
        <v/>
      </c>
      <c r="H972" s="30" t="str">
        <f aca="false">IF($C972="","",IFERROR(IF(INDEX(links!$B$2:$B$501,MATCH($C972,links!$D$2:$D$501,0))="","",INDEX(links!$B$2:$B$501,MATCH($C972,links!$D$2:$D$501,0))),""))</f>
        <v/>
      </c>
      <c r="I972" s="30" t="str">
        <f aca="false">IF($C972="","",IFERROR(IF(INDEX(links!$C$2:$C$501,MATCH($C972,links!$D$2:$D$501,0))="","",INDEX(links!$C$2:$C$501,MATCH($C972,links!$D$2:$D$501,0))),""))</f>
        <v/>
      </c>
      <c r="J972" s="30" t="str">
        <f aca="false">IF($C972="","",IF($G972="","slug not in links; ","")&amp;IF($D972="","reading type missing; ","")&amp;IF(COUNTIFS(scans!$C$2:$C$1601,$C972,scans!$D$2:$D$1601,$D972)&gt;1,"two readings of this type: keep one; ",""))</f>
        <v/>
      </c>
    </row>
    <row r="973" customFormat="false" ht="15" hidden="false" customHeight="false" outlineLevel="0" collapsed="false">
      <c r="A973" s="11"/>
      <c r="B973" s="38"/>
      <c r="D973" s="10"/>
      <c r="G973" s="30" t="str">
        <f aca="false">IF($C973="","",IFERROR(IF(INDEX(links!$A$2:$A$501,MATCH($C973,links!$D$2:$D$501,0))="","",INDEX(links!$A$2:$A$501,MATCH($C973,links!$D$2:$D$501,0))),""))</f>
        <v/>
      </c>
      <c r="H973" s="30" t="str">
        <f aca="false">IF($C973="","",IFERROR(IF(INDEX(links!$B$2:$B$501,MATCH($C973,links!$D$2:$D$501,0))="","",INDEX(links!$B$2:$B$501,MATCH($C973,links!$D$2:$D$501,0))),""))</f>
        <v/>
      </c>
      <c r="I973" s="30" t="str">
        <f aca="false">IF($C973="","",IFERROR(IF(INDEX(links!$C$2:$C$501,MATCH($C973,links!$D$2:$D$501,0))="","",INDEX(links!$C$2:$C$501,MATCH($C973,links!$D$2:$D$501,0))),""))</f>
        <v/>
      </c>
      <c r="J973" s="30" t="str">
        <f aca="false">IF($C973="","",IF($G973="","slug not in links; ","")&amp;IF($D973="","reading type missing; ","")&amp;IF(COUNTIFS(scans!$C$2:$C$1601,$C973,scans!$D$2:$D$1601,$D973)&gt;1,"two readings of this type: keep one; ",""))</f>
        <v/>
      </c>
    </row>
    <row r="974" customFormat="false" ht="15" hidden="false" customHeight="false" outlineLevel="0" collapsed="false">
      <c r="A974" s="11"/>
      <c r="B974" s="38"/>
      <c r="D974" s="10"/>
      <c r="G974" s="30" t="str">
        <f aca="false">IF($C974="","",IFERROR(IF(INDEX(links!$A$2:$A$501,MATCH($C974,links!$D$2:$D$501,0))="","",INDEX(links!$A$2:$A$501,MATCH($C974,links!$D$2:$D$501,0))),""))</f>
        <v/>
      </c>
      <c r="H974" s="30" t="str">
        <f aca="false">IF($C974="","",IFERROR(IF(INDEX(links!$B$2:$B$501,MATCH($C974,links!$D$2:$D$501,0))="","",INDEX(links!$B$2:$B$501,MATCH($C974,links!$D$2:$D$501,0))),""))</f>
        <v/>
      </c>
      <c r="I974" s="30" t="str">
        <f aca="false">IF($C974="","",IFERROR(IF(INDEX(links!$C$2:$C$501,MATCH($C974,links!$D$2:$D$501,0))="","",INDEX(links!$C$2:$C$501,MATCH($C974,links!$D$2:$D$501,0))),""))</f>
        <v/>
      </c>
      <c r="J974" s="30" t="str">
        <f aca="false">IF($C974="","",IF($G974="","slug not in links; ","")&amp;IF($D974="","reading type missing; ","")&amp;IF(COUNTIFS(scans!$C$2:$C$1601,$C974,scans!$D$2:$D$1601,$D974)&gt;1,"two readings of this type: keep one; ",""))</f>
        <v/>
      </c>
    </row>
    <row r="975" customFormat="false" ht="15" hidden="false" customHeight="false" outlineLevel="0" collapsed="false">
      <c r="A975" s="11"/>
      <c r="B975" s="38"/>
      <c r="D975" s="10"/>
      <c r="G975" s="30" t="str">
        <f aca="false">IF($C975="","",IFERROR(IF(INDEX(links!$A$2:$A$501,MATCH($C975,links!$D$2:$D$501,0))="","",INDEX(links!$A$2:$A$501,MATCH($C975,links!$D$2:$D$501,0))),""))</f>
        <v/>
      </c>
      <c r="H975" s="30" t="str">
        <f aca="false">IF($C975="","",IFERROR(IF(INDEX(links!$B$2:$B$501,MATCH($C975,links!$D$2:$D$501,0))="","",INDEX(links!$B$2:$B$501,MATCH($C975,links!$D$2:$D$501,0))),""))</f>
        <v/>
      </c>
      <c r="I975" s="30" t="str">
        <f aca="false">IF($C975="","",IFERROR(IF(INDEX(links!$C$2:$C$501,MATCH($C975,links!$D$2:$D$501,0))="","",INDEX(links!$C$2:$C$501,MATCH($C975,links!$D$2:$D$501,0))),""))</f>
        <v/>
      </c>
      <c r="J975" s="30" t="str">
        <f aca="false">IF($C975="","",IF($G975="","slug not in links; ","")&amp;IF($D975="","reading type missing; ","")&amp;IF(COUNTIFS(scans!$C$2:$C$1601,$C975,scans!$D$2:$D$1601,$D975)&gt;1,"two readings of this type: keep one; ",""))</f>
        <v/>
      </c>
    </row>
    <row r="976" customFormat="false" ht="15" hidden="false" customHeight="false" outlineLevel="0" collapsed="false">
      <c r="A976" s="11"/>
      <c r="B976" s="38"/>
      <c r="D976" s="10"/>
      <c r="G976" s="30" t="str">
        <f aca="false">IF($C976="","",IFERROR(IF(INDEX(links!$A$2:$A$501,MATCH($C976,links!$D$2:$D$501,0))="","",INDEX(links!$A$2:$A$501,MATCH($C976,links!$D$2:$D$501,0))),""))</f>
        <v/>
      </c>
      <c r="H976" s="30" t="str">
        <f aca="false">IF($C976="","",IFERROR(IF(INDEX(links!$B$2:$B$501,MATCH($C976,links!$D$2:$D$501,0))="","",INDEX(links!$B$2:$B$501,MATCH($C976,links!$D$2:$D$501,0))),""))</f>
        <v/>
      </c>
      <c r="I976" s="30" t="str">
        <f aca="false">IF($C976="","",IFERROR(IF(INDEX(links!$C$2:$C$501,MATCH($C976,links!$D$2:$D$501,0))="","",INDEX(links!$C$2:$C$501,MATCH($C976,links!$D$2:$D$501,0))),""))</f>
        <v/>
      </c>
      <c r="J976" s="30" t="str">
        <f aca="false">IF($C976="","",IF($G976="","slug not in links; ","")&amp;IF($D976="","reading type missing; ","")&amp;IF(COUNTIFS(scans!$C$2:$C$1601,$C976,scans!$D$2:$D$1601,$D976)&gt;1,"two readings of this type: keep one; ",""))</f>
        <v/>
      </c>
    </row>
    <row r="977" customFormat="false" ht="15" hidden="false" customHeight="false" outlineLevel="0" collapsed="false">
      <c r="A977" s="11"/>
      <c r="B977" s="38"/>
      <c r="D977" s="10"/>
      <c r="G977" s="30" t="str">
        <f aca="false">IF($C977="","",IFERROR(IF(INDEX(links!$A$2:$A$501,MATCH($C977,links!$D$2:$D$501,0))="","",INDEX(links!$A$2:$A$501,MATCH($C977,links!$D$2:$D$501,0))),""))</f>
        <v/>
      </c>
      <c r="H977" s="30" t="str">
        <f aca="false">IF($C977="","",IFERROR(IF(INDEX(links!$B$2:$B$501,MATCH($C977,links!$D$2:$D$501,0))="","",INDEX(links!$B$2:$B$501,MATCH($C977,links!$D$2:$D$501,0))),""))</f>
        <v/>
      </c>
      <c r="I977" s="30" t="str">
        <f aca="false">IF($C977="","",IFERROR(IF(INDEX(links!$C$2:$C$501,MATCH($C977,links!$D$2:$D$501,0))="","",INDEX(links!$C$2:$C$501,MATCH($C977,links!$D$2:$D$501,0))),""))</f>
        <v/>
      </c>
      <c r="J977" s="30" t="str">
        <f aca="false">IF($C977="","",IF($G977="","slug not in links; ","")&amp;IF($D977="","reading type missing; ","")&amp;IF(COUNTIFS(scans!$C$2:$C$1601,$C977,scans!$D$2:$D$1601,$D977)&gt;1,"two readings of this type: keep one; ",""))</f>
        <v/>
      </c>
    </row>
    <row r="978" customFormat="false" ht="15" hidden="false" customHeight="false" outlineLevel="0" collapsed="false">
      <c r="A978" s="11"/>
      <c r="B978" s="38"/>
      <c r="D978" s="10"/>
      <c r="G978" s="30" t="str">
        <f aca="false">IF($C978="","",IFERROR(IF(INDEX(links!$A$2:$A$501,MATCH($C978,links!$D$2:$D$501,0))="","",INDEX(links!$A$2:$A$501,MATCH($C978,links!$D$2:$D$501,0))),""))</f>
        <v/>
      </c>
      <c r="H978" s="30" t="str">
        <f aca="false">IF($C978="","",IFERROR(IF(INDEX(links!$B$2:$B$501,MATCH($C978,links!$D$2:$D$501,0))="","",INDEX(links!$B$2:$B$501,MATCH($C978,links!$D$2:$D$501,0))),""))</f>
        <v/>
      </c>
      <c r="I978" s="30" t="str">
        <f aca="false">IF($C978="","",IFERROR(IF(INDEX(links!$C$2:$C$501,MATCH($C978,links!$D$2:$D$501,0))="","",INDEX(links!$C$2:$C$501,MATCH($C978,links!$D$2:$D$501,0))),""))</f>
        <v/>
      </c>
      <c r="J978" s="30" t="str">
        <f aca="false">IF($C978="","",IF($G978="","slug not in links; ","")&amp;IF($D978="","reading type missing; ","")&amp;IF(COUNTIFS(scans!$C$2:$C$1601,$C978,scans!$D$2:$D$1601,$D978)&gt;1,"two readings of this type: keep one; ",""))</f>
        <v/>
      </c>
    </row>
    <row r="979" customFormat="false" ht="15" hidden="false" customHeight="false" outlineLevel="0" collapsed="false">
      <c r="A979" s="11"/>
      <c r="B979" s="38"/>
      <c r="D979" s="10"/>
      <c r="G979" s="30" t="str">
        <f aca="false">IF($C979="","",IFERROR(IF(INDEX(links!$A$2:$A$501,MATCH($C979,links!$D$2:$D$501,0))="","",INDEX(links!$A$2:$A$501,MATCH($C979,links!$D$2:$D$501,0))),""))</f>
        <v/>
      </c>
      <c r="H979" s="30" t="str">
        <f aca="false">IF($C979="","",IFERROR(IF(INDEX(links!$B$2:$B$501,MATCH($C979,links!$D$2:$D$501,0))="","",INDEX(links!$B$2:$B$501,MATCH($C979,links!$D$2:$D$501,0))),""))</f>
        <v/>
      </c>
      <c r="I979" s="30" t="str">
        <f aca="false">IF($C979="","",IFERROR(IF(INDEX(links!$C$2:$C$501,MATCH($C979,links!$D$2:$D$501,0))="","",INDEX(links!$C$2:$C$501,MATCH($C979,links!$D$2:$D$501,0))),""))</f>
        <v/>
      </c>
      <c r="J979" s="30" t="str">
        <f aca="false">IF($C979="","",IF($G979="","slug not in links; ","")&amp;IF($D979="","reading type missing; ","")&amp;IF(COUNTIFS(scans!$C$2:$C$1601,$C979,scans!$D$2:$D$1601,$D979)&gt;1,"two readings of this type: keep one; ",""))</f>
        <v/>
      </c>
    </row>
    <row r="980" customFormat="false" ht="15" hidden="false" customHeight="false" outlineLevel="0" collapsed="false">
      <c r="A980" s="11"/>
      <c r="B980" s="38"/>
      <c r="D980" s="10"/>
      <c r="G980" s="30" t="str">
        <f aca="false">IF($C980="","",IFERROR(IF(INDEX(links!$A$2:$A$501,MATCH($C980,links!$D$2:$D$501,0))="","",INDEX(links!$A$2:$A$501,MATCH($C980,links!$D$2:$D$501,0))),""))</f>
        <v/>
      </c>
      <c r="H980" s="30" t="str">
        <f aca="false">IF($C980="","",IFERROR(IF(INDEX(links!$B$2:$B$501,MATCH($C980,links!$D$2:$D$501,0))="","",INDEX(links!$B$2:$B$501,MATCH($C980,links!$D$2:$D$501,0))),""))</f>
        <v/>
      </c>
      <c r="I980" s="30" t="str">
        <f aca="false">IF($C980="","",IFERROR(IF(INDEX(links!$C$2:$C$501,MATCH($C980,links!$D$2:$D$501,0))="","",INDEX(links!$C$2:$C$501,MATCH($C980,links!$D$2:$D$501,0))),""))</f>
        <v/>
      </c>
      <c r="J980" s="30" t="str">
        <f aca="false">IF($C980="","",IF($G980="","slug not in links; ","")&amp;IF($D980="","reading type missing; ","")&amp;IF(COUNTIFS(scans!$C$2:$C$1601,$C980,scans!$D$2:$D$1601,$D980)&gt;1,"two readings of this type: keep one; ",""))</f>
        <v/>
      </c>
    </row>
    <row r="981" customFormat="false" ht="15" hidden="false" customHeight="false" outlineLevel="0" collapsed="false">
      <c r="A981" s="11"/>
      <c r="B981" s="38"/>
      <c r="D981" s="10"/>
      <c r="G981" s="30" t="str">
        <f aca="false">IF($C981="","",IFERROR(IF(INDEX(links!$A$2:$A$501,MATCH($C981,links!$D$2:$D$501,0))="","",INDEX(links!$A$2:$A$501,MATCH($C981,links!$D$2:$D$501,0))),""))</f>
        <v/>
      </c>
      <c r="H981" s="30" t="str">
        <f aca="false">IF($C981="","",IFERROR(IF(INDEX(links!$B$2:$B$501,MATCH($C981,links!$D$2:$D$501,0))="","",INDEX(links!$B$2:$B$501,MATCH($C981,links!$D$2:$D$501,0))),""))</f>
        <v/>
      </c>
      <c r="I981" s="30" t="str">
        <f aca="false">IF($C981="","",IFERROR(IF(INDEX(links!$C$2:$C$501,MATCH($C981,links!$D$2:$D$501,0))="","",INDEX(links!$C$2:$C$501,MATCH($C981,links!$D$2:$D$501,0))),""))</f>
        <v/>
      </c>
      <c r="J981" s="30" t="str">
        <f aca="false">IF($C981="","",IF($G981="","slug not in links; ","")&amp;IF($D981="","reading type missing; ","")&amp;IF(COUNTIFS(scans!$C$2:$C$1601,$C981,scans!$D$2:$D$1601,$D981)&gt;1,"two readings of this type: keep one; ",""))</f>
        <v/>
      </c>
    </row>
    <row r="982" customFormat="false" ht="15" hidden="false" customHeight="false" outlineLevel="0" collapsed="false">
      <c r="A982" s="11"/>
      <c r="B982" s="38"/>
      <c r="D982" s="10"/>
      <c r="G982" s="30" t="str">
        <f aca="false">IF($C982="","",IFERROR(IF(INDEX(links!$A$2:$A$501,MATCH($C982,links!$D$2:$D$501,0))="","",INDEX(links!$A$2:$A$501,MATCH($C982,links!$D$2:$D$501,0))),""))</f>
        <v/>
      </c>
      <c r="H982" s="30" t="str">
        <f aca="false">IF($C982="","",IFERROR(IF(INDEX(links!$B$2:$B$501,MATCH($C982,links!$D$2:$D$501,0))="","",INDEX(links!$B$2:$B$501,MATCH($C982,links!$D$2:$D$501,0))),""))</f>
        <v/>
      </c>
      <c r="I982" s="30" t="str">
        <f aca="false">IF($C982="","",IFERROR(IF(INDEX(links!$C$2:$C$501,MATCH($C982,links!$D$2:$D$501,0))="","",INDEX(links!$C$2:$C$501,MATCH($C982,links!$D$2:$D$501,0))),""))</f>
        <v/>
      </c>
      <c r="J982" s="30" t="str">
        <f aca="false">IF($C982="","",IF($G982="","slug not in links; ","")&amp;IF($D982="","reading type missing; ","")&amp;IF(COUNTIFS(scans!$C$2:$C$1601,$C982,scans!$D$2:$D$1601,$D982)&gt;1,"two readings of this type: keep one; ",""))</f>
        <v/>
      </c>
    </row>
    <row r="983" customFormat="false" ht="15" hidden="false" customHeight="false" outlineLevel="0" collapsed="false">
      <c r="A983" s="11"/>
      <c r="B983" s="38"/>
      <c r="D983" s="10"/>
      <c r="G983" s="30" t="str">
        <f aca="false">IF($C983="","",IFERROR(IF(INDEX(links!$A$2:$A$501,MATCH($C983,links!$D$2:$D$501,0))="","",INDEX(links!$A$2:$A$501,MATCH($C983,links!$D$2:$D$501,0))),""))</f>
        <v/>
      </c>
      <c r="H983" s="30" t="str">
        <f aca="false">IF($C983="","",IFERROR(IF(INDEX(links!$B$2:$B$501,MATCH($C983,links!$D$2:$D$501,0))="","",INDEX(links!$B$2:$B$501,MATCH($C983,links!$D$2:$D$501,0))),""))</f>
        <v/>
      </c>
      <c r="I983" s="30" t="str">
        <f aca="false">IF($C983="","",IFERROR(IF(INDEX(links!$C$2:$C$501,MATCH($C983,links!$D$2:$D$501,0))="","",INDEX(links!$C$2:$C$501,MATCH($C983,links!$D$2:$D$501,0))),""))</f>
        <v/>
      </c>
      <c r="J983" s="30" t="str">
        <f aca="false">IF($C983="","",IF($G983="","slug not in links; ","")&amp;IF($D983="","reading type missing; ","")&amp;IF(COUNTIFS(scans!$C$2:$C$1601,$C983,scans!$D$2:$D$1601,$D983)&gt;1,"two readings of this type: keep one; ",""))</f>
        <v/>
      </c>
    </row>
    <row r="984" customFormat="false" ht="15" hidden="false" customHeight="false" outlineLevel="0" collapsed="false">
      <c r="A984" s="11"/>
      <c r="B984" s="38"/>
      <c r="D984" s="10"/>
      <c r="G984" s="30" t="str">
        <f aca="false">IF($C984="","",IFERROR(IF(INDEX(links!$A$2:$A$501,MATCH($C984,links!$D$2:$D$501,0))="","",INDEX(links!$A$2:$A$501,MATCH($C984,links!$D$2:$D$501,0))),""))</f>
        <v/>
      </c>
      <c r="H984" s="30" t="str">
        <f aca="false">IF($C984="","",IFERROR(IF(INDEX(links!$B$2:$B$501,MATCH($C984,links!$D$2:$D$501,0))="","",INDEX(links!$B$2:$B$501,MATCH($C984,links!$D$2:$D$501,0))),""))</f>
        <v/>
      </c>
      <c r="I984" s="30" t="str">
        <f aca="false">IF($C984="","",IFERROR(IF(INDEX(links!$C$2:$C$501,MATCH($C984,links!$D$2:$D$501,0))="","",INDEX(links!$C$2:$C$501,MATCH($C984,links!$D$2:$D$501,0))),""))</f>
        <v/>
      </c>
      <c r="J984" s="30" t="str">
        <f aca="false">IF($C984="","",IF($G984="","slug not in links; ","")&amp;IF($D984="","reading type missing; ","")&amp;IF(COUNTIFS(scans!$C$2:$C$1601,$C984,scans!$D$2:$D$1601,$D984)&gt;1,"two readings of this type: keep one; ",""))</f>
        <v/>
      </c>
    </row>
    <row r="985" customFormat="false" ht="15" hidden="false" customHeight="false" outlineLevel="0" collapsed="false">
      <c r="A985" s="11"/>
      <c r="B985" s="38"/>
      <c r="D985" s="10"/>
      <c r="G985" s="30" t="str">
        <f aca="false">IF($C985="","",IFERROR(IF(INDEX(links!$A$2:$A$501,MATCH($C985,links!$D$2:$D$501,0))="","",INDEX(links!$A$2:$A$501,MATCH($C985,links!$D$2:$D$501,0))),""))</f>
        <v/>
      </c>
      <c r="H985" s="30" t="str">
        <f aca="false">IF($C985="","",IFERROR(IF(INDEX(links!$B$2:$B$501,MATCH($C985,links!$D$2:$D$501,0))="","",INDEX(links!$B$2:$B$501,MATCH($C985,links!$D$2:$D$501,0))),""))</f>
        <v/>
      </c>
      <c r="I985" s="30" t="str">
        <f aca="false">IF($C985="","",IFERROR(IF(INDEX(links!$C$2:$C$501,MATCH($C985,links!$D$2:$D$501,0))="","",INDEX(links!$C$2:$C$501,MATCH($C985,links!$D$2:$D$501,0))),""))</f>
        <v/>
      </c>
      <c r="J985" s="30" t="str">
        <f aca="false">IF($C985="","",IF($G985="","slug not in links; ","")&amp;IF($D985="","reading type missing; ","")&amp;IF(COUNTIFS(scans!$C$2:$C$1601,$C985,scans!$D$2:$D$1601,$D985)&gt;1,"two readings of this type: keep one; ",""))</f>
        <v/>
      </c>
    </row>
    <row r="986" customFormat="false" ht="15" hidden="false" customHeight="false" outlineLevel="0" collapsed="false">
      <c r="A986" s="11"/>
      <c r="B986" s="38"/>
      <c r="D986" s="10"/>
      <c r="G986" s="30" t="str">
        <f aca="false">IF($C986="","",IFERROR(IF(INDEX(links!$A$2:$A$501,MATCH($C986,links!$D$2:$D$501,0))="","",INDEX(links!$A$2:$A$501,MATCH($C986,links!$D$2:$D$501,0))),""))</f>
        <v/>
      </c>
      <c r="H986" s="30" t="str">
        <f aca="false">IF($C986="","",IFERROR(IF(INDEX(links!$B$2:$B$501,MATCH($C986,links!$D$2:$D$501,0))="","",INDEX(links!$B$2:$B$501,MATCH($C986,links!$D$2:$D$501,0))),""))</f>
        <v/>
      </c>
      <c r="I986" s="30" t="str">
        <f aca="false">IF($C986="","",IFERROR(IF(INDEX(links!$C$2:$C$501,MATCH($C986,links!$D$2:$D$501,0))="","",INDEX(links!$C$2:$C$501,MATCH($C986,links!$D$2:$D$501,0))),""))</f>
        <v/>
      </c>
      <c r="J986" s="30" t="str">
        <f aca="false">IF($C986="","",IF($G986="","slug not in links; ","")&amp;IF($D986="","reading type missing; ","")&amp;IF(COUNTIFS(scans!$C$2:$C$1601,$C986,scans!$D$2:$D$1601,$D986)&gt;1,"two readings of this type: keep one; ",""))</f>
        <v/>
      </c>
    </row>
    <row r="987" customFormat="false" ht="15" hidden="false" customHeight="false" outlineLevel="0" collapsed="false">
      <c r="A987" s="11"/>
      <c r="B987" s="38"/>
      <c r="D987" s="10"/>
      <c r="G987" s="30" t="str">
        <f aca="false">IF($C987="","",IFERROR(IF(INDEX(links!$A$2:$A$501,MATCH($C987,links!$D$2:$D$501,0))="","",INDEX(links!$A$2:$A$501,MATCH($C987,links!$D$2:$D$501,0))),""))</f>
        <v/>
      </c>
      <c r="H987" s="30" t="str">
        <f aca="false">IF($C987="","",IFERROR(IF(INDEX(links!$B$2:$B$501,MATCH($C987,links!$D$2:$D$501,0))="","",INDEX(links!$B$2:$B$501,MATCH($C987,links!$D$2:$D$501,0))),""))</f>
        <v/>
      </c>
      <c r="I987" s="30" t="str">
        <f aca="false">IF($C987="","",IFERROR(IF(INDEX(links!$C$2:$C$501,MATCH($C987,links!$D$2:$D$501,0))="","",INDEX(links!$C$2:$C$501,MATCH($C987,links!$D$2:$D$501,0))),""))</f>
        <v/>
      </c>
      <c r="J987" s="30" t="str">
        <f aca="false">IF($C987="","",IF($G987="","slug not in links; ","")&amp;IF($D987="","reading type missing; ","")&amp;IF(COUNTIFS(scans!$C$2:$C$1601,$C987,scans!$D$2:$D$1601,$D987)&gt;1,"two readings of this type: keep one; ",""))</f>
        <v/>
      </c>
    </row>
    <row r="988" customFormat="false" ht="15" hidden="false" customHeight="false" outlineLevel="0" collapsed="false">
      <c r="A988" s="11"/>
      <c r="B988" s="38"/>
      <c r="D988" s="10"/>
      <c r="G988" s="30" t="str">
        <f aca="false">IF($C988="","",IFERROR(IF(INDEX(links!$A$2:$A$501,MATCH($C988,links!$D$2:$D$501,0))="","",INDEX(links!$A$2:$A$501,MATCH($C988,links!$D$2:$D$501,0))),""))</f>
        <v/>
      </c>
      <c r="H988" s="30" t="str">
        <f aca="false">IF($C988="","",IFERROR(IF(INDEX(links!$B$2:$B$501,MATCH($C988,links!$D$2:$D$501,0))="","",INDEX(links!$B$2:$B$501,MATCH($C988,links!$D$2:$D$501,0))),""))</f>
        <v/>
      </c>
      <c r="I988" s="30" t="str">
        <f aca="false">IF($C988="","",IFERROR(IF(INDEX(links!$C$2:$C$501,MATCH($C988,links!$D$2:$D$501,0))="","",INDEX(links!$C$2:$C$501,MATCH($C988,links!$D$2:$D$501,0))),""))</f>
        <v/>
      </c>
      <c r="J988" s="30" t="str">
        <f aca="false">IF($C988="","",IF($G988="","slug not in links; ","")&amp;IF($D988="","reading type missing; ","")&amp;IF(COUNTIFS(scans!$C$2:$C$1601,$C988,scans!$D$2:$D$1601,$D988)&gt;1,"two readings of this type: keep one; ",""))</f>
        <v/>
      </c>
    </row>
    <row r="989" customFormat="false" ht="15" hidden="false" customHeight="false" outlineLevel="0" collapsed="false">
      <c r="A989" s="11"/>
      <c r="B989" s="38"/>
      <c r="D989" s="10"/>
      <c r="G989" s="30" t="str">
        <f aca="false">IF($C989="","",IFERROR(IF(INDEX(links!$A$2:$A$501,MATCH($C989,links!$D$2:$D$501,0))="","",INDEX(links!$A$2:$A$501,MATCH($C989,links!$D$2:$D$501,0))),""))</f>
        <v/>
      </c>
      <c r="H989" s="30" t="str">
        <f aca="false">IF($C989="","",IFERROR(IF(INDEX(links!$B$2:$B$501,MATCH($C989,links!$D$2:$D$501,0))="","",INDEX(links!$B$2:$B$501,MATCH($C989,links!$D$2:$D$501,0))),""))</f>
        <v/>
      </c>
      <c r="I989" s="30" t="str">
        <f aca="false">IF($C989="","",IFERROR(IF(INDEX(links!$C$2:$C$501,MATCH($C989,links!$D$2:$D$501,0))="","",INDEX(links!$C$2:$C$501,MATCH($C989,links!$D$2:$D$501,0))),""))</f>
        <v/>
      </c>
      <c r="J989" s="30" t="str">
        <f aca="false">IF($C989="","",IF($G989="","slug not in links; ","")&amp;IF($D989="","reading type missing; ","")&amp;IF(COUNTIFS(scans!$C$2:$C$1601,$C989,scans!$D$2:$D$1601,$D989)&gt;1,"two readings of this type: keep one; ",""))</f>
        <v/>
      </c>
    </row>
    <row r="990" customFormat="false" ht="15" hidden="false" customHeight="false" outlineLevel="0" collapsed="false">
      <c r="A990" s="11"/>
      <c r="B990" s="38"/>
      <c r="D990" s="10"/>
      <c r="G990" s="30" t="str">
        <f aca="false">IF($C990="","",IFERROR(IF(INDEX(links!$A$2:$A$501,MATCH($C990,links!$D$2:$D$501,0))="","",INDEX(links!$A$2:$A$501,MATCH($C990,links!$D$2:$D$501,0))),""))</f>
        <v/>
      </c>
      <c r="H990" s="30" t="str">
        <f aca="false">IF($C990="","",IFERROR(IF(INDEX(links!$B$2:$B$501,MATCH($C990,links!$D$2:$D$501,0))="","",INDEX(links!$B$2:$B$501,MATCH($C990,links!$D$2:$D$501,0))),""))</f>
        <v/>
      </c>
      <c r="I990" s="30" t="str">
        <f aca="false">IF($C990="","",IFERROR(IF(INDEX(links!$C$2:$C$501,MATCH($C990,links!$D$2:$D$501,0))="","",INDEX(links!$C$2:$C$501,MATCH($C990,links!$D$2:$D$501,0))),""))</f>
        <v/>
      </c>
      <c r="J990" s="30" t="str">
        <f aca="false">IF($C990="","",IF($G990="","slug not in links; ","")&amp;IF($D990="","reading type missing; ","")&amp;IF(COUNTIFS(scans!$C$2:$C$1601,$C990,scans!$D$2:$D$1601,$D990)&gt;1,"two readings of this type: keep one; ",""))</f>
        <v/>
      </c>
    </row>
    <row r="991" customFormat="false" ht="15" hidden="false" customHeight="false" outlineLevel="0" collapsed="false">
      <c r="A991" s="11"/>
      <c r="B991" s="38"/>
      <c r="D991" s="10"/>
      <c r="G991" s="30" t="str">
        <f aca="false">IF($C991="","",IFERROR(IF(INDEX(links!$A$2:$A$501,MATCH($C991,links!$D$2:$D$501,0))="","",INDEX(links!$A$2:$A$501,MATCH($C991,links!$D$2:$D$501,0))),""))</f>
        <v/>
      </c>
      <c r="H991" s="30" t="str">
        <f aca="false">IF($C991="","",IFERROR(IF(INDEX(links!$B$2:$B$501,MATCH($C991,links!$D$2:$D$501,0))="","",INDEX(links!$B$2:$B$501,MATCH($C991,links!$D$2:$D$501,0))),""))</f>
        <v/>
      </c>
      <c r="I991" s="30" t="str">
        <f aca="false">IF($C991="","",IFERROR(IF(INDEX(links!$C$2:$C$501,MATCH($C991,links!$D$2:$D$501,0))="","",INDEX(links!$C$2:$C$501,MATCH($C991,links!$D$2:$D$501,0))),""))</f>
        <v/>
      </c>
      <c r="J991" s="30" t="str">
        <f aca="false">IF($C991="","",IF($G991="","slug not in links; ","")&amp;IF($D991="","reading type missing; ","")&amp;IF(COUNTIFS(scans!$C$2:$C$1601,$C991,scans!$D$2:$D$1601,$D991)&gt;1,"two readings of this type: keep one; ",""))</f>
        <v/>
      </c>
    </row>
    <row r="992" customFormat="false" ht="15" hidden="false" customHeight="false" outlineLevel="0" collapsed="false">
      <c r="A992" s="11"/>
      <c r="B992" s="38"/>
      <c r="D992" s="10"/>
      <c r="G992" s="30" t="str">
        <f aca="false">IF($C992="","",IFERROR(IF(INDEX(links!$A$2:$A$501,MATCH($C992,links!$D$2:$D$501,0))="","",INDEX(links!$A$2:$A$501,MATCH($C992,links!$D$2:$D$501,0))),""))</f>
        <v/>
      </c>
      <c r="H992" s="30" t="str">
        <f aca="false">IF($C992="","",IFERROR(IF(INDEX(links!$B$2:$B$501,MATCH($C992,links!$D$2:$D$501,0))="","",INDEX(links!$B$2:$B$501,MATCH($C992,links!$D$2:$D$501,0))),""))</f>
        <v/>
      </c>
      <c r="I992" s="30" t="str">
        <f aca="false">IF($C992="","",IFERROR(IF(INDEX(links!$C$2:$C$501,MATCH($C992,links!$D$2:$D$501,0))="","",INDEX(links!$C$2:$C$501,MATCH($C992,links!$D$2:$D$501,0))),""))</f>
        <v/>
      </c>
      <c r="J992" s="30" t="str">
        <f aca="false">IF($C992="","",IF($G992="","slug not in links; ","")&amp;IF($D992="","reading type missing; ","")&amp;IF(COUNTIFS(scans!$C$2:$C$1601,$C992,scans!$D$2:$D$1601,$D992)&gt;1,"two readings of this type: keep one; ",""))</f>
        <v/>
      </c>
    </row>
    <row r="993" customFormat="false" ht="15" hidden="false" customHeight="false" outlineLevel="0" collapsed="false">
      <c r="A993" s="11"/>
      <c r="B993" s="38"/>
      <c r="D993" s="10"/>
      <c r="G993" s="30" t="str">
        <f aca="false">IF($C993="","",IFERROR(IF(INDEX(links!$A$2:$A$501,MATCH($C993,links!$D$2:$D$501,0))="","",INDEX(links!$A$2:$A$501,MATCH($C993,links!$D$2:$D$501,0))),""))</f>
        <v/>
      </c>
      <c r="H993" s="30" t="str">
        <f aca="false">IF($C993="","",IFERROR(IF(INDEX(links!$B$2:$B$501,MATCH($C993,links!$D$2:$D$501,0))="","",INDEX(links!$B$2:$B$501,MATCH($C993,links!$D$2:$D$501,0))),""))</f>
        <v/>
      </c>
      <c r="I993" s="30" t="str">
        <f aca="false">IF($C993="","",IFERROR(IF(INDEX(links!$C$2:$C$501,MATCH($C993,links!$D$2:$D$501,0))="","",INDEX(links!$C$2:$C$501,MATCH($C993,links!$D$2:$D$501,0))),""))</f>
        <v/>
      </c>
      <c r="J993" s="30" t="str">
        <f aca="false">IF($C993="","",IF($G993="","slug not in links; ","")&amp;IF($D993="","reading type missing; ","")&amp;IF(COUNTIFS(scans!$C$2:$C$1601,$C993,scans!$D$2:$D$1601,$D993)&gt;1,"two readings of this type: keep one; ",""))</f>
        <v/>
      </c>
    </row>
    <row r="994" customFormat="false" ht="15" hidden="false" customHeight="false" outlineLevel="0" collapsed="false">
      <c r="A994" s="11"/>
      <c r="B994" s="38"/>
      <c r="D994" s="10"/>
      <c r="G994" s="30" t="str">
        <f aca="false">IF($C994="","",IFERROR(IF(INDEX(links!$A$2:$A$501,MATCH($C994,links!$D$2:$D$501,0))="","",INDEX(links!$A$2:$A$501,MATCH($C994,links!$D$2:$D$501,0))),""))</f>
        <v/>
      </c>
      <c r="H994" s="30" t="str">
        <f aca="false">IF($C994="","",IFERROR(IF(INDEX(links!$B$2:$B$501,MATCH($C994,links!$D$2:$D$501,0))="","",INDEX(links!$B$2:$B$501,MATCH($C994,links!$D$2:$D$501,0))),""))</f>
        <v/>
      </c>
      <c r="I994" s="30" t="str">
        <f aca="false">IF($C994="","",IFERROR(IF(INDEX(links!$C$2:$C$501,MATCH($C994,links!$D$2:$D$501,0))="","",INDEX(links!$C$2:$C$501,MATCH($C994,links!$D$2:$D$501,0))),""))</f>
        <v/>
      </c>
      <c r="J994" s="30" t="str">
        <f aca="false">IF($C994="","",IF($G994="","slug not in links; ","")&amp;IF($D994="","reading type missing; ","")&amp;IF(COUNTIFS(scans!$C$2:$C$1601,$C994,scans!$D$2:$D$1601,$D994)&gt;1,"two readings of this type: keep one; ",""))</f>
        <v/>
      </c>
    </row>
    <row r="995" customFormat="false" ht="15" hidden="false" customHeight="false" outlineLevel="0" collapsed="false">
      <c r="A995" s="11"/>
      <c r="B995" s="38"/>
      <c r="D995" s="10"/>
      <c r="G995" s="30" t="str">
        <f aca="false">IF($C995="","",IFERROR(IF(INDEX(links!$A$2:$A$501,MATCH($C995,links!$D$2:$D$501,0))="","",INDEX(links!$A$2:$A$501,MATCH($C995,links!$D$2:$D$501,0))),""))</f>
        <v/>
      </c>
      <c r="H995" s="30" t="str">
        <f aca="false">IF($C995="","",IFERROR(IF(INDEX(links!$B$2:$B$501,MATCH($C995,links!$D$2:$D$501,0))="","",INDEX(links!$B$2:$B$501,MATCH($C995,links!$D$2:$D$501,0))),""))</f>
        <v/>
      </c>
      <c r="I995" s="30" t="str">
        <f aca="false">IF($C995="","",IFERROR(IF(INDEX(links!$C$2:$C$501,MATCH($C995,links!$D$2:$D$501,0))="","",INDEX(links!$C$2:$C$501,MATCH($C995,links!$D$2:$D$501,0))),""))</f>
        <v/>
      </c>
      <c r="J995" s="30" t="str">
        <f aca="false">IF($C995="","",IF($G995="","slug not in links; ","")&amp;IF($D995="","reading type missing; ","")&amp;IF(COUNTIFS(scans!$C$2:$C$1601,$C995,scans!$D$2:$D$1601,$D995)&gt;1,"two readings of this type: keep one; ",""))</f>
        <v/>
      </c>
    </row>
    <row r="996" customFormat="false" ht="15" hidden="false" customHeight="false" outlineLevel="0" collapsed="false">
      <c r="A996" s="11"/>
      <c r="B996" s="38"/>
      <c r="D996" s="10"/>
      <c r="G996" s="30" t="str">
        <f aca="false">IF($C996="","",IFERROR(IF(INDEX(links!$A$2:$A$501,MATCH($C996,links!$D$2:$D$501,0))="","",INDEX(links!$A$2:$A$501,MATCH($C996,links!$D$2:$D$501,0))),""))</f>
        <v/>
      </c>
      <c r="H996" s="30" t="str">
        <f aca="false">IF($C996="","",IFERROR(IF(INDEX(links!$B$2:$B$501,MATCH($C996,links!$D$2:$D$501,0))="","",INDEX(links!$B$2:$B$501,MATCH($C996,links!$D$2:$D$501,0))),""))</f>
        <v/>
      </c>
      <c r="I996" s="30" t="str">
        <f aca="false">IF($C996="","",IFERROR(IF(INDEX(links!$C$2:$C$501,MATCH($C996,links!$D$2:$D$501,0))="","",INDEX(links!$C$2:$C$501,MATCH($C996,links!$D$2:$D$501,0))),""))</f>
        <v/>
      </c>
      <c r="J996" s="30" t="str">
        <f aca="false">IF($C996="","",IF($G996="","slug not in links; ","")&amp;IF($D996="","reading type missing; ","")&amp;IF(COUNTIFS(scans!$C$2:$C$1601,$C996,scans!$D$2:$D$1601,$D996)&gt;1,"two readings of this type: keep one; ",""))</f>
        <v/>
      </c>
    </row>
    <row r="997" customFormat="false" ht="15" hidden="false" customHeight="false" outlineLevel="0" collapsed="false">
      <c r="A997" s="11"/>
      <c r="B997" s="38"/>
      <c r="D997" s="10"/>
      <c r="G997" s="30" t="str">
        <f aca="false">IF($C997="","",IFERROR(IF(INDEX(links!$A$2:$A$501,MATCH($C997,links!$D$2:$D$501,0))="","",INDEX(links!$A$2:$A$501,MATCH($C997,links!$D$2:$D$501,0))),""))</f>
        <v/>
      </c>
      <c r="H997" s="30" t="str">
        <f aca="false">IF($C997="","",IFERROR(IF(INDEX(links!$B$2:$B$501,MATCH($C997,links!$D$2:$D$501,0))="","",INDEX(links!$B$2:$B$501,MATCH($C997,links!$D$2:$D$501,0))),""))</f>
        <v/>
      </c>
      <c r="I997" s="30" t="str">
        <f aca="false">IF($C997="","",IFERROR(IF(INDEX(links!$C$2:$C$501,MATCH($C997,links!$D$2:$D$501,0))="","",INDEX(links!$C$2:$C$501,MATCH($C997,links!$D$2:$D$501,0))),""))</f>
        <v/>
      </c>
      <c r="J997" s="30" t="str">
        <f aca="false">IF($C997="","",IF($G997="","slug not in links; ","")&amp;IF($D997="","reading type missing; ","")&amp;IF(COUNTIFS(scans!$C$2:$C$1601,$C997,scans!$D$2:$D$1601,$D997)&gt;1,"two readings of this type: keep one; ",""))</f>
        <v/>
      </c>
    </row>
    <row r="998" customFormat="false" ht="15" hidden="false" customHeight="false" outlineLevel="0" collapsed="false">
      <c r="A998" s="11"/>
      <c r="B998" s="38"/>
      <c r="D998" s="10"/>
      <c r="G998" s="30" t="str">
        <f aca="false">IF($C998="","",IFERROR(IF(INDEX(links!$A$2:$A$501,MATCH($C998,links!$D$2:$D$501,0))="","",INDEX(links!$A$2:$A$501,MATCH($C998,links!$D$2:$D$501,0))),""))</f>
        <v/>
      </c>
      <c r="H998" s="30" t="str">
        <f aca="false">IF($C998="","",IFERROR(IF(INDEX(links!$B$2:$B$501,MATCH($C998,links!$D$2:$D$501,0))="","",INDEX(links!$B$2:$B$501,MATCH($C998,links!$D$2:$D$501,0))),""))</f>
        <v/>
      </c>
      <c r="I998" s="30" t="str">
        <f aca="false">IF($C998="","",IFERROR(IF(INDEX(links!$C$2:$C$501,MATCH($C998,links!$D$2:$D$501,0))="","",INDEX(links!$C$2:$C$501,MATCH($C998,links!$D$2:$D$501,0))),""))</f>
        <v/>
      </c>
      <c r="J998" s="30" t="str">
        <f aca="false">IF($C998="","",IF($G998="","slug not in links; ","")&amp;IF($D998="","reading type missing; ","")&amp;IF(COUNTIFS(scans!$C$2:$C$1601,$C998,scans!$D$2:$D$1601,$D998)&gt;1,"two readings of this type: keep one; ",""))</f>
        <v/>
      </c>
    </row>
    <row r="999" customFormat="false" ht="15" hidden="false" customHeight="false" outlineLevel="0" collapsed="false">
      <c r="A999" s="11"/>
      <c r="B999" s="38"/>
      <c r="D999" s="10"/>
      <c r="G999" s="30" t="str">
        <f aca="false">IF($C999="","",IFERROR(IF(INDEX(links!$A$2:$A$501,MATCH($C999,links!$D$2:$D$501,0))="","",INDEX(links!$A$2:$A$501,MATCH($C999,links!$D$2:$D$501,0))),""))</f>
        <v/>
      </c>
      <c r="H999" s="30" t="str">
        <f aca="false">IF($C999="","",IFERROR(IF(INDEX(links!$B$2:$B$501,MATCH($C999,links!$D$2:$D$501,0))="","",INDEX(links!$B$2:$B$501,MATCH($C999,links!$D$2:$D$501,0))),""))</f>
        <v/>
      </c>
      <c r="I999" s="30" t="str">
        <f aca="false">IF($C999="","",IFERROR(IF(INDEX(links!$C$2:$C$501,MATCH($C999,links!$D$2:$D$501,0))="","",INDEX(links!$C$2:$C$501,MATCH($C999,links!$D$2:$D$501,0))),""))</f>
        <v/>
      </c>
      <c r="J999" s="30" t="str">
        <f aca="false">IF($C999="","",IF($G999="","slug not in links; ","")&amp;IF($D999="","reading type missing; ","")&amp;IF(COUNTIFS(scans!$C$2:$C$1601,$C999,scans!$D$2:$D$1601,$D999)&gt;1,"two readings of this type: keep one; ",""))</f>
        <v/>
      </c>
    </row>
    <row r="1000" customFormat="false" ht="15" hidden="false" customHeight="false" outlineLevel="0" collapsed="false">
      <c r="A1000" s="11"/>
      <c r="B1000" s="38"/>
      <c r="D1000" s="10"/>
      <c r="G1000" s="30" t="str">
        <f aca="false">IF($C1000="","",IFERROR(IF(INDEX(links!$A$2:$A$501,MATCH($C1000,links!$D$2:$D$501,0))="","",INDEX(links!$A$2:$A$501,MATCH($C1000,links!$D$2:$D$501,0))),""))</f>
        <v/>
      </c>
      <c r="H1000" s="30" t="str">
        <f aca="false">IF($C1000="","",IFERROR(IF(INDEX(links!$B$2:$B$501,MATCH($C1000,links!$D$2:$D$501,0))="","",INDEX(links!$B$2:$B$501,MATCH($C1000,links!$D$2:$D$501,0))),""))</f>
        <v/>
      </c>
      <c r="I1000" s="30" t="str">
        <f aca="false">IF($C1000="","",IFERROR(IF(INDEX(links!$C$2:$C$501,MATCH($C1000,links!$D$2:$D$501,0))="","",INDEX(links!$C$2:$C$501,MATCH($C1000,links!$D$2:$D$501,0))),""))</f>
        <v/>
      </c>
      <c r="J1000" s="30" t="str">
        <f aca="false">IF($C1000="","",IF($G1000="","slug not in links; ","")&amp;IF($D1000="","reading type missing; ","")&amp;IF(COUNTIFS(scans!$C$2:$C$1601,$C1000,scans!$D$2:$D$1601,$D1000)&gt;1,"two readings of this type: keep one; ",""))</f>
        <v/>
      </c>
    </row>
    <row r="1001" customFormat="false" ht="15" hidden="false" customHeight="false" outlineLevel="0" collapsed="false">
      <c r="A1001" s="11"/>
      <c r="B1001" s="38"/>
      <c r="D1001" s="10"/>
      <c r="G1001" s="30" t="str">
        <f aca="false">IF($C1001="","",IFERROR(IF(INDEX(links!$A$2:$A$501,MATCH($C1001,links!$D$2:$D$501,0))="","",INDEX(links!$A$2:$A$501,MATCH($C1001,links!$D$2:$D$501,0))),""))</f>
        <v/>
      </c>
      <c r="H1001" s="30" t="str">
        <f aca="false">IF($C1001="","",IFERROR(IF(INDEX(links!$B$2:$B$501,MATCH($C1001,links!$D$2:$D$501,0))="","",INDEX(links!$B$2:$B$501,MATCH($C1001,links!$D$2:$D$501,0))),""))</f>
        <v/>
      </c>
      <c r="I1001" s="30" t="str">
        <f aca="false">IF($C1001="","",IFERROR(IF(INDEX(links!$C$2:$C$501,MATCH($C1001,links!$D$2:$D$501,0))="","",INDEX(links!$C$2:$C$501,MATCH($C1001,links!$D$2:$D$501,0))),""))</f>
        <v/>
      </c>
      <c r="J1001" s="30" t="str">
        <f aca="false">IF($C1001="","",IF($G1001="","slug not in links; ","")&amp;IF($D1001="","reading type missing; ","")&amp;IF(COUNTIFS(scans!$C$2:$C$1601,$C1001,scans!$D$2:$D$1601,$D1001)&gt;1,"two readings of this type: keep one; ",""))</f>
        <v/>
      </c>
    </row>
    <row r="1002" customFormat="false" ht="15" hidden="false" customHeight="false" outlineLevel="0" collapsed="false">
      <c r="A1002" s="11"/>
      <c r="B1002" s="38"/>
      <c r="D1002" s="10"/>
      <c r="G1002" s="30" t="str">
        <f aca="false">IF($C1002="","",IFERROR(IF(INDEX(links!$A$2:$A$501,MATCH($C1002,links!$D$2:$D$501,0))="","",INDEX(links!$A$2:$A$501,MATCH($C1002,links!$D$2:$D$501,0))),""))</f>
        <v/>
      </c>
      <c r="H1002" s="30" t="str">
        <f aca="false">IF($C1002="","",IFERROR(IF(INDEX(links!$B$2:$B$501,MATCH($C1002,links!$D$2:$D$501,0))="","",INDEX(links!$B$2:$B$501,MATCH($C1002,links!$D$2:$D$501,0))),""))</f>
        <v/>
      </c>
      <c r="I1002" s="30" t="str">
        <f aca="false">IF($C1002="","",IFERROR(IF(INDEX(links!$C$2:$C$501,MATCH($C1002,links!$D$2:$D$501,0))="","",INDEX(links!$C$2:$C$501,MATCH($C1002,links!$D$2:$D$501,0))),""))</f>
        <v/>
      </c>
      <c r="J1002" s="30" t="str">
        <f aca="false">IF($C1002="","",IF($G1002="","slug not in links; ","")&amp;IF($D1002="","reading type missing; ","")&amp;IF(COUNTIFS(scans!$C$2:$C$1601,$C1002,scans!$D$2:$D$1601,$D1002)&gt;1,"two readings of this type: keep one; ",""))</f>
        <v/>
      </c>
    </row>
    <row r="1003" customFormat="false" ht="15" hidden="false" customHeight="false" outlineLevel="0" collapsed="false">
      <c r="A1003" s="11"/>
      <c r="B1003" s="38"/>
      <c r="D1003" s="10"/>
      <c r="G1003" s="30" t="str">
        <f aca="false">IF($C1003="","",IFERROR(IF(INDEX(links!$A$2:$A$501,MATCH($C1003,links!$D$2:$D$501,0))="","",INDEX(links!$A$2:$A$501,MATCH($C1003,links!$D$2:$D$501,0))),""))</f>
        <v/>
      </c>
      <c r="H1003" s="30" t="str">
        <f aca="false">IF($C1003="","",IFERROR(IF(INDEX(links!$B$2:$B$501,MATCH($C1003,links!$D$2:$D$501,0))="","",INDEX(links!$B$2:$B$501,MATCH($C1003,links!$D$2:$D$501,0))),""))</f>
        <v/>
      </c>
      <c r="I1003" s="30" t="str">
        <f aca="false">IF($C1003="","",IFERROR(IF(INDEX(links!$C$2:$C$501,MATCH($C1003,links!$D$2:$D$501,0))="","",INDEX(links!$C$2:$C$501,MATCH($C1003,links!$D$2:$D$501,0))),""))</f>
        <v/>
      </c>
      <c r="J1003" s="30" t="str">
        <f aca="false">IF($C1003="","",IF($G1003="","slug not in links; ","")&amp;IF($D1003="","reading type missing; ","")&amp;IF(COUNTIFS(scans!$C$2:$C$1601,$C1003,scans!$D$2:$D$1601,$D1003)&gt;1,"two readings of this type: keep one; ",""))</f>
        <v/>
      </c>
    </row>
    <row r="1004" customFormat="false" ht="15" hidden="false" customHeight="false" outlineLevel="0" collapsed="false">
      <c r="A1004" s="11"/>
      <c r="B1004" s="38"/>
      <c r="D1004" s="10"/>
      <c r="G1004" s="30" t="str">
        <f aca="false">IF($C1004="","",IFERROR(IF(INDEX(links!$A$2:$A$501,MATCH($C1004,links!$D$2:$D$501,0))="","",INDEX(links!$A$2:$A$501,MATCH($C1004,links!$D$2:$D$501,0))),""))</f>
        <v/>
      </c>
      <c r="H1004" s="30" t="str">
        <f aca="false">IF($C1004="","",IFERROR(IF(INDEX(links!$B$2:$B$501,MATCH($C1004,links!$D$2:$D$501,0))="","",INDEX(links!$B$2:$B$501,MATCH($C1004,links!$D$2:$D$501,0))),""))</f>
        <v/>
      </c>
      <c r="I1004" s="30" t="str">
        <f aca="false">IF($C1004="","",IFERROR(IF(INDEX(links!$C$2:$C$501,MATCH($C1004,links!$D$2:$D$501,0))="","",INDEX(links!$C$2:$C$501,MATCH($C1004,links!$D$2:$D$501,0))),""))</f>
        <v/>
      </c>
      <c r="J1004" s="30" t="str">
        <f aca="false">IF($C1004="","",IF($G1004="","slug not in links; ","")&amp;IF($D1004="","reading type missing; ","")&amp;IF(COUNTIFS(scans!$C$2:$C$1601,$C1004,scans!$D$2:$D$1601,$D1004)&gt;1,"two readings of this type: keep one; ",""))</f>
        <v/>
      </c>
    </row>
    <row r="1005" customFormat="false" ht="15" hidden="false" customHeight="false" outlineLevel="0" collapsed="false">
      <c r="A1005" s="11"/>
      <c r="B1005" s="38"/>
      <c r="D1005" s="10"/>
      <c r="G1005" s="30" t="str">
        <f aca="false">IF($C1005="","",IFERROR(IF(INDEX(links!$A$2:$A$501,MATCH($C1005,links!$D$2:$D$501,0))="","",INDEX(links!$A$2:$A$501,MATCH($C1005,links!$D$2:$D$501,0))),""))</f>
        <v/>
      </c>
      <c r="H1005" s="30" t="str">
        <f aca="false">IF($C1005="","",IFERROR(IF(INDEX(links!$B$2:$B$501,MATCH($C1005,links!$D$2:$D$501,0))="","",INDEX(links!$B$2:$B$501,MATCH($C1005,links!$D$2:$D$501,0))),""))</f>
        <v/>
      </c>
      <c r="I1005" s="30" t="str">
        <f aca="false">IF($C1005="","",IFERROR(IF(INDEX(links!$C$2:$C$501,MATCH($C1005,links!$D$2:$D$501,0))="","",INDEX(links!$C$2:$C$501,MATCH($C1005,links!$D$2:$D$501,0))),""))</f>
        <v/>
      </c>
      <c r="J1005" s="30" t="str">
        <f aca="false">IF($C1005="","",IF($G1005="","slug not in links; ","")&amp;IF($D1005="","reading type missing; ","")&amp;IF(COUNTIFS(scans!$C$2:$C$1601,$C1005,scans!$D$2:$D$1601,$D1005)&gt;1,"two readings of this type: keep one; ",""))</f>
        <v/>
      </c>
    </row>
    <row r="1006" customFormat="false" ht="15" hidden="false" customHeight="false" outlineLevel="0" collapsed="false">
      <c r="A1006" s="11"/>
      <c r="B1006" s="38"/>
      <c r="D1006" s="10"/>
      <c r="G1006" s="30" t="str">
        <f aca="false">IF($C1006="","",IFERROR(IF(INDEX(links!$A$2:$A$501,MATCH($C1006,links!$D$2:$D$501,0))="","",INDEX(links!$A$2:$A$501,MATCH($C1006,links!$D$2:$D$501,0))),""))</f>
        <v/>
      </c>
      <c r="H1006" s="30" t="str">
        <f aca="false">IF($C1006="","",IFERROR(IF(INDEX(links!$B$2:$B$501,MATCH($C1006,links!$D$2:$D$501,0))="","",INDEX(links!$B$2:$B$501,MATCH($C1006,links!$D$2:$D$501,0))),""))</f>
        <v/>
      </c>
      <c r="I1006" s="30" t="str">
        <f aca="false">IF($C1006="","",IFERROR(IF(INDEX(links!$C$2:$C$501,MATCH($C1006,links!$D$2:$D$501,0))="","",INDEX(links!$C$2:$C$501,MATCH($C1006,links!$D$2:$D$501,0))),""))</f>
        <v/>
      </c>
      <c r="J1006" s="30" t="str">
        <f aca="false">IF($C1006="","",IF($G1006="","slug not in links; ","")&amp;IF($D1006="","reading type missing; ","")&amp;IF(COUNTIFS(scans!$C$2:$C$1601,$C1006,scans!$D$2:$D$1601,$D1006)&gt;1,"two readings of this type: keep one; ",""))</f>
        <v/>
      </c>
    </row>
    <row r="1007" customFormat="false" ht="15" hidden="false" customHeight="false" outlineLevel="0" collapsed="false">
      <c r="A1007" s="11"/>
      <c r="B1007" s="38"/>
      <c r="D1007" s="10"/>
      <c r="G1007" s="30" t="str">
        <f aca="false">IF($C1007="","",IFERROR(IF(INDEX(links!$A$2:$A$501,MATCH($C1007,links!$D$2:$D$501,0))="","",INDEX(links!$A$2:$A$501,MATCH($C1007,links!$D$2:$D$501,0))),""))</f>
        <v/>
      </c>
      <c r="H1007" s="30" t="str">
        <f aca="false">IF($C1007="","",IFERROR(IF(INDEX(links!$B$2:$B$501,MATCH($C1007,links!$D$2:$D$501,0))="","",INDEX(links!$B$2:$B$501,MATCH($C1007,links!$D$2:$D$501,0))),""))</f>
        <v/>
      </c>
      <c r="I1007" s="30" t="str">
        <f aca="false">IF($C1007="","",IFERROR(IF(INDEX(links!$C$2:$C$501,MATCH($C1007,links!$D$2:$D$501,0))="","",INDEX(links!$C$2:$C$501,MATCH($C1007,links!$D$2:$D$501,0))),""))</f>
        <v/>
      </c>
      <c r="J1007" s="30" t="str">
        <f aca="false">IF($C1007="","",IF($G1007="","slug not in links; ","")&amp;IF($D1007="","reading type missing; ","")&amp;IF(COUNTIFS(scans!$C$2:$C$1601,$C1007,scans!$D$2:$D$1601,$D1007)&gt;1,"two readings of this type: keep one; ",""))</f>
        <v/>
      </c>
    </row>
    <row r="1008" customFormat="false" ht="15" hidden="false" customHeight="false" outlineLevel="0" collapsed="false">
      <c r="A1008" s="11"/>
      <c r="B1008" s="38"/>
      <c r="D1008" s="10"/>
      <c r="G1008" s="30" t="str">
        <f aca="false">IF($C1008="","",IFERROR(IF(INDEX(links!$A$2:$A$501,MATCH($C1008,links!$D$2:$D$501,0))="","",INDEX(links!$A$2:$A$501,MATCH($C1008,links!$D$2:$D$501,0))),""))</f>
        <v/>
      </c>
      <c r="H1008" s="30" t="str">
        <f aca="false">IF($C1008="","",IFERROR(IF(INDEX(links!$B$2:$B$501,MATCH($C1008,links!$D$2:$D$501,0))="","",INDEX(links!$B$2:$B$501,MATCH($C1008,links!$D$2:$D$501,0))),""))</f>
        <v/>
      </c>
      <c r="I1008" s="30" t="str">
        <f aca="false">IF($C1008="","",IFERROR(IF(INDEX(links!$C$2:$C$501,MATCH($C1008,links!$D$2:$D$501,0))="","",INDEX(links!$C$2:$C$501,MATCH($C1008,links!$D$2:$D$501,0))),""))</f>
        <v/>
      </c>
      <c r="J1008" s="30" t="str">
        <f aca="false">IF($C1008="","",IF($G1008="","slug not in links; ","")&amp;IF($D1008="","reading type missing; ","")&amp;IF(COUNTIFS(scans!$C$2:$C$1601,$C1008,scans!$D$2:$D$1601,$D1008)&gt;1,"two readings of this type: keep one; ",""))</f>
        <v/>
      </c>
    </row>
    <row r="1009" customFormat="false" ht="15" hidden="false" customHeight="false" outlineLevel="0" collapsed="false">
      <c r="A1009" s="11"/>
      <c r="B1009" s="38"/>
      <c r="D1009" s="10"/>
      <c r="G1009" s="30" t="str">
        <f aca="false">IF($C1009="","",IFERROR(IF(INDEX(links!$A$2:$A$501,MATCH($C1009,links!$D$2:$D$501,0))="","",INDEX(links!$A$2:$A$501,MATCH($C1009,links!$D$2:$D$501,0))),""))</f>
        <v/>
      </c>
      <c r="H1009" s="30" t="str">
        <f aca="false">IF($C1009="","",IFERROR(IF(INDEX(links!$B$2:$B$501,MATCH($C1009,links!$D$2:$D$501,0))="","",INDEX(links!$B$2:$B$501,MATCH($C1009,links!$D$2:$D$501,0))),""))</f>
        <v/>
      </c>
      <c r="I1009" s="30" t="str">
        <f aca="false">IF($C1009="","",IFERROR(IF(INDEX(links!$C$2:$C$501,MATCH($C1009,links!$D$2:$D$501,0))="","",INDEX(links!$C$2:$C$501,MATCH($C1009,links!$D$2:$D$501,0))),""))</f>
        <v/>
      </c>
      <c r="J1009" s="30" t="str">
        <f aca="false">IF($C1009="","",IF($G1009="","slug not in links; ","")&amp;IF($D1009="","reading type missing; ","")&amp;IF(COUNTIFS(scans!$C$2:$C$1601,$C1009,scans!$D$2:$D$1601,$D1009)&gt;1,"two readings of this type: keep one; ",""))</f>
        <v/>
      </c>
    </row>
    <row r="1010" customFormat="false" ht="15" hidden="false" customHeight="false" outlineLevel="0" collapsed="false">
      <c r="A1010" s="11"/>
      <c r="B1010" s="38"/>
      <c r="D1010" s="10"/>
      <c r="G1010" s="30" t="str">
        <f aca="false">IF($C1010="","",IFERROR(IF(INDEX(links!$A$2:$A$501,MATCH($C1010,links!$D$2:$D$501,0))="","",INDEX(links!$A$2:$A$501,MATCH($C1010,links!$D$2:$D$501,0))),""))</f>
        <v/>
      </c>
      <c r="H1010" s="30" t="str">
        <f aca="false">IF($C1010="","",IFERROR(IF(INDEX(links!$B$2:$B$501,MATCH($C1010,links!$D$2:$D$501,0))="","",INDEX(links!$B$2:$B$501,MATCH($C1010,links!$D$2:$D$501,0))),""))</f>
        <v/>
      </c>
      <c r="I1010" s="30" t="str">
        <f aca="false">IF($C1010="","",IFERROR(IF(INDEX(links!$C$2:$C$501,MATCH($C1010,links!$D$2:$D$501,0))="","",INDEX(links!$C$2:$C$501,MATCH($C1010,links!$D$2:$D$501,0))),""))</f>
        <v/>
      </c>
      <c r="J1010" s="30" t="str">
        <f aca="false">IF($C1010="","",IF($G1010="","slug not in links; ","")&amp;IF($D1010="","reading type missing; ","")&amp;IF(COUNTIFS(scans!$C$2:$C$1601,$C1010,scans!$D$2:$D$1601,$D1010)&gt;1,"two readings of this type: keep one; ",""))</f>
        <v/>
      </c>
    </row>
    <row r="1011" customFormat="false" ht="15" hidden="false" customHeight="false" outlineLevel="0" collapsed="false">
      <c r="A1011" s="11"/>
      <c r="B1011" s="38"/>
      <c r="D1011" s="10"/>
      <c r="G1011" s="30" t="str">
        <f aca="false">IF($C1011="","",IFERROR(IF(INDEX(links!$A$2:$A$501,MATCH($C1011,links!$D$2:$D$501,0))="","",INDEX(links!$A$2:$A$501,MATCH($C1011,links!$D$2:$D$501,0))),""))</f>
        <v/>
      </c>
      <c r="H1011" s="30" t="str">
        <f aca="false">IF($C1011="","",IFERROR(IF(INDEX(links!$B$2:$B$501,MATCH($C1011,links!$D$2:$D$501,0))="","",INDEX(links!$B$2:$B$501,MATCH($C1011,links!$D$2:$D$501,0))),""))</f>
        <v/>
      </c>
      <c r="I1011" s="30" t="str">
        <f aca="false">IF($C1011="","",IFERROR(IF(INDEX(links!$C$2:$C$501,MATCH($C1011,links!$D$2:$D$501,0))="","",INDEX(links!$C$2:$C$501,MATCH($C1011,links!$D$2:$D$501,0))),""))</f>
        <v/>
      </c>
      <c r="J1011" s="30" t="str">
        <f aca="false">IF($C1011="","",IF($G1011="","slug not in links; ","")&amp;IF($D1011="","reading type missing; ","")&amp;IF(COUNTIFS(scans!$C$2:$C$1601,$C1011,scans!$D$2:$D$1601,$D1011)&gt;1,"two readings of this type: keep one; ",""))</f>
        <v/>
      </c>
    </row>
    <row r="1012" customFormat="false" ht="15" hidden="false" customHeight="false" outlineLevel="0" collapsed="false">
      <c r="A1012" s="11"/>
      <c r="B1012" s="38"/>
      <c r="D1012" s="10"/>
      <c r="G1012" s="30" t="str">
        <f aca="false">IF($C1012="","",IFERROR(IF(INDEX(links!$A$2:$A$501,MATCH($C1012,links!$D$2:$D$501,0))="","",INDEX(links!$A$2:$A$501,MATCH($C1012,links!$D$2:$D$501,0))),""))</f>
        <v/>
      </c>
      <c r="H1012" s="30" t="str">
        <f aca="false">IF($C1012="","",IFERROR(IF(INDEX(links!$B$2:$B$501,MATCH($C1012,links!$D$2:$D$501,0))="","",INDEX(links!$B$2:$B$501,MATCH($C1012,links!$D$2:$D$501,0))),""))</f>
        <v/>
      </c>
      <c r="I1012" s="30" t="str">
        <f aca="false">IF($C1012="","",IFERROR(IF(INDEX(links!$C$2:$C$501,MATCH($C1012,links!$D$2:$D$501,0))="","",INDEX(links!$C$2:$C$501,MATCH($C1012,links!$D$2:$D$501,0))),""))</f>
        <v/>
      </c>
      <c r="J1012" s="30" t="str">
        <f aca="false">IF($C1012="","",IF($G1012="","slug not in links; ","")&amp;IF($D1012="","reading type missing; ","")&amp;IF(COUNTIFS(scans!$C$2:$C$1601,$C1012,scans!$D$2:$D$1601,$D1012)&gt;1,"two readings of this type: keep one; ",""))</f>
        <v/>
      </c>
    </row>
    <row r="1013" customFormat="false" ht="15" hidden="false" customHeight="false" outlineLevel="0" collapsed="false">
      <c r="A1013" s="11"/>
      <c r="B1013" s="38"/>
      <c r="D1013" s="10"/>
      <c r="G1013" s="30" t="str">
        <f aca="false">IF($C1013="","",IFERROR(IF(INDEX(links!$A$2:$A$501,MATCH($C1013,links!$D$2:$D$501,0))="","",INDEX(links!$A$2:$A$501,MATCH($C1013,links!$D$2:$D$501,0))),""))</f>
        <v/>
      </c>
      <c r="H1013" s="30" t="str">
        <f aca="false">IF($C1013="","",IFERROR(IF(INDEX(links!$B$2:$B$501,MATCH($C1013,links!$D$2:$D$501,0))="","",INDEX(links!$B$2:$B$501,MATCH($C1013,links!$D$2:$D$501,0))),""))</f>
        <v/>
      </c>
      <c r="I1013" s="30" t="str">
        <f aca="false">IF($C1013="","",IFERROR(IF(INDEX(links!$C$2:$C$501,MATCH($C1013,links!$D$2:$D$501,0))="","",INDEX(links!$C$2:$C$501,MATCH($C1013,links!$D$2:$D$501,0))),""))</f>
        <v/>
      </c>
      <c r="J1013" s="30" t="str">
        <f aca="false">IF($C1013="","",IF($G1013="","slug not in links; ","")&amp;IF($D1013="","reading type missing; ","")&amp;IF(COUNTIFS(scans!$C$2:$C$1601,$C1013,scans!$D$2:$D$1601,$D1013)&gt;1,"two readings of this type: keep one; ",""))</f>
        <v/>
      </c>
    </row>
    <row r="1014" customFormat="false" ht="15" hidden="false" customHeight="false" outlineLevel="0" collapsed="false">
      <c r="A1014" s="11"/>
      <c r="B1014" s="38"/>
      <c r="D1014" s="10"/>
      <c r="G1014" s="30" t="str">
        <f aca="false">IF($C1014="","",IFERROR(IF(INDEX(links!$A$2:$A$501,MATCH($C1014,links!$D$2:$D$501,0))="","",INDEX(links!$A$2:$A$501,MATCH($C1014,links!$D$2:$D$501,0))),""))</f>
        <v/>
      </c>
      <c r="H1014" s="30" t="str">
        <f aca="false">IF($C1014="","",IFERROR(IF(INDEX(links!$B$2:$B$501,MATCH($C1014,links!$D$2:$D$501,0))="","",INDEX(links!$B$2:$B$501,MATCH($C1014,links!$D$2:$D$501,0))),""))</f>
        <v/>
      </c>
      <c r="I1014" s="30" t="str">
        <f aca="false">IF($C1014="","",IFERROR(IF(INDEX(links!$C$2:$C$501,MATCH($C1014,links!$D$2:$D$501,0))="","",INDEX(links!$C$2:$C$501,MATCH($C1014,links!$D$2:$D$501,0))),""))</f>
        <v/>
      </c>
      <c r="J1014" s="30" t="str">
        <f aca="false">IF($C1014="","",IF($G1014="","slug not in links; ","")&amp;IF($D1014="","reading type missing; ","")&amp;IF(COUNTIFS(scans!$C$2:$C$1601,$C1014,scans!$D$2:$D$1601,$D1014)&gt;1,"two readings of this type: keep one; ",""))</f>
        <v/>
      </c>
    </row>
    <row r="1015" customFormat="false" ht="15" hidden="false" customHeight="false" outlineLevel="0" collapsed="false">
      <c r="A1015" s="11"/>
      <c r="B1015" s="38"/>
      <c r="D1015" s="10"/>
      <c r="G1015" s="30" t="str">
        <f aca="false">IF($C1015="","",IFERROR(IF(INDEX(links!$A$2:$A$501,MATCH($C1015,links!$D$2:$D$501,0))="","",INDEX(links!$A$2:$A$501,MATCH($C1015,links!$D$2:$D$501,0))),""))</f>
        <v/>
      </c>
      <c r="H1015" s="30" t="str">
        <f aca="false">IF($C1015="","",IFERROR(IF(INDEX(links!$B$2:$B$501,MATCH($C1015,links!$D$2:$D$501,0))="","",INDEX(links!$B$2:$B$501,MATCH($C1015,links!$D$2:$D$501,0))),""))</f>
        <v/>
      </c>
      <c r="I1015" s="30" t="str">
        <f aca="false">IF($C1015="","",IFERROR(IF(INDEX(links!$C$2:$C$501,MATCH($C1015,links!$D$2:$D$501,0))="","",INDEX(links!$C$2:$C$501,MATCH($C1015,links!$D$2:$D$501,0))),""))</f>
        <v/>
      </c>
      <c r="J1015" s="30" t="str">
        <f aca="false">IF($C1015="","",IF($G1015="","slug not in links; ","")&amp;IF($D1015="","reading type missing; ","")&amp;IF(COUNTIFS(scans!$C$2:$C$1601,$C1015,scans!$D$2:$D$1601,$D1015)&gt;1,"two readings of this type: keep one; ",""))</f>
        <v/>
      </c>
    </row>
    <row r="1016" customFormat="false" ht="15" hidden="false" customHeight="false" outlineLevel="0" collapsed="false">
      <c r="A1016" s="11"/>
      <c r="B1016" s="38"/>
      <c r="D1016" s="10"/>
      <c r="G1016" s="30" t="str">
        <f aca="false">IF($C1016="","",IFERROR(IF(INDEX(links!$A$2:$A$501,MATCH($C1016,links!$D$2:$D$501,0))="","",INDEX(links!$A$2:$A$501,MATCH($C1016,links!$D$2:$D$501,0))),""))</f>
        <v/>
      </c>
      <c r="H1016" s="30" t="str">
        <f aca="false">IF($C1016="","",IFERROR(IF(INDEX(links!$B$2:$B$501,MATCH($C1016,links!$D$2:$D$501,0))="","",INDEX(links!$B$2:$B$501,MATCH($C1016,links!$D$2:$D$501,0))),""))</f>
        <v/>
      </c>
      <c r="I1016" s="30" t="str">
        <f aca="false">IF($C1016="","",IFERROR(IF(INDEX(links!$C$2:$C$501,MATCH($C1016,links!$D$2:$D$501,0))="","",INDEX(links!$C$2:$C$501,MATCH($C1016,links!$D$2:$D$501,0))),""))</f>
        <v/>
      </c>
      <c r="J1016" s="30" t="str">
        <f aca="false">IF($C1016="","",IF($G1016="","slug not in links; ","")&amp;IF($D1016="","reading type missing; ","")&amp;IF(COUNTIFS(scans!$C$2:$C$1601,$C1016,scans!$D$2:$D$1601,$D1016)&gt;1,"two readings of this type: keep one; ",""))</f>
        <v/>
      </c>
    </row>
    <row r="1017" customFormat="false" ht="15" hidden="false" customHeight="false" outlineLevel="0" collapsed="false">
      <c r="A1017" s="11"/>
      <c r="B1017" s="38"/>
      <c r="D1017" s="10"/>
      <c r="G1017" s="30" t="str">
        <f aca="false">IF($C1017="","",IFERROR(IF(INDEX(links!$A$2:$A$501,MATCH($C1017,links!$D$2:$D$501,0))="","",INDEX(links!$A$2:$A$501,MATCH($C1017,links!$D$2:$D$501,0))),""))</f>
        <v/>
      </c>
      <c r="H1017" s="30" t="str">
        <f aca="false">IF($C1017="","",IFERROR(IF(INDEX(links!$B$2:$B$501,MATCH($C1017,links!$D$2:$D$501,0))="","",INDEX(links!$B$2:$B$501,MATCH($C1017,links!$D$2:$D$501,0))),""))</f>
        <v/>
      </c>
      <c r="I1017" s="30" t="str">
        <f aca="false">IF($C1017="","",IFERROR(IF(INDEX(links!$C$2:$C$501,MATCH($C1017,links!$D$2:$D$501,0))="","",INDEX(links!$C$2:$C$501,MATCH($C1017,links!$D$2:$D$501,0))),""))</f>
        <v/>
      </c>
      <c r="J1017" s="30" t="str">
        <f aca="false">IF($C1017="","",IF($G1017="","slug not in links; ","")&amp;IF($D1017="","reading type missing; ","")&amp;IF(COUNTIFS(scans!$C$2:$C$1601,$C1017,scans!$D$2:$D$1601,$D1017)&gt;1,"two readings of this type: keep one; ",""))</f>
        <v/>
      </c>
    </row>
    <row r="1018" customFormat="false" ht="15" hidden="false" customHeight="false" outlineLevel="0" collapsed="false">
      <c r="A1018" s="11"/>
      <c r="B1018" s="38"/>
      <c r="D1018" s="10"/>
      <c r="G1018" s="30" t="str">
        <f aca="false">IF($C1018="","",IFERROR(IF(INDEX(links!$A$2:$A$501,MATCH($C1018,links!$D$2:$D$501,0))="","",INDEX(links!$A$2:$A$501,MATCH($C1018,links!$D$2:$D$501,0))),""))</f>
        <v/>
      </c>
      <c r="H1018" s="30" t="str">
        <f aca="false">IF($C1018="","",IFERROR(IF(INDEX(links!$B$2:$B$501,MATCH($C1018,links!$D$2:$D$501,0))="","",INDEX(links!$B$2:$B$501,MATCH($C1018,links!$D$2:$D$501,0))),""))</f>
        <v/>
      </c>
      <c r="I1018" s="30" t="str">
        <f aca="false">IF($C1018="","",IFERROR(IF(INDEX(links!$C$2:$C$501,MATCH($C1018,links!$D$2:$D$501,0))="","",INDEX(links!$C$2:$C$501,MATCH($C1018,links!$D$2:$D$501,0))),""))</f>
        <v/>
      </c>
      <c r="J1018" s="30" t="str">
        <f aca="false">IF($C1018="","",IF($G1018="","slug not in links; ","")&amp;IF($D1018="","reading type missing; ","")&amp;IF(COUNTIFS(scans!$C$2:$C$1601,$C1018,scans!$D$2:$D$1601,$D1018)&gt;1,"two readings of this type: keep one; ",""))</f>
        <v/>
      </c>
    </row>
    <row r="1019" customFormat="false" ht="15" hidden="false" customHeight="false" outlineLevel="0" collapsed="false">
      <c r="A1019" s="11"/>
      <c r="B1019" s="38"/>
      <c r="D1019" s="10"/>
      <c r="G1019" s="30" t="str">
        <f aca="false">IF($C1019="","",IFERROR(IF(INDEX(links!$A$2:$A$501,MATCH($C1019,links!$D$2:$D$501,0))="","",INDEX(links!$A$2:$A$501,MATCH($C1019,links!$D$2:$D$501,0))),""))</f>
        <v/>
      </c>
      <c r="H1019" s="30" t="str">
        <f aca="false">IF($C1019="","",IFERROR(IF(INDEX(links!$B$2:$B$501,MATCH($C1019,links!$D$2:$D$501,0))="","",INDEX(links!$B$2:$B$501,MATCH($C1019,links!$D$2:$D$501,0))),""))</f>
        <v/>
      </c>
      <c r="I1019" s="30" t="str">
        <f aca="false">IF($C1019="","",IFERROR(IF(INDEX(links!$C$2:$C$501,MATCH($C1019,links!$D$2:$D$501,0))="","",INDEX(links!$C$2:$C$501,MATCH($C1019,links!$D$2:$D$501,0))),""))</f>
        <v/>
      </c>
      <c r="J1019" s="30" t="str">
        <f aca="false">IF($C1019="","",IF($G1019="","slug not in links; ","")&amp;IF($D1019="","reading type missing; ","")&amp;IF(COUNTIFS(scans!$C$2:$C$1601,$C1019,scans!$D$2:$D$1601,$D1019)&gt;1,"two readings of this type: keep one; ",""))</f>
        <v/>
      </c>
    </row>
    <row r="1020" customFormat="false" ht="15" hidden="false" customHeight="false" outlineLevel="0" collapsed="false">
      <c r="A1020" s="11"/>
      <c r="B1020" s="38"/>
      <c r="D1020" s="10"/>
      <c r="G1020" s="30" t="str">
        <f aca="false">IF($C1020="","",IFERROR(IF(INDEX(links!$A$2:$A$501,MATCH($C1020,links!$D$2:$D$501,0))="","",INDEX(links!$A$2:$A$501,MATCH($C1020,links!$D$2:$D$501,0))),""))</f>
        <v/>
      </c>
      <c r="H1020" s="30" t="str">
        <f aca="false">IF($C1020="","",IFERROR(IF(INDEX(links!$B$2:$B$501,MATCH($C1020,links!$D$2:$D$501,0))="","",INDEX(links!$B$2:$B$501,MATCH($C1020,links!$D$2:$D$501,0))),""))</f>
        <v/>
      </c>
      <c r="I1020" s="30" t="str">
        <f aca="false">IF($C1020="","",IFERROR(IF(INDEX(links!$C$2:$C$501,MATCH($C1020,links!$D$2:$D$501,0))="","",INDEX(links!$C$2:$C$501,MATCH($C1020,links!$D$2:$D$501,0))),""))</f>
        <v/>
      </c>
      <c r="J1020" s="30" t="str">
        <f aca="false">IF($C1020="","",IF($G1020="","slug not in links; ","")&amp;IF($D1020="","reading type missing; ","")&amp;IF(COUNTIFS(scans!$C$2:$C$1601,$C1020,scans!$D$2:$D$1601,$D1020)&gt;1,"two readings of this type: keep one; ",""))</f>
        <v/>
      </c>
    </row>
    <row r="1021" customFormat="false" ht="15" hidden="false" customHeight="false" outlineLevel="0" collapsed="false">
      <c r="A1021" s="11"/>
      <c r="B1021" s="38"/>
      <c r="D1021" s="10"/>
      <c r="G1021" s="30" t="str">
        <f aca="false">IF($C1021="","",IFERROR(IF(INDEX(links!$A$2:$A$501,MATCH($C1021,links!$D$2:$D$501,0))="","",INDEX(links!$A$2:$A$501,MATCH($C1021,links!$D$2:$D$501,0))),""))</f>
        <v/>
      </c>
      <c r="H1021" s="30" t="str">
        <f aca="false">IF($C1021="","",IFERROR(IF(INDEX(links!$B$2:$B$501,MATCH($C1021,links!$D$2:$D$501,0))="","",INDEX(links!$B$2:$B$501,MATCH($C1021,links!$D$2:$D$501,0))),""))</f>
        <v/>
      </c>
      <c r="I1021" s="30" t="str">
        <f aca="false">IF($C1021="","",IFERROR(IF(INDEX(links!$C$2:$C$501,MATCH($C1021,links!$D$2:$D$501,0))="","",INDEX(links!$C$2:$C$501,MATCH($C1021,links!$D$2:$D$501,0))),""))</f>
        <v/>
      </c>
      <c r="J1021" s="30" t="str">
        <f aca="false">IF($C1021="","",IF($G1021="","slug not in links; ","")&amp;IF($D1021="","reading type missing; ","")&amp;IF(COUNTIFS(scans!$C$2:$C$1601,$C1021,scans!$D$2:$D$1601,$D1021)&gt;1,"two readings of this type: keep one; ",""))</f>
        <v/>
      </c>
    </row>
    <row r="1022" customFormat="false" ht="15" hidden="false" customHeight="false" outlineLevel="0" collapsed="false">
      <c r="A1022" s="11"/>
      <c r="B1022" s="38"/>
      <c r="D1022" s="10"/>
      <c r="G1022" s="30" t="str">
        <f aca="false">IF($C1022="","",IFERROR(IF(INDEX(links!$A$2:$A$501,MATCH($C1022,links!$D$2:$D$501,0))="","",INDEX(links!$A$2:$A$501,MATCH($C1022,links!$D$2:$D$501,0))),""))</f>
        <v/>
      </c>
      <c r="H1022" s="30" t="str">
        <f aca="false">IF($C1022="","",IFERROR(IF(INDEX(links!$B$2:$B$501,MATCH($C1022,links!$D$2:$D$501,0))="","",INDEX(links!$B$2:$B$501,MATCH($C1022,links!$D$2:$D$501,0))),""))</f>
        <v/>
      </c>
      <c r="I1022" s="30" t="str">
        <f aca="false">IF($C1022="","",IFERROR(IF(INDEX(links!$C$2:$C$501,MATCH($C1022,links!$D$2:$D$501,0))="","",INDEX(links!$C$2:$C$501,MATCH($C1022,links!$D$2:$D$501,0))),""))</f>
        <v/>
      </c>
      <c r="J1022" s="30" t="str">
        <f aca="false">IF($C1022="","",IF($G1022="","slug not in links; ","")&amp;IF($D1022="","reading type missing; ","")&amp;IF(COUNTIFS(scans!$C$2:$C$1601,$C1022,scans!$D$2:$D$1601,$D1022)&gt;1,"two readings of this type: keep one; ",""))</f>
        <v/>
      </c>
    </row>
    <row r="1023" customFormat="false" ht="15" hidden="false" customHeight="false" outlineLevel="0" collapsed="false">
      <c r="A1023" s="11"/>
      <c r="B1023" s="38"/>
      <c r="D1023" s="10"/>
      <c r="G1023" s="30" t="str">
        <f aca="false">IF($C1023="","",IFERROR(IF(INDEX(links!$A$2:$A$501,MATCH($C1023,links!$D$2:$D$501,0))="","",INDEX(links!$A$2:$A$501,MATCH($C1023,links!$D$2:$D$501,0))),""))</f>
        <v/>
      </c>
      <c r="H1023" s="30" t="str">
        <f aca="false">IF($C1023="","",IFERROR(IF(INDEX(links!$B$2:$B$501,MATCH($C1023,links!$D$2:$D$501,0))="","",INDEX(links!$B$2:$B$501,MATCH($C1023,links!$D$2:$D$501,0))),""))</f>
        <v/>
      </c>
      <c r="I1023" s="30" t="str">
        <f aca="false">IF($C1023="","",IFERROR(IF(INDEX(links!$C$2:$C$501,MATCH($C1023,links!$D$2:$D$501,0))="","",INDEX(links!$C$2:$C$501,MATCH($C1023,links!$D$2:$D$501,0))),""))</f>
        <v/>
      </c>
      <c r="J1023" s="30" t="str">
        <f aca="false">IF($C1023="","",IF($G1023="","slug not in links; ","")&amp;IF($D1023="","reading type missing; ","")&amp;IF(COUNTIFS(scans!$C$2:$C$1601,$C1023,scans!$D$2:$D$1601,$D1023)&gt;1,"two readings of this type: keep one; ",""))</f>
        <v/>
      </c>
    </row>
    <row r="1024" customFormat="false" ht="15" hidden="false" customHeight="false" outlineLevel="0" collapsed="false">
      <c r="A1024" s="11"/>
      <c r="B1024" s="38"/>
      <c r="D1024" s="10"/>
      <c r="G1024" s="30" t="str">
        <f aca="false">IF($C1024="","",IFERROR(IF(INDEX(links!$A$2:$A$501,MATCH($C1024,links!$D$2:$D$501,0))="","",INDEX(links!$A$2:$A$501,MATCH($C1024,links!$D$2:$D$501,0))),""))</f>
        <v/>
      </c>
      <c r="H1024" s="30" t="str">
        <f aca="false">IF($C1024="","",IFERROR(IF(INDEX(links!$B$2:$B$501,MATCH($C1024,links!$D$2:$D$501,0))="","",INDEX(links!$B$2:$B$501,MATCH($C1024,links!$D$2:$D$501,0))),""))</f>
        <v/>
      </c>
      <c r="I1024" s="30" t="str">
        <f aca="false">IF($C1024="","",IFERROR(IF(INDEX(links!$C$2:$C$501,MATCH($C1024,links!$D$2:$D$501,0))="","",INDEX(links!$C$2:$C$501,MATCH($C1024,links!$D$2:$D$501,0))),""))</f>
        <v/>
      </c>
      <c r="J1024" s="30" t="str">
        <f aca="false">IF($C1024="","",IF($G1024="","slug not in links; ","")&amp;IF($D1024="","reading type missing; ","")&amp;IF(COUNTIFS(scans!$C$2:$C$1601,$C1024,scans!$D$2:$D$1601,$D1024)&gt;1,"two readings of this type: keep one; ",""))</f>
        <v/>
      </c>
    </row>
    <row r="1025" customFormat="false" ht="15" hidden="false" customHeight="false" outlineLevel="0" collapsed="false">
      <c r="A1025" s="11"/>
      <c r="B1025" s="38"/>
      <c r="D1025" s="10"/>
      <c r="G1025" s="30" t="str">
        <f aca="false">IF($C1025="","",IFERROR(IF(INDEX(links!$A$2:$A$501,MATCH($C1025,links!$D$2:$D$501,0))="","",INDEX(links!$A$2:$A$501,MATCH($C1025,links!$D$2:$D$501,0))),""))</f>
        <v/>
      </c>
      <c r="H1025" s="30" t="str">
        <f aca="false">IF($C1025="","",IFERROR(IF(INDEX(links!$B$2:$B$501,MATCH($C1025,links!$D$2:$D$501,0))="","",INDEX(links!$B$2:$B$501,MATCH($C1025,links!$D$2:$D$501,0))),""))</f>
        <v/>
      </c>
      <c r="I1025" s="30" t="str">
        <f aca="false">IF($C1025="","",IFERROR(IF(INDEX(links!$C$2:$C$501,MATCH($C1025,links!$D$2:$D$501,0))="","",INDEX(links!$C$2:$C$501,MATCH($C1025,links!$D$2:$D$501,0))),""))</f>
        <v/>
      </c>
      <c r="J1025" s="30" t="str">
        <f aca="false">IF($C1025="","",IF($G1025="","slug not in links; ","")&amp;IF($D1025="","reading type missing; ","")&amp;IF(COUNTIFS(scans!$C$2:$C$1601,$C1025,scans!$D$2:$D$1601,$D1025)&gt;1,"two readings of this type: keep one; ",""))</f>
        <v/>
      </c>
    </row>
    <row r="1026" customFormat="false" ht="15" hidden="false" customHeight="false" outlineLevel="0" collapsed="false">
      <c r="A1026" s="11"/>
      <c r="B1026" s="38"/>
      <c r="D1026" s="10"/>
      <c r="G1026" s="30" t="str">
        <f aca="false">IF($C1026="","",IFERROR(IF(INDEX(links!$A$2:$A$501,MATCH($C1026,links!$D$2:$D$501,0))="","",INDEX(links!$A$2:$A$501,MATCH($C1026,links!$D$2:$D$501,0))),""))</f>
        <v/>
      </c>
      <c r="H1026" s="30" t="str">
        <f aca="false">IF($C1026="","",IFERROR(IF(INDEX(links!$B$2:$B$501,MATCH($C1026,links!$D$2:$D$501,0))="","",INDEX(links!$B$2:$B$501,MATCH($C1026,links!$D$2:$D$501,0))),""))</f>
        <v/>
      </c>
      <c r="I1026" s="30" t="str">
        <f aca="false">IF($C1026="","",IFERROR(IF(INDEX(links!$C$2:$C$501,MATCH($C1026,links!$D$2:$D$501,0))="","",INDEX(links!$C$2:$C$501,MATCH($C1026,links!$D$2:$D$501,0))),""))</f>
        <v/>
      </c>
      <c r="J1026" s="30" t="str">
        <f aca="false">IF($C1026="","",IF($G1026="","slug not in links; ","")&amp;IF($D1026="","reading type missing; ","")&amp;IF(COUNTIFS(scans!$C$2:$C$1601,$C1026,scans!$D$2:$D$1601,$D1026)&gt;1,"two readings of this type: keep one; ",""))</f>
        <v/>
      </c>
    </row>
    <row r="1027" customFormat="false" ht="15" hidden="false" customHeight="false" outlineLevel="0" collapsed="false">
      <c r="A1027" s="11"/>
      <c r="B1027" s="38"/>
      <c r="D1027" s="10"/>
      <c r="G1027" s="30" t="str">
        <f aca="false">IF($C1027="","",IFERROR(IF(INDEX(links!$A$2:$A$501,MATCH($C1027,links!$D$2:$D$501,0))="","",INDEX(links!$A$2:$A$501,MATCH($C1027,links!$D$2:$D$501,0))),""))</f>
        <v/>
      </c>
      <c r="H1027" s="30" t="str">
        <f aca="false">IF($C1027="","",IFERROR(IF(INDEX(links!$B$2:$B$501,MATCH($C1027,links!$D$2:$D$501,0))="","",INDEX(links!$B$2:$B$501,MATCH($C1027,links!$D$2:$D$501,0))),""))</f>
        <v/>
      </c>
      <c r="I1027" s="30" t="str">
        <f aca="false">IF($C1027="","",IFERROR(IF(INDEX(links!$C$2:$C$501,MATCH($C1027,links!$D$2:$D$501,0))="","",INDEX(links!$C$2:$C$501,MATCH($C1027,links!$D$2:$D$501,0))),""))</f>
        <v/>
      </c>
      <c r="J1027" s="30" t="str">
        <f aca="false">IF($C1027="","",IF($G1027="","slug not in links; ","")&amp;IF($D1027="","reading type missing; ","")&amp;IF(COUNTIFS(scans!$C$2:$C$1601,$C1027,scans!$D$2:$D$1601,$D1027)&gt;1,"two readings of this type: keep one; ",""))</f>
        <v/>
      </c>
    </row>
    <row r="1028" customFormat="false" ht="15" hidden="false" customHeight="false" outlineLevel="0" collapsed="false">
      <c r="A1028" s="11"/>
      <c r="B1028" s="38"/>
      <c r="D1028" s="10"/>
      <c r="G1028" s="30" t="str">
        <f aca="false">IF($C1028="","",IFERROR(IF(INDEX(links!$A$2:$A$501,MATCH($C1028,links!$D$2:$D$501,0))="","",INDEX(links!$A$2:$A$501,MATCH($C1028,links!$D$2:$D$501,0))),""))</f>
        <v/>
      </c>
      <c r="H1028" s="30" t="str">
        <f aca="false">IF($C1028="","",IFERROR(IF(INDEX(links!$B$2:$B$501,MATCH($C1028,links!$D$2:$D$501,0))="","",INDEX(links!$B$2:$B$501,MATCH($C1028,links!$D$2:$D$501,0))),""))</f>
        <v/>
      </c>
      <c r="I1028" s="30" t="str">
        <f aca="false">IF($C1028="","",IFERROR(IF(INDEX(links!$C$2:$C$501,MATCH($C1028,links!$D$2:$D$501,0))="","",INDEX(links!$C$2:$C$501,MATCH($C1028,links!$D$2:$D$501,0))),""))</f>
        <v/>
      </c>
      <c r="J1028" s="30" t="str">
        <f aca="false">IF($C1028="","",IF($G1028="","slug not in links; ","")&amp;IF($D1028="","reading type missing; ","")&amp;IF(COUNTIFS(scans!$C$2:$C$1601,$C1028,scans!$D$2:$D$1601,$D1028)&gt;1,"two readings of this type: keep one; ",""))</f>
        <v/>
      </c>
    </row>
    <row r="1029" customFormat="false" ht="15" hidden="false" customHeight="false" outlineLevel="0" collapsed="false">
      <c r="A1029" s="11"/>
      <c r="B1029" s="38"/>
      <c r="D1029" s="10"/>
      <c r="G1029" s="30" t="str">
        <f aca="false">IF($C1029="","",IFERROR(IF(INDEX(links!$A$2:$A$501,MATCH($C1029,links!$D$2:$D$501,0))="","",INDEX(links!$A$2:$A$501,MATCH($C1029,links!$D$2:$D$501,0))),""))</f>
        <v/>
      </c>
      <c r="H1029" s="30" t="str">
        <f aca="false">IF($C1029="","",IFERROR(IF(INDEX(links!$B$2:$B$501,MATCH($C1029,links!$D$2:$D$501,0))="","",INDEX(links!$B$2:$B$501,MATCH($C1029,links!$D$2:$D$501,0))),""))</f>
        <v/>
      </c>
      <c r="I1029" s="30" t="str">
        <f aca="false">IF($C1029="","",IFERROR(IF(INDEX(links!$C$2:$C$501,MATCH($C1029,links!$D$2:$D$501,0))="","",INDEX(links!$C$2:$C$501,MATCH($C1029,links!$D$2:$D$501,0))),""))</f>
        <v/>
      </c>
      <c r="J1029" s="30" t="str">
        <f aca="false">IF($C1029="","",IF($G1029="","slug not in links; ","")&amp;IF($D1029="","reading type missing; ","")&amp;IF(COUNTIFS(scans!$C$2:$C$1601,$C1029,scans!$D$2:$D$1601,$D1029)&gt;1,"two readings of this type: keep one; ",""))</f>
        <v/>
      </c>
    </row>
    <row r="1030" customFormat="false" ht="15" hidden="false" customHeight="false" outlineLevel="0" collapsed="false">
      <c r="A1030" s="11"/>
      <c r="B1030" s="38"/>
      <c r="D1030" s="10"/>
      <c r="G1030" s="30" t="str">
        <f aca="false">IF($C1030="","",IFERROR(IF(INDEX(links!$A$2:$A$501,MATCH($C1030,links!$D$2:$D$501,0))="","",INDEX(links!$A$2:$A$501,MATCH($C1030,links!$D$2:$D$501,0))),""))</f>
        <v/>
      </c>
      <c r="H1030" s="30" t="str">
        <f aca="false">IF($C1030="","",IFERROR(IF(INDEX(links!$B$2:$B$501,MATCH($C1030,links!$D$2:$D$501,0))="","",INDEX(links!$B$2:$B$501,MATCH($C1030,links!$D$2:$D$501,0))),""))</f>
        <v/>
      </c>
      <c r="I1030" s="30" t="str">
        <f aca="false">IF($C1030="","",IFERROR(IF(INDEX(links!$C$2:$C$501,MATCH($C1030,links!$D$2:$D$501,0))="","",INDEX(links!$C$2:$C$501,MATCH($C1030,links!$D$2:$D$501,0))),""))</f>
        <v/>
      </c>
      <c r="J1030" s="30" t="str">
        <f aca="false">IF($C1030="","",IF($G1030="","slug not in links; ","")&amp;IF($D1030="","reading type missing; ","")&amp;IF(COUNTIFS(scans!$C$2:$C$1601,$C1030,scans!$D$2:$D$1601,$D1030)&gt;1,"two readings of this type: keep one; ",""))</f>
        <v/>
      </c>
    </row>
    <row r="1031" customFormat="false" ht="15" hidden="false" customHeight="false" outlineLevel="0" collapsed="false">
      <c r="A1031" s="11"/>
      <c r="B1031" s="38"/>
      <c r="D1031" s="10"/>
      <c r="G1031" s="30" t="str">
        <f aca="false">IF($C1031="","",IFERROR(IF(INDEX(links!$A$2:$A$501,MATCH($C1031,links!$D$2:$D$501,0))="","",INDEX(links!$A$2:$A$501,MATCH($C1031,links!$D$2:$D$501,0))),""))</f>
        <v/>
      </c>
      <c r="H1031" s="30" t="str">
        <f aca="false">IF($C1031="","",IFERROR(IF(INDEX(links!$B$2:$B$501,MATCH($C1031,links!$D$2:$D$501,0))="","",INDEX(links!$B$2:$B$501,MATCH($C1031,links!$D$2:$D$501,0))),""))</f>
        <v/>
      </c>
      <c r="I1031" s="30" t="str">
        <f aca="false">IF($C1031="","",IFERROR(IF(INDEX(links!$C$2:$C$501,MATCH($C1031,links!$D$2:$D$501,0))="","",INDEX(links!$C$2:$C$501,MATCH($C1031,links!$D$2:$D$501,0))),""))</f>
        <v/>
      </c>
      <c r="J1031" s="30" t="str">
        <f aca="false">IF($C1031="","",IF($G1031="","slug not in links; ","")&amp;IF($D1031="","reading type missing; ","")&amp;IF(COUNTIFS(scans!$C$2:$C$1601,$C1031,scans!$D$2:$D$1601,$D1031)&gt;1,"two readings of this type: keep one; ",""))</f>
        <v/>
      </c>
    </row>
    <row r="1032" customFormat="false" ht="15" hidden="false" customHeight="false" outlineLevel="0" collapsed="false">
      <c r="A1032" s="11"/>
      <c r="B1032" s="38"/>
      <c r="D1032" s="10"/>
      <c r="G1032" s="30" t="str">
        <f aca="false">IF($C1032="","",IFERROR(IF(INDEX(links!$A$2:$A$501,MATCH($C1032,links!$D$2:$D$501,0))="","",INDEX(links!$A$2:$A$501,MATCH($C1032,links!$D$2:$D$501,0))),""))</f>
        <v/>
      </c>
      <c r="H1032" s="30" t="str">
        <f aca="false">IF($C1032="","",IFERROR(IF(INDEX(links!$B$2:$B$501,MATCH($C1032,links!$D$2:$D$501,0))="","",INDEX(links!$B$2:$B$501,MATCH($C1032,links!$D$2:$D$501,0))),""))</f>
        <v/>
      </c>
      <c r="I1032" s="30" t="str">
        <f aca="false">IF($C1032="","",IFERROR(IF(INDEX(links!$C$2:$C$501,MATCH($C1032,links!$D$2:$D$501,0))="","",INDEX(links!$C$2:$C$501,MATCH($C1032,links!$D$2:$D$501,0))),""))</f>
        <v/>
      </c>
      <c r="J1032" s="30" t="str">
        <f aca="false">IF($C1032="","",IF($G1032="","slug not in links; ","")&amp;IF($D1032="","reading type missing; ","")&amp;IF(COUNTIFS(scans!$C$2:$C$1601,$C1032,scans!$D$2:$D$1601,$D1032)&gt;1,"two readings of this type: keep one; ",""))</f>
        <v/>
      </c>
    </row>
    <row r="1033" customFormat="false" ht="15" hidden="false" customHeight="false" outlineLevel="0" collapsed="false">
      <c r="A1033" s="11"/>
      <c r="B1033" s="38"/>
      <c r="D1033" s="10"/>
      <c r="G1033" s="30" t="str">
        <f aca="false">IF($C1033="","",IFERROR(IF(INDEX(links!$A$2:$A$501,MATCH($C1033,links!$D$2:$D$501,0))="","",INDEX(links!$A$2:$A$501,MATCH($C1033,links!$D$2:$D$501,0))),""))</f>
        <v/>
      </c>
      <c r="H1033" s="30" t="str">
        <f aca="false">IF($C1033="","",IFERROR(IF(INDEX(links!$B$2:$B$501,MATCH($C1033,links!$D$2:$D$501,0))="","",INDEX(links!$B$2:$B$501,MATCH($C1033,links!$D$2:$D$501,0))),""))</f>
        <v/>
      </c>
      <c r="I1033" s="30" t="str">
        <f aca="false">IF($C1033="","",IFERROR(IF(INDEX(links!$C$2:$C$501,MATCH($C1033,links!$D$2:$D$501,0))="","",INDEX(links!$C$2:$C$501,MATCH($C1033,links!$D$2:$D$501,0))),""))</f>
        <v/>
      </c>
      <c r="J1033" s="30" t="str">
        <f aca="false">IF($C1033="","",IF($G1033="","slug not in links; ","")&amp;IF($D1033="","reading type missing; ","")&amp;IF(COUNTIFS(scans!$C$2:$C$1601,$C1033,scans!$D$2:$D$1601,$D1033)&gt;1,"two readings of this type: keep one; ",""))</f>
        <v/>
      </c>
    </row>
    <row r="1034" customFormat="false" ht="15" hidden="false" customHeight="false" outlineLevel="0" collapsed="false">
      <c r="A1034" s="11"/>
      <c r="B1034" s="38"/>
      <c r="D1034" s="10"/>
      <c r="G1034" s="30" t="str">
        <f aca="false">IF($C1034="","",IFERROR(IF(INDEX(links!$A$2:$A$501,MATCH($C1034,links!$D$2:$D$501,0))="","",INDEX(links!$A$2:$A$501,MATCH($C1034,links!$D$2:$D$501,0))),""))</f>
        <v/>
      </c>
      <c r="H1034" s="30" t="str">
        <f aca="false">IF($C1034="","",IFERROR(IF(INDEX(links!$B$2:$B$501,MATCH($C1034,links!$D$2:$D$501,0))="","",INDEX(links!$B$2:$B$501,MATCH($C1034,links!$D$2:$D$501,0))),""))</f>
        <v/>
      </c>
      <c r="I1034" s="30" t="str">
        <f aca="false">IF($C1034="","",IFERROR(IF(INDEX(links!$C$2:$C$501,MATCH($C1034,links!$D$2:$D$501,0))="","",INDEX(links!$C$2:$C$501,MATCH($C1034,links!$D$2:$D$501,0))),""))</f>
        <v/>
      </c>
      <c r="J1034" s="30" t="str">
        <f aca="false">IF($C1034="","",IF($G1034="","slug not in links; ","")&amp;IF($D1034="","reading type missing; ","")&amp;IF(COUNTIFS(scans!$C$2:$C$1601,$C1034,scans!$D$2:$D$1601,$D1034)&gt;1,"two readings of this type: keep one; ",""))</f>
        <v/>
      </c>
    </row>
    <row r="1035" customFormat="false" ht="15" hidden="false" customHeight="false" outlineLevel="0" collapsed="false">
      <c r="A1035" s="11"/>
      <c r="B1035" s="38"/>
      <c r="D1035" s="10"/>
      <c r="G1035" s="30" t="str">
        <f aca="false">IF($C1035="","",IFERROR(IF(INDEX(links!$A$2:$A$501,MATCH($C1035,links!$D$2:$D$501,0))="","",INDEX(links!$A$2:$A$501,MATCH($C1035,links!$D$2:$D$501,0))),""))</f>
        <v/>
      </c>
      <c r="H1035" s="30" t="str">
        <f aca="false">IF($C1035="","",IFERROR(IF(INDEX(links!$B$2:$B$501,MATCH($C1035,links!$D$2:$D$501,0))="","",INDEX(links!$B$2:$B$501,MATCH($C1035,links!$D$2:$D$501,0))),""))</f>
        <v/>
      </c>
      <c r="I1035" s="30" t="str">
        <f aca="false">IF($C1035="","",IFERROR(IF(INDEX(links!$C$2:$C$501,MATCH($C1035,links!$D$2:$D$501,0))="","",INDEX(links!$C$2:$C$501,MATCH($C1035,links!$D$2:$D$501,0))),""))</f>
        <v/>
      </c>
      <c r="J1035" s="30" t="str">
        <f aca="false">IF($C1035="","",IF($G1035="","slug not in links; ","")&amp;IF($D1035="","reading type missing; ","")&amp;IF(COUNTIFS(scans!$C$2:$C$1601,$C1035,scans!$D$2:$D$1601,$D1035)&gt;1,"two readings of this type: keep one; ",""))</f>
        <v/>
      </c>
    </row>
    <row r="1036" customFormat="false" ht="15" hidden="false" customHeight="false" outlineLevel="0" collapsed="false">
      <c r="A1036" s="11"/>
      <c r="B1036" s="38"/>
      <c r="D1036" s="10"/>
      <c r="G1036" s="30" t="str">
        <f aca="false">IF($C1036="","",IFERROR(IF(INDEX(links!$A$2:$A$501,MATCH($C1036,links!$D$2:$D$501,0))="","",INDEX(links!$A$2:$A$501,MATCH($C1036,links!$D$2:$D$501,0))),""))</f>
        <v/>
      </c>
      <c r="H1036" s="30" t="str">
        <f aca="false">IF($C1036="","",IFERROR(IF(INDEX(links!$B$2:$B$501,MATCH($C1036,links!$D$2:$D$501,0))="","",INDEX(links!$B$2:$B$501,MATCH($C1036,links!$D$2:$D$501,0))),""))</f>
        <v/>
      </c>
      <c r="I1036" s="30" t="str">
        <f aca="false">IF($C1036="","",IFERROR(IF(INDEX(links!$C$2:$C$501,MATCH($C1036,links!$D$2:$D$501,0))="","",INDEX(links!$C$2:$C$501,MATCH($C1036,links!$D$2:$D$501,0))),""))</f>
        <v/>
      </c>
      <c r="J1036" s="30" t="str">
        <f aca="false">IF($C1036="","",IF($G1036="","slug not in links; ","")&amp;IF($D1036="","reading type missing; ","")&amp;IF(COUNTIFS(scans!$C$2:$C$1601,$C1036,scans!$D$2:$D$1601,$D1036)&gt;1,"two readings of this type: keep one; ",""))</f>
        <v/>
      </c>
    </row>
    <row r="1037" customFormat="false" ht="15" hidden="false" customHeight="false" outlineLevel="0" collapsed="false">
      <c r="A1037" s="11"/>
      <c r="B1037" s="38"/>
      <c r="D1037" s="10"/>
      <c r="G1037" s="30" t="str">
        <f aca="false">IF($C1037="","",IFERROR(IF(INDEX(links!$A$2:$A$501,MATCH($C1037,links!$D$2:$D$501,0))="","",INDEX(links!$A$2:$A$501,MATCH($C1037,links!$D$2:$D$501,0))),""))</f>
        <v/>
      </c>
      <c r="H1037" s="30" t="str">
        <f aca="false">IF($C1037="","",IFERROR(IF(INDEX(links!$B$2:$B$501,MATCH($C1037,links!$D$2:$D$501,0))="","",INDEX(links!$B$2:$B$501,MATCH($C1037,links!$D$2:$D$501,0))),""))</f>
        <v/>
      </c>
      <c r="I1037" s="30" t="str">
        <f aca="false">IF($C1037="","",IFERROR(IF(INDEX(links!$C$2:$C$501,MATCH($C1037,links!$D$2:$D$501,0))="","",INDEX(links!$C$2:$C$501,MATCH($C1037,links!$D$2:$D$501,0))),""))</f>
        <v/>
      </c>
      <c r="J1037" s="30" t="str">
        <f aca="false">IF($C1037="","",IF($G1037="","slug not in links; ","")&amp;IF($D1037="","reading type missing; ","")&amp;IF(COUNTIFS(scans!$C$2:$C$1601,$C1037,scans!$D$2:$D$1601,$D1037)&gt;1,"two readings of this type: keep one; ",""))</f>
        <v/>
      </c>
    </row>
    <row r="1038" customFormat="false" ht="15" hidden="false" customHeight="false" outlineLevel="0" collapsed="false">
      <c r="A1038" s="11"/>
      <c r="B1038" s="38"/>
      <c r="D1038" s="10"/>
      <c r="G1038" s="30" t="str">
        <f aca="false">IF($C1038="","",IFERROR(IF(INDEX(links!$A$2:$A$501,MATCH($C1038,links!$D$2:$D$501,0))="","",INDEX(links!$A$2:$A$501,MATCH($C1038,links!$D$2:$D$501,0))),""))</f>
        <v/>
      </c>
      <c r="H1038" s="30" t="str">
        <f aca="false">IF($C1038="","",IFERROR(IF(INDEX(links!$B$2:$B$501,MATCH($C1038,links!$D$2:$D$501,0))="","",INDEX(links!$B$2:$B$501,MATCH($C1038,links!$D$2:$D$501,0))),""))</f>
        <v/>
      </c>
      <c r="I1038" s="30" t="str">
        <f aca="false">IF($C1038="","",IFERROR(IF(INDEX(links!$C$2:$C$501,MATCH($C1038,links!$D$2:$D$501,0))="","",INDEX(links!$C$2:$C$501,MATCH($C1038,links!$D$2:$D$501,0))),""))</f>
        <v/>
      </c>
      <c r="J1038" s="30" t="str">
        <f aca="false">IF($C1038="","",IF($G1038="","slug not in links; ","")&amp;IF($D1038="","reading type missing; ","")&amp;IF(COUNTIFS(scans!$C$2:$C$1601,$C1038,scans!$D$2:$D$1601,$D1038)&gt;1,"two readings of this type: keep one; ",""))</f>
        <v/>
      </c>
    </row>
    <row r="1039" customFormat="false" ht="15" hidden="false" customHeight="false" outlineLevel="0" collapsed="false">
      <c r="A1039" s="11"/>
      <c r="B1039" s="38"/>
      <c r="D1039" s="10"/>
      <c r="G1039" s="30" t="str">
        <f aca="false">IF($C1039="","",IFERROR(IF(INDEX(links!$A$2:$A$501,MATCH($C1039,links!$D$2:$D$501,0))="","",INDEX(links!$A$2:$A$501,MATCH($C1039,links!$D$2:$D$501,0))),""))</f>
        <v/>
      </c>
      <c r="H1039" s="30" t="str">
        <f aca="false">IF($C1039="","",IFERROR(IF(INDEX(links!$B$2:$B$501,MATCH($C1039,links!$D$2:$D$501,0))="","",INDEX(links!$B$2:$B$501,MATCH($C1039,links!$D$2:$D$501,0))),""))</f>
        <v/>
      </c>
      <c r="I1039" s="30" t="str">
        <f aca="false">IF($C1039="","",IFERROR(IF(INDEX(links!$C$2:$C$501,MATCH($C1039,links!$D$2:$D$501,0))="","",INDEX(links!$C$2:$C$501,MATCH($C1039,links!$D$2:$D$501,0))),""))</f>
        <v/>
      </c>
      <c r="J1039" s="30" t="str">
        <f aca="false">IF($C1039="","",IF($G1039="","slug not in links; ","")&amp;IF($D1039="","reading type missing; ","")&amp;IF(COUNTIFS(scans!$C$2:$C$1601,$C1039,scans!$D$2:$D$1601,$D1039)&gt;1,"two readings of this type: keep one; ",""))</f>
        <v/>
      </c>
    </row>
    <row r="1040" customFormat="false" ht="15" hidden="false" customHeight="false" outlineLevel="0" collapsed="false">
      <c r="A1040" s="11"/>
      <c r="B1040" s="38"/>
      <c r="D1040" s="10"/>
      <c r="G1040" s="30" t="str">
        <f aca="false">IF($C1040="","",IFERROR(IF(INDEX(links!$A$2:$A$501,MATCH($C1040,links!$D$2:$D$501,0))="","",INDEX(links!$A$2:$A$501,MATCH($C1040,links!$D$2:$D$501,0))),""))</f>
        <v/>
      </c>
      <c r="H1040" s="30" t="str">
        <f aca="false">IF($C1040="","",IFERROR(IF(INDEX(links!$B$2:$B$501,MATCH($C1040,links!$D$2:$D$501,0))="","",INDEX(links!$B$2:$B$501,MATCH($C1040,links!$D$2:$D$501,0))),""))</f>
        <v/>
      </c>
      <c r="I1040" s="30" t="str">
        <f aca="false">IF($C1040="","",IFERROR(IF(INDEX(links!$C$2:$C$501,MATCH($C1040,links!$D$2:$D$501,0))="","",INDEX(links!$C$2:$C$501,MATCH($C1040,links!$D$2:$D$501,0))),""))</f>
        <v/>
      </c>
      <c r="J1040" s="30" t="str">
        <f aca="false">IF($C1040="","",IF($G1040="","slug not in links; ","")&amp;IF($D1040="","reading type missing; ","")&amp;IF(COUNTIFS(scans!$C$2:$C$1601,$C1040,scans!$D$2:$D$1601,$D1040)&gt;1,"two readings of this type: keep one; ",""))</f>
        <v/>
      </c>
    </row>
    <row r="1041" customFormat="false" ht="15" hidden="false" customHeight="false" outlineLevel="0" collapsed="false">
      <c r="A1041" s="11"/>
      <c r="B1041" s="38"/>
      <c r="D1041" s="10"/>
      <c r="G1041" s="30" t="str">
        <f aca="false">IF($C1041="","",IFERROR(IF(INDEX(links!$A$2:$A$501,MATCH($C1041,links!$D$2:$D$501,0))="","",INDEX(links!$A$2:$A$501,MATCH($C1041,links!$D$2:$D$501,0))),""))</f>
        <v/>
      </c>
      <c r="H1041" s="30" t="str">
        <f aca="false">IF($C1041="","",IFERROR(IF(INDEX(links!$B$2:$B$501,MATCH($C1041,links!$D$2:$D$501,0))="","",INDEX(links!$B$2:$B$501,MATCH($C1041,links!$D$2:$D$501,0))),""))</f>
        <v/>
      </c>
      <c r="I1041" s="30" t="str">
        <f aca="false">IF($C1041="","",IFERROR(IF(INDEX(links!$C$2:$C$501,MATCH($C1041,links!$D$2:$D$501,0))="","",INDEX(links!$C$2:$C$501,MATCH($C1041,links!$D$2:$D$501,0))),""))</f>
        <v/>
      </c>
      <c r="J1041" s="30" t="str">
        <f aca="false">IF($C1041="","",IF($G1041="","slug not in links; ","")&amp;IF($D1041="","reading type missing; ","")&amp;IF(COUNTIFS(scans!$C$2:$C$1601,$C1041,scans!$D$2:$D$1601,$D1041)&gt;1,"two readings of this type: keep one; ",""))</f>
        <v/>
      </c>
    </row>
    <row r="1042" customFormat="false" ht="15" hidden="false" customHeight="false" outlineLevel="0" collapsed="false">
      <c r="A1042" s="11"/>
      <c r="B1042" s="38"/>
      <c r="D1042" s="10"/>
      <c r="G1042" s="30" t="str">
        <f aca="false">IF($C1042="","",IFERROR(IF(INDEX(links!$A$2:$A$501,MATCH($C1042,links!$D$2:$D$501,0))="","",INDEX(links!$A$2:$A$501,MATCH($C1042,links!$D$2:$D$501,0))),""))</f>
        <v/>
      </c>
      <c r="H1042" s="30" t="str">
        <f aca="false">IF($C1042="","",IFERROR(IF(INDEX(links!$B$2:$B$501,MATCH($C1042,links!$D$2:$D$501,0))="","",INDEX(links!$B$2:$B$501,MATCH($C1042,links!$D$2:$D$501,0))),""))</f>
        <v/>
      </c>
      <c r="I1042" s="30" t="str">
        <f aca="false">IF($C1042="","",IFERROR(IF(INDEX(links!$C$2:$C$501,MATCH($C1042,links!$D$2:$D$501,0))="","",INDEX(links!$C$2:$C$501,MATCH($C1042,links!$D$2:$D$501,0))),""))</f>
        <v/>
      </c>
      <c r="J1042" s="30" t="str">
        <f aca="false">IF($C1042="","",IF($G1042="","slug not in links; ","")&amp;IF($D1042="","reading type missing; ","")&amp;IF(COUNTIFS(scans!$C$2:$C$1601,$C1042,scans!$D$2:$D$1601,$D1042)&gt;1,"two readings of this type: keep one; ",""))</f>
        <v/>
      </c>
    </row>
    <row r="1043" customFormat="false" ht="15" hidden="false" customHeight="false" outlineLevel="0" collapsed="false">
      <c r="A1043" s="11"/>
      <c r="B1043" s="38"/>
      <c r="D1043" s="10"/>
      <c r="G1043" s="30" t="str">
        <f aca="false">IF($C1043="","",IFERROR(IF(INDEX(links!$A$2:$A$501,MATCH($C1043,links!$D$2:$D$501,0))="","",INDEX(links!$A$2:$A$501,MATCH($C1043,links!$D$2:$D$501,0))),""))</f>
        <v/>
      </c>
      <c r="H1043" s="30" t="str">
        <f aca="false">IF($C1043="","",IFERROR(IF(INDEX(links!$B$2:$B$501,MATCH($C1043,links!$D$2:$D$501,0))="","",INDEX(links!$B$2:$B$501,MATCH($C1043,links!$D$2:$D$501,0))),""))</f>
        <v/>
      </c>
      <c r="I1043" s="30" t="str">
        <f aca="false">IF($C1043="","",IFERROR(IF(INDEX(links!$C$2:$C$501,MATCH($C1043,links!$D$2:$D$501,0))="","",INDEX(links!$C$2:$C$501,MATCH($C1043,links!$D$2:$D$501,0))),""))</f>
        <v/>
      </c>
      <c r="J1043" s="30" t="str">
        <f aca="false">IF($C1043="","",IF($G1043="","slug not in links; ","")&amp;IF($D1043="","reading type missing; ","")&amp;IF(COUNTIFS(scans!$C$2:$C$1601,$C1043,scans!$D$2:$D$1601,$D1043)&gt;1,"two readings of this type: keep one; ",""))</f>
        <v/>
      </c>
    </row>
    <row r="1044" customFormat="false" ht="15" hidden="false" customHeight="false" outlineLevel="0" collapsed="false">
      <c r="A1044" s="11"/>
      <c r="B1044" s="38"/>
      <c r="D1044" s="10"/>
      <c r="G1044" s="30" t="str">
        <f aca="false">IF($C1044="","",IFERROR(IF(INDEX(links!$A$2:$A$501,MATCH($C1044,links!$D$2:$D$501,0))="","",INDEX(links!$A$2:$A$501,MATCH($C1044,links!$D$2:$D$501,0))),""))</f>
        <v/>
      </c>
      <c r="H1044" s="30" t="str">
        <f aca="false">IF($C1044="","",IFERROR(IF(INDEX(links!$B$2:$B$501,MATCH($C1044,links!$D$2:$D$501,0))="","",INDEX(links!$B$2:$B$501,MATCH($C1044,links!$D$2:$D$501,0))),""))</f>
        <v/>
      </c>
      <c r="I1044" s="30" t="str">
        <f aca="false">IF($C1044="","",IFERROR(IF(INDEX(links!$C$2:$C$501,MATCH($C1044,links!$D$2:$D$501,0))="","",INDEX(links!$C$2:$C$501,MATCH($C1044,links!$D$2:$D$501,0))),""))</f>
        <v/>
      </c>
      <c r="J1044" s="30" t="str">
        <f aca="false">IF($C1044="","",IF($G1044="","slug not in links; ","")&amp;IF($D1044="","reading type missing; ","")&amp;IF(COUNTIFS(scans!$C$2:$C$1601,$C1044,scans!$D$2:$D$1601,$D1044)&gt;1,"two readings of this type: keep one; ",""))</f>
        <v/>
      </c>
    </row>
    <row r="1045" customFormat="false" ht="15" hidden="false" customHeight="false" outlineLevel="0" collapsed="false">
      <c r="A1045" s="11"/>
      <c r="B1045" s="38"/>
      <c r="D1045" s="10"/>
      <c r="G1045" s="30" t="str">
        <f aca="false">IF($C1045="","",IFERROR(IF(INDEX(links!$A$2:$A$501,MATCH($C1045,links!$D$2:$D$501,0))="","",INDEX(links!$A$2:$A$501,MATCH($C1045,links!$D$2:$D$501,0))),""))</f>
        <v/>
      </c>
      <c r="H1045" s="30" t="str">
        <f aca="false">IF($C1045="","",IFERROR(IF(INDEX(links!$B$2:$B$501,MATCH($C1045,links!$D$2:$D$501,0))="","",INDEX(links!$B$2:$B$501,MATCH($C1045,links!$D$2:$D$501,0))),""))</f>
        <v/>
      </c>
      <c r="I1045" s="30" t="str">
        <f aca="false">IF($C1045="","",IFERROR(IF(INDEX(links!$C$2:$C$501,MATCH($C1045,links!$D$2:$D$501,0))="","",INDEX(links!$C$2:$C$501,MATCH($C1045,links!$D$2:$D$501,0))),""))</f>
        <v/>
      </c>
      <c r="J1045" s="30" t="str">
        <f aca="false">IF($C1045="","",IF($G1045="","slug not in links; ","")&amp;IF($D1045="","reading type missing; ","")&amp;IF(COUNTIFS(scans!$C$2:$C$1601,$C1045,scans!$D$2:$D$1601,$D1045)&gt;1,"two readings of this type: keep one; ",""))</f>
        <v/>
      </c>
    </row>
    <row r="1046" customFormat="false" ht="15" hidden="false" customHeight="false" outlineLevel="0" collapsed="false">
      <c r="A1046" s="11"/>
      <c r="B1046" s="38"/>
      <c r="D1046" s="10"/>
      <c r="G1046" s="30" t="str">
        <f aca="false">IF($C1046="","",IFERROR(IF(INDEX(links!$A$2:$A$501,MATCH($C1046,links!$D$2:$D$501,0))="","",INDEX(links!$A$2:$A$501,MATCH($C1046,links!$D$2:$D$501,0))),""))</f>
        <v/>
      </c>
      <c r="H1046" s="30" t="str">
        <f aca="false">IF($C1046="","",IFERROR(IF(INDEX(links!$B$2:$B$501,MATCH($C1046,links!$D$2:$D$501,0))="","",INDEX(links!$B$2:$B$501,MATCH($C1046,links!$D$2:$D$501,0))),""))</f>
        <v/>
      </c>
      <c r="I1046" s="30" t="str">
        <f aca="false">IF($C1046="","",IFERROR(IF(INDEX(links!$C$2:$C$501,MATCH($C1046,links!$D$2:$D$501,0))="","",INDEX(links!$C$2:$C$501,MATCH($C1046,links!$D$2:$D$501,0))),""))</f>
        <v/>
      </c>
      <c r="J1046" s="30" t="str">
        <f aca="false">IF($C1046="","",IF($G1046="","slug not in links; ","")&amp;IF($D1046="","reading type missing; ","")&amp;IF(COUNTIFS(scans!$C$2:$C$1601,$C1046,scans!$D$2:$D$1601,$D1046)&gt;1,"two readings of this type: keep one; ",""))</f>
        <v/>
      </c>
    </row>
    <row r="1047" customFormat="false" ht="15" hidden="false" customHeight="false" outlineLevel="0" collapsed="false">
      <c r="A1047" s="11"/>
      <c r="B1047" s="38"/>
      <c r="D1047" s="10"/>
      <c r="G1047" s="30" t="str">
        <f aca="false">IF($C1047="","",IFERROR(IF(INDEX(links!$A$2:$A$501,MATCH($C1047,links!$D$2:$D$501,0))="","",INDEX(links!$A$2:$A$501,MATCH($C1047,links!$D$2:$D$501,0))),""))</f>
        <v/>
      </c>
      <c r="H1047" s="30" t="str">
        <f aca="false">IF($C1047="","",IFERROR(IF(INDEX(links!$B$2:$B$501,MATCH($C1047,links!$D$2:$D$501,0))="","",INDEX(links!$B$2:$B$501,MATCH($C1047,links!$D$2:$D$501,0))),""))</f>
        <v/>
      </c>
      <c r="I1047" s="30" t="str">
        <f aca="false">IF($C1047="","",IFERROR(IF(INDEX(links!$C$2:$C$501,MATCH($C1047,links!$D$2:$D$501,0))="","",INDEX(links!$C$2:$C$501,MATCH($C1047,links!$D$2:$D$501,0))),""))</f>
        <v/>
      </c>
      <c r="J1047" s="30" t="str">
        <f aca="false">IF($C1047="","",IF($G1047="","slug not in links; ","")&amp;IF($D1047="","reading type missing; ","")&amp;IF(COUNTIFS(scans!$C$2:$C$1601,$C1047,scans!$D$2:$D$1601,$D1047)&gt;1,"two readings of this type: keep one; ",""))</f>
        <v/>
      </c>
    </row>
    <row r="1048" customFormat="false" ht="15" hidden="false" customHeight="false" outlineLevel="0" collapsed="false">
      <c r="A1048" s="11"/>
      <c r="B1048" s="38"/>
      <c r="D1048" s="10"/>
      <c r="G1048" s="30" t="str">
        <f aca="false">IF($C1048="","",IFERROR(IF(INDEX(links!$A$2:$A$501,MATCH($C1048,links!$D$2:$D$501,0))="","",INDEX(links!$A$2:$A$501,MATCH($C1048,links!$D$2:$D$501,0))),""))</f>
        <v/>
      </c>
      <c r="H1048" s="30" t="str">
        <f aca="false">IF($C1048="","",IFERROR(IF(INDEX(links!$B$2:$B$501,MATCH($C1048,links!$D$2:$D$501,0))="","",INDEX(links!$B$2:$B$501,MATCH($C1048,links!$D$2:$D$501,0))),""))</f>
        <v/>
      </c>
      <c r="I1048" s="30" t="str">
        <f aca="false">IF($C1048="","",IFERROR(IF(INDEX(links!$C$2:$C$501,MATCH($C1048,links!$D$2:$D$501,0))="","",INDEX(links!$C$2:$C$501,MATCH($C1048,links!$D$2:$D$501,0))),""))</f>
        <v/>
      </c>
      <c r="J1048" s="30" t="str">
        <f aca="false">IF($C1048="","",IF($G1048="","slug not in links; ","")&amp;IF($D1048="","reading type missing; ","")&amp;IF(COUNTIFS(scans!$C$2:$C$1601,$C1048,scans!$D$2:$D$1601,$D1048)&gt;1,"two readings of this type: keep one; ",""))</f>
        <v/>
      </c>
    </row>
    <row r="1049" customFormat="false" ht="15" hidden="false" customHeight="false" outlineLevel="0" collapsed="false">
      <c r="A1049" s="11"/>
      <c r="B1049" s="38"/>
      <c r="D1049" s="10"/>
      <c r="G1049" s="30" t="str">
        <f aca="false">IF($C1049="","",IFERROR(IF(INDEX(links!$A$2:$A$501,MATCH($C1049,links!$D$2:$D$501,0))="","",INDEX(links!$A$2:$A$501,MATCH($C1049,links!$D$2:$D$501,0))),""))</f>
        <v/>
      </c>
      <c r="H1049" s="30" t="str">
        <f aca="false">IF($C1049="","",IFERROR(IF(INDEX(links!$B$2:$B$501,MATCH($C1049,links!$D$2:$D$501,0))="","",INDEX(links!$B$2:$B$501,MATCH($C1049,links!$D$2:$D$501,0))),""))</f>
        <v/>
      </c>
      <c r="I1049" s="30" t="str">
        <f aca="false">IF($C1049="","",IFERROR(IF(INDEX(links!$C$2:$C$501,MATCH($C1049,links!$D$2:$D$501,0))="","",INDEX(links!$C$2:$C$501,MATCH($C1049,links!$D$2:$D$501,0))),""))</f>
        <v/>
      </c>
      <c r="J1049" s="30" t="str">
        <f aca="false">IF($C1049="","",IF($G1049="","slug not in links; ","")&amp;IF($D1049="","reading type missing; ","")&amp;IF(COUNTIFS(scans!$C$2:$C$1601,$C1049,scans!$D$2:$D$1601,$D1049)&gt;1,"two readings of this type: keep one; ",""))</f>
        <v/>
      </c>
    </row>
    <row r="1050" customFormat="false" ht="15" hidden="false" customHeight="false" outlineLevel="0" collapsed="false">
      <c r="A1050" s="11"/>
      <c r="B1050" s="38"/>
      <c r="D1050" s="10"/>
      <c r="G1050" s="30" t="str">
        <f aca="false">IF($C1050="","",IFERROR(IF(INDEX(links!$A$2:$A$501,MATCH($C1050,links!$D$2:$D$501,0))="","",INDEX(links!$A$2:$A$501,MATCH($C1050,links!$D$2:$D$501,0))),""))</f>
        <v/>
      </c>
      <c r="H1050" s="30" t="str">
        <f aca="false">IF($C1050="","",IFERROR(IF(INDEX(links!$B$2:$B$501,MATCH($C1050,links!$D$2:$D$501,0))="","",INDEX(links!$B$2:$B$501,MATCH($C1050,links!$D$2:$D$501,0))),""))</f>
        <v/>
      </c>
      <c r="I1050" s="30" t="str">
        <f aca="false">IF($C1050="","",IFERROR(IF(INDEX(links!$C$2:$C$501,MATCH($C1050,links!$D$2:$D$501,0))="","",INDEX(links!$C$2:$C$501,MATCH($C1050,links!$D$2:$D$501,0))),""))</f>
        <v/>
      </c>
      <c r="J1050" s="30" t="str">
        <f aca="false">IF($C1050="","",IF($G1050="","slug not in links; ","")&amp;IF($D1050="","reading type missing; ","")&amp;IF(COUNTIFS(scans!$C$2:$C$1601,$C1050,scans!$D$2:$D$1601,$D1050)&gt;1,"two readings of this type: keep one; ",""))</f>
        <v/>
      </c>
    </row>
    <row r="1051" customFormat="false" ht="15" hidden="false" customHeight="false" outlineLevel="0" collapsed="false">
      <c r="A1051" s="11"/>
      <c r="B1051" s="38"/>
      <c r="D1051" s="10"/>
      <c r="G1051" s="30" t="str">
        <f aca="false">IF($C1051="","",IFERROR(IF(INDEX(links!$A$2:$A$501,MATCH($C1051,links!$D$2:$D$501,0))="","",INDEX(links!$A$2:$A$501,MATCH($C1051,links!$D$2:$D$501,0))),""))</f>
        <v/>
      </c>
      <c r="H1051" s="30" t="str">
        <f aca="false">IF($C1051="","",IFERROR(IF(INDEX(links!$B$2:$B$501,MATCH($C1051,links!$D$2:$D$501,0))="","",INDEX(links!$B$2:$B$501,MATCH($C1051,links!$D$2:$D$501,0))),""))</f>
        <v/>
      </c>
      <c r="I1051" s="30" t="str">
        <f aca="false">IF($C1051="","",IFERROR(IF(INDEX(links!$C$2:$C$501,MATCH($C1051,links!$D$2:$D$501,0))="","",INDEX(links!$C$2:$C$501,MATCH($C1051,links!$D$2:$D$501,0))),""))</f>
        <v/>
      </c>
      <c r="J1051" s="30" t="str">
        <f aca="false">IF($C1051="","",IF($G1051="","slug not in links; ","")&amp;IF($D1051="","reading type missing; ","")&amp;IF(COUNTIFS(scans!$C$2:$C$1601,$C1051,scans!$D$2:$D$1601,$D1051)&gt;1,"two readings of this type: keep one; ",""))</f>
        <v/>
      </c>
    </row>
    <row r="1052" customFormat="false" ht="15" hidden="false" customHeight="false" outlineLevel="0" collapsed="false">
      <c r="A1052" s="11"/>
      <c r="B1052" s="38"/>
      <c r="D1052" s="10"/>
      <c r="G1052" s="30" t="str">
        <f aca="false">IF($C1052="","",IFERROR(IF(INDEX(links!$A$2:$A$501,MATCH($C1052,links!$D$2:$D$501,0))="","",INDEX(links!$A$2:$A$501,MATCH($C1052,links!$D$2:$D$501,0))),""))</f>
        <v/>
      </c>
      <c r="H1052" s="30" t="str">
        <f aca="false">IF($C1052="","",IFERROR(IF(INDEX(links!$B$2:$B$501,MATCH($C1052,links!$D$2:$D$501,0))="","",INDEX(links!$B$2:$B$501,MATCH($C1052,links!$D$2:$D$501,0))),""))</f>
        <v/>
      </c>
      <c r="I1052" s="30" t="str">
        <f aca="false">IF($C1052="","",IFERROR(IF(INDEX(links!$C$2:$C$501,MATCH($C1052,links!$D$2:$D$501,0))="","",INDEX(links!$C$2:$C$501,MATCH($C1052,links!$D$2:$D$501,0))),""))</f>
        <v/>
      </c>
      <c r="J1052" s="30" t="str">
        <f aca="false">IF($C1052="","",IF($G1052="","slug not in links; ","")&amp;IF($D1052="","reading type missing; ","")&amp;IF(COUNTIFS(scans!$C$2:$C$1601,$C1052,scans!$D$2:$D$1601,$D1052)&gt;1,"two readings of this type: keep one; ",""))</f>
        <v/>
      </c>
    </row>
    <row r="1053" customFormat="false" ht="15" hidden="false" customHeight="false" outlineLevel="0" collapsed="false">
      <c r="A1053" s="11"/>
      <c r="B1053" s="38"/>
      <c r="D1053" s="10"/>
      <c r="G1053" s="30" t="str">
        <f aca="false">IF($C1053="","",IFERROR(IF(INDEX(links!$A$2:$A$501,MATCH($C1053,links!$D$2:$D$501,0))="","",INDEX(links!$A$2:$A$501,MATCH($C1053,links!$D$2:$D$501,0))),""))</f>
        <v/>
      </c>
      <c r="H1053" s="30" t="str">
        <f aca="false">IF($C1053="","",IFERROR(IF(INDEX(links!$B$2:$B$501,MATCH($C1053,links!$D$2:$D$501,0))="","",INDEX(links!$B$2:$B$501,MATCH($C1053,links!$D$2:$D$501,0))),""))</f>
        <v/>
      </c>
      <c r="I1053" s="30" t="str">
        <f aca="false">IF($C1053="","",IFERROR(IF(INDEX(links!$C$2:$C$501,MATCH($C1053,links!$D$2:$D$501,0))="","",INDEX(links!$C$2:$C$501,MATCH($C1053,links!$D$2:$D$501,0))),""))</f>
        <v/>
      </c>
      <c r="J1053" s="30" t="str">
        <f aca="false">IF($C1053="","",IF($G1053="","slug not in links; ","")&amp;IF($D1053="","reading type missing; ","")&amp;IF(COUNTIFS(scans!$C$2:$C$1601,$C1053,scans!$D$2:$D$1601,$D1053)&gt;1,"two readings of this type: keep one; ",""))</f>
        <v/>
      </c>
    </row>
    <row r="1054" customFormat="false" ht="15" hidden="false" customHeight="false" outlineLevel="0" collapsed="false">
      <c r="A1054" s="11"/>
      <c r="B1054" s="38"/>
      <c r="D1054" s="10"/>
      <c r="G1054" s="30" t="str">
        <f aca="false">IF($C1054="","",IFERROR(IF(INDEX(links!$A$2:$A$501,MATCH($C1054,links!$D$2:$D$501,0))="","",INDEX(links!$A$2:$A$501,MATCH($C1054,links!$D$2:$D$501,0))),""))</f>
        <v/>
      </c>
      <c r="H1054" s="30" t="str">
        <f aca="false">IF($C1054="","",IFERROR(IF(INDEX(links!$B$2:$B$501,MATCH($C1054,links!$D$2:$D$501,0))="","",INDEX(links!$B$2:$B$501,MATCH($C1054,links!$D$2:$D$501,0))),""))</f>
        <v/>
      </c>
      <c r="I1054" s="30" t="str">
        <f aca="false">IF($C1054="","",IFERROR(IF(INDEX(links!$C$2:$C$501,MATCH($C1054,links!$D$2:$D$501,0))="","",INDEX(links!$C$2:$C$501,MATCH($C1054,links!$D$2:$D$501,0))),""))</f>
        <v/>
      </c>
      <c r="J1054" s="30" t="str">
        <f aca="false">IF($C1054="","",IF($G1054="","slug not in links; ","")&amp;IF($D1054="","reading type missing; ","")&amp;IF(COUNTIFS(scans!$C$2:$C$1601,$C1054,scans!$D$2:$D$1601,$D1054)&gt;1,"two readings of this type: keep one; ",""))</f>
        <v/>
      </c>
    </row>
    <row r="1055" customFormat="false" ht="15" hidden="false" customHeight="false" outlineLevel="0" collapsed="false">
      <c r="A1055" s="11"/>
      <c r="B1055" s="38"/>
      <c r="D1055" s="10"/>
      <c r="G1055" s="30" t="str">
        <f aca="false">IF($C1055="","",IFERROR(IF(INDEX(links!$A$2:$A$501,MATCH($C1055,links!$D$2:$D$501,0))="","",INDEX(links!$A$2:$A$501,MATCH($C1055,links!$D$2:$D$501,0))),""))</f>
        <v/>
      </c>
      <c r="H1055" s="30" t="str">
        <f aca="false">IF($C1055="","",IFERROR(IF(INDEX(links!$B$2:$B$501,MATCH($C1055,links!$D$2:$D$501,0))="","",INDEX(links!$B$2:$B$501,MATCH($C1055,links!$D$2:$D$501,0))),""))</f>
        <v/>
      </c>
      <c r="I1055" s="30" t="str">
        <f aca="false">IF($C1055="","",IFERROR(IF(INDEX(links!$C$2:$C$501,MATCH($C1055,links!$D$2:$D$501,0))="","",INDEX(links!$C$2:$C$501,MATCH($C1055,links!$D$2:$D$501,0))),""))</f>
        <v/>
      </c>
      <c r="J1055" s="30" t="str">
        <f aca="false">IF($C1055="","",IF($G1055="","slug not in links; ","")&amp;IF($D1055="","reading type missing; ","")&amp;IF(COUNTIFS(scans!$C$2:$C$1601,$C1055,scans!$D$2:$D$1601,$D1055)&gt;1,"two readings of this type: keep one; ",""))</f>
        <v/>
      </c>
    </row>
    <row r="1056" customFormat="false" ht="15" hidden="false" customHeight="false" outlineLevel="0" collapsed="false">
      <c r="A1056" s="11"/>
      <c r="B1056" s="38"/>
      <c r="D1056" s="10"/>
      <c r="G1056" s="30" t="str">
        <f aca="false">IF($C1056="","",IFERROR(IF(INDEX(links!$A$2:$A$501,MATCH($C1056,links!$D$2:$D$501,0))="","",INDEX(links!$A$2:$A$501,MATCH($C1056,links!$D$2:$D$501,0))),""))</f>
        <v/>
      </c>
      <c r="H1056" s="30" t="str">
        <f aca="false">IF($C1056="","",IFERROR(IF(INDEX(links!$B$2:$B$501,MATCH($C1056,links!$D$2:$D$501,0))="","",INDEX(links!$B$2:$B$501,MATCH($C1056,links!$D$2:$D$501,0))),""))</f>
        <v/>
      </c>
      <c r="I1056" s="30" t="str">
        <f aca="false">IF($C1056="","",IFERROR(IF(INDEX(links!$C$2:$C$501,MATCH($C1056,links!$D$2:$D$501,0))="","",INDEX(links!$C$2:$C$501,MATCH($C1056,links!$D$2:$D$501,0))),""))</f>
        <v/>
      </c>
      <c r="J1056" s="30" t="str">
        <f aca="false">IF($C1056="","",IF($G1056="","slug not in links; ","")&amp;IF($D1056="","reading type missing; ","")&amp;IF(COUNTIFS(scans!$C$2:$C$1601,$C1056,scans!$D$2:$D$1601,$D1056)&gt;1,"two readings of this type: keep one; ",""))</f>
        <v/>
      </c>
    </row>
    <row r="1057" customFormat="false" ht="15" hidden="false" customHeight="false" outlineLevel="0" collapsed="false">
      <c r="A1057" s="11"/>
      <c r="B1057" s="38"/>
      <c r="D1057" s="10"/>
      <c r="G1057" s="30" t="str">
        <f aca="false">IF($C1057="","",IFERROR(IF(INDEX(links!$A$2:$A$501,MATCH($C1057,links!$D$2:$D$501,0))="","",INDEX(links!$A$2:$A$501,MATCH($C1057,links!$D$2:$D$501,0))),""))</f>
        <v/>
      </c>
      <c r="H1057" s="30" t="str">
        <f aca="false">IF($C1057="","",IFERROR(IF(INDEX(links!$B$2:$B$501,MATCH($C1057,links!$D$2:$D$501,0))="","",INDEX(links!$B$2:$B$501,MATCH($C1057,links!$D$2:$D$501,0))),""))</f>
        <v/>
      </c>
      <c r="I1057" s="30" t="str">
        <f aca="false">IF($C1057="","",IFERROR(IF(INDEX(links!$C$2:$C$501,MATCH($C1057,links!$D$2:$D$501,0))="","",INDEX(links!$C$2:$C$501,MATCH($C1057,links!$D$2:$D$501,0))),""))</f>
        <v/>
      </c>
      <c r="J1057" s="30" t="str">
        <f aca="false">IF($C1057="","",IF($G1057="","slug not in links; ","")&amp;IF($D1057="","reading type missing; ","")&amp;IF(COUNTIFS(scans!$C$2:$C$1601,$C1057,scans!$D$2:$D$1601,$D1057)&gt;1,"two readings of this type: keep one; ",""))</f>
        <v/>
      </c>
    </row>
    <row r="1058" customFormat="false" ht="15" hidden="false" customHeight="false" outlineLevel="0" collapsed="false">
      <c r="A1058" s="11"/>
      <c r="B1058" s="38"/>
      <c r="D1058" s="10"/>
      <c r="G1058" s="30" t="str">
        <f aca="false">IF($C1058="","",IFERROR(IF(INDEX(links!$A$2:$A$501,MATCH($C1058,links!$D$2:$D$501,0))="","",INDEX(links!$A$2:$A$501,MATCH($C1058,links!$D$2:$D$501,0))),""))</f>
        <v/>
      </c>
      <c r="H1058" s="30" t="str">
        <f aca="false">IF($C1058="","",IFERROR(IF(INDEX(links!$B$2:$B$501,MATCH($C1058,links!$D$2:$D$501,0))="","",INDEX(links!$B$2:$B$501,MATCH($C1058,links!$D$2:$D$501,0))),""))</f>
        <v/>
      </c>
      <c r="I1058" s="30" t="str">
        <f aca="false">IF($C1058="","",IFERROR(IF(INDEX(links!$C$2:$C$501,MATCH($C1058,links!$D$2:$D$501,0))="","",INDEX(links!$C$2:$C$501,MATCH($C1058,links!$D$2:$D$501,0))),""))</f>
        <v/>
      </c>
      <c r="J1058" s="30" t="str">
        <f aca="false">IF($C1058="","",IF($G1058="","slug not in links; ","")&amp;IF($D1058="","reading type missing; ","")&amp;IF(COUNTIFS(scans!$C$2:$C$1601,$C1058,scans!$D$2:$D$1601,$D1058)&gt;1,"two readings of this type: keep one; ",""))</f>
        <v/>
      </c>
    </row>
    <row r="1059" customFormat="false" ht="15" hidden="false" customHeight="false" outlineLevel="0" collapsed="false">
      <c r="A1059" s="11"/>
      <c r="B1059" s="38"/>
      <c r="D1059" s="10"/>
      <c r="G1059" s="30" t="str">
        <f aca="false">IF($C1059="","",IFERROR(IF(INDEX(links!$A$2:$A$501,MATCH($C1059,links!$D$2:$D$501,0))="","",INDEX(links!$A$2:$A$501,MATCH($C1059,links!$D$2:$D$501,0))),""))</f>
        <v/>
      </c>
      <c r="H1059" s="30" t="str">
        <f aca="false">IF($C1059="","",IFERROR(IF(INDEX(links!$B$2:$B$501,MATCH($C1059,links!$D$2:$D$501,0))="","",INDEX(links!$B$2:$B$501,MATCH($C1059,links!$D$2:$D$501,0))),""))</f>
        <v/>
      </c>
      <c r="I1059" s="30" t="str">
        <f aca="false">IF($C1059="","",IFERROR(IF(INDEX(links!$C$2:$C$501,MATCH($C1059,links!$D$2:$D$501,0))="","",INDEX(links!$C$2:$C$501,MATCH($C1059,links!$D$2:$D$501,0))),""))</f>
        <v/>
      </c>
      <c r="J1059" s="30" t="str">
        <f aca="false">IF($C1059="","",IF($G1059="","slug not in links; ","")&amp;IF($D1059="","reading type missing; ","")&amp;IF(COUNTIFS(scans!$C$2:$C$1601,$C1059,scans!$D$2:$D$1601,$D1059)&gt;1,"two readings of this type: keep one; ",""))</f>
        <v/>
      </c>
    </row>
    <row r="1060" customFormat="false" ht="15" hidden="false" customHeight="false" outlineLevel="0" collapsed="false">
      <c r="A1060" s="11"/>
      <c r="B1060" s="38"/>
      <c r="D1060" s="10"/>
      <c r="G1060" s="30" t="str">
        <f aca="false">IF($C1060="","",IFERROR(IF(INDEX(links!$A$2:$A$501,MATCH($C1060,links!$D$2:$D$501,0))="","",INDEX(links!$A$2:$A$501,MATCH($C1060,links!$D$2:$D$501,0))),""))</f>
        <v/>
      </c>
      <c r="H1060" s="30" t="str">
        <f aca="false">IF($C1060="","",IFERROR(IF(INDEX(links!$B$2:$B$501,MATCH($C1060,links!$D$2:$D$501,0))="","",INDEX(links!$B$2:$B$501,MATCH($C1060,links!$D$2:$D$501,0))),""))</f>
        <v/>
      </c>
      <c r="I1060" s="30" t="str">
        <f aca="false">IF($C1060="","",IFERROR(IF(INDEX(links!$C$2:$C$501,MATCH($C1060,links!$D$2:$D$501,0))="","",INDEX(links!$C$2:$C$501,MATCH($C1060,links!$D$2:$D$501,0))),""))</f>
        <v/>
      </c>
      <c r="J1060" s="30" t="str">
        <f aca="false">IF($C1060="","",IF($G1060="","slug not in links; ","")&amp;IF($D1060="","reading type missing; ","")&amp;IF(COUNTIFS(scans!$C$2:$C$1601,$C1060,scans!$D$2:$D$1601,$D1060)&gt;1,"two readings of this type: keep one; ",""))</f>
        <v/>
      </c>
    </row>
    <row r="1061" customFormat="false" ht="15" hidden="false" customHeight="false" outlineLevel="0" collapsed="false">
      <c r="A1061" s="11"/>
      <c r="B1061" s="38"/>
      <c r="D1061" s="10"/>
      <c r="G1061" s="30" t="str">
        <f aca="false">IF($C1061="","",IFERROR(IF(INDEX(links!$A$2:$A$501,MATCH($C1061,links!$D$2:$D$501,0))="","",INDEX(links!$A$2:$A$501,MATCH($C1061,links!$D$2:$D$501,0))),""))</f>
        <v/>
      </c>
      <c r="H1061" s="30" t="str">
        <f aca="false">IF($C1061="","",IFERROR(IF(INDEX(links!$B$2:$B$501,MATCH($C1061,links!$D$2:$D$501,0))="","",INDEX(links!$B$2:$B$501,MATCH($C1061,links!$D$2:$D$501,0))),""))</f>
        <v/>
      </c>
      <c r="I1061" s="30" t="str">
        <f aca="false">IF($C1061="","",IFERROR(IF(INDEX(links!$C$2:$C$501,MATCH($C1061,links!$D$2:$D$501,0))="","",INDEX(links!$C$2:$C$501,MATCH($C1061,links!$D$2:$D$501,0))),""))</f>
        <v/>
      </c>
      <c r="J1061" s="30" t="str">
        <f aca="false">IF($C1061="","",IF($G1061="","slug not in links; ","")&amp;IF($D1061="","reading type missing; ","")&amp;IF(COUNTIFS(scans!$C$2:$C$1601,$C1061,scans!$D$2:$D$1601,$D1061)&gt;1,"two readings of this type: keep one; ",""))</f>
        <v/>
      </c>
    </row>
    <row r="1062" customFormat="false" ht="15" hidden="false" customHeight="false" outlineLevel="0" collapsed="false">
      <c r="A1062" s="11"/>
      <c r="B1062" s="38"/>
      <c r="D1062" s="10"/>
      <c r="G1062" s="30" t="str">
        <f aca="false">IF($C1062="","",IFERROR(IF(INDEX(links!$A$2:$A$501,MATCH($C1062,links!$D$2:$D$501,0))="","",INDEX(links!$A$2:$A$501,MATCH($C1062,links!$D$2:$D$501,0))),""))</f>
        <v/>
      </c>
      <c r="H1062" s="30" t="str">
        <f aca="false">IF($C1062="","",IFERROR(IF(INDEX(links!$B$2:$B$501,MATCH($C1062,links!$D$2:$D$501,0))="","",INDEX(links!$B$2:$B$501,MATCH($C1062,links!$D$2:$D$501,0))),""))</f>
        <v/>
      </c>
      <c r="I1062" s="30" t="str">
        <f aca="false">IF($C1062="","",IFERROR(IF(INDEX(links!$C$2:$C$501,MATCH($C1062,links!$D$2:$D$501,0))="","",INDEX(links!$C$2:$C$501,MATCH($C1062,links!$D$2:$D$501,0))),""))</f>
        <v/>
      </c>
      <c r="J1062" s="30" t="str">
        <f aca="false">IF($C1062="","",IF($G1062="","slug not in links; ","")&amp;IF($D1062="","reading type missing; ","")&amp;IF(COUNTIFS(scans!$C$2:$C$1601,$C1062,scans!$D$2:$D$1601,$D1062)&gt;1,"two readings of this type: keep one; ",""))</f>
        <v/>
      </c>
    </row>
    <row r="1063" customFormat="false" ht="15" hidden="false" customHeight="false" outlineLevel="0" collapsed="false">
      <c r="A1063" s="11"/>
      <c r="B1063" s="38"/>
      <c r="D1063" s="10"/>
      <c r="G1063" s="30" t="str">
        <f aca="false">IF($C1063="","",IFERROR(IF(INDEX(links!$A$2:$A$501,MATCH($C1063,links!$D$2:$D$501,0))="","",INDEX(links!$A$2:$A$501,MATCH($C1063,links!$D$2:$D$501,0))),""))</f>
        <v/>
      </c>
      <c r="H1063" s="30" t="str">
        <f aca="false">IF($C1063="","",IFERROR(IF(INDEX(links!$B$2:$B$501,MATCH($C1063,links!$D$2:$D$501,0))="","",INDEX(links!$B$2:$B$501,MATCH($C1063,links!$D$2:$D$501,0))),""))</f>
        <v/>
      </c>
      <c r="I1063" s="30" t="str">
        <f aca="false">IF($C1063="","",IFERROR(IF(INDEX(links!$C$2:$C$501,MATCH($C1063,links!$D$2:$D$501,0))="","",INDEX(links!$C$2:$C$501,MATCH($C1063,links!$D$2:$D$501,0))),""))</f>
        <v/>
      </c>
      <c r="J1063" s="30" t="str">
        <f aca="false">IF($C1063="","",IF($G1063="","slug not in links; ","")&amp;IF($D1063="","reading type missing; ","")&amp;IF(COUNTIFS(scans!$C$2:$C$1601,$C1063,scans!$D$2:$D$1601,$D1063)&gt;1,"two readings of this type: keep one; ",""))</f>
        <v/>
      </c>
    </row>
    <row r="1064" customFormat="false" ht="15" hidden="false" customHeight="false" outlineLevel="0" collapsed="false">
      <c r="A1064" s="11"/>
      <c r="B1064" s="38"/>
      <c r="D1064" s="10"/>
      <c r="G1064" s="30" t="str">
        <f aca="false">IF($C1064="","",IFERROR(IF(INDEX(links!$A$2:$A$501,MATCH($C1064,links!$D$2:$D$501,0))="","",INDEX(links!$A$2:$A$501,MATCH($C1064,links!$D$2:$D$501,0))),""))</f>
        <v/>
      </c>
      <c r="H1064" s="30" t="str">
        <f aca="false">IF($C1064="","",IFERROR(IF(INDEX(links!$B$2:$B$501,MATCH($C1064,links!$D$2:$D$501,0))="","",INDEX(links!$B$2:$B$501,MATCH($C1064,links!$D$2:$D$501,0))),""))</f>
        <v/>
      </c>
      <c r="I1064" s="30" t="str">
        <f aca="false">IF($C1064="","",IFERROR(IF(INDEX(links!$C$2:$C$501,MATCH($C1064,links!$D$2:$D$501,0))="","",INDEX(links!$C$2:$C$501,MATCH($C1064,links!$D$2:$D$501,0))),""))</f>
        <v/>
      </c>
      <c r="J1064" s="30" t="str">
        <f aca="false">IF($C1064="","",IF($G1064="","slug not in links; ","")&amp;IF($D1064="","reading type missing; ","")&amp;IF(COUNTIFS(scans!$C$2:$C$1601,$C1064,scans!$D$2:$D$1601,$D1064)&gt;1,"two readings of this type: keep one; ",""))</f>
        <v/>
      </c>
    </row>
    <row r="1065" customFormat="false" ht="15" hidden="false" customHeight="false" outlineLevel="0" collapsed="false">
      <c r="A1065" s="11"/>
      <c r="B1065" s="38"/>
      <c r="D1065" s="10"/>
      <c r="G1065" s="30" t="str">
        <f aca="false">IF($C1065="","",IFERROR(IF(INDEX(links!$A$2:$A$501,MATCH($C1065,links!$D$2:$D$501,0))="","",INDEX(links!$A$2:$A$501,MATCH($C1065,links!$D$2:$D$501,0))),""))</f>
        <v/>
      </c>
      <c r="H1065" s="30" t="str">
        <f aca="false">IF($C1065="","",IFERROR(IF(INDEX(links!$B$2:$B$501,MATCH($C1065,links!$D$2:$D$501,0))="","",INDEX(links!$B$2:$B$501,MATCH($C1065,links!$D$2:$D$501,0))),""))</f>
        <v/>
      </c>
      <c r="I1065" s="30" t="str">
        <f aca="false">IF($C1065="","",IFERROR(IF(INDEX(links!$C$2:$C$501,MATCH($C1065,links!$D$2:$D$501,0))="","",INDEX(links!$C$2:$C$501,MATCH($C1065,links!$D$2:$D$501,0))),""))</f>
        <v/>
      </c>
      <c r="J1065" s="30" t="str">
        <f aca="false">IF($C1065="","",IF($G1065="","slug not in links; ","")&amp;IF($D1065="","reading type missing; ","")&amp;IF(COUNTIFS(scans!$C$2:$C$1601,$C1065,scans!$D$2:$D$1601,$D1065)&gt;1,"two readings of this type: keep one; ",""))</f>
        <v/>
      </c>
    </row>
    <row r="1066" customFormat="false" ht="15" hidden="false" customHeight="false" outlineLevel="0" collapsed="false">
      <c r="A1066" s="11"/>
      <c r="B1066" s="38"/>
      <c r="D1066" s="10"/>
      <c r="G1066" s="30" t="str">
        <f aca="false">IF($C1066="","",IFERROR(IF(INDEX(links!$A$2:$A$501,MATCH($C1066,links!$D$2:$D$501,0))="","",INDEX(links!$A$2:$A$501,MATCH($C1066,links!$D$2:$D$501,0))),""))</f>
        <v/>
      </c>
      <c r="H1066" s="30" t="str">
        <f aca="false">IF($C1066="","",IFERROR(IF(INDEX(links!$B$2:$B$501,MATCH($C1066,links!$D$2:$D$501,0))="","",INDEX(links!$B$2:$B$501,MATCH($C1066,links!$D$2:$D$501,0))),""))</f>
        <v/>
      </c>
      <c r="I1066" s="30" t="str">
        <f aca="false">IF($C1066="","",IFERROR(IF(INDEX(links!$C$2:$C$501,MATCH($C1066,links!$D$2:$D$501,0))="","",INDEX(links!$C$2:$C$501,MATCH($C1066,links!$D$2:$D$501,0))),""))</f>
        <v/>
      </c>
      <c r="J1066" s="30" t="str">
        <f aca="false">IF($C1066="","",IF($G1066="","slug not in links; ","")&amp;IF($D1066="","reading type missing; ","")&amp;IF(COUNTIFS(scans!$C$2:$C$1601,$C1066,scans!$D$2:$D$1601,$D1066)&gt;1,"two readings of this type: keep one; ",""))</f>
        <v/>
      </c>
    </row>
    <row r="1067" customFormat="false" ht="15" hidden="false" customHeight="false" outlineLevel="0" collapsed="false">
      <c r="A1067" s="11"/>
      <c r="B1067" s="38"/>
      <c r="D1067" s="10"/>
      <c r="G1067" s="30" t="str">
        <f aca="false">IF($C1067="","",IFERROR(IF(INDEX(links!$A$2:$A$501,MATCH($C1067,links!$D$2:$D$501,0))="","",INDEX(links!$A$2:$A$501,MATCH($C1067,links!$D$2:$D$501,0))),""))</f>
        <v/>
      </c>
      <c r="H1067" s="30" t="str">
        <f aca="false">IF($C1067="","",IFERROR(IF(INDEX(links!$B$2:$B$501,MATCH($C1067,links!$D$2:$D$501,0))="","",INDEX(links!$B$2:$B$501,MATCH($C1067,links!$D$2:$D$501,0))),""))</f>
        <v/>
      </c>
      <c r="I1067" s="30" t="str">
        <f aca="false">IF($C1067="","",IFERROR(IF(INDEX(links!$C$2:$C$501,MATCH($C1067,links!$D$2:$D$501,0))="","",INDEX(links!$C$2:$C$501,MATCH($C1067,links!$D$2:$D$501,0))),""))</f>
        <v/>
      </c>
      <c r="J1067" s="30" t="str">
        <f aca="false">IF($C1067="","",IF($G1067="","slug not in links; ","")&amp;IF($D1067="","reading type missing; ","")&amp;IF(COUNTIFS(scans!$C$2:$C$1601,$C1067,scans!$D$2:$D$1601,$D1067)&gt;1,"two readings of this type: keep one; ",""))</f>
        <v/>
      </c>
    </row>
    <row r="1068" customFormat="false" ht="15" hidden="false" customHeight="false" outlineLevel="0" collapsed="false">
      <c r="A1068" s="11"/>
      <c r="B1068" s="38"/>
      <c r="D1068" s="10"/>
      <c r="G1068" s="30" t="str">
        <f aca="false">IF($C1068="","",IFERROR(IF(INDEX(links!$A$2:$A$501,MATCH($C1068,links!$D$2:$D$501,0))="","",INDEX(links!$A$2:$A$501,MATCH($C1068,links!$D$2:$D$501,0))),""))</f>
        <v/>
      </c>
      <c r="H1068" s="30" t="str">
        <f aca="false">IF($C1068="","",IFERROR(IF(INDEX(links!$B$2:$B$501,MATCH($C1068,links!$D$2:$D$501,0))="","",INDEX(links!$B$2:$B$501,MATCH($C1068,links!$D$2:$D$501,0))),""))</f>
        <v/>
      </c>
      <c r="I1068" s="30" t="str">
        <f aca="false">IF($C1068="","",IFERROR(IF(INDEX(links!$C$2:$C$501,MATCH($C1068,links!$D$2:$D$501,0))="","",INDEX(links!$C$2:$C$501,MATCH($C1068,links!$D$2:$D$501,0))),""))</f>
        <v/>
      </c>
      <c r="J1068" s="30" t="str">
        <f aca="false">IF($C1068="","",IF($G1068="","slug not in links; ","")&amp;IF($D1068="","reading type missing; ","")&amp;IF(COUNTIFS(scans!$C$2:$C$1601,$C1068,scans!$D$2:$D$1601,$D1068)&gt;1,"two readings of this type: keep one; ",""))</f>
        <v/>
      </c>
    </row>
    <row r="1069" customFormat="false" ht="15" hidden="false" customHeight="false" outlineLevel="0" collapsed="false">
      <c r="A1069" s="11"/>
      <c r="B1069" s="38"/>
      <c r="D1069" s="10"/>
      <c r="G1069" s="30" t="str">
        <f aca="false">IF($C1069="","",IFERROR(IF(INDEX(links!$A$2:$A$501,MATCH($C1069,links!$D$2:$D$501,0))="","",INDEX(links!$A$2:$A$501,MATCH($C1069,links!$D$2:$D$501,0))),""))</f>
        <v/>
      </c>
      <c r="H1069" s="30" t="str">
        <f aca="false">IF($C1069="","",IFERROR(IF(INDEX(links!$B$2:$B$501,MATCH($C1069,links!$D$2:$D$501,0))="","",INDEX(links!$B$2:$B$501,MATCH($C1069,links!$D$2:$D$501,0))),""))</f>
        <v/>
      </c>
      <c r="I1069" s="30" t="str">
        <f aca="false">IF($C1069="","",IFERROR(IF(INDEX(links!$C$2:$C$501,MATCH($C1069,links!$D$2:$D$501,0))="","",INDEX(links!$C$2:$C$501,MATCH($C1069,links!$D$2:$D$501,0))),""))</f>
        <v/>
      </c>
      <c r="J1069" s="30" t="str">
        <f aca="false">IF($C1069="","",IF($G1069="","slug not in links; ","")&amp;IF($D1069="","reading type missing; ","")&amp;IF(COUNTIFS(scans!$C$2:$C$1601,$C1069,scans!$D$2:$D$1601,$D1069)&gt;1,"two readings of this type: keep one; ",""))</f>
        <v/>
      </c>
    </row>
    <row r="1070" customFormat="false" ht="15" hidden="false" customHeight="false" outlineLevel="0" collapsed="false">
      <c r="A1070" s="11"/>
      <c r="B1070" s="38"/>
      <c r="D1070" s="10"/>
      <c r="G1070" s="30" t="str">
        <f aca="false">IF($C1070="","",IFERROR(IF(INDEX(links!$A$2:$A$501,MATCH($C1070,links!$D$2:$D$501,0))="","",INDEX(links!$A$2:$A$501,MATCH($C1070,links!$D$2:$D$501,0))),""))</f>
        <v/>
      </c>
      <c r="H1070" s="30" t="str">
        <f aca="false">IF($C1070="","",IFERROR(IF(INDEX(links!$B$2:$B$501,MATCH($C1070,links!$D$2:$D$501,0))="","",INDEX(links!$B$2:$B$501,MATCH($C1070,links!$D$2:$D$501,0))),""))</f>
        <v/>
      </c>
      <c r="I1070" s="30" t="str">
        <f aca="false">IF($C1070="","",IFERROR(IF(INDEX(links!$C$2:$C$501,MATCH($C1070,links!$D$2:$D$501,0))="","",INDEX(links!$C$2:$C$501,MATCH($C1070,links!$D$2:$D$501,0))),""))</f>
        <v/>
      </c>
      <c r="J1070" s="30" t="str">
        <f aca="false">IF($C1070="","",IF($G1070="","slug not in links; ","")&amp;IF($D1070="","reading type missing; ","")&amp;IF(COUNTIFS(scans!$C$2:$C$1601,$C1070,scans!$D$2:$D$1601,$D1070)&gt;1,"two readings of this type: keep one; ",""))</f>
        <v/>
      </c>
    </row>
    <row r="1071" customFormat="false" ht="15" hidden="false" customHeight="false" outlineLevel="0" collapsed="false">
      <c r="A1071" s="11"/>
      <c r="B1071" s="38"/>
      <c r="D1071" s="10"/>
      <c r="G1071" s="30" t="str">
        <f aca="false">IF($C1071="","",IFERROR(IF(INDEX(links!$A$2:$A$501,MATCH($C1071,links!$D$2:$D$501,0))="","",INDEX(links!$A$2:$A$501,MATCH($C1071,links!$D$2:$D$501,0))),""))</f>
        <v/>
      </c>
      <c r="H1071" s="30" t="str">
        <f aca="false">IF($C1071="","",IFERROR(IF(INDEX(links!$B$2:$B$501,MATCH($C1071,links!$D$2:$D$501,0))="","",INDEX(links!$B$2:$B$501,MATCH($C1071,links!$D$2:$D$501,0))),""))</f>
        <v/>
      </c>
      <c r="I1071" s="30" t="str">
        <f aca="false">IF($C1071="","",IFERROR(IF(INDEX(links!$C$2:$C$501,MATCH($C1071,links!$D$2:$D$501,0))="","",INDEX(links!$C$2:$C$501,MATCH($C1071,links!$D$2:$D$501,0))),""))</f>
        <v/>
      </c>
      <c r="J1071" s="30" t="str">
        <f aca="false">IF($C1071="","",IF($G1071="","slug not in links; ","")&amp;IF($D1071="","reading type missing; ","")&amp;IF(COUNTIFS(scans!$C$2:$C$1601,$C1071,scans!$D$2:$D$1601,$D1071)&gt;1,"two readings of this type: keep one; ",""))</f>
        <v/>
      </c>
    </row>
    <row r="1072" customFormat="false" ht="15" hidden="false" customHeight="false" outlineLevel="0" collapsed="false">
      <c r="A1072" s="11"/>
      <c r="B1072" s="38"/>
      <c r="D1072" s="10"/>
      <c r="G1072" s="30" t="str">
        <f aca="false">IF($C1072="","",IFERROR(IF(INDEX(links!$A$2:$A$501,MATCH($C1072,links!$D$2:$D$501,0))="","",INDEX(links!$A$2:$A$501,MATCH($C1072,links!$D$2:$D$501,0))),""))</f>
        <v/>
      </c>
      <c r="H1072" s="30" t="str">
        <f aca="false">IF($C1072="","",IFERROR(IF(INDEX(links!$B$2:$B$501,MATCH($C1072,links!$D$2:$D$501,0))="","",INDEX(links!$B$2:$B$501,MATCH($C1072,links!$D$2:$D$501,0))),""))</f>
        <v/>
      </c>
      <c r="I1072" s="30" t="str">
        <f aca="false">IF($C1072="","",IFERROR(IF(INDEX(links!$C$2:$C$501,MATCH($C1072,links!$D$2:$D$501,0))="","",INDEX(links!$C$2:$C$501,MATCH($C1072,links!$D$2:$D$501,0))),""))</f>
        <v/>
      </c>
      <c r="J1072" s="30" t="str">
        <f aca="false">IF($C1072="","",IF($G1072="","slug not in links; ","")&amp;IF($D1072="","reading type missing; ","")&amp;IF(COUNTIFS(scans!$C$2:$C$1601,$C1072,scans!$D$2:$D$1601,$D1072)&gt;1,"two readings of this type: keep one; ",""))</f>
        <v/>
      </c>
    </row>
    <row r="1073" customFormat="false" ht="15" hidden="false" customHeight="false" outlineLevel="0" collapsed="false">
      <c r="A1073" s="11"/>
      <c r="B1073" s="38"/>
      <c r="D1073" s="10"/>
      <c r="G1073" s="30" t="str">
        <f aca="false">IF($C1073="","",IFERROR(IF(INDEX(links!$A$2:$A$501,MATCH($C1073,links!$D$2:$D$501,0))="","",INDEX(links!$A$2:$A$501,MATCH($C1073,links!$D$2:$D$501,0))),""))</f>
        <v/>
      </c>
      <c r="H1073" s="30" t="str">
        <f aca="false">IF($C1073="","",IFERROR(IF(INDEX(links!$B$2:$B$501,MATCH($C1073,links!$D$2:$D$501,0))="","",INDEX(links!$B$2:$B$501,MATCH($C1073,links!$D$2:$D$501,0))),""))</f>
        <v/>
      </c>
      <c r="I1073" s="30" t="str">
        <f aca="false">IF($C1073="","",IFERROR(IF(INDEX(links!$C$2:$C$501,MATCH($C1073,links!$D$2:$D$501,0))="","",INDEX(links!$C$2:$C$501,MATCH($C1073,links!$D$2:$D$501,0))),""))</f>
        <v/>
      </c>
      <c r="J1073" s="30" t="str">
        <f aca="false">IF($C1073="","",IF($G1073="","slug not in links; ","")&amp;IF($D1073="","reading type missing; ","")&amp;IF(COUNTIFS(scans!$C$2:$C$1601,$C1073,scans!$D$2:$D$1601,$D1073)&gt;1,"two readings of this type: keep one; ",""))</f>
        <v/>
      </c>
    </row>
    <row r="1074" customFormat="false" ht="15" hidden="false" customHeight="false" outlineLevel="0" collapsed="false">
      <c r="A1074" s="11"/>
      <c r="B1074" s="38"/>
      <c r="D1074" s="10"/>
      <c r="G1074" s="30" t="str">
        <f aca="false">IF($C1074="","",IFERROR(IF(INDEX(links!$A$2:$A$501,MATCH($C1074,links!$D$2:$D$501,0))="","",INDEX(links!$A$2:$A$501,MATCH($C1074,links!$D$2:$D$501,0))),""))</f>
        <v/>
      </c>
      <c r="H1074" s="30" t="str">
        <f aca="false">IF($C1074="","",IFERROR(IF(INDEX(links!$B$2:$B$501,MATCH($C1074,links!$D$2:$D$501,0))="","",INDEX(links!$B$2:$B$501,MATCH($C1074,links!$D$2:$D$501,0))),""))</f>
        <v/>
      </c>
      <c r="I1074" s="30" t="str">
        <f aca="false">IF($C1074="","",IFERROR(IF(INDEX(links!$C$2:$C$501,MATCH($C1074,links!$D$2:$D$501,0))="","",INDEX(links!$C$2:$C$501,MATCH($C1074,links!$D$2:$D$501,0))),""))</f>
        <v/>
      </c>
      <c r="J1074" s="30" t="str">
        <f aca="false">IF($C1074="","",IF($G1074="","slug not in links; ","")&amp;IF($D1074="","reading type missing; ","")&amp;IF(COUNTIFS(scans!$C$2:$C$1601,$C1074,scans!$D$2:$D$1601,$D1074)&gt;1,"two readings of this type: keep one; ",""))</f>
        <v/>
      </c>
    </row>
    <row r="1075" customFormat="false" ht="15" hidden="false" customHeight="false" outlineLevel="0" collapsed="false">
      <c r="A1075" s="11"/>
      <c r="B1075" s="38"/>
      <c r="D1075" s="10"/>
      <c r="G1075" s="30" t="str">
        <f aca="false">IF($C1075="","",IFERROR(IF(INDEX(links!$A$2:$A$501,MATCH($C1075,links!$D$2:$D$501,0))="","",INDEX(links!$A$2:$A$501,MATCH($C1075,links!$D$2:$D$501,0))),""))</f>
        <v/>
      </c>
      <c r="H1075" s="30" t="str">
        <f aca="false">IF($C1075="","",IFERROR(IF(INDEX(links!$B$2:$B$501,MATCH($C1075,links!$D$2:$D$501,0))="","",INDEX(links!$B$2:$B$501,MATCH($C1075,links!$D$2:$D$501,0))),""))</f>
        <v/>
      </c>
      <c r="I1075" s="30" t="str">
        <f aca="false">IF($C1075="","",IFERROR(IF(INDEX(links!$C$2:$C$501,MATCH($C1075,links!$D$2:$D$501,0))="","",INDEX(links!$C$2:$C$501,MATCH($C1075,links!$D$2:$D$501,0))),""))</f>
        <v/>
      </c>
      <c r="J1075" s="30" t="str">
        <f aca="false">IF($C1075="","",IF($G1075="","slug not in links; ","")&amp;IF($D1075="","reading type missing; ","")&amp;IF(COUNTIFS(scans!$C$2:$C$1601,$C1075,scans!$D$2:$D$1601,$D1075)&gt;1,"two readings of this type: keep one; ",""))</f>
        <v/>
      </c>
    </row>
    <row r="1076" customFormat="false" ht="15" hidden="false" customHeight="false" outlineLevel="0" collapsed="false">
      <c r="A1076" s="11"/>
      <c r="B1076" s="38"/>
      <c r="D1076" s="10"/>
      <c r="G1076" s="30" t="str">
        <f aca="false">IF($C1076="","",IFERROR(IF(INDEX(links!$A$2:$A$501,MATCH($C1076,links!$D$2:$D$501,0))="","",INDEX(links!$A$2:$A$501,MATCH($C1076,links!$D$2:$D$501,0))),""))</f>
        <v/>
      </c>
      <c r="H1076" s="30" t="str">
        <f aca="false">IF($C1076="","",IFERROR(IF(INDEX(links!$B$2:$B$501,MATCH($C1076,links!$D$2:$D$501,0))="","",INDEX(links!$B$2:$B$501,MATCH($C1076,links!$D$2:$D$501,0))),""))</f>
        <v/>
      </c>
      <c r="I1076" s="30" t="str">
        <f aca="false">IF($C1076="","",IFERROR(IF(INDEX(links!$C$2:$C$501,MATCH($C1076,links!$D$2:$D$501,0))="","",INDEX(links!$C$2:$C$501,MATCH($C1076,links!$D$2:$D$501,0))),""))</f>
        <v/>
      </c>
      <c r="J1076" s="30" t="str">
        <f aca="false">IF($C1076="","",IF($G1076="","slug not in links; ","")&amp;IF($D1076="","reading type missing; ","")&amp;IF(COUNTIFS(scans!$C$2:$C$1601,$C1076,scans!$D$2:$D$1601,$D1076)&gt;1,"two readings of this type: keep one; ",""))</f>
        <v/>
      </c>
    </row>
    <row r="1077" customFormat="false" ht="15" hidden="false" customHeight="false" outlineLevel="0" collapsed="false">
      <c r="A1077" s="11"/>
      <c r="B1077" s="38"/>
      <c r="D1077" s="10"/>
      <c r="G1077" s="30" t="str">
        <f aca="false">IF($C1077="","",IFERROR(IF(INDEX(links!$A$2:$A$501,MATCH($C1077,links!$D$2:$D$501,0))="","",INDEX(links!$A$2:$A$501,MATCH($C1077,links!$D$2:$D$501,0))),""))</f>
        <v/>
      </c>
      <c r="H1077" s="30" t="str">
        <f aca="false">IF($C1077="","",IFERROR(IF(INDEX(links!$B$2:$B$501,MATCH($C1077,links!$D$2:$D$501,0))="","",INDEX(links!$B$2:$B$501,MATCH($C1077,links!$D$2:$D$501,0))),""))</f>
        <v/>
      </c>
      <c r="I1077" s="30" t="str">
        <f aca="false">IF($C1077="","",IFERROR(IF(INDEX(links!$C$2:$C$501,MATCH($C1077,links!$D$2:$D$501,0))="","",INDEX(links!$C$2:$C$501,MATCH($C1077,links!$D$2:$D$501,0))),""))</f>
        <v/>
      </c>
      <c r="J1077" s="30" t="str">
        <f aca="false">IF($C1077="","",IF($G1077="","slug not in links; ","")&amp;IF($D1077="","reading type missing; ","")&amp;IF(COUNTIFS(scans!$C$2:$C$1601,$C1077,scans!$D$2:$D$1601,$D1077)&gt;1,"two readings of this type: keep one; ",""))</f>
        <v/>
      </c>
    </row>
    <row r="1078" customFormat="false" ht="15" hidden="false" customHeight="false" outlineLevel="0" collapsed="false">
      <c r="A1078" s="11"/>
      <c r="B1078" s="38"/>
      <c r="D1078" s="10"/>
      <c r="G1078" s="30" t="str">
        <f aca="false">IF($C1078="","",IFERROR(IF(INDEX(links!$A$2:$A$501,MATCH($C1078,links!$D$2:$D$501,0))="","",INDEX(links!$A$2:$A$501,MATCH($C1078,links!$D$2:$D$501,0))),""))</f>
        <v/>
      </c>
      <c r="H1078" s="30" t="str">
        <f aca="false">IF($C1078="","",IFERROR(IF(INDEX(links!$B$2:$B$501,MATCH($C1078,links!$D$2:$D$501,0))="","",INDEX(links!$B$2:$B$501,MATCH($C1078,links!$D$2:$D$501,0))),""))</f>
        <v/>
      </c>
      <c r="I1078" s="30" t="str">
        <f aca="false">IF($C1078="","",IFERROR(IF(INDEX(links!$C$2:$C$501,MATCH($C1078,links!$D$2:$D$501,0))="","",INDEX(links!$C$2:$C$501,MATCH($C1078,links!$D$2:$D$501,0))),""))</f>
        <v/>
      </c>
      <c r="J1078" s="30" t="str">
        <f aca="false">IF($C1078="","",IF($G1078="","slug not in links; ","")&amp;IF($D1078="","reading type missing; ","")&amp;IF(COUNTIFS(scans!$C$2:$C$1601,$C1078,scans!$D$2:$D$1601,$D1078)&gt;1,"two readings of this type: keep one; ",""))</f>
        <v/>
      </c>
    </row>
    <row r="1079" customFormat="false" ht="15" hidden="false" customHeight="false" outlineLevel="0" collapsed="false">
      <c r="A1079" s="11"/>
      <c r="B1079" s="38"/>
      <c r="D1079" s="10"/>
      <c r="G1079" s="30" t="str">
        <f aca="false">IF($C1079="","",IFERROR(IF(INDEX(links!$A$2:$A$501,MATCH($C1079,links!$D$2:$D$501,0))="","",INDEX(links!$A$2:$A$501,MATCH($C1079,links!$D$2:$D$501,0))),""))</f>
        <v/>
      </c>
      <c r="H1079" s="30" t="str">
        <f aca="false">IF($C1079="","",IFERROR(IF(INDEX(links!$B$2:$B$501,MATCH($C1079,links!$D$2:$D$501,0))="","",INDEX(links!$B$2:$B$501,MATCH($C1079,links!$D$2:$D$501,0))),""))</f>
        <v/>
      </c>
      <c r="I1079" s="30" t="str">
        <f aca="false">IF($C1079="","",IFERROR(IF(INDEX(links!$C$2:$C$501,MATCH($C1079,links!$D$2:$D$501,0))="","",INDEX(links!$C$2:$C$501,MATCH($C1079,links!$D$2:$D$501,0))),""))</f>
        <v/>
      </c>
      <c r="J1079" s="30" t="str">
        <f aca="false">IF($C1079="","",IF($G1079="","slug not in links; ","")&amp;IF($D1079="","reading type missing; ","")&amp;IF(COUNTIFS(scans!$C$2:$C$1601,$C1079,scans!$D$2:$D$1601,$D1079)&gt;1,"two readings of this type: keep one; ",""))</f>
        <v/>
      </c>
    </row>
    <row r="1080" customFormat="false" ht="15" hidden="false" customHeight="false" outlineLevel="0" collapsed="false">
      <c r="A1080" s="11"/>
      <c r="B1080" s="38"/>
      <c r="D1080" s="10"/>
      <c r="G1080" s="30" t="str">
        <f aca="false">IF($C1080="","",IFERROR(IF(INDEX(links!$A$2:$A$501,MATCH($C1080,links!$D$2:$D$501,0))="","",INDEX(links!$A$2:$A$501,MATCH($C1080,links!$D$2:$D$501,0))),""))</f>
        <v/>
      </c>
      <c r="H1080" s="30" t="str">
        <f aca="false">IF($C1080="","",IFERROR(IF(INDEX(links!$B$2:$B$501,MATCH($C1080,links!$D$2:$D$501,0))="","",INDEX(links!$B$2:$B$501,MATCH($C1080,links!$D$2:$D$501,0))),""))</f>
        <v/>
      </c>
      <c r="I1080" s="30" t="str">
        <f aca="false">IF($C1080="","",IFERROR(IF(INDEX(links!$C$2:$C$501,MATCH($C1080,links!$D$2:$D$501,0))="","",INDEX(links!$C$2:$C$501,MATCH($C1080,links!$D$2:$D$501,0))),""))</f>
        <v/>
      </c>
      <c r="J1080" s="30" t="str">
        <f aca="false">IF($C1080="","",IF($G1080="","slug not in links; ","")&amp;IF($D1080="","reading type missing; ","")&amp;IF(COUNTIFS(scans!$C$2:$C$1601,$C1080,scans!$D$2:$D$1601,$D1080)&gt;1,"two readings of this type: keep one; ",""))</f>
        <v/>
      </c>
    </row>
    <row r="1081" customFormat="false" ht="15" hidden="false" customHeight="false" outlineLevel="0" collapsed="false">
      <c r="A1081" s="11"/>
      <c r="B1081" s="38"/>
      <c r="D1081" s="10"/>
      <c r="G1081" s="30" t="str">
        <f aca="false">IF($C1081="","",IFERROR(IF(INDEX(links!$A$2:$A$501,MATCH($C1081,links!$D$2:$D$501,0))="","",INDEX(links!$A$2:$A$501,MATCH($C1081,links!$D$2:$D$501,0))),""))</f>
        <v/>
      </c>
      <c r="H1081" s="30" t="str">
        <f aca="false">IF($C1081="","",IFERROR(IF(INDEX(links!$B$2:$B$501,MATCH($C1081,links!$D$2:$D$501,0))="","",INDEX(links!$B$2:$B$501,MATCH($C1081,links!$D$2:$D$501,0))),""))</f>
        <v/>
      </c>
      <c r="I1081" s="30" t="str">
        <f aca="false">IF($C1081="","",IFERROR(IF(INDEX(links!$C$2:$C$501,MATCH($C1081,links!$D$2:$D$501,0))="","",INDEX(links!$C$2:$C$501,MATCH($C1081,links!$D$2:$D$501,0))),""))</f>
        <v/>
      </c>
      <c r="J1081" s="30" t="str">
        <f aca="false">IF($C1081="","",IF($G1081="","slug not in links; ","")&amp;IF($D1081="","reading type missing; ","")&amp;IF(COUNTIFS(scans!$C$2:$C$1601,$C1081,scans!$D$2:$D$1601,$D1081)&gt;1,"two readings of this type: keep one; ",""))</f>
        <v/>
      </c>
    </row>
    <row r="1082" customFormat="false" ht="15" hidden="false" customHeight="false" outlineLevel="0" collapsed="false">
      <c r="A1082" s="11"/>
      <c r="B1082" s="38"/>
      <c r="D1082" s="10"/>
      <c r="G1082" s="30" t="str">
        <f aca="false">IF($C1082="","",IFERROR(IF(INDEX(links!$A$2:$A$501,MATCH($C1082,links!$D$2:$D$501,0))="","",INDEX(links!$A$2:$A$501,MATCH($C1082,links!$D$2:$D$501,0))),""))</f>
        <v/>
      </c>
      <c r="H1082" s="30" t="str">
        <f aca="false">IF($C1082="","",IFERROR(IF(INDEX(links!$B$2:$B$501,MATCH($C1082,links!$D$2:$D$501,0))="","",INDEX(links!$B$2:$B$501,MATCH($C1082,links!$D$2:$D$501,0))),""))</f>
        <v/>
      </c>
      <c r="I1082" s="30" t="str">
        <f aca="false">IF($C1082="","",IFERROR(IF(INDEX(links!$C$2:$C$501,MATCH($C1082,links!$D$2:$D$501,0))="","",INDEX(links!$C$2:$C$501,MATCH($C1082,links!$D$2:$D$501,0))),""))</f>
        <v/>
      </c>
      <c r="J1082" s="30" t="str">
        <f aca="false">IF($C1082="","",IF($G1082="","slug not in links; ","")&amp;IF($D1082="","reading type missing; ","")&amp;IF(COUNTIFS(scans!$C$2:$C$1601,$C1082,scans!$D$2:$D$1601,$D1082)&gt;1,"two readings of this type: keep one; ",""))</f>
        <v/>
      </c>
    </row>
    <row r="1083" customFormat="false" ht="15" hidden="false" customHeight="false" outlineLevel="0" collapsed="false">
      <c r="A1083" s="11"/>
      <c r="B1083" s="38"/>
      <c r="D1083" s="10"/>
      <c r="G1083" s="30" t="str">
        <f aca="false">IF($C1083="","",IFERROR(IF(INDEX(links!$A$2:$A$501,MATCH($C1083,links!$D$2:$D$501,0))="","",INDEX(links!$A$2:$A$501,MATCH($C1083,links!$D$2:$D$501,0))),""))</f>
        <v/>
      </c>
      <c r="H1083" s="30" t="str">
        <f aca="false">IF($C1083="","",IFERROR(IF(INDEX(links!$B$2:$B$501,MATCH($C1083,links!$D$2:$D$501,0))="","",INDEX(links!$B$2:$B$501,MATCH($C1083,links!$D$2:$D$501,0))),""))</f>
        <v/>
      </c>
      <c r="I1083" s="30" t="str">
        <f aca="false">IF($C1083="","",IFERROR(IF(INDEX(links!$C$2:$C$501,MATCH($C1083,links!$D$2:$D$501,0))="","",INDEX(links!$C$2:$C$501,MATCH($C1083,links!$D$2:$D$501,0))),""))</f>
        <v/>
      </c>
      <c r="J1083" s="30" t="str">
        <f aca="false">IF($C1083="","",IF($G1083="","slug not in links; ","")&amp;IF($D1083="","reading type missing; ","")&amp;IF(COUNTIFS(scans!$C$2:$C$1601,$C1083,scans!$D$2:$D$1601,$D1083)&gt;1,"two readings of this type: keep one; ",""))</f>
        <v/>
      </c>
    </row>
    <row r="1084" customFormat="false" ht="15" hidden="false" customHeight="false" outlineLevel="0" collapsed="false">
      <c r="A1084" s="11"/>
      <c r="B1084" s="38"/>
      <c r="D1084" s="10"/>
      <c r="G1084" s="30" t="str">
        <f aca="false">IF($C1084="","",IFERROR(IF(INDEX(links!$A$2:$A$501,MATCH($C1084,links!$D$2:$D$501,0))="","",INDEX(links!$A$2:$A$501,MATCH($C1084,links!$D$2:$D$501,0))),""))</f>
        <v/>
      </c>
      <c r="H1084" s="30" t="str">
        <f aca="false">IF($C1084="","",IFERROR(IF(INDEX(links!$B$2:$B$501,MATCH($C1084,links!$D$2:$D$501,0))="","",INDEX(links!$B$2:$B$501,MATCH($C1084,links!$D$2:$D$501,0))),""))</f>
        <v/>
      </c>
      <c r="I1084" s="30" t="str">
        <f aca="false">IF($C1084="","",IFERROR(IF(INDEX(links!$C$2:$C$501,MATCH($C1084,links!$D$2:$D$501,0))="","",INDEX(links!$C$2:$C$501,MATCH($C1084,links!$D$2:$D$501,0))),""))</f>
        <v/>
      </c>
      <c r="J1084" s="30" t="str">
        <f aca="false">IF($C1084="","",IF($G1084="","slug not in links; ","")&amp;IF($D1084="","reading type missing; ","")&amp;IF(COUNTIFS(scans!$C$2:$C$1601,$C1084,scans!$D$2:$D$1601,$D1084)&gt;1,"two readings of this type: keep one; ",""))</f>
        <v/>
      </c>
    </row>
    <row r="1085" customFormat="false" ht="15" hidden="false" customHeight="false" outlineLevel="0" collapsed="false">
      <c r="A1085" s="11"/>
      <c r="B1085" s="38"/>
      <c r="D1085" s="10"/>
      <c r="G1085" s="30" t="str">
        <f aca="false">IF($C1085="","",IFERROR(IF(INDEX(links!$A$2:$A$501,MATCH($C1085,links!$D$2:$D$501,0))="","",INDEX(links!$A$2:$A$501,MATCH($C1085,links!$D$2:$D$501,0))),""))</f>
        <v/>
      </c>
      <c r="H1085" s="30" t="str">
        <f aca="false">IF($C1085="","",IFERROR(IF(INDEX(links!$B$2:$B$501,MATCH($C1085,links!$D$2:$D$501,0))="","",INDEX(links!$B$2:$B$501,MATCH($C1085,links!$D$2:$D$501,0))),""))</f>
        <v/>
      </c>
      <c r="I1085" s="30" t="str">
        <f aca="false">IF($C1085="","",IFERROR(IF(INDEX(links!$C$2:$C$501,MATCH($C1085,links!$D$2:$D$501,0))="","",INDEX(links!$C$2:$C$501,MATCH($C1085,links!$D$2:$D$501,0))),""))</f>
        <v/>
      </c>
      <c r="J1085" s="30" t="str">
        <f aca="false">IF($C1085="","",IF($G1085="","slug not in links; ","")&amp;IF($D1085="","reading type missing; ","")&amp;IF(COUNTIFS(scans!$C$2:$C$1601,$C1085,scans!$D$2:$D$1601,$D1085)&gt;1,"two readings of this type: keep one; ",""))</f>
        <v/>
      </c>
    </row>
    <row r="1086" customFormat="false" ht="15" hidden="false" customHeight="false" outlineLevel="0" collapsed="false">
      <c r="A1086" s="11"/>
      <c r="B1086" s="38"/>
      <c r="D1086" s="10"/>
      <c r="G1086" s="30" t="str">
        <f aca="false">IF($C1086="","",IFERROR(IF(INDEX(links!$A$2:$A$501,MATCH($C1086,links!$D$2:$D$501,0))="","",INDEX(links!$A$2:$A$501,MATCH($C1086,links!$D$2:$D$501,0))),""))</f>
        <v/>
      </c>
      <c r="H1086" s="30" t="str">
        <f aca="false">IF($C1086="","",IFERROR(IF(INDEX(links!$B$2:$B$501,MATCH($C1086,links!$D$2:$D$501,0))="","",INDEX(links!$B$2:$B$501,MATCH($C1086,links!$D$2:$D$501,0))),""))</f>
        <v/>
      </c>
      <c r="I1086" s="30" t="str">
        <f aca="false">IF($C1086="","",IFERROR(IF(INDEX(links!$C$2:$C$501,MATCH($C1086,links!$D$2:$D$501,0))="","",INDEX(links!$C$2:$C$501,MATCH($C1086,links!$D$2:$D$501,0))),""))</f>
        <v/>
      </c>
      <c r="J1086" s="30" t="str">
        <f aca="false">IF($C1086="","",IF($G1086="","slug not in links; ","")&amp;IF($D1086="","reading type missing; ","")&amp;IF(COUNTIFS(scans!$C$2:$C$1601,$C1086,scans!$D$2:$D$1601,$D1086)&gt;1,"two readings of this type: keep one; ",""))</f>
        <v/>
      </c>
    </row>
    <row r="1087" customFormat="false" ht="15" hidden="false" customHeight="false" outlineLevel="0" collapsed="false">
      <c r="A1087" s="11"/>
      <c r="B1087" s="38"/>
      <c r="D1087" s="10"/>
      <c r="G1087" s="30" t="str">
        <f aca="false">IF($C1087="","",IFERROR(IF(INDEX(links!$A$2:$A$501,MATCH($C1087,links!$D$2:$D$501,0))="","",INDEX(links!$A$2:$A$501,MATCH($C1087,links!$D$2:$D$501,0))),""))</f>
        <v/>
      </c>
      <c r="H1087" s="30" t="str">
        <f aca="false">IF($C1087="","",IFERROR(IF(INDEX(links!$B$2:$B$501,MATCH($C1087,links!$D$2:$D$501,0))="","",INDEX(links!$B$2:$B$501,MATCH($C1087,links!$D$2:$D$501,0))),""))</f>
        <v/>
      </c>
      <c r="I1087" s="30" t="str">
        <f aca="false">IF($C1087="","",IFERROR(IF(INDEX(links!$C$2:$C$501,MATCH($C1087,links!$D$2:$D$501,0))="","",INDEX(links!$C$2:$C$501,MATCH($C1087,links!$D$2:$D$501,0))),""))</f>
        <v/>
      </c>
      <c r="J1087" s="30" t="str">
        <f aca="false">IF($C1087="","",IF($G1087="","slug not in links; ","")&amp;IF($D1087="","reading type missing; ","")&amp;IF(COUNTIFS(scans!$C$2:$C$1601,$C1087,scans!$D$2:$D$1601,$D1087)&gt;1,"two readings of this type: keep one; ",""))</f>
        <v/>
      </c>
    </row>
    <row r="1088" customFormat="false" ht="15" hidden="false" customHeight="false" outlineLevel="0" collapsed="false">
      <c r="A1088" s="11"/>
      <c r="B1088" s="38"/>
      <c r="D1088" s="10"/>
      <c r="G1088" s="30" t="str">
        <f aca="false">IF($C1088="","",IFERROR(IF(INDEX(links!$A$2:$A$501,MATCH($C1088,links!$D$2:$D$501,0))="","",INDEX(links!$A$2:$A$501,MATCH($C1088,links!$D$2:$D$501,0))),""))</f>
        <v/>
      </c>
      <c r="H1088" s="30" t="str">
        <f aca="false">IF($C1088="","",IFERROR(IF(INDEX(links!$B$2:$B$501,MATCH($C1088,links!$D$2:$D$501,0))="","",INDEX(links!$B$2:$B$501,MATCH($C1088,links!$D$2:$D$501,0))),""))</f>
        <v/>
      </c>
      <c r="I1088" s="30" t="str">
        <f aca="false">IF($C1088="","",IFERROR(IF(INDEX(links!$C$2:$C$501,MATCH($C1088,links!$D$2:$D$501,0))="","",INDEX(links!$C$2:$C$501,MATCH($C1088,links!$D$2:$D$501,0))),""))</f>
        <v/>
      </c>
      <c r="J1088" s="30" t="str">
        <f aca="false">IF($C1088="","",IF($G1088="","slug not in links; ","")&amp;IF($D1088="","reading type missing; ","")&amp;IF(COUNTIFS(scans!$C$2:$C$1601,$C1088,scans!$D$2:$D$1601,$D1088)&gt;1,"two readings of this type: keep one; ",""))</f>
        <v/>
      </c>
    </row>
    <row r="1089" customFormat="false" ht="15" hidden="false" customHeight="false" outlineLevel="0" collapsed="false">
      <c r="A1089" s="11"/>
      <c r="B1089" s="38"/>
      <c r="D1089" s="10"/>
      <c r="G1089" s="30" t="str">
        <f aca="false">IF($C1089="","",IFERROR(IF(INDEX(links!$A$2:$A$501,MATCH($C1089,links!$D$2:$D$501,0))="","",INDEX(links!$A$2:$A$501,MATCH($C1089,links!$D$2:$D$501,0))),""))</f>
        <v/>
      </c>
      <c r="H1089" s="30" t="str">
        <f aca="false">IF($C1089="","",IFERROR(IF(INDEX(links!$B$2:$B$501,MATCH($C1089,links!$D$2:$D$501,0))="","",INDEX(links!$B$2:$B$501,MATCH($C1089,links!$D$2:$D$501,0))),""))</f>
        <v/>
      </c>
      <c r="I1089" s="30" t="str">
        <f aca="false">IF($C1089="","",IFERROR(IF(INDEX(links!$C$2:$C$501,MATCH($C1089,links!$D$2:$D$501,0))="","",INDEX(links!$C$2:$C$501,MATCH($C1089,links!$D$2:$D$501,0))),""))</f>
        <v/>
      </c>
      <c r="J1089" s="30" t="str">
        <f aca="false">IF($C1089="","",IF($G1089="","slug not in links; ","")&amp;IF($D1089="","reading type missing; ","")&amp;IF(COUNTIFS(scans!$C$2:$C$1601,$C1089,scans!$D$2:$D$1601,$D1089)&gt;1,"two readings of this type: keep one; ",""))</f>
        <v/>
      </c>
    </row>
    <row r="1090" customFormat="false" ht="15" hidden="false" customHeight="false" outlineLevel="0" collapsed="false">
      <c r="A1090" s="11"/>
      <c r="B1090" s="38"/>
      <c r="D1090" s="10"/>
      <c r="G1090" s="30" t="str">
        <f aca="false">IF($C1090="","",IFERROR(IF(INDEX(links!$A$2:$A$501,MATCH($C1090,links!$D$2:$D$501,0))="","",INDEX(links!$A$2:$A$501,MATCH($C1090,links!$D$2:$D$501,0))),""))</f>
        <v/>
      </c>
      <c r="H1090" s="30" t="str">
        <f aca="false">IF($C1090="","",IFERROR(IF(INDEX(links!$B$2:$B$501,MATCH($C1090,links!$D$2:$D$501,0))="","",INDEX(links!$B$2:$B$501,MATCH($C1090,links!$D$2:$D$501,0))),""))</f>
        <v/>
      </c>
      <c r="I1090" s="30" t="str">
        <f aca="false">IF($C1090="","",IFERROR(IF(INDEX(links!$C$2:$C$501,MATCH($C1090,links!$D$2:$D$501,0))="","",INDEX(links!$C$2:$C$501,MATCH($C1090,links!$D$2:$D$501,0))),""))</f>
        <v/>
      </c>
      <c r="J1090" s="30" t="str">
        <f aca="false">IF($C1090="","",IF($G1090="","slug not in links; ","")&amp;IF($D1090="","reading type missing; ","")&amp;IF(COUNTIFS(scans!$C$2:$C$1601,$C1090,scans!$D$2:$D$1601,$D1090)&gt;1,"two readings of this type: keep one; ",""))</f>
        <v/>
      </c>
    </row>
    <row r="1091" customFormat="false" ht="15" hidden="false" customHeight="false" outlineLevel="0" collapsed="false">
      <c r="A1091" s="11"/>
      <c r="B1091" s="38"/>
      <c r="D1091" s="10"/>
      <c r="G1091" s="30" t="str">
        <f aca="false">IF($C1091="","",IFERROR(IF(INDEX(links!$A$2:$A$501,MATCH($C1091,links!$D$2:$D$501,0))="","",INDEX(links!$A$2:$A$501,MATCH($C1091,links!$D$2:$D$501,0))),""))</f>
        <v/>
      </c>
      <c r="H1091" s="30" t="str">
        <f aca="false">IF($C1091="","",IFERROR(IF(INDEX(links!$B$2:$B$501,MATCH($C1091,links!$D$2:$D$501,0))="","",INDEX(links!$B$2:$B$501,MATCH($C1091,links!$D$2:$D$501,0))),""))</f>
        <v/>
      </c>
      <c r="I1091" s="30" t="str">
        <f aca="false">IF($C1091="","",IFERROR(IF(INDEX(links!$C$2:$C$501,MATCH($C1091,links!$D$2:$D$501,0))="","",INDEX(links!$C$2:$C$501,MATCH($C1091,links!$D$2:$D$501,0))),""))</f>
        <v/>
      </c>
      <c r="J1091" s="30" t="str">
        <f aca="false">IF($C1091="","",IF($G1091="","slug not in links; ","")&amp;IF($D1091="","reading type missing; ","")&amp;IF(COUNTIFS(scans!$C$2:$C$1601,$C1091,scans!$D$2:$D$1601,$D1091)&gt;1,"two readings of this type: keep one; ",""))</f>
        <v/>
      </c>
    </row>
    <row r="1092" customFormat="false" ht="15" hidden="false" customHeight="false" outlineLevel="0" collapsed="false">
      <c r="A1092" s="11"/>
      <c r="B1092" s="38"/>
      <c r="D1092" s="10"/>
      <c r="G1092" s="30" t="str">
        <f aca="false">IF($C1092="","",IFERROR(IF(INDEX(links!$A$2:$A$501,MATCH($C1092,links!$D$2:$D$501,0))="","",INDEX(links!$A$2:$A$501,MATCH($C1092,links!$D$2:$D$501,0))),""))</f>
        <v/>
      </c>
      <c r="H1092" s="30" t="str">
        <f aca="false">IF($C1092="","",IFERROR(IF(INDEX(links!$B$2:$B$501,MATCH($C1092,links!$D$2:$D$501,0))="","",INDEX(links!$B$2:$B$501,MATCH($C1092,links!$D$2:$D$501,0))),""))</f>
        <v/>
      </c>
      <c r="I1092" s="30" t="str">
        <f aca="false">IF($C1092="","",IFERROR(IF(INDEX(links!$C$2:$C$501,MATCH($C1092,links!$D$2:$D$501,0))="","",INDEX(links!$C$2:$C$501,MATCH($C1092,links!$D$2:$D$501,0))),""))</f>
        <v/>
      </c>
      <c r="J1092" s="30" t="str">
        <f aca="false">IF($C1092="","",IF($G1092="","slug not in links; ","")&amp;IF($D1092="","reading type missing; ","")&amp;IF(COUNTIFS(scans!$C$2:$C$1601,$C1092,scans!$D$2:$D$1601,$D1092)&gt;1,"two readings of this type: keep one; ",""))</f>
        <v/>
      </c>
    </row>
    <row r="1093" customFormat="false" ht="15" hidden="false" customHeight="false" outlineLevel="0" collapsed="false">
      <c r="A1093" s="11"/>
      <c r="B1093" s="38"/>
      <c r="D1093" s="10"/>
      <c r="G1093" s="30" t="str">
        <f aca="false">IF($C1093="","",IFERROR(IF(INDEX(links!$A$2:$A$501,MATCH($C1093,links!$D$2:$D$501,0))="","",INDEX(links!$A$2:$A$501,MATCH($C1093,links!$D$2:$D$501,0))),""))</f>
        <v/>
      </c>
      <c r="H1093" s="30" t="str">
        <f aca="false">IF($C1093="","",IFERROR(IF(INDEX(links!$B$2:$B$501,MATCH($C1093,links!$D$2:$D$501,0))="","",INDEX(links!$B$2:$B$501,MATCH($C1093,links!$D$2:$D$501,0))),""))</f>
        <v/>
      </c>
      <c r="I1093" s="30" t="str">
        <f aca="false">IF($C1093="","",IFERROR(IF(INDEX(links!$C$2:$C$501,MATCH($C1093,links!$D$2:$D$501,0))="","",INDEX(links!$C$2:$C$501,MATCH($C1093,links!$D$2:$D$501,0))),""))</f>
        <v/>
      </c>
      <c r="J1093" s="30" t="str">
        <f aca="false">IF($C1093="","",IF($G1093="","slug not in links; ","")&amp;IF($D1093="","reading type missing; ","")&amp;IF(COUNTIFS(scans!$C$2:$C$1601,$C1093,scans!$D$2:$D$1601,$D1093)&gt;1,"two readings of this type: keep one; ",""))</f>
        <v/>
      </c>
    </row>
    <row r="1094" customFormat="false" ht="15" hidden="false" customHeight="false" outlineLevel="0" collapsed="false">
      <c r="A1094" s="11"/>
      <c r="B1094" s="38"/>
      <c r="D1094" s="10"/>
      <c r="G1094" s="30" t="str">
        <f aca="false">IF($C1094="","",IFERROR(IF(INDEX(links!$A$2:$A$501,MATCH($C1094,links!$D$2:$D$501,0))="","",INDEX(links!$A$2:$A$501,MATCH($C1094,links!$D$2:$D$501,0))),""))</f>
        <v/>
      </c>
      <c r="H1094" s="30" t="str">
        <f aca="false">IF($C1094="","",IFERROR(IF(INDEX(links!$B$2:$B$501,MATCH($C1094,links!$D$2:$D$501,0))="","",INDEX(links!$B$2:$B$501,MATCH($C1094,links!$D$2:$D$501,0))),""))</f>
        <v/>
      </c>
      <c r="I1094" s="30" t="str">
        <f aca="false">IF($C1094="","",IFERROR(IF(INDEX(links!$C$2:$C$501,MATCH($C1094,links!$D$2:$D$501,0))="","",INDEX(links!$C$2:$C$501,MATCH($C1094,links!$D$2:$D$501,0))),""))</f>
        <v/>
      </c>
      <c r="J1094" s="30" t="str">
        <f aca="false">IF($C1094="","",IF($G1094="","slug not in links; ","")&amp;IF($D1094="","reading type missing; ","")&amp;IF(COUNTIFS(scans!$C$2:$C$1601,$C1094,scans!$D$2:$D$1601,$D1094)&gt;1,"two readings of this type: keep one; ",""))</f>
        <v/>
      </c>
    </row>
    <row r="1095" customFormat="false" ht="15" hidden="false" customHeight="false" outlineLevel="0" collapsed="false">
      <c r="A1095" s="11"/>
      <c r="B1095" s="38"/>
      <c r="D1095" s="10"/>
      <c r="G1095" s="30" t="str">
        <f aca="false">IF($C1095="","",IFERROR(IF(INDEX(links!$A$2:$A$501,MATCH($C1095,links!$D$2:$D$501,0))="","",INDEX(links!$A$2:$A$501,MATCH($C1095,links!$D$2:$D$501,0))),""))</f>
        <v/>
      </c>
      <c r="H1095" s="30" t="str">
        <f aca="false">IF($C1095="","",IFERROR(IF(INDEX(links!$B$2:$B$501,MATCH($C1095,links!$D$2:$D$501,0))="","",INDEX(links!$B$2:$B$501,MATCH($C1095,links!$D$2:$D$501,0))),""))</f>
        <v/>
      </c>
      <c r="I1095" s="30" t="str">
        <f aca="false">IF($C1095="","",IFERROR(IF(INDEX(links!$C$2:$C$501,MATCH($C1095,links!$D$2:$D$501,0))="","",INDEX(links!$C$2:$C$501,MATCH($C1095,links!$D$2:$D$501,0))),""))</f>
        <v/>
      </c>
      <c r="J1095" s="30" t="str">
        <f aca="false">IF($C1095="","",IF($G1095="","slug not in links; ","")&amp;IF($D1095="","reading type missing; ","")&amp;IF(COUNTIFS(scans!$C$2:$C$1601,$C1095,scans!$D$2:$D$1601,$D1095)&gt;1,"two readings of this type: keep one; ",""))</f>
        <v/>
      </c>
    </row>
    <row r="1096" customFormat="false" ht="15" hidden="false" customHeight="false" outlineLevel="0" collapsed="false">
      <c r="A1096" s="11"/>
      <c r="B1096" s="38"/>
      <c r="D1096" s="10"/>
      <c r="G1096" s="30" t="str">
        <f aca="false">IF($C1096="","",IFERROR(IF(INDEX(links!$A$2:$A$501,MATCH($C1096,links!$D$2:$D$501,0))="","",INDEX(links!$A$2:$A$501,MATCH($C1096,links!$D$2:$D$501,0))),""))</f>
        <v/>
      </c>
      <c r="H1096" s="30" t="str">
        <f aca="false">IF($C1096="","",IFERROR(IF(INDEX(links!$B$2:$B$501,MATCH($C1096,links!$D$2:$D$501,0))="","",INDEX(links!$B$2:$B$501,MATCH($C1096,links!$D$2:$D$501,0))),""))</f>
        <v/>
      </c>
      <c r="I1096" s="30" t="str">
        <f aca="false">IF($C1096="","",IFERROR(IF(INDEX(links!$C$2:$C$501,MATCH($C1096,links!$D$2:$D$501,0))="","",INDEX(links!$C$2:$C$501,MATCH($C1096,links!$D$2:$D$501,0))),""))</f>
        <v/>
      </c>
      <c r="J1096" s="30" t="str">
        <f aca="false">IF($C1096="","",IF($G1096="","slug not in links; ","")&amp;IF($D1096="","reading type missing; ","")&amp;IF(COUNTIFS(scans!$C$2:$C$1601,$C1096,scans!$D$2:$D$1601,$D1096)&gt;1,"two readings of this type: keep one; ",""))</f>
        <v/>
      </c>
    </row>
    <row r="1097" customFormat="false" ht="15" hidden="false" customHeight="false" outlineLevel="0" collapsed="false">
      <c r="A1097" s="11"/>
      <c r="B1097" s="38"/>
      <c r="D1097" s="10"/>
      <c r="G1097" s="30" t="str">
        <f aca="false">IF($C1097="","",IFERROR(IF(INDEX(links!$A$2:$A$501,MATCH($C1097,links!$D$2:$D$501,0))="","",INDEX(links!$A$2:$A$501,MATCH($C1097,links!$D$2:$D$501,0))),""))</f>
        <v/>
      </c>
      <c r="H1097" s="30" t="str">
        <f aca="false">IF($C1097="","",IFERROR(IF(INDEX(links!$B$2:$B$501,MATCH($C1097,links!$D$2:$D$501,0))="","",INDEX(links!$B$2:$B$501,MATCH($C1097,links!$D$2:$D$501,0))),""))</f>
        <v/>
      </c>
      <c r="I1097" s="30" t="str">
        <f aca="false">IF($C1097="","",IFERROR(IF(INDEX(links!$C$2:$C$501,MATCH($C1097,links!$D$2:$D$501,0))="","",INDEX(links!$C$2:$C$501,MATCH($C1097,links!$D$2:$D$501,0))),""))</f>
        <v/>
      </c>
      <c r="J1097" s="30" t="str">
        <f aca="false">IF($C1097="","",IF($G1097="","slug not in links; ","")&amp;IF($D1097="","reading type missing; ","")&amp;IF(COUNTIFS(scans!$C$2:$C$1601,$C1097,scans!$D$2:$D$1601,$D1097)&gt;1,"two readings of this type: keep one; ",""))</f>
        <v/>
      </c>
    </row>
    <row r="1098" customFormat="false" ht="15" hidden="false" customHeight="false" outlineLevel="0" collapsed="false">
      <c r="A1098" s="11"/>
      <c r="B1098" s="38"/>
      <c r="D1098" s="10"/>
      <c r="G1098" s="30" t="str">
        <f aca="false">IF($C1098="","",IFERROR(IF(INDEX(links!$A$2:$A$501,MATCH($C1098,links!$D$2:$D$501,0))="","",INDEX(links!$A$2:$A$501,MATCH($C1098,links!$D$2:$D$501,0))),""))</f>
        <v/>
      </c>
      <c r="H1098" s="30" t="str">
        <f aca="false">IF($C1098="","",IFERROR(IF(INDEX(links!$B$2:$B$501,MATCH($C1098,links!$D$2:$D$501,0))="","",INDEX(links!$B$2:$B$501,MATCH($C1098,links!$D$2:$D$501,0))),""))</f>
        <v/>
      </c>
      <c r="I1098" s="30" t="str">
        <f aca="false">IF($C1098="","",IFERROR(IF(INDEX(links!$C$2:$C$501,MATCH($C1098,links!$D$2:$D$501,0))="","",INDEX(links!$C$2:$C$501,MATCH($C1098,links!$D$2:$D$501,0))),""))</f>
        <v/>
      </c>
      <c r="J1098" s="30" t="str">
        <f aca="false">IF($C1098="","",IF($G1098="","slug not in links; ","")&amp;IF($D1098="","reading type missing; ","")&amp;IF(COUNTIFS(scans!$C$2:$C$1601,$C1098,scans!$D$2:$D$1601,$D1098)&gt;1,"two readings of this type: keep one; ",""))</f>
        <v/>
      </c>
    </row>
    <row r="1099" customFormat="false" ht="15" hidden="false" customHeight="false" outlineLevel="0" collapsed="false">
      <c r="A1099" s="11"/>
      <c r="B1099" s="38"/>
      <c r="D1099" s="10"/>
      <c r="G1099" s="30" t="str">
        <f aca="false">IF($C1099="","",IFERROR(IF(INDEX(links!$A$2:$A$501,MATCH($C1099,links!$D$2:$D$501,0))="","",INDEX(links!$A$2:$A$501,MATCH($C1099,links!$D$2:$D$501,0))),""))</f>
        <v/>
      </c>
      <c r="H1099" s="30" t="str">
        <f aca="false">IF($C1099="","",IFERROR(IF(INDEX(links!$B$2:$B$501,MATCH($C1099,links!$D$2:$D$501,0))="","",INDEX(links!$B$2:$B$501,MATCH($C1099,links!$D$2:$D$501,0))),""))</f>
        <v/>
      </c>
      <c r="I1099" s="30" t="str">
        <f aca="false">IF($C1099="","",IFERROR(IF(INDEX(links!$C$2:$C$501,MATCH($C1099,links!$D$2:$D$501,0))="","",INDEX(links!$C$2:$C$501,MATCH($C1099,links!$D$2:$D$501,0))),""))</f>
        <v/>
      </c>
      <c r="J1099" s="30" t="str">
        <f aca="false">IF($C1099="","",IF($G1099="","slug not in links; ","")&amp;IF($D1099="","reading type missing; ","")&amp;IF(COUNTIFS(scans!$C$2:$C$1601,$C1099,scans!$D$2:$D$1601,$D1099)&gt;1,"two readings of this type: keep one; ",""))</f>
        <v/>
      </c>
    </row>
    <row r="1100" customFormat="false" ht="15" hidden="false" customHeight="false" outlineLevel="0" collapsed="false">
      <c r="A1100" s="11"/>
      <c r="B1100" s="38"/>
      <c r="D1100" s="10"/>
      <c r="G1100" s="30" t="str">
        <f aca="false">IF($C1100="","",IFERROR(IF(INDEX(links!$A$2:$A$501,MATCH($C1100,links!$D$2:$D$501,0))="","",INDEX(links!$A$2:$A$501,MATCH($C1100,links!$D$2:$D$501,0))),""))</f>
        <v/>
      </c>
      <c r="H1100" s="30" t="str">
        <f aca="false">IF($C1100="","",IFERROR(IF(INDEX(links!$B$2:$B$501,MATCH($C1100,links!$D$2:$D$501,0))="","",INDEX(links!$B$2:$B$501,MATCH($C1100,links!$D$2:$D$501,0))),""))</f>
        <v/>
      </c>
      <c r="I1100" s="30" t="str">
        <f aca="false">IF($C1100="","",IFERROR(IF(INDEX(links!$C$2:$C$501,MATCH($C1100,links!$D$2:$D$501,0))="","",INDEX(links!$C$2:$C$501,MATCH($C1100,links!$D$2:$D$501,0))),""))</f>
        <v/>
      </c>
      <c r="J1100" s="30" t="str">
        <f aca="false">IF($C1100="","",IF($G1100="","slug not in links; ","")&amp;IF($D1100="","reading type missing; ","")&amp;IF(COUNTIFS(scans!$C$2:$C$1601,$C1100,scans!$D$2:$D$1601,$D1100)&gt;1,"two readings of this type: keep one; ",""))</f>
        <v/>
      </c>
    </row>
    <row r="1101" customFormat="false" ht="15" hidden="false" customHeight="false" outlineLevel="0" collapsed="false">
      <c r="A1101" s="11"/>
      <c r="B1101" s="38"/>
      <c r="D1101" s="10"/>
      <c r="G1101" s="30" t="str">
        <f aca="false">IF($C1101="","",IFERROR(IF(INDEX(links!$A$2:$A$501,MATCH($C1101,links!$D$2:$D$501,0))="","",INDEX(links!$A$2:$A$501,MATCH($C1101,links!$D$2:$D$501,0))),""))</f>
        <v/>
      </c>
      <c r="H1101" s="30" t="str">
        <f aca="false">IF($C1101="","",IFERROR(IF(INDEX(links!$B$2:$B$501,MATCH($C1101,links!$D$2:$D$501,0))="","",INDEX(links!$B$2:$B$501,MATCH($C1101,links!$D$2:$D$501,0))),""))</f>
        <v/>
      </c>
      <c r="I1101" s="30" t="str">
        <f aca="false">IF($C1101="","",IFERROR(IF(INDEX(links!$C$2:$C$501,MATCH($C1101,links!$D$2:$D$501,0))="","",INDEX(links!$C$2:$C$501,MATCH($C1101,links!$D$2:$D$501,0))),""))</f>
        <v/>
      </c>
      <c r="J1101" s="30" t="str">
        <f aca="false">IF($C1101="","",IF($G1101="","slug not in links; ","")&amp;IF($D1101="","reading type missing; ","")&amp;IF(COUNTIFS(scans!$C$2:$C$1601,$C1101,scans!$D$2:$D$1601,$D1101)&gt;1,"two readings of this type: keep one; ",""))</f>
        <v/>
      </c>
    </row>
    <row r="1102" customFormat="false" ht="15" hidden="false" customHeight="false" outlineLevel="0" collapsed="false">
      <c r="A1102" s="11"/>
      <c r="B1102" s="38"/>
      <c r="D1102" s="10"/>
      <c r="G1102" s="30" t="str">
        <f aca="false">IF($C1102="","",IFERROR(IF(INDEX(links!$A$2:$A$501,MATCH($C1102,links!$D$2:$D$501,0))="","",INDEX(links!$A$2:$A$501,MATCH($C1102,links!$D$2:$D$501,0))),""))</f>
        <v/>
      </c>
      <c r="H1102" s="30" t="str">
        <f aca="false">IF($C1102="","",IFERROR(IF(INDEX(links!$B$2:$B$501,MATCH($C1102,links!$D$2:$D$501,0))="","",INDEX(links!$B$2:$B$501,MATCH($C1102,links!$D$2:$D$501,0))),""))</f>
        <v/>
      </c>
      <c r="I1102" s="30" t="str">
        <f aca="false">IF($C1102="","",IFERROR(IF(INDEX(links!$C$2:$C$501,MATCH($C1102,links!$D$2:$D$501,0))="","",INDEX(links!$C$2:$C$501,MATCH($C1102,links!$D$2:$D$501,0))),""))</f>
        <v/>
      </c>
      <c r="J1102" s="30" t="str">
        <f aca="false">IF($C1102="","",IF($G1102="","slug not in links; ","")&amp;IF($D1102="","reading type missing; ","")&amp;IF(COUNTIFS(scans!$C$2:$C$1601,$C1102,scans!$D$2:$D$1601,$D1102)&gt;1,"two readings of this type: keep one; ",""))</f>
        <v/>
      </c>
    </row>
    <row r="1103" customFormat="false" ht="15" hidden="false" customHeight="false" outlineLevel="0" collapsed="false">
      <c r="A1103" s="11"/>
      <c r="B1103" s="38"/>
      <c r="D1103" s="10"/>
      <c r="G1103" s="30" t="str">
        <f aca="false">IF($C1103="","",IFERROR(IF(INDEX(links!$A$2:$A$501,MATCH($C1103,links!$D$2:$D$501,0))="","",INDEX(links!$A$2:$A$501,MATCH($C1103,links!$D$2:$D$501,0))),""))</f>
        <v/>
      </c>
      <c r="H1103" s="30" t="str">
        <f aca="false">IF($C1103="","",IFERROR(IF(INDEX(links!$B$2:$B$501,MATCH($C1103,links!$D$2:$D$501,0))="","",INDEX(links!$B$2:$B$501,MATCH($C1103,links!$D$2:$D$501,0))),""))</f>
        <v/>
      </c>
      <c r="I1103" s="30" t="str">
        <f aca="false">IF($C1103="","",IFERROR(IF(INDEX(links!$C$2:$C$501,MATCH($C1103,links!$D$2:$D$501,0))="","",INDEX(links!$C$2:$C$501,MATCH($C1103,links!$D$2:$D$501,0))),""))</f>
        <v/>
      </c>
      <c r="J1103" s="30" t="str">
        <f aca="false">IF($C1103="","",IF($G1103="","slug not in links; ","")&amp;IF($D1103="","reading type missing; ","")&amp;IF(COUNTIFS(scans!$C$2:$C$1601,$C1103,scans!$D$2:$D$1601,$D1103)&gt;1,"two readings of this type: keep one; ",""))</f>
        <v/>
      </c>
    </row>
    <row r="1104" customFormat="false" ht="15" hidden="false" customHeight="false" outlineLevel="0" collapsed="false">
      <c r="A1104" s="11"/>
      <c r="B1104" s="38"/>
      <c r="D1104" s="10"/>
      <c r="G1104" s="30" t="str">
        <f aca="false">IF($C1104="","",IFERROR(IF(INDEX(links!$A$2:$A$501,MATCH($C1104,links!$D$2:$D$501,0))="","",INDEX(links!$A$2:$A$501,MATCH($C1104,links!$D$2:$D$501,0))),""))</f>
        <v/>
      </c>
      <c r="H1104" s="30" t="str">
        <f aca="false">IF($C1104="","",IFERROR(IF(INDEX(links!$B$2:$B$501,MATCH($C1104,links!$D$2:$D$501,0))="","",INDEX(links!$B$2:$B$501,MATCH($C1104,links!$D$2:$D$501,0))),""))</f>
        <v/>
      </c>
      <c r="I1104" s="30" t="str">
        <f aca="false">IF($C1104="","",IFERROR(IF(INDEX(links!$C$2:$C$501,MATCH($C1104,links!$D$2:$D$501,0))="","",INDEX(links!$C$2:$C$501,MATCH($C1104,links!$D$2:$D$501,0))),""))</f>
        <v/>
      </c>
      <c r="J1104" s="30" t="str">
        <f aca="false">IF($C1104="","",IF($G1104="","slug not in links; ","")&amp;IF($D1104="","reading type missing; ","")&amp;IF(COUNTIFS(scans!$C$2:$C$1601,$C1104,scans!$D$2:$D$1601,$D1104)&gt;1,"two readings of this type: keep one; ",""))</f>
        <v/>
      </c>
    </row>
    <row r="1105" customFormat="false" ht="15" hidden="false" customHeight="false" outlineLevel="0" collapsed="false">
      <c r="A1105" s="11"/>
      <c r="B1105" s="38"/>
      <c r="D1105" s="10"/>
      <c r="G1105" s="30" t="str">
        <f aca="false">IF($C1105="","",IFERROR(IF(INDEX(links!$A$2:$A$501,MATCH($C1105,links!$D$2:$D$501,0))="","",INDEX(links!$A$2:$A$501,MATCH($C1105,links!$D$2:$D$501,0))),""))</f>
        <v/>
      </c>
      <c r="H1105" s="30" t="str">
        <f aca="false">IF($C1105="","",IFERROR(IF(INDEX(links!$B$2:$B$501,MATCH($C1105,links!$D$2:$D$501,0))="","",INDEX(links!$B$2:$B$501,MATCH($C1105,links!$D$2:$D$501,0))),""))</f>
        <v/>
      </c>
      <c r="I1105" s="30" t="str">
        <f aca="false">IF($C1105="","",IFERROR(IF(INDEX(links!$C$2:$C$501,MATCH($C1105,links!$D$2:$D$501,0))="","",INDEX(links!$C$2:$C$501,MATCH($C1105,links!$D$2:$D$501,0))),""))</f>
        <v/>
      </c>
      <c r="J1105" s="30" t="str">
        <f aca="false">IF($C1105="","",IF($G1105="","slug not in links; ","")&amp;IF($D1105="","reading type missing; ","")&amp;IF(COUNTIFS(scans!$C$2:$C$1601,$C1105,scans!$D$2:$D$1601,$D1105)&gt;1,"two readings of this type: keep one; ",""))</f>
        <v/>
      </c>
    </row>
    <row r="1106" customFormat="false" ht="15" hidden="false" customHeight="false" outlineLevel="0" collapsed="false">
      <c r="A1106" s="11"/>
      <c r="B1106" s="38"/>
      <c r="D1106" s="10"/>
      <c r="G1106" s="30" t="str">
        <f aca="false">IF($C1106="","",IFERROR(IF(INDEX(links!$A$2:$A$501,MATCH($C1106,links!$D$2:$D$501,0))="","",INDEX(links!$A$2:$A$501,MATCH($C1106,links!$D$2:$D$501,0))),""))</f>
        <v/>
      </c>
      <c r="H1106" s="30" t="str">
        <f aca="false">IF($C1106="","",IFERROR(IF(INDEX(links!$B$2:$B$501,MATCH($C1106,links!$D$2:$D$501,0))="","",INDEX(links!$B$2:$B$501,MATCH($C1106,links!$D$2:$D$501,0))),""))</f>
        <v/>
      </c>
      <c r="I1106" s="30" t="str">
        <f aca="false">IF($C1106="","",IFERROR(IF(INDEX(links!$C$2:$C$501,MATCH($C1106,links!$D$2:$D$501,0))="","",INDEX(links!$C$2:$C$501,MATCH($C1106,links!$D$2:$D$501,0))),""))</f>
        <v/>
      </c>
      <c r="J1106" s="30" t="str">
        <f aca="false">IF($C1106="","",IF($G1106="","slug not in links; ","")&amp;IF($D1106="","reading type missing; ","")&amp;IF(COUNTIFS(scans!$C$2:$C$1601,$C1106,scans!$D$2:$D$1601,$D1106)&gt;1,"two readings of this type: keep one; ",""))</f>
        <v/>
      </c>
    </row>
    <row r="1107" customFormat="false" ht="15" hidden="false" customHeight="false" outlineLevel="0" collapsed="false">
      <c r="A1107" s="11"/>
      <c r="B1107" s="38"/>
      <c r="D1107" s="10"/>
      <c r="G1107" s="30" t="str">
        <f aca="false">IF($C1107="","",IFERROR(IF(INDEX(links!$A$2:$A$501,MATCH($C1107,links!$D$2:$D$501,0))="","",INDEX(links!$A$2:$A$501,MATCH($C1107,links!$D$2:$D$501,0))),""))</f>
        <v/>
      </c>
      <c r="H1107" s="30" t="str">
        <f aca="false">IF($C1107="","",IFERROR(IF(INDEX(links!$B$2:$B$501,MATCH($C1107,links!$D$2:$D$501,0))="","",INDEX(links!$B$2:$B$501,MATCH($C1107,links!$D$2:$D$501,0))),""))</f>
        <v/>
      </c>
      <c r="I1107" s="30" t="str">
        <f aca="false">IF($C1107="","",IFERROR(IF(INDEX(links!$C$2:$C$501,MATCH($C1107,links!$D$2:$D$501,0))="","",INDEX(links!$C$2:$C$501,MATCH($C1107,links!$D$2:$D$501,0))),""))</f>
        <v/>
      </c>
      <c r="J1107" s="30" t="str">
        <f aca="false">IF($C1107="","",IF($G1107="","slug not in links; ","")&amp;IF($D1107="","reading type missing; ","")&amp;IF(COUNTIFS(scans!$C$2:$C$1601,$C1107,scans!$D$2:$D$1601,$D1107)&gt;1,"two readings of this type: keep one; ",""))</f>
        <v/>
      </c>
    </row>
    <row r="1108" customFormat="false" ht="15" hidden="false" customHeight="false" outlineLevel="0" collapsed="false">
      <c r="A1108" s="11"/>
      <c r="B1108" s="38"/>
      <c r="D1108" s="10"/>
      <c r="G1108" s="30" t="str">
        <f aca="false">IF($C1108="","",IFERROR(IF(INDEX(links!$A$2:$A$501,MATCH($C1108,links!$D$2:$D$501,0))="","",INDEX(links!$A$2:$A$501,MATCH($C1108,links!$D$2:$D$501,0))),""))</f>
        <v/>
      </c>
      <c r="H1108" s="30" t="str">
        <f aca="false">IF($C1108="","",IFERROR(IF(INDEX(links!$B$2:$B$501,MATCH($C1108,links!$D$2:$D$501,0))="","",INDEX(links!$B$2:$B$501,MATCH($C1108,links!$D$2:$D$501,0))),""))</f>
        <v/>
      </c>
      <c r="I1108" s="30" t="str">
        <f aca="false">IF($C1108="","",IFERROR(IF(INDEX(links!$C$2:$C$501,MATCH($C1108,links!$D$2:$D$501,0))="","",INDEX(links!$C$2:$C$501,MATCH($C1108,links!$D$2:$D$501,0))),""))</f>
        <v/>
      </c>
      <c r="J1108" s="30" t="str">
        <f aca="false">IF($C1108="","",IF($G1108="","slug not in links; ","")&amp;IF($D1108="","reading type missing; ","")&amp;IF(COUNTIFS(scans!$C$2:$C$1601,$C1108,scans!$D$2:$D$1601,$D1108)&gt;1,"two readings of this type: keep one; ",""))</f>
        <v/>
      </c>
    </row>
    <row r="1109" customFormat="false" ht="15" hidden="false" customHeight="false" outlineLevel="0" collapsed="false">
      <c r="A1109" s="11"/>
      <c r="B1109" s="38"/>
      <c r="D1109" s="10"/>
      <c r="G1109" s="30" t="str">
        <f aca="false">IF($C1109="","",IFERROR(IF(INDEX(links!$A$2:$A$501,MATCH($C1109,links!$D$2:$D$501,0))="","",INDEX(links!$A$2:$A$501,MATCH($C1109,links!$D$2:$D$501,0))),""))</f>
        <v/>
      </c>
      <c r="H1109" s="30" t="str">
        <f aca="false">IF($C1109="","",IFERROR(IF(INDEX(links!$B$2:$B$501,MATCH($C1109,links!$D$2:$D$501,0))="","",INDEX(links!$B$2:$B$501,MATCH($C1109,links!$D$2:$D$501,0))),""))</f>
        <v/>
      </c>
      <c r="I1109" s="30" t="str">
        <f aca="false">IF($C1109="","",IFERROR(IF(INDEX(links!$C$2:$C$501,MATCH($C1109,links!$D$2:$D$501,0))="","",INDEX(links!$C$2:$C$501,MATCH($C1109,links!$D$2:$D$501,0))),""))</f>
        <v/>
      </c>
      <c r="J1109" s="30" t="str">
        <f aca="false">IF($C1109="","",IF($G1109="","slug not in links; ","")&amp;IF($D1109="","reading type missing; ","")&amp;IF(COUNTIFS(scans!$C$2:$C$1601,$C1109,scans!$D$2:$D$1601,$D1109)&gt;1,"two readings of this type: keep one; ",""))</f>
        <v/>
      </c>
    </row>
    <row r="1110" customFormat="false" ht="15" hidden="false" customHeight="false" outlineLevel="0" collapsed="false">
      <c r="A1110" s="11"/>
      <c r="B1110" s="38"/>
      <c r="D1110" s="10"/>
      <c r="G1110" s="30" t="str">
        <f aca="false">IF($C1110="","",IFERROR(IF(INDEX(links!$A$2:$A$501,MATCH($C1110,links!$D$2:$D$501,0))="","",INDEX(links!$A$2:$A$501,MATCH($C1110,links!$D$2:$D$501,0))),""))</f>
        <v/>
      </c>
      <c r="H1110" s="30" t="str">
        <f aca="false">IF($C1110="","",IFERROR(IF(INDEX(links!$B$2:$B$501,MATCH($C1110,links!$D$2:$D$501,0))="","",INDEX(links!$B$2:$B$501,MATCH($C1110,links!$D$2:$D$501,0))),""))</f>
        <v/>
      </c>
      <c r="I1110" s="30" t="str">
        <f aca="false">IF($C1110="","",IFERROR(IF(INDEX(links!$C$2:$C$501,MATCH($C1110,links!$D$2:$D$501,0))="","",INDEX(links!$C$2:$C$501,MATCH($C1110,links!$D$2:$D$501,0))),""))</f>
        <v/>
      </c>
      <c r="J1110" s="30" t="str">
        <f aca="false">IF($C1110="","",IF($G1110="","slug not in links; ","")&amp;IF($D1110="","reading type missing; ","")&amp;IF(COUNTIFS(scans!$C$2:$C$1601,$C1110,scans!$D$2:$D$1601,$D1110)&gt;1,"two readings of this type: keep one; ",""))</f>
        <v/>
      </c>
    </row>
    <row r="1111" customFormat="false" ht="15" hidden="false" customHeight="false" outlineLevel="0" collapsed="false">
      <c r="A1111" s="11"/>
      <c r="B1111" s="38"/>
      <c r="D1111" s="10"/>
      <c r="G1111" s="30" t="str">
        <f aca="false">IF($C1111="","",IFERROR(IF(INDEX(links!$A$2:$A$501,MATCH($C1111,links!$D$2:$D$501,0))="","",INDEX(links!$A$2:$A$501,MATCH($C1111,links!$D$2:$D$501,0))),""))</f>
        <v/>
      </c>
      <c r="H1111" s="30" t="str">
        <f aca="false">IF($C1111="","",IFERROR(IF(INDEX(links!$B$2:$B$501,MATCH($C1111,links!$D$2:$D$501,0))="","",INDEX(links!$B$2:$B$501,MATCH($C1111,links!$D$2:$D$501,0))),""))</f>
        <v/>
      </c>
      <c r="I1111" s="30" t="str">
        <f aca="false">IF($C1111="","",IFERROR(IF(INDEX(links!$C$2:$C$501,MATCH($C1111,links!$D$2:$D$501,0))="","",INDEX(links!$C$2:$C$501,MATCH($C1111,links!$D$2:$D$501,0))),""))</f>
        <v/>
      </c>
      <c r="J1111" s="30" t="str">
        <f aca="false">IF($C1111="","",IF($G1111="","slug not in links; ","")&amp;IF($D1111="","reading type missing; ","")&amp;IF(COUNTIFS(scans!$C$2:$C$1601,$C1111,scans!$D$2:$D$1601,$D1111)&gt;1,"two readings of this type: keep one; ",""))</f>
        <v/>
      </c>
    </row>
    <row r="1112" customFormat="false" ht="15" hidden="false" customHeight="false" outlineLevel="0" collapsed="false">
      <c r="A1112" s="11"/>
      <c r="B1112" s="38"/>
      <c r="D1112" s="10"/>
      <c r="G1112" s="30" t="str">
        <f aca="false">IF($C1112="","",IFERROR(IF(INDEX(links!$A$2:$A$501,MATCH($C1112,links!$D$2:$D$501,0))="","",INDEX(links!$A$2:$A$501,MATCH($C1112,links!$D$2:$D$501,0))),""))</f>
        <v/>
      </c>
      <c r="H1112" s="30" t="str">
        <f aca="false">IF($C1112="","",IFERROR(IF(INDEX(links!$B$2:$B$501,MATCH($C1112,links!$D$2:$D$501,0))="","",INDEX(links!$B$2:$B$501,MATCH($C1112,links!$D$2:$D$501,0))),""))</f>
        <v/>
      </c>
      <c r="I1112" s="30" t="str">
        <f aca="false">IF($C1112="","",IFERROR(IF(INDEX(links!$C$2:$C$501,MATCH($C1112,links!$D$2:$D$501,0))="","",INDEX(links!$C$2:$C$501,MATCH($C1112,links!$D$2:$D$501,0))),""))</f>
        <v/>
      </c>
      <c r="J1112" s="30" t="str">
        <f aca="false">IF($C1112="","",IF($G1112="","slug not in links; ","")&amp;IF($D1112="","reading type missing; ","")&amp;IF(COUNTIFS(scans!$C$2:$C$1601,$C1112,scans!$D$2:$D$1601,$D1112)&gt;1,"two readings of this type: keep one; ",""))</f>
        <v/>
      </c>
    </row>
    <row r="1113" customFormat="false" ht="15" hidden="false" customHeight="false" outlineLevel="0" collapsed="false">
      <c r="A1113" s="11"/>
      <c r="B1113" s="38"/>
      <c r="D1113" s="10"/>
      <c r="G1113" s="30" t="str">
        <f aca="false">IF($C1113="","",IFERROR(IF(INDEX(links!$A$2:$A$501,MATCH($C1113,links!$D$2:$D$501,0))="","",INDEX(links!$A$2:$A$501,MATCH($C1113,links!$D$2:$D$501,0))),""))</f>
        <v/>
      </c>
      <c r="H1113" s="30" t="str">
        <f aca="false">IF($C1113="","",IFERROR(IF(INDEX(links!$B$2:$B$501,MATCH($C1113,links!$D$2:$D$501,0))="","",INDEX(links!$B$2:$B$501,MATCH($C1113,links!$D$2:$D$501,0))),""))</f>
        <v/>
      </c>
      <c r="I1113" s="30" t="str">
        <f aca="false">IF($C1113="","",IFERROR(IF(INDEX(links!$C$2:$C$501,MATCH($C1113,links!$D$2:$D$501,0))="","",INDEX(links!$C$2:$C$501,MATCH($C1113,links!$D$2:$D$501,0))),""))</f>
        <v/>
      </c>
      <c r="J1113" s="30" t="str">
        <f aca="false">IF($C1113="","",IF($G1113="","slug not in links; ","")&amp;IF($D1113="","reading type missing; ","")&amp;IF(COUNTIFS(scans!$C$2:$C$1601,$C1113,scans!$D$2:$D$1601,$D1113)&gt;1,"two readings of this type: keep one; ",""))</f>
        <v/>
      </c>
    </row>
    <row r="1114" customFormat="false" ht="15" hidden="false" customHeight="false" outlineLevel="0" collapsed="false">
      <c r="A1114" s="11"/>
      <c r="B1114" s="38"/>
      <c r="D1114" s="10"/>
      <c r="G1114" s="30" t="str">
        <f aca="false">IF($C1114="","",IFERROR(IF(INDEX(links!$A$2:$A$501,MATCH($C1114,links!$D$2:$D$501,0))="","",INDEX(links!$A$2:$A$501,MATCH($C1114,links!$D$2:$D$501,0))),""))</f>
        <v/>
      </c>
      <c r="H1114" s="30" t="str">
        <f aca="false">IF($C1114="","",IFERROR(IF(INDEX(links!$B$2:$B$501,MATCH($C1114,links!$D$2:$D$501,0))="","",INDEX(links!$B$2:$B$501,MATCH($C1114,links!$D$2:$D$501,0))),""))</f>
        <v/>
      </c>
      <c r="I1114" s="30" t="str">
        <f aca="false">IF($C1114="","",IFERROR(IF(INDEX(links!$C$2:$C$501,MATCH($C1114,links!$D$2:$D$501,0))="","",INDEX(links!$C$2:$C$501,MATCH($C1114,links!$D$2:$D$501,0))),""))</f>
        <v/>
      </c>
      <c r="J1114" s="30" t="str">
        <f aca="false">IF($C1114="","",IF($G1114="","slug not in links; ","")&amp;IF($D1114="","reading type missing; ","")&amp;IF(COUNTIFS(scans!$C$2:$C$1601,$C1114,scans!$D$2:$D$1601,$D1114)&gt;1,"two readings of this type: keep one; ",""))</f>
        <v/>
      </c>
    </row>
    <row r="1115" customFormat="false" ht="15" hidden="false" customHeight="false" outlineLevel="0" collapsed="false">
      <c r="A1115" s="11"/>
      <c r="B1115" s="38"/>
      <c r="D1115" s="10"/>
      <c r="G1115" s="30" t="str">
        <f aca="false">IF($C1115="","",IFERROR(IF(INDEX(links!$A$2:$A$501,MATCH($C1115,links!$D$2:$D$501,0))="","",INDEX(links!$A$2:$A$501,MATCH($C1115,links!$D$2:$D$501,0))),""))</f>
        <v/>
      </c>
      <c r="H1115" s="30" t="str">
        <f aca="false">IF($C1115="","",IFERROR(IF(INDEX(links!$B$2:$B$501,MATCH($C1115,links!$D$2:$D$501,0))="","",INDEX(links!$B$2:$B$501,MATCH($C1115,links!$D$2:$D$501,0))),""))</f>
        <v/>
      </c>
      <c r="I1115" s="30" t="str">
        <f aca="false">IF($C1115="","",IFERROR(IF(INDEX(links!$C$2:$C$501,MATCH($C1115,links!$D$2:$D$501,0))="","",INDEX(links!$C$2:$C$501,MATCH($C1115,links!$D$2:$D$501,0))),""))</f>
        <v/>
      </c>
      <c r="J1115" s="30" t="str">
        <f aca="false">IF($C1115="","",IF($G1115="","slug not in links; ","")&amp;IF($D1115="","reading type missing; ","")&amp;IF(COUNTIFS(scans!$C$2:$C$1601,$C1115,scans!$D$2:$D$1601,$D1115)&gt;1,"two readings of this type: keep one; ",""))</f>
        <v/>
      </c>
    </row>
    <row r="1116" customFormat="false" ht="15" hidden="false" customHeight="false" outlineLevel="0" collapsed="false">
      <c r="A1116" s="11"/>
      <c r="B1116" s="38"/>
      <c r="D1116" s="10"/>
      <c r="G1116" s="30" t="str">
        <f aca="false">IF($C1116="","",IFERROR(IF(INDEX(links!$A$2:$A$501,MATCH($C1116,links!$D$2:$D$501,0))="","",INDEX(links!$A$2:$A$501,MATCH($C1116,links!$D$2:$D$501,0))),""))</f>
        <v/>
      </c>
      <c r="H1116" s="30" t="str">
        <f aca="false">IF($C1116="","",IFERROR(IF(INDEX(links!$B$2:$B$501,MATCH($C1116,links!$D$2:$D$501,0))="","",INDEX(links!$B$2:$B$501,MATCH($C1116,links!$D$2:$D$501,0))),""))</f>
        <v/>
      </c>
      <c r="I1116" s="30" t="str">
        <f aca="false">IF($C1116="","",IFERROR(IF(INDEX(links!$C$2:$C$501,MATCH($C1116,links!$D$2:$D$501,0))="","",INDEX(links!$C$2:$C$501,MATCH($C1116,links!$D$2:$D$501,0))),""))</f>
        <v/>
      </c>
      <c r="J1116" s="30" t="str">
        <f aca="false">IF($C1116="","",IF($G1116="","slug not in links; ","")&amp;IF($D1116="","reading type missing; ","")&amp;IF(COUNTIFS(scans!$C$2:$C$1601,$C1116,scans!$D$2:$D$1601,$D1116)&gt;1,"two readings of this type: keep one; ",""))</f>
        <v/>
      </c>
    </row>
    <row r="1117" customFormat="false" ht="15" hidden="false" customHeight="false" outlineLevel="0" collapsed="false">
      <c r="A1117" s="11"/>
      <c r="B1117" s="38"/>
      <c r="D1117" s="10"/>
      <c r="G1117" s="30" t="str">
        <f aca="false">IF($C1117="","",IFERROR(IF(INDEX(links!$A$2:$A$501,MATCH($C1117,links!$D$2:$D$501,0))="","",INDEX(links!$A$2:$A$501,MATCH($C1117,links!$D$2:$D$501,0))),""))</f>
        <v/>
      </c>
      <c r="H1117" s="30" t="str">
        <f aca="false">IF($C1117="","",IFERROR(IF(INDEX(links!$B$2:$B$501,MATCH($C1117,links!$D$2:$D$501,0))="","",INDEX(links!$B$2:$B$501,MATCH($C1117,links!$D$2:$D$501,0))),""))</f>
        <v/>
      </c>
      <c r="I1117" s="30" t="str">
        <f aca="false">IF($C1117="","",IFERROR(IF(INDEX(links!$C$2:$C$501,MATCH($C1117,links!$D$2:$D$501,0))="","",INDEX(links!$C$2:$C$501,MATCH($C1117,links!$D$2:$D$501,0))),""))</f>
        <v/>
      </c>
      <c r="J1117" s="30" t="str">
        <f aca="false">IF($C1117="","",IF($G1117="","slug not in links; ","")&amp;IF($D1117="","reading type missing; ","")&amp;IF(COUNTIFS(scans!$C$2:$C$1601,$C1117,scans!$D$2:$D$1601,$D1117)&gt;1,"two readings of this type: keep one; ",""))</f>
        <v/>
      </c>
    </row>
    <row r="1118" customFormat="false" ht="15" hidden="false" customHeight="false" outlineLevel="0" collapsed="false">
      <c r="A1118" s="11"/>
      <c r="B1118" s="38"/>
      <c r="D1118" s="10"/>
      <c r="G1118" s="30" t="str">
        <f aca="false">IF($C1118="","",IFERROR(IF(INDEX(links!$A$2:$A$501,MATCH($C1118,links!$D$2:$D$501,0))="","",INDEX(links!$A$2:$A$501,MATCH($C1118,links!$D$2:$D$501,0))),""))</f>
        <v/>
      </c>
      <c r="H1118" s="30" t="str">
        <f aca="false">IF($C1118="","",IFERROR(IF(INDEX(links!$B$2:$B$501,MATCH($C1118,links!$D$2:$D$501,0))="","",INDEX(links!$B$2:$B$501,MATCH($C1118,links!$D$2:$D$501,0))),""))</f>
        <v/>
      </c>
      <c r="I1118" s="30" t="str">
        <f aca="false">IF($C1118="","",IFERROR(IF(INDEX(links!$C$2:$C$501,MATCH($C1118,links!$D$2:$D$501,0))="","",INDEX(links!$C$2:$C$501,MATCH($C1118,links!$D$2:$D$501,0))),""))</f>
        <v/>
      </c>
      <c r="J1118" s="30" t="str">
        <f aca="false">IF($C1118="","",IF($G1118="","slug not in links; ","")&amp;IF($D1118="","reading type missing; ","")&amp;IF(COUNTIFS(scans!$C$2:$C$1601,$C1118,scans!$D$2:$D$1601,$D1118)&gt;1,"two readings of this type: keep one; ",""))</f>
        <v/>
      </c>
    </row>
    <row r="1119" customFormat="false" ht="15" hidden="false" customHeight="false" outlineLevel="0" collapsed="false">
      <c r="A1119" s="11"/>
      <c r="B1119" s="38"/>
      <c r="D1119" s="10"/>
      <c r="G1119" s="30" t="str">
        <f aca="false">IF($C1119="","",IFERROR(IF(INDEX(links!$A$2:$A$501,MATCH($C1119,links!$D$2:$D$501,0))="","",INDEX(links!$A$2:$A$501,MATCH($C1119,links!$D$2:$D$501,0))),""))</f>
        <v/>
      </c>
      <c r="H1119" s="30" t="str">
        <f aca="false">IF($C1119="","",IFERROR(IF(INDEX(links!$B$2:$B$501,MATCH($C1119,links!$D$2:$D$501,0))="","",INDEX(links!$B$2:$B$501,MATCH($C1119,links!$D$2:$D$501,0))),""))</f>
        <v/>
      </c>
      <c r="I1119" s="30" t="str">
        <f aca="false">IF($C1119="","",IFERROR(IF(INDEX(links!$C$2:$C$501,MATCH($C1119,links!$D$2:$D$501,0))="","",INDEX(links!$C$2:$C$501,MATCH($C1119,links!$D$2:$D$501,0))),""))</f>
        <v/>
      </c>
      <c r="J1119" s="30" t="str">
        <f aca="false">IF($C1119="","",IF($G1119="","slug not in links; ","")&amp;IF($D1119="","reading type missing; ","")&amp;IF(COUNTIFS(scans!$C$2:$C$1601,$C1119,scans!$D$2:$D$1601,$D1119)&gt;1,"two readings of this type: keep one; ",""))</f>
        <v/>
      </c>
    </row>
    <row r="1120" customFormat="false" ht="15" hidden="false" customHeight="false" outlineLevel="0" collapsed="false">
      <c r="A1120" s="11"/>
      <c r="B1120" s="38"/>
      <c r="D1120" s="10"/>
      <c r="G1120" s="30" t="str">
        <f aca="false">IF($C1120="","",IFERROR(IF(INDEX(links!$A$2:$A$501,MATCH($C1120,links!$D$2:$D$501,0))="","",INDEX(links!$A$2:$A$501,MATCH($C1120,links!$D$2:$D$501,0))),""))</f>
        <v/>
      </c>
      <c r="H1120" s="30" t="str">
        <f aca="false">IF($C1120="","",IFERROR(IF(INDEX(links!$B$2:$B$501,MATCH($C1120,links!$D$2:$D$501,0))="","",INDEX(links!$B$2:$B$501,MATCH($C1120,links!$D$2:$D$501,0))),""))</f>
        <v/>
      </c>
      <c r="I1120" s="30" t="str">
        <f aca="false">IF($C1120="","",IFERROR(IF(INDEX(links!$C$2:$C$501,MATCH($C1120,links!$D$2:$D$501,0))="","",INDEX(links!$C$2:$C$501,MATCH($C1120,links!$D$2:$D$501,0))),""))</f>
        <v/>
      </c>
      <c r="J1120" s="30" t="str">
        <f aca="false">IF($C1120="","",IF($G1120="","slug not in links; ","")&amp;IF($D1120="","reading type missing; ","")&amp;IF(COUNTIFS(scans!$C$2:$C$1601,$C1120,scans!$D$2:$D$1601,$D1120)&gt;1,"two readings of this type: keep one; ",""))</f>
        <v/>
      </c>
    </row>
    <row r="1121" customFormat="false" ht="15" hidden="false" customHeight="false" outlineLevel="0" collapsed="false">
      <c r="A1121" s="11"/>
      <c r="B1121" s="38"/>
      <c r="D1121" s="10"/>
      <c r="G1121" s="30" t="str">
        <f aca="false">IF($C1121="","",IFERROR(IF(INDEX(links!$A$2:$A$501,MATCH($C1121,links!$D$2:$D$501,0))="","",INDEX(links!$A$2:$A$501,MATCH($C1121,links!$D$2:$D$501,0))),""))</f>
        <v/>
      </c>
      <c r="H1121" s="30" t="str">
        <f aca="false">IF($C1121="","",IFERROR(IF(INDEX(links!$B$2:$B$501,MATCH($C1121,links!$D$2:$D$501,0))="","",INDEX(links!$B$2:$B$501,MATCH($C1121,links!$D$2:$D$501,0))),""))</f>
        <v/>
      </c>
      <c r="I1121" s="30" t="str">
        <f aca="false">IF($C1121="","",IFERROR(IF(INDEX(links!$C$2:$C$501,MATCH($C1121,links!$D$2:$D$501,0))="","",INDEX(links!$C$2:$C$501,MATCH($C1121,links!$D$2:$D$501,0))),""))</f>
        <v/>
      </c>
      <c r="J1121" s="30" t="str">
        <f aca="false">IF($C1121="","",IF($G1121="","slug not in links; ","")&amp;IF($D1121="","reading type missing; ","")&amp;IF(COUNTIFS(scans!$C$2:$C$1601,$C1121,scans!$D$2:$D$1601,$D1121)&gt;1,"two readings of this type: keep one; ",""))</f>
        <v/>
      </c>
    </row>
    <row r="1122" customFormat="false" ht="15" hidden="false" customHeight="false" outlineLevel="0" collapsed="false">
      <c r="A1122" s="11"/>
      <c r="B1122" s="38"/>
      <c r="D1122" s="10"/>
      <c r="G1122" s="30" t="str">
        <f aca="false">IF($C1122="","",IFERROR(IF(INDEX(links!$A$2:$A$501,MATCH($C1122,links!$D$2:$D$501,0))="","",INDEX(links!$A$2:$A$501,MATCH($C1122,links!$D$2:$D$501,0))),""))</f>
        <v/>
      </c>
      <c r="H1122" s="30" t="str">
        <f aca="false">IF($C1122="","",IFERROR(IF(INDEX(links!$B$2:$B$501,MATCH($C1122,links!$D$2:$D$501,0))="","",INDEX(links!$B$2:$B$501,MATCH($C1122,links!$D$2:$D$501,0))),""))</f>
        <v/>
      </c>
      <c r="I1122" s="30" t="str">
        <f aca="false">IF($C1122="","",IFERROR(IF(INDEX(links!$C$2:$C$501,MATCH($C1122,links!$D$2:$D$501,0))="","",INDEX(links!$C$2:$C$501,MATCH($C1122,links!$D$2:$D$501,0))),""))</f>
        <v/>
      </c>
      <c r="J1122" s="30" t="str">
        <f aca="false">IF($C1122="","",IF($G1122="","slug not in links; ","")&amp;IF($D1122="","reading type missing; ","")&amp;IF(COUNTIFS(scans!$C$2:$C$1601,$C1122,scans!$D$2:$D$1601,$D1122)&gt;1,"two readings of this type: keep one; ",""))</f>
        <v/>
      </c>
    </row>
    <row r="1123" customFormat="false" ht="15" hidden="false" customHeight="false" outlineLevel="0" collapsed="false">
      <c r="A1123" s="11"/>
      <c r="B1123" s="38"/>
      <c r="D1123" s="10"/>
      <c r="G1123" s="30" t="str">
        <f aca="false">IF($C1123="","",IFERROR(IF(INDEX(links!$A$2:$A$501,MATCH($C1123,links!$D$2:$D$501,0))="","",INDEX(links!$A$2:$A$501,MATCH($C1123,links!$D$2:$D$501,0))),""))</f>
        <v/>
      </c>
      <c r="H1123" s="30" t="str">
        <f aca="false">IF($C1123="","",IFERROR(IF(INDEX(links!$B$2:$B$501,MATCH($C1123,links!$D$2:$D$501,0))="","",INDEX(links!$B$2:$B$501,MATCH($C1123,links!$D$2:$D$501,0))),""))</f>
        <v/>
      </c>
      <c r="I1123" s="30" t="str">
        <f aca="false">IF($C1123="","",IFERROR(IF(INDEX(links!$C$2:$C$501,MATCH($C1123,links!$D$2:$D$501,0))="","",INDEX(links!$C$2:$C$501,MATCH($C1123,links!$D$2:$D$501,0))),""))</f>
        <v/>
      </c>
      <c r="J1123" s="30" t="str">
        <f aca="false">IF($C1123="","",IF($G1123="","slug not in links; ","")&amp;IF($D1123="","reading type missing; ","")&amp;IF(COUNTIFS(scans!$C$2:$C$1601,$C1123,scans!$D$2:$D$1601,$D1123)&gt;1,"two readings of this type: keep one; ",""))</f>
        <v/>
      </c>
    </row>
    <row r="1124" customFormat="false" ht="15" hidden="false" customHeight="false" outlineLevel="0" collapsed="false">
      <c r="A1124" s="11"/>
      <c r="B1124" s="38"/>
      <c r="D1124" s="10"/>
      <c r="G1124" s="30" t="str">
        <f aca="false">IF($C1124="","",IFERROR(IF(INDEX(links!$A$2:$A$501,MATCH($C1124,links!$D$2:$D$501,0))="","",INDEX(links!$A$2:$A$501,MATCH($C1124,links!$D$2:$D$501,0))),""))</f>
        <v/>
      </c>
      <c r="H1124" s="30" t="str">
        <f aca="false">IF($C1124="","",IFERROR(IF(INDEX(links!$B$2:$B$501,MATCH($C1124,links!$D$2:$D$501,0))="","",INDEX(links!$B$2:$B$501,MATCH($C1124,links!$D$2:$D$501,0))),""))</f>
        <v/>
      </c>
      <c r="I1124" s="30" t="str">
        <f aca="false">IF($C1124="","",IFERROR(IF(INDEX(links!$C$2:$C$501,MATCH($C1124,links!$D$2:$D$501,0))="","",INDEX(links!$C$2:$C$501,MATCH($C1124,links!$D$2:$D$501,0))),""))</f>
        <v/>
      </c>
      <c r="J1124" s="30" t="str">
        <f aca="false">IF($C1124="","",IF($G1124="","slug not in links; ","")&amp;IF($D1124="","reading type missing; ","")&amp;IF(COUNTIFS(scans!$C$2:$C$1601,$C1124,scans!$D$2:$D$1601,$D1124)&gt;1,"two readings of this type: keep one; ",""))</f>
        <v/>
      </c>
    </row>
    <row r="1125" customFormat="false" ht="15" hidden="false" customHeight="false" outlineLevel="0" collapsed="false">
      <c r="A1125" s="11"/>
      <c r="B1125" s="38"/>
      <c r="D1125" s="10"/>
      <c r="G1125" s="30" t="str">
        <f aca="false">IF($C1125="","",IFERROR(IF(INDEX(links!$A$2:$A$501,MATCH($C1125,links!$D$2:$D$501,0))="","",INDEX(links!$A$2:$A$501,MATCH($C1125,links!$D$2:$D$501,0))),""))</f>
        <v/>
      </c>
      <c r="H1125" s="30" t="str">
        <f aca="false">IF($C1125="","",IFERROR(IF(INDEX(links!$B$2:$B$501,MATCH($C1125,links!$D$2:$D$501,0))="","",INDEX(links!$B$2:$B$501,MATCH($C1125,links!$D$2:$D$501,0))),""))</f>
        <v/>
      </c>
      <c r="I1125" s="30" t="str">
        <f aca="false">IF($C1125="","",IFERROR(IF(INDEX(links!$C$2:$C$501,MATCH($C1125,links!$D$2:$D$501,0))="","",INDEX(links!$C$2:$C$501,MATCH($C1125,links!$D$2:$D$501,0))),""))</f>
        <v/>
      </c>
      <c r="J1125" s="30" t="str">
        <f aca="false">IF($C1125="","",IF($G1125="","slug not in links; ","")&amp;IF($D1125="","reading type missing; ","")&amp;IF(COUNTIFS(scans!$C$2:$C$1601,$C1125,scans!$D$2:$D$1601,$D1125)&gt;1,"two readings of this type: keep one; ",""))</f>
        <v/>
      </c>
    </row>
    <row r="1126" customFormat="false" ht="15" hidden="false" customHeight="false" outlineLevel="0" collapsed="false">
      <c r="A1126" s="11"/>
      <c r="B1126" s="38"/>
      <c r="D1126" s="10"/>
      <c r="G1126" s="30" t="str">
        <f aca="false">IF($C1126="","",IFERROR(IF(INDEX(links!$A$2:$A$501,MATCH($C1126,links!$D$2:$D$501,0))="","",INDEX(links!$A$2:$A$501,MATCH($C1126,links!$D$2:$D$501,0))),""))</f>
        <v/>
      </c>
      <c r="H1126" s="30" t="str">
        <f aca="false">IF($C1126="","",IFERROR(IF(INDEX(links!$B$2:$B$501,MATCH($C1126,links!$D$2:$D$501,0))="","",INDEX(links!$B$2:$B$501,MATCH($C1126,links!$D$2:$D$501,0))),""))</f>
        <v/>
      </c>
      <c r="I1126" s="30" t="str">
        <f aca="false">IF($C1126="","",IFERROR(IF(INDEX(links!$C$2:$C$501,MATCH($C1126,links!$D$2:$D$501,0))="","",INDEX(links!$C$2:$C$501,MATCH($C1126,links!$D$2:$D$501,0))),""))</f>
        <v/>
      </c>
      <c r="J1126" s="30" t="str">
        <f aca="false">IF($C1126="","",IF($G1126="","slug not in links; ","")&amp;IF($D1126="","reading type missing; ","")&amp;IF(COUNTIFS(scans!$C$2:$C$1601,$C1126,scans!$D$2:$D$1601,$D1126)&gt;1,"two readings of this type: keep one; ",""))</f>
        <v/>
      </c>
    </row>
    <row r="1127" customFormat="false" ht="15" hidden="false" customHeight="false" outlineLevel="0" collapsed="false">
      <c r="A1127" s="11"/>
      <c r="B1127" s="38"/>
      <c r="D1127" s="10"/>
      <c r="G1127" s="30" t="str">
        <f aca="false">IF($C1127="","",IFERROR(IF(INDEX(links!$A$2:$A$501,MATCH($C1127,links!$D$2:$D$501,0))="","",INDEX(links!$A$2:$A$501,MATCH($C1127,links!$D$2:$D$501,0))),""))</f>
        <v/>
      </c>
      <c r="H1127" s="30" t="str">
        <f aca="false">IF($C1127="","",IFERROR(IF(INDEX(links!$B$2:$B$501,MATCH($C1127,links!$D$2:$D$501,0))="","",INDEX(links!$B$2:$B$501,MATCH($C1127,links!$D$2:$D$501,0))),""))</f>
        <v/>
      </c>
      <c r="I1127" s="30" t="str">
        <f aca="false">IF($C1127="","",IFERROR(IF(INDEX(links!$C$2:$C$501,MATCH($C1127,links!$D$2:$D$501,0))="","",INDEX(links!$C$2:$C$501,MATCH($C1127,links!$D$2:$D$501,0))),""))</f>
        <v/>
      </c>
      <c r="J1127" s="30" t="str">
        <f aca="false">IF($C1127="","",IF($G1127="","slug not in links; ","")&amp;IF($D1127="","reading type missing; ","")&amp;IF(COUNTIFS(scans!$C$2:$C$1601,$C1127,scans!$D$2:$D$1601,$D1127)&gt;1,"two readings of this type: keep one; ",""))</f>
        <v/>
      </c>
    </row>
    <row r="1128" customFormat="false" ht="15" hidden="false" customHeight="false" outlineLevel="0" collapsed="false">
      <c r="A1128" s="11"/>
      <c r="B1128" s="38"/>
      <c r="D1128" s="10"/>
      <c r="G1128" s="30" t="str">
        <f aca="false">IF($C1128="","",IFERROR(IF(INDEX(links!$A$2:$A$501,MATCH($C1128,links!$D$2:$D$501,0))="","",INDEX(links!$A$2:$A$501,MATCH($C1128,links!$D$2:$D$501,0))),""))</f>
        <v/>
      </c>
      <c r="H1128" s="30" t="str">
        <f aca="false">IF($C1128="","",IFERROR(IF(INDEX(links!$B$2:$B$501,MATCH($C1128,links!$D$2:$D$501,0))="","",INDEX(links!$B$2:$B$501,MATCH($C1128,links!$D$2:$D$501,0))),""))</f>
        <v/>
      </c>
      <c r="I1128" s="30" t="str">
        <f aca="false">IF($C1128="","",IFERROR(IF(INDEX(links!$C$2:$C$501,MATCH($C1128,links!$D$2:$D$501,0))="","",INDEX(links!$C$2:$C$501,MATCH($C1128,links!$D$2:$D$501,0))),""))</f>
        <v/>
      </c>
      <c r="J1128" s="30" t="str">
        <f aca="false">IF($C1128="","",IF($G1128="","slug not in links; ","")&amp;IF($D1128="","reading type missing; ","")&amp;IF(COUNTIFS(scans!$C$2:$C$1601,$C1128,scans!$D$2:$D$1601,$D1128)&gt;1,"two readings of this type: keep one; ",""))</f>
        <v/>
      </c>
    </row>
    <row r="1129" customFormat="false" ht="15" hidden="false" customHeight="false" outlineLevel="0" collapsed="false">
      <c r="A1129" s="11"/>
      <c r="B1129" s="38"/>
      <c r="D1129" s="10"/>
      <c r="G1129" s="30" t="str">
        <f aca="false">IF($C1129="","",IFERROR(IF(INDEX(links!$A$2:$A$501,MATCH($C1129,links!$D$2:$D$501,0))="","",INDEX(links!$A$2:$A$501,MATCH($C1129,links!$D$2:$D$501,0))),""))</f>
        <v/>
      </c>
      <c r="H1129" s="30" t="str">
        <f aca="false">IF($C1129="","",IFERROR(IF(INDEX(links!$B$2:$B$501,MATCH($C1129,links!$D$2:$D$501,0))="","",INDEX(links!$B$2:$B$501,MATCH($C1129,links!$D$2:$D$501,0))),""))</f>
        <v/>
      </c>
      <c r="I1129" s="30" t="str">
        <f aca="false">IF($C1129="","",IFERROR(IF(INDEX(links!$C$2:$C$501,MATCH($C1129,links!$D$2:$D$501,0))="","",INDEX(links!$C$2:$C$501,MATCH($C1129,links!$D$2:$D$501,0))),""))</f>
        <v/>
      </c>
      <c r="J1129" s="30" t="str">
        <f aca="false">IF($C1129="","",IF($G1129="","slug not in links; ","")&amp;IF($D1129="","reading type missing; ","")&amp;IF(COUNTIFS(scans!$C$2:$C$1601,$C1129,scans!$D$2:$D$1601,$D1129)&gt;1,"two readings of this type: keep one; ",""))</f>
        <v/>
      </c>
    </row>
    <row r="1130" customFormat="false" ht="15" hidden="false" customHeight="false" outlineLevel="0" collapsed="false">
      <c r="A1130" s="11"/>
      <c r="B1130" s="38"/>
      <c r="D1130" s="10"/>
      <c r="G1130" s="30" t="str">
        <f aca="false">IF($C1130="","",IFERROR(IF(INDEX(links!$A$2:$A$501,MATCH($C1130,links!$D$2:$D$501,0))="","",INDEX(links!$A$2:$A$501,MATCH($C1130,links!$D$2:$D$501,0))),""))</f>
        <v/>
      </c>
      <c r="H1130" s="30" t="str">
        <f aca="false">IF($C1130="","",IFERROR(IF(INDEX(links!$B$2:$B$501,MATCH($C1130,links!$D$2:$D$501,0))="","",INDEX(links!$B$2:$B$501,MATCH($C1130,links!$D$2:$D$501,0))),""))</f>
        <v/>
      </c>
      <c r="I1130" s="30" t="str">
        <f aca="false">IF($C1130="","",IFERROR(IF(INDEX(links!$C$2:$C$501,MATCH($C1130,links!$D$2:$D$501,0))="","",INDEX(links!$C$2:$C$501,MATCH($C1130,links!$D$2:$D$501,0))),""))</f>
        <v/>
      </c>
      <c r="J1130" s="30" t="str">
        <f aca="false">IF($C1130="","",IF($G1130="","slug not in links; ","")&amp;IF($D1130="","reading type missing; ","")&amp;IF(COUNTIFS(scans!$C$2:$C$1601,$C1130,scans!$D$2:$D$1601,$D1130)&gt;1,"two readings of this type: keep one; ",""))</f>
        <v/>
      </c>
    </row>
    <row r="1131" customFormat="false" ht="15" hidden="false" customHeight="false" outlineLevel="0" collapsed="false">
      <c r="A1131" s="11"/>
      <c r="B1131" s="38"/>
      <c r="D1131" s="10"/>
      <c r="G1131" s="30" t="str">
        <f aca="false">IF($C1131="","",IFERROR(IF(INDEX(links!$A$2:$A$501,MATCH($C1131,links!$D$2:$D$501,0))="","",INDEX(links!$A$2:$A$501,MATCH($C1131,links!$D$2:$D$501,0))),""))</f>
        <v/>
      </c>
      <c r="H1131" s="30" t="str">
        <f aca="false">IF($C1131="","",IFERROR(IF(INDEX(links!$B$2:$B$501,MATCH($C1131,links!$D$2:$D$501,0))="","",INDEX(links!$B$2:$B$501,MATCH($C1131,links!$D$2:$D$501,0))),""))</f>
        <v/>
      </c>
      <c r="I1131" s="30" t="str">
        <f aca="false">IF($C1131="","",IFERROR(IF(INDEX(links!$C$2:$C$501,MATCH($C1131,links!$D$2:$D$501,0))="","",INDEX(links!$C$2:$C$501,MATCH($C1131,links!$D$2:$D$501,0))),""))</f>
        <v/>
      </c>
      <c r="J1131" s="30" t="str">
        <f aca="false">IF($C1131="","",IF($G1131="","slug not in links; ","")&amp;IF($D1131="","reading type missing; ","")&amp;IF(COUNTIFS(scans!$C$2:$C$1601,$C1131,scans!$D$2:$D$1601,$D1131)&gt;1,"two readings of this type: keep one; ",""))</f>
        <v/>
      </c>
    </row>
    <row r="1132" customFormat="false" ht="15" hidden="false" customHeight="false" outlineLevel="0" collapsed="false">
      <c r="A1132" s="11"/>
      <c r="B1132" s="38"/>
      <c r="D1132" s="10"/>
      <c r="G1132" s="30" t="str">
        <f aca="false">IF($C1132="","",IFERROR(IF(INDEX(links!$A$2:$A$501,MATCH($C1132,links!$D$2:$D$501,0))="","",INDEX(links!$A$2:$A$501,MATCH($C1132,links!$D$2:$D$501,0))),""))</f>
        <v/>
      </c>
      <c r="H1132" s="30" t="str">
        <f aca="false">IF($C1132="","",IFERROR(IF(INDEX(links!$B$2:$B$501,MATCH($C1132,links!$D$2:$D$501,0))="","",INDEX(links!$B$2:$B$501,MATCH($C1132,links!$D$2:$D$501,0))),""))</f>
        <v/>
      </c>
      <c r="I1132" s="30" t="str">
        <f aca="false">IF($C1132="","",IFERROR(IF(INDEX(links!$C$2:$C$501,MATCH($C1132,links!$D$2:$D$501,0))="","",INDEX(links!$C$2:$C$501,MATCH($C1132,links!$D$2:$D$501,0))),""))</f>
        <v/>
      </c>
      <c r="J1132" s="30" t="str">
        <f aca="false">IF($C1132="","",IF($G1132="","slug not in links; ","")&amp;IF($D1132="","reading type missing; ","")&amp;IF(COUNTIFS(scans!$C$2:$C$1601,$C1132,scans!$D$2:$D$1601,$D1132)&gt;1,"two readings of this type: keep one; ",""))</f>
        <v/>
      </c>
    </row>
    <row r="1133" customFormat="false" ht="15" hidden="false" customHeight="false" outlineLevel="0" collapsed="false">
      <c r="A1133" s="11"/>
      <c r="B1133" s="38"/>
      <c r="D1133" s="10"/>
      <c r="G1133" s="30" t="str">
        <f aca="false">IF($C1133="","",IFERROR(IF(INDEX(links!$A$2:$A$501,MATCH($C1133,links!$D$2:$D$501,0))="","",INDEX(links!$A$2:$A$501,MATCH($C1133,links!$D$2:$D$501,0))),""))</f>
        <v/>
      </c>
      <c r="H1133" s="30" t="str">
        <f aca="false">IF($C1133="","",IFERROR(IF(INDEX(links!$B$2:$B$501,MATCH($C1133,links!$D$2:$D$501,0))="","",INDEX(links!$B$2:$B$501,MATCH($C1133,links!$D$2:$D$501,0))),""))</f>
        <v/>
      </c>
      <c r="I1133" s="30" t="str">
        <f aca="false">IF($C1133="","",IFERROR(IF(INDEX(links!$C$2:$C$501,MATCH($C1133,links!$D$2:$D$501,0))="","",INDEX(links!$C$2:$C$501,MATCH($C1133,links!$D$2:$D$501,0))),""))</f>
        <v/>
      </c>
      <c r="J1133" s="30" t="str">
        <f aca="false">IF($C1133="","",IF($G1133="","slug not in links; ","")&amp;IF($D1133="","reading type missing; ","")&amp;IF(COUNTIFS(scans!$C$2:$C$1601,$C1133,scans!$D$2:$D$1601,$D1133)&gt;1,"two readings of this type: keep one; ",""))</f>
        <v/>
      </c>
    </row>
    <row r="1134" customFormat="false" ht="15" hidden="false" customHeight="false" outlineLevel="0" collapsed="false">
      <c r="A1134" s="11"/>
      <c r="B1134" s="38"/>
      <c r="D1134" s="10"/>
      <c r="G1134" s="30" t="str">
        <f aca="false">IF($C1134="","",IFERROR(IF(INDEX(links!$A$2:$A$501,MATCH($C1134,links!$D$2:$D$501,0))="","",INDEX(links!$A$2:$A$501,MATCH($C1134,links!$D$2:$D$501,0))),""))</f>
        <v/>
      </c>
      <c r="H1134" s="30" t="str">
        <f aca="false">IF($C1134="","",IFERROR(IF(INDEX(links!$B$2:$B$501,MATCH($C1134,links!$D$2:$D$501,0))="","",INDEX(links!$B$2:$B$501,MATCH($C1134,links!$D$2:$D$501,0))),""))</f>
        <v/>
      </c>
      <c r="I1134" s="30" t="str">
        <f aca="false">IF($C1134="","",IFERROR(IF(INDEX(links!$C$2:$C$501,MATCH($C1134,links!$D$2:$D$501,0))="","",INDEX(links!$C$2:$C$501,MATCH($C1134,links!$D$2:$D$501,0))),""))</f>
        <v/>
      </c>
      <c r="J1134" s="30" t="str">
        <f aca="false">IF($C1134="","",IF($G1134="","slug not in links; ","")&amp;IF($D1134="","reading type missing; ","")&amp;IF(COUNTIFS(scans!$C$2:$C$1601,$C1134,scans!$D$2:$D$1601,$D1134)&gt;1,"two readings of this type: keep one; ",""))</f>
        <v/>
      </c>
    </row>
    <row r="1135" customFormat="false" ht="15" hidden="false" customHeight="false" outlineLevel="0" collapsed="false">
      <c r="A1135" s="11"/>
      <c r="B1135" s="38"/>
      <c r="D1135" s="10"/>
      <c r="G1135" s="30" t="str">
        <f aca="false">IF($C1135="","",IFERROR(IF(INDEX(links!$A$2:$A$501,MATCH($C1135,links!$D$2:$D$501,0))="","",INDEX(links!$A$2:$A$501,MATCH($C1135,links!$D$2:$D$501,0))),""))</f>
        <v/>
      </c>
      <c r="H1135" s="30" t="str">
        <f aca="false">IF($C1135="","",IFERROR(IF(INDEX(links!$B$2:$B$501,MATCH($C1135,links!$D$2:$D$501,0))="","",INDEX(links!$B$2:$B$501,MATCH($C1135,links!$D$2:$D$501,0))),""))</f>
        <v/>
      </c>
      <c r="I1135" s="30" t="str">
        <f aca="false">IF($C1135="","",IFERROR(IF(INDEX(links!$C$2:$C$501,MATCH($C1135,links!$D$2:$D$501,0))="","",INDEX(links!$C$2:$C$501,MATCH($C1135,links!$D$2:$D$501,0))),""))</f>
        <v/>
      </c>
      <c r="J1135" s="30" t="str">
        <f aca="false">IF($C1135="","",IF($G1135="","slug not in links; ","")&amp;IF($D1135="","reading type missing; ","")&amp;IF(COUNTIFS(scans!$C$2:$C$1601,$C1135,scans!$D$2:$D$1601,$D1135)&gt;1,"two readings of this type: keep one; ",""))</f>
        <v/>
      </c>
    </row>
    <row r="1136" customFormat="false" ht="15" hidden="false" customHeight="false" outlineLevel="0" collapsed="false">
      <c r="A1136" s="11"/>
      <c r="B1136" s="38"/>
      <c r="D1136" s="10"/>
      <c r="G1136" s="30" t="str">
        <f aca="false">IF($C1136="","",IFERROR(IF(INDEX(links!$A$2:$A$501,MATCH($C1136,links!$D$2:$D$501,0))="","",INDEX(links!$A$2:$A$501,MATCH($C1136,links!$D$2:$D$501,0))),""))</f>
        <v/>
      </c>
      <c r="H1136" s="30" t="str">
        <f aca="false">IF($C1136="","",IFERROR(IF(INDEX(links!$B$2:$B$501,MATCH($C1136,links!$D$2:$D$501,0))="","",INDEX(links!$B$2:$B$501,MATCH($C1136,links!$D$2:$D$501,0))),""))</f>
        <v/>
      </c>
      <c r="I1136" s="30" t="str">
        <f aca="false">IF($C1136="","",IFERROR(IF(INDEX(links!$C$2:$C$501,MATCH($C1136,links!$D$2:$D$501,0))="","",INDEX(links!$C$2:$C$501,MATCH($C1136,links!$D$2:$D$501,0))),""))</f>
        <v/>
      </c>
      <c r="J1136" s="30" t="str">
        <f aca="false">IF($C1136="","",IF($G1136="","slug not in links; ","")&amp;IF($D1136="","reading type missing; ","")&amp;IF(COUNTIFS(scans!$C$2:$C$1601,$C1136,scans!$D$2:$D$1601,$D1136)&gt;1,"two readings of this type: keep one; ",""))</f>
        <v/>
      </c>
    </row>
    <row r="1137" customFormat="false" ht="15" hidden="false" customHeight="false" outlineLevel="0" collapsed="false">
      <c r="A1137" s="11"/>
      <c r="B1137" s="38"/>
      <c r="D1137" s="10"/>
      <c r="G1137" s="30" t="str">
        <f aca="false">IF($C1137="","",IFERROR(IF(INDEX(links!$A$2:$A$501,MATCH($C1137,links!$D$2:$D$501,0))="","",INDEX(links!$A$2:$A$501,MATCH($C1137,links!$D$2:$D$501,0))),""))</f>
        <v/>
      </c>
      <c r="H1137" s="30" t="str">
        <f aca="false">IF($C1137="","",IFERROR(IF(INDEX(links!$B$2:$B$501,MATCH($C1137,links!$D$2:$D$501,0))="","",INDEX(links!$B$2:$B$501,MATCH($C1137,links!$D$2:$D$501,0))),""))</f>
        <v/>
      </c>
      <c r="I1137" s="30" t="str">
        <f aca="false">IF($C1137="","",IFERROR(IF(INDEX(links!$C$2:$C$501,MATCH($C1137,links!$D$2:$D$501,0))="","",INDEX(links!$C$2:$C$501,MATCH($C1137,links!$D$2:$D$501,0))),""))</f>
        <v/>
      </c>
      <c r="J1137" s="30" t="str">
        <f aca="false">IF($C1137="","",IF($G1137="","slug not in links; ","")&amp;IF($D1137="","reading type missing; ","")&amp;IF(COUNTIFS(scans!$C$2:$C$1601,$C1137,scans!$D$2:$D$1601,$D1137)&gt;1,"two readings of this type: keep one; ",""))</f>
        <v/>
      </c>
    </row>
    <row r="1138" customFormat="false" ht="15" hidden="false" customHeight="false" outlineLevel="0" collapsed="false">
      <c r="A1138" s="11"/>
      <c r="B1138" s="38"/>
      <c r="D1138" s="10"/>
      <c r="G1138" s="30" t="str">
        <f aca="false">IF($C1138="","",IFERROR(IF(INDEX(links!$A$2:$A$501,MATCH($C1138,links!$D$2:$D$501,0))="","",INDEX(links!$A$2:$A$501,MATCH($C1138,links!$D$2:$D$501,0))),""))</f>
        <v/>
      </c>
      <c r="H1138" s="30" t="str">
        <f aca="false">IF($C1138="","",IFERROR(IF(INDEX(links!$B$2:$B$501,MATCH($C1138,links!$D$2:$D$501,0))="","",INDEX(links!$B$2:$B$501,MATCH($C1138,links!$D$2:$D$501,0))),""))</f>
        <v/>
      </c>
      <c r="I1138" s="30" t="str">
        <f aca="false">IF($C1138="","",IFERROR(IF(INDEX(links!$C$2:$C$501,MATCH($C1138,links!$D$2:$D$501,0))="","",INDEX(links!$C$2:$C$501,MATCH($C1138,links!$D$2:$D$501,0))),""))</f>
        <v/>
      </c>
      <c r="J1138" s="30" t="str">
        <f aca="false">IF($C1138="","",IF($G1138="","slug not in links; ","")&amp;IF($D1138="","reading type missing; ","")&amp;IF(COUNTIFS(scans!$C$2:$C$1601,$C1138,scans!$D$2:$D$1601,$D1138)&gt;1,"two readings of this type: keep one; ",""))</f>
        <v/>
      </c>
    </row>
    <row r="1139" customFormat="false" ht="15" hidden="false" customHeight="false" outlineLevel="0" collapsed="false">
      <c r="A1139" s="11"/>
      <c r="B1139" s="38"/>
      <c r="D1139" s="10"/>
      <c r="G1139" s="30" t="str">
        <f aca="false">IF($C1139="","",IFERROR(IF(INDEX(links!$A$2:$A$501,MATCH($C1139,links!$D$2:$D$501,0))="","",INDEX(links!$A$2:$A$501,MATCH($C1139,links!$D$2:$D$501,0))),""))</f>
        <v/>
      </c>
      <c r="H1139" s="30" t="str">
        <f aca="false">IF($C1139="","",IFERROR(IF(INDEX(links!$B$2:$B$501,MATCH($C1139,links!$D$2:$D$501,0))="","",INDEX(links!$B$2:$B$501,MATCH($C1139,links!$D$2:$D$501,0))),""))</f>
        <v/>
      </c>
      <c r="I1139" s="30" t="str">
        <f aca="false">IF($C1139="","",IFERROR(IF(INDEX(links!$C$2:$C$501,MATCH($C1139,links!$D$2:$D$501,0))="","",INDEX(links!$C$2:$C$501,MATCH($C1139,links!$D$2:$D$501,0))),""))</f>
        <v/>
      </c>
      <c r="J1139" s="30" t="str">
        <f aca="false">IF($C1139="","",IF($G1139="","slug not in links; ","")&amp;IF($D1139="","reading type missing; ","")&amp;IF(COUNTIFS(scans!$C$2:$C$1601,$C1139,scans!$D$2:$D$1601,$D1139)&gt;1,"two readings of this type: keep one; ",""))</f>
        <v/>
      </c>
    </row>
    <row r="1140" customFormat="false" ht="15" hidden="false" customHeight="false" outlineLevel="0" collapsed="false">
      <c r="A1140" s="11"/>
      <c r="B1140" s="38"/>
      <c r="D1140" s="10"/>
      <c r="G1140" s="30" t="str">
        <f aca="false">IF($C1140="","",IFERROR(IF(INDEX(links!$A$2:$A$501,MATCH($C1140,links!$D$2:$D$501,0))="","",INDEX(links!$A$2:$A$501,MATCH($C1140,links!$D$2:$D$501,0))),""))</f>
        <v/>
      </c>
      <c r="H1140" s="30" t="str">
        <f aca="false">IF($C1140="","",IFERROR(IF(INDEX(links!$B$2:$B$501,MATCH($C1140,links!$D$2:$D$501,0))="","",INDEX(links!$B$2:$B$501,MATCH($C1140,links!$D$2:$D$501,0))),""))</f>
        <v/>
      </c>
      <c r="I1140" s="30" t="str">
        <f aca="false">IF($C1140="","",IFERROR(IF(INDEX(links!$C$2:$C$501,MATCH($C1140,links!$D$2:$D$501,0))="","",INDEX(links!$C$2:$C$501,MATCH($C1140,links!$D$2:$D$501,0))),""))</f>
        <v/>
      </c>
      <c r="J1140" s="30" t="str">
        <f aca="false">IF($C1140="","",IF($G1140="","slug not in links; ","")&amp;IF($D1140="","reading type missing; ","")&amp;IF(COUNTIFS(scans!$C$2:$C$1601,$C1140,scans!$D$2:$D$1601,$D1140)&gt;1,"two readings of this type: keep one; ",""))</f>
        <v/>
      </c>
    </row>
    <row r="1141" customFormat="false" ht="15" hidden="false" customHeight="false" outlineLevel="0" collapsed="false">
      <c r="A1141" s="11"/>
      <c r="B1141" s="38"/>
      <c r="D1141" s="10"/>
      <c r="G1141" s="30" t="str">
        <f aca="false">IF($C1141="","",IFERROR(IF(INDEX(links!$A$2:$A$501,MATCH($C1141,links!$D$2:$D$501,0))="","",INDEX(links!$A$2:$A$501,MATCH($C1141,links!$D$2:$D$501,0))),""))</f>
        <v/>
      </c>
      <c r="H1141" s="30" t="str">
        <f aca="false">IF($C1141="","",IFERROR(IF(INDEX(links!$B$2:$B$501,MATCH($C1141,links!$D$2:$D$501,0))="","",INDEX(links!$B$2:$B$501,MATCH($C1141,links!$D$2:$D$501,0))),""))</f>
        <v/>
      </c>
      <c r="I1141" s="30" t="str">
        <f aca="false">IF($C1141="","",IFERROR(IF(INDEX(links!$C$2:$C$501,MATCH($C1141,links!$D$2:$D$501,0))="","",INDEX(links!$C$2:$C$501,MATCH($C1141,links!$D$2:$D$501,0))),""))</f>
        <v/>
      </c>
      <c r="J1141" s="30" t="str">
        <f aca="false">IF($C1141="","",IF($G1141="","slug not in links; ","")&amp;IF($D1141="","reading type missing; ","")&amp;IF(COUNTIFS(scans!$C$2:$C$1601,$C1141,scans!$D$2:$D$1601,$D1141)&gt;1,"two readings of this type: keep one; ",""))</f>
        <v/>
      </c>
    </row>
    <row r="1142" customFormat="false" ht="15" hidden="false" customHeight="false" outlineLevel="0" collapsed="false">
      <c r="A1142" s="11"/>
      <c r="B1142" s="38"/>
      <c r="D1142" s="10"/>
      <c r="G1142" s="30" t="str">
        <f aca="false">IF($C1142="","",IFERROR(IF(INDEX(links!$A$2:$A$501,MATCH($C1142,links!$D$2:$D$501,0))="","",INDEX(links!$A$2:$A$501,MATCH($C1142,links!$D$2:$D$501,0))),""))</f>
        <v/>
      </c>
      <c r="H1142" s="30" t="str">
        <f aca="false">IF($C1142="","",IFERROR(IF(INDEX(links!$B$2:$B$501,MATCH($C1142,links!$D$2:$D$501,0))="","",INDEX(links!$B$2:$B$501,MATCH($C1142,links!$D$2:$D$501,0))),""))</f>
        <v/>
      </c>
      <c r="I1142" s="30" t="str">
        <f aca="false">IF($C1142="","",IFERROR(IF(INDEX(links!$C$2:$C$501,MATCH($C1142,links!$D$2:$D$501,0))="","",INDEX(links!$C$2:$C$501,MATCH($C1142,links!$D$2:$D$501,0))),""))</f>
        <v/>
      </c>
      <c r="J1142" s="30" t="str">
        <f aca="false">IF($C1142="","",IF($G1142="","slug not in links; ","")&amp;IF($D1142="","reading type missing; ","")&amp;IF(COUNTIFS(scans!$C$2:$C$1601,$C1142,scans!$D$2:$D$1601,$D1142)&gt;1,"two readings of this type: keep one; ",""))</f>
        <v/>
      </c>
    </row>
    <row r="1143" customFormat="false" ht="15" hidden="false" customHeight="false" outlineLevel="0" collapsed="false">
      <c r="A1143" s="11"/>
      <c r="B1143" s="38"/>
      <c r="D1143" s="10"/>
      <c r="G1143" s="30" t="str">
        <f aca="false">IF($C1143="","",IFERROR(IF(INDEX(links!$A$2:$A$501,MATCH($C1143,links!$D$2:$D$501,0))="","",INDEX(links!$A$2:$A$501,MATCH($C1143,links!$D$2:$D$501,0))),""))</f>
        <v/>
      </c>
      <c r="H1143" s="30" t="str">
        <f aca="false">IF($C1143="","",IFERROR(IF(INDEX(links!$B$2:$B$501,MATCH($C1143,links!$D$2:$D$501,0))="","",INDEX(links!$B$2:$B$501,MATCH($C1143,links!$D$2:$D$501,0))),""))</f>
        <v/>
      </c>
      <c r="I1143" s="30" t="str">
        <f aca="false">IF($C1143="","",IFERROR(IF(INDEX(links!$C$2:$C$501,MATCH($C1143,links!$D$2:$D$501,0))="","",INDEX(links!$C$2:$C$501,MATCH($C1143,links!$D$2:$D$501,0))),""))</f>
        <v/>
      </c>
      <c r="J1143" s="30" t="str">
        <f aca="false">IF($C1143="","",IF($G1143="","slug not in links; ","")&amp;IF($D1143="","reading type missing; ","")&amp;IF(COUNTIFS(scans!$C$2:$C$1601,$C1143,scans!$D$2:$D$1601,$D1143)&gt;1,"two readings of this type: keep one; ",""))</f>
        <v/>
      </c>
    </row>
    <row r="1144" customFormat="false" ht="15" hidden="false" customHeight="false" outlineLevel="0" collapsed="false">
      <c r="A1144" s="11"/>
      <c r="B1144" s="38"/>
      <c r="D1144" s="10"/>
      <c r="G1144" s="30" t="str">
        <f aca="false">IF($C1144="","",IFERROR(IF(INDEX(links!$A$2:$A$501,MATCH($C1144,links!$D$2:$D$501,0))="","",INDEX(links!$A$2:$A$501,MATCH($C1144,links!$D$2:$D$501,0))),""))</f>
        <v/>
      </c>
      <c r="H1144" s="30" t="str">
        <f aca="false">IF($C1144="","",IFERROR(IF(INDEX(links!$B$2:$B$501,MATCH($C1144,links!$D$2:$D$501,0))="","",INDEX(links!$B$2:$B$501,MATCH($C1144,links!$D$2:$D$501,0))),""))</f>
        <v/>
      </c>
      <c r="I1144" s="30" t="str">
        <f aca="false">IF($C1144="","",IFERROR(IF(INDEX(links!$C$2:$C$501,MATCH($C1144,links!$D$2:$D$501,0))="","",INDEX(links!$C$2:$C$501,MATCH($C1144,links!$D$2:$D$501,0))),""))</f>
        <v/>
      </c>
      <c r="J1144" s="30" t="str">
        <f aca="false">IF($C1144="","",IF($G1144="","slug not in links; ","")&amp;IF($D1144="","reading type missing; ","")&amp;IF(COUNTIFS(scans!$C$2:$C$1601,$C1144,scans!$D$2:$D$1601,$D1144)&gt;1,"two readings of this type: keep one; ",""))</f>
        <v/>
      </c>
    </row>
    <row r="1145" customFormat="false" ht="15" hidden="false" customHeight="false" outlineLevel="0" collapsed="false">
      <c r="A1145" s="11"/>
      <c r="B1145" s="38"/>
      <c r="D1145" s="10"/>
      <c r="G1145" s="30" t="str">
        <f aca="false">IF($C1145="","",IFERROR(IF(INDEX(links!$A$2:$A$501,MATCH($C1145,links!$D$2:$D$501,0))="","",INDEX(links!$A$2:$A$501,MATCH($C1145,links!$D$2:$D$501,0))),""))</f>
        <v/>
      </c>
      <c r="H1145" s="30" t="str">
        <f aca="false">IF($C1145="","",IFERROR(IF(INDEX(links!$B$2:$B$501,MATCH($C1145,links!$D$2:$D$501,0))="","",INDEX(links!$B$2:$B$501,MATCH($C1145,links!$D$2:$D$501,0))),""))</f>
        <v/>
      </c>
      <c r="I1145" s="30" t="str">
        <f aca="false">IF($C1145="","",IFERROR(IF(INDEX(links!$C$2:$C$501,MATCH($C1145,links!$D$2:$D$501,0))="","",INDEX(links!$C$2:$C$501,MATCH($C1145,links!$D$2:$D$501,0))),""))</f>
        <v/>
      </c>
      <c r="J1145" s="30" t="str">
        <f aca="false">IF($C1145="","",IF($G1145="","slug not in links; ","")&amp;IF($D1145="","reading type missing; ","")&amp;IF(COUNTIFS(scans!$C$2:$C$1601,$C1145,scans!$D$2:$D$1601,$D1145)&gt;1,"two readings of this type: keep one; ",""))</f>
        <v/>
      </c>
    </row>
    <row r="1146" customFormat="false" ht="15" hidden="false" customHeight="false" outlineLevel="0" collapsed="false">
      <c r="A1146" s="11"/>
      <c r="B1146" s="38"/>
      <c r="D1146" s="10"/>
      <c r="G1146" s="30" t="str">
        <f aca="false">IF($C1146="","",IFERROR(IF(INDEX(links!$A$2:$A$501,MATCH($C1146,links!$D$2:$D$501,0))="","",INDEX(links!$A$2:$A$501,MATCH($C1146,links!$D$2:$D$501,0))),""))</f>
        <v/>
      </c>
      <c r="H1146" s="30" t="str">
        <f aca="false">IF($C1146="","",IFERROR(IF(INDEX(links!$B$2:$B$501,MATCH($C1146,links!$D$2:$D$501,0))="","",INDEX(links!$B$2:$B$501,MATCH($C1146,links!$D$2:$D$501,0))),""))</f>
        <v/>
      </c>
      <c r="I1146" s="30" t="str">
        <f aca="false">IF($C1146="","",IFERROR(IF(INDEX(links!$C$2:$C$501,MATCH($C1146,links!$D$2:$D$501,0))="","",INDEX(links!$C$2:$C$501,MATCH($C1146,links!$D$2:$D$501,0))),""))</f>
        <v/>
      </c>
      <c r="J1146" s="30" t="str">
        <f aca="false">IF($C1146="","",IF($G1146="","slug not in links; ","")&amp;IF($D1146="","reading type missing; ","")&amp;IF(COUNTIFS(scans!$C$2:$C$1601,$C1146,scans!$D$2:$D$1601,$D1146)&gt;1,"two readings of this type: keep one; ",""))</f>
        <v/>
      </c>
    </row>
    <row r="1147" customFormat="false" ht="15" hidden="false" customHeight="false" outlineLevel="0" collapsed="false">
      <c r="A1147" s="11"/>
      <c r="B1147" s="38"/>
      <c r="D1147" s="10"/>
      <c r="G1147" s="30" t="str">
        <f aca="false">IF($C1147="","",IFERROR(IF(INDEX(links!$A$2:$A$501,MATCH($C1147,links!$D$2:$D$501,0))="","",INDEX(links!$A$2:$A$501,MATCH($C1147,links!$D$2:$D$501,0))),""))</f>
        <v/>
      </c>
      <c r="H1147" s="30" t="str">
        <f aca="false">IF($C1147="","",IFERROR(IF(INDEX(links!$B$2:$B$501,MATCH($C1147,links!$D$2:$D$501,0))="","",INDEX(links!$B$2:$B$501,MATCH($C1147,links!$D$2:$D$501,0))),""))</f>
        <v/>
      </c>
      <c r="I1147" s="30" t="str">
        <f aca="false">IF($C1147="","",IFERROR(IF(INDEX(links!$C$2:$C$501,MATCH($C1147,links!$D$2:$D$501,0))="","",INDEX(links!$C$2:$C$501,MATCH($C1147,links!$D$2:$D$501,0))),""))</f>
        <v/>
      </c>
      <c r="J1147" s="30" t="str">
        <f aca="false">IF($C1147="","",IF($G1147="","slug not in links; ","")&amp;IF($D1147="","reading type missing; ","")&amp;IF(COUNTIFS(scans!$C$2:$C$1601,$C1147,scans!$D$2:$D$1601,$D1147)&gt;1,"two readings of this type: keep one; ",""))</f>
        <v/>
      </c>
    </row>
    <row r="1148" customFormat="false" ht="15" hidden="false" customHeight="false" outlineLevel="0" collapsed="false">
      <c r="A1148" s="11"/>
      <c r="B1148" s="38"/>
      <c r="D1148" s="10"/>
      <c r="G1148" s="30" t="str">
        <f aca="false">IF($C1148="","",IFERROR(IF(INDEX(links!$A$2:$A$501,MATCH($C1148,links!$D$2:$D$501,0))="","",INDEX(links!$A$2:$A$501,MATCH($C1148,links!$D$2:$D$501,0))),""))</f>
        <v/>
      </c>
      <c r="H1148" s="30" t="str">
        <f aca="false">IF($C1148="","",IFERROR(IF(INDEX(links!$B$2:$B$501,MATCH($C1148,links!$D$2:$D$501,0))="","",INDEX(links!$B$2:$B$501,MATCH($C1148,links!$D$2:$D$501,0))),""))</f>
        <v/>
      </c>
      <c r="I1148" s="30" t="str">
        <f aca="false">IF($C1148="","",IFERROR(IF(INDEX(links!$C$2:$C$501,MATCH($C1148,links!$D$2:$D$501,0))="","",INDEX(links!$C$2:$C$501,MATCH($C1148,links!$D$2:$D$501,0))),""))</f>
        <v/>
      </c>
      <c r="J1148" s="30" t="str">
        <f aca="false">IF($C1148="","",IF($G1148="","slug not in links; ","")&amp;IF($D1148="","reading type missing; ","")&amp;IF(COUNTIFS(scans!$C$2:$C$1601,$C1148,scans!$D$2:$D$1601,$D1148)&gt;1,"two readings of this type: keep one; ",""))</f>
        <v/>
      </c>
    </row>
    <row r="1149" customFormat="false" ht="15" hidden="false" customHeight="false" outlineLevel="0" collapsed="false">
      <c r="A1149" s="11"/>
      <c r="B1149" s="38"/>
      <c r="D1149" s="10"/>
      <c r="G1149" s="30" t="str">
        <f aca="false">IF($C1149="","",IFERROR(IF(INDEX(links!$A$2:$A$501,MATCH($C1149,links!$D$2:$D$501,0))="","",INDEX(links!$A$2:$A$501,MATCH($C1149,links!$D$2:$D$501,0))),""))</f>
        <v/>
      </c>
      <c r="H1149" s="30" t="str">
        <f aca="false">IF($C1149="","",IFERROR(IF(INDEX(links!$B$2:$B$501,MATCH($C1149,links!$D$2:$D$501,0))="","",INDEX(links!$B$2:$B$501,MATCH($C1149,links!$D$2:$D$501,0))),""))</f>
        <v/>
      </c>
      <c r="I1149" s="30" t="str">
        <f aca="false">IF($C1149="","",IFERROR(IF(INDEX(links!$C$2:$C$501,MATCH($C1149,links!$D$2:$D$501,0))="","",INDEX(links!$C$2:$C$501,MATCH($C1149,links!$D$2:$D$501,0))),""))</f>
        <v/>
      </c>
      <c r="J1149" s="30" t="str">
        <f aca="false">IF($C1149="","",IF($G1149="","slug not in links; ","")&amp;IF($D1149="","reading type missing; ","")&amp;IF(COUNTIFS(scans!$C$2:$C$1601,$C1149,scans!$D$2:$D$1601,$D1149)&gt;1,"two readings of this type: keep one; ",""))</f>
        <v/>
      </c>
    </row>
    <row r="1150" customFormat="false" ht="15" hidden="false" customHeight="false" outlineLevel="0" collapsed="false">
      <c r="A1150" s="11"/>
      <c r="B1150" s="38"/>
      <c r="D1150" s="10"/>
      <c r="G1150" s="30" t="str">
        <f aca="false">IF($C1150="","",IFERROR(IF(INDEX(links!$A$2:$A$501,MATCH($C1150,links!$D$2:$D$501,0))="","",INDEX(links!$A$2:$A$501,MATCH($C1150,links!$D$2:$D$501,0))),""))</f>
        <v/>
      </c>
      <c r="H1150" s="30" t="str">
        <f aca="false">IF($C1150="","",IFERROR(IF(INDEX(links!$B$2:$B$501,MATCH($C1150,links!$D$2:$D$501,0))="","",INDEX(links!$B$2:$B$501,MATCH($C1150,links!$D$2:$D$501,0))),""))</f>
        <v/>
      </c>
      <c r="I1150" s="30" t="str">
        <f aca="false">IF($C1150="","",IFERROR(IF(INDEX(links!$C$2:$C$501,MATCH($C1150,links!$D$2:$D$501,0))="","",INDEX(links!$C$2:$C$501,MATCH($C1150,links!$D$2:$D$501,0))),""))</f>
        <v/>
      </c>
      <c r="J1150" s="30" t="str">
        <f aca="false">IF($C1150="","",IF($G1150="","slug not in links; ","")&amp;IF($D1150="","reading type missing; ","")&amp;IF(COUNTIFS(scans!$C$2:$C$1601,$C1150,scans!$D$2:$D$1601,$D1150)&gt;1,"two readings of this type: keep one; ",""))</f>
        <v/>
      </c>
    </row>
    <row r="1151" customFormat="false" ht="15" hidden="false" customHeight="false" outlineLevel="0" collapsed="false">
      <c r="A1151" s="11"/>
      <c r="B1151" s="38"/>
      <c r="D1151" s="10"/>
      <c r="G1151" s="30" t="str">
        <f aca="false">IF($C1151="","",IFERROR(IF(INDEX(links!$A$2:$A$501,MATCH($C1151,links!$D$2:$D$501,0))="","",INDEX(links!$A$2:$A$501,MATCH($C1151,links!$D$2:$D$501,0))),""))</f>
        <v/>
      </c>
      <c r="H1151" s="30" t="str">
        <f aca="false">IF($C1151="","",IFERROR(IF(INDEX(links!$B$2:$B$501,MATCH($C1151,links!$D$2:$D$501,0))="","",INDEX(links!$B$2:$B$501,MATCH($C1151,links!$D$2:$D$501,0))),""))</f>
        <v/>
      </c>
      <c r="I1151" s="30" t="str">
        <f aca="false">IF($C1151="","",IFERROR(IF(INDEX(links!$C$2:$C$501,MATCH($C1151,links!$D$2:$D$501,0))="","",INDEX(links!$C$2:$C$501,MATCH($C1151,links!$D$2:$D$501,0))),""))</f>
        <v/>
      </c>
      <c r="J1151" s="30" t="str">
        <f aca="false">IF($C1151="","",IF($G1151="","slug not in links; ","")&amp;IF($D1151="","reading type missing; ","")&amp;IF(COUNTIFS(scans!$C$2:$C$1601,$C1151,scans!$D$2:$D$1601,$D1151)&gt;1,"two readings of this type: keep one; ",""))</f>
        <v/>
      </c>
    </row>
    <row r="1152" customFormat="false" ht="15" hidden="false" customHeight="false" outlineLevel="0" collapsed="false">
      <c r="A1152" s="11"/>
      <c r="B1152" s="38"/>
      <c r="D1152" s="10"/>
      <c r="G1152" s="30" t="str">
        <f aca="false">IF($C1152="","",IFERROR(IF(INDEX(links!$A$2:$A$501,MATCH($C1152,links!$D$2:$D$501,0))="","",INDEX(links!$A$2:$A$501,MATCH($C1152,links!$D$2:$D$501,0))),""))</f>
        <v/>
      </c>
      <c r="H1152" s="30" t="str">
        <f aca="false">IF($C1152="","",IFERROR(IF(INDEX(links!$B$2:$B$501,MATCH($C1152,links!$D$2:$D$501,0))="","",INDEX(links!$B$2:$B$501,MATCH($C1152,links!$D$2:$D$501,0))),""))</f>
        <v/>
      </c>
      <c r="I1152" s="30" t="str">
        <f aca="false">IF($C1152="","",IFERROR(IF(INDEX(links!$C$2:$C$501,MATCH($C1152,links!$D$2:$D$501,0))="","",INDEX(links!$C$2:$C$501,MATCH($C1152,links!$D$2:$D$501,0))),""))</f>
        <v/>
      </c>
      <c r="J1152" s="30" t="str">
        <f aca="false">IF($C1152="","",IF($G1152="","slug not in links; ","")&amp;IF($D1152="","reading type missing; ","")&amp;IF(COUNTIFS(scans!$C$2:$C$1601,$C1152,scans!$D$2:$D$1601,$D1152)&gt;1,"two readings of this type: keep one; ",""))</f>
        <v/>
      </c>
    </row>
    <row r="1153" customFormat="false" ht="15" hidden="false" customHeight="false" outlineLevel="0" collapsed="false">
      <c r="A1153" s="11"/>
      <c r="B1153" s="38"/>
      <c r="D1153" s="10"/>
      <c r="G1153" s="30" t="str">
        <f aca="false">IF($C1153="","",IFERROR(IF(INDEX(links!$A$2:$A$501,MATCH($C1153,links!$D$2:$D$501,0))="","",INDEX(links!$A$2:$A$501,MATCH($C1153,links!$D$2:$D$501,0))),""))</f>
        <v/>
      </c>
      <c r="H1153" s="30" t="str">
        <f aca="false">IF($C1153="","",IFERROR(IF(INDEX(links!$B$2:$B$501,MATCH($C1153,links!$D$2:$D$501,0))="","",INDEX(links!$B$2:$B$501,MATCH($C1153,links!$D$2:$D$501,0))),""))</f>
        <v/>
      </c>
      <c r="I1153" s="30" t="str">
        <f aca="false">IF($C1153="","",IFERROR(IF(INDEX(links!$C$2:$C$501,MATCH($C1153,links!$D$2:$D$501,0))="","",INDEX(links!$C$2:$C$501,MATCH($C1153,links!$D$2:$D$501,0))),""))</f>
        <v/>
      </c>
      <c r="J1153" s="30" t="str">
        <f aca="false">IF($C1153="","",IF($G1153="","slug not in links; ","")&amp;IF($D1153="","reading type missing; ","")&amp;IF(COUNTIFS(scans!$C$2:$C$1601,$C1153,scans!$D$2:$D$1601,$D1153)&gt;1,"two readings of this type: keep one; ",""))</f>
        <v/>
      </c>
    </row>
    <row r="1154" customFormat="false" ht="15" hidden="false" customHeight="false" outlineLevel="0" collapsed="false">
      <c r="A1154" s="11"/>
      <c r="B1154" s="38"/>
      <c r="D1154" s="10"/>
      <c r="G1154" s="30" t="str">
        <f aca="false">IF($C1154="","",IFERROR(IF(INDEX(links!$A$2:$A$501,MATCH($C1154,links!$D$2:$D$501,0))="","",INDEX(links!$A$2:$A$501,MATCH($C1154,links!$D$2:$D$501,0))),""))</f>
        <v/>
      </c>
      <c r="H1154" s="30" t="str">
        <f aca="false">IF($C1154="","",IFERROR(IF(INDEX(links!$B$2:$B$501,MATCH($C1154,links!$D$2:$D$501,0))="","",INDEX(links!$B$2:$B$501,MATCH($C1154,links!$D$2:$D$501,0))),""))</f>
        <v/>
      </c>
      <c r="I1154" s="30" t="str">
        <f aca="false">IF($C1154="","",IFERROR(IF(INDEX(links!$C$2:$C$501,MATCH($C1154,links!$D$2:$D$501,0))="","",INDEX(links!$C$2:$C$501,MATCH($C1154,links!$D$2:$D$501,0))),""))</f>
        <v/>
      </c>
      <c r="J1154" s="30" t="str">
        <f aca="false">IF($C1154="","",IF($G1154="","slug not in links; ","")&amp;IF($D1154="","reading type missing; ","")&amp;IF(COUNTIFS(scans!$C$2:$C$1601,$C1154,scans!$D$2:$D$1601,$D1154)&gt;1,"two readings of this type: keep one; ",""))</f>
        <v/>
      </c>
    </row>
    <row r="1155" customFormat="false" ht="15" hidden="false" customHeight="false" outlineLevel="0" collapsed="false">
      <c r="A1155" s="11"/>
      <c r="B1155" s="38"/>
      <c r="D1155" s="10"/>
      <c r="G1155" s="30" t="str">
        <f aca="false">IF($C1155="","",IFERROR(IF(INDEX(links!$A$2:$A$501,MATCH($C1155,links!$D$2:$D$501,0))="","",INDEX(links!$A$2:$A$501,MATCH($C1155,links!$D$2:$D$501,0))),""))</f>
        <v/>
      </c>
      <c r="H1155" s="30" t="str">
        <f aca="false">IF($C1155="","",IFERROR(IF(INDEX(links!$B$2:$B$501,MATCH($C1155,links!$D$2:$D$501,0))="","",INDEX(links!$B$2:$B$501,MATCH($C1155,links!$D$2:$D$501,0))),""))</f>
        <v/>
      </c>
      <c r="I1155" s="30" t="str">
        <f aca="false">IF($C1155="","",IFERROR(IF(INDEX(links!$C$2:$C$501,MATCH($C1155,links!$D$2:$D$501,0))="","",INDEX(links!$C$2:$C$501,MATCH($C1155,links!$D$2:$D$501,0))),""))</f>
        <v/>
      </c>
      <c r="J1155" s="30" t="str">
        <f aca="false">IF($C1155="","",IF($G1155="","slug not in links; ","")&amp;IF($D1155="","reading type missing; ","")&amp;IF(COUNTIFS(scans!$C$2:$C$1601,$C1155,scans!$D$2:$D$1601,$D1155)&gt;1,"two readings of this type: keep one; ",""))</f>
        <v/>
      </c>
    </row>
    <row r="1156" customFormat="false" ht="15" hidden="false" customHeight="false" outlineLevel="0" collapsed="false">
      <c r="A1156" s="11"/>
      <c r="B1156" s="38"/>
      <c r="D1156" s="10"/>
      <c r="G1156" s="30" t="str">
        <f aca="false">IF($C1156="","",IFERROR(IF(INDEX(links!$A$2:$A$501,MATCH($C1156,links!$D$2:$D$501,0))="","",INDEX(links!$A$2:$A$501,MATCH($C1156,links!$D$2:$D$501,0))),""))</f>
        <v/>
      </c>
      <c r="H1156" s="30" t="str">
        <f aca="false">IF($C1156="","",IFERROR(IF(INDEX(links!$B$2:$B$501,MATCH($C1156,links!$D$2:$D$501,0))="","",INDEX(links!$B$2:$B$501,MATCH($C1156,links!$D$2:$D$501,0))),""))</f>
        <v/>
      </c>
      <c r="I1156" s="30" t="str">
        <f aca="false">IF($C1156="","",IFERROR(IF(INDEX(links!$C$2:$C$501,MATCH($C1156,links!$D$2:$D$501,0))="","",INDEX(links!$C$2:$C$501,MATCH($C1156,links!$D$2:$D$501,0))),""))</f>
        <v/>
      </c>
      <c r="J1156" s="30" t="str">
        <f aca="false">IF($C1156="","",IF($G1156="","slug not in links; ","")&amp;IF($D1156="","reading type missing; ","")&amp;IF(COUNTIFS(scans!$C$2:$C$1601,$C1156,scans!$D$2:$D$1601,$D1156)&gt;1,"two readings of this type: keep one; ",""))</f>
        <v/>
      </c>
    </row>
    <row r="1157" customFormat="false" ht="15" hidden="false" customHeight="false" outlineLevel="0" collapsed="false">
      <c r="A1157" s="11"/>
      <c r="B1157" s="38"/>
      <c r="D1157" s="10"/>
      <c r="G1157" s="30" t="str">
        <f aca="false">IF($C1157="","",IFERROR(IF(INDEX(links!$A$2:$A$501,MATCH($C1157,links!$D$2:$D$501,0))="","",INDEX(links!$A$2:$A$501,MATCH($C1157,links!$D$2:$D$501,0))),""))</f>
        <v/>
      </c>
      <c r="H1157" s="30" t="str">
        <f aca="false">IF($C1157="","",IFERROR(IF(INDEX(links!$B$2:$B$501,MATCH($C1157,links!$D$2:$D$501,0))="","",INDEX(links!$B$2:$B$501,MATCH($C1157,links!$D$2:$D$501,0))),""))</f>
        <v/>
      </c>
      <c r="I1157" s="30" t="str">
        <f aca="false">IF($C1157="","",IFERROR(IF(INDEX(links!$C$2:$C$501,MATCH($C1157,links!$D$2:$D$501,0))="","",INDEX(links!$C$2:$C$501,MATCH($C1157,links!$D$2:$D$501,0))),""))</f>
        <v/>
      </c>
      <c r="J1157" s="30" t="str">
        <f aca="false">IF($C1157="","",IF($G1157="","slug not in links; ","")&amp;IF($D1157="","reading type missing; ","")&amp;IF(COUNTIFS(scans!$C$2:$C$1601,$C1157,scans!$D$2:$D$1601,$D1157)&gt;1,"two readings of this type: keep one; ",""))</f>
        <v/>
      </c>
    </row>
    <row r="1158" customFormat="false" ht="15" hidden="false" customHeight="false" outlineLevel="0" collapsed="false">
      <c r="A1158" s="11"/>
      <c r="B1158" s="38"/>
      <c r="D1158" s="10"/>
      <c r="G1158" s="30" t="str">
        <f aca="false">IF($C1158="","",IFERROR(IF(INDEX(links!$A$2:$A$501,MATCH($C1158,links!$D$2:$D$501,0))="","",INDEX(links!$A$2:$A$501,MATCH($C1158,links!$D$2:$D$501,0))),""))</f>
        <v/>
      </c>
      <c r="H1158" s="30" t="str">
        <f aca="false">IF($C1158="","",IFERROR(IF(INDEX(links!$B$2:$B$501,MATCH($C1158,links!$D$2:$D$501,0))="","",INDEX(links!$B$2:$B$501,MATCH($C1158,links!$D$2:$D$501,0))),""))</f>
        <v/>
      </c>
      <c r="I1158" s="30" t="str">
        <f aca="false">IF($C1158="","",IFERROR(IF(INDEX(links!$C$2:$C$501,MATCH($C1158,links!$D$2:$D$501,0))="","",INDEX(links!$C$2:$C$501,MATCH($C1158,links!$D$2:$D$501,0))),""))</f>
        <v/>
      </c>
      <c r="J1158" s="30" t="str">
        <f aca="false">IF($C1158="","",IF($G1158="","slug not in links; ","")&amp;IF($D1158="","reading type missing; ","")&amp;IF(COUNTIFS(scans!$C$2:$C$1601,$C1158,scans!$D$2:$D$1601,$D1158)&gt;1,"two readings of this type: keep one; ",""))</f>
        <v/>
      </c>
    </row>
    <row r="1159" customFormat="false" ht="15" hidden="false" customHeight="false" outlineLevel="0" collapsed="false">
      <c r="A1159" s="11"/>
      <c r="B1159" s="38"/>
      <c r="D1159" s="10"/>
      <c r="G1159" s="30" t="str">
        <f aca="false">IF($C1159="","",IFERROR(IF(INDEX(links!$A$2:$A$501,MATCH($C1159,links!$D$2:$D$501,0))="","",INDEX(links!$A$2:$A$501,MATCH($C1159,links!$D$2:$D$501,0))),""))</f>
        <v/>
      </c>
      <c r="H1159" s="30" t="str">
        <f aca="false">IF($C1159="","",IFERROR(IF(INDEX(links!$B$2:$B$501,MATCH($C1159,links!$D$2:$D$501,0))="","",INDEX(links!$B$2:$B$501,MATCH($C1159,links!$D$2:$D$501,0))),""))</f>
        <v/>
      </c>
      <c r="I1159" s="30" t="str">
        <f aca="false">IF($C1159="","",IFERROR(IF(INDEX(links!$C$2:$C$501,MATCH($C1159,links!$D$2:$D$501,0))="","",INDEX(links!$C$2:$C$501,MATCH($C1159,links!$D$2:$D$501,0))),""))</f>
        <v/>
      </c>
      <c r="J1159" s="30" t="str">
        <f aca="false">IF($C1159="","",IF($G1159="","slug not in links; ","")&amp;IF($D1159="","reading type missing; ","")&amp;IF(COUNTIFS(scans!$C$2:$C$1601,$C1159,scans!$D$2:$D$1601,$D1159)&gt;1,"two readings of this type: keep one; ",""))</f>
        <v/>
      </c>
    </row>
    <row r="1160" customFormat="false" ht="15" hidden="false" customHeight="false" outlineLevel="0" collapsed="false">
      <c r="A1160" s="11"/>
      <c r="B1160" s="38"/>
      <c r="D1160" s="10"/>
      <c r="G1160" s="30" t="str">
        <f aca="false">IF($C1160="","",IFERROR(IF(INDEX(links!$A$2:$A$501,MATCH($C1160,links!$D$2:$D$501,0))="","",INDEX(links!$A$2:$A$501,MATCH($C1160,links!$D$2:$D$501,0))),""))</f>
        <v/>
      </c>
      <c r="H1160" s="30" t="str">
        <f aca="false">IF($C1160="","",IFERROR(IF(INDEX(links!$B$2:$B$501,MATCH($C1160,links!$D$2:$D$501,0))="","",INDEX(links!$B$2:$B$501,MATCH($C1160,links!$D$2:$D$501,0))),""))</f>
        <v/>
      </c>
      <c r="I1160" s="30" t="str">
        <f aca="false">IF($C1160="","",IFERROR(IF(INDEX(links!$C$2:$C$501,MATCH($C1160,links!$D$2:$D$501,0))="","",INDEX(links!$C$2:$C$501,MATCH($C1160,links!$D$2:$D$501,0))),""))</f>
        <v/>
      </c>
      <c r="J1160" s="30" t="str">
        <f aca="false">IF($C1160="","",IF($G1160="","slug not in links; ","")&amp;IF($D1160="","reading type missing; ","")&amp;IF(COUNTIFS(scans!$C$2:$C$1601,$C1160,scans!$D$2:$D$1601,$D1160)&gt;1,"two readings of this type: keep one; ",""))</f>
        <v/>
      </c>
    </row>
    <row r="1161" customFormat="false" ht="15" hidden="false" customHeight="false" outlineLevel="0" collapsed="false">
      <c r="A1161" s="11"/>
      <c r="B1161" s="38"/>
      <c r="D1161" s="10"/>
      <c r="G1161" s="30" t="str">
        <f aca="false">IF($C1161="","",IFERROR(IF(INDEX(links!$A$2:$A$501,MATCH($C1161,links!$D$2:$D$501,0))="","",INDEX(links!$A$2:$A$501,MATCH($C1161,links!$D$2:$D$501,0))),""))</f>
        <v/>
      </c>
      <c r="H1161" s="30" t="str">
        <f aca="false">IF($C1161="","",IFERROR(IF(INDEX(links!$B$2:$B$501,MATCH($C1161,links!$D$2:$D$501,0))="","",INDEX(links!$B$2:$B$501,MATCH($C1161,links!$D$2:$D$501,0))),""))</f>
        <v/>
      </c>
      <c r="I1161" s="30" t="str">
        <f aca="false">IF($C1161="","",IFERROR(IF(INDEX(links!$C$2:$C$501,MATCH($C1161,links!$D$2:$D$501,0))="","",INDEX(links!$C$2:$C$501,MATCH($C1161,links!$D$2:$D$501,0))),""))</f>
        <v/>
      </c>
      <c r="J1161" s="30" t="str">
        <f aca="false">IF($C1161="","",IF($G1161="","slug not in links; ","")&amp;IF($D1161="","reading type missing; ","")&amp;IF(COUNTIFS(scans!$C$2:$C$1601,$C1161,scans!$D$2:$D$1601,$D1161)&gt;1,"two readings of this type: keep one; ",""))</f>
        <v/>
      </c>
    </row>
    <row r="1162" customFormat="false" ht="15" hidden="false" customHeight="false" outlineLevel="0" collapsed="false">
      <c r="A1162" s="11"/>
      <c r="B1162" s="38"/>
      <c r="D1162" s="10"/>
      <c r="G1162" s="30" t="str">
        <f aca="false">IF($C1162="","",IFERROR(IF(INDEX(links!$A$2:$A$501,MATCH($C1162,links!$D$2:$D$501,0))="","",INDEX(links!$A$2:$A$501,MATCH($C1162,links!$D$2:$D$501,0))),""))</f>
        <v/>
      </c>
      <c r="H1162" s="30" t="str">
        <f aca="false">IF($C1162="","",IFERROR(IF(INDEX(links!$B$2:$B$501,MATCH($C1162,links!$D$2:$D$501,0))="","",INDEX(links!$B$2:$B$501,MATCH($C1162,links!$D$2:$D$501,0))),""))</f>
        <v/>
      </c>
      <c r="I1162" s="30" t="str">
        <f aca="false">IF($C1162="","",IFERROR(IF(INDEX(links!$C$2:$C$501,MATCH($C1162,links!$D$2:$D$501,0))="","",INDEX(links!$C$2:$C$501,MATCH($C1162,links!$D$2:$D$501,0))),""))</f>
        <v/>
      </c>
      <c r="J1162" s="30" t="str">
        <f aca="false">IF($C1162="","",IF($G1162="","slug not in links; ","")&amp;IF($D1162="","reading type missing; ","")&amp;IF(COUNTIFS(scans!$C$2:$C$1601,$C1162,scans!$D$2:$D$1601,$D1162)&gt;1,"two readings of this type: keep one; ",""))</f>
        <v/>
      </c>
    </row>
    <row r="1163" customFormat="false" ht="15" hidden="false" customHeight="false" outlineLevel="0" collapsed="false">
      <c r="A1163" s="11"/>
      <c r="B1163" s="38"/>
      <c r="D1163" s="10"/>
      <c r="G1163" s="30" t="str">
        <f aca="false">IF($C1163="","",IFERROR(IF(INDEX(links!$A$2:$A$501,MATCH($C1163,links!$D$2:$D$501,0))="","",INDEX(links!$A$2:$A$501,MATCH($C1163,links!$D$2:$D$501,0))),""))</f>
        <v/>
      </c>
      <c r="H1163" s="30" t="str">
        <f aca="false">IF($C1163="","",IFERROR(IF(INDEX(links!$B$2:$B$501,MATCH($C1163,links!$D$2:$D$501,0))="","",INDEX(links!$B$2:$B$501,MATCH($C1163,links!$D$2:$D$501,0))),""))</f>
        <v/>
      </c>
      <c r="I1163" s="30" t="str">
        <f aca="false">IF($C1163="","",IFERROR(IF(INDEX(links!$C$2:$C$501,MATCH($C1163,links!$D$2:$D$501,0))="","",INDEX(links!$C$2:$C$501,MATCH($C1163,links!$D$2:$D$501,0))),""))</f>
        <v/>
      </c>
      <c r="J1163" s="30" t="str">
        <f aca="false">IF($C1163="","",IF($G1163="","slug not in links; ","")&amp;IF($D1163="","reading type missing; ","")&amp;IF(COUNTIFS(scans!$C$2:$C$1601,$C1163,scans!$D$2:$D$1601,$D1163)&gt;1,"two readings of this type: keep one; ",""))</f>
        <v/>
      </c>
    </row>
    <row r="1164" customFormat="false" ht="15" hidden="false" customHeight="false" outlineLevel="0" collapsed="false">
      <c r="A1164" s="11"/>
      <c r="B1164" s="38"/>
      <c r="D1164" s="10"/>
      <c r="G1164" s="30" t="str">
        <f aca="false">IF($C1164="","",IFERROR(IF(INDEX(links!$A$2:$A$501,MATCH($C1164,links!$D$2:$D$501,0))="","",INDEX(links!$A$2:$A$501,MATCH($C1164,links!$D$2:$D$501,0))),""))</f>
        <v/>
      </c>
      <c r="H1164" s="30" t="str">
        <f aca="false">IF($C1164="","",IFERROR(IF(INDEX(links!$B$2:$B$501,MATCH($C1164,links!$D$2:$D$501,0))="","",INDEX(links!$B$2:$B$501,MATCH($C1164,links!$D$2:$D$501,0))),""))</f>
        <v/>
      </c>
      <c r="I1164" s="30" t="str">
        <f aca="false">IF($C1164="","",IFERROR(IF(INDEX(links!$C$2:$C$501,MATCH($C1164,links!$D$2:$D$501,0))="","",INDEX(links!$C$2:$C$501,MATCH($C1164,links!$D$2:$D$501,0))),""))</f>
        <v/>
      </c>
      <c r="J1164" s="30" t="str">
        <f aca="false">IF($C1164="","",IF($G1164="","slug not in links; ","")&amp;IF($D1164="","reading type missing; ","")&amp;IF(COUNTIFS(scans!$C$2:$C$1601,$C1164,scans!$D$2:$D$1601,$D1164)&gt;1,"two readings of this type: keep one; ",""))</f>
        <v/>
      </c>
    </row>
    <row r="1165" customFormat="false" ht="15" hidden="false" customHeight="false" outlineLevel="0" collapsed="false">
      <c r="A1165" s="11"/>
      <c r="B1165" s="38"/>
      <c r="D1165" s="10"/>
      <c r="G1165" s="30" t="str">
        <f aca="false">IF($C1165="","",IFERROR(IF(INDEX(links!$A$2:$A$501,MATCH($C1165,links!$D$2:$D$501,0))="","",INDEX(links!$A$2:$A$501,MATCH($C1165,links!$D$2:$D$501,0))),""))</f>
        <v/>
      </c>
      <c r="H1165" s="30" t="str">
        <f aca="false">IF($C1165="","",IFERROR(IF(INDEX(links!$B$2:$B$501,MATCH($C1165,links!$D$2:$D$501,0))="","",INDEX(links!$B$2:$B$501,MATCH($C1165,links!$D$2:$D$501,0))),""))</f>
        <v/>
      </c>
      <c r="I1165" s="30" t="str">
        <f aca="false">IF($C1165="","",IFERROR(IF(INDEX(links!$C$2:$C$501,MATCH($C1165,links!$D$2:$D$501,0))="","",INDEX(links!$C$2:$C$501,MATCH($C1165,links!$D$2:$D$501,0))),""))</f>
        <v/>
      </c>
      <c r="J1165" s="30" t="str">
        <f aca="false">IF($C1165="","",IF($G1165="","slug not in links; ","")&amp;IF($D1165="","reading type missing; ","")&amp;IF(COUNTIFS(scans!$C$2:$C$1601,$C1165,scans!$D$2:$D$1601,$D1165)&gt;1,"two readings of this type: keep one; ",""))</f>
        <v/>
      </c>
    </row>
    <row r="1166" customFormat="false" ht="15" hidden="false" customHeight="false" outlineLevel="0" collapsed="false">
      <c r="A1166" s="11"/>
      <c r="B1166" s="38"/>
      <c r="D1166" s="10"/>
      <c r="G1166" s="30" t="str">
        <f aca="false">IF($C1166="","",IFERROR(IF(INDEX(links!$A$2:$A$501,MATCH($C1166,links!$D$2:$D$501,0))="","",INDEX(links!$A$2:$A$501,MATCH($C1166,links!$D$2:$D$501,0))),""))</f>
        <v/>
      </c>
      <c r="H1166" s="30" t="str">
        <f aca="false">IF($C1166="","",IFERROR(IF(INDEX(links!$B$2:$B$501,MATCH($C1166,links!$D$2:$D$501,0))="","",INDEX(links!$B$2:$B$501,MATCH($C1166,links!$D$2:$D$501,0))),""))</f>
        <v/>
      </c>
      <c r="I1166" s="30" t="str">
        <f aca="false">IF($C1166="","",IFERROR(IF(INDEX(links!$C$2:$C$501,MATCH($C1166,links!$D$2:$D$501,0))="","",INDEX(links!$C$2:$C$501,MATCH($C1166,links!$D$2:$D$501,0))),""))</f>
        <v/>
      </c>
      <c r="J1166" s="30" t="str">
        <f aca="false">IF($C1166="","",IF($G1166="","slug not in links; ","")&amp;IF($D1166="","reading type missing; ","")&amp;IF(COUNTIFS(scans!$C$2:$C$1601,$C1166,scans!$D$2:$D$1601,$D1166)&gt;1,"two readings of this type: keep one; ",""))</f>
        <v/>
      </c>
    </row>
    <row r="1167" customFormat="false" ht="15" hidden="false" customHeight="false" outlineLevel="0" collapsed="false">
      <c r="A1167" s="11"/>
      <c r="B1167" s="38"/>
      <c r="D1167" s="10"/>
      <c r="G1167" s="30" t="str">
        <f aca="false">IF($C1167="","",IFERROR(IF(INDEX(links!$A$2:$A$501,MATCH($C1167,links!$D$2:$D$501,0))="","",INDEX(links!$A$2:$A$501,MATCH($C1167,links!$D$2:$D$501,0))),""))</f>
        <v/>
      </c>
      <c r="H1167" s="30" t="str">
        <f aca="false">IF($C1167="","",IFERROR(IF(INDEX(links!$B$2:$B$501,MATCH($C1167,links!$D$2:$D$501,0))="","",INDEX(links!$B$2:$B$501,MATCH($C1167,links!$D$2:$D$501,0))),""))</f>
        <v/>
      </c>
      <c r="I1167" s="30" t="str">
        <f aca="false">IF($C1167="","",IFERROR(IF(INDEX(links!$C$2:$C$501,MATCH($C1167,links!$D$2:$D$501,0))="","",INDEX(links!$C$2:$C$501,MATCH($C1167,links!$D$2:$D$501,0))),""))</f>
        <v/>
      </c>
      <c r="J1167" s="30" t="str">
        <f aca="false">IF($C1167="","",IF($G1167="","slug not in links; ","")&amp;IF($D1167="","reading type missing; ","")&amp;IF(COUNTIFS(scans!$C$2:$C$1601,$C1167,scans!$D$2:$D$1601,$D1167)&gt;1,"two readings of this type: keep one; ",""))</f>
        <v/>
      </c>
    </row>
    <row r="1168" customFormat="false" ht="15" hidden="false" customHeight="false" outlineLevel="0" collapsed="false">
      <c r="A1168" s="11"/>
      <c r="B1168" s="38"/>
      <c r="D1168" s="10"/>
      <c r="G1168" s="30" t="str">
        <f aca="false">IF($C1168="","",IFERROR(IF(INDEX(links!$A$2:$A$501,MATCH($C1168,links!$D$2:$D$501,0))="","",INDEX(links!$A$2:$A$501,MATCH($C1168,links!$D$2:$D$501,0))),""))</f>
        <v/>
      </c>
      <c r="H1168" s="30" t="str">
        <f aca="false">IF($C1168="","",IFERROR(IF(INDEX(links!$B$2:$B$501,MATCH($C1168,links!$D$2:$D$501,0))="","",INDEX(links!$B$2:$B$501,MATCH($C1168,links!$D$2:$D$501,0))),""))</f>
        <v/>
      </c>
      <c r="I1168" s="30" t="str">
        <f aca="false">IF($C1168="","",IFERROR(IF(INDEX(links!$C$2:$C$501,MATCH($C1168,links!$D$2:$D$501,0))="","",INDEX(links!$C$2:$C$501,MATCH($C1168,links!$D$2:$D$501,0))),""))</f>
        <v/>
      </c>
      <c r="J1168" s="30" t="str">
        <f aca="false">IF($C1168="","",IF($G1168="","slug not in links; ","")&amp;IF($D1168="","reading type missing; ","")&amp;IF(COUNTIFS(scans!$C$2:$C$1601,$C1168,scans!$D$2:$D$1601,$D1168)&gt;1,"two readings of this type: keep one; ",""))</f>
        <v/>
      </c>
    </row>
    <row r="1169" customFormat="false" ht="15" hidden="false" customHeight="false" outlineLevel="0" collapsed="false">
      <c r="A1169" s="11"/>
      <c r="B1169" s="38"/>
      <c r="D1169" s="10"/>
      <c r="G1169" s="30" t="str">
        <f aca="false">IF($C1169="","",IFERROR(IF(INDEX(links!$A$2:$A$501,MATCH($C1169,links!$D$2:$D$501,0))="","",INDEX(links!$A$2:$A$501,MATCH($C1169,links!$D$2:$D$501,0))),""))</f>
        <v/>
      </c>
      <c r="H1169" s="30" t="str">
        <f aca="false">IF($C1169="","",IFERROR(IF(INDEX(links!$B$2:$B$501,MATCH($C1169,links!$D$2:$D$501,0))="","",INDEX(links!$B$2:$B$501,MATCH($C1169,links!$D$2:$D$501,0))),""))</f>
        <v/>
      </c>
      <c r="I1169" s="30" t="str">
        <f aca="false">IF($C1169="","",IFERROR(IF(INDEX(links!$C$2:$C$501,MATCH($C1169,links!$D$2:$D$501,0))="","",INDEX(links!$C$2:$C$501,MATCH($C1169,links!$D$2:$D$501,0))),""))</f>
        <v/>
      </c>
      <c r="J1169" s="30" t="str">
        <f aca="false">IF($C1169="","",IF($G1169="","slug not in links; ","")&amp;IF($D1169="","reading type missing; ","")&amp;IF(COUNTIFS(scans!$C$2:$C$1601,$C1169,scans!$D$2:$D$1601,$D1169)&gt;1,"two readings of this type: keep one; ",""))</f>
        <v/>
      </c>
    </row>
    <row r="1170" customFormat="false" ht="15" hidden="false" customHeight="false" outlineLevel="0" collapsed="false">
      <c r="A1170" s="11"/>
      <c r="B1170" s="38"/>
      <c r="D1170" s="10"/>
      <c r="G1170" s="30" t="str">
        <f aca="false">IF($C1170="","",IFERROR(IF(INDEX(links!$A$2:$A$501,MATCH($C1170,links!$D$2:$D$501,0))="","",INDEX(links!$A$2:$A$501,MATCH($C1170,links!$D$2:$D$501,0))),""))</f>
        <v/>
      </c>
      <c r="H1170" s="30" t="str">
        <f aca="false">IF($C1170="","",IFERROR(IF(INDEX(links!$B$2:$B$501,MATCH($C1170,links!$D$2:$D$501,0))="","",INDEX(links!$B$2:$B$501,MATCH($C1170,links!$D$2:$D$501,0))),""))</f>
        <v/>
      </c>
      <c r="I1170" s="30" t="str">
        <f aca="false">IF($C1170="","",IFERROR(IF(INDEX(links!$C$2:$C$501,MATCH($C1170,links!$D$2:$D$501,0))="","",INDEX(links!$C$2:$C$501,MATCH($C1170,links!$D$2:$D$501,0))),""))</f>
        <v/>
      </c>
      <c r="J1170" s="30" t="str">
        <f aca="false">IF($C1170="","",IF($G1170="","slug not in links; ","")&amp;IF($D1170="","reading type missing; ","")&amp;IF(COUNTIFS(scans!$C$2:$C$1601,$C1170,scans!$D$2:$D$1601,$D1170)&gt;1,"two readings of this type: keep one; ",""))</f>
        <v/>
      </c>
    </row>
    <row r="1171" customFormat="false" ht="15" hidden="false" customHeight="false" outlineLevel="0" collapsed="false">
      <c r="A1171" s="11"/>
      <c r="B1171" s="38"/>
      <c r="D1171" s="10"/>
      <c r="G1171" s="30" t="str">
        <f aca="false">IF($C1171="","",IFERROR(IF(INDEX(links!$A$2:$A$501,MATCH($C1171,links!$D$2:$D$501,0))="","",INDEX(links!$A$2:$A$501,MATCH($C1171,links!$D$2:$D$501,0))),""))</f>
        <v/>
      </c>
      <c r="H1171" s="30" t="str">
        <f aca="false">IF($C1171="","",IFERROR(IF(INDEX(links!$B$2:$B$501,MATCH($C1171,links!$D$2:$D$501,0))="","",INDEX(links!$B$2:$B$501,MATCH($C1171,links!$D$2:$D$501,0))),""))</f>
        <v/>
      </c>
      <c r="I1171" s="30" t="str">
        <f aca="false">IF($C1171="","",IFERROR(IF(INDEX(links!$C$2:$C$501,MATCH($C1171,links!$D$2:$D$501,0))="","",INDEX(links!$C$2:$C$501,MATCH($C1171,links!$D$2:$D$501,0))),""))</f>
        <v/>
      </c>
      <c r="J1171" s="30" t="str">
        <f aca="false">IF($C1171="","",IF($G1171="","slug not in links; ","")&amp;IF($D1171="","reading type missing; ","")&amp;IF(COUNTIFS(scans!$C$2:$C$1601,$C1171,scans!$D$2:$D$1601,$D1171)&gt;1,"two readings of this type: keep one; ",""))</f>
        <v/>
      </c>
    </row>
    <row r="1172" customFormat="false" ht="15" hidden="false" customHeight="false" outlineLevel="0" collapsed="false">
      <c r="A1172" s="11"/>
      <c r="B1172" s="38"/>
      <c r="D1172" s="10"/>
      <c r="G1172" s="30" t="str">
        <f aca="false">IF($C1172="","",IFERROR(IF(INDEX(links!$A$2:$A$501,MATCH($C1172,links!$D$2:$D$501,0))="","",INDEX(links!$A$2:$A$501,MATCH($C1172,links!$D$2:$D$501,0))),""))</f>
        <v/>
      </c>
      <c r="H1172" s="30" t="str">
        <f aca="false">IF($C1172="","",IFERROR(IF(INDEX(links!$B$2:$B$501,MATCH($C1172,links!$D$2:$D$501,0))="","",INDEX(links!$B$2:$B$501,MATCH($C1172,links!$D$2:$D$501,0))),""))</f>
        <v/>
      </c>
      <c r="I1172" s="30" t="str">
        <f aca="false">IF($C1172="","",IFERROR(IF(INDEX(links!$C$2:$C$501,MATCH($C1172,links!$D$2:$D$501,0))="","",INDEX(links!$C$2:$C$501,MATCH($C1172,links!$D$2:$D$501,0))),""))</f>
        <v/>
      </c>
      <c r="J1172" s="30" t="str">
        <f aca="false">IF($C1172="","",IF($G1172="","slug not in links; ","")&amp;IF($D1172="","reading type missing; ","")&amp;IF(COUNTIFS(scans!$C$2:$C$1601,$C1172,scans!$D$2:$D$1601,$D1172)&gt;1,"two readings of this type: keep one; ",""))</f>
        <v/>
      </c>
    </row>
    <row r="1173" customFormat="false" ht="15" hidden="false" customHeight="false" outlineLevel="0" collapsed="false">
      <c r="A1173" s="11"/>
      <c r="B1173" s="38"/>
      <c r="D1173" s="10"/>
      <c r="G1173" s="30" t="str">
        <f aca="false">IF($C1173="","",IFERROR(IF(INDEX(links!$A$2:$A$501,MATCH($C1173,links!$D$2:$D$501,0))="","",INDEX(links!$A$2:$A$501,MATCH($C1173,links!$D$2:$D$501,0))),""))</f>
        <v/>
      </c>
      <c r="H1173" s="30" t="str">
        <f aca="false">IF($C1173="","",IFERROR(IF(INDEX(links!$B$2:$B$501,MATCH($C1173,links!$D$2:$D$501,0))="","",INDEX(links!$B$2:$B$501,MATCH($C1173,links!$D$2:$D$501,0))),""))</f>
        <v/>
      </c>
      <c r="I1173" s="30" t="str">
        <f aca="false">IF($C1173="","",IFERROR(IF(INDEX(links!$C$2:$C$501,MATCH($C1173,links!$D$2:$D$501,0))="","",INDEX(links!$C$2:$C$501,MATCH($C1173,links!$D$2:$D$501,0))),""))</f>
        <v/>
      </c>
      <c r="J1173" s="30" t="str">
        <f aca="false">IF($C1173="","",IF($G1173="","slug not in links; ","")&amp;IF($D1173="","reading type missing; ","")&amp;IF(COUNTIFS(scans!$C$2:$C$1601,$C1173,scans!$D$2:$D$1601,$D1173)&gt;1,"two readings of this type: keep one; ",""))</f>
        <v/>
      </c>
    </row>
    <row r="1174" customFormat="false" ht="15" hidden="false" customHeight="false" outlineLevel="0" collapsed="false">
      <c r="A1174" s="11"/>
      <c r="B1174" s="38"/>
      <c r="D1174" s="10"/>
      <c r="G1174" s="30" t="str">
        <f aca="false">IF($C1174="","",IFERROR(IF(INDEX(links!$A$2:$A$501,MATCH($C1174,links!$D$2:$D$501,0))="","",INDEX(links!$A$2:$A$501,MATCH($C1174,links!$D$2:$D$501,0))),""))</f>
        <v/>
      </c>
      <c r="H1174" s="30" t="str">
        <f aca="false">IF($C1174="","",IFERROR(IF(INDEX(links!$B$2:$B$501,MATCH($C1174,links!$D$2:$D$501,0))="","",INDEX(links!$B$2:$B$501,MATCH($C1174,links!$D$2:$D$501,0))),""))</f>
        <v/>
      </c>
      <c r="I1174" s="30" t="str">
        <f aca="false">IF($C1174="","",IFERROR(IF(INDEX(links!$C$2:$C$501,MATCH($C1174,links!$D$2:$D$501,0))="","",INDEX(links!$C$2:$C$501,MATCH($C1174,links!$D$2:$D$501,0))),""))</f>
        <v/>
      </c>
      <c r="J1174" s="30" t="str">
        <f aca="false">IF($C1174="","",IF($G1174="","slug not in links; ","")&amp;IF($D1174="","reading type missing; ","")&amp;IF(COUNTIFS(scans!$C$2:$C$1601,$C1174,scans!$D$2:$D$1601,$D1174)&gt;1,"two readings of this type: keep one; ",""))</f>
        <v/>
      </c>
    </row>
    <row r="1175" customFormat="false" ht="15" hidden="false" customHeight="false" outlineLevel="0" collapsed="false">
      <c r="A1175" s="11"/>
      <c r="B1175" s="38"/>
      <c r="D1175" s="10"/>
      <c r="G1175" s="30" t="str">
        <f aca="false">IF($C1175="","",IFERROR(IF(INDEX(links!$A$2:$A$501,MATCH($C1175,links!$D$2:$D$501,0))="","",INDEX(links!$A$2:$A$501,MATCH($C1175,links!$D$2:$D$501,0))),""))</f>
        <v/>
      </c>
      <c r="H1175" s="30" t="str">
        <f aca="false">IF($C1175="","",IFERROR(IF(INDEX(links!$B$2:$B$501,MATCH($C1175,links!$D$2:$D$501,0))="","",INDEX(links!$B$2:$B$501,MATCH($C1175,links!$D$2:$D$501,0))),""))</f>
        <v/>
      </c>
      <c r="I1175" s="30" t="str">
        <f aca="false">IF($C1175="","",IFERROR(IF(INDEX(links!$C$2:$C$501,MATCH($C1175,links!$D$2:$D$501,0))="","",INDEX(links!$C$2:$C$501,MATCH($C1175,links!$D$2:$D$501,0))),""))</f>
        <v/>
      </c>
      <c r="J1175" s="30" t="str">
        <f aca="false">IF($C1175="","",IF($G1175="","slug not in links; ","")&amp;IF($D1175="","reading type missing; ","")&amp;IF(COUNTIFS(scans!$C$2:$C$1601,$C1175,scans!$D$2:$D$1601,$D1175)&gt;1,"two readings of this type: keep one; ",""))</f>
        <v/>
      </c>
    </row>
    <row r="1176" customFormat="false" ht="15" hidden="false" customHeight="false" outlineLevel="0" collapsed="false">
      <c r="A1176" s="11"/>
      <c r="B1176" s="38"/>
      <c r="D1176" s="10"/>
      <c r="G1176" s="30" t="str">
        <f aca="false">IF($C1176="","",IFERROR(IF(INDEX(links!$A$2:$A$501,MATCH($C1176,links!$D$2:$D$501,0))="","",INDEX(links!$A$2:$A$501,MATCH($C1176,links!$D$2:$D$501,0))),""))</f>
        <v/>
      </c>
      <c r="H1176" s="30" t="str">
        <f aca="false">IF($C1176="","",IFERROR(IF(INDEX(links!$B$2:$B$501,MATCH($C1176,links!$D$2:$D$501,0))="","",INDEX(links!$B$2:$B$501,MATCH($C1176,links!$D$2:$D$501,0))),""))</f>
        <v/>
      </c>
      <c r="I1176" s="30" t="str">
        <f aca="false">IF($C1176="","",IFERROR(IF(INDEX(links!$C$2:$C$501,MATCH($C1176,links!$D$2:$D$501,0))="","",INDEX(links!$C$2:$C$501,MATCH($C1176,links!$D$2:$D$501,0))),""))</f>
        <v/>
      </c>
      <c r="J1176" s="30" t="str">
        <f aca="false">IF($C1176="","",IF($G1176="","slug not in links; ","")&amp;IF($D1176="","reading type missing; ","")&amp;IF(COUNTIFS(scans!$C$2:$C$1601,$C1176,scans!$D$2:$D$1601,$D1176)&gt;1,"two readings of this type: keep one; ",""))</f>
        <v/>
      </c>
    </row>
    <row r="1177" customFormat="false" ht="15" hidden="false" customHeight="false" outlineLevel="0" collapsed="false">
      <c r="A1177" s="11"/>
      <c r="B1177" s="38"/>
      <c r="D1177" s="10"/>
      <c r="G1177" s="30" t="str">
        <f aca="false">IF($C1177="","",IFERROR(IF(INDEX(links!$A$2:$A$501,MATCH($C1177,links!$D$2:$D$501,0))="","",INDEX(links!$A$2:$A$501,MATCH($C1177,links!$D$2:$D$501,0))),""))</f>
        <v/>
      </c>
      <c r="H1177" s="30" t="str">
        <f aca="false">IF($C1177="","",IFERROR(IF(INDEX(links!$B$2:$B$501,MATCH($C1177,links!$D$2:$D$501,0))="","",INDEX(links!$B$2:$B$501,MATCH($C1177,links!$D$2:$D$501,0))),""))</f>
        <v/>
      </c>
      <c r="I1177" s="30" t="str">
        <f aca="false">IF($C1177="","",IFERROR(IF(INDEX(links!$C$2:$C$501,MATCH($C1177,links!$D$2:$D$501,0))="","",INDEX(links!$C$2:$C$501,MATCH($C1177,links!$D$2:$D$501,0))),""))</f>
        <v/>
      </c>
      <c r="J1177" s="30" t="str">
        <f aca="false">IF($C1177="","",IF($G1177="","slug not in links; ","")&amp;IF($D1177="","reading type missing; ","")&amp;IF(COUNTIFS(scans!$C$2:$C$1601,$C1177,scans!$D$2:$D$1601,$D1177)&gt;1,"two readings of this type: keep one; ",""))</f>
        <v/>
      </c>
    </row>
    <row r="1178" customFormat="false" ht="15" hidden="false" customHeight="false" outlineLevel="0" collapsed="false">
      <c r="A1178" s="11"/>
      <c r="B1178" s="38"/>
      <c r="D1178" s="10"/>
      <c r="G1178" s="30" t="str">
        <f aca="false">IF($C1178="","",IFERROR(IF(INDEX(links!$A$2:$A$501,MATCH($C1178,links!$D$2:$D$501,0))="","",INDEX(links!$A$2:$A$501,MATCH($C1178,links!$D$2:$D$501,0))),""))</f>
        <v/>
      </c>
      <c r="H1178" s="30" t="str">
        <f aca="false">IF($C1178="","",IFERROR(IF(INDEX(links!$B$2:$B$501,MATCH($C1178,links!$D$2:$D$501,0))="","",INDEX(links!$B$2:$B$501,MATCH($C1178,links!$D$2:$D$501,0))),""))</f>
        <v/>
      </c>
      <c r="I1178" s="30" t="str">
        <f aca="false">IF($C1178="","",IFERROR(IF(INDEX(links!$C$2:$C$501,MATCH($C1178,links!$D$2:$D$501,0))="","",INDEX(links!$C$2:$C$501,MATCH($C1178,links!$D$2:$D$501,0))),""))</f>
        <v/>
      </c>
      <c r="J1178" s="30" t="str">
        <f aca="false">IF($C1178="","",IF($G1178="","slug not in links; ","")&amp;IF($D1178="","reading type missing; ","")&amp;IF(COUNTIFS(scans!$C$2:$C$1601,$C1178,scans!$D$2:$D$1601,$D1178)&gt;1,"two readings of this type: keep one; ",""))</f>
        <v/>
      </c>
    </row>
    <row r="1179" customFormat="false" ht="15" hidden="false" customHeight="false" outlineLevel="0" collapsed="false">
      <c r="A1179" s="11"/>
      <c r="B1179" s="38"/>
      <c r="D1179" s="10"/>
      <c r="G1179" s="30" t="str">
        <f aca="false">IF($C1179="","",IFERROR(IF(INDEX(links!$A$2:$A$501,MATCH($C1179,links!$D$2:$D$501,0))="","",INDEX(links!$A$2:$A$501,MATCH($C1179,links!$D$2:$D$501,0))),""))</f>
        <v/>
      </c>
      <c r="H1179" s="30" t="str">
        <f aca="false">IF($C1179="","",IFERROR(IF(INDEX(links!$B$2:$B$501,MATCH($C1179,links!$D$2:$D$501,0))="","",INDEX(links!$B$2:$B$501,MATCH($C1179,links!$D$2:$D$501,0))),""))</f>
        <v/>
      </c>
      <c r="I1179" s="30" t="str">
        <f aca="false">IF($C1179="","",IFERROR(IF(INDEX(links!$C$2:$C$501,MATCH($C1179,links!$D$2:$D$501,0))="","",INDEX(links!$C$2:$C$501,MATCH($C1179,links!$D$2:$D$501,0))),""))</f>
        <v/>
      </c>
      <c r="J1179" s="30" t="str">
        <f aca="false">IF($C1179="","",IF($G1179="","slug not in links; ","")&amp;IF($D1179="","reading type missing; ","")&amp;IF(COUNTIFS(scans!$C$2:$C$1601,$C1179,scans!$D$2:$D$1601,$D1179)&gt;1,"two readings of this type: keep one; ",""))</f>
        <v/>
      </c>
    </row>
    <row r="1180" customFormat="false" ht="15" hidden="false" customHeight="false" outlineLevel="0" collapsed="false">
      <c r="A1180" s="11"/>
      <c r="B1180" s="38"/>
      <c r="D1180" s="10"/>
      <c r="G1180" s="30" t="str">
        <f aca="false">IF($C1180="","",IFERROR(IF(INDEX(links!$A$2:$A$501,MATCH($C1180,links!$D$2:$D$501,0))="","",INDEX(links!$A$2:$A$501,MATCH($C1180,links!$D$2:$D$501,0))),""))</f>
        <v/>
      </c>
      <c r="H1180" s="30" t="str">
        <f aca="false">IF($C1180="","",IFERROR(IF(INDEX(links!$B$2:$B$501,MATCH($C1180,links!$D$2:$D$501,0))="","",INDEX(links!$B$2:$B$501,MATCH($C1180,links!$D$2:$D$501,0))),""))</f>
        <v/>
      </c>
      <c r="I1180" s="30" t="str">
        <f aca="false">IF($C1180="","",IFERROR(IF(INDEX(links!$C$2:$C$501,MATCH($C1180,links!$D$2:$D$501,0))="","",INDEX(links!$C$2:$C$501,MATCH($C1180,links!$D$2:$D$501,0))),""))</f>
        <v/>
      </c>
      <c r="J1180" s="30" t="str">
        <f aca="false">IF($C1180="","",IF($G1180="","slug not in links; ","")&amp;IF($D1180="","reading type missing; ","")&amp;IF(COUNTIFS(scans!$C$2:$C$1601,$C1180,scans!$D$2:$D$1601,$D1180)&gt;1,"two readings of this type: keep one; ",""))</f>
        <v/>
      </c>
    </row>
    <row r="1181" customFormat="false" ht="15" hidden="false" customHeight="false" outlineLevel="0" collapsed="false">
      <c r="A1181" s="11"/>
      <c r="B1181" s="38"/>
      <c r="D1181" s="10"/>
      <c r="G1181" s="30" t="str">
        <f aca="false">IF($C1181="","",IFERROR(IF(INDEX(links!$A$2:$A$501,MATCH($C1181,links!$D$2:$D$501,0))="","",INDEX(links!$A$2:$A$501,MATCH($C1181,links!$D$2:$D$501,0))),""))</f>
        <v/>
      </c>
      <c r="H1181" s="30" t="str">
        <f aca="false">IF($C1181="","",IFERROR(IF(INDEX(links!$B$2:$B$501,MATCH($C1181,links!$D$2:$D$501,0))="","",INDEX(links!$B$2:$B$501,MATCH($C1181,links!$D$2:$D$501,0))),""))</f>
        <v/>
      </c>
      <c r="I1181" s="30" t="str">
        <f aca="false">IF($C1181="","",IFERROR(IF(INDEX(links!$C$2:$C$501,MATCH($C1181,links!$D$2:$D$501,0))="","",INDEX(links!$C$2:$C$501,MATCH($C1181,links!$D$2:$D$501,0))),""))</f>
        <v/>
      </c>
      <c r="J1181" s="30" t="str">
        <f aca="false">IF($C1181="","",IF($G1181="","slug not in links; ","")&amp;IF($D1181="","reading type missing; ","")&amp;IF(COUNTIFS(scans!$C$2:$C$1601,$C1181,scans!$D$2:$D$1601,$D1181)&gt;1,"two readings of this type: keep one; ",""))</f>
        <v/>
      </c>
    </row>
    <row r="1182" customFormat="false" ht="15" hidden="false" customHeight="false" outlineLevel="0" collapsed="false">
      <c r="A1182" s="11"/>
      <c r="B1182" s="38"/>
      <c r="D1182" s="10"/>
      <c r="G1182" s="30" t="str">
        <f aca="false">IF($C1182="","",IFERROR(IF(INDEX(links!$A$2:$A$501,MATCH($C1182,links!$D$2:$D$501,0))="","",INDEX(links!$A$2:$A$501,MATCH($C1182,links!$D$2:$D$501,0))),""))</f>
        <v/>
      </c>
      <c r="H1182" s="30" t="str">
        <f aca="false">IF($C1182="","",IFERROR(IF(INDEX(links!$B$2:$B$501,MATCH($C1182,links!$D$2:$D$501,0))="","",INDEX(links!$B$2:$B$501,MATCH($C1182,links!$D$2:$D$501,0))),""))</f>
        <v/>
      </c>
      <c r="I1182" s="30" t="str">
        <f aca="false">IF($C1182="","",IFERROR(IF(INDEX(links!$C$2:$C$501,MATCH($C1182,links!$D$2:$D$501,0))="","",INDEX(links!$C$2:$C$501,MATCH($C1182,links!$D$2:$D$501,0))),""))</f>
        <v/>
      </c>
      <c r="J1182" s="30" t="str">
        <f aca="false">IF($C1182="","",IF($G1182="","slug not in links; ","")&amp;IF($D1182="","reading type missing; ","")&amp;IF(COUNTIFS(scans!$C$2:$C$1601,$C1182,scans!$D$2:$D$1601,$D1182)&gt;1,"two readings of this type: keep one; ",""))</f>
        <v/>
      </c>
    </row>
    <row r="1183" customFormat="false" ht="15" hidden="false" customHeight="false" outlineLevel="0" collapsed="false">
      <c r="A1183" s="11"/>
      <c r="B1183" s="38"/>
      <c r="D1183" s="10"/>
      <c r="G1183" s="30" t="str">
        <f aca="false">IF($C1183="","",IFERROR(IF(INDEX(links!$A$2:$A$501,MATCH($C1183,links!$D$2:$D$501,0))="","",INDEX(links!$A$2:$A$501,MATCH($C1183,links!$D$2:$D$501,0))),""))</f>
        <v/>
      </c>
      <c r="H1183" s="30" t="str">
        <f aca="false">IF($C1183="","",IFERROR(IF(INDEX(links!$B$2:$B$501,MATCH($C1183,links!$D$2:$D$501,0))="","",INDEX(links!$B$2:$B$501,MATCH($C1183,links!$D$2:$D$501,0))),""))</f>
        <v/>
      </c>
      <c r="I1183" s="30" t="str">
        <f aca="false">IF($C1183="","",IFERROR(IF(INDEX(links!$C$2:$C$501,MATCH($C1183,links!$D$2:$D$501,0))="","",INDEX(links!$C$2:$C$501,MATCH($C1183,links!$D$2:$D$501,0))),""))</f>
        <v/>
      </c>
      <c r="J1183" s="30" t="str">
        <f aca="false">IF($C1183="","",IF($G1183="","slug not in links; ","")&amp;IF($D1183="","reading type missing; ","")&amp;IF(COUNTIFS(scans!$C$2:$C$1601,$C1183,scans!$D$2:$D$1601,$D1183)&gt;1,"two readings of this type: keep one; ",""))</f>
        <v/>
      </c>
    </row>
    <row r="1184" customFormat="false" ht="15" hidden="false" customHeight="false" outlineLevel="0" collapsed="false">
      <c r="A1184" s="11"/>
      <c r="B1184" s="38"/>
      <c r="D1184" s="10"/>
      <c r="G1184" s="30" t="str">
        <f aca="false">IF($C1184="","",IFERROR(IF(INDEX(links!$A$2:$A$501,MATCH($C1184,links!$D$2:$D$501,0))="","",INDEX(links!$A$2:$A$501,MATCH($C1184,links!$D$2:$D$501,0))),""))</f>
        <v/>
      </c>
      <c r="H1184" s="30" t="str">
        <f aca="false">IF($C1184="","",IFERROR(IF(INDEX(links!$B$2:$B$501,MATCH($C1184,links!$D$2:$D$501,0))="","",INDEX(links!$B$2:$B$501,MATCH($C1184,links!$D$2:$D$501,0))),""))</f>
        <v/>
      </c>
      <c r="I1184" s="30" t="str">
        <f aca="false">IF($C1184="","",IFERROR(IF(INDEX(links!$C$2:$C$501,MATCH($C1184,links!$D$2:$D$501,0))="","",INDEX(links!$C$2:$C$501,MATCH($C1184,links!$D$2:$D$501,0))),""))</f>
        <v/>
      </c>
      <c r="J1184" s="30" t="str">
        <f aca="false">IF($C1184="","",IF($G1184="","slug not in links; ","")&amp;IF($D1184="","reading type missing; ","")&amp;IF(COUNTIFS(scans!$C$2:$C$1601,$C1184,scans!$D$2:$D$1601,$D1184)&gt;1,"two readings of this type: keep one; ",""))</f>
        <v/>
      </c>
    </row>
    <row r="1185" customFormat="false" ht="15" hidden="false" customHeight="false" outlineLevel="0" collapsed="false">
      <c r="A1185" s="11"/>
      <c r="B1185" s="38"/>
      <c r="D1185" s="10"/>
      <c r="G1185" s="30" t="str">
        <f aca="false">IF($C1185="","",IFERROR(IF(INDEX(links!$A$2:$A$501,MATCH($C1185,links!$D$2:$D$501,0))="","",INDEX(links!$A$2:$A$501,MATCH($C1185,links!$D$2:$D$501,0))),""))</f>
        <v/>
      </c>
      <c r="H1185" s="30" t="str">
        <f aca="false">IF($C1185="","",IFERROR(IF(INDEX(links!$B$2:$B$501,MATCH($C1185,links!$D$2:$D$501,0))="","",INDEX(links!$B$2:$B$501,MATCH($C1185,links!$D$2:$D$501,0))),""))</f>
        <v/>
      </c>
      <c r="I1185" s="30" t="str">
        <f aca="false">IF($C1185="","",IFERROR(IF(INDEX(links!$C$2:$C$501,MATCH($C1185,links!$D$2:$D$501,0))="","",INDEX(links!$C$2:$C$501,MATCH($C1185,links!$D$2:$D$501,0))),""))</f>
        <v/>
      </c>
      <c r="J1185" s="30" t="str">
        <f aca="false">IF($C1185="","",IF($G1185="","slug not in links; ","")&amp;IF($D1185="","reading type missing; ","")&amp;IF(COUNTIFS(scans!$C$2:$C$1601,$C1185,scans!$D$2:$D$1601,$D1185)&gt;1,"two readings of this type: keep one; ",""))</f>
        <v/>
      </c>
    </row>
    <row r="1186" customFormat="false" ht="15" hidden="false" customHeight="false" outlineLevel="0" collapsed="false">
      <c r="A1186" s="11"/>
      <c r="B1186" s="38"/>
      <c r="D1186" s="10"/>
      <c r="G1186" s="30" t="str">
        <f aca="false">IF($C1186="","",IFERROR(IF(INDEX(links!$A$2:$A$501,MATCH($C1186,links!$D$2:$D$501,0))="","",INDEX(links!$A$2:$A$501,MATCH($C1186,links!$D$2:$D$501,0))),""))</f>
        <v/>
      </c>
      <c r="H1186" s="30" t="str">
        <f aca="false">IF($C1186="","",IFERROR(IF(INDEX(links!$B$2:$B$501,MATCH($C1186,links!$D$2:$D$501,0))="","",INDEX(links!$B$2:$B$501,MATCH($C1186,links!$D$2:$D$501,0))),""))</f>
        <v/>
      </c>
      <c r="I1186" s="30" t="str">
        <f aca="false">IF($C1186="","",IFERROR(IF(INDEX(links!$C$2:$C$501,MATCH($C1186,links!$D$2:$D$501,0))="","",INDEX(links!$C$2:$C$501,MATCH($C1186,links!$D$2:$D$501,0))),""))</f>
        <v/>
      </c>
      <c r="J1186" s="30" t="str">
        <f aca="false">IF($C1186="","",IF($G1186="","slug not in links; ","")&amp;IF($D1186="","reading type missing; ","")&amp;IF(COUNTIFS(scans!$C$2:$C$1601,$C1186,scans!$D$2:$D$1601,$D1186)&gt;1,"two readings of this type: keep one; ",""))</f>
        <v/>
      </c>
    </row>
    <row r="1187" customFormat="false" ht="15" hidden="false" customHeight="false" outlineLevel="0" collapsed="false">
      <c r="A1187" s="11"/>
      <c r="B1187" s="38"/>
      <c r="D1187" s="10"/>
      <c r="G1187" s="30" t="str">
        <f aca="false">IF($C1187="","",IFERROR(IF(INDEX(links!$A$2:$A$501,MATCH($C1187,links!$D$2:$D$501,0))="","",INDEX(links!$A$2:$A$501,MATCH($C1187,links!$D$2:$D$501,0))),""))</f>
        <v/>
      </c>
      <c r="H1187" s="30" t="str">
        <f aca="false">IF($C1187="","",IFERROR(IF(INDEX(links!$B$2:$B$501,MATCH($C1187,links!$D$2:$D$501,0))="","",INDEX(links!$B$2:$B$501,MATCH($C1187,links!$D$2:$D$501,0))),""))</f>
        <v/>
      </c>
      <c r="I1187" s="30" t="str">
        <f aca="false">IF($C1187="","",IFERROR(IF(INDEX(links!$C$2:$C$501,MATCH($C1187,links!$D$2:$D$501,0))="","",INDEX(links!$C$2:$C$501,MATCH($C1187,links!$D$2:$D$501,0))),""))</f>
        <v/>
      </c>
      <c r="J1187" s="30" t="str">
        <f aca="false">IF($C1187="","",IF($G1187="","slug not in links; ","")&amp;IF($D1187="","reading type missing; ","")&amp;IF(COUNTIFS(scans!$C$2:$C$1601,$C1187,scans!$D$2:$D$1601,$D1187)&gt;1,"two readings of this type: keep one; ",""))</f>
        <v/>
      </c>
    </row>
    <row r="1188" customFormat="false" ht="15" hidden="false" customHeight="false" outlineLevel="0" collapsed="false">
      <c r="A1188" s="11"/>
      <c r="B1188" s="38"/>
      <c r="D1188" s="10"/>
      <c r="G1188" s="30" t="str">
        <f aca="false">IF($C1188="","",IFERROR(IF(INDEX(links!$A$2:$A$501,MATCH($C1188,links!$D$2:$D$501,0))="","",INDEX(links!$A$2:$A$501,MATCH($C1188,links!$D$2:$D$501,0))),""))</f>
        <v/>
      </c>
      <c r="H1188" s="30" t="str">
        <f aca="false">IF($C1188="","",IFERROR(IF(INDEX(links!$B$2:$B$501,MATCH($C1188,links!$D$2:$D$501,0))="","",INDEX(links!$B$2:$B$501,MATCH($C1188,links!$D$2:$D$501,0))),""))</f>
        <v/>
      </c>
      <c r="I1188" s="30" t="str">
        <f aca="false">IF($C1188="","",IFERROR(IF(INDEX(links!$C$2:$C$501,MATCH($C1188,links!$D$2:$D$501,0))="","",INDEX(links!$C$2:$C$501,MATCH($C1188,links!$D$2:$D$501,0))),""))</f>
        <v/>
      </c>
      <c r="J1188" s="30" t="str">
        <f aca="false">IF($C1188="","",IF($G1188="","slug not in links; ","")&amp;IF($D1188="","reading type missing; ","")&amp;IF(COUNTIFS(scans!$C$2:$C$1601,$C1188,scans!$D$2:$D$1601,$D1188)&gt;1,"two readings of this type: keep one; ",""))</f>
        <v/>
      </c>
    </row>
    <row r="1189" customFormat="false" ht="15" hidden="false" customHeight="false" outlineLevel="0" collapsed="false">
      <c r="A1189" s="11"/>
      <c r="B1189" s="38"/>
      <c r="D1189" s="10"/>
      <c r="G1189" s="30" t="str">
        <f aca="false">IF($C1189="","",IFERROR(IF(INDEX(links!$A$2:$A$501,MATCH($C1189,links!$D$2:$D$501,0))="","",INDEX(links!$A$2:$A$501,MATCH($C1189,links!$D$2:$D$501,0))),""))</f>
        <v/>
      </c>
      <c r="H1189" s="30" t="str">
        <f aca="false">IF($C1189="","",IFERROR(IF(INDEX(links!$B$2:$B$501,MATCH($C1189,links!$D$2:$D$501,0))="","",INDEX(links!$B$2:$B$501,MATCH($C1189,links!$D$2:$D$501,0))),""))</f>
        <v/>
      </c>
      <c r="I1189" s="30" t="str">
        <f aca="false">IF($C1189="","",IFERROR(IF(INDEX(links!$C$2:$C$501,MATCH($C1189,links!$D$2:$D$501,0))="","",INDEX(links!$C$2:$C$501,MATCH($C1189,links!$D$2:$D$501,0))),""))</f>
        <v/>
      </c>
      <c r="J1189" s="30" t="str">
        <f aca="false">IF($C1189="","",IF($G1189="","slug not in links; ","")&amp;IF($D1189="","reading type missing; ","")&amp;IF(COUNTIFS(scans!$C$2:$C$1601,$C1189,scans!$D$2:$D$1601,$D1189)&gt;1,"two readings of this type: keep one; ",""))</f>
        <v/>
      </c>
    </row>
    <row r="1190" customFormat="false" ht="15" hidden="false" customHeight="false" outlineLevel="0" collapsed="false">
      <c r="A1190" s="11"/>
      <c r="B1190" s="38"/>
      <c r="D1190" s="10"/>
      <c r="G1190" s="30" t="str">
        <f aca="false">IF($C1190="","",IFERROR(IF(INDEX(links!$A$2:$A$501,MATCH($C1190,links!$D$2:$D$501,0))="","",INDEX(links!$A$2:$A$501,MATCH($C1190,links!$D$2:$D$501,0))),""))</f>
        <v/>
      </c>
      <c r="H1190" s="30" t="str">
        <f aca="false">IF($C1190="","",IFERROR(IF(INDEX(links!$B$2:$B$501,MATCH($C1190,links!$D$2:$D$501,0))="","",INDEX(links!$B$2:$B$501,MATCH($C1190,links!$D$2:$D$501,0))),""))</f>
        <v/>
      </c>
      <c r="I1190" s="30" t="str">
        <f aca="false">IF($C1190="","",IFERROR(IF(INDEX(links!$C$2:$C$501,MATCH($C1190,links!$D$2:$D$501,0))="","",INDEX(links!$C$2:$C$501,MATCH($C1190,links!$D$2:$D$501,0))),""))</f>
        <v/>
      </c>
      <c r="J1190" s="30" t="str">
        <f aca="false">IF($C1190="","",IF($G1190="","slug not in links; ","")&amp;IF($D1190="","reading type missing; ","")&amp;IF(COUNTIFS(scans!$C$2:$C$1601,$C1190,scans!$D$2:$D$1601,$D1190)&gt;1,"two readings of this type: keep one; ",""))</f>
        <v/>
      </c>
    </row>
    <row r="1191" customFormat="false" ht="15" hidden="false" customHeight="false" outlineLevel="0" collapsed="false">
      <c r="A1191" s="11"/>
      <c r="B1191" s="38"/>
      <c r="D1191" s="10"/>
      <c r="G1191" s="30" t="str">
        <f aca="false">IF($C1191="","",IFERROR(IF(INDEX(links!$A$2:$A$501,MATCH($C1191,links!$D$2:$D$501,0))="","",INDEX(links!$A$2:$A$501,MATCH($C1191,links!$D$2:$D$501,0))),""))</f>
        <v/>
      </c>
      <c r="H1191" s="30" t="str">
        <f aca="false">IF($C1191="","",IFERROR(IF(INDEX(links!$B$2:$B$501,MATCH($C1191,links!$D$2:$D$501,0))="","",INDEX(links!$B$2:$B$501,MATCH($C1191,links!$D$2:$D$501,0))),""))</f>
        <v/>
      </c>
      <c r="I1191" s="30" t="str">
        <f aca="false">IF($C1191="","",IFERROR(IF(INDEX(links!$C$2:$C$501,MATCH($C1191,links!$D$2:$D$501,0))="","",INDEX(links!$C$2:$C$501,MATCH($C1191,links!$D$2:$D$501,0))),""))</f>
        <v/>
      </c>
      <c r="J1191" s="30" t="str">
        <f aca="false">IF($C1191="","",IF($G1191="","slug not in links; ","")&amp;IF($D1191="","reading type missing; ","")&amp;IF(COUNTIFS(scans!$C$2:$C$1601,$C1191,scans!$D$2:$D$1601,$D1191)&gt;1,"two readings of this type: keep one; ",""))</f>
        <v/>
      </c>
    </row>
    <row r="1192" customFormat="false" ht="15" hidden="false" customHeight="false" outlineLevel="0" collapsed="false">
      <c r="A1192" s="11"/>
      <c r="B1192" s="38"/>
      <c r="D1192" s="10"/>
      <c r="G1192" s="30" t="str">
        <f aca="false">IF($C1192="","",IFERROR(IF(INDEX(links!$A$2:$A$501,MATCH($C1192,links!$D$2:$D$501,0))="","",INDEX(links!$A$2:$A$501,MATCH($C1192,links!$D$2:$D$501,0))),""))</f>
        <v/>
      </c>
      <c r="H1192" s="30" t="str">
        <f aca="false">IF($C1192="","",IFERROR(IF(INDEX(links!$B$2:$B$501,MATCH($C1192,links!$D$2:$D$501,0))="","",INDEX(links!$B$2:$B$501,MATCH($C1192,links!$D$2:$D$501,0))),""))</f>
        <v/>
      </c>
      <c r="I1192" s="30" t="str">
        <f aca="false">IF($C1192="","",IFERROR(IF(INDEX(links!$C$2:$C$501,MATCH($C1192,links!$D$2:$D$501,0))="","",INDEX(links!$C$2:$C$501,MATCH($C1192,links!$D$2:$D$501,0))),""))</f>
        <v/>
      </c>
      <c r="J1192" s="30" t="str">
        <f aca="false">IF($C1192="","",IF($G1192="","slug not in links; ","")&amp;IF($D1192="","reading type missing; ","")&amp;IF(COUNTIFS(scans!$C$2:$C$1601,$C1192,scans!$D$2:$D$1601,$D1192)&gt;1,"two readings of this type: keep one; ",""))</f>
        <v/>
      </c>
    </row>
    <row r="1193" customFormat="false" ht="15" hidden="false" customHeight="false" outlineLevel="0" collapsed="false">
      <c r="A1193" s="11"/>
      <c r="B1193" s="38"/>
      <c r="D1193" s="10"/>
      <c r="G1193" s="30" t="str">
        <f aca="false">IF($C1193="","",IFERROR(IF(INDEX(links!$A$2:$A$501,MATCH($C1193,links!$D$2:$D$501,0))="","",INDEX(links!$A$2:$A$501,MATCH($C1193,links!$D$2:$D$501,0))),""))</f>
        <v/>
      </c>
      <c r="H1193" s="30" t="str">
        <f aca="false">IF($C1193="","",IFERROR(IF(INDEX(links!$B$2:$B$501,MATCH($C1193,links!$D$2:$D$501,0))="","",INDEX(links!$B$2:$B$501,MATCH($C1193,links!$D$2:$D$501,0))),""))</f>
        <v/>
      </c>
      <c r="I1193" s="30" t="str">
        <f aca="false">IF($C1193="","",IFERROR(IF(INDEX(links!$C$2:$C$501,MATCH($C1193,links!$D$2:$D$501,0))="","",INDEX(links!$C$2:$C$501,MATCH($C1193,links!$D$2:$D$501,0))),""))</f>
        <v/>
      </c>
      <c r="J1193" s="30" t="str">
        <f aca="false">IF($C1193="","",IF($G1193="","slug not in links; ","")&amp;IF($D1193="","reading type missing; ","")&amp;IF(COUNTIFS(scans!$C$2:$C$1601,$C1193,scans!$D$2:$D$1601,$D1193)&gt;1,"two readings of this type: keep one; ",""))</f>
        <v/>
      </c>
    </row>
    <row r="1194" customFormat="false" ht="15" hidden="false" customHeight="false" outlineLevel="0" collapsed="false">
      <c r="A1194" s="11"/>
      <c r="B1194" s="38"/>
      <c r="D1194" s="10"/>
      <c r="G1194" s="30" t="str">
        <f aca="false">IF($C1194="","",IFERROR(IF(INDEX(links!$A$2:$A$501,MATCH($C1194,links!$D$2:$D$501,0))="","",INDEX(links!$A$2:$A$501,MATCH($C1194,links!$D$2:$D$501,0))),""))</f>
        <v/>
      </c>
      <c r="H1194" s="30" t="str">
        <f aca="false">IF($C1194="","",IFERROR(IF(INDEX(links!$B$2:$B$501,MATCH($C1194,links!$D$2:$D$501,0))="","",INDEX(links!$B$2:$B$501,MATCH($C1194,links!$D$2:$D$501,0))),""))</f>
        <v/>
      </c>
      <c r="I1194" s="30" t="str">
        <f aca="false">IF($C1194="","",IFERROR(IF(INDEX(links!$C$2:$C$501,MATCH($C1194,links!$D$2:$D$501,0))="","",INDEX(links!$C$2:$C$501,MATCH($C1194,links!$D$2:$D$501,0))),""))</f>
        <v/>
      </c>
      <c r="J1194" s="30" t="str">
        <f aca="false">IF($C1194="","",IF($G1194="","slug not in links; ","")&amp;IF($D1194="","reading type missing; ","")&amp;IF(COUNTIFS(scans!$C$2:$C$1601,$C1194,scans!$D$2:$D$1601,$D1194)&gt;1,"two readings of this type: keep one; ",""))</f>
        <v/>
      </c>
    </row>
    <row r="1195" customFormat="false" ht="15" hidden="false" customHeight="false" outlineLevel="0" collapsed="false">
      <c r="A1195" s="11"/>
      <c r="B1195" s="38"/>
      <c r="D1195" s="10"/>
      <c r="G1195" s="30" t="str">
        <f aca="false">IF($C1195="","",IFERROR(IF(INDEX(links!$A$2:$A$501,MATCH($C1195,links!$D$2:$D$501,0))="","",INDEX(links!$A$2:$A$501,MATCH($C1195,links!$D$2:$D$501,0))),""))</f>
        <v/>
      </c>
      <c r="H1195" s="30" t="str">
        <f aca="false">IF($C1195="","",IFERROR(IF(INDEX(links!$B$2:$B$501,MATCH($C1195,links!$D$2:$D$501,0))="","",INDEX(links!$B$2:$B$501,MATCH($C1195,links!$D$2:$D$501,0))),""))</f>
        <v/>
      </c>
      <c r="I1195" s="30" t="str">
        <f aca="false">IF($C1195="","",IFERROR(IF(INDEX(links!$C$2:$C$501,MATCH($C1195,links!$D$2:$D$501,0))="","",INDEX(links!$C$2:$C$501,MATCH($C1195,links!$D$2:$D$501,0))),""))</f>
        <v/>
      </c>
      <c r="J1195" s="30" t="str">
        <f aca="false">IF($C1195="","",IF($G1195="","slug not in links; ","")&amp;IF($D1195="","reading type missing; ","")&amp;IF(COUNTIFS(scans!$C$2:$C$1601,$C1195,scans!$D$2:$D$1601,$D1195)&gt;1,"two readings of this type: keep one; ",""))</f>
        <v/>
      </c>
    </row>
    <row r="1196" customFormat="false" ht="15" hidden="false" customHeight="false" outlineLevel="0" collapsed="false">
      <c r="A1196" s="11"/>
      <c r="B1196" s="38"/>
      <c r="D1196" s="10"/>
      <c r="G1196" s="30" t="str">
        <f aca="false">IF($C1196="","",IFERROR(IF(INDEX(links!$A$2:$A$501,MATCH($C1196,links!$D$2:$D$501,0))="","",INDEX(links!$A$2:$A$501,MATCH($C1196,links!$D$2:$D$501,0))),""))</f>
        <v/>
      </c>
      <c r="H1196" s="30" t="str">
        <f aca="false">IF($C1196="","",IFERROR(IF(INDEX(links!$B$2:$B$501,MATCH($C1196,links!$D$2:$D$501,0))="","",INDEX(links!$B$2:$B$501,MATCH($C1196,links!$D$2:$D$501,0))),""))</f>
        <v/>
      </c>
      <c r="I1196" s="30" t="str">
        <f aca="false">IF($C1196="","",IFERROR(IF(INDEX(links!$C$2:$C$501,MATCH($C1196,links!$D$2:$D$501,0))="","",INDEX(links!$C$2:$C$501,MATCH($C1196,links!$D$2:$D$501,0))),""))</f>
        <v/>
      </c>
      <c r="J1196" s="30" t="str">
        <f aca="false">IF($C1196="","",IF($G1196="","slug not in links; ","")&amp;IF($D1196="","reading type missing; ","")&amp;IF(COUNTIFS(scans!$C$2:$C$1601,$C1196,scans!$D$2:$D$1601,$D1196)&gt;1,"two readings of this type: keep one; ",""))</f>
        <v/>
      </c>
    </row>
    <row r="1197" customFormat="false" ht="15" hidden="false" customHeight="false" outlineLevel="0" collapsed="false">
      <c r="A1197" s="11"/>
      <c r="B1197" s="38"/>
      <c r="D1197" s="10"/>
      <c r="G1197" s="30" t="str">
        <f aca="false">IF($C1197="","",IFERROR(IF(INDEX(links!$A$2:$A$501,MATCH($C1197,links!$D$2:$D$501,0))="","",INDEX(links!$A$2:$A$501,MATCH($C1197,links!$D$2:$D$501,0))),""))</f>
        <v/>
      </c>
      <c r="H1197" s="30" t="str">
        <f aca="false">IF($C1197="","",IFERROR(IF(INDEX(links!$B$2:$B$501,MATCH($C1197,links!$D$2:$D$501,0))="","",INDEX(links!$B$2:$B$501,MATCH($C1197,links!$D$2:$D$501,0))),""))</f>
        <v/>
      </c>
      <c r="I1197" s="30" t="str">
        <f aca="false">IF($C1197="","",IFERROR(IF(INDEX(links!$C$2:$C$501,MATCH($C1197,links!$D$2:$D$501,0))="","",INDEX(links!$C$2:$C$501,MATCH($C1197,links!$D$2:$D$501,0))),""))</f>
        <v/>
      </c>
      <c r="J1197" s="30" t="str">
        <f aca="false">IF($C1197="","",IF($G1197="","slug not in links; ","")&amp;IF($D1197="","reading type missing; ","")&amp;IF(COUNTIFS(scans!$C$2:$C$1601,$C1197,scans!$D$2:$D$1601,$D1197)&gt;1,"two readings of this type: keep one; ",""))</f>
        <v/>
      </c>
    </row>
    <row r="1198" customFormat="false" ht="15" hidden="false" customHeight="false" outlineLevel="0" collapsed="false">
      <c r="A1198" s="11"/>
      <c r="B1198" s="38"/>
      <c r="D1198" s="10"/>
      <c r="G1198" s="30" t="str">
        <f aca="false">IF($C1198="","",IFERROR(IF(INDEX(links!$A$2:$A$501,MATCH($C1198,links!$D$2:$D$501,0))="","",INDEX(links!$A$2:$A$501,MATCH($C1198,links!$D$2:$D$501,0))),""))</f>
        <v/>
      </c>
      <c r="H1198" s="30" t="str">
        <f aca="false">IF($C1198="","",IFERROR(IF(INDEX(links!$B$2:$B$501,MATCH($C1198,links!$D$2:$D$501,0))="","",INDEX(links!$B$2:$B$501,MATCH($C1198,links!$D$2:$D$501,0))),""))</f>
        <v/>
      </c>
      <c r="I1198" s="30" t="str">
        <f aca="false">IF($C1198="","",IFERROR(IF(INDEX(links!$C$2:$C$501,MATCH($C1198,links!$D$2:$D$501,0))="","",INDEX(links!$C$2:$C$501,MATCH($C1198,links!$D$2:$D$501,0))),""))</f>
        <v/>
      </c>
      <c r="J1198" s="30" t="str">
        <f aca="false">IF($C1198="","",IF($G1198="","slug not in links; ","")&amp;IF($D1198="","reading type missing; ","")&amp;IF(COUNTIFS(scans!$C$2:$C$1601,$C1198,scans!$D$2:$D$1601,$D1198)&gt;1,"two readings of this type: keep one; ",""))</f>
        <v/>
      </c>
    </row>
    <row r="1199" customFormat="false" ht="15" hidden="false" customHeight="false" outlineLevel="0" collapsed="false">
      <c r="A1199" s="11"/>
      <c r="B1199" s="38"/>
      <c r="D1199" s="10"/>
      <c r="G1199" s="30" t="str">
        <f aca="false">IF($C1199="","",IFERROR(IF(INDEX(links!$A$2:$A$501,MATCH($C1199,links!$D$2:$D$501,0))="","",INDEX(links!$A$2:$A$501,MATCH($C1199,links!$D$2:$D$501,0))),""))</f>
        <v/>
      </c>
      <c r="H1199" s="30" t="str">
        <f aca="false">IF($C1199="","",IFERROR(IF(INDEX(links!$B$2:$B$501,MATCH($C1199,links!$D$2:$D$501,0))="","",INDEX(links!$B$2:$B$501,MATCH($C1199,links!$D$2:$D$501,0))),""))</f>
        <v/>
      </c>
      <c r="I1199" s="30" t="str">
        <f aca="false">IF($C1199="","",IFERROR(IF(INDEX(links!$C$2:$C$501,MATCH($C1199,links!$D$2:$D$501,0))="","",INDEX(links!$C$2:$C$501,MATCH($C1199,links!$D$2:$D$501,0))),""))</f>
        <v/>
      </c>
      <c r="J1199" s="30" t="str">
        <f aca="false">IF($C1199="","",IF($G1199="","slug not in links; ","")&amp;IF($D1199="","reading type missing; ","")&amp;IF(COUNTIFS(scans!$C$2:$C$1601,$C1199,scans!$D$2:$D$1601,$D1199)&gt;1,"two readings of this type: keep one; ",""))</f>
        <v/>
      </c>
    </row>
    <row r="1200" customFormat="false" ht="15" hidden="false" customHeight="false" outlineLevel="0" collapsed="false">
      <c r="A1200" s="11"/>
      <c r="B1200" s="38"/>
      <c r="D1200" s="10"/>
      <c r="G1200" s="30" t="str">
        <f aca="false">IF($C1200="","",IFERROR(IF(INDEX(links!$A$2:$A$501,MATCH($C1200,links!$D$2:$D$501,0))="","",INDEX(links!$A$2:$A$501,MATCH($C1200,links!$D$2:$D$501,0))),""))</f>
        <v/>
      </c>
      <c r="H1200" s="30" t="str">
        <f aca="false">IF($C1200="","",IFERROR(IF(INDEX(links!$B$2:$B$501,MATCH($C1200,links!$D$2:$D$501,0))="","",INDEX(links!$B$2:$B$501,MATCH($C1200,links!$D$2:$D$501,0))),""))</f>
        <v/>
      </c>
      <c r="I1200" s="30" t="str">
        <f aca="false">IF($C1200="","",IFERROR(IF(INDEX(links!$C$2:$C$501,MATCH($C1200,links!$D$2:$D$501,0))="","",INDEX(links!$C$2:$C$501,MATCH($C1200,links!$D$2:$D$501,0))),""))</f>
        <v/>
      </c>
      <c r="J1200" s="30" t="str">
        <f aca="false">IF($C1200="","",IF($G1200="","slug not in links; ","")&amp;IF($D1200="","reading type missing; ","")&amp;IF(COUNTIFS(scans!$C$2:$C$1601,$C1200,scans!$D$2:$D$1601,$D1200)&gt;1,"two readings of this type: keep one; ",""))</f>
        <v/>
      </c>
    </row>
    <row r="1201" customFormat="false" ht="15" hidden="false" customHeight="false" outlineLevel="0" collapsed="false">
      <c r="A1201" s="11"/>
      <c r="B1201" s="38"/>
      <c r="D1201" s="10"/>
      <c r="G1201" s="30" t="str">
        <f aca="false">IF($C1201="","",IFERROR(IF(INDEX(links!$A$2:$A$501,MATCH($C1201,links!$D$2:$D$501,0))="","",INDEX(links!$A$2:$A$501,MATCH($C1201,links!$D$2:$D$501,0))),""))</f>
        <v/>
      </c>
      <c r="H1201" s="30" t="str">
        <f aca="false">IF($C1201="","",IFERROR(IF(INDEX(links!$B$2:$B$501,MATCH($C1201,links!$D$2:$D$501,0))="","",INDEX(links!$B$2:$B$501,MATCH($C1201,links!$D$2:$D$501,0))),""))</f>
        <v/>
      </c>
      <c r="I1201" s="30" t="str">
        <f aca="false">IF($C1201="","",IFERROR(IF(INDEX(links!$C$2:$C$501,MATCH($C1201,links!$D$2:$D$501,0))="","",INDEX(links!$C$2:$C$501,MATCH($C1201,links!$D$2:$D$501,0))),""))</f>
        <v/>
      </c>
      <c r="J1201" s="30" t="str">
        <f aca="false">IF($C1201="","",IF($G1201="","slug not in links; ","")&amp;IF($D1201="","reading type missing; ","")&amp;IF(COUNTIFS(scans!$C$2:$C$1601,$C1201,scans!$D$2:$D$1601,$D1201)&gt;1,"two readings of this type: keep one; ",""))</f>
        <v/>
      </c>
    </row>
    <row r="1202" customFormat="false" ht="15" hidden="false" customHeight="false" outlineLevel="0" collapsed="false">
      <c r="A1202" s="11"/>
      <c r="B1202" s="38"/>
      <c r="D1202" s="10"/>
      <c r="G1202" s="30" t="str">
        <f aca="false">IF($C1202="","",IFERROR(IF(INDEX(links!$A$2:$A$501,MATCH($C1202,links!$D$2:$D$501,0))="","",INDEX(links!$A$2:$A$501,MATCH($C1202,links!$D$2:$D$501,0))),""))</f>
        <v/>
      </c>
      <c r="H1202" s="30" t="str">
        <f aca="false">IF($C1202="","",IFERROR(IF(INDEX(links!$B$2:$B$501,MATCH($C1202,links!$D$2:$D$501,0))="","",INDEX(links!$B$2:$B$501,MATCH($C1202,links!$D$2:$D$501,0))),""))</f>
        <v/>
      </c>
      <c r="I1202" s="30" t="str">
        <f aca="false">IF($C1202="","",IFERROR(IF(INDEX(links!$C$2:$C$501,MATCH($C1202,links!$D$2:$D$501,0))="","",INDEX(links!$C$2:$C$501,MATCH($C1202,links!$D$2:$D$501,0))),""))</f>
        <v/>
      </c>
      <c r="J1202" s="30" t="str">
        <f aca="false">IF($C1202="","",IF($G1202="","slug not in links; ","")&amp;IF($D1202="","reading type missing; ","")&amp;IF(COUNTIFS(scans!$C$2:$C$1601,$C1202,scans!$D$2:$D$1601,$D1202)&gt;1,"two readings of this type: keep one; ",""))</f>
        <v/>
      </c>
    </row>
    <row r="1203" customFormat="false" ht="15" hidden="false" customHeight="false" outlineLevel="0" collapsed="false">
      <c r="A1203" s="11"/>
      <c r="B1203" s="38"/>
      <c r="D1203" s="10"/>
      <c r="G1203" s="30" t="str">
        <f aca="false">IF($C1203="","",IFERROR(IF(INDEX(links!$A$2:$A$501,MATCH($C1203,links!$D$2:$D$501,0))="","",INDEX(links!$A$2:$A$501,MATCH($C1203,links!$D$2:$D$501,0))),""))</f>
        <v/>
      </c>
      <c r="H1203" s="30" t="str">
        <f aca="false">IF($C1203="","",IFERROR(IF(INDEX(links!$B$2:$B$501,MATCH($C1203,links!$D$2:$D$501,0))="","",INDEX(links!$B$2:$B$501,MATCH($C1203,links!$D$2:$D$501,0))),""))</f>
        <v/>
      </c>
      <c r="I1203" s="30" t="str">
        <f aca="false">IF($C1203="","",IFERROR(IF(INDEX(links!$C$2:$C$501,MATCH($C1203,links!$D$2:$D$501,0))="","",INDEX(links!$C$2:$C$501,MATCH($C1203,links!$D$2:$D$501,0))),""))</f>
        <v/>
      </c>
      <c r="J1203" s="30" t="str">
        <f aca="false">IF($C1203="","",IF($G1203="","slug not in links; ","")&amp;IF($D1203="","reading type missing; ","")&amp;IF(COUNTIFS(scans!$C$2:$C$1601,$C1203,scans!$D$2:$D$1601,$D1203)&gt;1,"two readings of this type: keep one; ",""))</f>
        <v/>
      </c>
    </row>
    <row r="1204" customFormat="false" ht="15" hidden="false" customHeight="false" outlineLevel="0" collapsed="false">
      <c r="A1204" s="11"/>
      <c r="B1204" s="38"/>
      <c r="D1204" s="10"/>
      <c r="G1204" s="30" t="str">
        <f aca="false">IF($C1204="","",IFERROR(IF(INDEX(links!$A$2:$A$501,MATCH($C1204,links!$D$2:$D$501,0))="","",INDEX(links!$A$2:$A$501,MATCH($C1204,links!$D$2:$D$501,0))),""))</f>
        <v/>
      </c>
      <c r="H1204" s="30" t="str">
        <f aca="false">IF($C1204="","",IFERROR(IF(INDEX(links!$B$2:$B$501,MATCH($C1204,links!$D$2:$D$501,0))="","",INDEX(links!$B$2:$B$501,MATCH($C1204,links!$D$2:$D$501,0))),""))</f>
        <v/>
      </c>
      <c r="I1204" s="30" t="str">
        <f aca="false">IF($C1204="","",IFERROR(IF(INDEX(links!$C$2:$C$501,MATCH($C1204,links!$D$2:$D$501,0))="","",INDEX(links!$C$2:$C$501,MATCH($C1204,links!$D$2:$D$501,0))),""))</f>
        <v/>
      </c>
      <c r="J1204" s="30" t="str">
        <f aca="false">IF($C1204="","",IF($G1204="","slug not in links; ","")&amp;IF($D1204="","reading type missing; ","")&amp;IF(COUNTIFS(scans!$C$2:$C$1601,$C1204,scans!$D$2:$D$1601,$D1204)&gt;1,"two readings of this type: keep one; ",""))</f>
        <v/>
      </c>
    </row>
    <row r="1205" customFormat="false" ht="15" hidden="false" customHeight="false" outlineLevel="0" collapsed="false">
      <c r="A1205" s="11"/>
      <c r="B1205" s="38"/>
      <c r="D1205" s="10"/>
      <c r="G1205" s="30" t="str">
        <f aca="false">IF($C1205="","",IFERROR(IF(INDEX(links!$A$2:$A$501,MATCH($C1205,links!$D$2:$D$501,0))="","",INDEX(links!$A$2:$A$501,MATCH($C1205,links!$D$2:$D$501,0))),""))</f>
        <v/>
      </c>
      <c r="H1205" s="30" t="str">
        <f aca="false">IF($C1205="","",IFERROR(IF(INDEX(links!$B$2:$B$501,MATCH($C1205,links!$D$2:$D$501,0))="","",INDEX(links!$B$2:$B$501,MATCH($C1205,links!$D$2:$D$501,0))),""))</f>
        <v/>
      </c>
      <c r="I1205" s="30" t="str">
        <f aca="false">IF($C1205="","",IFERROR(IF(INDEX(links!$C$2:$C$501,MATCH($C1205,links!$D$2:$D$501,0))="","",INDEX(links!$C$2:$C$501,MATCH($C1205,links!$D$2:$D$501,0))),""))</f>
        <v/>
      </c>
      <c r="J1205" s="30" t="str">
        <f aca="false">IF($C1205="","",IF($G1205="","slug not in links; ","")&amp;IF($D1205="","reading type missing; ","")&amp;IF(COUNTIFS(scans!$C$2:$C$1601,$C1205,scans!$D$2:$D$1601,$D1205)&gt;1,"two readings of this type: keep one; ",""))</f>
        <v/>
      </c>
    </row>
    <row r="1206" customFormat="false" ht="15" hidden="false" customHeight="false" outlineLevel="0" collapsed="false">
      <c r="A1206" s="11"/>
      <c r="B1206" s="38"/>
      <c r="D1206" s="10"/>
      <c r="G1206" s="30" t="str">
        <f aca="false">IF($C1206="","",IFERROR(IF(INDEX(links!$A$2:$A$501,MATCH($C1206,links!$D$2:$D$501,0))="","",INDEX(links!$A$2:$A$501,MATCH($C1206,links!$D$2:$D$501,0))),""))</f>
        <v/>
      </c>
      <c r="H1206" s="30" t="str">
        <f aca="false">IF($C1206="","",IFERROR(IF(INDEX(links!$B$2:$B$501,MATCH($C1206,links!$D$2:$D$501,0))="","",INDEX(links!$B$2:$B$501,MATCH($C1206,links!$D$2:$D$501,0))),""))</f>
        <v/>
      </c>
      <c r="I1206" s="30" t="str">
        <f aca="false">IF($C1206="","",IFERROR(IF(INDEX(links!$C$2:$C$501,MATCH($C1206,links!$D$2:$D$501,0))="","",INDEX(links!$C$2:$C$501,MATCH($C1206,links!$D$2:$D$501,0))),""))</f>
        <v/>
      </c>
      <c r="J1206" s="30" t="str">
        <f aca="false">IF($C1206="","",IF($G1206="","slug not in links; ","")&amp;IF($D1206="","reading type missing; ","")&amp;IF(COUNTIFS(scans!$C$2:$C$1601,$C1206,scans!$D$2:$D$1601,$D1206)&gt;1,"two readings of this type: keep one; ",""))</f>
        <v/>
      </c>
    </row>
    <row r="1207" customFormat="false" ht="15" hidden="false" customHeight="false" outlineLevel="0" collapsed="false">
      <c r="A1207" s="11"/>
      <c r="B1207" s="38"/>
      <c r="D1207" s="10"/>
      <c r="G1207" s="30" t="str">
        <f aca="false">IF($C1207="","",IFERROR(IF(INDEX(links!$A$2:$A$501,MATCH($C1207,links!$D$2:$D$501,0))="","",INDEX(links!$A$2:$A$501,MATCH($C1207,links!$D$2:$D$501,0))),""))</f>
        <v/>
      </c>
      <c r="H1207" s="30" t="str">
        <f aca="false">IF($C1207="","",IFERROR(IF(INDEX(links!$B$2:$B$501,MATCH($C1207,links!$D$2:$D$501,0))="","",INDEX(links!$B$2:$B$501,MATCH($C1207,links!$D$2:$D$501,0))),""))</f>
        <v/>
      </c>
      <c r="I1207" s="30" t="str">
        <f aca="false">IF($C1207="","",IFERROR(IF(INDEX(links!$C$2:$C$501,MATCH($C1207,links!$D$2:$D$501,0))="","",INDEX(links!$C$2:$C$501,MATCH($C1207,links!$D$2:$D$501,0))),""))</f>
        <v/>
      </c>
      <c r="J1207" s="30" t="str">
        <f aca="false">IF($C1207="","",IF($G1207="","slug not in links; ","")&amp;IF($D1207="","reading type missing; ","")&amp;IF(COUNTIFS(scans!$C$2:$C$1601,$C1207,scans!$D$2:$D$1601,$D1207)&gt;1,"two readings of this type: keep one; ",""))</f>
        <v/>
      </c>
    </row>
    <row r="1208" customFormat="false" ht="15" hidden="false" customHeight="false" outlineLevel="0" collapsed="false">
      <c r="A1208" s="11"/>
      <c r="B1208" s="38"/>
      <c r="D1208" s="10"/>
      <c r="G1208" s="30" t="str">
        <f aca="false">IF($C1208="","",IFERROR(IF(INDEX(links!$A$2:$A$501,MATCH($C1208,links!$D$2:$D$501,0))="","",INDEX(links!$A$2:$A$501,MATCH($C1208,links!$D$2:$D$501,0))),""))</f>
        <v/>
      </c>
      <c r="H1208" s="30" t="str">
        <f aca="false">IF($C1208="","",IFERROR(IF(INDEX(links!$B$2:$B$501,MATCH($C1208,links!$D$2:$D$501,0))="","",INDEX(links!$B$2:$B$501,MATCH($C1208,links!$D$2:$D$501,0))),""))</f>
        <v/>
      </c>
      <c r="I1208" s="30" t="str">
        <f aca="false">IF($C1208="","",IFERROR(IF(INDEX(links!$C$2:$C$501,MATCH($C1208,links!$D$2:$D$501,0))="","",INDEX(links!$C$2:$C$501,MATCH($C1208,links!$D$2:$D$501,0))),""))</f>
        <v/>
      </c>
      <c r="J1208" s="30" t="str">
        <f aca="false">IF($C1208="","",IF($G1208="","slug not in links; ","")&amp;IF($D1208="","reading type missing; ","")&amp;IF(COUNTIFS(scans!$C$2:$C$1601,$C1208,scans!$D$2:$D$1601,$D1208)&gt;1,"two readings of this type: keep one; ",""))</f>
        <v/>
      </c>
    </row>
    <row r="1209" customFormat="false" ht="15" hidden="false" customHeight="false" outlineLevel="0" collapsed="false">
      <c r="A1209" s="11"/>
      <c r="B1209" s="38"/>
      <c r="D1209" s="10"/>
      <c r="G1209" s="30" t="str">
        <f aca="false">IF($C1209="","",IFERROR(IF(INDEX(links!$A$2:$A$501,MATCH($C1209,links!$D$2:$D$501,0))="","",INDEX(links!$A$2:$A$501,MATCH($C1209,links!$D$2:$D$501,0))),""))</f>
        <v/>
      </c>
      <c r="H1209" s="30" t="str">
        <f aca="false">IF($C1209="","",IFERROR(IF(INDEX(links!$B$2:$B$501,MATCH($C1209,links!$D$2:$D$501,0))="","",INDEX(links!$B$2:$B$501,MATCH($C1209,links!$D$2:$D$501,0))),""))</f>
        <v/>
      </c>
      <c r="I1209" s="30" t="str">
        <f aca="false">IF($C1209="","",IFERROR(IF(INDEX(links!$C$2:$C$501,MATCH($C1209,links!$D$2:$D$501,0))="","",INDEX(links!$C$2:$C$501,MATCH($C1209,links!$D$2:$D$501,0))),""))</f>
        <v/>
      </c>
      <c r="J1209" s="30" t="str">
        <f aca="false">IF($C1209="","",IF($G1209="","slug not in links; ","")&amp;IF($D1209="","reading type missing; ","")&amp;IF(COUNTIFS(scans!$C$2:$C$1601,$C1209,scans!$D$2:$D$1601,$D1209)&gt;1,"two readings of this type: keep one; ",""))</f>
        <v/>
      </c>
    </row>
    <row r="1210" customFormat="false" ht="15" hidden="false" customHeight="false" outlineLevel="0" collapsed="false">
      <c r="A1210" s="11"/>
      <c r="B1210" s="38"/>
      <c r="D1210" s="10"/>
      <c r="G1210" s="30" t="str">
        <f aca="false">IF($C1210="","",IFERROR(IF(INDEX(links!$A$2:$A$501,MATCH($C1210,links!$D$2:$D$501,0))="","",INDEX(links!$A$2:$A$501,MATCH($C1210,links!$D$2:$D$501,0))),""))</f>
        <v/>
      </c>
      <c r="H1210" s="30" t="str">
        <f aca="false">IF($C1210="","",IFERROR(IF(INDEX(links!$B$2:$B$501,MATCH($C1210,links!$D$2:$D$501,0))="","",INDEX(links!$B$2:$B$501,MATCH($C1210,links!$D$2:$D$501,0))),""))</f>
        <v/>
      </c>
      <c r="I1210" s="30" t="str">
        <f aca="false">IF($C1210="","",IFERROR(IF(INDEX(links!$C$2:$C$501,MATCH($C1210,links!$D$2:$D$501,0))="","",INDEX(links!$C$2:$C$501,MATCH($C1210,links!$D$2:$D$501,0))),""))</f>
        <v/>
      </c>
      <c r="J1210" s="30" t="str">
        <f aca="false">IF($C1210="","",IF($G1210="","slug not in links; ","")&amp;IF($D1210="","reading type missing; ","")&amp;IF(COUNTIFS(scans!$C$2:$C$1601,$C1210,scans!$D$2:$D$1601,$D1210)&gt;1,"two readings of this type: keep one; ",""))</f>
        <v/>
      </c>
    </row>
    <row r="1211" customFormat="false" ht="15" hidden="false" customHeight="false" outlineLevel="0" collapsed="false">
      <c r="A1211" s="11"/>
      <c r="B1211" s="38"/>
      <c r="D1211" s="10"/>
      <c r="G1211" s="30" t="str">
        <f aca="false">IF($C1211="","",IFERROR(IF(INDEX(links!$A$2:$A$501,MATCH($C1211,links!$D$2:$D$501,0))="","",INDEX(links!$A$2:$A$501,MATCH($C1211,links!$D$2:$D$501,0))),""))</f>
        <v/>
      </c>
      <c r="H1211" s="30" t="str">
        <f aca="false">IF($C1211="","",IFERROR(IF(INDEX(links!$B$2:$B$501,MATCH($C1211,links!$D$2:$D$501,0))="","",INDEX(links!$B$2:$B$501,MATCH($C1211,links!$D$2:$D$501,0))),""))</f>
        <v/>
      </c>
      <c r="I1211" s="30" t="str">
        <f aca="false">IF($C1211="","",IFERROR(IF(INDEX(links!$C$2:$C$501,MATCH($C1211,links!$D$2:$D$501,0))="","",INDEX(links!$C$2:$C$501,MATCH($C1211,links!$D$2:$D$501,0))),""))</f>
        <v/>
      </c>
      <c r="J1211" s="30" t="str">
        <f aca="false">IF($C1211="","",IF($G1211="","slug not in links; ","")&amp;IF($D1211="","reading type missing; ","")&amp;IF(COUNTIFS(scans!$C$2:$C$1601,$C1211,scans!$D$2:$D$1601,$D1211)&gt;1,"two readings of this type: keep one; ",""))</f>
        <v/>
      </c>
    </row>
    <row r="1212" customFormat="false" ht="15" hidden="false" customHeight="false" outlineLevel="0" collapsed="false">
      <c r="A1212" s="11"/>
      <c r="B1212" s="38"/>
      <c r="D1212" s="10"/>
      <c r="G1212" s="30" t="str">
        <f aca="false">IF($C1212="","",IFERROR(IF(INDEX(links!$A$2:$A$501,MATCH($C1212,links!$D$2:$D$501,0))="","",INDEX(links!$A$2:$A$501,MATCH($C1212,links!$D$2:$D$501,0))),""))</f>
        <v/>
      </c>
      <c r="H1212" s="30" t="str">
        <f aca="false">IF($C1212="","",IFERROR(IF(INDEX(links!$B$2:$B$501,MATCH($C1212,links!$D$2:$D$501,0))="","",INDEX(links!$B$2:$B$501,MATCH($C1212,links!$D$2:$D$501,0))),""))</f>
        <v/>
      </c>
      <c r="I1212" s="30" t="str">
        <f aca="false">IF($C1212="","",IFERROR(IF(INDEX(links!$C$2:$C$501,MATCH($C1212,links!$D$2:$D$501,0))="","",INDEX(links!$C$2:$C$501,MATCH($C1212,links!$D$2:$D$501,0))),""))</f>
        <v/>
      </c>
      <c r="J1212" s="30" t="str">
        <f aca="false">IF($C1212="","",IF($G1212="","slug not in links; ","")&amp;IF($D1212="","reading type missing; ","")&amp;IF(COUNTIFS(scans!$C$2:$C$1601,$C1212,scans!$D$2:$D$1601,$D1212)&gt;1,"two readings of this type: keep one; ",""))</f>
        <v/>
      </c>
    </row>
    <row r="1213" customFormat="false" ht="15" hidden="false" customHeight="false" outlineLevel="0" collapsed="false">
      <c r="A1213" s="11"/>
      <c r="B1213" s="38"/>
      <c r="D1213" s="10"/>
      <c r="G1213" s="30" t="str">
        <f aca="false">IF($C1213="","",IFERROR(IF(INDEX(links!$A$2:$A$501,MATCH($C1213,links!$D$2:$D$501,0))="","",INDEX(links!$A$2:$A$501,MATCH($C1213,links!$D$2:$D$501,0))),""))</f>
        <v/>
      </c>
      <c r="H1213" s="30" t="str">
        <f aca="false">IF($C1213="","",IFERROR(IF(INDEX(links!$B$2:$B$501,MATCH($C1213,links!$D$2:$D$501,0))="","",INDEX(links!$B$2:$B$501,MATCH($C1213,links!$D$2:$D$501,0))),""))</f>
        <v/>
      </c>
      <c r="I1213" s="30" t="str">
        <f aca="false">IF($C1213="","",IFERROR(IF(INDEX(links!$C$2:$C$501,MATCH($C1213,links!$D$2:$D$501,0))="","",INDEX(links!$C$2:$C$501,MATCH($C1213,links!$D$2:$D$501,0))),""))</f>
        <v/>
      </c>
      <c r="J1213" s="30" t="str">
        <f aca="false">IF($C1213="","",IF($G1213="","slug not in links; ","")&amp;IF($D1213="","reading type missing; ","")&amp;IF(COUNTIFS(scans!$C$2:$C$1601,$C1213,scans!$D$2:$D$1601,$D1213)&gt;1,"two readings of this type: keep one; ",""))</f>
        <v/>
      </c>
    </row>
    <row r="1214" customFormat="false" ht="15" hidden="false" customHeight="false" outlineLevel="0" collapsed="false">
      <c r="A1214" s="11"/>
      <c r="B1214" s="38"/>
      <c r="D1214" s="10"/>
      <c r="G1214" s="30" t="str">
        <f aca="false">IF($C1214="","",IFERROR(IF(INDEX(links!$A$2:$A$501,MATCH($C1214,links!$D$2:$D$501,0))="","",INDEX(links!$A$2:$A$501,MATCH($C1214,links!$D$2:$D$501,0))),""))</f>
        <v/>
      </c>
      <c r="H1214" s="30" t="str">
        <f aca="false">IF($C1214="","",IFERROR(IF(INDEX(links!$B$2:$B$501,MATCH($C1214,links!$D$2:$D$501,0))="","",INDEX(links!$B$2:$B$501,MATCH($C1214,links!$D$2:$D$501,0))),""))</f>
        <v/>
      </c>
      <c r="I1214" s="30" t="str">
        <f aca="false">IF($C1214="","",IFERROR(IF(INDEX(links!$C$2:$C$501,MATCH($C1214,links!$D$2:$D$501,0))="","",INDEX(links!$C$2:$C$501,MATCH($C1214,links!$D$2:$D$501,0))),""))</f>
        <v/>
      </c>
      <c r="J1214" s="30" t="str">
        <f aca="false">IF($C1214="","",IF($G1214="","slug not in links; ","")&amp;IF($D1214="","reading type missing; ","")&amp;IF(COUNTIFS(scans!$C$2:$C$1601,$C1214,scans!$D$2:$D$1601,$D1214)&gt;1,"two readings of this type: keep one; ",""))</f>
        <v/>
      </c>
    </row>
    <row r="1215" customFormat="false" ht="15" hidden="false" customHeight="false" outlineLevel="0" collapsed="false">
      <c r="A1215" s="11"/>
      <c r="B1215" s="38"/>
      <c r="D1215" s="10"/>
      <c r="G1215" s="30" t="str">
        <f aca="false">IF($C1215="","",IFERROR(IF(INDEX(links!$A$2:$A$501,MATCH($C1215,links!$D$2:$D$501,0))="","",INDEX(links!$A$2:$A$501,MATCH($C1215,links!$D$2:$D$501,0))),""))</f>
        <v/>
      </c>
      <c r="H1215" s="30" t="str">
        <f aca="false">IF($C1215="","",IFERROR(IF(INDEX(links!$B$2:$B$501,MATCH($C1215,links!$D$2:$D$501,0))="","",INDEX(links!$B$2:$B$501,MATCH($C1215,links!$D$2:$D$501,0))),""))</f>
        <v/>
      </c>
      <c r="I1215" s="30" t="str">
        <f aca="false">IF($C1215="","",IFERROR(IF(INDEX(links!$C$2:$C$501,MATCH($C1215,links!$D$2:$D$501,0))="","",INDEX(links!$C$2:$C$501,MATCH($C1215,links!$D$2:$D$501,0))),""))</f>
        <v/>
      </c>
      <c r="J1215" s="30" t="str">
        <f aca="false">IF($C1215="","",IF($G1215="","slug not in links; ","")&amp;IF($D1215="","reading type missing; ","")&amp;IF(COUNTIFS(scans!$C$2:$C$1601,$C1215,scans!$D$2:$D$1601,$D1215)&gt;1,"two readings of this type: keep one; ",""))</f>
        <v/>
      </c>
    </row>
    <row r="1216" customFormat="false" ht="15" hidden="false" customHeight="false" outlineLevel="0" collapsed="false">
      <c r="A1216" s="11"/>
      <c r="B1216" s="38"/>
      <c r="D1216" s="10"/>
      <c r="G1216" s="30" t="str">
        <f aca="false">IF($C1216="","",IFERROR(IF(INDEX(links!$A$2:$A$501,MATCH($C1216,links!$D$2:$D$501,0))="","",INDEX(links!$A$2:$A$501,MATCH($C1216,links!$D$2:$D$501,0))),""))</f>
        <v/>
      </c>
      <c r="H1216" s="30" t="str">
        <f aca="false">IF($C1216="","",IFERROR(IF(INDEX(links!$B$2:$B$501,MATCH($C1216,links!$D$2:$D$501,0))="","",INDEX(links!$B$2:$B$501,MATCH($C1216,links!$D$2:$D$501,0))),""))</f>
        <v/>
      </c>
      <c r="I1216" s="30" t="str">
        <f aca="false">IF($C1216="","",IFERROR(IF(INDEX(links!$C$2:$C$501,MATCH($C1216,links!$D$2:$D$501,0))="","",INDEX(links!$C$2:$C$501,MATCH($C1216,links!$D$2:$D$501,0))),""))</f>
        <v/>
      </c>
      <c r="J1216" s="30" t="str">
        <f aca="false">IF($C1216="","",IF($G1216="","slug not in links; ","")&amp;IF($D1216="","reading type missing; ","")&amp;IF(COUNTIFS(scans!$C$2:$C$1601,$C1216,scans!$D$2:$D$1601,$D1216)&gt;1,"two readings of this type: keep one; ",""))</f>
        <v/>
      </c>
    </row>
    <row r="1217" customFormat="false" ht="15" hidden="false" customHeight="false" outlineLevel="0" collapsed="false">
      <c r="A1217" s="11"/>
      <c r="B1217" s="38"/>
      <c r="D1217" s="10"/>
      <c r="G1217" s="30" t="str">
        <f aca="false">IF($C1217="","",IFERROR(IF(INDEX(links!$A$2:$A$501,MATCH($C1217,links!$D$2:$D$501,0))="","",INDEX(links!$A$2:$A$501,MATCH($C1217,links!$D$2:$D$501,0))),""))</f>
        <v/>
      </c>
      <c r="H1217" s="30" t="str">
        <f aca="false">IF($C1217="","",IFERROR(IF(INDEX(links!$B$2:$B$501,MATCH($C1217,links!$D$2:$D$501,0))="","",INDEX(links!$B$2:$B$501,MATCH($C1217,links!$D$2:$D$501,0))),""))</f>
        <v/>
      </c>
      <c r="I1217" s="30" t="str">
        <f aca="false">IF($C1217="","",IFERROR(IF(INDEX(links!$C$2:$C$501,MATCH($C1217,links!$D$2:$D$501,0))="","",INDEX(links!$C$2:$C$501,MATCH($C1217,links!$D$2:$D$501,0))),""))</f>
        <v/>
      </c>
      <c r="J1217" s="30" t="str">
        <f aca="false">IF($C1217="","",IF($G1217="","slug not in links; ","")&amp;IF($D1217="","reading type missing; ","")&amp;IF(COUNTIFS(scans!$C$2:$C$1601,$C1217,scans!$D$2:$D$1601,$D1217)&gt;1,"two readings of this type: keep one; ",""))</f>
        <v/>
      </c>
    </row>
    <row r="1218" customFormat="false" ht="15" hidden="false" customHeight="false" outlineLevel="0" collapsed="false">
      <c r="A1218" s="11"/>
      <c r="B1218" s="38"/>
      <c r="D1218" s="10"/>
      <c r="G1218" s="30" t="str">
        <f aca="false">IF($C1218="","",IFERROR(IF(INDEX(links!$A$2:$A$501,MATCH($C1218,links!$D$2:$D$501,0))="","",INDEX(links!$A$2:$A$501,MATCH($C1218,links!$D$2:$D$501,0))),""))</f>
        <v/>
      </c>
      <c r="H1218" s="30" t="str">
        <f aca="false">IF($C1218="","",IFERROR(IF(INDEX(links!$B$2:$B$501,MATCH($C1218,links!$D$2:$D$501,0))="","",INDEX(links!$B$2:$B$501,MATCH($C1218,links!$D$2:$D$501,0))),""))</f>
        <v/>
      </c>
      <c r="I1218" s="30" t="str">
        <f aca="false">IF($C1218="","",IFERROR(IF(INDEX(links!$C$2:$C$501,MATCH($C1218,links!$D$2:$D$501,0))="","",INDEX(links!$C$2:$C$501,MATCH($C1218,links!$D$2:$D$501,0))),""))</f>
        <v/>
      </c>
      <c r="J1218" s="30" t="str">
        <f aca="false">IF($C1218="","",IF($G1218="","slug not in links; ","")&amp;IF($D1218="","reading type missing; ","")&amp;IF(COUNTIFS(scans!$C$2:$C$1601,$C1218,scans!$D$2:$D$1601,$D1218)&gt;1,"two readings of this type: keep one; ",""))</f>
        <v/>
      </c>
    </row>
    <row r="1219" customFormat="false" ht="15" hidden="false" customHeight="false" outlineLevel="0" collapsed="false">
      <c r="A1219" s="11"/>
      <c r="B1219" s="38"/>
      <c r="D1219" s="10"/>
      <c r="G1219" s="30" t="str">
        <f aca="false">IF($C1219="","",IFERROR(IF(INDEX(links!$A$2:$A$501,MATCH($C1219,links!$D$2:$D$501,0))="","",INDEX(links!$A$2:$A$501,MATCH($C1219,links!$D$2:$D$501,0))),""))</f>
        <v/>
      </c>
      <c r="H1219" s="30" t="str">
        <f aca="false">IF($C1219="","",IFERROR(IF(INDEX(links!$B$2:$B$501,MATCH($C1219,links!$D$2:$D$501,0))="","",INDEX(links!$B$2:$B$501,MATCH($C1219,links!$D$2:$D$501,0))),""))</f>
        <v/>
      </c>
      <c r="I1219" s="30" t="str">
        <f aca="false">IF($C1219="","",IFERROR(IF(INDEX(links!$C$2:$C$501,MATCH($C1219,links!$D$2:$D$501,0))="","",INDEX(links!$C$2:$C$501,MATCH($C1219,links!$D$2:$D$501,0))),""))</f>
        <v/>
      </c>
      <c r="J1219" s="30" t="str">
        <f aca="false">IF($C1219="","",IF($G1219="","slug not in links; ","")&amp;IF($D1219="","reading type missing; ","")&amp;IF(COUNTIFS(scans!$C$2:$C$1601,$C1219,scans!$D$2:$D$1601,$D1219)&gt;1,"two readings of this type: keep one; ",""))</f>
        <v/>
      </c>
    </row>
    <row r="1220" customFormat="false" ht="15" hidden="false" customHeight="false" outlineLevel="0" collapsed="false">
      <c r="A1220" s="11"/>
      <c r="B1220" s="38"/>
      <c r="D1220" s="10"/>
      <c r="G1220" s="30" t="str">
        <f aca="false">IF($C1220="","",IFERROR(IF(INDEX(links!$A$2:$A$501,MATCH($C1220,links!$D$2:$D$501,0))="","",INDEX(links!$A$2:$A$501,MATCH($C1220,links!$D$2:$D$501,0))),""))</f>
        <v/>
      </c>
      <c r="H1220" s="30" t="str">
        <f aca="false">IF($C1220="","",IFERROR(IF(INDEX(links!$B$2:$B$501,MATCH($C1220,links!$D$2:$D$501,0))="","",INDEX(links!$B$2:$B$501,MATCH($C1220,links!$D$2:$D$501,0))),""))</f>
        <v/>
      </c>
      <c r="I1220" s="30" t="str">
        <f aca="false">IF($C1220="","",IFERROR(IF(INDEX(links!$C$2:$C$501,MATCH($C1220,links!$D$2:$D$501,0))="","",INDEX(links!$C$2:$C$501,MATCH($C1220,links!$D$2:$D$501,0))),""))</f>
        <v/>
      </c>
      <c r="J1220" s="30" t="str">
        <f aca="false">IF($C1220="","",IF($G1220="","slug not in links; ","")&amp;IF($D1220="","reading type missing; ","")&amp;IF(COUNTIFS(scans!$C$2:$C$1601,$C1220,scans!$D$2:$D$1601,$D1220)&gt;1,"two readings of this type: keep one; ",""))</f>
        <v/>
      </c>
    </row>
    <row r="1221" customFormat="false" ht="15" hidden="false" customHeight="false" outlineLevel="0" collapsed="false">
      <c r="A1221" s="11"/>
      <c r="B1221" s="38"/>
      <c r="D1221" s="10"/>
      <c r="G1221" s="30" t="str">
        <f aca="false">IF($C1221="","",IFERROR(IF(INDEX(links!$A$2:$A$501,MATCH($C1221,links!$D$2:$D$501,0))="","",INDEX(links!$A$2:$A$501,MATCH($C1221,links!$D$2:$D$501,0))),""))</f>
        <v/>
      </c>
      <c r="H1221" s="30" t="str">
        <f aca="false">IF($C1221="","",IFERROR(IF(INDEX(links!$B$2:$B$501,MATCH($C1221,links!$D$2:$D$501,0))="","",INDEX(links!$B$2:$B$501,MATCH($C1221,links!$D$2:$D$501,0))),""))</f>
        <v/>
      </c>
      <c r="I1221" s="30" t="str">
        <f aca="false">IF($C1221="","",IFERROR(IF(INDEX(links!$C$2:$C$501,MATCH($C1221,links!$D$2:$D$501,0))="","",INDEX(links!$C$2:$C$501,MATCH($C1221,links!$D$2:$D$501,0))),""))</f>
        <v/>
      </c>
      <c r="J1221" s="30" t="str">
        <f aca="false">IF($C1221="","",IF($G1221="","slug not in links; ","")&amp;IF($D1221="","reading type missing; ","")&amp;IF(COUNTIFS(scans!$C$2:$C$1601,$C1221,scans!$D$2:$D$1601,$D1221)&gt;1,"two readings of this type: keep one; ",""))</f>
        <v/>
      </c>
    </row>
    <row r="1222" customFormat="false" ht="15" hidden="false" customHeight="false" outlineLevel="0" collapsed="false">
      <c r="A1222" s="11"/>
      <c r="B1222" s="38"/>
      <c r="D1222" s="10"/>
      <c r="G1222" s="30" t="str">
        <f aca="false">IF($C1222="","",IFERROR(IF(INDEX(links!$A$2:$A$501,MATCH($C1222,links!$D$2:$D$501,0))="","",INDEX(links!$A$2:$A$501,MATCH($C1222,links!$D$2:$D$501,0))),""))</f>
        <v/>
      </c>
      <c r="H1222" s="30" t="str">
        <f aca="false">IF($C1222="","",IFERROR(IF(INDEX(links!$B$2:$B$501,MATCH($C1222,links!$D$2:$D$501,0))="","",INDEX(links!$B$2:$B$501,MATCH($C1222,links!$D$2:$D$501,0))),""))</f>
        <v/>
      </c>
      <c r="I1222" s="30" t="str">
        <f aca="false">IF($C1222="","",IFERROR(IF(INDEX(links!$C$2:$C$501,MATCH($C1222,links!$D$2:$D$501,0))="","",INDEX(links!$C$2:$C$501,MATCH($C1222,links!$D$2:$D$501,0))),""))</f>
        <v/>
      </c>
      <c r="J1222" s="30" t="str">
        <f aca="false">IF($C1222="","",IF($G1222="","slug not in links; ","")&amp;IF($D1222="","reading type missing; ","")&amp;IF(COUNTIFS(scans!$C$2:$C$1601,$C1222,scans!$D$2:$D$1601,$D1222)&gt;1,"two readings of this type: keep one; ",""))</f>
        <v/>
      </c>
    </row>
    <row r="1223" customFormat="false" ht="15" hidden="false" customHeight="false" outlineLevel="0" collapsed="false">
      <c r="A1223" s="11"/>
      <c r="B1223" s="38"/>
      <c r="D1223" s="10"/>
      <c r="G1223" s="30" t="str">
        <f aca="false">IF($C1223="","",IFERROR(IF(INDEX(links!$A$2:$A$501,MATCH($C1223,links!$D$2:$D$501,0))="","",INDEX(links!$A$2:$A$501,MATCH($C1223,links!$D$2:$D$501,0))),""))</f>
        <v/>
      </c>
      <c r="H1223" s="30" t="str">
        <f aca="false">IF($C1223="","",IFERROR(IF(INDEX(links!$B$2:$B$501,MATCH($C1223,links!$D$2:$D$501,0))="","",INDEX(links!$B$2:$B$501,MATCH($C1223,links!$D$2:$D$501,0))),""))</f>
        <v/>
      </c>
      <c r="I1223" s="30" t="str">
        <f aca="false">IF($C1223="","",IFERROR(IF(INDEX(links!$C$2:$C$501,MATCH($C1223,links!$D$2:$D$501,0))="","",INDEX(links!$C$2:$C$501,MATCH($C1223,links!$D$2:$D$501,0))),""))</f>
        <v/>
      </c>
      <c r="J1223" s="30" t="str">
        <f aca="false">IF($C1223="","",IF($G1223="","slug not in links; ","")&amp;IF($D1223="","reading type missing; ","")&amp;IF(COUNTIFS(scans!$C$2:$C$1601,$C1223,scans!$D$2:$D$1601,$D1223)&gt;1,"two readings of this type: keep one; ",""))</f>
        <v/>
      </c>
    </row>
    <row r="1224" customFormat="false" ht="15" hidden="false" customHeight="false" outlineLevel="0" collapsed="false">
      <c r="A1224" s="11"/>
      <c r="B1224" s="38"/>
      <c r="D1224" s="10"/>
      <c r="G1224" s="30" t="str">
        <f aca="false">IF($C1224="","",IFERROR(IF(INDEX(links!$A$2:$A$501,MATCH($C1224,links!$D$2:$D$501,0))="","",INDEX(links!$A$2:$A$501,MATCH($C1224,links!$D$2:$D$501,0))),""))</f>
        <v/>
      </c>
      <c r="H1224" s="30" t="str">
        <f aca="false">IF($C1224="","",IFERROR(IF(INDEX(links!$B$2:$B$501,MATCH($C1224,links!$D$2:$D$501,0))="","",INDEX(links!$B$2:$B$501,MATCH($C1224,links!$D$2:$D$501,0))),""))</f>
        <v/>
      </c>
      <c r="I1224" s="30" t="str">
        <f aca="false">IF($C1224="","",IFERROR(IF(INDEX(links!$C$2:$C$501,MATCH($C1224,links!$D$2:$D$501,0))="","",INDEX(links!$C$2:$C$501,MATCH($C1224,links!$D$2:$D$501,0))),""))</f>
        <v/>
      </c>
      <c r="J1224" s="30" t="str">
        <f aca="false">IF($C1224="","",IF($G1224="","slug not in links; ","")&amp;IF($D1224="","reading type missing; ","")&amp;IF(COUNTIFS(scans!$C$2:$C$1601,$C1224,scans!$D$2:$D$1601,$D1224)&gt;1,"two readings of this type: keep one; ",""))</f>
        <v/>
      </c>
    </row>
    <row r="1225" customFormat="false" ht="15" hidden="false" customHeight="false" outlineLevel="0" collapsed="false">
      <c r="A1225" s="11"/>
      <c r="B1225" s="38"/>
      <c r="D1225" s="10"/>
      <c r="G1225" s="30" t="str">
        <f aca="false">IF($C1225="","",IFERROR(IF(INDEX(links!$A$2:$A$501,MATCH($C1225,links!$D$2:$D$501,0))="","",INDEX(links!$A$2:$A$501,MATCH($C1225,links!$D$2:$D$501,0))),""))</f>
        <v/>
      </c>
      <c r="H1225" s="30" t="str">
        <f aca="false">IF($C1225="","",IFERROR(IF(INDEX(links!$B$2:$B$501,MATCH($C1225,links!$D$2:$D$501,0))="","",INDEX(links!$B$2:$B$501,MATCH($C1225,links!$D$2:$D$501,0))),""))</f>
        <v/>
      </c>
      <c r="I1225" s="30" t="str">
        <f aca="false">IF($C1225="","",IFERROR(IF(INDEX(links!$C$2:$C$501,MATCH($C1225,links!$D$2:$D$501,0))="","",INDEX(links!$C$2:$C$501,MATCH($C1225,links!$D$2:$D$501,0))),""))</f>
        <v/>
      </c>
      <c r="J1225" s="30" t="str">
        <f aca="false">IF($C1225="","",IF($G1225="","slug not in links; ","")&amp;IF($D1225="","reading type missing; ","")&amp;IF(COUNTIFS(scans!$C$2:$C$1601,$C1225,scans!$D$2:$D$1601,$D1225)&gt;1,"two readings of this type: keep one; ",""))</f>
        <v/>
      </c>
    </row>
    <row r="1226" customFormat="false" ht="15" hidden="false" customHeight="false" outlineLevel="0" collapsed="false">
      <c r="A1226" s="11"/>
      <c r="B1226" s="38"/>
      <c r="D1226" s="10"/>
      <c r="G1226" s="30" t="str">
        <f aca="false">IF($C1226="","",IFERROR(IF(INDEX(links!$A$2:$A$501,MATCH($C1226,links!$D$2:$D$501,0))="","",INDEX(links!$A$2:$A$501,MATCH($C1226,links!$D$2:$D$501,0))),""))</f>
        <v/>
      </c>
      <c r="H1226" s="30" t="str">
        <f aca="false">IF($C1226="","",IFERROR(IF(INDEX(links!$B$2:$B$501,MATCH($C1226,links!$D$2:$D$501,0))="","",INDEX(links!$B$2:$B$501,MATCH($C1226,links!$D$2:$D$501,0))),""))</f>
        <v/>
      </c>
      <c r="I1226" s="30" t="str">
        <f aca="false">IF($C1226="","",IFERROR(IF(INDEX(links!$C$2:$C$501,MATCH($C1226,links!$D$2:$D$501,0))="","",INDEX(links!$C$2:$C$501,MATCH($C1226,links!$D$2:$D$501,0))),""))</f>
        <v/>
      </c>
      <c r="J1226" s="30" t="str">
        <f aca="false">IF($C1226="","",IF($G1226="","slug not in links; ","")&amp;IF($D1226="","reading type missing; ","")&amp;IF(COUNTIFS(scans!$C$2:$C$1601,$C1226,scans!$D$2:$D$1601,$D1226)&gt;1,"two readings of this type: keep one; ",""))</f>
        <v/>
      </c>
    </row>
    <row r="1227" customFormat="false" ht="15" hidden="false" customHeight="false" outlineLevel="0" collapsed="false">
      <c r="A1227" s="11"/>
      <c r="B1227" s="38"/>
      <c r="D1227" s="10"/>
      <c r="G1227" s="30" t="str">
        <f aca="false">IF($C1227="","",IFERROR(IF(INDEX(links!$A$2:$A$501,MATCH($C1227,links!$D$2:$D$501,0))="","",INDEX(links!$A$2:$A$501,MATCH($C1227,links!$D$2:$D$501,0))),""))</f>
        <v/>
      </c>
      <c r="H1227" s="30" t="str">
        <f aca="false">IF($C1227="","",IFERROR(IF(INDEX(links!$B$2:$B$501,MATCH($C1227,links!$D$2:$D$501,0))="","",INDEX(links!$B$2:$B$501,MATCH($C1227,links!$D$2:$D$501,0))),""))</f>
        <v/>
      </c>
      <c r="I1227" s="30" t="str">
        <f aca="false">IF($C1227="","",IFERROR(IF(INDEX(links!$C$2:$C$501,MATCH($C1227,links!$D$2:$D$501,0))="","",INDEX(links!$C$2:$C$501,MATCH($C1227,links!$D$2:$D$501,0))),""))</f>
        <v/>
      </c>
      <c r="J1227" s="30" t="str">
        <f aca="false">IF($C1227="","",IF($G1227="","slug not in links; ","")&amp;IF($D1227="","reading type missing; ","")&amp;IF(COUNTIFS(scans!$C$2:$C$1601,$C1227,scans!$D$2:$D$1601,$D1227)&gt;1,"two readings of this type: keep one; ",""))</f>
        <v/>
      </c>
    </row>
    <row r="1228" customFormat="false" ht="15" hidden="false" customHeight="false" outlineLevel="0" collapsed="false">
      <c r="A1228" s="11"/>
      <c r="B1228" s="38"/>
      <c r="D1228" s="10"/>
      <c r="G1228" s="30" t="str">
        <f aca="false">IF($C1228="","",IFERROR(IF(INDEX(links!$A$2:$A$501,MATCH($C1228,links!$D$2:$D$501,0))="","",INDEX(links!$A$2:$A$501,MATCH($C1228,links!$D$2:$D$501,0))),""))</f>
        <v/>
      </c>
      <c r="H1228" s="30" t="str">
        <f aca="false">IF($C1228="","",IFERROR(IF(INDEX(links!$B$2:$B$501,MATCH($C1228,links!$D$2:$D$501,0))="","",INDEX(links!$B$2:$B$501,MATCH($C1228,links!$D$2:$D$501,0))),""))</f>
        <v/>
      </c>
      <c r="I1228" s="30" t="str">
        <f aca="false">IF($C1228="","",IFERROR(IF(INDEX(links!$C$2:$C$501,MATCH($C1228,links!$D$2:$D$501,0))="","",INDEX(links!$C$2:$C$501,MATCH($C1228,links!$D$2:$D$501,0))),""))</f>
        <v/>
      </c>
      <c r="J1228" s="30" t="str">
        <f aca="false">IF($C1228="","",IF($G1228="","slug not in links; ","")&amp;IF($D1228="","reading type missing; ","")&amp;IF(COUNTIFS(scans!$C$2:$C$1601,$C1228,scans!$D$2:$D$1601,$D1228)&gt;1,"two readings of this type: keep one; ",""))</f>
        <v/>
      </c>
    </row>
    <row r="1229" customFormat="false" ht="15" hidden="false" customHeight="false" outlineLevel="0" collapsed="false">
      <c r="A1229" s="11"/>
      <c r="B1229" s="38"/>
      <c r="D1229" s="10"/>
      <c r="G1229" s="30" t="str">
        <f aca="false">IF($C1229="","",IFERROR(IF(INDEX(links!$A$2:$A$501,MATCH($C1229,links!$D$2:$D$501,0))="","",INDEX(links!$A$2:$A$501,MATCH($C1229,links!$D$2:$D$501,0))),""))</f>
        <v/>
      </c>
      <c r="H1229" s="30" t="str">
        <f aca="false">IF($C1229="","",IFERROR(IF(INDEX(links!$B$2:$B$501,MATCH($C1229,links!$D$2:$D$501,0))="","",INDEX(links!$B$2:$B$501,MATCH($C1229,links!$D$2:$D$501,0))),""))</f>
        <v/>
      </c>
      <c r="I1229" s="30" t="str">
        <f aca="false">IF($C1229="","",IFERROR(IF(INDEX(links!$C$2:$C$501,MATCH($C1229,links!$D$2:$D$501,0))="","",INDEX(links!$C$2:$C$501,MATCH($C1229,links!$D$2:$D$501,0))),""))</f>
        <v/>
      </c>
      <c r="J1229" s="30" t="str">
        <f aca="false">IF($C1229="","",IF($G1229="","slug not in links; ","")&amp;IF($D1229="","reading type missing; ","")&amp;IF(COUNTIFS(scans!$C$2:$C$1601,$C1229,scans!$D$2:$D$1601,$D1229)&gt;1,"two readings of this type: keep one; ",""))</f>
        <v/>
      </c>
    </row>
    <row r="1230" customFormat="false" ht="15" hidden="false" customHeight="false" outlineLevel="0" collapsed="false">
      <c r="A1230" s="11"/>
      <c r="B1230" s="38"/>
      <c r="D1230" s="10"/>
      <c r="G1230" s="30" t="str">
        <f aca="false">IF($C1230="","",IFERROR(IF(INDEX(links!$A$2:$A$501,MATCH($C1230,links!$D$2:$D$501,0))="","",INDEX(links!$A$2:$A$501,MATCH($C1230,links!$D$2:$D$501,0))),""))</f>
        <v/>
      </c>
      <c r="H1230" s="30" t="str">
        <f aca="false">IF($C1230="","",IFERROR(IF(INDEX(links!$B$2:$B$501,MATCH($C1230,links!$D$2:$D$501,0))="","",INDEX(links!$B$2:$B$501,MATCH($C1230,links!$D$2:$D$501,0))),""))</f>
        <v/>
      </c>
      <c r="I1230" s="30" t="str">
        <f aca="false">IF($C1230="","",IFERROR(IF(INDEX(links!$C$2:$C$501,MATCH($C1230,links!$D$2:$D$501,0))="","",INDEX(links!$C$2:$C$501,MATCH($C1230,links!$D$2:$D$501,0))),""))</f>
        <v/>
      </c>
      <c r="J1230" s="30" t="str">
        <f aca="false">IF($C1230="","",IF($G1230="","slug not in links; ","")&amp;IF($D1230="","reading type missing; ","")&amp;IF(COUNTIFS(scans!$C$2:$C$1601,$C1230,scans!$D$2:$D$1601,$D1230)&gt;1,"two readings of this type: keep one; ",""))</f>
        <v/>
      </c>
    </row>
    <row r="1231" customFormat="false" ht="15" hidden="false" customHeight="false" outlineLevel="0" collapsed="false">
      <c r="A1231" s="11"/>
      <c r="B1231" s="38"/>
      <c r="D1231" s="10"/>
      <c r="G1231" s="30" t="str">
        <f aca="false">IF($C1231="","",IFERROR(IF(INDEX(links!$A$2:$A$501,MATCH($C1231,links!$D$2:$D$501,0))="","",INDEX(links!$A$2:$A$501,MATCH($C1231,links!$D$2:$D$501,0))),""))</f>
        <v/>
      </c>
      <c r="H1231" s="30" t="str">
        <f aca="false">IF($C1231="","",IFERROR(IF(INDEX(links!$B$2:$B$501,MATCH($C1231,links!$D$2:$D$501,0))="","",INDEX(links!$B$2:$B$501,MATCH($C1231,links!$D$2:$D$501,0))),""))</f>
        <v/>
      </c>
      <c r="I1231" s="30" t="str">
        <f aca="false">IF($C1231="","",IFERROR(IF(INDEX(links!$C$2:$C$501,MATCH($C1231,links!$D$2:$D$501,0))="","",INDEX(links!$C$2:$C$501,MATCH($C1231,links!$D$2:$D$501,0))),""))</f>
        <v/>
      </c>
      <c r="J1231" s="30" t="str">
        <f aca="false">IF($C1231="","",IF($G1231="","slug not in links; ","")&amp;IF($D1231="","reading type missing; ","")&amp;IF(COUNTIFS(scans!$C$2:$C$1601,$C1231,scans!$D$2:$D$1601,$D1231)&gt;1,"two readings of this type: keep one; ",""))</f>
        <v/>
      </c>
    </row>
    <row r="1232" customFormat="false" ht="15" hidden="false" customHeight="false" outlineLevel="0" collapsed="false">
      <c r="A1232" s="11"/>
      <c r="B1232" s="38"/>
      <c r="D1232" s="10"/>
      <c r="G1232" s="30" t="str">
        <f aca="false">IF($C1232="","",IFERROR(IF(INDEX(links!$A$2:$A$501,MATCH($C1232,links!$D$2:$D$501,0))="","",INDEX(links!$A$2:$A$501,MATCH($C1232,links!$D$2:$D$501,0))),""))</f>
        <v/>
      </c>
      <c r="H1232" s="30" t="str">
        <f aca="false">IF($C1232="","",IFERROR(IF(INDEX(links!$B$2:$B$501,MATCH($C1232,links!$D$2:$D$501,0))="","",INDEX(links!$B$2:$B$501,MATCH($C1232,links!$D$2:$D$501,0))),""))</f>
        <v/>
      </c>
      <c r="I1232" s="30" t="str">
        <f aca="false">IF($C1232="","",IFERROR(IF(INDEX(links!$C$2:$C$501,MATCH($C1232,links!$D$2:$D$501,0))="","",INDEX(links!$C$2:$C$501,MATCH($C1232,links!$D$2:$D$501,0))),""))</f>
        <v/>
      </c>
      <c r="J1232" s="30" t="str">
        <f aca="false">IF($C1232="","",IF($G1232="","slug not in links; ","")&amp;IF($D1232="","reading type missing; ","")&amp;IF(COUNTIFS(scans!$C$2:$C$1601,$C1232,scans!$D$2:$D$1601,$D1232)&gt;1,"two readings of this type: keep one; ",""))</f>
        <v/>
      </c>
    </row>
    <row r="1233" customFormat="false" ht="15" hidden="false" customHeight="false" outlineLevel="0" collapsed="false">
      <c r="A1233" s="11"/>
      <c r="B1233" s="38"/>
      <c r="D1233" s="10"/>
      <c r="G1233" s="30" t="str">
        <f aca="false">IF($C1233="","",IFERROR(IF(INDEX(links!$A$2:$A$501,MATCH($C1233,links!$D$2:$D$501,0))="","",INDEX(links!$A$2:$A$501,MATCH($C1233,links!$D$2:$D$501,0))),""))</f>
        <v/>
      </c>
      <c r="H1233" s="30" t="str">
        <f aca="false">IF($C1233="","",IFERROR(IF(INDEX(links!$B$2:$B$501,MATCH($C1233,links!$D$2:$D$501,0))="","",INDEX(links!$B$2:$B$501,MATCH($C1233,links!$D$2:$D$501,0))),""))</f>
        <v/>
      </c>
      <c r="I1233" s="30" t="str">
        <f aca="false">IF($C1233="","",IFERROR(IF(INDEX(links!$C$2:$C$501,MATCH($C1233,links!$D$2:$D$501,0))="","",INDEX(links!$C$2:$C$501,MATCH($C1233,links!$D$2:$D$501,0))),""))</f>
        <v/>
      </c>
      <c r="J1233" s="30" t="str">
        <f aca="false">IF($C1233="","",IF($G1233="","slug not in links; ","")&amp;IF($D1233="","reading type missing; ","")&amp;IF(COUNTIFS(scans!$C$2:$C$1601,$C1233,scans!$D$2:$D$1601,$D1233)&gt;1,"two readings of this type: keep one; ",""))</f>
        <v/>
      </c>
    </row>
    <row r="1234" customFormat="false" ht="15" hidden="false" customHeight="false" outlineLevel="0" collapsed="false">
      <c r="A1234" s="11"/>
      <c r="B1234" s="38"/>
      <c r="D1234" s="10"/>
      <c r="G1234" s="30" t="str">
        <f aca="false">IF($C1234="","",IFERROR(IF(INDEX(links!$A$2:$A$501,MATCH($C1234,links!$D$2:$D$501,0))="","",INDEX(links!$A$2:$A$501,MATCH($C1234,links!$D$2:$D$501,0))),""))</f>
        <v/>
      </c>
      <c r="H1234" s="30" t="str">
        <f aca="false">IF($C1234="","",IFERROR(IF(INDEX(links!$B$2:$B$501,MATCH($C1234,links!$D$2:$D$501,0))="","",INDEX(links!$B$2:$B$501,MATCH($C1234,links!$D$2:$D$501,0))),""))</f>
        <v/>
      </c>
      <c r="I1234" s="30" t="str">
        <f aca="false">IF($C1234="","",IFERROR(IF(INDEX(links!$C$2:$C$501,MATCH($C1234,links!$D$2:$D$501,0))="","",INDEX(links!$C$2:$C$501,MATCH($C1234,links!$D$2:$D$501,0))),""))</f>
        <v/>
      </c>
      <c r="J1234" s="30" t="str">
        <f aca="false">IF($C1234="","",IF($G1234="","slug not in links; ","")&amp;IF($D1234="","reading type missing; ","")&amp;IF(COUNTIFS(scans!$C$2:$C$1601,$C1234,scans!$D$2:$D$1601,$D1234)&gt;1,"two readings of this type: keep one; ",""))</f>
        <v/>
      </c>
    </row>
    <row r="1235" customFormat="false" ht="15" hidden="false" customHeight="false" outlineLevel="0" collapsed="false">
      <c r="A1235" s="11"/>
      <c r="B1235" s="38"/>
      <c r="D1235" s="10"/>
      <c r="G1235" s="30" t="str">
        <f aca="false">IF($C1235="","",IFERROR(IF(INDEX(links!$A$2:$A$501,MATCH($C1235,links!$D$2:$D$501,0))="","",INDEX(links!$A$2:$A$501,MATCH($C1235,links!$D$2:$D$501,0))),""))</f>
        <v/>
      </c>
      <c r="H1235" s="30" t="str">
        <f aca="false">IF($C1235="","",IFERROR(IF(INDEX(links!$B$2:$B$501,MATCH($C1235,links!$D$2:$D$501,0))="","",INDEX(links!$B$2:$B$501,MATCH($C1235,links!$D$2:$D$501,0))),""))</f>
        <v/>
      </c>
      <c r="I1235" s="30" t="str">
        <f aca="false">IF($C1235="","",IFERROR(IF(INDEX(links!$C$2:$C$501,MATCH($C1235,links!$D$2:$D$501,0))="","",INDEX(links!$C$2:$C$501,MATCH($C1235,links!$D$2:$D$501,0))),""))</f>
        <v/>
      </c>
      <c r="J1235" s="30" t="str">
        <f aca="false">IF($C1235="","",IF($G1235="","slug not in links; ","")&amp;IF($D1235="","reading type missing; ","")&amp;IF(COUNTIFS(scans!$C$2:$C$1601,$C1235,scans!$D$2:$D$1601,$D1235)&gt;1,"two readings of this type: keep one; ",""))</f>
        <v/>
      </c>
    </row>
    <row r="1236" customFormat="false" ht="15" hidden="false" customHeight="false" outlineLevel="0" collapsed="false">
      <c r="A1236" s="11"/>
      <c r="B1236" s="38"/>
      <c r="D1236" s="10"/>
      <c r="G1236" s="30" t="str">
        <f aca="false">IF($C1236="","",IFERROR(IF(INDEX(links!$A$2:$A$501,MATCH($C1236,links!$D$2:$D$501,0))="","",INDEX(links!$A$2:$A$501,MATCH($C1236,links!$D$2:$D$501,0))),""))</f>
        <v/>
      </c>
      <c r="H1236" s="30" t="str">
        <f aca="false">IF($C1236="","",IFERROR(IF(INDEX(links!$B$2:$B$501,MATCH($C1236,links!$D$2:$D$501,0))="","",INDEX(links!$B$2:$B$501,MATCH($C1236,links!$D$2:$D$501,0))),""))</f>
        <v/>
      </c>
      <c r="I1236" s="30" t="str">
        <f aca="false">IF($C1236="","",IFERROR(IF(INDEX(links!$C$2:$C$501,MATCH($C1236,links!$D$2:$D$501,0))="","",INDEX(links!$C$2:$C$501,MATCH($C1236,links!$D$2:$D$501,0))),""))</f>
        <v/>
      </c>
      <c r="J1236" s="30" t="str">
        <f aca="false">IF($C1236="","",IF($G1236="","slug not in links; ","")&amp;IF($D1236="","reading type missing; ","")&amp;IF(COUNTIFS(scans!$C$2:$C$1601,$C1236,scans!$D$2:$D$1601,$D1236)&gt;1,"two readings of this type: keep one; ",""))</f>
        <v/>
      </c>
    </row>
    <row r="1237" customFormat="false" ht="15" hidden="false" customHeight="false" outlineLevel="0" collapsed="false">
      <c r="A1237" s="11"/>
      <c r="B1237" s="38"/>
      <c r="D1237" s="10"/>
      <c r="G1237" s="30" t="str">
        <f aca="false">IF($C1237="","",IFERROR(IF(INDEX(links!$A$2:$A$501,MATCH($C1237,links!$D$2:$D$501,0))="","",INDEX(links!$A$2:$A$501,MATCH($C1237,links!$D$2:$D$501,0))),""))</f>
        <v/>
      </c>
      <c r="H1237" s="30" t="str">
        <f aca="false">IF($C1237="","",IFERROR(IF(INDEX(links!$B$2:$B$501,MATCH($C1237,links!$D$2:$D$501,0))="","",INDEX(links!$B$2:$B$501,MATCH($C1237,links!$D$2:$D$501,0))),""))</f>
        <v/>
      </c>
      <c r="I1237" s="30" t="str">
        <f aca="false">IF($C1237="","",IFERROR(IF(INDEX(links!$C$2:$C$501,MATCH($C1237,links!$D$2:$D$501,0))="","",INDEX(links!$C$2:$C$501,MATCH($C1237,links!$D$2:$D$501,0))),""))</f>
        <v/>
      </c>
      <c r="J1237" s="30" t="str">
        <f aca="false">IF($C1237="","",IF($G1237="","slug not in links; ","")&amp;IF($D1237="","reading type missing; ","")&amp;IF(COUNTIFS(scans!$C$2:$C$1601,$C1237,scans!$D$2:$D$1601,$D1237)&gt;1,"two readings of this type: keep one; ",""))</f>
        <v/>
      </c>
    </row>
    <row r="1238" customFormat="false" ht="15" hidden="false" customHeight="false" outlineLevel="0" collapsed="false">
      <c r="A1238" s="11"/>
      <c r="B1238" s="38"/>
      <c r="D1238" s="10"/>
      <c r="G1238" s="30" t="str">
        <f aca="false">IF($C1238="","",IFERROR(IF(INDEX(links!$A$2:$A$501,MATCH($C1238,links!$D$2:$D$501,0))="","",INDEX(links!$A$2:$A$501,MATCH($C1238,links!$D$2:$D$501,0))),""))</f>
        <v/>
      </c>
      <c r="H1238" s="30" t="str">
        <f aca="false">IF($C1238="","",IFERROR(IF(INDEX(links!$B$2:$B$501,MATCH($C1238,links!$D$2:$D$501,0))="","",INDEX(links!$B$2:$B$501,MATCH($C1238,links!$D$2:$D$501,0))),""))</f>
        <v/>
      </c>
      <c r="I1238" s="30" t="str">
        <f aca="false">IF($C1238="","",IFERROR(IF(INDEX(links!$C$2:$C$501,MATCH($C1238,links!$D$2:$D$501,0))="","",INDEX(links!$C$2:$C$501,MATCH($C1238,links!$D$2:$D$501,0))),""))</f>
        <v/>
      </c>
      <c r="J1238" s="30" t="str">
        <f aca="false">IF($C1238="","",IF($G1238="","slug not in links; ","")&amp;IF($D1238="","reading type missing; ","")&amp;IF(COUNTIFS(scans!$C$2:$C$1601,$C1238,scans!$D$2:$D$1601,$D1238)&gt;1,"two readings of this type: keep one; ",""))</f>
        <v/>
      </c>
    </row>
    <row r="1239" customFormat="false" ht="15" hidden="false" customHeight="false" outlineLevel="0" collapsed="false">
      <c r="A1239" s="11"/>
      <c r="B1239" s="38"/>
      <c r="D1239" s="10"/>
      <c r="G1239" s="30" t="str">
        <f aca="false">IF($C1239="","",IFERROR(IF(INDEX(links!$A$2:$A$501,MATCH($C1239,links!$D$2:$D$501,0))="","",INDEX(links!$A$2:$A$501,MATCH($C1239,links!$D$2:$D$501,0))),""))</f>
        <v/>
      </c>
      <c r="H1239" s="30" t="str">
        <f aca="false">IF($C1239="","",IFERROR(IF(INDEX(links!$B$2:$B$501,MATCH($C1239,links!$D$2:$D$501,0))="","",INDEX(links!$B$2:$B$501,MATCH($C1239,links!$D$2:$D$501,0))),""))</f>
        <v/>
      </c>
      <c r="I1239" s="30" t="str">
        <f aca="false">IF($C1239="","",IFERROR(IF(INDEX(links!$C$2:$C$501,MATCH($C1239,links!$D$2:$D$501,0))="","",INDEX(links!$C$2:$C$501,MATCH($C1239,links!$D$2:$D$501,0))),""))</f>
        <v/>
      </c>
      <c r="J1239" s="30" t="str">
        <f aca="false">IF($C1239="","",IF($G1239="","slug not in links; ","")&amp;IF($D1239="","reading type missing; ","")&amp;IF(COUNTIFS(scans!$C$2:$C$1601,$C1239,scans!$D$2:$D$1601,$D1239)&gt;1,"two readings of this type: keep one; ",""))</f>
        <v/>
      </c>
    </row>
    <row r="1240" customFormat="false" ht="15" hidden="false" customHeight="false" outlineLevel="0" collapsed="false">
      <c r="A1240" s="11"/>
      <c r="B1240" s="38"/>
      <c r="D1240" s="10"/>
      <c r="G1240" s="30" t="str">
        <f aca="false">IF($C1240="","",IFERROR(IF(INDEX(links!$A$2:$A$501,MATCH($C1240,links!$D$2:$D$501,0))="","",INDEX(links!$A$2:$A$501,MATCH($C1240,links!$D$2:$D$501,0))),""))</f>
        <v/>
      </c>
      <c r="H1240" s="30" t="str">
        <f aca="false">IF($C1240="","",IFERROR(IF(INDEX(links!$B$2:$B$501,MATCH($C1240,links!$D$2:$D$501,0))="","",INDEX(links!$B$2:$B$501,MATCH($C1240,links!$D$2:$D$501,0))),""))</f>
        <v/>
      </c>
      <c r="I1240" s="30" t="str">
        <f aca="false">IF($C1240="","",IFERROR(IF(INDEX(links!$C$2:$C$501,MATCH($C1240,links!$D$2:$D$501,0))="","",INDEX(links!$C$2:$C$501,MATCH($C1240,links!$D$2:$D$501,0))),""))</f>
        <v/>
      </c>
      <c r="J1240" s="30" t="str">
        <f aca="false">IF($C1240="","",IF($G1240="","slug not in links; ","")&amp;IF($D1240="","reading type missing; ","")&amp;IF(COUNTIFS(scans!$C$2:$C$1601,$C1240,scans!$D$2:$D$1601,$D1240)&gt;1,"two readings of this type: keep one; ",""))</f>
        <v/>
      </c>
    </row>
    <row r="1241" customFormat="false" ht="15" hidden="false" customHeight="false" outlineLevel="0" collapsed="false">
      <c r="A1241" s="11"/>
      <c r="B1241" s="38"/>
      <c r="D1241" s="10"/>
      <c r="G1241" s="30" t="str">
        <f aca="false">IF($C1241="","",IFERROR(IF(INDEX(links!$A$2:$A$501,MATCH($C1241,links!$D$2:$D$501,0))="","",INDEX(links!$A$2:$A$501,MATCH($C1241,links!$D$2:$D$501,0))),""))</f>
        <v/>
      </c>
      <c r="H1241" s="30" t="str">
        <f aca="false">IF($C1241="","",IFERROR(IF(INDEX(links!$B$2:$B$501,MATCH($C1241,links!$D$2:$D$501,0))="","",INDEX(links!$B$2:$B$501,MATCH($C1241,links!$D$2:$D$501,0))),""))</f>
        <v/>
      </c>
      <c r="I1241" s="30" t="str">
        <f aca="false">IF($C1241="","",IFERROR(IF(INDEX(links!$C$2:$C$501,MATCH($C1241,links!$D$2:$D$501,0))="","",INDEX(links!$C$2:$C$501,MATCH($C1241,links!$D$2:$D$501,0))),""))</f>
        <v/>
      </c>
      <c r="J1241" s="30" t="str">
        <f aca="false">IF($C1241="","",IF($G1241="","slug not in links; ","")&amp;IF($D1241="","reading type missing; ","")&amp;IF(COUNTIFS(scans!$C$2:$C$1601,$C1241,scans!$D$2:$D$1601,$D1241)&gt;1,"two readings of this type: keep one; ",""))</f>
        <v/>
      </c>
    </row>
    <row r="1242" customFormat="false" ht="15" hidden="false" customHeight="false" outlineLevel="0" collapsed="false">
      <c r="A1242" s="11"/>
      <c r="B1242" s="38"/>
      <c r="D1242" s="10"/>
      <c r="G1242" s="30" t="str">
        <f aca="false">IF($C1242="","",IFERROR(IF(INDEX(links!$A$2:$A$501,MATCH($C1242,links!$D$2:$D$501,0))="","",INDEX(links!$A$2:$A$501,MATCH($C1242,links!$D$2:$D$501,0))),""))</f>
        <v/>
      </c>
      <c r="H1242" s="30" t="str">
        <f aca="false">IF($C1242="","",IFERROR(IF(INDEX(links!$B$2:$B$501,MATCH($C1242,links!$D$2:$D$501,0))="","",INDEX(links!$B$2:$B$501,MATCH($C1242,links!$D$2:$D$501,0))),""))</f>
        <v/>
      </c>
      <c r="I1242" s="30" t="str">
        <f aca="false">IF($C1242="","",IFERROR(IF(INDEX(links!$C$2:$C$501,MATCH($C1242,links!$D$2:$D$501,0))="","",INDEX(links!$C$2:$C$501,MATCH($C1242,links!$D$2:$D$501,0))),""))</f>
        <v/>
      </c>
      <c r="J1242" s="30" t="str">
        <f aca="false">IF($C1242="","",IF($G1242="","slug not in links; ","")&amp;IF($D1242="","reading type missing; ","")&amp;IF(COUNTIFS(scans!$C$2:$C$1601,$C1242,scans!$D$2:$D$1601,$D1242)&gt;1,"two readings of this type: keep one; ",""))</f>
        <v/>
      </c>
    </row>
    <row r="1243" customFormat="false" ht="15" hidden="false" customHeight="false" outlineLevel="0" collapsed="false">
      <c r="A1243" s="11"/>
      <c r="B1243" s="38"/>
      <c r="D1243" s="10"/>
      <c r="G1243" s="30" t="str">
        <f aca="false">IF($C1243="","",IFERROR(IF(INDEX(links!$A$2:$A$501,MATCH($C1243,links!$D$2:$D$501,0))="","",INDEX(links!$A$2:$A$501,MATCH($C1243,links!$D$2:$D$501,0))),""))</f>
        <v/>
      </c>
      <c r="H1243" s="30" t="str">
        <f aca="false">IF($C1243="","",IFERROR(IF(INDEX(links!$B$2:$B$501,MATCH($C1243,links!$D$2:$D$501,0))="","",INDEX(links!$B$2:$B$501,MATCH($C1243,links!$D$2:$D$501,0))),""))</f>
        <v/>
      </c>
      <c r="I1243" s="30" t="str">
        <f aca="false">IF($C1243="","",IFERROR(IF(INDEX(links!$C$2:$C$501,MATCH($C1243,links!$D$2:$D$501,0))="","",INDEX(links!$C$2:$C$501,MATCH($C1243,links!$D$2:$D$501,0))),""))</f>
        <v/>
      </c>
      <c r="J1243" s="30" t="str">
        <f aca="false">IF($C1243="","",IF($G1243="","slug not in links; ","")&amp;IF($D1243="","reading type missing; ","")&amp;IF(COUNTIFS(scans!$C$2:$C$1601,$C1243,scans!$D$2:$D$1601,$D1243)&gt;1,"two readings of this type: keep one; ",""))</f>
        <v/>
      </c>
    </row>
    <row r="1244" customFormat="false" ht="15" hidden="false" customHeight="false" outlineLevel="0" collapsed="false">
      <c r="A1244" s="11"/>
      <c r="B1244" s="38"/>
      <c r="D1244" s="10"/>
      <c r="G1244" s="30" t="str">
        <f aca="false">IF($C1244="","",IFERROR(IF(INDEX(links!$A$2:$A$501,MATCH($C1244,links!$D$2:$D$501,0))="","",INDEX(links!$A$2:$A$501,MATCH($C1244,links!$D$2:$D$501,0))),""))</f>
        <v/>
      </c>
      <c r="H1244" s="30" t="str">
        <f aca="false">IF($C1244="","",IFERROR(IF(INDEX(links!$B$2:$B$501,MATCH($C1244,links!$D$2:$D$501,0))="","",INDEX(links!$B$2:$B$501,MATCH($C1244,links!$D$2:$D$501,0))),""))</f>
        <v/>
      </c>
      <c r="I1244" s="30" t="str">
        <f aca="false">IF($C1244="","",IFERROR(IF(INDEX(links!$C$2:$C$501,MATCH($C1244,links!$D$2:$D$501,0))="","",INDEX(links!$C$2:$C$501,MATCH($C1244,links!$D$2:$D$501,0))),""))</f>
        <v/>
      </c>
      <c r="J1244" s="30" t="str">
        <f aca="false">IF($C1244="","",IF($G1244="","slug not in links; ","")&amp;IF($D1244="","reading type missing; ","")&amp;IF(COUNTIFS(scans!$C$2:$C$1601,$C1244,scans!$D$2:$D$1601,$D1244)&gt;1,"two readings of this type: keep one; ",""))</f>
        <v/>
      </c>
    </row>
    <row r="1245" customFormat="false" ht="15" hidden="false" customHeight="false" outlineLevel="0" collapsed="false">
      <c r="A1245" s="11"/>
      <c r="B1245" s="38"/>
      <c r="D1245" s="10"/>
      <c r="G1245" s="30" t="str">
        <f aca="false">IF($C1245="","",IFERROR(IF(INDEX(links!$A$2:$A$501,MATCH($C1245,links!$D$2:$D$501,0))="","",INDEX(links!$A$2:$A$501,MATCH($C1245,links!$D$2:$D$501,0))),""))</f>
        <v/>
      </c>
      <c r="H1245" s="30" t="str">
        <f aca="false">IF($C1245="","",IFERROR(IF(INDEX(links!$B$2:$B$501,MATCH($C1245,links!$D$2:$D$501,0))="","",INDEX(links!$B$2:$B$501,MATCH($C1245,links!$D$2:$D$501,0))),""))</f>
        <v/>
      </c>
      <c r="I1245" s="30" t="str">
        <f aca="false">IF($C1245="","",IFERROR(IF(INDEX(links!$C$2:$C$501,MATCH($C1245,links!$D$2:$D$501,0))="","",INDEX(links!$C$2:$C$501,MATCH($C1245,links!$D$2:$D$501,0))),""))</f>
        <v/>
      </c>
      <c r="J1245" s="30" t="str">
        <f aca="false">IF($C1245="","",IF($G1245="","slug not in links; ","")&amp;IF($D1245="","reading type missing; ","")&amp;IF(COUNTIFS(scans!$C$2:$C$1601,$C1245,scans!$D$2:$D$1601,$D1245)&gt;1,"two readings of this type: keep one; ",""))</f>
        <v/>
      </c>
    </row>
    <row r="1246" customFormat="false" ht="15" hidden="false" customHeight="false" outlineLevel="0" collapsed="false">
      <c r="A1246" s="11"/>
      <c r="B1246" s="38"/>
      <c r="D1246" s="10"/>
      <c r="G1246" s="30" t="str">
        <f aca="false">IF($C1246="","",IFERROR(IF(INDEX(links!$A$2:$A$501,MATCH($C1246,links!$D$2:$D$501,0))="","",INDEX(links!$A$2:$A$501,MATCH($C1246,links!$D$2:$D$501,0))),""))</f>
        <v/>
      </c>
      <c r="H1246" s="30" t="str">
        <f aca="false">IF($C1246="","",IFERROR(IF(INDEX(links!$B$2:$B$501,MATCH($C1246,links!$D$2:$D$501,0))="","",INDEX(links!$B$2:$B$501,MATCH($C1246,links!$D$2:$D$501,0))),""))</f>
        <v/>
      </c>
      <c r="I1246" s="30" t="str">
        <f aca="false">IF($C1246="","",IFERROR(IF(INDEX(links!$C$2:$C$501,MATCH($C1246,links!$D$2:$D$501,0))="","",INDEX(links!$C$2:$C$501,MATCH($C1246,links!$D$2:$D$501,0))),""))</f>
        <v/>
      </c>
      <c r="J1246" s="30" t="str">
        <f aca="false">IF($C1246="","",IF($G1246="","slug not in links; ","")&amp;IF($D1246="","reading type missing; ","")&amp;IF(COUNTIFS(scans!$C$2:$C$1601,$C1246,scans!$D$2:$D$1601,$D1246)&gt;1,"two readings of this type: keep one; ",""))</f>
        <v/>
      </c>
    </row>
    <row r="1247" customFormat="false" ht="15" hidden="false" customHeight="false" outlineLevel="0" collapsed="false">
      <c r="A1247" s="11"/>
      <c r="B1247" s="38"/>
      <c r="D1247" s="10"/>
      <c r="G1247" s="30" t="str">
        <f aca="false">IF($C1247="","",IFERROR(IF(INDEX(links!$A$2:$A$501,MATCH($C1247,links!$D$2:$D$501,0))="","",INDEX(links!$A$2:$A$501,MATCH($C1247,links!$D$2:$D$501,0))),""))</f>
        <v/>
      </c>
      <c r="H1247" s="30" t="str">
        <f aca="false">IF($C1247="","",IFERROR(IF(INDEX(links!$B$2:$B$501,MATCH($C1247,links!$D$2:$D$501,0))="","",INDEX(links!$B$2:$B$501,MATCH($C1247,links!$D$2:$D$501,0))),""))</f>
        <v/>
      </c>
      <c r="I1247" s="30" t="str">
        <f aca="false">IF($C1247="","",IFERROR(IF(INDEX(links!$C$2:$C$501,MATCH($C1247,links!$D$2:$D$501,0))="","",INDEX(links!$C$2:$C$501,MATCH($C1247,links!$D$2:$D$501,0))),""))</f>
        <v/>
      </c>
      <c r="J1247" s="30" t="str">
        <f aca="false">IF($C1247="","",IF($G1247="","slug not in links; ","")&amp;IF($D1247="","reading type missing; ","")&amp;IF(COUNTIFS(scans!$C$2:$C$1601,$C1247,scans!$D$2:$D$1601,$D1247)&gt;1,"two readings of this type: keep one; ",""))</f>
        <v/>
      </c>
    </row>
    <row r="1248" customFormat="false" ht="15" hidden="false" customHeight="false" outlineLevel="0" collapsed="false">
      <c r="A1248" s="11"/>
      <c r="B1248" s="38"/>
      <c r="D1248" s="10"/>
      <c r="G1248" s="30" t="str">
        <f aca="false">IF($C1248="","",IFERROR(IF(INDEX(links!$A$2:$A$501,MATCH($C1248,links!$D$2:$D$501,0))="","",INDEX(links!$A$2:$A$501,MATCH($C1248,links!$D$2:$D$501,0))),""))</f>
        <v/>
      </c>
      <c r="H1248" s="30" t="str">
        <f aca="false">IF($C1248="","",IFERROR(IF(INDEX(links!$B$2:$B$501,MATCH($C1248,links!$D$2:$D$501,0))="","",INDEX(links!$B$2:$B$501,MATCH($C1248,links!$D$2:$D$501,0))),""))</f>
        <v/>
      </c>
      <c r="I1248" s="30" t="str">
        <f aca="false">IF($C1248="","",IFERROR(IF(INDEX(links!$C$2:$C$501,MATCH($C1248,links!$D$2:$D$501,0))="","",INDEX(links!$C$2:$C$501,MATCH($C1248,links!$D$2:$D$501,0))),""))</f>
        <v/>
      </c>
      <c r="J1248" s="30" t="str">
        <f aca="false">IF($C1248="","",IF($G1248="","slug not in links; ","")&amp;IF($D1248="","reading type missing; ","")&amp;IF(COUNTIFS(scans!$C$2:$C$1601,$C1248,scans!$D$2:$D$1601,$D1248)&gt;1,"two readings of this type: keep one; ",""))</f>
        <v/>
      </c>
    </row>
    <row r="1249" customFormat="false" ht="15" hidden="false" customHeight="false" outlineLevel="0" collapsed="false">
      <c r="A1249" s="11"/>
      <c r="B1249" s="38"/>
      <c r="D1249" s="10"/>
      <c r="G1249" s="30" t="str">
        <f aca="false">IF($C1249="","",IFERROR(IF(INDEX(links!$A$2:$A$501,MATCH($C1249,links!$D$2:$D$501,0))="","",INDEX(links!$A$2:$A$501,MATCH($C1249,links!$D$2:$D$501,0))),""))</f>
        <v/>
      </c>
      <c r="H1249" s="30" t="str">
        <f aca="false">IF($C1249="","",IFERROR(IF(INDEX(links!$B$2:$B$501,MATCH($C1249,links!$D$2:$D$501,0))="","",INDEX(links!$B$2:$B$501,MATCH($C1249,links!$D$2:$D$501,0))),""))</f>
        <v/>
      </c>
      <c r="I1249" s="30" t="str">
        <f aca="false">IF($C1249="","",IFERROR(IF(INDEX(links!$C$2:$C$501,MATCH($C1249,links!$D$2:$D$501,0))="","",INDEX(links!$C$2:$C$501,MATCH($C1249,links!$D$2:$D$501,0))),""))</f>
        <v/>
      </c>
      <c r="J1249" s="30" t="str">
        <f aca="false">IF($C1249="","",IF($G1249="","slug not in links; ","")&amp;IF($D1249="","reading type missing; ","")&amp;IF(COUNTIFS(scans!$C$2:$C$1601,$C1249,scans!$D$2:$D$1601,$D1249)&gt;1,"two readings of this type: keep one; ",""))</f>
        <v/>
      </c>
    </row>
    <row r="1250" customFormat="false" ht="15" hidden="false" customHeight="false" outlineLevel="0" collapsed="false">
      <c r="A1250" s="11"/>
      <c r="B1250" s="38"/>
      <c r="D1250" s="10"/>
      <c r="G1250" s="30" t="str">
        <f aca="false">IF($C1250="","",IFERROR(IF(INDEX(links!$A$2:$A$501,MATCH($C1250,links!$D$2:$D$501,0))="","",INDEX(links!$A$2:$A$501,MATCH($C1250,links!$D$2:$D$501,0))),""))</f>
        <v/>
      </c>
      <c r="H1250" s="30" t="str">
        <f aca="false">IF($C1250="","",IFERROR(IF(INDEX(links!$B$2:$B$501,MATCH($C1250,links!$D$2:$D$501,0))="","",INDEX(links!$B$2:$B$501,MATCH($C1250,links!$D$2:$D$501,0))),""))</f>
        <v/>
      </c>
      <c r="I1250" s="30" t="str">
        <f aca="false">IF($C1250="","",IFERROR(IF(INDEX(links!$C$2:$C$501,MATCH($C1250,links!$D$2:$D$501,0))="","",INDEX(links!$C$2:$C$501,MATCH($C1250,links!$D$2:$D$501,0))),""))</f>
        <v/>
      </c>
      <c r="J1250" s="30" t="str">
        <f aca="false">IF($C1250="","",IF($G1250="","slug not in links; ","")&amp;IF($D1250="","reading type missing; ","")&amp;IF(COUNTIFS(scans!$C$2:$C$1601,$C1250,scans!$D$2:$D$1601,$D1250)&gt;1,"two readings of this type: keep one; ",""))</f>
        <v/>
      </c>
    </row>
    <row r="1251" customFormat="false" ht="15" hidden="false" customHeight="false" outlineLevel="0" collapsed="false">
      <c r="A1251" s="11"/>
      <c r="B1251" s="38"/>
      <c r="D1251" s="10"/>
      <c r="G1251" s="30" t="str">
        <f aca="false">IF($C1251="","",IFERROR(IF(INDEX(links!$A$2:$A$501,MATCH($C1251,links!$D$2:$D$501,0))="","",INDEX(links!$A$2:$A$501,MATCH($C1251,links!$D$2:$D$501,0))),""))</f>
        <v/>
      </c>
      <c r="H1251" s="30" t="str">
        <f aca="false">IF($C1251="","",IFERROR(IF(INDEX(links!$B$2:$B$501,MATCH($C1251,links!$D$2:$D$501,0))="","",INDEX(links!$B$2:$B$501,MATCH($C1251,links!$D$2:$D$501,0))),""))</f>
        <v/>
      </c>
      <c r="I1251" s="30" t="str">
        <f aca="false">IF($C1251="","",IFERROR(IF(INDEX(links!$C$2:$C$501,MATCH($C1251,links!$D$2:$D$501,0))="","",INDEX(links!$C$2:$C$501,MATCH($C1251,links!$D$2:$D$501,0))),""))</f>
        <v/>
      </c>
      <c r="J1251" s="30" t="str">
        <f aca="false">IF($C1251="","",IF($G1251="","slug not in links; ","")&amp;IF($D1251="","reading type missing; ","")&amp;IF(COUNTIFS(scans!$C$2:$C$1601,$C1251,scans!$D$2:$D$1601,$D1251)&gt;1,"two readings of this type: keep one; ",""))</f>
        <v/>
      </c>
    </row>
    <row r="1252" customFormat="false" ht="15" hidden="false" customHeight="false" outlineLevel="0" collapsed="false">
      <c r="A1252" s="11"/>
      <c r="B1252" s="38"/>
      <c r="D1252" s="10"/>
      <c r="G1252" s="30" t="str">
        <f aca="false">IF($C1252="","",IFERROR(IF(INDEX(links!$A$2:$A$501,MATCH($C1252,links!$D$2:$D$501,0))="","",INDEX(links!$A$2:$A$501,MATCH($C1252,links!$D$2:$D$501,0))),""))</f>
        <v/>
      </c>
      <c r="H1252" s="30" t="str">
        <f aca="false">IF($C1252="","",IFERROR(IF(INDEX(links!$B$2:$B$501,MATCH($C1252,links!$D$2:$D$501,0))="","",INDEX(links!$B$2:$B$501,MATCH($C1252,links!$D$2:$D$501,0))),""))</f>
        <v/>
      </c>
      <c r="I1252" s="30" t="str">
        <f aca="false">IF($C1252="","",IFERROR(IF(INDEX(links!$C$2:$C$501,MATCH($C1252,links!$D$2:$D$501,0))="","",INDEX(links!$C$2:$C$501,MATCH($C1252,links!$D$2:$D$501,0))),""))</f>
        <v/>
      </c>
      <c r="J1252" s="30" t="str">
        <f aca="false">IF($C1252="","",IF($G1252="","slug not in links; ","")&amp;IF($D1252="","reading type missing; ","")&amp;IF(COUNTIFS(scans!$C$2:$C$1601,$C1252,scans!$D$2:$D$1601,$D1252)&gt;1,"two readings of this type: keep one; ",""))</f>
        <v/>
      </c>
    </row>
    <row r="1253" customFormat="false" ht="15" hidden="false" customHeight="false" outlineLevel="0" collapsed="false">
      <c r="A1253" s="11"/>
      <c r="B1253" s="38"/>
      <c r="D1253" s="10"/>
      <c r="G1253" s="30" t="str">
        <f aca="false">IF($C1253="","",IFERROR(IF(INDEX(links!$A$2:$A$501,MATCH($C1253,links!$D$2:$D$501,0))="","",INDEX(links!$A$2:$A$501,MATCH($C1253,links!$D$2:$D$501,0))),""))</f>
        <v/>
      </c>
      <c r="H1253" s="30" t="str">
        <f aca="false">IF($C1253="","",IFERROR(IF(INDEX(links!$B$2:$B$501,MATCH($C1253,links!$D$2:$D$501,0))="","",INDEX(links!$B$2:$B$501,MATCH($C1253,links!$D$2:$D$501,0))),""))</f>
        <v/>
      </c>
      <c r="I1253" s="30" t="str">
        <f aca="false">IF($C1253="","",IFERROR(IF(INDEX(links!$C$2:$C$501,MATCH($C1253,links!$D$2:$D$501,0))="","",INDEX(links!$C$2:$C$501,MATCH($C1253,links!$D$2:$D$501,0))),""))</f>
        <v/>
      </c>
      <c r="J1253" s="30" t="str">
        <f aca="false">IF($C1253="","",IF($G1253="","slug not in links; ","")&amp;IF($D1253="","reading type missing; ","")&amp;IF(COUNTIFS(scans!$C$2:$C$1601,$C1253,scans!$D$2:$D$1601,$D1253)&gt;1,"two readings of this type: keep one; ",""))</f>
        <v/>
      </c>
    </row>
    <row r="1254" customFormat="false" ht="15" hidden="false" customHeight="false" outlineLevel="0" collapsed="false">
      <c r="A1254" s="11"/>
      <c r="B1254" s="38"/>
      <c r="D1254" s="10"/>
      <c r="G1254" s="30" t="str">
        <f aca="false">IF($C1254="","",IFERROR(IF(INDEX(links!$A$2:$A$501,MATCH($C1254,links!$D$2:$D$501,0))="","",INDEX(links!$A$2:$A$501,MATCH($C1254,links!$D$2:$D$501,0))),""))</f>
        <v/>
      </c>
      <c r="H1254" s="30" t="str">
        <f aca="false">IF($C1254="","",IFERROR(IF(INDEX(links!$B$2:$B$501,MATCH($C1254,links!$D$2:$D$501,0))="","",INDEX(links!$B$2:$B$501,MATCH($C1254,links!$D$2:$D$501,0))),""))</f>
        <v/>
      </c>
      <c r="I1254" s="30" t="str">
        <f aca="false">IF($C1254="","",IFERROR(IF(INDEX(links!$C$2:$C$501,MATCH($C1254,links!$D$2:$D$501,0))="","",INDEX(links!$C$2:$C$501,MATCH($C1254,links!$D$2:$D$501,0))),""))</f>
        <v/>
      </c>
      <c r="J1254" s="30" t="str">
        <f aca="false">IF($C1254="","",IF($G1254="","slug not in links; ","")&amp;IF($D1254="","reading type missing; ","")&amp;IF(COUNTIFS(scans!$C$2:$C$1601,$C1254,scans!$D$2:$D$1601,$D1254)&gt;1,"two readings of this type: keep one; ",""))</f>
        <v/>
      </c>
    </row>
    <row r="1255" customFormat="false" ht="15" hidden="false" customHeight="false" outlineLevel="0" collapsed="false">
      <c r="A1255" s="11"/>
      <c r="B1255" s="38"/>
      <c r="D1255" s="10"/>
      <c r="G1255" s="30" t="str">
        <f aca="false">IF($C1255="","",IFERROR(IF(INDEX(links!$A$2:$A$501,MATCH($C1255,links!$D$2:$D$501,0))="","",INDEX(links!$A$2:$A$501,MATCH($C1255,links!$D$2:$D$501,0))),""))</f>
        <v/>
      </c>
      <c r="H1255" s="30" t="str">
        <f aca="false">IF($C1255="","",IFERROR(IF(INDEX(links!$B$2:$B$501,MATCH($C1255,links!$D$2:$D$501,0))="","",INDEX(links!$B$2:$B$501,MATCH($C1255,links!$D$2:$D$501,0))),""))</f>
        <v/>
      </c>
      <c r="I1255" s="30" t="str">
        <f aca="false">IF($C1255="","",IFERROR(IF(INDEX(links!$C$2:$C$501,MATCH($C1255,links!$D$2:$D$501,0))="","",INDEX(links!$C$2:$C$501,MATCH($C1255,links!$D$2:$D$501,0))),""))</f>
        <v/>
      </c>
      <c r="J1255" s="30" t="str">
        <f aca="false">IF($C1255="","",IF($G1255="","slug not in links; ","")&amp;IF($D1255="","reading type missing; ","")&amp;IF(COUNTIFS(scans!$C$2:$C$1601,$C1255,scans!$D$2:$D$1601,$D1255)&gt;1,"two readings of this type: keep one; ",""))</f>
        <v/>
      </c>
    </row>
    <row r="1256" customFormat="false" ht="15" hidden="false" customHeight="false" outlineLevel="0" collapsed="false">
      <c r="A1256" s="11"/>
      <c r="B1256" s="38"/>
      <c r="D1256" s="10"/>
      <c r="G1256" s="30" t="str">
        <f aca="false">IF($C1256="","",IFERROR(IF(INDEX(links!$A$2:$A$501,MATCH($C1256,links!$D$2:$D$501,0))="","",INDEX(links!$A$2:$A$501,MATCH($C1256,links!$D$2:$D$501,0))),""))</f>
        <v/>
      </c>
      <c r="H1256" s="30" t="str">
        <f aca="false">IF($C1256="","",IFERROR(IF(INDEX(links!$B$2:$B$501,MATCH($C1256,links!$D$2:$D$501,0))="","",INDEX(links!$B$2:$B$501,MATCH($C1256,links!$D$2:$D$501,0))),""))</f>
        <v/>
      </c>
      <c r="I1256" s="30" t="str">
        <f aca="false">IF($C1256="","",IFERROR(IF(INDEX(links!$C$2:$C$501,MATCH($C1256,links!$D$2:$D$501,0))="","",INDEX(links!$C$2:$C$501,MATCH($C1256,links!$D$2:$D$501,0))),""))</f>
        <v/>
      </c>
      <c r="J1256" s="30" t="str">
        <f aca="false">IF($C1256="","",IF($G1256="","slug not in links; ","")&amp;IF($D1256="","reading type missing; ","")&amp;IF(COUNTIFS(scans!$C$2:$C$1601,$C1256,scans!$D$2:$D$1601,$D1256)&gt;1,"two readings of this type: keep one; ",""))</f>
        <v/>
      </c>
    </row>
    <row r="1257" customFormat="false" ht="15" hidden="false" customHeight="false" outlineLevel="0" collapsed="false">
      <c r="A1257" s="11"/>
      <c r="B1257" s="38"/>
      <c r="D1257" s="10"/>
      <c r="G1257" s="30" t="str">
        <f aca="false">IF($C1257="","",IFERROR(IF(INDEX(links!$A$2:$A$501,MATCH($C1257,links!$D$2:$D$501,0))="","",INDEX(links!$A$2:$A$501,MATCH($C1257,links!$D$2:$D$501,0))),""))</f>
        <v/>
      </c>
      <c r="H1257" s="30" t="str">
        <f aca="false">IF($C1257="","",IFERROR(IF(INDEX(links!$B$2:$B$501,MATCH($C1257,links!$D$2:$D$501,0))="","",INDEX(links!$B$2:$B$501,MATCH($C1257,links!$D$2:$D$501,0))),""))</f>
        <v/>
      </c>
      <c r="I1257" s="30" t="str">
        <f aca="false">IF($C1257="","",IFERROR(IF(INDEX(links!$C$2:$C$501,MATCH($C1257,links!$D$2:$D$501,0))="","",INDEX(links!$C$2:$C$501,MATCH($C1257,links!$D$2:$D$501,0))),""))</f>
        <v/>
      </c>
      <c r="J1257" s="30" t="str">
        <f aca="false">IF($C1257="","",IF($G1257="","slug not in links; ","")&amp;IF($D1257="","reading type missing; ","")&amp;IF(COUNTIFS(scans!$C$2:$C$1601,$C1257,scans!$D$2:$D$1601,$D1257)&gt;1,"two readings of this type: keep one; ",""))</f>
        <v/>
      </c>
    </row>
    <row r="1258" customFormat="false" ht="15" hidden="false" customHeight="false" outlineLevel="0" collapsed="false">
      <c r="A1258" s="11"/>
      <c r="B1258" s="38"/>
      <c r="D1258" s="10"/>
      <c r="G1258" s="30" t="str">
        <f aca="false">IF($C1258="","",IFERROR(IF(INDEX(links!$A$2:$A$501,MATCH($C1258,links!$D$2:$D$501,0))="","",INDEX(links!$A$2:$A$501,MATCH($C1258,links!$D$2:$D$501,0))),""))</f>
        <v/>
      </c>
      <c r="H1258" s="30" t="str">
        <f aca="false">IF($C1258="","",IFERROR(IF(INDEX(links!$B$2:$B$501,MATCH($C1258,links!$D$2:$D$501,0))="","",INDEX(links!$B$2:$B$501,MATCH($C1258,links!$D$2:$D$501,0))),""))</f>
        <v/>
      </c>
      <c r="I1258" s="30" t="str">
        <f aca="false">IF($C1258="","",IFERROR(IF(INDEX(links!$C$2:$C$501,MATCH($C1258,links!$D$2:$D$501,0))="","",INDEX(links!$C$2:$C$501,MATCH($C1258,links!$D$2:$D$501,0))),""))</f>
        <v/>
      </c>
      <c r="J1258" s="30" t="str">
        <f aca="false">IF($C1258="","",IF($G1258="","slug not in links; ","")&amp;IF($D1258="","reading type missing; ","")&amp;IF(COUNTIFS(scans!$C$2:$C$1601,$C1258,scans!$D$2:$D$1601,$D1258)&gt;1,"two readings of this type: keep one; ",""))</f>
        <v/>
      </c>
    </row>
    <row r="1259" customFormat="false" ht="15" hidden="false" customHeight="false" outlineLevel="0" collapsed="false">
      <c r="A1259" s="11"/>
      <c r="B1259" s="38"/>
      <c r="D1259" s="10"/>
      <c r="G1259" s="30" t="str">
        <f aca="false">IF($C1259="","",IFERROR(IF(INDEX(links!$A$2:$A$501,MATCH($C1259,links!$D$2:$D$501,0))="","",INDEX(links!$A$2:$A$501,MATCH($C1259,links!$D$2:$D$501,0))),""))</f>
        <v/>
      </c>
      <c r="H1259" s="30" t="str">
        <f aca="false">IF($C1259="","",IFERROR(IF(INDEX(links!$B$2:$B$501,MATCH($C1259,links!$D$2:$D$501,0))="","",INDEX(links!$B$2:$B$501,MATCH($C1259,links!$D$2:$D$501,0))),""))</f>
        <v/>
      </c>
      <c r="I1259" s="30" t="str">
        <f aca="false">IF($C1259="","",IFERROR(IF(INDEX(links!$C$2:$C$501,MATCH($C1259,links!$D$2:$D$501,0))="","",INDEX(links!$C$2:$C$501,MATCH($C1259,links!$D$2:$D$501,0))),""))</f>
        <v/>
      </c>
      <c r="J1259" s="30" t="str">
        <f aca="false">IF($C1259="","",IF($G1259="","slug not in links; ","")&amp;IF($D1259="","reading type missing; ","")&amp;IF(COUNTIFS(scans!$C$2:$C$1601,$C1259,scans!$D$2:$D$1601,$D1259)&gt;1,"two readings of this type: keep one; ",""))</f>
        <v/>
      </c>
    </row>
    <row r="1260" customFormat="false" ht="15" hidden="false" customHeight="false" outlineLevel="0" collapsed="false">
      <c r="A1260" s="11"/>
      <c r="B1260" s="38"/>
      <c r="D1260" s="10"/>
      <c r="G1260" s="30" t="str">
        <f aca="false">IF($C1260="","",IFERROR(IF(INDEX(links!$A$2:$A$501,MATCH($C1260,links!$D$2:$D$501,0))="","",INDEX(links!$A$2:$A$501,MATCH($C1260,links!$D$2:$D$501,0))),""))</f>
        <v/>
      </c>
      <c r="H1260" s="30" t="str">
        <f aca="false">IF($C1260="","",IFERROR(IF(INDEX(links!$B$2:$B$501,MATCH($C1260,links!$D$2:$D$501,0))="","",INDEX(links!$B$2:$B$501,MATCH($C1260,links!$D$2:$D$501,0))),""))</f>
        <v/>
      </c>
      <c r="I1260" s="30" t="str">
        <f aca="false">IF($C1260="","",IFERROR(IF(INDEX(links!$C$2:$C$501,MATCH($C1260,links!$D$2:$D$501,0))="","",INDEX(links!$C$2:$C$501,MATCH($C1260,links!$D$2:$D$501,0))),""))</f>
        <v/>
      </c>
      <c r="J1260" s="30" t="str">
        <f aca="false">IF($C1260="","",IF($G1260="","slug not in links; ","")&amp;IF($D1260="","reading type missing; ","")&amp;IF(COUNTIFS(scans!$C$2:$C$1601,$C1260,scans!$D$2:$D$1601,$D1260)&gt;1,"two readings of this type: keep one; ",""))</f>
        <v/>
      </c>
    </row>
    <row r="1261" customFormat="false" ht="15" hidden="false" customHeight="false" outlineLevel="0" collapsed="false">
      <c r="A1261" s="11"/>
      <c r="B1261" s="38"/>
      <c r="D1261" s="10"/>
      <c r="G1261" s="30" t="str">
        <f aca="false">IF($C1261="","",IFERROR(IF(INDEX(links!$A$2:$A$501,MATCH($C1261,links!$D$2:$D$501,0))="","",INDEX(links!$A$2:$A$501,MATCH($C1261,links!$D$2:$D$501,0))),""))</f>
        <v/>
      </c>
      <c r="H1261" s="30" t="str">
        <f aca="false">IF($C1261="","",IFERROR(IF(INDEX(links!$B$2:$B$501,MATCH($C1261,links!$D$2:$D$501,0))="","",INDEX(links!$B$2:$B$501,MATCH($C1261,links!$D$2:$D$501,0))),""))</f>
        <v/>
      </c>
      <c r="I1261" s="30" t="str">
        <f aca="false">IF($C1261="","",IFERROR(IF(INDEX(links!$C$2:$C$501,MATCH($C1261,links!$D$2:$D$501,0))="","",INDEX(links!$C$2:$C$501,MATCH($C1261,links!$D$2:$D$501,0))),""))</f>
        <v/>
      </c>
      <c r="J1261" s="30" t="str">
        <f aca="false">IF($C1261="","",IF($G1261="","slug not in links; ","")&amp;IF($D1261="","reading type missing; ","")&amp;IF(COUNTIFS(scans!$C$2:$C$1601,$C1261,scans!$D$2:$D$1601,$D1261)&gt;1,"two readings of this type: keep one; ",""))</f>
        <v/>
      </c>
    </row>
    <row r="1262" customFormat="false" ht="15" hidden="false" customHeight="false" outlineLevel="0" collapsed="false">
      <c r="A1262" s="11"/>
      <c r="B1262" s="38"/>
      <c r="D1262" s="10"/>
      <c r="G1262" s="30" t="str">
        <f aca="false">IF($C1262="","",IFERROR(IF(INDEX(links!$A$2:$A$501,MATCH($C1262,links!$D$2:$D$501,0))="","",INDEX(links!$A$2:$A$501,MATCH($C1262,links!$D$2:$D$501,0))),""))</f>
        <v/>
      </c>
      <c r="H1262" s="30" t="str">
        <f aca="false">IF($C1262="","",IFERROR(IF(INDEX(links!$B$2:$B$501,MATCH($C1262,links!$D$2:$D$501,0))="","",INDEX(links!$B$2:$B$501,MATCH($C1262,links!$D$2:$D$501,0))),""))</f>
        <v/>
      </c>
      <c r="I1262" s="30" t="str">
        <f aca="false">IF($C1262="","",IFERROR(IF(INDEX(links!$C$2:$C$501,MATCH($C1262,links!$D$2:$D$501,0))="","",INDEX(links!$C$2:$C$501,MATCH($C1262,links!$D$2:$D$501,0))),""))</f>
        <v/>
      </c>
      <c r="J1262" s="30" t="str">
        <f aca="false">IF($C1262="","",IF($G1262="","slug not in links; ","")&amp;IF($D1262="","reading type missing; ","")&amp;IF(COUNTIFS(scans!$C$2:$C$1601,$C1262,scans!$D$2:$D$1601,$D1262)&gt;1,"two readings of this type: keep one; ",""))</f>
        <v/>
      </c>
    </row>
    <row r="1263" customFormat="false" ht="15" hidden="false" customHeight="false" outlineLevel="0" collapsed="false">
      <c r="A1263" s="11"/>
      <c r="B1263" s="38"/>
      <c r="D1263" s="10"/>
      <c r="G1263" s="30" t="str">
        <f aca="false">IF($C1263="","",IFERROR(IF(INDEX(links!$A$2:$A$501,MATCH($C1263,links!$D$2:$D$501,0))="","",INDEX(links!$A$2:$A$501,MATCH($C1263,links!$D$2:$D$501,0))),""))</f>
        <v/>
      </c>
      <c r="H1263" s="30" t="str">
        <f aca="false">IF($C1263="","",IFERROR(IF(INDEX(links!$B$2:$B$501,MATCH($C1263,links!$D$2:$D$501,0))="","",INDEX(links!$B$2:$B$501,MATCH($C1263,links!$D$2:$D$501,0))),""))</f>
        <v/>
      </c>
      <c r="I1263" s="30" t="str">
        <f aca="false">IF($C1263="","",IFERROR(IF(INDEX(links!$C$2:$C$501,MATCH($C1263,links!$D$2:$D$501,0))="","",INDEX(links!$C$2:$C$501,MATCH($C1263,links!$D$2:$D$501,0))),""))</f>
        <v/>
      </c>
      <c r="J1263" s="30" t="str">
        <f aca="false">IF($C1263="","",IF($G1263="","slug not in links; ","")&amp;IF($D1263="","reading type missing; ","")&amp;IF(COUNTIFS(scans!$C$2:$C$1601,$C1263,scans!$D$2:$D$1601,$D1263)&gt;1,"two readings of this type: keep one; ",""))</f>
        <v/>
      </c>
    </row>
    <row r="1264" customFormat="false" ht="15" hidden="false" customHeight="false" outlineLevel="0" collapsed="false">
      <c r="A1264" s="11"/>
      <c r="B1264" s="38"/>
      <c r="D1264" s="10"/>
      <c r="G1264" s="30" t="str">
        <f aca="false">IF($C1264="","",IFERROR(IF(INDEX(links!$A$2:$A$501,MATCH($C1264,links!$D$2:$D$501,0))="","",INDEX(links!$A$2:$A$501,MATCH($C1264,links!$D$2:$D$501,0))),""))</f>
        <v/>
      </c>
      <c r="H1264" s="30" t="str">
        <f aca="false">IF($C1264="","",IFERROR(IF(INDEX(links!$B$2:$B$501,MATCH($C1264,links!$D$2:$D$501,0))="","",INDEX(links!$B$2:$B$501,MATCH($C1264,links!$D$2:$D$501,0))),""))</f>
        <v/>
      </c>
      <c r="I1264" s="30" t="str">
        <f aca="false">IF($C1264="","",IFERROR(IF(INDEX(links!$C$2:$C$501,MATCH($C1264,links!$D$2:$D$501,0))="","",INDEX(links!$C$2:$C$501,MATCH($C1264,links!$D$2:$D$501,0))),""))</f>
        <v/>
      </c>
      <c r="J1264" s="30" t="str">
        <f aca="false">IF($C1264="","",IF($G1264="","slug not in links; ","")&amp;IF($D1264="","reading type missing; ","")&amp;IF(COUNTIFS(scans!$C$2:$C$1601,$C1264,scans!$D$2:$D$1601,$D1264)&gt;1,"two readings of this type: keep one; ",""))</f>
        <v/>
      </c>
    </row>
    <row r="1265" customFormat="false" ht="15" hidden="false" customHeight="false" outlineLevel="0" collapsed="false">
      <c r="A1265" s="11"/>
      <c r="B1265" s="38"/>
      <c r="D1265" s="10"/>
      <c r="G1265" s="30" t="str">
        <f aca="false">IF($C1265="","",IFERROR(IF(INDEX(links!$A$2:$A$501,MATCH($C1265,links!$D$2:$D$501,0))="","",INDEX(links!$A$2:$A$501,MATCH($C1265,links!$D$2:$D$501,0))),""))</f>
        <v/>
      </c>
      <c r="H1265" s="30" t="str">
        <f aca="false">IF($C1265="","",IFERROR(IF(INDEX(links!$B$2:$B$501,MATCH($C1265,links!$D$2:$D$501,0))="","",INDEX(links!$B$2:$B$501,MATCH($C1265,links!$D$2:$D$501,0))),""))</f>
        <v/>
      </c>
      <c r="I1265" s="30" t="str">
        <f aca="false">IF($C1265="","",IFERROR(IF(INDEX(links!$C$2:$C$501,MATCH($C1265,links!$D$2:$D$501,0))="","",INDEX(links!$C$2:$C$501,MATCH($C1265,links!$D$2:$D$501,0))),""))</f>
        <v/>
      </c>
      <c r="J1265" s="30" t="str">
        <f aca="false">IF($C1265="","",IF($G1265="","slug not in links; ","")&amp;IF($D1265="","reading type missing; ","")&amp;IF(COUNTIFS(scans!$C$2:$C$1601,$C1265,scans!$D$2:$D$1601,$D1265)&gt;1,"two readings of this type: keep one; ",""))</f>
        <v/>
      </c>
    </row>
    <row r="1266" customFormat="false" ht="15" hidden="false" customHeight="false" outlineLevel="0" collapsed="false">
      <c r="A1266" s="11"/>
      <c r="B1266" s="38"/>
      <c r="D1266" s="10"/>
      <c r="G1266" s="30" t="str">
        <f aca="false">IF($C1266="","",IFERROR(IF(INDEX(links!$A$2:$A$501,MATCH($C1266,links!$D$2:$D$501,0))="","",INDEX(links!$A$2:$A$501,MATCH($C1266,links!$D$2:$D$501,0))),""))</f>
        <v/>
      </c>
      <c r="H1266" s="30" t="str">
        <f aca="false">IF($C1266="","",IFERROR(IF(INDEX(links!$B$2:$B$501,MATCH($C1266,links!$D$2:$D$501,0))="","",INDEX(links!$B$2:$B$501,MATCH($C1266,links!$D$2:$D$501,0))),""))</f>
        <v/>
      </c>
      <c r="I1266" s="30" t="str">
        <f aca="false">IF($C1266="","",IFERROR(IF(INDEX(links!$C$2:$C$501,MATCH($C1266,links!$D$2:$D$501,0))="","",INDEX(links!$C$2:$C$501,MATCH($C1266,links!$D$2:$D$501,0))),""))</f>
        <v/>
      </c>
      <c r="J1266" s="30" t="str">
        <f aca="false">IF($C1266="","",IF($G1266="","slug not in links; ","")&amp;IF($D1266="","reading type missing; ","")&amp;IF(COUNTIFS(scans!$C$2:$C$1601,$C1266,scans!$D$2:$D$1601,$D1266)&gt;1,"two readings of this type: keep one; ",""))</f>
        <v/>
      </c>
    </row>
    <row r="1267" customFormat="false" ht="15" hidden="false" customHeight="false" outlineLevel="0" collapsed="false">
      <c r="A1267" s="11"/>
      <c r="B1267" s="38"/>
      <c r="D1267" s="10"/>
      <c r="G1267" s="30" t="str">
        <f aca="false">IF($C1267="","",IFERROR(IF(INDEX(links!$A$2:$A$501,MATCH($C1267,links!$D$2:$D$501,0))="","",INDEX(links!$A$2:$A$501,MATCH($C1267,links!$D$2:$D$501,0))),""))</f>
        <v/>
      </c>
      <c r="H1267" s="30" t="str">
        <f aca="false">IF($C1267="","",IFERROR(IF(INDEX(links!$B$2:$B$501,MATCH($C1267,links!$D$2:$D$501,0))="","",INDEX(links!$B$2:$B$501,MATCH($C1267,links!$D$2:$D$501,0))),""))</f>
        <v/>
      </c>
      <c r="I1267" s="30" t="str">
        <f aca="false">IF($C1267="","",IFERROR(IF(INDEX(links!$C$2:$C$501,MATCH($C1267,links!$D$2:$D$501,0))="","",INDEX(links!$C$2:$C$501,MATCH($C1267,links!$D$2:$D$501,0))),""))</f>
        <v/>
      </c>
      <c r="J1267" s="30" t="str">
        <f aca="false">IF($C1267="","",IF($G1267="","slug not in links; ","")&amp;IF($D1267="","reading type missing; ","")&amp;IF(COUNTIFS(scans!$C$2:$C$1601,$C1267,scans!$D$2:$D$1601,$D1267)&gt;1,"two readings of this type: keep one; ",""))</f>
        <v/>
      </c>
    </row>
    <row r="1268" customFormat="false" ht="15" hidden="false" customHeight="false" outlineLevel="0" collapsed="false">
      <c r="A1268" s="11"/>
      <c r="B1268" s="38"/>
      <c r="D1268" s="10"/>
      <c r="G1268" s="30" t="str">
        <f aca="false">IF($C1268="","",IFERROR(IF(INDEX(links!$A$2:$A$501,MATCH($C1268,links!$D$2:$D$501,0))="","",INDEX(links!$A$2:$A$501,MATCH($C1268,links!$D$2:$D$501,0))),""))</f>
        <v/>
      </c>
      <c r="H1268" s="30" t="str">
        <f aca="false">IF($C1268="","",IFERROR(IF(INDEX(links!$B$2:$B$501,MATCH($C1268,links!$D$2:$D$501,0))="","",INDEX(links!$B$2:$B$501,MATCH($C1268,links!$D$2:$D$501,0))),""))</f>
        <v/>
      </c>
      <c r="I1268" s="30" t="str">
        <f aca="false">IF($C1268="","",IFERROR(IF(INDEX(links!$C$2:$C$501,MATCH($C1268,links!$D$2:$D$501,0))="","",INDEX(links!$C$2:$C$501,MATCH($C1268,links!$D$2:$D$501,0))),""))</f>
        <v/>
      </c>
      <c r="J1268" s="30" t="str">
        <f aca="false">IF($C1268="","",IF($G1268="","slug not in links; ","")&amp;IF($D1268="","reading type missing; ","")&amp;IF(COUNTIFS(scans!$C$2:$C$1601,$C1268,scans!$D$2:$D$1601,$D1268)&gt;1,"two readings of this type: keep one; ",""))</f>
        <v/>
      </c>
    </row>
    <row r="1269" customFormat="false" ht="15" hidden="false" customHeight="false" outlineLevel="0" collapsed="false">
      <c r="A1269" s="11"/>
      <c r="B1269" s="38"/>
      <c r="D1269" s="10"/>
      <c r="G1269" s="30" t="str">
        <f aca="false">IF($C1269="","",IFERROR(IF(INDEX(links!$A$2:$A$501,MATCH($C1269,links!$D$2:$D$501,0))="","",INDEX(links!$A$2:$A$501,MATCH($C1269,links!$D$2:$D$501,0))),""))</f>
        <v/>
      </c>
      <c r="H1269" s="30" t="str">
        <f aca="false">IF($C1269="","",IFERROR(IF(INDEX(links!$B$2:$B$501,MATCH($C1269,links!$D$2:$D$501,0))="","",INDEX(links!$B$2:$B$501,MATCH($C1269,links!$D$2:$D$501,0))),""))</f>
        <v/>
      </c>
      <c r="I1269" s="30" t="str">
        <f aca="false">IF($C1269="","",IFERROR(IF(INDEX(links!$C$2:$C$501,MATCH($C1269,links!$D$2:$D$501,0))="","",INDEX(links!$C$2:$C$501,MATCH($C1269,links!$D$2:$D$501,0))),""))</f>
        <v/>
      </c>
      <c r="J1269" s="30" t="str">
        <f aca="false">IF($C1269="","",IF($G1269="","slug not in links; ","")&amp;IF($D1269="","reading type missing; ","")&amp;IF(COUNTIFS(scans!$C$2:$C$1601,$C1269,scans!$D$2:$D$1601,$D1269)&gt;1,"two readings of this type: keep one; ",""))</f>
        <v/>
      </c>
    </row>
    <row r="1270" customFormat="false" ht="15" hidden="false" customHeight="false" outlineLevel="0" collapsed="false">
      <c r="A1270" s="11"/>
      <c r="B1270" s="38"/>
      <c r="D1270" s="10"/>
      <c r="G1270" s="30" t="str">
        <f aca="false">IF($C1270="","",IFERROR(IF(INDEX(links!$A$2:$A$501,MATCH($C1270,links!$D$2:$D$501,0))="","",INDEX(links!$A$2:$A$501,MATCH($C1270,links!$D$2:$D$501,0))),""))</f>
        <v/>
      </c>
      <c r="H1270" s="30" t="str">
        <f aca="false">IF($C1270="","",IFERROR(IF(INDEX(links!$B$2:$B$501,MATCH($C1270,links!$D$2:$D$501,0))="","",INDEX(links!$B$2:$B$501,MATCH($C1270,links!$D$2:$D$501,0))),""))</f>
        <v/>
      </c>
      <c r="I1270" s="30" t="str">
        <f aca="false">IF($C1270="","",IFERROR(IF(INDEX(links!$C$2:$C$501,MATCH($C1270,links!$D$2:$D$501,0))="","",INDEX(links!$C$2:$C$501,MATCH($C1270,links!$D$2:$D$501,0))),""))</f>
        <v/>
      </c>
      <c r="J1270" s="30" t="str">
        <f aca="false">IF($C1270="","",IF($G1270="","slug not in links; ","")&amp;IF($D1270="","reading type missing; ","")&amp;IF(COUNTIFS(scans!$C$2:$C$1601,$C1270,scans!$D$2:$D$1601,$D1270)&gt;1,"two readings of this type: keep one; ",""))</f>
        <v/>
      </c>
    </row>
    <row r="1271" customFormat="false" ht="15" hidden="false" customHeight="false" outlineLevel="0" collapsed="false">
      <c r="A1271" s="11"/>
      <c r="B1271" s="38"/>
      <c r="D1271" s="10"/>
      <c r="G1271" s="30" t="str">
        <f aca="false">IF($C1271="","",IFERROR(IF(INDEX(links!$A$2:$A$501,MATCH($C1271,links!$D$2:$D$501,0))="","",INDEX(links!$A$2:$A$501,MATCH($C1271,links!$D$2:$D$501,0))),""))</f>
        <v/>
      </c>
      <c r="H1271" s="30" t="str">
        <f aca="false">IF($C1271="","",IFERROR(IF(INDEX(links!$B$2:$B$501,MATCH($C1271,links!$D$2:$D$501,0))="","",INDEX(links!$B$2:$B$501,MATCH($C1271,links!$D$2:$D$501,0))),""))</f>
        <v/>
      </c>
      <c r="I1271" s="30" t="str">
        <f aca="false">IF($C1271="","",IFERROR(IF(INDEX(links!$C$2:$C$501,MATCH($C1271,links!$D$2:$D$501,0))="","",INDEX(links!$C$2:$C$501,MATCH($C1271,links!$D$2:$D$501,0))),""))</f>
        <v/>
      </c>
      <c r="J1271" s="30" t="str">
        <f aca="false">IF($C1271="","",IF($G1271="","slug not in links; ","")&amp;IF($D1271="","reading type missing; ","")&amp;IF(COUNTIFS(scans!$C$2:$C$1601,$C1271,scans!$D$2:$D$1601,$D1271)&gt;1,"two readings of this type: keep one; ",""))</f>
        <v/>
      </c>
    </row>
    <row r="1272" customFormat="false" ht="15" hidden="false" customHeight="false" outlineLevel="0" collapsed="false">
      <c r="A1272" s="11"/>
      <c r="B1272" s="38"/>
      <c r="D1272" s="10"/>
      <c r="G1272" s="30" t="str">
        <f aca="false">IF($C1272="","",IFERROR(IF(INDEX(links!$A$2:$A$501,MATCH($C1272,links!$D$2:$D$501,0))="","",INDEX(links!$A$2:$A$501,MATCH($C1272,links!$D$2:$D$501,0))),""))</f>
        <v/>
      </c>
      <c r="H1272" s="30" t="str">
        <f aca="false">IF($C1272="","",IFERROR(IF(INDEX(links!$B$2:$B$501,MATCH($C1272,links!$D$2:$D$501,0))="","",INDEX(links!$B$2:$B$501,MATCH($C1272,links!$D$2:$D$501,0))),""))</f>
        <v/>
      </c>
      <c r="I1272" s="30" t="str">
        <f aca="false">IF($C1272="","",IFERROR(IF(INDEX(links!$C$2:$C$501,MATCH($C1272,links!$D$2:$D$501,0))="","",INDEX(links!$C$2:$C$501,MATCH($C1272,links!$D$2:$D$501,0))),""))</f>
        <v/>
      </c>
      <c r="J1272" s="30" t="str">
        <f aca="false">IF($C1272="","",IF($G1272="","slug not in links; ","")&amp;IF($D1272="","reading type missing; ","")&amp;IF(COUNTIFS(scans!$C$2:$C$1601,$C1272,scans!$D$2:$D$1601,$D1272)&gt;1,"two readings of this type: keep one; ",""))</f>
        <v/>
      </c>
    </row>
    <row r="1273" customFormat="false" ht="15" hidden="false" customHeight="false" outlineLevel="0" collapsed="false">
      <c r="A1273" s="11"/>
      <c r="B1273" s="38"/>
      <c r="D1273" s="10"/>
      <c r="G1273" s="30" t="str">
        <f aca="false">IF($C1273="","",IFERROR(IF(INDEX(links!$A$2:$A$501,MATCH($C1273,links!$D$2:$D$501,0))="","",INDEX(links!$A$2:$A$501,MATCH($C1273,links!$D$2:$D$501,0))),""))</f>
        <v/>
      </c>
      <c r="H1273" s="30" t="str">
        <f aca="false">IF($C1273="","",IFERROR(IF(INDEX(links!$B$2:$B$501,MATCH($C1273,links!$D$2:$D$501,0))="","",INDEX(links!$B$2:$B$501,MATCH($C1273,links!$D$2:$D$501,0))),""))</f>
        <v/>
      </c>
      <c r="I1273" s="30" t="str">
        <f aca="false">IF($C1273="","",IFERROR(IF(INDEX(links!$C$2:$C$501,MATCH($C1273,links!$D$2:$D$501,0))="","",INDEX(links!$C$2:$C$501,MATCH($C1273,links!$D$2:$D$501,0))),""))</f>
        <v/>
      </c>
      <c r="J1273" s="30" t="str">
        <f aca="false">IF($C1273="","",IF($G1273="","slug not in links; ","")&amp;IF($D1273="","reading type missing; ","")&amp;IF(COUNTIFS(scans!$C$2:$C$1601,$C1273,scans!$D$2:$D$1601,$D1273)&gt;1,"two readings of this type: keep one; ",""))</f>
        <v/>
      </c>
    </row>
    <row r="1274" customFormat="false" ht="15" hidden="false" customHeight="false" outlineLevel="0" collapsed="false">
      <c r="A1274" s="11"/>
      <c r="B1274" s="38"/>
      <c r="D1274" s="10"/>
      <c r="G1274" s="30" t="str">
        <f aca="false">IF($C1274="","",IFERROR(IF(INDEX(links!$A$2:$A$501,MATCH($C1274,links!$D$2:$D$501,0))="","",INDEX(links!$A$2:$A$501,MATCH($C1274,links!$D$2:$D$501,0))),""))</f>
        <v/>
      </c>
      <c r="H1274" s="30" t="str">
        <f aca="false">IF($C1274="","",IFERROR(IF(INDEX(links!$B$2:$B$501,MATCH($C1274,links!$D$2:$D$501,0))="","",INDEX(links!$B$2:$B$501,MATCH($C1274,links!$D$2:$D$501,0))),""))</f>
        <v/>
      </c>
      <c r="I1274" s="30" t="str">
        <f aca="false">IF($C1274="","",IFERROR(IF(INDEX(links!$C$2:$C$501,MATCH($C1274,links!$D$2:$D$501,0))="","",INDEX(links!$C$2:$C$501,MATCH($C1274,links!$D$2:$D$501,0))),""))</f>
        <v/>
      </c>
      <c r="J1274" s="30" t="str">
        <f aca="false">IF($C1274="","",IF($G1274="","slug not in links; ","")&amp;IF($D1274="","reading type missing; ","")&amp;IF(COUNTIFS(scans!$C$2:$C$1601,$C1274,scans!$D$2:$D$1601,$D1274)&gt;1,"two readings of this type: keep one; ",""))</f>
        <v/>
      </c>
    </row>
    <row r="1275" customFormat="false" ht="15" hidden="false" customHeight="false" outlineLevel="0" collapsed="false">
      <c r="A1275" s="11"/>
      <c r="B1275" s="38"/>
      <c r="D1275" s="10"/>
      <c r="G1275" s="30" t="str">
        <f aca="false">IF($C1275="","",IFERROR(IF(INDEX(links!$A$2:$A$501,MATCH($C1275,links!$D$2:$D$501,0))="","",INDEX(links!$A$2:$A$501,MATCH($C1275,links!$D$2:$D$501,0))),""))</f>
        <v/>
      </c>
      <c r="H1275" s="30" t="str">
        <f aca="false">IF($C1275="","",IFERROR(IF(INDEX(links!$B$2:$B$501,MATCH($C1275,links!$D$2:$D$501,0))="","",INDEX(links!$B$2:$B$501,MATCH($C1275,links!$D$2:$D$501,0))),""))</f>
        <v/>
      </c>
      <c r="I1275" s="30" t="str">
        <f aca="false">IF($C1275="","",IFERROR(IF(INDEX(links!$C$2:$C$501,MATCH($C1275,links!$D$2:$D$501,0))="","",INDEX(links!$C$2:$C$501,MATCH($C1275,links!$D$2:$D$501,0))),""))</f>
        <v/>
      </c>
      <c r="J1275" s="30" t="str">
        <f aca="false">IF($C1275="","",IF($G1275="","slug not in links; ","")&amp;IF($D1275="","reading type missing; ","")&amp;IF(COUNTIFS(scans!$C$2:$C$1601,$C1275,scans!$D$2:$D$1601,$D1275)&gt;1,"two readings of this type: keep one; ",""))</f>
        <v/>
      </c>
    </row>
    <row r="1276" customFormat="false" ht="15" hidden="false" customHeight="false" outlineLevel="0" collapsed="false">
      <c r="A1276" s="11"/>
      <c r="B1276" s="38"/>
      <c r="D1276" s="10"/>
      <c r="G1276" s="30" t="str">
        <f aca="false">IF($C1276="","",IFERROR(IF(INDEX(links!$A$2:$A$501,MATCH($C1276,links!$D$2:$D$501,0))="","",INDEX(links!$A$2:$A$501,MATCH($C1276,links!$D$2:$D$501,0))),""))</f>
        <v/>
      </c>
      <c r="H1276" s="30" t="str">
        <f aca="false">IF($C1276="","",IFERROR(IF(INDEX(links!$B$2:$B$501,MATCH($C1276,links!$D$2:$D$501,0))="","",INDEX(links!$B$2:$B$501,MATCH($C1276,links!$D$2:$D$501,0))),""))</f>
        <v/>
      </c>
      <c r="I1276" s="30" t="str">
        <f aca="false">IF($C1276="","",IFERROR(IF(INDEX(links!$C$2:$C$501,MATCH($C1276,links!$D$2:$D$501,0))="","",INDEX(links!$C$2:$C$501,MATCH($C1276,links!$D$2:$D$501,0))),""))</f>
        <v/>
      </c>
      <c r="J1276" s="30" t="str">
        <f aca="false">IF($C1276="","",IF($G1276="","slug not in links; ","")&amp;IF($D1276="","reading type missing; ","")&amp;IF(COUNTIFS(scans!$C$2:$C$1601,$C1276,scans!$D$2:$D$1601,$D1276)&gt;1,"two readings of this type: keep one; ",""))</f>
        <v/>
      </c>
    </row>
    <row r="1277" customFormat="false" ht="15" hidden="false" customHeight="false" outlineLevel="0" collapsed="false">
      <c r="A1277" s="11"/>
      <c r="B1277" s="38"/>
      <c r="D1277" s="10"/>
      <c r="G1277" s="30" t="str">
        <f aca="false">IF($C1277="","",IFERROR(IF(INDEX(links!$A$2:$A$501,MATCH($C1277,links!$D$2:$D$501,0))="","",INDEX(links!$A$2:$A$501,MATCH($C1277,links!$D$2:$D$501,0))),""))</f>
        <v/>
      </c>
      <c r="H1277" s="30" t="str">
        <f aca="false">IF($C1277="","",IFERROR(IF(INDEX(links!$B$2:$B$501,MATCH($C1277,links!$D$2:$D$501,0))="","",INDEX(links!$B$2:$B$501,MATCH($C1277,links!$D$2:$D$501,0))),""))</f>
        <v/>
      </c>
      <c r="I1277" s="30" t="str">
        <f aca="false">IF($C1277="","",IFERROR(IF(INDEX(links!$C$2:$C$501,MATCH($C1277,links!$D$2:$D$501,0))="","",INDEX(links!$C$2:$C$501,MATCH($C1277,links!$D$2:$D$501,0))),""))</f>
        <v/>
      </c>
      <c r="J1277" s="30" t="str">
        <f aca="false">IF($C1277="","",IF($G1277="","slug not in links; ","")&amp;IF($D1277="","reading type missing; ","")&amp;IF(COUNTIFS(scans!$C$2:$C$1601,$C1277,scans!$D$2:$D$1601,$D1277)&gt;1,"two readings of this type: keep one; ",""))</f>
        <v/>
      </c>
    </row>
    <row r="1278" customFormat="false" ht="15" hidden="false" customHeight="false" outlineLevel="0" collapsed="false">
      <c r="A1278" s="11"/>
      <c r="B1278" s="38"/>
      <c r="D1278" s="10"/>
      <c r="G1278" s="30" t="str">
        <f aca="false">IF($C1278="","",IFERROR(IF(INDEX(links!$A$2:$A$501,MATCH($C1278,links!$D$2:$D$501,0))="","",INDEX(links!$A$2:$A$501,MATCH($C1278,links!$D$2:$D$501,0))),""))</f>
        <v/>
      </c>
      <c r="H1278" s="30" t="str">
        <f aca="false">IF($C1278="","",IFERROR(IF(INDEX(links!$B$2:$B$501,MATCH($C1278,links!$D$2:$D$501,0))="","",INDEX(links!$B$2:$B$501,MATCH($C1278,links!$D$2:$D$501,0))),""))</f>
        <v/>
      </c>
      <c r="I1278" s="30" t="str">
        <f aca="false">IF($C1278="","",IFERROR(IF(INDEX(links!$C$2:$C$501,MATCH($C1278,links!$D$2:$D$501,0))="","",INDEX(links!$C$2:$C$501,MATCH($C1278,links!$D$2:$D$501,0))),""))</f>
        <v/>
      </c>
      <c r="J1278" s="30" t="str">
        <f aca="false">IF($C1278="","",IF($G1278="","slug not in links; ","")&amp;IF($D1278="","reading type missing; ","")&amp;IF(COUNTIFS(scans!$C$2:$C$1601,$C1278,scans!$D$2:$D$1601,$D1278)&gt;1,"two readings of this type: keep one; ",""))</f>
        <v/>
      </c>
    </row>
    <row r="1279" customFormat="false" ht="15" hidden="false" customHeight="false" outlineLevel="0" collapsed="false">
      <c r="A1279" s="11"/>
      <c r="B1279" s="38"/>
      <c r="D1279" s="10"/>
      <c r="G1279" s="30" t="str">
        <f aca="false">IF($C1279="","",IFERROR(IF(INDEX(links!$A$2:$A$501,MATCH($C1279,links!$D$2:$D$501,0))="","",INDEX(links!$A$2:$A$501,MATCH($C1279,links!$D$2:$D$501,0))),""))</f>
        <v/>
      </c>
      <c r="H1279" s="30" t="str">
        <f aca="false">IF($C1279="","",IFERROR(IF(INDEX(links!$B$2:$B$501,MATCH($C1279,links!$D$2:$D$501,0))="","",INDEX(links!$B$2:$B$501,MATCH($C1279,links!$D$2:$D$501,0))),""))</f>
        <v/>
      </c>
      <c r="I1279" s="30" t="str">
        <f aca="false">IF($C1279="","",IFERROR(IF(INDEX(links!$C$2:$C$501,MATCH($C1279,links!$D$2:$D$501,0))="","",INDEX(links!$C$2:$C$501,MATCH($C1279,links!$D$2:$D$501,0))),""))</f>
        <v/>
      </c>
      <c r="J1279" s="30" t="str">
        <f aca="false">IF($C1279="","",IF($G1279="","slug not in links; ","")&amp;IF($D1279="","reading type missing; ","")&amp;IF(COUNTIFS(scans!$C$2:$C$1601,$C1279,scans!$D$2:$D$1601,$D1279)&gt;1,"two readings of this type: keep one; ",""))</f>
        <v/>
      </c>
    </row>
    <row r="1280" customFormat="false" ht="15" hidden="false" customHeight="false" outlineLevel="0" collapsed="false">
      <c r="A1280" s="11"/>
      <c r="B1280" s="38"/>
      <c r="D1280" s="10"/>
      <c r="G1280" s="30" t="str">
        <f aca="false">IF($C1280="","",IFERROR(IF(INDEX(links!$A$2:$A$501,MATCH($C1280,links!$D$2:$D$501,0))="","",INDEX(links!$A$2:$A$501,MATCH($C1280,links!$D$2:$D$501,0))),""))</f>
        <v/>
      </c>
      <c r="H1280" s="30" t="str">
        <f aca="false">IF($C1280="","",IFERROR(IF(INDEX(links!$B$2:$B$501,MATCH($C1280,links!$D$2:$D$501,0))="","",INDEX(links!$B$2:$B$501,MATCH($C1280,links!$D$2:$D$501,0))),""))</f>
        <v/>
      </c>
      <c r="I1280" s="30" t="str">
        <f aca="false">IF($C1280="","",IFERROR(IF(INDEX(links!$C$2:$C$501,MATCH($C1280,links!$D$2:$D$501,0))="","",INDEX(links!$C$2:$C$501,MATCH($C1280,links!$D$2:$D$501,0))),""))</f>
        <v/>
      </c>
      <c r="J1280" s="30" t="str">
        <f aca="false">IF($C1280="","",IF($G1280="","slug not in links; ","")&amp;IF($D1280="","reading type missing; ","")&amp;IF(COUNTIFS(scans!$C$2:$C$1601,$C1280,scans!$D$2:$D$1601,$D1280)&gt;1,"two readings of this type: keep one; ",""))</f>
        <v/>
      </c>
    </row>
    <row r="1281" customFormat="false" ht="15" hidden="false" customHeight="false" outlineLevel="0" collapsed="false">
      <c r="A1281" s="11"/>
      <c r="B1281" s="38"/>
      <c r="D1281" s="10"/>
      <c r="G1281" s="30" t="str">
        <f aca="false">IF($C1281="","",IFERROR(IF(INDEX(links!$A$2:$A$501,MATCH($C1281,links!$D$2:$D$501,0))="","",INDEX(links!$A$2:$A$501,MATCH($C1281,links!$D$2:$D$501,0))),""))</f>
        <v/>
      </c>
      <c r="H1281" s="30" t="str">
        <f aca="false">IF($C1281="","",IFERROR(IF(INDEX(links!$B$2:$B$501,MATCH($C1281,links!$D$2:$D$501,0))="","",INDEX(links!$B$2:$B$501,MATCH($C1281,links!$D$2:$D$501,0))),""))</f>
        <v/>
      </c>
      <c r="I1281" s="30" t="str">
        <f aca="false">IF($C1281="","",IFERROR(IF(INDEX(links!$C$2:$C$501,MATCH($C1281,links!$D$2:$D$501,0))="","",INDEX(links!$C$2:$C$501,MATCH($C1281,links!$D$2:$D$501,0))),""))</f>
        <v/>
      </c>
      <c r="J1281" s="30" t="str">
        <f aca="false">IF($C1281="","",IF($G1281="","slug not in links; ","")&amp;IF($D1281="","reading type missing; ","")&amp;IF(COUNTIFS(scans!$C$2:$C$1601,$C1281,scans!$D$2:$D$1601,$D1281)&gt;1,"two readings of this type: keep one; ",""))</f>
        <v/>
      </c>
    </row>
    <row r="1282" customFormat="false" ht="15" hidden="false" customHeight="false" outlineLevel="0" collapsed="false">
      <c r="A1282" s="11"/>
      <c r="B1282" s="38"/>
      <c r="D1282" s="10"/>
      <c r="G1282" s="30" t="str">
        <f aca="false">IF($C1282="","",IFERROR(IF(INDEX(links!$A$2:$A$501,MATCH($C1282,links!$D$2:$D$501,0))="","",INDEX(links!$A$2:$A$501,MATCH($C1282,links!$D$2:$D$501,0))),""))</f>
        <v/>
      </c>
      <c r="H1282" s="30" t="str">
        <f aca="false">IF($C1282="","",IFERROR(IF(INDEX(links!$B$2:$B$501,MATCH($C1282,links!$D$2:$D$501,0))="","",INDEX(links!$B$2:$B$501,MATCH($C1282,links!$D$2:$D$501,0))),""))</f>
        <v/>
      </c>
      <c r="I1282" s="30" t="str">
        <f aca="false">IF($C1282="","",IFERROR(IF(INDEX(links!$C$2:$C$501,MATCH($C1282,links!$D$2:$D$501,0))="","",INDEX(links!$C$2:$C$501,MATCH($C1282,links!$D$2:$D$501,0))),""))</f>
        <v/>
      </c>
      <c r="J1282" s="30" t="str">
        <f aca="false">IF($C1282="","",IF($G1282="","slug not in links; ","")&amp;IF($D1282="","reading type missing; ","")&amp;IF(COUNTIFS(scans!$C$2:$C$1601,$C1282,scans!$D$2:$D$1601,$D1282)&gt;1,"two readings of this type: keep one; ",""))</f>
        <v/>
      </c>
    </row>
    <row r="1283" customFormat="false" ht="15" hidden="false" customHeight="false" outlineLevel="0" collapsed="false">
      <c r="A1283" s="11"/>
      <c r="B1283" s="38"/>
      <c r="D1283" s="10"/>
      <c r="G1283" s="30" t="str">
        <f aca="false">IF($C1283="","",IFERROR(IF(INDEX(links!$A$2:$A$501,MATCH($C1283,links!$D$2:$D$501,0))="","",INDEX(links!$A$2:$A$501,MATCH($C1283,links!$D$2:$D$501,0))),""))</f>
        <v/>
      </c>
      <c r="H1283" s="30" t="str">
        <f aca="false">IF($C1283="","",IFERROR(IF(INDEX(links!$B$2:$B$501,MATCH($C1283,links!$D$2:$D$501,0))="","",INDEX(links!$B$2:$B$501,MATCH($C1283,links!$D$2:$D$501,0))),""))</f>
        <v/>
      </c>
      <c r="I1283" s="30" t="str">
        <f aca="false">IF($C1283="","",IFERROR(IF(INDEX(links!$C$2:$C$501,MATCH($C1283,links!$D$2:$D$501,0))="","",INDEX(links!$C$2:$C$501,MATCH($C1283,links!$D$2:$D$501,0))),""))</f>
        <v/>
      </c>
      <c r="J1283" s="30" t="str">
        <f aca="false">IF($C1283="","",IF($G1283="","slug not in links; ","")&amp;IF($D1283="","reading type missing; ","")&amp;IF(COUNTIFS(scans!$C$2:$C$1601,$C1283,scans!$D$2:$D$1601,$D1283)&gt;1,"two readings of this type: keep one; ",""))</f>
        <v/>
      </c>
    </row>
    <row r="1284" customFormat="false" ht="15" hidden="false" customHeight="false" outlineLevel="0" collapsed="false">
      <c r="A1284" s="11"/>
      <c r="B1284" s="38"/>
      <c r="D1284" s="10"/>
      <c r="G1284" s="30" t="str">
        <f aca="false">IF($C1284="","",IFERROR(IF(INDEX(links!$A$2:$A$501,MATCH($C1284,links!$D$2:$D$501,0))="","",INDEX(links!$A$2:$A$501,MATCH($C1284,links!$D$2:$D$501,0))),""))</f>
        <v/>
      </c>
      <c r="H1284" s="30" t="str">
        <f aca="false">IF($C1284="","",IFERROR(IF(INDEX(links!$B$2:$B$501,MATCH($C1284,links!$D$2:$D$501,0))="","",INDEX(links!$B$2:$B$501,MATCH($C1284,links!$D$2:$D$501,0))),""))</f>
        <v/>
      </c>
      <c r="I1284" s="30" t="str">
        <f aca="false">IF($C1284="","",IFERROR(IF(INDEX(links!$C$2:$C$501,MATCH($C1284,links!$D$2:$D$501,0))="","",INDEX(links!$C$2:$C$501,MATCH($C1284,links!$D$2:$D$501,0))),""))</f>
        <v/>
      </c>
      <c r="J1284" s="30" t="str">
        <f aca="false">IF($C1284="","",IF($G1284="","slug not in links; ","")&amp;IF($D1284="","reading type missing; ","")&amp;IF(COUNTIFS(scans!$C$2:$C$1601,$C1284,scans!$D$2:$D$1601,$D1284)&gt;1,"two readings of this type: keep one; ",""))</f>
        <v/>
      </c>
    </row>
    <row r="1285" customFormat="false" ht="15" hidden="false" customHeight="false" outlineLevel="0" collapsed="false">
      <c r="A1285" s="11"/>
      <c r="B1285" s="38"/>
      <c r="D1285" s="10"/>
      <c r="G1285" s="30" t="str">
        <f aca="false">IF($C1285="","",IFERROR(IF(INDEX(links!$A$2:$A$501,MATCH($C1285,links!$D$2:$D$501,0))="","",INDEX(links!$A$2:$A$501,MATCH($C1285,links!$D$2:$D$501,0))),""))</f>
        <v/>
      </c>
      <c r="H1285" s="30" t="str">
        <f aca="false">IF($C1285="","",IFERROR(IF(INDEX(links!$B$2:$B$501,MATCH($C1285,links!$D$2:$D$501,0))="","",INDEX(links!$B$2:$B$501,MATCH($C1285,links!$D$2:$D$501,0))),""))</f>
        <v/>
      </c>
      <c r="I1285" s="30" t="str">
        <f aca="false">IF($C1285="","",IFERROR(IF(INDEX(links!$C$2:$C$501,MATCH($C1285,links!$D$2:$D$501,0))="","",INDEX(links!$C$2:$C$501,MATCH($C1285,links!$D$2:$D$501,0))),""))</f>
        <v/>
      </c>
      <c r="J1285" s="30" t="str">
        <f aca="false">IF($C1285="","",IF($G1285="","slug not in links; ","")&amp;IF($D1285="","reading type missing; ","")&amp;IF(COUNTIFS(scans!$C$2:$C$1601,$C1285,scans!$D$2:$D$1601,$D1285)&gt;1,"two readings of this type: keep one; ",""))</f>
        <v/>
      </c>
    </row>
    <row r="1286" customFormat="false" ht="15" hidden="false" customHeight="false" outlineLevel="0" collapsed="false">
      <c r="A1286" s="11"/>
      <c r="B1286" s="38"/>
      <c r="D1286" s="10"/>
      <c r="G1286" s="30" t="str">
        <f aca="false">IF($C1286="","",IFERROR(IF(INDEX(links!$A$2:$A$501,MATCH($C1286,links!$D$2:$D$501,0))="","",INDEX(links!$A$2:$A$501,MATCH($C1286,links!$D$2:$D$501,0))),""))</f>
        <v/>
      </c>
      <c r="H1286" s="30" t="str">
        <f aca="false">IF($C1286="","",IFERROR(IF(INDEX(links!$B$2:$B$501,MATCH($C1286,links!$D$2:$D$501,0))="","",INDEX(links!$B$2:$B$501,MATCH($C1286,links!$D$2:$D$501,0))),""))</f>
        <v/>
      </c>
      <c r="I1286" s="30" t="str">
        <f aca="false">IF($C1286="","",IFERROR(IF(INDEX(links!$C$2:$C$501,MATCH($C1286,links!$D$2:$D$501,0))="","",INDEX(links!$C$2:$C$501,MATCH($C1286,links!$D$2:$D$501,0))),""))</f>
        <v/>
      </c>
      <c r="J1286" s="30" t="str">
        <f aca="false">IF($C1286="","",IF($G1286="","slug not in links; ","")&amp;IF($D1286="","reading type missing; ","")&amp;IF(COUNTIFS(scans!$C$2:$C$1601,$C1286,scans!$D$2:$D$1601,$D1286)&gt;1,"two readings of this type: keep one; ",""))</f>
        <v/>
      </c>
    </row>
    <row r="1287" customFormat="false" ht="15" hidden="false" customHeight="false" outlineLevel="0" collapsed="false">
      <c r="A1287" s="11"/>
      <c r="B1287" s="38"/>
      <c r="D1287" s="10"/>
      <c r="G1287" s="30" t="str">
        <f aca="false">IF($C1287="","",IFERROR(IF(INDEX(links!$A$2:$A$501,MATCH($C1287,links!$D$2:$D$501,0))="","",INDEX(links!$A$2:$A$501,MATCH($C1287,links!$D$2:$D$501,0))),""))</f>
        <v/>
      </c>
      <c r="H1287" s="30" t="str">
        <f aca="false">IF($C1287="","",IFERROR(IF(INDEX(links!$B$2:$B$501,MATCH($C1287,links!$D$2:$D$501,0))="","",INDEX(links!$B$2:$B$501,MATCH($C1287,links!$D$2:$D$501,0))),""))</f>
        <v/>
      </c>
      <c r="I1287" s="30" t="str">
        <f aca="false">IF($C1287="","",IFERROR(IF(INDEX(links!$C$2:$C$501,MATCH($C1287,links!$D$2:$D$501,0))="","",INDEX(links!$C$2:$C$501,MATCH($C1287,links!$D$2:$D$501,0))),""))</f>
        <v/>
      </c>
      <c r="J1287" s="30" t="str">
        <f aca="false">IF($C1287="","",IF($G1287="","slug not in links; ","")&amp;IF($D1287="","reading type missing; ","")&amp;IF(COUNTIFS(scans!$C$2:$C$1601,$C1287,scans!$D$2:$D$1601,$D1287)&gt;1,"two readings of this type: keep one; ",""))</f>
        <v/>
      </c>
    </row>
    <row r="1288" customFormat="false" ht="15" hidden="false" customHeight="false" outlineLevel="0" collapsed="false">
      <c r="A1288" s="11"/>
      <c r="B1288" s="38"/>
      <c r="D1288" s="10"/>
      <c r="G1288" s="30" t="str">
        <f aca="false">IF($C1288="","",IFERROR(IF(INDEX(links!$A$2:$A$501,MATCH($C1288,links!$D$2:$D$501,0))="","",INDEX(links!$A$2:$A$501,MATCH($C1288,links!$D$2:$D$501,0))),""))</f>
        <v/>
      </c>
      <c r="H1288" s="30" t="str">
        <f aca="false">IF($C1288="","",IFERROR(IF(INDEX(links!$B$2:$B$501,MATCH($C1288,links!$D$2:$D$501,0))="","",INDEX(links!$B$2:$B$501,MATCH($C1288,links!$D$2:$D$501,0))),""))</f>
        <v/>
      </c>
      <c r="I1288" s="30" t="str">
        <f aca="false">IF($C1288="","",IFERROR(IF(INDEX(links!$C$2:$C$501,MATCH($C1288,links!$D$2:$D$501,0))="","",INDEX(links!$C$2:$C$501,MATCH($C1288,links!$D$2:$D$501,0))),""))</f>
        <v/>
      </c>
      <c r="J1288" s="30" t="str">
        <f aca="false">IF($C1288="","",IF($G1288="","slug not in links; ","")&amp;IF($D1288="","reading type missing; ","")&amp;IF(COUNTIFS(scans!$C$2:$C$1601,$C1288,scans!$D$2:$D$1601,$D1288)&gt;1,"two readings of this type: keep one; ",""))</f>
        <v/>
      </c>
    </row>
    <row r="1289" customFormat="false" ht="15" hidden="false" customHeight="false" outlineLevel="0" collapsed="false">
      <c r="A1289" s="11"/>
      <c r="B1289" s="38"/>
      <c r="D1289" s="10"/>
      <c r="G1289" s="30" t="str">
        <f aca="false">IF($C1289="","",IFERROR(IF(INDEX(links!$A$2:$A$501,MATCH($C1289,links!$D$2:$D$501,0))="","",INDEX(links!$A$2:$A$501,MATCH($C1289,links!$D$2:$D$501,0))),""))</f>
        <v/>
      </c>
      <c r="H1289" s="30" t="str">
        <f aca="false">IF($C1289="","",IFERROR(IF(INDEX(links!$B$2:$B$501,MATCH($C1289,links!$D$2:$D$501,0))="","",INDEX(links!$B$2:$B$501,MATCH($C1289,links!$D$2:$D$501,0))),""))</f>
        <v/>
      </c>
      <c r="I1289" s="30" t="str">
        <f aca="false">IF($C1289="","",IFERROR(IF(INDEX(links!$C$2:$C$501,MATCH($C1289,links!$D$2:$D$501,0))="","",INDEX(links!$C$2:$C$501,MATCH($C1289,links!$D$2:$D$501,0))),""))</f>
        <v/>
      </c>
      <c r="J1289" s="30" t="str">
        <f aca="false">IF($C1289="","",IF($G1289="","slug not in links; ","")&amp;IF($D1289="","reading type missing; ","")&amp;IF(COUNTIFS(scans!$C$2:$C$1601,$C1289,scans!$D$2:$D$1601,$D1289)&gt;1,"two readings of this type: keep one; ",""))</f>
        <v/>
      </c>
    </row>
    <row r="1290" customFormat="false" ht="15" hidden="false" customHeight="false" outlineLevel="0" collapsed="false">
      <c r="A1290" s="11"/>
      <c r="B1290" s="38"/>
      <c r="D1290" s="10"/>
      <c r="G1290" s="30" t="str">
        <f aca="false">IF($C1290="","",IFERROR(IF(INDEX(links!$A$2:$A$501,MATCH($C1290,links!$D$2:$D$501,0))="","",INDEX(links!$A$2:$A$501,MATCH($C1290,links!$D$2:$D$501,0))),""))</f>
        <v/>
      </c>
      <c r="H1290" s="30" t="str">
        <f aca="false">IF($C1290="","",IFERROR(IF(INDEX(links!$B$2:$B$501,MATCH($C1290,links!$D$2:$D$501,0))="","",INDEX(links!$B$2:$B$501,MATCH($C1290,links!$D$2:$D$501,0))),""))</f>
        <v/>
      </c>
      <c r="I1290" s="30" t="str">
        <f aca="false">IF($C1290="","",IFERROR(IF(INDEX(links!$C$2:$C$501,MATCH($C1290,links!$D$2:$D$501,0))="","",INDEX(links!$C$2:$C$501,MATCH($C1290,links!$D$2:$D$501,0))),""))</f>
        <v/>
      </c>
      <c r="J1290" s="30" t="str">
        <f aca="false">IF($C1290="","",IF($G1290="","slug not in links; ","")&amp;IF($D1290="","reading type missing; ","")&amp;IF(COUNTIFS(scans!$C$2:$C$1601,$C1290,scans!$D$2:$D$1601,$D1290)&gt;1,"two readings of this type: keep one; ",""))</f>
        <v/>
      </c>
    </row>
    <row r="1291" customFormat="false" ht="15" hidden="false" customHeight="false" outlineLevel="0" collapsed="false">
      <c r="A1291" s="11"/>
      <c r="B1291" s="38"/>
      <c r="D1291" s="10"/>
      <c r="G1291" s="30" t="str">
        <f aca="false">IF($C1291="","",IFERROR(IF(INDEX(links!$A$2:$A$501,MATCH($C1291,links!$D$2:$D$501,0))="","",INDEX(links!$A$2:$A$501,MATCH($C1291,links!$D$2:$D$501,0))),""))</f>
        <v/>
      </c>
      <c r="H1291" s="30" t="str">
        <f aca="false">IF($C1291="","",IFERROR(IF(INDEX(links!$B$2:$B$501,MATCH($C1291,links!$D$2:$D$501,0))="","",INDEX(links!$B$2:$B$501,MATCH($C1291,links!$D$2:$D$501,0))),""))</f>
        <v/>
      </c>
      <c r="I1291" s="30" t="str">
        <f aca="false">IF($C1291="","",IFERROR(IF(INDEX(links!$C$2:$C$501,MATCH($C1291,links!$D$2:$D$501,0))="","",INDEX(links!$C$2:$C$501,MATCH($C1291,links!$D$2:$D$501,0))),""))</f>
        <v/>
      </c>
      <c r="J1291" s="30" t="str">
        <f aca="false">IF($C1291="","",IF($G1291="","slug not in links; ","")&amp;IF($D1291="","reading type missing; ","")&amp;IF(COUNTIFS(scans!$C$2:$C$1601,$C1291,scans!$D$2:$D$1601,$D1291)&gt;1,"two readings of this type: keep one; ",""))</f>
        <v/>
      </c>
    </row>
    <row r="1292" customFormat="false" ht="15" hidden="false" customHeight="false" outlineLevel="0" collapsed="false">
      <c r="A1292" s="11"/>
      <c r="B1292" s="38"/>
      <c r="D1292" s="10"/>
      <c r="G1292" s="30" t="str">
        <f aca="false">IF($C1292="","",IFERROR(IF(INDEX(links!$A$2:$A$501,MATCH($C1292,links!$D$2:$D$501,0))="","",INDEX(links!$A$2:$A$501,MATCH($C1292,links!$D$2:$D$501,0))),""))</f>
        <v/>
      </c>
      <c r="H1292" s="30" t="str">
        <f aca="false">IF($C1292="","",IFERROR(IF(INDEX(links!$B$2:$B$501,MATCH($C1292,links!$D$2:$D$501,0))="","",INDEX(links!$B$2:$B$501,MATCH($C1292,links!$D$2:$D$501,0))),""))</f>
        <v/>
      </c>
      <c r="I1292" s="30" t="str">
        <f aca="false">IF($C1292="","",IFERROR(IF(INDEX(links!$C$2:$C$501,MATCH($C1292,links!$D$2:$D$501,0))="","",INDEX(links!$C$2:$C$501,MATCH($C1292,links!$D$2:$D$501,0))),""))</f>
        <v/>
      </c>
      <c r="J1292" s="30" t="str">
        <f aca="false">IF($C1292="","",IF($G1292="","slug not in links; ","")&amp;IF($D1292="","reading type missing; ","")&amp;IF(COUNTIFS(scans!$C$2:$C$1601,$C1292,scans!$D$2:$D$1601,$D1292)&gt;1,"two readings of this type: keep one; ",""))</f>
        <v/>
      </c>
    </row>
    <row r="1293" customFormat="false" ht="15" hidden="false" customHeight="false" outlineLevel="0" collapsed="false">
      <c r="A1293" s="11"/>
      <c r="B1293" s="38"/>
      <c r="D1293" s="10"/>
      <c r="G1293" s="30" t="str">
        <f aca="false">IF($C1293="","",IFERROR(IF(INDEX(links!$A$2:$A$501,MATCH($C1293,links!$D$2:$D$501,0))="","",INDEX(links!$A$2:$A$501,MATCH($C1293,links!$D$2:$D$501,0))),""))</f>
        <v/>
      </c>
      <c r="H1293" s="30" t="str">
        <f aca="false">IF($C1293="","",IFERROR(IF(INDEX(links!$B$2:$B$501,MATCH($C1293,links!$D$2:$D$501,0))="","",INDEX(links!$B$2:$B$501,MATCH($C1293,links!$D$2:$D$501,0))),""))</f>
        <v/>
      </c>
      <c r="I1293" s="30" t="str">
        <f aca="false">IF($C1293="","",IFERROR(IF(INDEX(links!$C$2:$C$501,MATCH($C1293,links!$D$2:$D$501,0))="","",INDEX(links!$C$2:$C$501,MATCH($C1293,links!$D$2:$D$501,0))),""))</f>
        <v/>
      </c>
      <c r="J1293" s="30" t="str">
        <f aca="false">IF($C1293="","",IF($G1293="","slug not in links; ","")&amp;IF($D1293="","reading type missing; ","")&amp;IF(COUNTIFS(scans!$C$2:$C$1601,$C1293,scans!$D$2:$D$1601,$D1293)&gt;1,"two readings of this type: keep one; ",""))</f>
        <v/>
      </c>
    </row>
    <row r="1294" customFormat="false" ht="15" hidden="false" customHeight="false" outlineLevel="0" collapsed="false">
      <c r="A1294" s="11"/>
      <c r="B1294" s="38"/>
      <c r="D1294" s="10"/>
      <c r="G1294" s="30" t="str">
        <f aca="false">IF($C1294="","",IFERROR(IF(INDEX(links!$A$2:$A$501,MATCH($C1294,links!$D$2:$D$501,0))="","",INDEX(links!$A$2:$A$501,MATCH($C1294,links!$D$2:$D$501,0))),""))</f>
        <v/>
      </c>
      <c r="H1294" s="30" t="str">
        <f aca="false">IF($C1294="","",IFERROR(IF(INDEX(links!$B$2:$B$501,MATCH($C1294,links!$D$2:$D$501,0))="","",INDEX(links!$B$2:$B$501,MATCH($C1294,links!$D$2:$D$501,0))),""))</f>
        <v/>
      </c>
      <c r="I1294" s="30" t="str">
        <f aca="false">IF($C1294="","",IFERROR(IF(INDEX(links!$C$2:$C$501,MATCH($C1294,links!$D$2:$D$501,0))="","",INDEX(links!$C$2:$C$501,MATCH($C1294,links!$D$2:$D$501,0))),""))</f>
        <v/>
      </c>
      <c r="J1294" s="30" t="str">
        <f aca="false">IF($C1294="","",IF($G1294="","slug not in links; ","")&amp;IF($D1294="","reading type missing; ","")&amp;IF(COUNTIFS(scans!$C$2:$C$1601,$C1294,scans!$D$2:$D$1601,$D1294)&gt;1,"two readings of this type: keep one; ",""))</f>
        <v/>
      </c>
    </row>
    <row r="1295" customFormat="false" ht="15" hidden="false" customHeight="false" outlineLevel="0" collapsed="false">
      <c r="A1295" s="11"/>
      <c r="B1295" s="38"/>
      <c r="D1295" s="10"/>
      <c r="G1295" s="30" t="str">
        <f aca="false">IF($C1295="","",IFERROR(IF(INDEX(links!$A$2:$A$501,MATCH($C1295,links!$D$2:$D$501,0))="","",INDEX(links!$A$2:$A$501,MATCH($C1295,links!$D$2:$D$501,0))),""))</f>
        <v/>
      </c>
      <c r="H1295" s="30" t="str">
        <f aca="false">IF($C1295="","",IFERROR(IF(INDEX(links!$B$2:$B$501,MATCH($C1295,links!$D$2:$D$501,0))="","",INDEX(links!$B$2:$B$501,MATCH($C1295,links!$D$2:$D$501,0))),""))</f>
        <v/>
      </c>
      <c r="I1295" s="30" t="str">
        <f aca="false">IF($C1295="","",IFERROR(IF(INDEX(links!$C$2:$C$501,MATCH($C1295,links!$D$2:$D$501,0))="","",INDEX(links!$C$2:$C$501,MATCH($C1295,links!$D$2:$D$501,0))),""))</f>
        <v/>
      </c>
      <c r="J1295" s="30" t="str">
        <f aca="false">IF($C1295="","",IF($G1295="","slug not in links; ","")&amp;IF($D1295="","reading type missing; ","")&amp;IF(COUNTIFS(scans!$C$2:$C$1601,$C1295,scans!$D$2:$D$1601,$D1295)&gt;1,"two readings of this type: keep one; ",""))</f>
        <v/>
      </c>
    </row>
    <row r="1296" customFormat="false" ht="15" hidden="false" customHeight="false" outlineLevel="0" collapsed="false">
      <c r="A1296" s="11"/>
      <c r="B1296" s="38"/>
      <c r="D1296" s="10"/>
      <c r="G1296" s="30" t="str">
        <f aca="false">IF($C1296="","",IFERROR(IF(INDEX(links!$A$2:$A$501,MATCH($C1296,links!$D$2:$D$501,0))="","",INDEX(links!$A$2:$A$501,MATCH($C1296,links!$D$2:$D$501,0))),""))</f>
        <v/>
      </c>
      <c r="H1296" s="30" t="str">
        <f aca="false">IF($C1296="","",IFERROR(IF(INDEX(links!$B$2:$B$501,MATCH($C1296,links!$D$2:$D$501,0))="","",INDEX(links!$B$2:$B$501,MATCH($C1296,links!$D$2:$D$501,0))),""))</f>
        <v/>
      </c>
      <c r="I1296" s="30" t="str">
        <f aca="false">IF($C1296="","",IFERROR(IF(INDEX(links!$C$2:$C$501,MATCH($C1296,links!$D$2:$D$501,0))="","",INDEX(links!$C$2:$C$501,MATCH($C1296,links!$D$2:$D$501,0))),""))</f>
        <v/>
      </c>
      <c r="J1296" s="30" t="str">
        <f aca="false">IF($C1296="","",IF($G1296="","slug not in links; ","")&amp;IF($D1296="","reading type missing; ","")&amp;IF(COUNTIFS(scans!$C$2:$C$1601,$C1296,scans!$D$2:$D$1601,$D1296)&gt;1,"two readings of this type: keep one; ",""))</f>
        <v/>
      </c>
    </row>
    <row r="1297" customFormat="false" ht="15" hidden="false" customHeight="false" outlineLevel="0" collapsed="false">
      <c r="A1297" s="11"/>
      <c r="B1297" s="38"/>
      <c r="D1297" s="10"/>
      <c r="G1297" s="30" t="str">
        <f aca="false">IF($C1297="","",IFERROR(IF(INDEX(links!$A$2:$A$501,MATCH($C1297,links!$D$2:$D$501,0))="","",INDEX(links!$A$2:$A$501,MATCH($C1297,links!$D$2:$D$501,0))),""))</f>
        <v/>
      </c>
      <c r="H1297" s="30" t="str">
        <f aca="false">IF($C1297="","",IFERROR(IF(INDEX(links!$B$2:$B$501,MATCH($C1297,links!$D$2:$D$501,0))="","",INDEX(links!$B$2:$B$501,MATCH($C1297,links!$D$2:$D$501,0))),""))</f>
        <v/>
      </c>
      <c r="I1297" s="30" t="str">
        <f aca="false">IF($C1297="","",IFERROR(IF(INDEX(links!$C$2:$C$501,MATCH($C1297,links!$D$2:$D$501,0))="","",INDEX(links!$C$2:$C$501,MATCH($C1297,links!$D$2:$D$501,0))),""))</f>
        <v/>
      </c>
      <c r="J1297" s="30" t="str">
        <f aca="false">IF($C1297="","",IF($G1297="","slug not in links; ","")&amp;IF($D1297="","reading type missing; ","")&amp;IF(COUNTIFS(scans!$C$2:$C$1601,$C1297,scans!$D$2:$D$1601,$D1297)&gt;1,"two readings of this type: keep one; ",""))</f>
        <v/>
      </c>
    </row>
    <row r="1298" customFormat="false" ht="15" hidden="false" customHeight="false" outlineLevel="0" collapsed="false">
      <c r="A1298" s="11"/>
      <c r="B1298" s="38"/>
      <c r="D1298" s="10"/>
      <c r="G1298" s="30" t="str">
        <f aca="false">IF($C1298="","",IFERROR(IF(INDEX(links!$A$2:$A$501,MATCH($C1298,links!$D$2:$D$501,0))="","",INDEX(links!$A$2:$A$501,MATCH($C1298,links!$D$2:$D$501,0))),""))</f>
        <v/>
      </c>
      <c r="H1298" s="30" t="str">
        <f aca="false">IF($C1298="","",IFERROR(IF(INDEX(links!$B$2:$B$501,MATCH($C1298,links!$D$2:$D$501,0))="","",INDEX(links!$B$2:$B$501,MATCH($C1298,links!$D$2:$D$501,0))),""))</f>
        <v/>
      </c>
      <c r="I1298" s="30" t="str">
        <f aca="false">IF($C1298="","",IFERROR(IF(INDEX(links!$C$2:$C$501,MATCH($C1298,links!$D$2:$D$501,0))="","",INDEX(links!$C$2:$C$501,MATCH($C1298,links!$D$2:$D$501,0))),""))</f>
        <v/>
      </c>
      <c r="J1298" s="30" t="str">
        <f aca="false">IF($C1298="","",IF($G1298="","slug not in links; ","")&amp;IF($D1298="","reading type missing; ","")&amp;IF(COUNTIFS(scans!$C$2:$C$1601,$C1298,scans!$D$2:$D$1601,$D1298)&gt;1,"two readings of this type: keep one; ",""))</f>
        <v/>
      </c>
    </row>
    <row r="1299" customFormat="false" ht="15" hidden="false" customHeight="false" outlineLevel="0" collapsed="false">
      <c r="A1299" s="11"/>
      <c r="B1299" s="38"/>
      <c r="D1299" s="10"/>
      <c r="G1299" s="30" t="str">
        <f aca="false">IF($C1299="","",IFERROR(IF(INDEX(links!$A$2:$A$501,MATCH($C1299,links!$D$2:$D$501,0))="","",INDEX(links!$A$2:$A$501,MATCH($C1299,links!$D$2:$D$501,0))),""))</f>
        <v/>
      </c>
      <c r="H1299" s="30" t="str">
        <f aca="false">IF($C1299="","",IFERROR(IF(INDEX(links!$B$2:$B$501,MATCH($C1299,links!$D$2:$D$501,0))="","",INDEX(links!$B$2:$B$501,MATCH($C1299,links!$D$2:$D$501,0))),""))</f>
        <v/>
      </c>
      <c r="I1299" s="30" t="str">
        <f aca="false">IF($C1299="","",IFERROR(IF(INDEX(links!$C$2:$C$501,MATCH($C1299,links!$D$2:$D$501,0))="","",INDEX(links!$C$2:$C$501,MATCH($C1299,links!$D$2:$D$501,0))),""))</f>
        <v/>
      </c>
      <c r="J1299" s="30" t="str">
        <f aca="false">IF($C1299="","",IF($G1299="","slug not in links; ","")&amp;IF($D1299="","reading type missing; ","")&amp;IF(COUNTIFS(scans!$C$2:$C$1601,$C1299,scans!$D$2:$D$1601,$D1299)&gt;1,"two readings of this type: keep one; ",""))</f>
        <v/>
      </c>
    </row>
    <row r="1300" customFormat="false" ht="15" hidden="false" customHeight="false" outlineLevel="0" collapsed="false">
      <c r="A1300" s="11"/>
      <c r="B1300" s="38"/>
      <c r="D1300" s="10"/>
      <c r="G1300" s="30" t="str">
        <f aca="false">IF($C1300="","",IFERROR(IF(INDEX(links!$A$2:$A$501,MATCH($C1300,links!$D$2:$D$501,0))="","",INDEX(links!$A$2:$A$501,MATCH($C1300,links!$D$2:$D$501,0))),""))</f>
        <v/>
      </c>
      <c r="H1300" s="30" t="str">
        <f aca="false">IF($C1300="","",IFERROR(IF(INDEX(links!$B$2:$B$501,MATCH($C1300,links!$D$2:$D$501,0))="","",INDEX(links!$B$2:$B$501,MATCH($C1300,links!$D$2:$D$501,0))),""))</f>
        <v/>
      </c>
      <c r="I1300" s="30" t="str">
        <f aca="false">IF($C1300="","",IFERROR(IF(INDEX(links!$C$2:$C$501,MATCH($C1300,links!$D$2:$D$501,0))="","",INDEX(links!$C$2:$C$501,MATCH($C1300,links!$D$2:$D$501,0))),""))</f>
        <v/>
      </c>
      <c r="J1300" s="30" t="str">
        <f aca="false">IF($C1300="","",IF($G1300="","slug not in links; ","")&amp;IF($D1300="","reading type missing; ","")&amp;IF(COUNTIFS(scans!$C$2:$C$1601,$C1300,scans!$D$2:$D$1601,$D1300)&gt;1,"two readings of this type: keep one; ",""))</f>
        <v/>
      </c>
    </row>
    <row r="1301" customFormat="false" ht="15" hidden="false" customHeight="false" outlineLevel="0" collapsed="false">
      <c r="A1301" s="11"/>
      <c r="B1301" s="38"/>
      <c r="D1301" s="10"/>
      <c r="G1301" s="30" t="str">
        <f aca="false">IF($C1301="","",IFERROR(IF(INDEX(links!$A$2:$A$501,MATCH($C1301,links!$D$2:$D$501,0))="","",INDEX(links!$A$2:$A$501,MATCH($C1301,links!$D$2:$D$501,0))),""))</f>
        <v/>
      </c>
      <c r="H1301" s="30" t="str">
        <f aca="false">IF($C1301="","",IFERROR(IF(INDEX(links!$B$2:$B$501,MATCH($C1301,links!$D$2:$D$501,0))="","",INDEX(links!$B$2:$B$501,MATCH($C1301,links!$D$2:$D$501,0))),""))</f>
        <v/>
      </c>
      <c r="I1301" s="30" t="str">
        <f aca="false">IF($C1301="","",IFERROR(IF(INDEX(links!$C$2:$C$501,MATCH($C1301,links!$D$2:$D$501,0))="","",INDEX(links!$C$2:$C$501,MATCH($C1301,links!$D$2:$D$501,0))),""))</f>
        <v/>
      </c>
      <c r="J1301" s="30" t="str">
        <f aca="false">IF($C1301="","",IF($G1301="","slug not in links; ","")&amp;IF($D1301="","reading type missing; ","")&amp;IF(COUNTIFS(scans!$C$2:$C$1601,$C1301,scans!$D$2:$D$1601,$D1301)&gt;1,"two readings of this type: keep one; ",""))</f>
        <v/>
      </c>
    </row>
    <row r="1302" customFormat="false" ht="15" hidden="false" customHeight="false" outlineLevel="0" collapsed="false">
      <c r="A1302" s="11"/>
      <c r="B1302" s="38"/>
      <c r="D1302" s="10"/>
      <c r="G1302" s="30" t="str">
        <f aca="false">IF($C1302="","",IFERROR(IF(INDEX(links!$A$2:$A$501,MATCH($C1302,links!$D$2:$D$501,0))="","",INDEX(links!$A$2:$A$501,MATCH($C1302,links!$D$2:$D$501,0))),""))</f>
        <v/>
      </c>
      <c r="H1302" s="30" t="str">
        <f aca="false">IF($C1302="","",IFERROR(IF(INDEX(links!$B$2:$B$501,MATCH($C1302,links!$D$2:$D$501,0))="","",INDEX(links!$B$2:$B$501,MATCH($C1302,links!$D$2:$D$501,0))),""))</f>
        <v/>
      </c>
      <c r="I1302" s="30" t="str">
        <f aca="false">IF($C1302="","",IFERROR(IF(INDEX(links!$C$2:$C$501,MATCH($C1302,links!$D$2:$D$501,0))="","",INDEX(links!$C$2:$C$501,MATCH($C1302,links!$D$2:$D$501,0))),""))</f>
        <v/>
      </c>
      <c r="J1302" s="30" t="str">
        <f aca="false">IF($C1302="","",IF($G1302="","slug not in links; ","")&amp;IF($D1302="","reading type missing; ","")&amp;IF(COUNTIFS(scans!$C$2:$C$1601,$C1302,scans!$D$2:$D$1601,$D1302)&gt;1,"two readings of this type: keep one; ",""))</f>
        <v/>
      </c>
    </row>
    <row r="1303" customFormat="false" ht="15" hidden="false" customHeight="false" outlineLevel="0" collapsed="false">
      <c r="A1303" s="11"/>
      <c r="B1303" s="38"/>
      <c r="D1303" s="10"/>
      <c r="G1303" s="30" t="str">
        <f aca="false">IF($C1303="","",IFERROR(IF(INDEX(links!$A$2:$A$501,MATCH($C1303,links!$D$2:$D$501,0))="","",INDEX(links!$A$2:$A$501,MATCH($C1303,links!$D$2:$D$501,0))),""))</f>
        <v/>
      </c>
      <c r="H1303" s="30" t="str">
        <f aca="false">IF($C1303="","",IFERROR(IF(INDEX(links!$B$2:$B$501,MATCH($C1303,links!$D$2:$D$501,0))="","",INDEX(links!$B$2:$B$501,MATCH($C1303,links!$D$2:$D$501,0))),""))</f>
        <v/>
      </c>
      <c r="I1303" s="30" t="str">
        <f aca="false">IF($C1303="","",IFERROR(IF(INDEX(links!$C$2:$C$501,MATCH($C1303,links!$D$2:$D$501,0))="","",INDEX(links!$C$2:$C$501,MATCH($C1303,links!$D$2:$D$501,0))),""))</f>
        <v/>
      </c>
      <c r="J1303" s="30" t="str">
        <f aca="false">IF($C1303="","",IF($G1303="","slug not in links; ","")&amp;IF($D1303="","reading type missing; ","")&amp;IF(COUNTIFS(scans!$C$2:$C$1601,$C1303,scans!$D$2:$D$1601,$D1303)&gt;1,"two readings of this type: keep one; ",""))</f>
        <v/>
      </c>
    </row>
    <row r="1304" customFormat="false" ht="15" hidden="false" customHeight="false" outlineLevel="0" collapsed="false">
      <c r="A1304" s="11"/>
      <c r="B1304" s="38"/>
      <c r="D1304" s="10"/>
      <c r="G1304" s="30" t="str">
        <f aca="false">IF($C1304="","",IFERROR(IF(INDEX(links!$A$2:$A$501,MATCH($C1304,links!$D$2:$D$501,0))="","",INDEX(links!$A$2:$A$501,MATCH($C1304,links!$D$2:$D$501,0))),""))</f>
        <v/>
      </c>
      <c r="H1304" s="30" t="str">
        <f aca="false">IF($C1304="","",IFERROR(IF(INDEX(links!$B$2:$B$501,MATCH($C1304,links!$D$2:$D$501,0))="","",INDEX(links!$B$2:$B$501,MATCH($C1304,links!$D$2:$D$501,0))),""))</f>
        <v/>
      </c>
      <c r="I1304" s="30" t="str">
        <f aca="false">IF($C1304="","",IFERROR(IF(INDEX(links!$C$2:$C$501,MATCH($C1304,links!$D$2:$D$501,0))="","",INDEX(links!$C$2:$C$501,MATCH($C1304,links!$D$2:$D$501,0))),""))</f>
        <v/>
      </c>
      <c r="J1304" s="30" t="str">
        <f aca="false">IF($C1304="","",IF($G1304="","slug not in links; ","")&amp;IF($D1304="","reading type missing; ","")&amp;IF(COUNTIFS(scans!$C$2:$C$1601,$C1304,scans!$D$2:$D$1601,$D1304)&gt;1,"two readings of this type: keep one; ",""))</f>
        <v/>
      </c>
    </row>
    <row r="1305" customFormat="false" ht="15" hidden="false" customHeight="false" outlineLevel="0" collapsed="false">
      <c r="A1305" s="11"/>
      <c r="B1305" s="38"/>
      <c r="D1305" s="10"/>
      <c r="G1305" s="30" t="str">
        <f aca="false">IF($C1305="","",IFERROR(IF(INDEX(links!$A$2:$A$501,MATCH($C1305,links!$D$2:$D$501,0))="","",INDEX(links!$A$2:$A$501,MATCH($C1305,links!$D$2:$D$501,0))),""))</f>
        <v/>
      </c>
      <c r="H1305" s="30" t="str">
        <f aca="false">IF($C1305="","",IFERROR(IF(INDEX(links!$B$2:$B$501,MATCH($C1305,links!$D$2:$D$501,0))="","",INDEX(links!$B$2:$B$501,MATCH($C1305,links!$D$2:$D$501,0))),""))</f>
        <v/>
      </c>
      <c r="I1305" s="30" t="str">
        <f aca="false">IF($C1305="","",IFERROR(IF(INDEX(links!$C$2:$C$501,MATCH($C1305,links!$D$2:$D$501,0))="","",INDEX(links!$C$2:$C$501,MATCH($C1305,links!$D$2:$D$501,0))),""))</f>
        <v/>
      </c>
      <c r="J1305" s="30" t="str">
        <f aca="false">IF($C1305="","",IF($G1305="","slug not in links; ","")&amp;IF($D1305="","reading type missing; ","")&amp;IF(COUNTIFS(scans!$C$2:$C$1601,$C1305,scans!$D$2:$D$1601,$D1305)&gt;1,"two readings of this type: keep one; ",""))</f>
        <v/>
      </c>
    </row>
    <row r="1306" customFormat="false" ht="15" hidden="false" customHeight="false" outlineLevel="0" collapsed="false">
      <c r="A1306" s="11"/>
      <c r="B1306" s="38"/>
      <c r="D1306" s="10"/>
      <c r="G1306" s="30" t="str">
        <f aca="false">IF($C1306="","",IFERROR(IF(INDEX(links!$A$2:$A$501,MATCH($C1306,links!$D$2:$D$501,0))="","",INDEX(links!$A$2:$A$501,MATCH($C1306,links!$D$2:$D$501,0))),""))</f>
        <v/>
      </c>
      <c r="H1306" s="30" t="str">
        <f aca="false">IF($C1306="","",IFERROR(IF(INDEX(links!$B$2:$B$501,MATCH($C1306,links!$D$2:$D$501,0))="","",INDEX(links!$B$2:$B$501,MATCH($C1306,links!$D$2:$D$501,0))),""))</f>
        <v/>
      </c>
      <c r="I1306" s="30" t="str">
        <f aca="false">IF($C1306="","",IFERROR(IF(INDEX(links!$C$2:$C$501,MATCH($C1306,links!$D$2:$D$501,0))="","",INDEX(links!$C$2:$C$501,MATCH($C1306,links!$D$2:$D$501,0))),""))</f>
        <v/>
      </c>
      <c r="J1306" s="30" t="str">
        <f aca="false">IF($C1306="","",IF($G1306="","slug not in links; ","")&amp;IF($D1306="","reading type missing; ","")&amp;IF(COUNTIFS(scans!$C$2:$C$1601,$C1306,scans!$D$2:$D$1601,$D1306)&gt;1,"two readings of this type: keep one; ",""))</f>
        <v/>
      </c>
    </row>
    <row r="1307" customFormat="false" ht="15" hidden="false" customHeight="false" outlineLevel="0" collapsed="false">
      <c r="A1307" s="11"/>
      <c r="B1307" s="38"/>
      <c r="D1307" s="10"/>
      <c r="G1307" s="30" t="str">
        <f aca="false">IF($C1307="","",IFERROR(IF(INDEX(links!$A$2:$A$501,MATCH($C1307,links!$D$2:$D$501,0))="","",INDEX(links!$A$2:$A$501,MATCH($C1307,links!$D$2:$D$501,0))),""))</f>
        <v/>
      </c>
      <c r="H1307" s="30" t="str">
        <f aca="false">IF($C1307="","",IFERROR(IF(INDEX(links!$B$2:$B$501,MATCH($C1307,links!$D$2:$D$501,0))="","",INDEX(links!$B$2:$B$501,MATCH($C1307,links!$D$2:$D$501,0))),""))</f>
        <v/>
      </c>
      <c r="I1307" s="30" t="str">
        <f aca="false">IF($C1307="","",IFERROR(IF(INDEX(links!$C$2:$C$501,MATCH($C1307,links!$D$2:$D$501,0))="","",INDEX(links!$C$2:$C$501,MATCH($C1307,links!$D$2:$D$501,0))),""))</f>
        <v/>
      </c>
      <c r="J1307" s="30" t="str">
        <f aca="false">IF($C1307="","",IF($G1307="","slug not in links; ","")&amp;IF($D1307="","reading type missing; ","")&amp;IF(COUNTIFS(scans!$C$2:$C$1601,$C1307,scans!$D$2:$D$1601,$D1307)&gt;1,"two readings of this type: keep one; ",""))</f>
        <v/>
      </c>
    </row>
    <row r="1308" customFormat="false" ht="15" hidden="false" customHeight="false" outlineLevel="0" collapsed="false">
      <c r="A1308" s="11"/>
      <c r="B1308" s="38"/>
      <c r="D1308" s="10"/>
      <c r="G1308" s="30" t="str">
        <f aca="false">IF($C1308="","",IFERROR(IF(INDEX(links!$A$2:$A$501,MATCH($C1308,links!$D$2:$D$501,0))="","",INDEX(links!$A$2:$A$501,MATCH($C1308,links!$D$2:$D$501,0))),""))</f>
        <v/>
      </c>
      <c r="H1308" s="30" t="str">
        <f aca="false">IF($C1308="","",IFERROR(IF(INDEX(links!$B$2:$B$501,MATCH($C1308,links!$D$2:$D$501,0))="","",INDEX(links!$B$2:$B$501,MATCH($C1308,links!$D$2:$D$501,0))),""))</f>
        <v/>
      </c>
      <c r="I1308" s="30" t="str">
        <f aca="false">IF($C1308="","",IFERROR(IF(INDEX(links!$C$2:$C$501,MATCH($C1308,links!$D$2:$D$501,0))="","",INDEX(links!$C$2:$C$501,MATCH($C1308,links!$D$2:$D$501,0))),""))</f>
        <v/>
      </c>
      <c r="J1308" s="30" t="str">
        <f aca="false">IF($C1308="","",IF($G1308="","slug not in links; ","")&amp;IF($D1308="","reading type missing; ","")&amp;IF(COUNTIFS(scans!$C$2:$C$1601,$C1308,scans!$D$2:$D$1601,$D1308)&gt;1,"two readings of this type: keep one; ",""))</f>
        <v/>
      </c>
    </row>
    <row r="1309" customFormat="false" ht="15" hidden="false" customHeight="false" outlineLevel="0" collapsed="false">
      <c r="A1309" s="11"/>
      <c r="B1309" s="38"/>
      <c r="D1309" s="10"/>
      <c r="G1309" s="30" t="str">
        <f aca="false">IF($C1309="","",IFERROR(IF(INDEX(links!$A$2:$A$501,MATCH($C1309,links!$D$2:$D$501,0))="","",INDEX(links!$A$2:$A$501,MATCH($C1309,links!$D$2:$D$501,0))),""))</f>
        <v/>
      </c>
      <c r="H1309" s="30" t="str">
        <f aca="false">IF($C1309="","",IFERROR(IF(INDEX(links!$B$2:$B$501,MATCH($C1309,links!$D$2:$D$501,0))="","",INDEX(links!$B$2:$B$501,MATCH($C1309,links!$D$2:$D$501,0))),""))</f>
        <v/>
      </c>
      <c r="I1309" s="30" t="str">
        <f aca="false">IF($C1309="","",IFERROR(IF(INDEX(links!$C$2:$C$501,MATCH($C1309,links!$D$2:$D$501,0))="","",INDEX(links!$C$2:$C$501,MATCH($C1309,links!$D$2:$D$501,0))),""))</f>
        <v/>
      </c>
      <c r="J1309" s="30" t="str">
        <f aca="false">IF($C1309="","",IF($G1309="","slug not in links; ","")&amp;IF($D1309="","reading type missing; ","")&amp;IF(COUNTIFS(scans!$C$2:$C$1601,$C1309,scans!$D$2:$D$1601,$D1309)&gt;1,"two readings of this type: keep one; ",""))</f>
        <v/>
      </c>
    </row>
    <row r="1310" customFormat="false" ht="15" hidden="false" customHeight="false" outlineLevel="0" collapsed="false">
      <c r="A1310" s="11"/>
      <c r="B1310" s="38"/>
      <c r="D1310" s="10"/>
      <c r="G1310" s="30" t="str">
        <f aca="false">IF($C1310="","",IFERROR(IF(INDEX(links!$A$2:$A$501,MATCH($C1310,links!$D$2:$D$501,0))="","",INDEX(links!$A$2:$A$501,MATCH($C1310,links!$D$2:$D$501,0))),""))</f>
        <v/>
      </c>
      <c r="H1310" s="30" t="str">
        <f aca="false">IF($C1310="","",IFERROR(IF(INDEX(links!$B$2:$B$501,MATCH($C1310,links!$D$2:$D$501,0))="","",INDEX(links!$B$2:$B$501,MATCH($C1310,links!$D$2:$D$501,0))),""))</f>
        <v/>
      </c>
      <c r="I1310" s="30" t="str">
        <f aca="false">IF($C1310="","",IFERROR(IF(INDEX(links!$C$2:$C$501,MATCH($C1310,links!$D$2:$D$501,0))="","",INDEX(links!$C$2:$C$501,MATCH($C1310,links!$D$2:$D$501,0))),""))</f>
        <v/>
      </c>
      <c r="J1310" s="30" t="str">
        <f aca="false">IF($C1310="","",IF($G1310="","slug not in links; ","")&amp;IF($D1310="","reading type missing; ","")&amp;IF(COUNTIFS(scans!$C$2:$C$1601,$C1310,scans!$D$2:$D$1601,$D1310)&gt;1,"two readings of this type: keep one; ",""))</f>
        <v/>
      </c>
    </row>
    <row r="1311" customFormat="false" ht="15" hidden="false" customHeight="false" outlineLevel="0" collapsed="false">
      <c r="A1311" s="11"/>
      <c r="B1311" s="38"/>
      <c r="D1311" s="10"/>
      <c r="G1311" s="30" t="str">
        <f aca="false">IF($C1311="","",IFERROR(IF(INDEX(links!$A$2:$A$501,MATCH($C1311,links!$D$2:$D$501,0))="","",INDEX(links!$A$2:$A$501,MATCH($C1311,links!$D$2:$D$501,0))),""))</f>
        <v/>
      </c>
      <c r="H1311" s="30" t="str">
        <f aca="false">IF($C1311="","",IFERROR(IF(INDEX(links!$B$2:$B$501,MATCH($C1311,links!$D$2:$D$501,0))="","",INDEX(links!$B$2:$B$501,MATCH($C1311,links!$D$2:$D$501,0))),""))</f>
        <v/>
      </c>
      <c r="I1311" s="30" t="str">
        <f aca="false">IF($C1311="","",IFERROR(IF(INDEX(links!$C$2:$C$501,MATCH($C1311,links!$D$2:$D$501,0))="","",INDEX(links!$C$2:$C$501,MATCH($C1311,links!$D$2:$D$501,0))),""))</f>
        <v/>
      </c>
      <c r="J1311" s="30" t="str">
        <f aca="false">IF($C1311="","",IF($G1311="","slug not in links; ","")&amp;IF($D1311="","reading type missing; ","")&amp;IF(COUNTIFS(scans!$C$2:$C$1601,$C1311,scans!$D$2:$D$1601,$D1311)&gt;1,"two readings of this type: keep one; ",""))</f>
        <v/>
      </c>
    </row>
    <row r="1312" customFormat="false" ht="15" hidden="false" customHeight="false" outlineLevel="0" collapsed="false">
      <c r="A1312" s="11"/>
      <c r="B1312" s="38"/>
      <c r="D1312" s="10"/>
      <c r="G1312" s="30" t="str">
        <f aca="false">IF($C1312="","",IFERROR(IF(INDEX(links!$A$2:$A$501,MATCH($C1312,links!$D$2:$D$501,0))="","",INDEX(links!$A$2:$A$501,MATCH($C1312,links!$D$2:$D$501,0))),""))</f>
        <v/>
      </c>
      <c r="H1312" s="30" t="str">
        <f aca="false">IF($C1312="","",IFERROR(IF(INDEX(links!$B$2:$B$501,MATCH($C1312,links!$D$2:$D$501,0))="","",INDEX(links!$B$2:$B$501,MATCH($C1312,links!$D$2:$D$501,0))),""))</f>
        <v/>
      </c>
      <c r="I1312" s="30" t="str">
        <f aca="false">IF($C1312="","",IFERROR(IF(INDEX(links!$C$2:$C$501,MATCH($C1312,links!$D$2:$D$501,0))="","",INDEX(links!$C$2:$C$501,MATCH($C1312,links!$D$2:$D$501,0))),""))</f>
        <v/>
      </c>
      <c r="J1312" s="30" t="str">
        <f aca="false">IF($C1312="","",IF($G1312="","slug not in links; ","")&amp;IF($D1312="","reading type missing; ","")&amp;IF(COUNTIFS(scans!$C$2:$C$1601,$C1312,scans!$D$2:$D$1601,$D1312)&gt;1,"two readings of this type: keep one; ",""))</f>
        <v/>
      </c>
    </row>
    <row r="1313" customFormat="false" ht="15" hidden="false" customHeight="false" outlineLevel="0" collapsed="false">
      <c r="A1313" s="11"/>
      <c r="B1313" s="38"/>
      <c r="D1313" s="10"/>
      <c r="G1313" s="30" t="str">
        <f aca="false">IF($C1313="","",IFERROR(IF(INDEX(links!$A$2:$A$501,MATCH($C1313,links!$D$2:$D$501,0))="","",INDEX(links!$A$2:$A$501,MATCH($C1313,links!$D$2:$D$501,0))),""))</f>
        <v/>
      </c>
      <c r="H1313" s="30" t="str">
        <f aca="false">IF($C1313="","",IFERROR(IF(INDEX(links!$B$2:$B$501,MATCH($C1313,links!$D$2:$D$501,0))="","",INDEX(links!$B$2:$B$501,MATCH($C1313,links!$D$2:$D$501,0))),""))</f>
        <v/>
      </c>
      <c r="I1313" s="30" t="str">
        <f aca="false">IF($C1313="","",IFERROR(IF(INDEX(links!$C$2:$C$501,MATCH($C1313,links!$D$2:$D$501,0))="","",INDEX(links!$C$2:$C$501,MATCH($C1313,links!$D$2:$D$501,0))),""))</f>
        <v/>
      </c>
      <c r="J1313" s="30" t="str">
        <f aca="false">IF($C1313="","",IF($G1313="","slug not in links; ","")&amp;IF($D1313="","reading type missing; ","")&amp;IF(COUNTIFS(scans!$C$2:$C$1601,$C1313,scans!$D$2:$D$1601,$D1313)&gt;1,"two readings of this type: keep one; ",""))</f>
        <v/>
      </c>
    </row>
    <row r="1314" customFormat="false" ht="15" hidden="false" customHeight="false" outlineLevel="0" collapsed="false">
      <c r="A1314" s="11"/>
      <c r="B1314" s="38"/>
      <c r="D1314" s="10"/>
      <c r="G1314" s="30" t="str">
        <f aca="false">IF($C1314="","",IFERROR(IF(INDEX(links!$A$2:$A$501,MATCH($C1314,links!$D$2:$D$501,0))="","",INDEX(links!$A$2:$A$501,MATCH($C1314,links!$D$2:$D$501,0))),""))</f>
        <v/>
      </c>
      <c r="H1314" s="30" t="str">
        <f aca="false">IF($C1314="","",IFERROR(IF(INDEX(links!$B$2:$B$501,MATCH($C1314,links!$D$2:$D$501,0))="","",INDEX(links!$B$2:$B$501,MATCH($C1314,links!$D$2:$D$501,0))),""))</f>
        <v/>
      </c>
      <c r="I1314" s="30" t="str">
        <f aca="false">IF($C1314="","",IFERROR(IF(INDEX(links!$C$2:$C$501,MATCH($C1314,links!$D$2:$D$501,0))="","",INDEX(links!$C$2:$C$501,MATCH($C1314,links!$D$2:$D$501,0))),""))</f>
        <v/>
      </c>
      <c r="J1314" s="30" t="str">
        <f aca="false">IF($C1314="","",IF($G1314="","slug not in links; ","")&amp;IF($D1314="","reading type missing; ","")&amp;IF(COUNTIFS(scans!$C$2:$C$1601,$C1314,scans!$D$2:$D$1601,$D1314)&gt;1,"two readings of this type: keep one; ",""))</f>
        <v/>
      </c>
    </row>
    <row r="1315" customFormat="false" ht="15" hidden="false" customHeight="false" outlineLevel="0" collapsed="false">
      <c r="A1315" s="11"/>
      <c r="B1315" s="38"/>
      <c r="D1315" s="10"/>
      <c r="G1315" s="30" t="str">
        <f aca="false">IF($C1315="","",IFERROR(IF(INDEX(links!$A$2:$A$501,MATCH($C1315,links!$D$2:$D$501,0))="","",INDEX(links!$A$2:$A$501,MATCH($C1315,links!$D$2:$D$501,0))),""))</f>
        <v/>
      </c>
      <c r="H1315" s="30" t="str">
        <f aca="false">IF($C1315="","",IFERROR(IF(INDEX(links!$B$2:$B$501,MATCH($C1315,links!$D$2:$D$501,0))="","",INDEX(links!$B$2:$B$501,MATCH($C1315,links!$D$2:$D$501,0))),""))</f>
        <v/>
      </c>
      <c r="I1315" s="30" t="str">
        <f aca="false">IF($C1315="","",IFERROR(IF(INDEX(links!$C$2:$C$501,MATCH($C1315,links!$D$2:$D$501,0))="","",INDEX(links!$C$2:$C$501,MATCH($C1315,links!$D$2:$D$501,0))),""))</f>
        <v/>
      </c>
      <c r="J1315" s="30" t="str">
        <f aca="false">IF($C1315="","",IF($G1315="","slug not in links; ","")&amp;IF($D1315="","reading type missing; ","")&amp;IF(COUNTIFS(scans!$C$2:$C$1601,$C1315,scans!$D$2:$D$1601,$D1315)&gt;1,"two readings of this type: keep one; ",""))</f>
        <v/>
      </c>
    </row>
    <row r="1316" customFormat="false" ht="15" hidden="false" customHeight="false" outlineLevel="0" collapsed="false">
      <c r="A1316" s="11"/>
      <c r="B1316" s="38"/>
      <c r="D1316" s="10"/>
      <c r="G1316" s="30" t="str">
        <f aca="false">IF($C1316="","",IFERROR(IF(INDEX(links!$A$2:$A$501,MATCH($C1316,links!$D$2:$D$501,0))="","",INDEX(links!$A$2:$A$501,MATCH($C1316,links!$D$2:$D$501,0))),""))</f>
        <v/>
      </c>
      <c r="H1316" s="30" t="str">
        <f aca="false">IF($C1316="","",IFERROR(IF(INDEX(links!$B$2:$B$501,MATCH($C1316,links!$D$2:$D$501,0))="","",INDEX(links!$B$2:$B$501,MATCH($C1316,links!$D$2:$D$501,0))),""))</f>
        <v/>
      </c>
      <c r="I1316" s="30" t="str">
        <f aca="false">IF($C1316="","",IFERROR(IF(INDEX(links!$C$2:$C$501,MATCH($C1316,links!$D$2:$D$501,0))="","",INDEX(links!$C$2:$C$501,MATCH($C1316,links!$D$2:$D$501,0))),""))</f>
        <v/>
      </c>
      <c r="J1316" s="30" t="str">
        <f aca="false">IF($C1316="","",IF($G1316="","slug not in links; ","")&amp;IF($D1316="","reading type missing; ","")&amp;IF(COUNTIFS(scans!$C$2:$C$1601,$C1316,scans!$D$2:$D$1601,$D1316)&gt;1,"two readings of this type: keep one; ",""))</f>
        <v/>
      </c>
    </row>
    <row r="1317" customFormat="false" ht="15" hidden="false" customHeight="false" outlineLevel="0" collapsed="false">
      <c r="A1317" s="11"/>
      <c r="B1317" s="38"/>
      <c r="D1317" s="10"/>
      <c r="G1317" s="30" t="str">
        <f aca="false">IF($C1317="","",IFERROR(IF(INDEX(links!$A$2:$A$501,MATCH($C1317,links!$D$2:$D$501,0))="","",INDEX(links!$A$2:$A$501,MATCH($C1317,links!$D$2:$D$501,0))),""))</f>
        <v/>
      </c>
      <c r="H1317" s="30" t="str">
        <f aca="false">IF($C1317="","",IFERROR(IF(INDEX(links!$B$2:$B$501,MATCH($C1317,links!$D$2:$D$501,0))="","",INDEX(links!$B$2:$B$501,MATCH($C1317,links!$D$2:$D$501,0))),""))</f>
        <v/>
      </c>
      <c r="I1317" s="30" t="str">
        <f aca="false">IF($C1317="","",IFERROR(IF(INDEX(links!$C$2:$C$501,MATCH($C1317,links!$D$2:$D$501,0))="","",INDEX(links!$C$2:$C$501,MATCH($C1317,links!$D$2:$D$501,0))),""))</f>
        <v/>
      </c>
      <c r="J1317" s="30" t="str">
        <f aca="false">IF($C1317="","",IF($G1317="","slug not in links; ","")&amp;IF($D1317="","reading type missing; ","")&amp;IF(COUNTIFS(scans!$C$2:$C$1601,$C1317,scans!$D$2:$D$1601,$D1317)&gt;1,"two readings of this type: keep one; ",""))</f>
        <v/>
      </c>
    </row>
    <row r="1318" customFormat="false" ht="15" hidden="false" customHeight="false" outlineLevel="0" collapsed="false">
      <c r="A1318" s="11"/>
      <c r="B1318" s="38"/>
      <c r="D1318" s="10"/>
      <c r="G1318" s="30" t="str">
        <f aca="false">IF($C1318="","",IFERROR(IF(INDEX(links!$A$2:$A$501,MATCH($C1318,links!$D$2:$D$501,0))="","",INDEX(links!$A$2:$A$501,MATCH($C1318,links!$D$2:$D$501,0))),""))</f>
        <v/>
      </c>
      <c r="H1318" s="30" t="str">
        <f aca="false">IF($C1318="","",IFERROR(IF(INDEX(links!$B$2:$B$501,MATCH($C1318,links!$D$2:$D$501,0))="","",INDEX(links!$B$2:$B$501,MATCH($C1318,links!$D$2:$D$501,0))),""))</f>
        <v/>
      </c>
      <c r="I1318" s="30" t="str">
        <f aca="false">IF($C1318="","",IFERROR(IF(INDEX(links!$C$2:$C$501,MATCH($C1318,links!$D$2:$D$501,0))="","",INDEX(links!$C$2:$C$501,MATCH($C1318,links!$D$2:$D$501,0))),""))</f>
        <v/>
      </c>
      <c r="J1318" s="30" t="str">
        <f aca="false">IF($C1318="","",IF($G1318="","slug not in links; ","")&amp;IF($D1318="","reading type missing; ","")&amp;IF(COUNTIFS(scans!$C$2:$C$1601,$C1318,scans!$D$2:$D$1601,$D1318)&gt;1,"two readings of this type: keep one; ",""))</f>
        <v/>
      </c>
    </row>
    <row r="1319" customFormat="false" ht="15" hidden="false" customHeight="false" outlineLevel="0" collapsed="false">
      <c r="A1319" s="11"/>
      <c r="B1319" s="38"/>
      <c r="D1319" s="10"/>
      <c r="G1319" s="30" t="str">
        <f aca="false">IF($C1319="","",IFERROR(IF(INDEX(links!$A$2:$A$501,MATCH($C1319,links!$D$2:$D$501,0))="","",INDEX(links!$A$2:$A$501,MATCH($C1319,links!$D$2:$D$501,0))),""))</f>
        <v/>
      </c>
      <c r="H1319" s="30" t="str">
        <f aca="false">IF($C1319="","",IFERROR(IF(INDEX(links!$B$2:$B$501,MATCH($C1319,links!$D$2:$D$501,0))="","",INDEX(links!$B$2:$B$501,MATCH($C1319,links!$D$2:$D$501,0))),""))</f>
        <v/>
      </c>
      <c r="I1319" s="30" t="str">
        <f aca="false">IF($C1319="","",IFERROR(IF(INDEX(links!$C$2:$C$501,MATCH($C1319,links!$D$2:$D$501,0))="","",INDEX(links!$C$2:$C$501,MATCH($C1319,links!$D$2:$D$501,0))),""))</f>
        <v/>
      </c>
      <c r="J1319" s="30" t="str">
        <f aca="false">IF($C1319="","",IF($G1319="","slug not in links; ","")&amp;IF($D1319="","reading type missing; ","")&amp;IF(COUNTIFS(scans!$C$2:$C$1601,$C1319,scans!$D$2:$D$1601,$D1319)&gt;1,"two readings of this type: keep one; ",""))</f>
        <v/>
      </c>
    </row>
    <row r="1320" customFormat="false" ht="15" hidden="false" customHeight="false" outlineLevel="0" collapsed="false">
      <c r="A1320" s="11"/>
      <c r="B1320" s="38"/>
      <c r="D1320" s="10"/>
      <c r="G1320" s="30" t="str">
        <f aca="false">IF($C1320="","",IFERROR(IF(INDEX(links!$A$2:$A$501,MATCH($C1320,links!$D$2:$D$501,0))="","",INDEX(links!$A$2:$A$501,MATCH($C1320,links!$D$2:$D$501,0))),""))</f>
        <v/>
      </c>
      <c r="H1320" s="30" t="str">
        <f aca="false">IF($C1320="","",IFERROR(IF(INDEX(links!$B$2:$B$501,MATCH($C1320,links!$D$2:$D$501,0))="","",INDEX(links!$B$2:$B$501,MATCH($C1320,links!$D$2:$D$501,0))),""))</f>
        <v/>
      </c>
      <c r="I1320" s="30" t="str">
        <f aca="false">IF($C1320="","",IFERROR(IF(INDEX(links!$C$2:$C$501,MATCH($C1320,links!$D$2:$D$501,0))="","",INDEX(links!$C$2:$C$501,MATCH($C1320,links!$D$2:$D$501,0))),""))</f>
        <v/>
      </c>
      <c r="J1320" s="30" t="str">
        <f aca="false">IF($C1320="","",IF($G1320="","slug not in links; ","")&amp;IF($D1320="","reading type missing; ","")&amp;IF(COUNTIFS(scans!$C$2:$C$1601,$C1320,scans!$D$2:$D$1601,$D1320)&gt;1,"two readings of this type: keep one; ",""))</f>
        <v/>
      </c>
    </row>
    <row r="1321" customFormat="false" ht="15" hidden="false" customHeight="false" outlineLevel="0" collapsed="false">
      <c r="A1321" s="11"/>
      <c r="B1321" s="38"/>
      <c r="D1321" s="10"/>
      <c r="G1321" s="30" t="str">
        <f aca="false">IF($C1321="","",IFERROR(IF(INDEX(links!$A$2:$A$501,MATCH($C1321,links!$D$2:$D$501,0))="","",INDEX(links!$A$2:$A$501,MATCH($C1321,links!$D$2:$D$501,0))),""))</f>
        <v/>
      </c>
      <c r="H1321" s="30" t="str">
        <f aca="false">IF($C1321="","",IFERROR(IF(INDEX(links!$B$2:$B$501,MATCH($C1321,links!$D$2:$D$501,0))="","",INDEX(links!$B$2:$B$501,MATCH($C1321,links!$D$2:$D$501,0))),""))</f>
        <v/>
      </c>
      <c r="I1321" s="30" t="str">
        <f aca="false">IF($C1321="","",IFERROR(IF(INDEX(links!$C$2:$C$501,MATCH($C1321,links!$D$2:$D$501,0))="","",INDEX(links!$C$2:$C$501,MATCH($C1321,links!$D$2:$D$501,0))),""))</f>
        <v/>
      </c>
      <c r="J1321" s="30" t="str">
        <f aca="false">IF($C1321="","",IF($G1321="","slug not in links; ","")&amp;IF($D1321="","reading type missing; ","")&amp;IF(COUNTIFS(scans!$C$2:$C$1601,$C1321,scans!$D$2:$D$1601,$D1321)&gt;1,"two readings of this type: keep one; ",""))</f>
        <v/>
      </c>
    </row>
    <row r="1322" customFormat="false" ht="15" hidden="false" customHeight="false" outlineLevel="0" collapsed="false">
      <c r="A1322" s="11"/>
      <c r="B1322" s="38"/>
      <c r="D1322" s="10"/>
      <c r="G1322" s="30" t="str">
        <f aca="false">IF($C1322="","",IFERROR(IF(INDEX(links!$A$2:$A$501,MATCH($C1322,links!$D$2:$D$501,0))="","",INDEX(links!$A$2:$A$501,MATCH($C1322,links!$D$2:$D$501,0))),""))</f>
        <v/>
      </c>
      <c r="H1322" s="30" t="str">
        <f aca="false">IF($C1322="","",IFERROR(IF(INDEX(links!$B$2:$B$501,MATCH($C1322,links!$D$2:$D$501,0))="","",INDEX(links!$B$2:$B$501,MATCH($C1322,links!$D$2:$D$501,0))),""))</f>
        <v/>
      </c>
      <c r="I1322" s="30" t="str">
        <f aca="false">IF($C1322="","",IFERROR(IF(INDEX(links!$C$2:$C$501,MATCH($C1322,links!$D$2:$D$501,0))="","",INDEX(links!$C$2:$C$501,MATCH($C1322,links!$D$2:$D$501,0))),""))</f>
        <v/>
      </c>
      <c r="J1322" s="30" t="str">
        <f aca="false">IF($C1322="","",IF($G1322="","slug not in links; ","")&amp;IF($D1322="","reading type missing; ","")&amp;IF(COUNTIFS(scans!$C$2:$C$1601,$C1322,scans!$D$2:$D$1601,$D1322)&gt;1,"two readings of this type: keep one; ",""))</f>
        <v/>
      </c>
    </row>
    <row r="1323" customFormat="false" ht="15" hidden="false" customHeight="false" outlineLevel="0" collapsed="false">
      <c r="A1323" s="11"/>
      <c r="B1323" s="38"/>
      <c r="D1323" s="10"/>
      <c r="G1323" s="30" t="str">
        <f aca="false">IF($C1323="","",IFERROR(IF(INDEX(links!$A$2:$A$501,MATCH($C1323,links!$D$2:$D$501,0))="","",INDEX(links!$A$2:$A$501,MATCH($C1323,links!$D$2:$D$501,0))),""))</f>
        <v/>
      </c>
      <c r="H1323" s="30" t="str">
        <f aca="false">IF($C1323="","",IFERROR(IF(INDEX(links!$B$2:$B$501,MATCH($C1323,links!$D$2:$D$501,0))="","",INDEX(links!$B$2:$B$501,MATCH($C1323,links!$D$2:$D$501,0))),""))</f>
        <v/>
      </c>
      <c r="I1323" s="30" t="str">
        <f aca="false">IF($C1323="","",IFERROR(IF(INDEX(links!$C$2:$C$501,MATCH($C1323,links!$D$2:$D$501,0))="","",INDEX(links!$C$2:$C$501,MATCH($C1323,links!$D$2:$D$501,0))),""))</f>
        <v/>
      </c>
      <c r="J1323" s="30" t="str">
        <f aca="false">IF($C1323="","",IF($G1323="","slug not in links; ","")&amp;IF($D1323="","reading type missing; ","")&amp;IF(COUNTIFS(scans!$C$2:$C$1601,$C1323,scans!$D$2:$D$1601,$D1323)&gt;1,"two readings of this type: keep one; ",""))</f>
        <v/>
      </c>
    </row>
    <row r="1324" customFormat="false" ht="15" hidden="false" customHeight="false" outlineLevel="0" collapsed="false">
      <c r="A1324" s="11"/>
      <c r="B1324" s="38"/>
      <c r="D1324" s="10"/>
      <c r="G1324" s="30" t="str">
        <f aca="false">IF($C1324="","",IFERROR(IF(INDEX(links!$A$2:$A$501,MATCH($C1324,links!$D$2:$D$501,0))="","",INDEX(links!$A$2:$A$501,MATCH($C1324,links!$D$2:$D$501,0))),""))</f>
        <v/>
      </c>
      <c r="H1324" s="30" t="str">
        <f aca="false">IF($C1324="","",IFERROR(IF(INDEX(links!$B$2:$B$501,MATCH($C1324,links!$D$2:$D$501,0))="","",INDEX(links!$B$2:$B$501,MATCH($C1324,links!$D$2:$D$501,0))),""))</f>
        <v/>
      </c>
      <c r="I1324" s="30" t="str">
        <f aca="false">IF($C1324="","",IFERROR(IF(INDEX(links!$C$2:$C$501,MATCH($C1324,links!$D$2:$D$501,0))="","",INDEX(links!$C$2:$C$501,MATCH($C1324,links!$D$2:$D$501,0))),""))</f>
        <v/>
      </c>
      <c r="J1324" s="30" t="str">
        <f aca="false">IF($C1324="","",IF($G1324="","slug not in links; ","")&amp;IF($D1324="","reading type missing; ","")&amp;IF(COUNTIFS(scans!$C$2:$C$1601,$C1324,scans!$D$2:$D$1601,$D1324)&gt;1,"two readings of this type: keep one; ",""))</f>
        <v/>
      </c>
    </row>
    <row r="1325" customFormat="false" ht="15" hidden="false" customHeight="false" outlineLevel="0" collapsed="false">
      <c r="A1325" s="11"/>
      <c r="B1325" s="38"/>
      <c r="D1325" s="10"/>
      <c r="G1325" s="30" t="str">
        <f aca="false">IF($C1325="","",IFERROR(IF(INDEX(links!$A$2:$A$501,MATCH($C1325,links!$D$2:$D$501,0))="","",INDEX(links!$A$2:$A$501,MATCH($C1325,links!$D$2:$D$501,0))),""))</f>
        <v/>
      </c>
      <c r="H1325" s="30" t="str">
        <f aca="false">IF($C1325="","",IFERROR(IF(INDEX(links!$B$2:$B$501,MATCH($C1325,links!$D$2:$D$501,0))="","",INDEX(links!$B$2:$B$501,MATCH($C1325,links!$D$2:$D$501,0))),""))</f>
        <v/>
      </c>
      <c r="I1325" s="30" t="str">
        <f aca="false">IF($C1325="","",IFERROR(IF(INDEX(links!$C$2:$C$501,MATCH($C1325,links!$D$2:$D$501,0))="","",INDEX(links!$C$2:$C$501,MATCH($C1325,links!$D$2:$D$501,0))),""))</f>
        <v/>
      </c>
      <c r="J1325" s="30" t="str">
        <f aca="false">IF($C1325="","",IF($G1325="","slug not in links; ","")&amp;IF($D1325="","reading type missing; ","")&amp;IF(COUNTIFS(scans!$C$2:$C$1601,$C1325,scans!$D$2:$D$1601,$D1325)&gt;1,"two readings of this type: keep one; ",""))</f>
        <v/>
      </c>
    </row>
    <row r="1326" customFormat="false" ht="15" hidden="false" customHeight="false" outlineLevel="0" collapsed="false">
      <c r="A1326" s="11"/>
      <c r="B1326" s="38"/>
      <c r="D1326" s="10"/>
      <c r="G1326" s="30" t="str">
        <f aca="false">IF($C1326="","",IFERROR(IF(INDEX(links!$A$2:$A$501,MATCH($C1326,links!$D$2:$D$501,0))="","",INDEX(links!$A$2:$A$501,MATCH($C1326,links!$D$2:$D$501,0))),""))</f>
        <v/>
      </c>
      <c r="H1326" s="30" t="str">
        <f aca="false">IF($C1326="","",IFERROR(IF(INDEX(links!$B$2:$B$501,MATCH($C1326,links!$D$2:$D$501,0))="","",INDEX(links!$B$2:$B$501,MATCH($C1326,links!$D$2:$D$501,0))),""))</f>
        <v/>
      </c>
      <c r="I1326" s="30" t="str">
        <f aca="false">IF($C1326="","",IFERROR(IF(INDEX(links!$C$2:$C$501,MATCH($C1326,links!$D$2:$D$501,0))="","",INDEX(links!$C$2:$C$501,MATCH($C1326,links!$D$2:$D$501,0))),""))</f>
        <v/>
      </c>
      <c r="J1326" s="30" t="str">
        <f aca="false">IF($C1326="","",IF($G1326="","slug not in links; ","")&amp;IF($D1326="","reading type missing; ","")&amp;IF(COUNTIFS(scans!$C$2:$C$1601,$C1326,scans!$D$2:$D$1601,$D1326)&gt;1,"two readings of this type: keep one; ",""))</f>
        <v/>
      </c>
    </row>
    <row r="1327" customFormat="false" ht="15" hidden="false" customHeight="false" outlineLevel="0" collapsed="false">
      <c r="A1327" s="11"/>
      <c r="B1327" s="38"/>
      <c r="D1327" s="10"/>
      <c r="G1327" s="30" t="str">
        <f aca="false">IF($C1327="","",IFERROR(IF(INDEX(links!$A$2:$A$501,MATCH($C1327,links!$D$2:$D$501,0))="","",INDEX(links!$A$2:$A$501,MATCH($C1327,links!$D$2:$D$501,0))),""))</f>
        <v/>
      </c>
      <c r="H1327" s="30" t="str">
        <f aca="false">IF($C1327="","",IFERROR(IF(INDEX(links!$B$2:$B$501,MATCH($C1327,links!$D$2:$D$501,0))="","",INDEX(links!$B$2:$B$501,MATCH($C1327,links!$D$2:$D$501,0))),""))</f>
        <v/>
      </c>
      <c r="I1327" s="30" t="str">
        <f aca="false">IF($C1327="","",IFERROR(IF(INDEX(links!$C$2:$C$501,MATCH($C1327,links!$D$2:$D$501,0))="","",INDEX(links!$C$2:$C$501,MATCH($C1327,links!$D$2:$D$501,0))),""))</f>
        <v/>
      </c>
      <c r="J1327" s="30" t="str">
        <f aca="false">IF($C1327="","",IF($G1327="","slug not in links; ","")&amp;IF($D1327="","reading type missing; ","")&amp;IF(COUNTIFS(scans!$C$2:$C$1601,$C1327,scans!$D$2:$D$1601,$D1327)&gt;1,"two readings of this type: keep one; ",""))</f>
        <v/>
      </c>
    </row>
    <row r="1328" customFormat="false" ht="15" hidden="false" customHeight="false" outlineLevel="0" collapsed="false">
      <c r="A1328" s="11"/>
      <c r="B1328" s="38"/>
      <c r="D1328" s="10"/>
      <c r="G1328" s="30" t="str">
        <f aca="false">IF($C1328="","",IFERROR(IF(INDEX(links!$A$2:$A$501,MATCH($C1328,links!$D$2:$D$501,0))="","",INDEX(links!$A$2:$A$501,MATCH($C1328,links!$D$2:$D$501,0))),""))</f>
        <v/>
      </c>
      <c r="H1328" s="30" t="str">
        <f aca="false">IF($C1328="","",IFERROR(IF(INDEX(links!$B$2:$B$501,MATCH($C1328,links!$D$2:$D$501,0))="","",INDEX(links!$B$2:$B$501,MATCH($C1328,links!$D$2:$D$501,0))),""))</f>
        <v/>
      </c>
      <c r="I1328" s="30" t="str">
        <f aca="false">IF($C1328="","",IFERROR(IF(INDEX(links!$C$2:$C$501,MATCH($C1328,links!$D$2:$D$501,0))="","",INDEX(links!$C$2:$C$501,MATCH($C1328,links!$D$2:$D$501,0))),""))</f>
        <v/>
      </c>
      <c r="J1328" s="30" t="str">
        <f aca="false">IF($C1328="","",IF($G1328="","slug not in links; ","")&amp;IF($D1328="","reading type missing; ","")&amp;IF(COUNTIFS(scans!$C$2:$C$1601,$C1328,scans!$D$2:$D$1601,$D1328)&gt;1,"two readings of this type: keep one; ",""))</f>
        <v/>
      </c>
    </row>
    <row r="1329" customFormat="false" ht="15" hidden="false" customHeight="false" outlineLevel="0" collapsed="false">
      <c r="A1329" s="11"/>
      <c r="B1329" s="38"/>
      <c r="D1329" s="10"/>
      <c r="G1329" s="30" t="str">
        <f aca="false">IF($C1329="","",IFERROR(IF(INDEX(links!$A$2:$A$501,MATCH($C1329,links!$D$2:$D$501,0))="","",INDEX(links!$A$2:$A$501,MATCH($C1329,links!$D$2:$D$501,0))),""))</f>
        <v/>
      </c>
      <c r="H1329" s="30" t="str">
        <f aca="false">IF($C1329="","",IFERROR(IF(INDEX(links!$B$2:$B$501,MATCH($C1329,links!$D$2:$D$501,0))="","",INDEX(links!$B$2:$B$501,MATCH($C1329,links!$D$2:$D$501,0))),""))</f>
        <v/>
      </c>
      <c r="I1329" s="30" t="str">
        <f aca="false">IF($C1329="","",IFERROR(IF(INDEX(links!$C$2:$C$501,MATCH($C1329,links!$D$2:$D$501,0))="","",INDEX(links!$C$2:$C$501,MATCH($C1329,links!$D$2:$D$501,0))),""))</f>
        <v/>
      </c>
      <c r="J1329" s="30" t="str">
        <f aca="false">IF($C1329="","",IF($G1329="","slug not in links; ","")&amp;IF($D1329="","reading type missing; ","")&amp;IF(COUNTIFS(scans!$C$2:$C$1601,$C1329,scans!$D$2:$D$1601,$D1329)&gt;1,"two readings of this type: keep one; ",""))</f>
        <v/>
      </c>
    </row>
    <row r="1330" customFormat="false" ht="15" hidden="false" customHeight="false" outlineLevel="0" collapsed="false">
      <c r="A1330" s="11"/>
      <c r="B1330" s="38"/>
      <c r="D1330" s="10"/>
      <c r="G1330" s="30" t="str">
        <f aca="false">IF($C1330="","",IFERROR(IF(INDEX(links!$A$2:$A$501,MATCH($C1330,links!$D$2:$D$501,0))="","",INDEX(links!$A$2:$A$501,MATCH($C1330,links!$D$2:$D$501,0))),""))</f>
        <v/>
      </c>
      <c r="H1330" s="30" t="str">
        <f aca="false">IF($C1330="","",IFERROR(IF(INDEX(links!$B$2:$B$501,MATCH($C1330,links!$D$2:$D$501,0))="","",INDEX(links!$B$2:$B$501,MATCH($C1330,links!$D$2:$D$501,0))),""))</f>
        <v/>
      </c>
      <c r="I1330" s="30" t="str">
        <f aca="false">IF($C1330="","",IFERROR(IF(INDEX(links!$C$2:$C$501,MATCH($C1330,links!$D$2:$D$501,0))="","",INDEX(links!$C$2:$C$501,MATCH($C1330,links!$D$2:$D$501,0))),""))</f>
        <v/>
      </c>
      <c r="J1330" s="30" t="str">
        <f aca="false">IF($C1330="","",IF($G1330="","slug not in links; ","")&amp;IF($D1330="","reading type missing; ","")&amp;IF(COUNTIFS(scans!$C$2:$C$1601,$C1330,scans!$D$2:$D$1601,$D1330)&gt;1,"two readings of this type: keep one; ",""))</f>
        <v/>
      </c>
    </row>
    <row r="1331" customFormat="false" ht="15" hidden="false" customHeight="false" outlineLevel="0" collapsed="false">
      <c r="A1331" s="11"/>
      <c r="B1331" s="38"/>
      <c r="D1331" s="10"/>
      <c r="G1331" s="30" t="str">
        <f aca="false">IF($C1331="","",IFERROR(IF(INDEX(links!$A$2:$A$501,MATCH($C1331,links!$D$2:$D$501,0))="","",INDEX(links!$A$2:$A$501,MATCH($C1331,links!$D$2:$D$501,0))),""))</f>
        <v/>
      </c>
      <c r="H1331" s="30" t="str">
        <f aca="false">IF($C1331="","",IFERROR(IF(INDEX(links!$B$2:$B$501,MATCH($C1331,links!$D$2:$D$501,0))="","",INDEX(links!$B$2:$B$501,MATCH($C1331,links!$D$2:$D$501,0))),""))</f>
        <v/>
      </c>
      <c r="I1331" s="30" t="str">
        <f aca="false">IF($C1331="","",IFERROR(IF(INDEX(links!$C$2:$C$501,MATCH($C1331,links!$D$2:$D$501,0))="","",INDEX(links!$C$2:$C$501,MATCH($C1331,links!$D$2:$D$501,0))),""))</f>
        <v/>
      </c>
      <c r="J1331" s="30" t="str">
        <f aca="false">IF($C1331="","",IF($G1331="","slug not in links; ","")&amp;IF($D1331="","reading type missing; ","")&amp;IF(COUNTIFS(scans!$C$2:$C$1601,$C1331,scans!$D$2:$D$1601,$D1331)&gt;1,"two readings of this type: keep one; ",""))</f>
        <v/>
      </c>
    </row>
    <row r="1332" customFormat="false" ht="15" hidden="false" customHeight="false" outlineLevel="0" collapsed="false">
      <c r="A1332" s="11"/>
      <c r="B1332" s="38"/>
      <c r="D1332" s="10"/>
      <c r="G1332" s="30" t="str">
        <f aca="false">IF($C1332="","",IFERROR(IF(INDEX(links!$A$2:$A$501,MATCH($C1332,links!$D$2:$D$501,0))="","",INDEX(links!$A$2:$A$501,MATCH($C1332,links!$D$2:$D$501,0))),""))</f>
        <v/>
      </c>
      <c r="H1332" s="30" t="str">
        <f aca="false">IF($C1332="","",IFERROR(IF(INDEX(links!$B$2:$B$501,MATCH($C1332,links!$D$2:$D$501,0))="","",INDEX(links!$B$2:$B$501,MATCH($C1332,links!$D$2:$D$501,0))),""))</f>
        <v/>
      </c>
      <c r="I1332" s="30" t="str">
        <f aca="false">IF($C1332="","",IFERROR(IF(INDEX(links!$C$2:$C$501,MATCH($C1332,links!$D$2:$D$501,0))="","",INDEX(links!$C$2:$C$501,MATCH($C1332,links!$D$2:$D$501,0))),""))</f>
        <v/>
      </c>
      <c r="J1332" s="30" t="str">
        <f aca="false">IF($C1332="","",IF($G1332="","slug not in links; ","")&amp;IF($D1332="","reading type missing; ","")&amp;IF(COUNTIFS(scans!$C$2:$C$1601,$C1332,scans!$D$2:$D$1601,$D1332)&gt;1,"two readings of this type: keep one; ",""))</f>
        <v/>
      </c>
    </row>
    <row r="1333" customFormat="false" ht="15" hidden="false" customHeight="false" outlineLevel="0" collapsed="false">
      <c r="A1333" s="11"/>
      <c r="B1333" s="38"/>
      <c r="D1333" s="10"/>
      <c r="G1333" s="30" t="str">
        <f aca="false">IF($C1333="","",IFERROR(IF(INDEX(links!$A$2:$A$501,MATCH($C1333,links!$D$2:$D$501,0))="","",INDEX(links!$A$2:$A$501,MATCH($C1333,links!$D$2:$D$501,0))),""))</f>
        <v/>
      </c>
      <c r="H1333" s="30" t="str">
        <f aca="false">IF($C1333="","",IFERROR(IF(INDEX(links!$B$2:$B$501,MATCH($C1333,links!$D$2:$D$501,0))="","",INDEX(links!$B$2:$B$501,MATCH($C1333,links!$D$2:$D$501,0))),""))</f>
        <v/>
      </c>
      <c r="I1333" s="30" t="str">
        <f aca="false">IF($C1333="","",IFERROR(IF(INDEX(links!$C$2:$C$501,MATCH($C1333,links!$D$2:$D$501,0))="","",INDEX(links!$C$2:$C$501,MATCH($C1333,links!$D$2:$D$501,0))),""))</f>
        <v/>
      </c>
      <c r="J1333" s="30" t="str">
        <f aca="false">IF($C1333="","",IF($G1333="","slug not in links; ","")&amp;IF($D1333="","reading type missing; ","")&amp;IF(COUNTIFS(scans!$C$2:$C$1601,$C1333,scans!$D$2:$D$1601,$D1333)&gt;1,"two readings of this type: keep one; ",""))</f>
        <v/>
      </c>
    </row>
    <row r="1334" customFormat="false" ht="15" hidden="false" customHeight="false" outlineLevel="0" collapsed="false">
      <c r="A1334" s="11"/>
      <c r="B1334" s="38"/>
      <c r="D1334" s="10"/>
      <c r="G1334" s="30" t="str">
        <f aca="false">IF($C1334="","",IFERROR(IF(INDEX(links!$A$2:$A$501,MATCH($C1334,links!$D$2:$D$501,0))="","",INDEX(links!$A$2:$A$501,MATCH($C1334,links!$D$2:$D$501,0))),""))</f>
        <v/>
      </c>
      <c r="H1334" s="30" t="str">
        <f aca="false">IF($C1334="","",IFERROR(IF(INDEX(links!$B$2:$B$501,MATCH($C1334,links!$D$2:$D$501,0))="","",INDEX(links!$B$2:$B$501,MATCH($C1334,links!$D$2:$D$501,0))),""))</f>
        <v/>
      </c>
      <c r="I1334" s="30" t="str">
        <f aca="false">IF($C1334="","",IFERROR(IF(INDEX(links!$C$2:$C$501,MATCH($C1334,links!$D$2:$D$501,0))="","",INDEX(links!$C$2:$C$501,MATCH($C1334,links!$D$2:$D$501,0))),""))</f>
        <v/>
      </c>
      <c r="J1334" s="30" t="str">
        <f aca="false">IF($C1334="","",IF($G1334="","slug not in links; ","")&amp;IF($D1334="","reading type missing; ","")&amp;IF(COUNTIFS(scans!$C$2:$C$1601,$C1334,scans!$D$2:$D$1601,$D1334)&gt;1,"two readings of this type: keep one; ",""))</f>
        <v/>
      </c>
    </row>
    <row r="1335" customFormat="false" ht="15" hidden="false" customHeight="false" outlineLevel="0" collapsed="false">
      <c r="A1335" s="11"/>
      <c r="B1335" s="38"/>
      <c r="D1335" s="10"/>
      <c r="G1335" s="30" t="str">
        <f aca="false">IF($C1335="","",IFERROR(IF(INDEX(links!$A$2:$A$501,MATCH($C1335,links!$D$2:$D$501,0))="","",INDEX(links!$A$2:$A$501,MATCH($C1335,links!$D$2:$D$501,0))),""))</f>
        <v/>
      </c>
      <c r="H1335" s="30" t="str">
        <f aca="false">IF($C1335="","",IFERROR(IF(INDEX(links!$B$2:$B$501,MATCH($C1335,links!$D$2:$D$501,0))="","",INDEX(links!$B$2:$B$501,MATCH($C1335,links!$D$2:$D$501,0))),""))</f>
        <v/>
      </c>
      <c r="I1335" s="30" t="str">
        <f aca="false">IF($C1335="","",IFERROR(IF(INDEX(links!$C$2:$C$501,MATCH($C1335,links!$D$2:$D$501,0))="","",INDEX(links!$C$2:$C$501,MATCH($C1335,links!$D$2:$D$501,0))),""))</f>
        <v/>
      </c>
      <c r="J1335" s="30" t="str">
        <f aca="false">IF($C1335="","",IF($G1335="","slug not in links; ","")&amp;IF($D1335="","reading type missing; ","")&amp;IF(COUNTIFS(scans!$C$2:$C$1601,$C1335,scans!$D$2:$D$1601,$D1335)&gt;1,"two readings of this type: keep one; ",""))</f>
        <v/>
      </c>
    </row>
    <row r="1336" customFormat="false" ht="15" hidden="false" customHeight="false" outlineLevel="0" collapsed="false">
      <c r="A1336" s="11"/>
      <c r="B1336" s="38"/>
      <c r="D1336" s="10"/>
      <c r="G1336" s="30" t="str">
        <f aca="false">IF($C1336="","",IFERROR(IF(INDEX(links!$A$2:$A$501,MATCH($C1336,links!$D$2:$D$501,0))="","",INDEX(links!$A$2:$A$501,MATCH($C1336,links!$D$2:$D$501,0))),""))</f>
        <v/>
      </c>
      <c r="H1336" s="30" t="str">
        <f aca="false">IF($C1336="","",IFERROR(IF(INDEX(links!$B$2:$B$501,MATCH($C1336,links!$D$2:$D$501,0))="","",INDEX(links!$B$2:$B$501,MATCH($C1336,links!$D$2:$D$501,0))),""))</f>
        <v/>
      </c>
      <c r="I1336" s="30" t="str">
        <f aca="false">IF($C1336="","",IFERROR(IF(INDEX(links!$C$2:$C$501,MATCH($C1336,links!$D$2:$D$501,0))="","",INDEX(links!$C$2:$C$501,MATCH($C1336,links!$D$2:$D$501,0))),""))</f>
        <v/>
      </c>
      <c r="J1336" s="30" t="str">
        <f aca="false">IF($C1336="","",IF($G1336="","slug not in links; ","")&amp;IF($D1336="","reading type missing; ","")&amp;IF(COUNTIFS(scans!$C$2:$C$1601,$C1336,scans!$D$2:$D$1601,$D1336)&gt;1,"two readings of this type: keep one; ",""))</f>
        <v/>
      </c>
    </row>
    <row r="1337" customFormat="false" ht="15" hidden="false" customHeight="false" outlineLevel="0" collapsed="false">
      <c r="A1337" s="11"/>
      <c r="B1337" s="38"/>
      <c r="D1337" s="10"/>
      <c r="G1337" s="30" t="str">
        <f aca="false">IF($C1337="","",IFERROR(IF(INDEX(links!$A$2:$A$501,MATCH($C1337,links!$D$2:$D$501,0))="","",INDEX(links!$A$2:$A$501,MATCH($C1337,links!$D$2:$D$501,0))),""))</f>
        <v/>
      </c>
      <c r="H1337" s="30" t="str">
        <f aca="false">IF($C1337="","",IFERROR(IF(INDEX(links!$B$2:$B$501,MATCH($C1337,links!$D$2:$D$501,0))="","",INDEX(links!$B$2:$B$501,MATCH($C1337,links!$D$2:$D$501,0))),""))</f>
        <v/>
      </c>
      <c r="I1337" s="30" t="str">
        <f aca="false">IF($C1337="","",IFERROR(IF(INDEX(links!$C$2:$C$501,MATCH($C1337,links!$D$2:$D$501,0))="","",INDEX(links!$C$2:$C$501,MATCH($C1337,links!$D$2:$D$501,0))),""))</f>
        <v/>
      </c>
      <c r="J1337" s="30" t="str">
        <f aca="false">IF($C1337="","",IF($G1337="","slug not in links; ","")&amp;IF($D1337="","reading type missing; ","")&amp;IF(COUNTIFS(scans!$C$2:$C$1601,$C1337,scans!$D$2:$D$1601,$D1337)&gt;1,"two readings of this type: keep one; ",""))</f>
        <v/>
      </c>
    </row>
    <row r="1338" customFormat="false" ht="15" hidden="false" customHeight="false" outlineLevel="0" collapsed="false">
      <c r="A1338" s="11"/>
      <c r="B1338" s="38"/>
      <c r="D1338" s="10"/>
      <c r="G1338" s="30" t="str">
        <f aca="false">IF($C1338="","",IFERROR(IF(INDEX(links!$A$2:$A$501,MATCH($C1338,links!$D$2:$D$501,0))="","",INDEX(links!$A$2:$A$501,MATCH($C1338,links!$D$2:$D$501,0))),""))</f>
        <v/>
      </c>
      <c r="H1338" s="30" t="str">
        <f aca="false">IF($C1338="","",IFERROR(IF(INDEX(links!$B$2:$B$501,MATCH($C1338,links!$D$2:$D$501,0))="","",INDEX(links!$B$2:$B$501,MATCH($C1338,links!$D$2:$D$501,0))),""))</f>
        <v/>
      </c>
      <c r="I1338" s="30" t="str">
        <f aca="false">IF($C1338="","",IFERROR(IF(INDEX(links!$C$2:$C$501,MATCH($C1338,links!$D$2:$D$501,0))="","",INDEX(links!$C$2:$C$501,MATCH($C1338,links!$D$2:$D$501,0))),""))</f>
        <v/>
      </c>
      <c r="J1338" s="30" t="str">
        <f aca="false">IF($C1338="","",IF($G1338="","slug not in links; ","")&amp;IF($D1338="","reading type missing; ","")&amp;IF(COUNTIFS(scans!$C$2:$C$1601,$C1338,scans!$D$2:$D$1601,$D1338)&gt;1,"two readings of this type: keep one; ",""))</f>
        <v/>
      </c>
    </row>
    <row r="1339" customFormat="false" ht="15" hidden="false" customHeight="false" outlineLevel="0" collapsed="false">
      <c r="A1339" s="11"/>
      <c r="B1339" s="38"/>
      <c r="D1339" s="10"/>
      <c r="G1339" s="30" t="str">
        <f aca="false">IF($C1339="","",IFERROR(IF(INDEX(links!$A$2:$A$501,MATCH($C1339,links!$D$2:$D$501,0))="","",INDEX(links!$A$2:$A$501,MATCH($C1339,links!$D$2:$D$501,0))),""))</f>
        <v/>
      </c>
      <c r="H1339" s="30" t="str">
        <f aca="false">IF($C1339="","",IFERROR(IF(INDEX(links!$B$2:$B$501,MATCH($C1339,links!$D$2:$D$501,0))="","",INDEX(links!$B$2:$B$501,MATCH($C1339,links!$D$2:$D$501,0))),""))</f>
        <v/>
      </c>
      <c r="I1339" s="30" t="str">
        <f aca="false">IF($C1339="","",IFERROR(IF(INDEX(links!$C$2:$C$501,MATCH($C1339,links!$D$2:$D$501,0))="","",INDEX(links!$C$2:$C$501,MATCH($C1339,links!$D$2:$D$501,0))),""))</f>
        <v/>
      </c>
      <c r="J1339" s="30" t="str">
        <f aca="false">IF($C1339="","",IF($G1339="","slug not in links; ","")&amp;IF($D1339="","reading type missing; ","")&amp;IF(COUNTIFS(scans!$C$2:$C$1601,$C1339,scans!$D$2:$D$1601,$D1339)&gt;1,"two readings of this type: keep one; ",""))</f>
        <v/>
      </c>
    </row>
    <row r="1340" customFormat="false" ht="15" hidden="false" customHeight="false" outlineLevel="0" collapsed="false">
      <c r="A1340" s="11"/>
      <c r="B1340" s="38"/>
      <c r="D1340" s="10"/>
      <c r="G1340" s="30" t="str">
        <f aca="false">IF($C1340="","",IFERROR(IF(INDEX(links!$A$2:$A$501,MATCH($C1340,links!$D$2:$D$501,0))="","",INDEX(links!$A$2:$A$501,MATCH($C1340,links!$D$2:$D$501,0))),""))</f>
        <v/>
      </c>
      <c r="H1340" s="30" t="str">
        <f aca="false">IF($C1340="","",IFERROR(IF(INDEX(links!$B$2:$B$501,MATCH($C1340,links!$D$2:$D$501,0))="","",INDEX(links!$B$2:$B$501,MATCH($C1340,links!$D$2:$D$501,0))),""))</f>
        <v/>
      </c>
      <c r="I1340" s="30" t="str">
        <f aca="false">IF($C1340="","",IFERROR(IF(INDEX(links!$C$2:$C$501,MATCH($C1340,links!$D$2:$D$501,0))="","",INDEX(links!$C$2:$C$501,MATCH($C1340,links!$D$2:$D$501,0))),""))</f>
        <v/>
      </c>
      <c r="J1340" s="30" t="str">
        <f aca="false">IF($C1340="","",IF($G1340="","slug not in links; ","")&amp;IF($D1340="","reading type missing; ","")&amp;IF(COUNTIFS(scans!$C$2:$C$1601,$C1340,scans!$D$2:$D$1601,$D1340)&gt;1,"two readings of this type: keep one; ",""))</f>
        <v/>
      </c>
    </row>
    <row r="1341" customFormat="false" ht="15" hidden="false" customHeight="false" outlineLevel="0" collapsed="false">
      <c r="A1341" s="11"/>
      <c r="B1341" s="38"/>
      <c r="D1341" s="10"/>
      <c r="G1341" s="30" t="str">
        <f aca="false">IF($C1341="","",IFERROR(IF(INDEX(links!$A$2:$A$501,MATCH($C1341,links!$D$2:$D$501,0))="","",INDEX(links!$A$2:$A$501,MATCH($C1341,links!$D$2:$D$501,0))),""))</f>
        <v/>
      </c>
      <c r="H1341" s="30" t="str">
        <f aca="false">IF($C1341="","",IFERROR(IF(INDEX(links!$B$2:$B$501,MATCH($C1341,links!$D$2:$D$501,0))="","",INDEX(links!$B$2:$B$501,MATCH($C1341,links!$D$2:$D$501,0))),""))</f>
        <v/>
      </c>
      <c r="I1341" s="30" t="str">
        <f aca="false">IF($C1341="","",IFERROR(IF(INDEX(links!$C$2:$C$501,MATCH($C1341,links!$D$2:$D$501,0))="","",INDEX(links!$C$2:$C$501,MATCH($C1341,links!$D$2:$D$501,0))),""))</f>
        <v/>
      </c>
      <c r="J1341" s="30" t="str">
        <f aca="false">IF($C1341="","",IF($G1341="","slug not in links; ","")&amp;IF($D1341="","reading type missing; ","")&amp;IF(COUNTIFS(scans!$C$2:$C$1601,$C1341,scans!$D$2:$D$1601,$D1341)&gt;1,"two readings of this type: keep one; ",""))</f>
        <v/>
      </c>
    </row>
    <row r="1342" customFormat="false" ht="15" hidden="false" customHeight="false" outlineLevel="0" collapsed="false">
      <c r="A1342" s="11"/>
      <c r="B1342" s="38"/>
      <c r="D1342" s="10"/>
      <c r="G1342" s="30" t="str">
        <f aca="false">IF($C1342="","",IFERROR(IF(INDEX(links!$A$2:$A$501,MATCH($C1342,links!$D$2:$D$501,0))="","",INDEX(links!$A$2:$A$501,MATCH($C1342,links!$D$2:$D$501,0))),""))</f>
        <v/>
      </c>
      <c r="H1342" s="30" t="str">
        <f aca="false">IF($C1342="","",IFERROR(IF(INDEX(links!$B$2:$B$501,MATCH($C1342,links!$D$2:$D$501,0))="","",INDEX(links!$B$2:$B$501,MATCH($C1342,links!$D$2:$D$501,0))),""))</f>
        <v/>
      </c>
      <c r="I1342" s="30" t="str">
        <f aca="false">IF($C1342="","",IFERROR(IF(INDEX(links!$C$2:$C$501,MATCH($C1342,links!$D$2:$D$501,0))="","",INDEX(links!$C$2:$C$501,MATCH($C1342,links!$D$2:$D$501,0))),""))</f>
        <v/>
      </c>
      <c r="J1342" s="30" t="str">
        <f aca="false">IF($C1342="","",IF($G1342="","slug not in links; ","")&amp;IF($D1342="","reading type missing; ","")&amp;IF(COUNTIFS(scans!$C$2:$C$1601,$C1342,scans!$D$2:$D$1601,$D1342)&gt;1,"two readings of this type: keep one; ",""))</f>
        <v/>
      </c>
    </row>
    <row r="1343" customFormat="false" ht="15" hidden="false" customHeight="false" outlineLevel="0" collapsed="false">
      <c r="A1343" s="11"/>
      <c r="B1343" s="38"/>
      <c r="D1343" s="10"/>
      <c r="G1343" s="30" t="str">
        <f aca="false">IF($C1343="","",IFERROR(IF(INDEX(links!$A$2:$A$501,MATCH($C1343,links!$D$2:$D$501,0))="","",INDEX(links!$A$2:$A$501,MATCH($C1343,links!$D$2:$D$501,0))),""))</f>
        <v/>
      </c>
      <c r="H1343" s="30" t="str">
        <f aca="false">IF($C1343="","",IFERROR(IF(INDEX(links!$B$2:$B$501,MATCH($C1343,links!$D$2:$D$501,0))="","",INDEX(links!$B$2:$B$501,MATCH($C1343,links!$D$2:$D$501,0))),""))</f>
        <v/>
      </c>
      <c r="I1343" s="30" t="str">
        <f aca="false">IF($C1343="","",IFERROR(IF(INDEX(links!$C$2:$C$501,MATCH($C1343,links!$D$2:$D$501,0))="","",INDEX(links!$C$2:$C$501,MATCH($C1343,links!$D$2:$D$501,0))),""))</f>
        <v/>
      </c>
      <c r="J1343" s="30" t="str">
        <f aca="false">IF($C1343="","",IF($G1343="","slug not in links; ","")&amp;IF($D1343="","reading type missing; ","")&amp;IF(COUNTIFS(scans!$C$2:$C$1601,$C1343,scans!$D$2:$D$1601,$D1343)&gt;1,"two readings of this type: keep one; ",""))</f>
        <v/>
      </c>
    </row>
    <row r="1344" customFormat="false" ht="15" hidden="false" customHeight="false" outlineLevel="0" collapsed="false">
      <c r="A1344" s="11"/>
      <c r="B1344" s="38"/>
      <c r="D1344" s="10"/>
      <c r="G1344" s="30" t="str">
        <f aca="false">IF($C1344="","",IFERROR(IF(INDEX(links!$A$2:$A$501,MATCH($C1344,links!$D$2:$D$501,0))="","",INDEX(links!$A$2:$A$501,MATCH($C1344,links!$D$2:$D$501,0))),""))</f>
        <v/>
      </c>
      <c r="H1344" s="30" t="str">
        <f aca="false">IF($C1344="","",IFERROR(IF(INDEX(links!$B$2:$B$501,MATCH($C1344,links!$D$2:$D$501,0))="","",INDEX(links!$B$2:$B$501,MATCH($C1344,links!$D$2:$D$501,0))),""))</f>
        <v/>
      </c>
      <c r="I1344" s="30" t="str">
        <f aca="false">IF($C1344="","",IFERROR(IF(INDEX(links!$C$2:$C$501,MATCH($C1344,links!$D$2:$D$501,0))="","",INDEX(links!$C$2:$C$501,MATCH($C1344,links!$D$2:$D$501,0))),""))</f>
        <v/>
      </c>
      <c r="J1344" s="30" t="str">
        <f aca="false">IF($C1344="","",IF($G1344="","slug not in links; ","")&amp;IF($D1344="","reading type missing; ","")&amp;IF(COUNTIFS(scans!$C$2:$C$1601,$C1344,scans!$D$2:$D$1601,$D1344)&gt;1,"two readings of this type: keep one; ",""))</f>
        <v/>
      </c>
    </row>
    <row r="1345" customFormat="false" ht="15" hidden="false" customHeight="false" outlineLevel="0" collapsed="false">
      <c r="A1345" s="11"/>
      <c r="B1345" s="38"/>
      <c r="D1345" s="10"/>
      <c r="G1345" s="30" t="str">
        <f aca="false">IF($C1345="","",IFERROR(IF(INDEX(links!$A$2:$A$501,MATCH($C1345,links!$D$2:$D$501,0))="","",INDEX(links!$A$2:$A$501,MATCH($C1345,links!$D$2:$D$501,0))),""))</f>
        <v/>
      </c>
      <c r="H1345" s="30" t="str">
        <f aca="false">IF($C1345="","",IFERROR(IF(INDEX(links!$B$2:$B$501,MATCH($C1345,links!$D$2:$D$501,0))="","",INDEX(links!$B$2:$B$501,MATCH($C1345,links!$D$2:$D$501,0))),""))</f>
        <v/>
      </c>
      <c r="I1345" s="30" t="str">
        <f aca="false">IF($C1345="","",IFERROR(IF(INDEX(links!$C$2:$C$501,MATCH($C1345,links!$D$2:$D$501,0))="","",INDEX(links!$C$2:$C$501,MATCH($C1345,links!$D$2:$D$501,0))),""))</f>
        <v/>
      </c>
      <c r="J1345" s="30" t="str">
        <f aca="false">IF($C1345="","",IF($G1345="","slug not in links; ","")&amp;IF($D1345="","reading type missing; ","")&amp;IF(COUNTIFS(scans!$C$2:$C$1601,$C1345,scans!$D$2:$D$1601,$D1345)&gt;1,"two readings of this type: keep one; ",""))</f>
        <v/>
      </c>
    </row>
    <row r="1346" customFormat="false" ht="15" hidden="false" customHeight="false" outlineLevel="0" collapsed="false">
      <c r="A1346" s="11"/>
      <c r="B1346" s="38"/>
      <c r="D1346" s="10"/>
      <c r="G1346" s="30" t="str">
        <f aca="false">IF($C1346="","",IFERROR(IF(INDEX(links!$A$2:$A$501,MATCH($C1346,links!$D$2:$D$501,0))="","",INDEX(links!$A$2:$A$501,MATCH($C1346,links!$D$2:$D$501,0))),""))</f>
        <v/>
      </c>
      <c r="H1346" s="30" t="str">
        <f aca="false">IF($C1346="","",IFERROR(IF(INDEX(links!$B$2:$B$501,MATCH($C1346,links!$D$2:$D$501,0))="","",INDEX(links!$B$2:$B$501,MATCH($C1346,links!$D$2:$D$501,0))),""))</f>
        <v/>
      </c>
      <c r="I1346" s="30" t="str">
        <f aca="false">IF($C1346="","",IFERROR(IF(INDEX(links!$C$2:$C$501,MATCH($C1346,links!$D$2:$D$501,0))="","",INDEX(links!$C$2:$C$501,MATCH($C1346,links!$D$2:$D$501,0))),""))</f>
        <v/>
      </c>
      <c r="J1346" s="30" t="str">
        <f aca="false">IF($C1346="","",IF($G1346="","slug not in links; ","")&amp;IF($D1346="","reading type missing; ","")&amp;IF(COUNTIFS(scans!$C$2:$C$1601,$C1346,scans!$D$2:$D$1601,$D1346)&gt;1,"two readings of this type: keep one; ",""))</f>
        <v/>
      </c>
    </row>
    <row r="1347" customFormat="false" ht="15" hidden="false" customHeight="false" outlineLevel="0" collapsed="false">
      <c r="A1347" s="11"/>
      <c r="B1347" s="38"/>
      <c r="D1347" s="10"/>
      <c r="G1347" s="30" t="str">
        <f aca="false">IF($C1347="","",IFERROR(IF(INDEX(links!$A$2:$A$501,MATCH($C1347,links!$D$2:$D$501,0))="","",INDEX(links!$A$2:$A$501,MATCH($C1347,links!$D$2:$D$501,0))),""))</f>
        <v/>
      </c>
      <c r="H1347" s="30" t="str">
        <f aca="false">IF($C1347="","",IFERROR(IF(INDEX(links!$B$2:$B$501,MATCH($C1347,links!$D$2:$D$501,0))="","",INDEX(links!$B$2:$B$501,MATCH($C1347,links!$D$2:$D$501,0))),""))</f>
        <v/>
      </c>
      <c r="I1347" s="30" t="str">
        <f aca="false">IF($C1347="","",IFERROR(IF(INDEX(links!$C$2:$C$501,MATCH($C1347,links!$D$2:$D$501,0))="","",INDEX(links!$C$2:$C$501,MATCH($C1347,links!$D$2:$D$501,0))),""))</f>
        <v/>
      </c>
      <c r="J1347" s="30" t="str">
        <f aca="false">IF($C1347="","",IF($G1347="","slug not in links; ","")&amp;IF($D1347="","reading type missing; ","")&amp;IF(COUNTIFS(scans!$C$2:$C$1601,$C1347,scans!$D$2:$D$1601,$D1347)&gt;1,"two readings of this type: keep one; ",""))</f>
        <v/>
      </c>
    </row>
    <row r="1348" customFormat="false" ht="15" hidden="false" customHeight="false" outlineLevel="0" collapsed="false">
      <c r="A1348" s="11"/>
      <c r="B1348" s="38"/>
      <c r="D1348" s="10"/>
      <c r="G1348" s="30" t="str">
        <f aca="false">IF($C1348="","",IFERROR(IF(INDEX(links!$A$2:$A$501,MATCH($C1348,links!$D$2:$D$501,0))="","",INDEX(links!$A$2:$A$501,MATCH($C1348,links!$D$2:$D$501,0))),""))</f>
        <v/>
      </c>
      <c r="H1348" s="30" t="str">
        <f aca="false">IF($C1348="","",IFERROR(IF(INDEX(links!$B$2:$B$501,MATCH($C1348,links!$D$2:$D$501,0))="","",INDEX(links!$B$2:$B$501,MATCH($C1348,links!$D$2:$D$501,0))),""))</f>
        <v/>
      </c>
      <c r="I1348" s="30" t="str">
        <f aca="false">IF($C1348="","",IFERROR(IF(INDEX(links!$C$2:$C$501,MATCH($C1348,links!$D$2:$D$501,0))="","",INDEX(links!$C$2:$C$501,MATCH($C1348,links!$D$2:$D$501,0))),""))</f>
        <v/>
      </c>
      <c r="J1348" s="30" t="str">
        <f aca="false">IF($C1348="","",IF($G1348="","slug not in links; ","")&amp;IF($D1348="","reading type missing; ","")&amp;IF(COUNTIFS(scans!$C$2:$C$1601,$C1348,scans!$D$2:$D$1601,$D1348)&gt;1,"two readings of this type: keep one; ",""))</f>
        <v/>
      </c>
    </row>
    <row r="1349" customFormat="false" ht="15" hidden="false" customHeight="false" outlineLevel="0" collapsed="false">
      <c r="A1349" s="11"/>
      <c r="B1349" s="38"/>
      <c r="D1349" s="10"/>
      <c r="G1349" s="30" t="str">
        <f aca="false">IF($C1349="","",IFERROR(IF(INDEX(links!$A$2:$A$501,MATCH($C1349,links!$D$2:$D$501,0))="","",INDEX(links!$A$2:$A$501,MATCH($C1349,links!$D$2:$D$501,0))),""))</f>
        <v/>
      </c>
      <c r="H1349" s="30" t="str">
        <f aca="false">IF($C1349="","",IFERROR(IF(INDEX(links!$B$2:$B$501,MATCH($C1349,links!$D$2:$D$501,0))="","",INDEX(links!$B$2:$B$501,MATCH($C1349,links!$D$2:$D$501,0))),""))</f>
        <v/>
      </c>
      <c r="I1349" s="30" t="str">
        <f aca="false">IF($C1349="","",IFERROR(IF(INDEX(links!$C$2:$C$501,MATCH($C1349,links!$D$2:$D$501,0))="","",INDEX(links!$C$2:$C$501,MATCH($C1349,links!$D$2:$D$501,0))),""))</f>
        <v/>
      </c>
      <c r="J1349" s="30" t="str">
        <f aca="false">IF($C1349="","",IF($G1349="","slug not in links; ","")&amp;IF($D1349="","reading type missing; ","")&amp;IF(COUNTIFS(scans!$C$2:$C$1601,$C1349,scans!$D$2:$D$1601,$D1349)&gt;1,"two readings of this type: keep one; ",""))</f>
        <v/>
      </c>
    </row>
    <row r="1350" customFormat="false" ht="15" hidden="false" customHeight="false" outlineLevel="0" collapsed="false">
      <c r="A1350" s="11"/>
      <c r="B1350" s="38"/>
      <c r="D1350" s="10"/>
      <c r="G1350" s="30" t="str">
        <f aca="false">IF($C1350="","",IFERROR(IF(INDEX(links!$A$2:$A$501,MATCH($C1350,links!$D$2:$D$501,0))="","",INDEX(links!$A$2:$A$501,MATCH($C1350,links!$D$2:$D$501,0))),""))</f>
        <v/>
      </c>
      <c r="H1350" s="30" t="str">
        <f aca="false">IF($C1350="","",IFERROR(IF(INDEX(links!$B$2:$B$501,MATCH($C1350,links!$D$2:$D$501,0))="","",INDEX(links!$B$2:$B$501,MATCH($C1350,links!$D$2:$D$501,0))),""))</f>
        <v/>
      </c>
      <c r="I1350" s="30" t="str">
        <f aca="false">IF($C1350="","",IFERROR(IF(INDEX(links!$C$2:$C$501,MATCH($C1350,links!$D$2:$D$501,0))="","",INDEX(links!$C$2:$C$501,MATCH($C1350,links!$D$2:$D$501,0))),""))</f>
        <v/>
      </c>
      <c r="J1350" s="30" t="str">
        <f aca="false">IF($C1350="","",IF($G1350="","slug not in links; ","")&amp;IF($D1350="","reading type missing; ","")&amp;IF(COUNTIFS(scans!$C$2:$C$1601,$C1350,scans!$D$2:$D$1601,$D1350)&gt;1,"two readings of this type: keep one; ",""))</f>
        <v/>
      </c>
    </row>
    <row r="1351" customFormat="false" ht="15" hidden="false" customHeight="false" outlineLevel="0" collapsed="false">
      <c r="A1351" s="11"/>
      <c r="B1351" s="38"/>
      <c r="D1351" s="10"/>
      <c r="G1351" s="30" t="str">
        <f aca="false">IF($C1351="","",IFERROR(IF(INDEX(links!$A$2:$A$501,MATCH($C1351,links!$D$2:$D$501,0))="","",INDEX(links!$A$2:$A$501,MATCH($C1351,links!$D$2:$D$501,0))),""))</f>
        <v/>
      </c>
      <c r="H1351" s="30" t="str">
        <f aca="false">IF($C1351="","",IFERROR(IF(INDEX(links!$B$2:$B$501,MATCH($C1351,links!$D$2:$D$501,0))="","",INDEX(links!$B$2:$B$501,MATCH($C1351,links!$D$2:$D$501,0))),""))</f>
        <v/>
      </c>
      <c r="I1351" s="30" t="str">
        <f aca="false">IF($C1351="","",IFERROR(IF(INDEX(links!$C$2:$C$501,MATCH($C1351,links!$D$2:$D$501,0))="","",INDEX(links!$C$2:$C$501,MATCH($C1351,links!$D$2:$D$501,0))),""))</f>
        <v/>
      </c>
      <c r="J1351" s="30" t="str">
        <f aca="false">IF($C1351="","",IF($G1351="","slug not in links; ","")&amp;IF($D1351="","reading type missing; ","")&amp;IF(COUNTIFS(scans!$C$2:$C$1601,$C1351,scans!$D$2:$D$1601,$D1351)&gt;1,"two readings of this type: keep one; ",""))</f>
        <v/>
      </c>
    </row>
    <row r="1352" customFormat="false" ht="15" hidden="false" customHeight="false" outlineLevel="0" collapsed="false">
      <c r="A1352" s="11"/>
      <c r="B1352" s="38"/>
      <c r="D1352" s="10"/>
      <c r="G1352" s="30" t="str">
        <f aca="false">IF($C1352="","",IFERROR(IF(INDEX(links!$A$2:$A$501,MATCH($C1352,links!$D$2:$D$501,0))="","",INDEX(links!$A$2:$A$501,MATCH($C1352,links!$D$2:$D$501,0))),""))</f>
        <v/>
      </c>
      <c r="H1352" s="30" t="str">
        <f aca="false">IF($C1352="","",IFERROR(IF(INDEX(links!$B$2:$B$501,MATCH($C1352,links!$D$2:$D$501,0))="","",INDEX(links!$B$2:$B$501,MATCH($C1352,links!$D$2:$D$501,0))),""))</f>
        <v/>
      </c>
      <c r="I1352" s="30" t="str">
        <f aca="false">IF($C1352="","",IFERROR(IF(INDEX(links!$C$2:$C$501,MATCH($C1352,links!$D$2:$D$501,0))="","",INDEX(links!$C$2:$C$501,MATCH($C1352,links!$D$2:$D$501,0))),""))</f>
        <v/>
      </c>
      <c r="J1352" s="30" t="str">
        <f aca="false">IF($C1352="","",IF($G1352="","slug not in links; ","")&amp;IF($D1352="","reading type missing; ","")&amp;IF(COUNTIFS(scans!$C$2:$C$1601,$C1352,scans!$D$2:$D$1601,$D1352)&gt;1,"two readings of this type: keep one; ",""))</f>
        <v/>
      </c>
    </row>
    <row r="1353" customFormat="false" ht="15" hidden="false" customHeight="false" outlineLevel="0" collapsed="false">
      <c r="A1353" s="11"/>
      <c r="B1353" s="38"/>
      <c r="D1353" s="10"/>
      <c r="G1353" s="30" t="str">
        <f aca="false">IF($C1353="","",IFERROR(IF(INDEX(links!$A$2:$A$501,MATCH($C1353,links!$D$2:$D$501,0))="","",INDEX(links!$A$2:$A$501,MATCH($C1353,links!$D$2:$D$501,0))),""))</f>
        <v/>
      </c>
      <c r="H1353" s="30" t="str">
        <f aca="false">IF($C1353="","",IFERROR(IF(INDEX(links!$B$2:$B$501,MATCH($C1353,links!$D$2:$D$501,0))="","",INDEX(links!$B$2:$B$501,MATCH($C1353,links!$D$2:$D$501,0))),""))</f>
        <v/>
      </c>
      <c r="I1353" s="30" t="str">
        <f aca="false">IF($C1353="","",IFERROR(IF(INDEX(links!$C$2:$C$501,MATCH($C1353,links!$D$2:$D$501,0))="","",INDEX(links!$C$2:$C$501,MATCH($C1353,links!$D$2:$D$501,0))),""))</f>
        <v/>
      </c>
      <c r="J1353" s="30" t="str">
        <f aca="false">IF($C1353="","",IF($G1353="","slug not in links; ","")&amp;IF($D1353="","reading type missing; ","")&amp;IF(COUNTIFS(scans!$C$2:$C$1601,$C1353,scans!$D$2:$D$1601,$D1353)&gt;1,"two readings of this type: keep one; ",""))</f>
        <v/>
      </c>
    </row>
    <row r="1354" customFormat="false" ht="15" hidden="false" customHeight="false" outlineLevel="0" collapsed="false">
      <c r="A1354" s="11"/>
      <c r="B1354" s="38"/>
      <c r="D1354" s="10"/>
      <c r="G1354" s="30" t="str">
        <f aca="false">IF($C1354="","",IFERROR(IF(INDEX(links!$A$2:$A$501,MATCH($C1354,links!$D$2:$D$501,0))="","",INDEX(links!$A$2:$A$501,MATCH($C1354,links!$D$2:$D$501,0))),""))</f>
        <v/>
      </c>
      <c r="H1354" s="30" t="str">
        <f aca="false">IF($C1354="","",IFERROR(IF(INDEX(links!$B$2:$B$501,MATCH($C1354,links!$D$2:$D$501,0))="","",INDEX(links!$B$2:$B$501,MATCH($C1354,links!$D$2:$D$501,0))),""))</f>
        <v/>
      </c>
      <c r="I1354" s="30" t="str">
        <f aca="false">IF($C1354="","",IFERROR(IF(INDEX(links!$C$2:$C$501,MATCH($C1354,links!$D$2:$D$501,0))="","",INDEX(links!$C$2:$C$501,MATCH($C1354,links!$D$2:$D$501,0))),""))</f>
        <v/>
      </c>
      <c r="J1354" s="30" t="str">
        <f aca="false">IF($C1354="","",IF($G1354="","slug not in links; ","")&amp;IF($D1354="","reading type missing; ","")&amp;IF(COUNTIFS(scans!$C$2:$C$1601,$C1354,scans!$D$2:$D$1601,$D1354)&gt;1,"two readings of this type: keep one; ",""))</f>
        <v/>
      </c>
    </row>
    <row r="1355" customFormat="false" ht="15" hidden="false" customHeight="false" outlineLevel="0" collapsed="false">
      <c r="A1355" s="11"/>
      <c r="B1355" s="38"/>
      <c r="D1355" s="10"/>
      <c r="G1355" s="30" t="str">
        <f aca="false">IF($C1355="","",IFERROR(IF(INDEX(links!$A$2:$A$501,MATCH($C1355,links!$D$2:$D$501,0))="","",INDEX(links!$A$2:$A$501,MATCH($C1355,links!$D$2:$D$501,0))),""))</f>
        <v/>
      </c>
      <c r="H1355" s="30" t="str">
        <f aca="false">IF($C1355="","",IFERROR(IF(INDEX(links!$B$2:$B$501,MATCH($C1355,links!$D$2:$D$501,0))="","",INDEX(links!$B$2:$B$501,MATCH($C1355,links!$D$2:$D$501,0))),""))</f>
        <v/>
      </c>
      <c r="I1355" s="30" t="str">
        <f aca="false">IF($C1355="","",IFERROR(IF(INDEX(links!$C$2:$C$501,MATCH($C1355,links!$D$2:$D$501,0))="","",INDEX(links!$C$2:$C$501,MATCH($C1355,links!$D$2:$D$501,0))),""))</f>
        <v/>
      </c>
      <c r="J1355" s="30" t="str">
        <f aca="false">IF($C1355="","",IF($G1355="","slug not in links; ","")&amp;IF($D1355="","reading type missing; ","")&amp;IF(COUNTIFS(scans!$C$2:$C$1601,$C1355,scans!$D$2:$D$1601,$D1355)&gt;1,"two readings of this type: keep one; ",""))</f>
        <v/>
      </c>
    </row>
    <row r="1356" customFormat="false" ht="15" hidden="false" customHeight="false" outlineLevel="0" collapsed="false">
      <c r="A1356" s="11"/>
      <c r="B1356" s="38"/>
      <c r="D1356" s="10"/>
      <c r="G1356" s="30" t="str">
        <f aca="false">IF($C1356="","",IFERROR(IF(INDEX(links!$A$2:$A$501,MATCH($C1356,links!$D$2:$D$501,0))="","",INDEX(links!$A$2:$A$501,MATCH($C1356,links!$D$2:$D$501,0))),""))</f>
        <v/>
      </c>
      <c r="H1356" s="30" t="str">
        <f aca="false">IF($C1356="","",IFERROR(IF(INDEX(links!$B$2:$B$501,MATCH($C1356,links!$D$2:$D$501,0))="","",INDEX(links!$B$2:$B$501,MATCH($C1356,links!$D$2:$D$501,0))),""))</f>
        <v/>
      </c>
      <c r="I1356" s="30" t="str">
        <f aca="false">IF($C1356="","",IFERROR(IF(INDEX(links!$C$2:$C$501,MATCH($C1356,links!$D$2:$D$501,0))="","",INDEX(links!$C$2:$C$501,MATCH($C1356,links!$D$2:$D$501,0))),""))</f>
        <v/>
      </c>
      <c r="J1356" s="30" t="str">
        <f aca="false">IF($C1356="","",IF($G1356="","slug not in links; ","")&amp;IF($D1356="","reading type missing; ","")&amp;IF(COUNTIFS(scans!$C$2:$C$1601,$C1356,scans!$D$2:$D$1601,$D1356)&gt;1,"two readings of this type: keep one; ",""))</f>
        <v/>
      </c>
    </row>
    <row r="1357" customFormat="false" ht="15" hidden="false" customHeight="false" outlineLevel="0" collapsed="false">
      <c r="A1357" s="11"/>
      <c r="B1357" s="38"/>
      <c r="D1357" s="10"/>
      <c r="G1357" s="30" t="str">
        <f aca="false">IF($C1357="","",IFERROR(IF(INDEX(links!$A$2:$A$501,MATCH($C1357,links!$D$2:$D$501,0))="","",INDEX(links!$A$2:$A$501,MATCH($C1357,links!$D$2:$D$501,0))),""))</f>
        <v/>
      </c>
      <c r="H1357" s="30" t="str">
        <f aca="false">IF($C1357="","",IFERROR(IF(INDEX(links!$B$2:$B$501,MATCH($C1357,links!$D$2:$D$501,0))="","",INDEX(links!$B$2:$B$501,MATCH($C1357,links!$D$2:$D$501,0))),""))</f>
        <v/>
      </c>
      <c r="I1357" s="30" t="str">
        <f aca="false">IF($C1357="","",IFERROR(IF(INDEX(links!$C$2:$C$501,MATCH($C1357,links!$D$2:$D$501,0))="","",INDEX(links!$C$2:$C$501,MATCH($C1357,links!$D$2:$D$501,0))),""))</f>
        <v/>
      </c>
      <c r="J1357" s="30" t="str">
        <f aca="false">IF($C1357="","",IF($G1357="","slug not in links; ","")&amp;IF($D1357="","reading type missing; ","")&amp;IF(COUNTIFS(scans!$C$2:$C$1601,$C1357,scans!$D$2:$D$1601,$D1357)&gt;1,"two readings of this type: keep one; ",""))</f>
        <v/>
      </c>
    </row>
    <row r="1358" customFormat="false" ht="15" hidden="false" customHeight="false" outlineLevel="0" collapsed="false">
      <c r="A1358" s="11"/>
      <c r="B1358" s="38"/>
      <c r="D1358" s="10"/>
      <c r="G1358" s="30" t="str">
        <f aca="false">IF($C1358="","",IFERROR(IF(INDEX(links!$A$2:$A$501,MATCH($C1358,links!$D$2:$D$501,0))="","",INDEX(links!$A$2:$A$501,MATCH($C1358,links!$D$2:$D$501,0))),""))</f>
        <v/>
      </c>
      <c r="H1358" s="30" t="str">
        <f aca="false">IF($C1358="","",IFERROR(IF(INDEX(links!$B$2:$B$501,MATCH($C1358,links!$D$2:$D$501,0))="","",INDEX(links!$B$2:$B$501,MATCH($C1358,links!$D$2:$D$501,0))),""))</f>
        <v/>
      </c>
      <c r="I1358" s="30" t="str">
        <f aca="false">IF($C1358="","",IFERROR(IF(INDEX(links!$C$2:$C$501,MATCH($C1358,links!$D$2:$D$501,0))="","",INDEX(links!$C$2:$C$501,MATCH($C1358,links!$D$2:$D$501,0))),""))</f>
        <v/>
      </c>
      <c r="J1358" s="30" t="str">
        <f aca="false">IF($C1358="","",IF($G1358="","slug not in links; ","")&amp;IF($D1358="","reading type missing; ","")&amp;IF(COUNTIFS(scans!$C$2:$C$1601,$C1358,scans!$D$2:$D$1601,$D1358)&gt;1,"two readings of this type: keep one; ",""))</f>
        <v/>
      </c>
    </row>
    <row r="1359" customFormat="false" ht="15" hidden="false" customHeight="false" outlineLevel="0" collapsed="false">
      <c r="A1359" s="11"/>
      <c r="B1359" s="38"/>
      <c r="D1359" s="10"/>
      <c r="G1359" s="30" t="str">
        <f aca="false">IF($C1359="","",IFERROR(IF(INDEX(links!$A$2:$A$501,MATCH($C1359,links!$D$2:$D$501,0))="","",INDEX(links!$A$2:$A$501,MATCH($C1359,links!$D$2:$D$501,0))),""))</f>
        <v/>
      </c>
      <c r="H1359" s="30" t="str">
        <f aca="false">IF($C1359="","",IFERROR(IF(INDEX(links!$B$2:$B$501,MATCH($C1359,links!$D$2:$D$501,0))="","",INDEX(links!$B$2:$B$501,MATCH($C1359,links!$D$2:$D$501,0))),""))</f>
        <v/>
      </c>
      <c r="I1359" s="30" t="str">
        <f aca="false">IF($C1359="","",IFERROR(IF(INDEX(links!$C$2:$C$501,MATCH($C1359,links!$D$2:$D$501,0))="","",INDEX(links!$C$2:$C$501,MATCH($C1359,links!$D$2:$D$501,0))),""))</f>
        <v/>
      </c>
      <c r="J1359" s="30" t="str">
        <f aca="false">IF($C1359="","",IF($G1359="","slug not in links; ","")&amp;IF($D1359="","reading type missing; ","")&amp;IF(COUNTIFS(scans!$C$2:$C$1601,$C1359,scans!$D$2:$D$1601,$D1359)&gt;1,"two readings of this type: keep one; ",""))</f>
        <v/>
      </c>
    </row>
    <row r="1360" customFormat="false" ht="15" hidden="false" customHeight="false" outlineLevel="0" collapsed="false">
      <c r="A1360" s="11"/>
      <c r="B1360" s="38"/>
      <c r="D1360" s="10"/>
      <c r="G1360" s="30" t="str">
        <f aca="false">IF($C1360="","",IFERROR(IF(INDEX(links!$A$2:$A$501,MATCH($C1360,links!$D$2:$D$501,0))="","",INDEX(links!$A$2:$A$501,MATCH($C1360,links!$D$2:$D$501,0))),""))</f>
        <v/>
      </c>
      <c r="H1360" s="30" t="str">
        <f aca="false">IF($C1360="","",IFERROR(IF(INDEX(links!$B$2:$B$501,MATCH($C1360,links!$D$2:$D$501,0))="","",INDEX(links!$B$2:$B$501,MATCH($C1360,links!$D$2:$D$501,0))),""))</f>
        <v/>
      </c>
      <c r="I1360" s="30" t="str">
        <f aca="false">IF($C1360="","",IFERROR(IF(INDEX(links!$C$2:$C$501,MATCH($C1360,links!$D$2:$D$501,0))="","",INDEX(links!$C$2:$C$501,MATCH($C1360,links!$D$2:$D$501,0))),""))</f>
        <v/>
      </c>
      <c r="J1360" s="30" t="str">
        <f aca="false">IF($C1360="","",IF($G1360="","slug not in links; ","")&amp;IF($D1360="","reading type missing; ","")&amp;IF(COUNTIFS(scans!$C$2:$C$1601,$C1360,scans!$D$2:$D$1601,$D1360)&gt;1,"two readings of this type: keep one; ",""))</f>
        <v/>
      </c>
    </row>
    <row r="1361" customFormat="false" ht="15" hidden="false" customHeight="false" outlineLevel="0" collapsed="false">
      <c r="A1361" s="11"/>
      <c r="B1361" s="38"/>
      <c r="D1361" s="10"/>
      <c r="G1361" s="30" t="str">
        <f aca="false">IF($C1361="","",IFERROR(IF(INDEX(links!$A$2:$A$501,MATCH($C1361,links!$D$2:$D$501,0))="","",INDEX(links!$A$2:$A$501,MATCH($C1361,links!$D$2:$D$501,0))),""))</f>
        <v/>
      </c>
      <c r="H1361" s="30" t="str">
        <f aca="false">IF($C1361="","",IFERROR(IF(INDEX(links!$B$2:$B$501,MATCH($C1361,links!$D$2:$D$501,0))="","",INDEX(links!$B$2:$B$501,MATCH($C1361,links!$D$2:$D$501,0))),""))</f>
        <v/>
      </c>
      <c r="I1361" s="30" t="str">
        <f aca="false">IF($C1361="","",IFERROR(IF(INDEX(links!$C$2:$C$501,MATCH($C1361,links!$D$2:$D$501,0))="","",INDEX(links!$C$2:$C$501,MATCH($C1361,links!$D$2:$D$501,0))),""))</f>
        <v/>
      </c>
      <c r="J1361" s="30" t="str">
        <f aca="false">IF($C1361="","",IF($G1361="","slug not in links; ","")&amp;IF($D1361="","reading type missing; ","")&amp;IF(COUNTIFS(scans!$C$2:$C$1601,$C1361,scans!$D$2:$D$1601,$D1361)&gt;1,"two readings of this type: keep one; ",""))</f>
        <v/>
      </c>
    </row>
    <row r="1362" customFormat="false" ht="15" hidden="false" customHeight="false" outlineLevel="0" collapsed="false">
      <c r="A1362" s="11"/>
      <c r="B1362" s="38"/>
      <c r="D1362" s="10"/>
      <c r="G1362" s="30" t="str">
        <f aca="false">IF($C1362="","",IFERROR(IF(INDEX(links!$A$2:$A$501,MATCH($C1362,links!$D$2:$D$501,0))="","",INDEX(links!$A$2:$A$501,MATCH($C1362,links!$D$2:$D$501,0))),""))</f>
        <v/>
      </c>
      <c r="H1362" s="30" t="str">
        <f aca="false">IF($C1362="","",IFERROR(IF(INDEX(links!$B$2:$B$501,MATCH($C1362,links!$D$2:$D$501,0))="","",INDEX(links!$B$2:$B$501,MATCH($C1362,links!$D$2:$D$501,0))),""))</f>
        <v/>
      </c>
      <c r="I1362" s="30" t="str">
        <f aca="false">IF($C1362="","",IFERROR(IF(INDEX(links!$C$2:$C$501,MATCH($C1362,links!$D$2:$D$501,0))="","",INDEX(links!$C$2:$C$501,MATCH($C1362,links!$D$2:$D$501,0))),""))</f>
        <v/>
      </c>
      <c r="J1362" s="30" t="str">
        <f aca="false">IF($C1362="","",IF($G1362="","slug not in links; ","")&amp;IF($D1362="","reading type missing; ","")&amp;IF(COUNTIFS(scans!$C$2:$C$1601,$C1362,scans!$D$2:$D$1601,$D1362)&gt;1,"two readings of this type: keep one; ",""))</f>
        <v/>
      </c>
    </row>
    <row r="1363" customFormat="false" ht="15" hidden="false" customHeight="false" outlineLevel="0" collapsed="false">
      <c r="A1363" s="11"/>
      <c r="B1363" s="38"/>
      <c r="D1363" s="10"/>
      <c r="G1363" s="30" t="str">
        <f aca="false">IF($C1363="","",IFERROR(IF(INDEX(links!$A$2:$A$501,MATCH($C1363,links!$D$2:$D$501,0))="","",INDEX(links!$A$2:$A$501,MATCH($C1363,links!$D$2:$D$501,0))),""))</f>
        <v/>
      </c>
      <c r="H1363" s="30" t="str">
        <f aca="false">IF($C1363="","",IFERROR(IF(INDEX(links!$B$2:$B$501,MATCH($C1363,links!$D$2:$D$501,0))="","",INDEX(links!$B$2:$B$501,MATCH($C1363,links!$D$2:$D$501,0))),""))</f>
        <v/>
      </c>
      <c r="I1363" s="30" t="str">
        <f aca="false">IF($C1363="","",IFERROR(IF(INDEX(links!$C$2:$C$501,MATCH($C1363,links!$D$2:$D$501,0))="","",INDEX(links!$C$2:$C$501,MATCH($C1363,links!$D$2:$D$501,0))),""))</f>
        <v/>
      </c>
      <c r="J1363" s="30" t="str">
        <f aca="false">IF($C1363="","",IF($G1363="","slug not in links; ","")&amp;IF($D1363="","reading type missing; ","")&amp;IF(COUNTIFS(scans!$C$2:$C$1601,$C1363,scans!$D$2:$D$1601,$D1363)&gt;1,"two readings of this type: keep one; ",""))</f>
        <v/>
      </c>
    </row>
    <row r="1364" customFormat="false" ht="15" hidden="false" customHeight="false" outlineLevel="0" collapsed="false">
      <c r="A1364" s="11"/>
      <c r="B1364" s="38"/>
      <c r="D1364" s="10"/>
      <c r="G1364" s="30" t="str">
        <f aca="false">IF($C1364="","",IFERROR(IF(INDEX(links!$A$2:$A$501,MATCH($C1364,links!$D$2:$D$501,0))="","",INDEX(links!$A$2:$A$501,MATCH($C1364,links!$D$2:$D$501,0))),""))</f>
        <v/>
      </c>
      <c r="H1364" s="30" t="str">
        <f aca="false">IF($C1364="","",IFERROR(IF(INDEX(links!$B$2:$B$501,MATCH($C1364,links!$D$2:$D$501,0))="","",INDEX(links!$B$2:$B$501,MATCH($C1364,links!$D$2:$D$501,0))),""))</f>
        <v/>
      </c>
      <c r="I1364" s="30" t="str">
        <f aca="false">IF($C1364="","",IFERROR(IF(INDEX(links!$C$2:$C$501,MATCH($C1364,links!$D$2:$D$501,0))="","",INDEX(links!$C$2:$C$501,MATCH($C1364,links!$D$2:$D$501,0))),""))</f>
        <v/>
      </c>
      <c r="J1364" s="30" t="str">
        <f aca="false">IF($C1364="","",IF($G1364="","slug not in links; ","")&amp;IF($D1364="","reading type missing; ","")&amp;IF(COUNTIFS(scans!$C$2:$C$1601,$C1364,scans!$D$2:$D$1601,$D1364)&gt;1,"two readings of this type: keep one; ",""))</f>
        <v/>
      </c>
    </row>
    <row r="1365" customFormat="false" ht="15" hidden="false" customHeight="false" outlineLevel="0" collapsed="false">
      <c r="A1365" s="11"/>
      <c r="B1365" s="38"/>
      <c r="D1365" s="10"/>
      <c r="G1365" s="30" t="str">
        <f aca="false">IF($C1365="","",IFERROR(IF(INDEX(links!$A$2:$A$501,MATCH($C1365,links!$D$2:$D$501,0))="","",INDEX(links!$A$2:$A$501,MATCH($C1365,links!$D$2:$D$501,0))),""))</f>
        <v/>
      </c>
      <c r="H1365" s="30" t="str">
        <f aca="false">IF($C1365="","",IFERROR(IF(INDEX(links!$B$2:$B$501,MATCH($C1365,links!$D$2:$D$501,0))="","",INDEX(links!$B$2:$B$501,MATCH($C1365,links!$D$2:$D$501,0))),""))</f>
        <v/>
      </c>
      <c r="I1365" s="30" t="str">
        <f aca="false">IF($C1365="","",IFERROR(IF(INDEX(links!$C$2:$C$501,MATCH($C1365,links!$D$2:$D$501,0))="","",INDEX(links!$C$2:$C$501,MATCH($C1365,links!$D$2:$D$501,0))),""))</f>
        <v/>
      </c>
      <c r="J1365" s="30" t="str">
        <f aca="false">IF($C1365="","",IF($G1365="","slug not in links; ","")&amp;IF($D1365="","reading type missing; ","")&amp;IF(COUNTIFS(scans!$C$2:$C$1601,$C1365,scans!$D$2:$D$1601,$D1365)&gt;1,"two readings of this type: keep one; ",""))</f>
        <v/>
      </c>
    </row>
    <row r="1366" customFormat="false" ht="15" hidden="false" customHeight="false" outlineLevel="0" collapsed="false">
      <c r="A1366" s="11"/>
      <c r="B1366" s="38"/>
      <c r="D1366" s="10"/>
      <c r="G1366" s="30" t="str">
        <f aca="false">IF($C1366="","",IFERROR(IF(INDEX(links!$A$2:$A$501,MATCH($C1366,links!$D$2:$D$501,0))="","",INDEX(links!$A$2:$A$501,MATCH($C1366,links!$D$2:$D$501,0))),""))</f>
        <v/>
      </c>
      <c r="H1366" s="30" t="str">
        <f aca="false">IF($C1366="","",IFERROR(IF(INDEX(links!$B$2:$B$501,MATCH($C1366,links!$D$2:$D$501,0))="","",INDEX(links!$B$2:$B$501,MATCH($C1366,links!$D$2:$D$501,0))),""))</f>
        <v/>
      </c>
      <c r="I1366" s="30" t="str">
        <f aca="false">IF($C1366="","",IFERROR(IF(INDEX(links!$C$2:$C$501,MATCH($C1366,links!$D$2:$D$501,0))="","",INDEX(links!$C$2:$C$501,MATCH($C1366,links!$D$2:$D$501,0))),""))</f>
        <v/>
      </c>
      <c r="J1366" s="30" t="str">
        <f aca="false">IF($C1366="","",IF($G1366="","slug not in links; ","")&amp;IF($D1366="","reading type missing; ","")&amp;IF(COUNTIFS(scans!$C$2:$C$1601,$C1366,scans!$D$2:$D$1601,$D1366)&gt;1,"two readings of this type: keep one; ",""))</f>
        <v/>
      </c>
    </row>
    <row r="1367" customFormat="false" ht="15" hidden="false" customHeight="false" outlineLevel="0" collapsed="false">
      <c r="A1367" s="11"/>
      <c r="B1367" s="38"/>
      <c r="D1367" s="10"/>
      <c r="G1367" s="30" t="str">
        <f aca="false">IF($C1367="","",IFERROR(IF(INDEX(links!$A$2:$A$501,MATCH($C1367,links!$D$2:$D$501,0))="","",INDEX(links!$A$2:$A$501,MATCH($C1367,links!$D$2:$D$501,0))),""))</f>
        <v/>
      </c>
      <c r="H1367" s="30" t="str">
        <f aca="false">IF($C1367="","",IFERROR(IF(INDEX(links!$B$2:$B$501,MATCH($C1367,links!$D$2:$D$501,0))="","",INDEX(links!$B$2:$B$501,MATCH($C1367,links!$D$2:$D$501,0))),""))</f>
        <v/>
      </c>
      <c r="I1367" s="30" t="str">
        <f aca="false">IF($C1367="","",IFERROR(IF(INDEX(links!$C$2:$C$501,MATCH($C1367,links!$D$2:$D$501,0))="","",INDEX(links!$C$2:$C$501,MATCH($C1367,links!$D$2:$D$501,0))),""))</f>
        <v/>
      </c>
      <c r="J1367" s="30" t="str">
        <f aca="false">IF($C1367="","",IF($G1367="","slug not in links; ","")&amp;IF($D1367="","reading type missing; ","")&amp;IF(COUNTIFS(scans!$C$2:$C$1601,$C1367,scans!$D$2:$D$1601,$D1367)&gt;1,"two readings of this type: keep one; ",""))</f>
        <v/>
      </c>
    </row>
    <row r="1368" customFormat="false" ht="15" hidden="false" customHeight="false" outlineLevel="0" collapsed="false">
      <c r="A1368" s="11"/>
      <c r="B1368" s="38"/>
      <c r="D1368" s="10"/>
      <c r="G1368" s="30" t="str">
        <f aca="false">IF($C1368="","",IFERROR(IF(INDEX(links!$A$2:$A$501,MATCH($C1368,links!$D$2:$D$501,0))="","",INDEX(links!$A$2:$A$501,MATCH($C1368,links!$D$2:$D$501,0))),""))</f>
        <v/>
      </c>
      <c r="H1368" s="30" t="str">
        <f aca="false">IF($C1368="","",IFERROR(IF(INDEX(links!$B$2:$B$501,MATCH($C1368,links!$D$2:$D$501,0))="","",INDEX(links!$B$2:$B$501,MATCH($C1368,links!$D$2:$D$501,0))),""))</f>
        <v/>
      </c>
      <c r="I1368" s="30" t="str">
        <f aca="false">IF($C1368="","",IFERROR(IF(INDEX(links!$C$2:$C$501,MATCH($C1368,links!$D$2:$D$501,0))="","",INDEX(links!$C$2:$C$501,MATCH($C1368,links!$D$2:$D$501,0))),""))</f>
        <v/>
      </c>
      <c r="J1368" s="30" t="str">
        <f aca="false">IF($C1368="","",IF($G1368="","slug not in links; ","")&amp;IF($D1368="","reading type missing; ","")&amp;IF(COUNTIFS(scans!$C$2:$C$1601,$C1368,scans!$D$2:$D$1601,$D1368)&gt;1,"two readings of this type: keep one; ",""))</f>
        <v/>
      </c>
    </row>
    <row r="1369" customFormat="false" ht="15" hidden="false" customHeight="false" outlineLevel="0" collapsed="false">
      <c r="A1369" s="11"/>
      <c r="B1369" s="38"/>
      <c r="D1369" s="10"/>
      <c r="G1369" s="30" t="str">
        <f aca="false">IF($C1369="","",IFERROR(IF(INDEX(links!$A$2:$A$501,MATCH($C1369,links!$D$2:$D$501,0))="","",INDEX(links!$A$2:$A$501,MATCH($C1369,links!$D$2:$D$501,0))),""))</f>
        <v/>
      </c>
      <c r="H1369" s="30" t="str">
        <f aca="false">IF($C1369="","",IFERROR(IF(INDEX(links!$B$2:$B$501,MATCH($C1369,links!$D$2:$D$501,0))="","",INDEX(links!$B$2:$B$501,MATCH($C1369,links!$D$2:$D$501,0))),""))</f>
        <v/>
      </c>
      <c r="I1369" s="30" t="str">
        <f aca="false">IF($C1369="","",IFERROR(IF(INDEX(links!$C$2:$C$501,MATCH($C1369,links!$D$2:$D$501,0))="","",INDEX(links!$C$2:$C$501,MATCH($C1369,links!$D$2:$D$501,0))),""))</f>
        <v/>
      </c>
      <c r="J1369" s="30" t="str">
        <f aca="false">IF($C1369="","",IF($G1369="","slug not in links; ","")&amp;IF($D1369="","reading type missing; ","")&amp;IF(COUNTIFS(scans!$C$2:$C$1601,$C1369,scans!$D$2:$D$1601,$D1369)&gt;1,"two readings of this type: keep one; ",""))</f>
        <v/>
      </c>
    </row>
    <row r="1370" customFormat="false" ht="15" hidden="false" customHeight="false" outlineLevel="0" collapsed="false">
      <c r="A1370" s="11"/>
      <c r="B1370" s="38"/>
      <c r="D1370" s="10"/>
      <c r="G1370" s="30" t="str">
        <f aca="false">IF($C1370="","",IFERROR(IF(INDEX(links!$A$2:$A$501,MATCH($C1370,links!$D$2:$D$501,0))="","",INDEX(links!$A$2:$A$501,MATCH($C1370,links!$D$2:$D$501,0))),""))</f>
        <v/>
      </c>
      <c r="H1370" s="30" t="str">
        <f aca="false">IF($C1370="","",IFERROR(IF(INDEX(links!$B$2:$B$501,MATCH($C1370,links!$D$2:$D$501,0))="","",INDEX(links!$B$2:$B$501,MATCH($C1370,links!$D$2:$D$501,0))),""))</f>
        <v/>
      </c>
      <c r="I1370" s="30" t="str">
        <f aca="false">IF($C1370="","",IFERROR(IF(INDEX(links!$C$2:$C$501,MATCH($C1370,links!$D$2:$D$501,0))="","",INDEX(links!$C$2:$C$501,MATCH($C1370,links!$D$2:$D$501,0))),""))</f>
        <v/>
      </c>
      <c r="J1370" s="30" t="str">
        <f aca="false">IF($C1370="","",IF($G1370="","slug not in links; ","")&amp;IF($D1370="","reading type missing; ","")&amp;IF(COUNTIFS(scans!$C$2:$C$1601,$C1370,scans!$D$2:$D$1601,$D1370)&gt;1,"two readings of this type: keep one; ",""))</f>
        <v/>
      </c>
    </row>
    <row r="1371" customFormat="false" ht="15" hidden="false" customHeight="false" outlineLevel="0" collapsed="false">
      <c r="A1371" s="11"/>
      <c r="B1371" s="38"/>
      <c r="D1371" s="10"/>
      <c r="G1371" s="30" t="str">
        <f aca="false">IF($C1371="","",IFERROR(IF(INDEX(links!$A$2:$A$501,MATCH($C1371,links!$D$2:$D$501,0))="","",INDEX(links!$A$2:$A$501,MATCH($C1371,links!$D$2:$D$501,0))),""))</f>
        <v/>
      </c>
      <c r="H1371" s="30" t="str">
        <f aca="false">IF($C1371="","",IFERROR(IF(INDEX(links!$B$2:$B$501,MATCH($C1371,links!$D$2:$D$501,0))="","",INDEX(links!$B$2:$B$501,MATCH($C1371,links!$D$2:$D$501,0))),""))</f>
        <v/>
      </c>
      <c r="I1371" s="30" t="str">
        <f aca="false">IF($C1371="","",IFERROR(IF(INDEX(links!$C$2:$C$501,MATCH($C1371,links!$D$2:$D$501,0))="","",INDEX(links!$C$2:$C$501,MATCH($C1371,links!$D$2:$D$501,0))),""))</f>
        <v/>
      </c>
      <c r="J1371" s="30" t="str">
        <f aca="false">IF($C1371="","",IF($G1371="","slug not in links; ","")&amp;IF($D1371="","reading type missing; ","")&amp;IF(COUNTIFS(scans!$C$2:$C$1601,$C1371,scans!$D$2:$D$1601,$D1371)&gt;1,"two readings of this type: keep one; ",""))</f>
        <v/>
      </c>
    </row>
    <row r="1372" customFormat="false" ht="15" hidden="false" customHeight="false" outlineLevel="0" collapsed="false">
      <c r="A1372" s="11"/>
      <c r="B1372" s="38"/>
      <c r="D1372" s="10"/>
      <c r="G1372" s="30" t="str">
        <f aca="false">IF($C1372="","",IFERROR(IF(INDEX(links!$A$2:$A$501,MATCH($C1372,links!$D$2:$D$501,0))="","",INDEX(links!$A$2:$A$501,MATCH($C1372,links!$D$2:$D$501,0))),""))</f>
        <v/>
      </c>
      <c r="H1372" s="30" t="str">
        <f aca="false">IF($C1372="","",IFERROR(IF(INDEX(links!$B$2:$B$501,MATCH($C1372,links!$D$2:$D$501,0))="","",INDEX(links!$B$2:$B$501,MATCH($C1372,links!$D$2:$D$501,0))),""))</f>
        <v/>
      </c>
      <c r="I1372" s="30" t="str">
        <f aca="false">IF($C1372="","",IFERROR(IF(INDEX(links!$C$2:$C$501,MATCH($C1372,links!$D$2:$D$501,0))="","",INDEX(links!$C$2:$C$501,MATCH($C1372,links!$D$2:$D$501,0))),""))</f>
        <v/>
      </c>
      <c r="J1372" s="30" t="str">
        <f aca="false">IF($C1372="","",IF($G1372="","slug not in links; ","")&amp;IF($D1372="","reading type missing; ","")&amp;IF(COUNTIFS(scans!$C$2:$C$1601,$C1372,scans!$D$2:$D$1601,$D1372)&gt;1,"two readings of this type: keep one; ",""))</f>
        <v/>
      </c>
    </row>
    <row r="1373" customFormat="false" ht="15" hidden="false" customHeight="false" outlineLevel="0" collapsed="false">
      <c r="A1373" s="11"/>
      <c r="B1373" s="38"/>
      <c r="D1373" s="10"/>
      <c r="G1373" s="30" t="str">
        <f aca="false">IF($C1373="","",IFERROR(IF(INDEX(links!$A$2:$A$501,MATCH($C1373,links!$D$2:$D$501,0))="","",INDEX(links!$A$2:$A$501,MATCH($C1373,links!$D$2:$D$501,0))),""))</f>
        <v/>
      </c>
      <c r="H1373" s="30" t="str">
        <f aca="false">IF($C1373="","",IFERROR(IF(INDEX(links!$B$2:$B$501,MATCH($C1373,links!$D$2:$D$501,0))="","",INDEX(links!$B$2:$B$501,MATCH($C1373,links!$D$2:$D$501,0))),""))</f>
        <v/>
      </c>
      <c r="I1373" s="30" t="str">
        <f aca="false">IF($C1373="","",IFERROR(IF(INDEX(links!$C$2:$C$501,MATCH($C1373,links!$D$2:$D$501,0))="","",INDEX(links!$C$2:$C$501,MATCH($C1373,links!$D$2:$D$501,0))),""))</f>
        <v/>
      </c>
      <c r="J1373" s="30" t="str">
        <f aca="false">IF($C1373="","",IF($G1373="","slug not in links; ","")&amp;IF($D1373="","reading type missing; ","")&amp;IF(COUNTIFS(scans!$C$2:$C$1601,$C1373,scans!$D$2:$D$1601,$D1373)&gt;1,"two readings of this type: keep one; ",""))</f>
        <v/>
      </c>
    </row>
    <row r="1374" customFormat="false" ht="15" hidden="false" customHeight="false" outlineLevel="0" collapsed="false">
      <c r="A1374" s="11"/>
      <c r="B1374" s="38"/>
      <c r="D1374" s="10"/>
      <c r="G1374" s="30" t="str">
        <f aca="false">IF($C1374="","",IFERROR(IF(INDEX(links!$A$2:$A$501,MATCH($C1374,links!$D$2:$D$501,0))="","",INDEX(links!$A$2:$A$501,MATCH($C1374,links!$D$2:$D$501,0))),""))</f>
        <v/>
      </c>
      <c r="H1374" s="30" t="str">
        <f aca="false">IF($C1374="","",IFERROR(IF(INDEX(links!$B$2:$B$501,MATCH($C1374,links!$D$2:$D$501,0))="","",INDEX(links!$B$2:$B$501,MATCH($C1374,links!$D$2:$D$501,0))),""))</f>
        <v/>
      </c>
      <c r="I1374" s="30" t="str">
        <f aca="false">IF($C1374="","",IFERROR(IF(INDEX(links!$C$2:$C$501,MATCH($C1374,links!$D$2:$D$501,0))="","",INDEX(links!$C$2:$C$501,MATCH($C1374,links!$D$2:$D$501,0))),""))</f>
        <v/>
      </c>
      <c r="J1374" s="30" t="str">
        <f aca="false">IF($C1374="","",IF($G1374="","slug not in links; ","")&amp;IF($D1374="","reading type missing; ","")&amp;IF(COUNTIFS(scans!$C$2:$C$1601,$C1374,scans!$D$2:$D$1601,$D1374)&gt;1,"two readings of this type: keep one; ",""))</f>
        <v/>
      </c>
    </row>
    <row r="1375" customFormat="false" ht="15" hidden="false" customHeight="false" outlineLevel="0" collapsed="false">
      <c r="A1375" s="11"/>
      <c r="B1375" s="38"/>
      <c r="D1375" s="10"/>
      <c r="G1375" s="30" t="str">
        <f aca="false">IF($C1375="","",IFERROR(IF(INDEX(links!$A$2:$A$501,MATCH($C1375,links!$D$2:$D$501,0))="","",INDEX(links!$A$2:$A$501,MATCH($C1375,links!$D$2:$D$501,0))),""))</f>
        <v/>
      </c>
      <c r="H1375" s="30" t="str">
        <f aca="false">IF($C1375="","",IFERROR(IF(INDEX(links!$B$2:$B$501,MATCH($C1375,links!$D$2:$D$501,0))="","",INDEX(links!$B$2:$B$501,MATCH($C1375,links!$D$2:$D$501,0))),""))</f>
        <v/>
      </c>
      <c r="I1375" s="30" t="str">
        <f aca="false">IF($C1375="","",IFERROR(IF(INDEX(links!$C$2:$C$501,MATCH($C1375,links!$D$2:$D$501,0))="","",INDEX(links!$C$2:$C$501,MATCH($C1375,links!$D$2:$D$501,0))),""))</f>
        <v/>
      </c>
      <c r="J1375" s="30" t="str">
        <f aca="false">IF($C1375="","",IF($G1375="","slug not in links; ","")&amp;IF($D1375="","reading type missing; ","")&amp;IF(COUNTIFS(scans!$C$2:$C$1601,$C1375,scans!$D$2:$D$1601,$D1375)&gt;1,"two readings of this type: keep one; ",""))</f>
        <v/>
      </c>
    </row>
    <row r="1376" customFormat="false" ht="15" hidden="false" customHeight="false" outlineLevel="0" collapsed="false">
      <c r="A1376" s="11"/>
      <c r="B1376" s="38"/>
      <c r="D1376" s="10"/>
      <c r="G1376" s="30" t="str">
        <f aca="false">IF($C1376="","",IFERROR(IF(INDEX(links!$A$2:$A$501,MATCH($C1376,links!$D$2:$D$501,0))="","",INDEX(links!$A$2:$A$501,MATCH($C1376,links!$D$2:$D$501,0))),""))</f>
        <v/>
      </c>
      <c r="H1376" s="30" t="str">
        <f aca="false">IF($C1376="","",IFERROR(IF(INDEX(links!$B$2:$B$501,MATCH($C1376,links!$D$2:$D$501,0))="","",INDEX(links!$B$2:$B$501,MATCH($C1376,links!$D$2:$D$501,0))),""))</f>
        <v/>
      </c>
      <c r="I1376" s="30" t="str">
        <f aca="false">IF($C1376="","",IFERROR(IF(INDEX(links!$C$2:$C$501,MATCH($C1376,links!$D$2:$D$501,0))="","",INDEX(links!$C$2:$C$501,MATCH($C1376,links!$D$2:$D$501,0))),""))</f>
        <v/>
      </c>
      <c r="J1376" s="30" t="str">
        <f aca="false">IF($C1376="","",IF($G1376="","slug not in links; ","")&amp;IF($D1376="","reading type missing; ","")&amp;IF(COUNTIFS(scans!$C$2:$C$1601,$C1376,scans!$D$2:$D$1601,$D1376)&gt;1,"two readings of this type: keep one; ",""))</f>
        <v/>
      </c>
    </row>
    <row r="1377" customFormat="false" ht="15" hidden="false" customHeight="false" outlineLevel="0" collapsed="false">
      <c r="A1377" s="11"/>
      <c r="B1377" s="38"/>
      <c r="D1377" s="10"/>
      <c r="G1377" s="30" t="str">
        <f aca="false">IF($C1377="","",IFERROR(IF(INDEX(links!$A$2:$A$501,MATCH($C1377,links!$D$2:$D$501,0))="","",INDEX(links!$A$2:$A$501,MATCH($C1377,links!$D$2:$D$501,0))),""))</f>
        <v/>
      </c>
      <c r="H1377" s="30" t="str">
        <f aca="false">IF($C1377="","",IFERROR(IF(INDEX(links!$B$2:$B$501,MATCH($C1377,links!$D$2:$D$501,0))="","",INDEX(links!$B$2:$B$501,MATCH($C1377,links!$D$2:$D$501,0))),""))</f>
        <v/>
      </c>
      <c r="I1377" s="30" t="str">
        <f aca="false">IF($C1377="","",IFERROR(IF(INDEX(links!$C$2:$C$501,MATCH($C1377,links!$D$2:$D$501,0))="","",INDEX(links!$C$2:$C$501,MATCH($C1377,links!$D$2:$D$501,0))),""))</f>
        <v/>
      </c>
      <c r="J1377" s="30" t="str">
        <f aca="false">IF($C1377="","",IF($G1377="","slug not in links; ","")&amp;IF($D1377="","reading type missing; ","")&amp;IF(COUNTIFS(scans!$C$2:$C$1601,$C1377,scans!$D$2:$D$1601,$D1377)&gt;1,"two readings of this type: keep one; ",""))</f>
        <v/>
      </c>
    </row>
    <row r="1378" customFormat="false" ht="15" hidden="false" customHeight="false" outlineLevel="0" collapsed="false">
      <c r="A1378" s="11"/>
      <c r="B1378" s="38"/>
      <c r="D1378" s="10"/>
      <c r="G1378" s="30" t="str">
        <f aca="false">IF($C1378="","",IFERROR(IF(INDEX(links!$A$2:$A$501,MATCH($C1378,links!$D$2:$D$501,0))="","",INDEX(links!$A$2:$A$501,MATCH($C1378,links!$D$2:$D$501,0))),""))</f>
        <v/>
      </c>
      <c r="H1378" s="30" t="str">
        <f aca="false">IF($C1378="","",IFERROR(IF(INDEX(links!$B$2:$B$501,MATCH($C1378,links!$D$2:$D$501,0))="","",INDEX(links!$B$2:$B$501,MATCH($C1378,links!$D$2:$D$501,0))),""))</f>
        <v/>
      </c>
      <c r="I1378" s="30" t="str">
        <f aca="false">IF($C1378="","",IFERROR(IF(INDEX(links!$C$2:$C$501,MATCH($C1378,links!$D$2:$D$501,0))="","",INDEX(links!$C$2:$C$501,MATCH($C1378,links!$D$2:$D$501,0))),""))</f>
        <v/>
      </c>
      <c r="J1378" s="30" t="str">
        <f aca="false">IF($C1378="","",IF($G1378="","slug not in links; ","")&amp;IF($D1378="","reading type missing; ","")&amp;IF(COUNTIFS(scans!$C$2:$C$1601,$C1378,scans!$D$2:$D$1601,$D1378)&gt;1,"two readings of this type: keep one; ",""))</f>
        <v/>
      </c>
    </row>
    <row r="1379" customFormat="false" ht="15" hidden="false" customHeight="false" outlineLevel="0" collapsed="false">
      <c r="A1379" s="11"/>
      <c r="B1379" s="38"/>
      <c r="D1379" s="10"/>
      <c r="G1379" s="30" t="str">
        <f aca="false">IF($C1379="","",IFERROR(IF(INDEX(links!$A$2:$A$501,MATCH($C1379,links!$D$2:$D$501,0))="","",INDEX(links!$A$2:$A$501,MATCH($C1379,links!$D$2:$D$501,0))),""))</f>
        <v/>
      </c>
      <c r="H1379" s="30" t="str">
        <f aca="false">IF($C1379="","",IFERROR(IF(INDEX(links!$B$2:$B$501,MATCH($C1379,links!$D$2:$D$501,0))="","",INDEX(links!$B$2:$B$501,MATCH($C1379,links!$D$2:$D$501,0))),""))</f>
        <v/>
      </c>
      <c r="I1379" s="30" t="str">
        <f aca="false">IF($C1379="","",IFERROR(IF(INDEX(links!$C$2:$C$501,MATCH($C1379,links!$D$2:$D$501,0))="","",INDEX(links!$C$2:$C$501,MATCH($C1379,links!$D$2:$D$501,0))),""))</f>
        <v/>
      </c>
      <c r="J1379" s="30" t="str">
        <f aca="false">IF($C1379="","",IF($G1379="","slug not in links; ","")&amp;IF($D1379="","reading type missing; ","")&amp;IF(COUNTIFS(scans!$C$2:$C$1601,$C1379,scans!$D$2:$D$1601,$D1379)&gt;1,"two readings of this type: keep one; ",""))</f>
        <v/>
      </c>
    </row>
    <row r="1380" customFormat="false" ht="15" hidden="false" customHeight="false" outlineLevel="0" collapsed="false">
      <c r="A1380" s="11"/>
      <c r="B1380" s="38"/>
      <c r="D1380" s="10"/>
      <c r="G1380" s="30" t="str">
        <f aca="false">IF($C1380="","",IFERROR(IF(INDEX(links!$A$2:$A$501,MATCH($C1380,links!$D$2:$D$501,0))="","",INDEX(links!$A$2:$A$501,MATCH($C1380,links!$D$2:$D$501,0))),""))</f>
        <v/>
      </c>
      <c r="H1380" s="30" t="str">
        <f aca="false">IF($C1380="","",IFERROR(IF(INDEX(links!$B$2:$B$501,MATCH($C1380,links!$D$2:$D$501,0))="","",INDEX(links!$B$2:$B$501,MATCH($C1380,links!$D$2:$D$501,0))),""))</f>
        <v/>
      </c>
      <c r="I1380" s="30" t="str">
        <f aca="false">IF($C1380="","",IFERROR(IF(INDEX(links!$C$2:$C$501,MATCH($C1380,links!$D$2:$D$501,0))="","",INDEX(links!$C$2:$C$501,MATCH($C1380,links!$D$2:$D$501,0))),""))</f>
        <v/>
      </c>
      <c r="J1380" s="30" t="str">
        <f aca="false">IF($C1380="","",IF($G1380="","slug not in links; ","")&amp;IF($D1380="","reading type missing; ","")&amp;IF(COUNTIFS(scans!$C$2:$C$1601,$C1380,scans!$D$2:$D$1601,$D1380)&gt;1,"two readings of this type: keep one; ",""))</f>
        <v/>
      </c>
    </row>
    <row r="1381" customFormat="false" ht="15" hidden="false" customHeight="false" outlineLevel="0" collapsed="false">
      <c r="A1381" s="11"/>
      <c r="B1381" s="38"/>
      <c r="D1381" s="10"/>
      <c r="G1381" s="30" t="str">
        <f aca="false">IF($C1381="","",IFERROR(IF(INDEX(links!$A$2:$A$501,MATCH($C1381,links!$D$2:$D$501,0))="","",INDEX(links!$A$2:$A$501,MATCH($C1381,links!$D$2:$D$501,0))),""))</f>
        <v/>
      </c>
      <c r="H1381" s="30" t="str">
        <f aca="false">IF($C1381="","",IFERROR(IF(INDEX(links!$B$2:$B$501,MATCH($C1381,links!$D$2:$D$501,0))="","",INDEX(links!$B$2:$B$501,MATCH($C1381,links!$D$2:$D$501,0))),""))</f>
        <v/>
      </c>
      <c r="I1381" s="30" t="str">
        <f aca="false">IF($C1381="","",IFERROR(IF(INDEX(links!$C$2:$C$501,MATCH($C1381,links!$D$2:$D$501,0))="","",INDEX(links!$C$2:$C$501,MATCH($C1381,links!$D$2:$D$501,0))),""))</f>
        <v/>
      </c>
      <c r="J1381" s="30" t="str">
        <f aca="false">IF($C1381="","",IF($G1381="","slug not in links; ","")&amp;IF($D1381="","reading type missing; ","")&amp;IF(COUNTIFS(scans!$C$2:$C$1601,$C1381,scans!$D$2:$D$1601,$D1381)&gt;1,"two readings of this type: keep one; ",""))</f>
        <v/>
      </c>
    </row>
    <row r="1382" customFormat="false" ht="15" hidden="false" customHeight="false" outlineLevel="0" collapsed="false">
      <c r="A1382" s="11"/>
      <c r="B1382" s="38"/>
      <c r="D1382" s="10"/>
      <c r="G1382" s="30" t="str">
        <f aca="false">IF($C1382="","",IFERROR(IF(INDEX(links!$A$2:$A$501,MATCH($C1382,links!$D$2:$D$501,0))="","",INDEX(links!$A$2:$A$501,MATCH($C1382,links!$D$2:$D$501,0))),""))</f>
        <v/>
      </c>
      <c r="H1382" s="30" t="str">
        <f aca="false">IF($C1382="","",IFERROR(IF(INDEX(links!$B$2:$B$501,MATCH($C1382,links!$D$2:$D$501,0))="","",INDEX(links!$B$2:$B$501,MATCH($C1382,links!$D$2:$D$501,0))),""))</f>
        <v/>
      </c>
      <c r="I1382" s="30" t="str">
        <f aca="false">IF($C1382="","",IFERROR(IF(INDEX(links!$C$2:$C$501,MATCH($C1382,links!$D$2:$D$501,0))="","",INDEX(links!$C$2:$C$501,MATCH($C1382,links!$D$2:$D$501,0))),""))</f>
        <v/>
      </c>
      <c r="J1382" s="30" t="str">
        <f aca="false">IF($C1382="","",IF($G1382="","slug not in links; ","")&amp;IF($D1382="","reading type missing; ","")&amp;IF(COUNTIFS(scans!$C$2:$C$1601,$C1382,scans!$D$2:$D$1601,$D1382)&gt;1,"two readings of this type: keep one; ",""))</f>
        <v/>
      </c>
    </row>
    <row r="1383" customFormat="false" ht="15" hidden="false" customHeight="false" outlineLevel="0" collapsed="false">
      <c r="A1383" s="11"/>
      <c r="B1383" s="38"/>
      <c r="D1383" s="10"/>
      <c r="G1383" s="30" t="str">
        <f aca="false">IF($C1383="","",IFERROR(IF(INDEX(links!$A$2:$A$501,MATCH($C1383,links!$D$2:$D$501,0))="","",INDEX(links!$A$2:$A$501,MATCH($C1383,links!$D$2:$D$501,0))),""))</f>
        <v/>
      </c>
      <c r="H1383" s="30" t="str">
        <f aca="false">IF($C1383="","",IFERROR(IF(INDEX(links!$B$2:$B$501,MATCH($C1383,links!$D$2:$D$501,0))="","",INDEX(links!$B$2:$B$501,MATCH($C1383,links!$D$2:$D$501,0))),""))</f>
        <v/>
      </c>
      <c r="I1383" s="30" t="str">
        <f aca="false">IF($C1383="","",IFERROR(IF(INDEX(links!$C$2:$C$501,MATCH($C1383,links!$D$2:$D$501,0))="","",INDEX(links!$C$2:$C$501,MATCH($C1383,links!$D$2:$D$501,0))),""))</f>
        <v/>
      </c>
      <c r="J1383" s="30" t="str">
        <f aca="false">IF($C1383="","",IF($G1383="","slug not in links; ","")&amp;IF($D1383="","reading type missing; ","")&amp;IF(COUNTIFS(scans!$C$2:$C$1601,$C1383,scans!$D$2:$D$1601,$D1383)&gt;1,"two readings of this type: keep one; ",""))</f>
        <v/>
      </c>
    </row>
    <row r="1384" customFormat="false" ht="15" hidden="false" customHeight="false" outlineLevel="0" collapsed="false">
      <c r="A1384" s="11"/>
      <c r="B1384" s="38"/>
      <c r="D1384" s="10"/>
      <c r="G1384" s="30" t="str">
        <f aca="false">IF($C1384="","",IFERROR(IF(INDEX(links!$A$2:$A$501,MATCH($C1384,links!$D$2:$D$501,0))="","",INDEX(links!$A$2:$A$501,MATCH($C1384,links!$D$2:$D$501,0))),""))</f>
        <v/>
      </c>
      <c r="H1384" s="30" t="str">
        <f aca="false">IF($C1384="","",IFERROR(IF(INDEX(links!$B$2:$B$501,MATCH($C1384,links!$D$2:$D$501,0))="","",INDEX(links!$B$2:$B$501,MATCH($C1384,links!$D$2:$D$501,0))),""))</f>
        <v/>
      </c>
      <c r="I1384" s="30" t="str">
        <f aca="false">IF($C1384="","",IFERROR(IF(INDEX(links!$C$2:$C$501,MATCH($C1384,links!$D$2:$D$501,0))="","",INDEX(links!$C$2:$C$501,MATCH($C1384,links!$D$2:$D$501,0))),""))</f>
        <v/>
      </c>
      <c r="J1384" s="30" t="str">
        <f aca="false">IF($C1384="","",IF($G1384="","slug not in links; ","")&amp;IF($D1384="","reading type missing; ","")&amp;IF(COUNTIFS(scans!$C$2:$C$1601,$C1384,scans!$D$2:$D$1601,$D1384)&gt;1,"two readings of this type: keep one; ",""))</f>
        <v/>
      </c>
    </row>
    <row r="1385" customFormat="false" ht="15" hidden="false" customHeight="false" outlineLevel="0" collapsed="false">
      <c r="A1385" s="11"/>
      <c r="B1385" s="38"/>
      <c r="D1385" s="10"/>
      <c r="G1385" s="30" t="str">
        <f aca="false">IF($C1385="","",IFERROR(IF(INDEX(links!$A$2:$A$501,MATCH($C1385,links!$D$2:$D$501,0))="","",INDEX(links!$A$2:$A$501,MATCH($C1385,links!$D$2:$D$501,0))),""))</f>
        <v/>
      </c>
      <c r="H1385" s="30" t="str">
        <f aca="false">IF($C1385="","",IFERROR(IF(INDEX(links!$B$2:$B$501,MATCH($C1385,links!$D$2:$D$501,0))="","",INDEX(links!$B$2:$B$501,MATCH($C1385,links!$D$2:$D$501,0))),""))</f>
        <v/>
      </c>
      <c r="I1385" s="30" t="str">
        <f aca="false">IF($C1385="","",IFERROR(IF(INDEX(links!$C$2:$C$501,MATCH($C1385,links!$D$2:$D$501,0))="","",INDEX(links!$C$2:$C$501,MATCH($C1385,links!$D$2:$D$501,0))),""))</f>
        <v/>
      </c>
      <c r="J1385" s="30" t="str">
        <f aca="false">IF($C1385="","",IF($G1385="","slug not in links; ","")&amp;IF($D1385="","reading type missing; ","")&amp;IF(COUNTIFS(scans!$C$2:$C$1601,$C1385,scans!$D$2:$D$1601,$D1385)&gt;1,"two readings of this type: keep one; ",""))</f>
        <v/>
      </c>
    </row>
    <row r="1386" customFormat="false" ht="15" hidden="false" customHeight="false" outlineLevel="0" collapsed="false">
      <c r="A1386" s="11"/>
      <c r="B1386" s="38"/>
      <c r="D1386" s="10"/>
      <c r="G1386" s="30" t="str">
        <f aca="false">IF($C1386="","",IFERROR(IF(INDEX(links!$A$2:$A$501,MATCH($C1386,links!$D$2:$D$501,0))="","",INDEX(links!$A$2:$A$501,MATCH($C1386,links!$D$2:$D$501,0))),""))</f>
        <v/>
      </c>
      <c r="H1386" s="30" t="str">
        <f aca="false">IF($C1386="","",IFERROR(IF(INDEX(links!$B$2:$B$501,MATCH($C1386,links!$D$2:$D$501,0))="","",INDEX(links!$B$2:$B$501,MATCH($C1386,links!$D$2:$D$501,0))),""))</f>
        <v/>
      </c>
      <c r="I1386" s="30" t="str">
        <f aca="false">IF($C1386="","",IFERROR(IF(INDEX(links!$C$2:$C$501,MATCH($C1386,links!$D$2:$D$501,0))="","",INDEX(links!$C$2:$C$501,MATCH($C1386,links!$D$2:$D$501,0))),""))</f>
        <v/>
      </c>
      <c r="J1386" s="30" t="str">
        <f aca="false">IF($C1386="","",IF($G1386="","slug not in links; ","")&amp;IF($D1386="","reading type missing; ","")&amp;IF(COUNTIFS(scans!$C$2:$C$1601,$C1386,scans!$D$2:$D$1601,$D1386)&gt;1,"two readings of this type: keep one; ",""))</f>
        <v/>
      </c>
    </row>
    <row r="1387" customFormat="false" ht="15" hidden="false" customHeight="false" outlineLevel="0" collapsed="false">
      <c r="A1387" s="11"/>
      <c r="B1387" s="38"/>
      <c r="D1387" s="10"/>
      <c r="G1387" s="30" t="str">
        <f aca="false">IF($C1387="","",IFERROR(IF(INDEX(links!$A$2:$A$501,MATCH($C1387,links!$D$2:$D$501,0))="","",INDEX(links!$A$2:$A$501,MATCH($C1387,links!$D$2:$D$501,0))),""))</f>
        <v/>
      </c>
      <c r="H1387" s="30" t="str">
        <f aca="false">IF($C1387="","",IFERROR(IF(INDEX(links!$B$2:$B$501,MATCH($C1387,links!$D$2:$D$501,0))="","",INDEX(links!$B$2:$B$501,MATCH($C1387,links!$D$2:$D$501,0))),""))</f>
        <v/>
      </c>
      <c r="I1387" s="30" t="str">
        <f aca="false">IF($C1387="","",IFERROR(IF(INDEX(links!$C$2:$C$501,MATCH($C1387,links!$D$2:$D$501,0))="","",INDEX(links!$C$2:$C$501,MATCH($C1387,links!$D$2:$D$501,0))),""))</f>
        <v/>
      </c>
      <c r="J1387" s="30" t="str">
        <f aca="false">IF($C1387="","",IF($G1387="","slug not in links; ","")&amp;IF($D1387="","reading type missing; ","")&amp;IF(COUNTIFS(scans!$C$2:$C$1601,$C1387,scans!$D$2:$D$1601,$D1387)&gt;1,"two readings of this type: keep one; ",""))</f>
        <v/>
      </c>
    </row>
    <row r="1388" customFormat="false" ht="15" hidden="false" customHeight="false" outlineLevel="0" collapsed="false">
      <c r="A1388" s="11"/>
      <c r="B1388" s="38"/>
      <c r="D1388" s="10"/>
      <c r="G1388" s="30" t="str">
        <f aca="false">IF($C1388="","",IFERROR(IF(INDEX(links!$A$2:$A$501,MATCH($C1388,links!$D$2:$D$501,0))="","",INDEX(links!$A$2:$A$501,MATCH($C1388,links!$D$2:$D$501,0))),""))</f>
        <v/>
      </c>
      <c r="H1388" s="30" t="str">
        <f aca="false">IF($C1388="","",IFERROR(IF(INDEX(links!$B$2:$B$501,MATCH($C1388,links!$D$2:$D$501,0))="","",INDEX(links!$B$2:$B$501,MATCH($C1388,links!$D$2:$D$501,0))),""))</f>
        <v/>
      </c>
      <c r="I1388" s="30" t="str">
        <f aca="false">IF($C1388="","",IFERROR(IF(INDEX(links!$C$2:$C$501,MATCH($C1388,links!$D$2:$D$501,0))="","",INDEX(links!$C$2:$C$501,MATCH($C1388,links!$D$2:$D$501,0))),""))</f>
        <v/>
      </c>
      <c r="J1388" s="30" t="str">
        <f aca="false">IF($C1388="","",IF($G1388="","slug not in links; ","")&amp;IF($D1388="","reading type missing; ","")&amp;IF(COUNTIFS(scans!$C$2:$C$1601,$C1388,scans!$D$2:$D$1601,$D1388)&gt;1,"two readings of this type: keep one; ",""))</f>
        <v/>
      </c>
    </row>
    <row r="1389" customFormat="false" ht="15" hidden="false" customHeight="false" outlineLevel="0" collapsed="false">
      <c r="A1389" s="11"/>
      <c r="B1389" s="38"/>
      <c r="D1389" s="10"/>
      <c r="G1389" s="30" t="str">
        <f aca="false">IF($C1389="","",IFERROR(IF(INDEX(links!$A$2:$A$501,MATCH($C1389,links!$D$2:$D$501,0))="","",INDEX(links!$A$2:$A$501,MATCH($C1389,links!$D$2:$D$501,0))),""))</f>
        <v/>
      </c>
      <c r="H1389" s="30" t="str">
        <f aca="false">IF($C1389="","",IFERROR(IF(INDEX(links!$B$2:$B$501,MATCH($C1389,links!$D$2:$D$501,0))="","",INDEX(links!$B$2:$B$501,MATCH($C1389,links!$D$2:$D$501,0))),""))</f>
        <v/>
      </c>
      <c r="I1389" s="30" t="str">
        <f aca="false">IF($C1389="","",IFERROR(IF(INDEX(links!$C$2:$C$501,MATCH($C1389,links!$D$2:$D$501,0))="","",INDEX(links!$C$2:$C$501,MATCH($C1389,links!$D$2:$D$501,0))),""))</f>
        <v/>
      </c>
      <c r="J1389" s="30" t="str">
        <f aca="false">IF($C1389="","",IF($G1389="","slug not in links; ","")&amp;IF($D1389="","reading type missing; ","")&amp;IF(COUNTIFS(scans!$C$2:$C$1601,$C1389,scans!$D$2:$D$1601,$D1389)&gt;1,"two readings of this type: keep one; ",""))</f>
        <v/>
      </c>
    </row>
    <row r="1390" customFormat="false" ht="15" hidden="false" customHeight="false" outlineLevel="0" collapsed="false">
      <c r="A1390" s="11"/>
      <c r="B1390" s="38"/>
      <c r="D1390" s="10"/>
      <c r="G1390" s="30" t="str">
        <f aca="false">IF($C1390="","",IFERROR(IF(INDEX(links!$A$2:$A$501,MATCH($C1390,links!$D$2:$D$501,0))="","",INDEX(links!$A$2:$A$501,MATCH($C1390,links!$D$2:$D$501,0))),""))</f>
        <v/>
      </c>
      <c r="H1390" s="30" t="str">
        <f aca="false">IF($C1390="","",IFERROR(IF(INDEX(links!$B$2:$B$501,MATCH($C1390,links!$D$2:$D$501,0))="","",INDEX(links!$B$2:$B$501,MATCH($C1390,links!$D$2:$D$501,0))),""))</f>
        <v/>
      </c>
      <c r="I1390" s="30" t="str">
        <f aca="false">IF($C1390="","",IFERROR(IF(INDEX(links!$C$2:$C$501,MATCH($C1390,links!$D$2:$D$501,0))="","",INDEX(links!$C$2:$C$501,MATCH($C1390,links!$D$2:$D$501,0))),""))</f>
        <v/>
      </c>
      <c r="J1390" s="30" t="str">
        <f aca="false">IF($C1390="","",IF($G1390="","slug not in links; ","")&amp;IF($D1390="","reading type missing; ","")&amp;IF(COUNTIFS(scans!$C$2:$C$1601,$C1390,scans!$D$2:$D$1601,$D1390)&gt;1,"two readings of this type: keep one; ",""))</f>
        <v/>
      </c>
    </row>
    <row r="1391" customFormat="false" ht="15" hidden="false" customHeight="false" outlineLevel="0" collapsed="false">
      <c r="A1391" s="11"/>
      <c r="B1391" s="38"/>
      <c r="D1391" s="10"/>
      <c r="G1391" s="30" t="str">
        <f aca="false">IF($C1391="","",IFERROR(IF(INDEX(links!$A$2:$A$501,MATCH($C1391,links!$D$2:$D$501,0))="","",INDEX(links!$A$2:$A$501,MATCH($C1391,links!$D$2:$D$501,0))),""))</f>
        <v/>
      </c>
      <c r="H1391" s="30" t="str">
        <f aca="false">IF($C1391="","",IFERROR(IF(INDEX(links!$B$2:$B$501,MATCH($C1391,links!$D$2:$D$501,0))="","",INDEX(links!$B$2:$B$501,MATCH($C1391,links!$D$2:$D$501,0))),""))</f>
        <v/>
      </c>
      <c r="I1391" s="30" t="str">
        <f aca="false">IF($C1391="","",IFERROR(IF(INDEX(links!$C$2:$C$501,MATCH($C1391,links!$D$2:$D$501,0))="","",INDEX(links!$C$2:$C$501,MATCH($C1391,links!$D$2:$D$501,0))),""))</f>
        <v/>
      </c>
      <c r="J1391" s="30" t="str">
        <f aca="false">IF($C1391="","",IF($G1391="","slug not in links; ","")&amp;IF($D1391="","reading type missing; ","")&amp;IF(COUNTIFS(scans!$C$2:$C$1601,$C1391,scans!$D$2:$D$1601,$D1391)&gt;1,"two readings of this type: keep one; ",""))</f>
        <v/>
      </c>
    </row>
    <row r="1392" customFormat="false" ht="15" hidden="false" customHeight="false" outlineLevel="0" collapsed="false">
      <c r="A1392" s="11"/>
      <c r="B1392" s="38"/>
      <c r="D1392" s="10"/>
      <c r="G1392" s="30" t="str">
        <f aca="false">IF($C1392="","",IFERROR(IF(INDEX(links!$A$2:$A$501,MATCH($C1392,links!$D$2:$D$501,0))="","",INDEX(links!$A$2:$A$501,MATCH($C1392,links!$D$2:$D$501,0))),""))</f>
        <v/>
      </c>
      <c r="H1392" s="30" t="str">
        <f aca="false">IF($C1392="","",IFERROR(IF(INDEX(links!$B$2:$B$501,MATCH($C1392,links!$D$2:$D$501,0))="","",INDEX(links!$B$2:$B$501,MATCH($C1392,links!$D$2:$D$501,0))),""))</f>
        <v/>
      </c>
      <c r="I1392" s="30" t="str">
        <f aca="false">IF($C1392="","",IFERROR(IF(INDEX(links!$C$2:$C$501,MATCH($C1392,links!$D$2:$D$501,0))="","",INDEX(links!$C$2:$C$501,MATCH($C1392,links!$D$2:$D$501,0))),""))</f>
        <v/>
      </c>
      <c r="J1392" s="30" t="str">
        <f aca="false">IF($C1392="","",IF($G1392="","slug not in links; ","")&amp;IF($D1392="","reading type missing; ","")&amp;IF(COUNTIFS(scans!$C$2:$C$1601,$C1392,scans!$D$2:$D$1601,$D1392)&gt;1,"two readings of this type: keep one; ",""))</f>
        <v/>
      </c>
    </row>
    <row r="1393" customFormat="false" ht="15" hidden="false" customHeight="false" outlineLevel="0" collapsed="false">
      <c r="A1393" s="11"/>
      <c r="B1393" s="38"/>
      <c r="D1393" s="10"/>
      <c r="G1393" s="30" t="str">
        <f aca="false">IF($C1393="","",IFERROR(IF(INDEX(links!$A$2:$A$501,MATCH($C1393,links!$D$2:$D$501,0))="","",INDEX(links!$A$2:$A$501,MATCH($C1393,links!$D$2:$D$501,0))),""))</f>
        <v/>
      </c>
      <c r="H1393" s="30" t="str">
        <f aca="false">IF($C1393="","",IFERROR(IF(INDEX(links!$B$2:$B$501,MATCH($C1393,links!$D$2:$D$501,0))="","",INDEX(links!$B$2:$B$501,MATCH($C1393,links!$D$2:$D$501,0))),""))</f>
        <v/>
      </c>
      <c r="I1393" s="30" t="str">
        <f aca="false">IF($C1393="","",IFERROR(IF(INDEX(links!$C$2:$C$501,MATCH($C1393,links!$D$2:$D$501,0))="","",INDEX(links!$C$2:$C$501,MATCH($C1393,links!$D$2:$D$501,0))),""))</f>
        <v/>
      </c>
      <c r="J1393" s="30" t="str">
        <f aca="false">IF($C1393="","",IF($G1393="","slug not in links; ","")&amp;IF($D1393="","reading type missing; ","")&amp;IF(COUNTIFS(scans!$C$2:$C$1601,$C1393,scans!$D$2:$D$1601,$D1393)&gt;1,"two readings of this type: keep one; ",""))</f>
        <v/>
      </c>
    </row>
    <row r="1394" customFormat="false" ht="15" hidden="false" customHeight="false" outlineLevel="0" collapsed="false">
      <c r="A1394" s="11"/>
      <c r="B1394" s="38"/>
      <c r="D1394" s="10"/>
      <c r="G1394" s="30" t="str">
        <f aca="false">IF($C1394="","",IFERROR(IF(INDEX(links!$A$2:$A$501,MATCH($C1394,links!$D$2:$D$501,0))="","",INDEX(links!$A$2:$A$501,MATCH($C1394,links!$D$2:$D$501,0))),""))</f>
        <v/>
      </c>
      <c r="H1394" s="30" t="str">
        <f aca="false">IF($C1394="","",IFERROR(IF(INDEX(links!$B$2:$B$501,MATCH($C1394,links!$D$2:$D$501,0))="","",INDEX(links!$B$2:$B$501,MATCH($C1394,links!$D$2:$D$501,0))),""))</f>
        <v/>
      </c>
      <c r="I1394" s="30" t="str">
        <f aca="false">IF($C1394="","",IFERROR(IF(INDEX(links!$C$2:$C$501,MATCH($C1394,links!$D$2:$D$501,0))="","",INDEX(links!$C$2:$C$501,MATCH($C1394,links!$D$2:$D$501,0))),""))</f>
        <v/>
      </c>
      <c r="J1394" s="30" t="str">
        <f aca="false">IF($C1394="","",IF($G1394="","slug not in links; ","")&amp;IF($D1394="","reading type missing; ","")&amp;IF(COUNTIFS(scans!$C$2:$C$1601,$C1394,scans!$D$2:$D$1601,$D1394)&gt;1,"two readings of this type: keep one; ",""))</f>
        <v/>
      </c>
    </row>
    <row r="1395" customFormat="false" ht="15" hidden="false" customHeight="false" outlineLevel="0" collapsed="false">
      <c r="A1395" s="11"/>
      <c r="B1395" s="38"/>
      <c r="D1395" s="10"/>
      <c r="G1395" s="30" t="str">
        <f aca="false">IF($C1395="","",IFERROR(IF(INDEX(links!$A$2:$A$501,MATCH($C1395,links!$D$2:$D$501,0))="","",INDEX(links!$A$2:$A$501,MATCH($C1395,links!$D$2:$D$501,0))),""))</f>
        <v/>
      </c>
      <c r="H1395" s="30" t="str">
        <f aca="false">IF($C1395="","",IFERROR(IF(INDEX(links!$B$2:$B$501,MATCH($C1395,links!$D$2:$D$501,0))="","",INDEX(links!$B$2:$B$501,MATCH($C1395,links!$D$2:$D$501,0))),""))</f>
        <v/>
      </c>
      <c r="I1395" s="30" t="str">
        <f aca="false">IF($C1395="","",IFERROR(IF(INDEX(links!$C$2:$C$501,MATCH($C1395,links!$D$2:$D$501,0))="","",INDEX(links!$C$2:$C$501,MATCH($C1395,links!$D$2:$D$501,0))),""))</f>
        <v/>
      </c>
      <c r="J1395" s="30" t="str">
        <f aca="false">IF($C1395="","",IF($G1395="","slug not in links; ","")&amp;IF($D1395="","reading type missing; ","")&amp;IF(COUNTIFS(scans!$C$2:$C$1601,$C1395,scans!$D$2:$D$1601,$D1395)&gt;1,"two readings of this type: keep one; ",""))</f>
        <v/>
      </c>
    </row>
    <row r="1396" customFormat="false" ht="15" hidden="false" customHeight="false" outlineLevel="0" collapsed="false">
      <c r="A1396" s="11"/>
      <c r="B1396" s="38"/>
      <c r="D1396" s="10"/>
      <c r="G1396" s="30" t="str">
        <f aca="false">IF($C1396="","",IFERROR(IF(INDEX(links!$A$2:$A$501,MATCH($C1396,links!$D$2:$D$501,0))="","",INDEX(links!$A$2:$A$501,MATCH($C1396,links!$D$2:$D$501,0))),""))</f>
        <v/>
      </c>
      <c r="H1396" s="30" t="str">
        <f aca="false">IF($C1396="","",IFERROR(IF(INDEX(links!$B$2:$B$501,MATCH($C1396,links!$D$2:$D$501,0))="","",INDEX(links!$B$2:$B$501,MATCH($C1396,links!$D$2:$D$501,0))),""))</f>
        <v/>
      </c>
      <c r="I1396" s="30" t="str">
        <f aca="false">IF($C1396="","",IFERROR(IF(INDEX(links!$C$2:$C$501,MATCH($C1396,links!$D$2:$D$501,0))="","",INDEX(links!$C$2:$C$501,MATCH($C1396,links!$D$2:$D$501,0))),""))</f>
        <v/>
      </c>
      <c r="J1396" s="30" t="str">
        <f aca="false">IF($C1396="","",IF($G1396="","slug not in links; ","")&amp;IF($D1396="","reading type missing; ","")&amp;IF(COUNTIFS(scans!$C$2:$C$1601,$C1396,scans!$D$2:$D$1601,$D1396)&gt;1,"two readings of this type: keep one; ",""))</f>
        <v/>
      </c>
    </row>
    <row r="1397" customFormat="false" ht="15" hidden="false" customHeight="false" outlineLevel="0" collapsed="false">
      <c r="A1397" s="11"/>
      <c r="B1397" s="38"/>
      <c r="D1397" s="10"/>
      <c r="G1397" s="30" t="str">
        <f aca="false">IF($C1397="","",IFERROR(IF(INDEX(links!$A$2:$A$501,MATCH($C1397,links!$D$2:$D$501,0))="","",INDEX(links!$A$2:$A$501,MATCH($C1397,links!$D$2:$D$501,0))),""))</f>
        <v/>
      </c>
      <c r="H1397" s="30" t="str">
        <f aca="false">IF($C1397="","",IFERROR(IF(INDEX(links!$B$2:$B$501,MATCH($C1397,links!$D$2:$D$501,0))="","",INDEX(links!$B$2:$B$501,MATCH($C1397,links!$D$2:$D$501,0))),""))</f>
        <v/>
      </c>
      <c r="I1397" s="30" t="str">
        <f aca="false">IF($C1397="","",IFERROR(IF(INDEX(links!$C$2:$C$501,MATCH($C1397,links!$D$2:$D$501,0))="","",INDEX(links!$C$2:$C$501,MATCH($C1397,links!$D$2:$D$501,0))),""))</f>
        <v/>
      </c>
      <c r="J1397" s="30" t="str">
        <f aca="false">IF($C1397="","",IF($G1397="","slug not in links; ","")&amp;IF($D1397="","reading type missing; ","")&amp;IF(COUNTIFS(scans!$C$2:$C$1601,$C1397,scans!$D$2:$D$1601,$D1397)&gt;1,"two readings of this type: keep one; ",""))</f>
        <v/>
      </c>
    </row>
    <row r="1398" customFormat="false" ht="15" hidden="false" customHeight="false" outlineLevel="0" collapsed="false">
      <c r="A1398" s="11"/>
      <c r="B1398" s="38"/>
      <c r="D1398" s="10"/>
      <c r="G1398" s="30" t="str">
        <f aca="false">IF($C1398="","",IFERROR(IF(INDEX(links!$A$2:$A$501,MATCH($C1398,links!$D$2:$D$501,0))="","",INDEX(links!$A$2:$A$501,MATCH($C1398,links!$D$2:$D$501,0))),""))</f>
        <v/>
      </c>
      <c r="H1398" s="30" t="str">
        <f aca="false">IF($C1398="","",IFERROR(IF(INDEX(links!$B$2:$B$501,MATCH($C1398,links!$D$2:$D$501,0))="","",INDEX(links!$B$2:$B$501,MATCH($C1398,links!$D$2:$D$501,0))),""))</f>
        <v/>
      </c>
      <c r="I1398" s="30" t="str">
        <f aca="false">IF($C1398="","",IFERROR(IF(INDEX(links!$C$2:$C$501,MATCH($C1398,links!$D$2:$D$501,0))="","",INDEX(links!$C$2:$C$501,MATCH($C1398,links!$D$2:$D$501,0))),""))</f>
        <v/>
      </c>
      <c r="J1398" s="30" t="str">
        <f aca="false">IF($C1398="","",IF($G1398="","slug not in links; ","")&amp;IF($D1398="","reading type missing; ","")&amp;IF(COUNTIFS(scans!$C$2:$C$1601,$C1398,scans!$D$2:$D$1601,$D1398)&gt;1,"two readings of this type: keep one; ",""))</f>
        <v/>
      </c>
    </row>
    <row r="1399" customFormat="false" ht="15" hidden="false" customHeight="false" outlineLevel="0" collapsed="false">
      <c r="A1399" s="11"/>
      <c r="B1399" s="38"/>
      <c r="D1399" s="10"/>
      <c r="G1399" s="30" t="str">
        <f aca="false">IF($C1399="","",IFERROR(IF(INDEX(links!$A$2:$A$501,MATCH($C1399,links!$D$2:$D$501,0))="","",INDEX(links!$A$2:$A$501,MATCH($C1399,links!$D$2:$D$501,0))),""))</f>
        <v/>
      </c>
      <c r="H1399" s="30" t="str">
        <f aca="false">IF($C1399="","",IFERROR(IF(INDEX(links!$B$2:$B$501,MATCH($C1399,links!$D$2:$D$501,0))="","",INDEX(links!$B$2:$B$501,MATCH($C1399,links!$D$2:$D$501,0))),""))</f>
        <v/>
      </c>
      <c r="I1399" s="30" t="str">
        <f aca="false">IF($C1399="","",IFERROR(IF(INDEX(links!$C$2:$C$501,MATCH($C1399,links!$D$2:$D$501,0))="","",INDEX(links!$C$2:$C$501,MATCH($C1399,links!$D$2:$D$501,0))),""))</f>
        <v/>
      </c>
      <c r="J1399" s="30" t="str">
        <f aca="false">IF($C1399="","",IF($G1399="","slug not in links; ","")&amp;IF($D1399="","reading type missing; ","")&amp;IF(COUNTIFS(scans!$C$2:$C$1601,$C1399,scans!$D$2:$D$1601,$D1399)&gt;1,"two readings of this type: keep one; ",""))</f>
        <v/>
      </c>
    </row>
    <row r="1400" customFormat="false" ht="15" hidden="false" customHeight="false" outlineLevel="0" collapsed="false">
      <c r="A1400" s="11"/>
      <c r="B1400" s="38"/>
      <c r="D1400" s="10"/>
      <c r="G1400" s="30" t="str">
        <f aca="false">IF($C1400="","",IFERROR(IF(INDEX(links!$A$2:$A$501,MATCH($C1400,links!$D$2:$D$501,0))="","",INDEX(links!$A$2:$A$501,MATCH($C1400,links!$D$2:$D$501,0))),""))</f>
        <v/>
      </c>
      <c r="H1400" s="30" t="str">
        <f aca="false">IF($C1400="","",IFERROR(IF(INDEX(links!$B$2:$B$501,MATCH($C1400,links!$D$2:$D$501,0))="","",INDEX(links!$B$2:$B$501,MATCH($C1400,links!$D$2:$D$501,0))),""))</f>
        <v/>
      </c>
      <c r="I1400" s="30" t="str">
        <f aca="false">IF($C1400="","",IFERROR(IF(INDEX(links!$C$2:$C$501,MATCH($C1400,links!$D$2:$D$501,0))="","",INDEX(links!$C$2:$C$501,MATCH($C1400,links!$D$2:$D$501,0))),""))</f>
        <v/>
      </c>
      <c r="J1400" s="30" t="str">
        <f aca="false">IF($C1400="","",IF($G1400="","slug not in links; ","")&amp;IF($D1400="","reading type missing; ","")&amp;IF(COUNTIFS(scans!$C$2:$C$1601,$C1400,scans!$D$2:$D$1601,$D1400)&gt;1,"two readings of this type: keep one; ",""))</f>
        <v/>
      </c>
    </row>
    <row r="1401" customFormat="false" ht="15" hidden="false" customHeight="false" outlineLevel="0" collapsed="false">
      <c r="A1401" s="11"/>
      <c r="B1401" s="38"/>
      <c r="D1401" s="10"/>
      <c r="G1401" s="30" t="str">
        <f aca="false">IF($C1401="","",IFERROR(IF(INDEX(links!$A$2:$A$501,MATCH($C1401,links!$D$2:$D$501,0))="","",INDEX(links!$A$2:$A$501,MATCH($C1401,links!$D$2:$D$501,0))),""))</f>
        <v/>
      </c>
      <c r="H1401" s="30" t="str">
        <f aca="false">IF($C1401="","",IFERROR(IF(INDEX(links!$B$2:$B$501,MATCH($C1401,links!$D$2:$D$501,0))="","",INDEX(links!$B$2:$B$501,MATCH($C1401,links!$D$2:$D$501,0))),""))</f>
        <v/>
      </c>
      <c r="I1401" s="30" t="str">
        <f aca="false">IF($C1401="","",IFERROR(IF(INDEX(links!$C$2:$C$501,MATCH($C1401,links!$D$2:$D$501,0))="","",INDEX(links!$C$2:$C$501,MATCH($C1401,links!$D$2:$D$501,0))),""))</f>
        <v/>
      </c>
      <c r="J1401" s="30" t="str">
        <f aca="false">IF($C1401="","",IF($G1401="","slug not in links; ","")&amp;IF($D1401="","reading type missing; ","")&amp;IF(COUNTIFS(scans!$C$2:$C$1601,$C1401,scans!$D$2:$D$1601,$D1401)&gt;1,"two readings of this type: keep one; ",""))</f>
        <v/>
      </c>
    </row>
    <row r="1402" customFormat="false" ht="15" hidden="false" customHeight="false" outlineLevel="0" collapsed="false">
      <c r="A1402" s="11"/>
      <c r="B1402" s="38"/>
      <c r="D1402" s="10"/>
      <c r="G1402" s="30" t="str">
        <f aca="false">IF($C1402="","",IFERROR(IF(INDEX(links!$A$2:$A$501,MATCH($C1402,links!$D$2:$D$501,0))="","",INDEX(links!$A$2:$A$501,MATCH($C1402,links!$D$2:$D$501,0))),""))</f>
        <v/>
      </c>
      <c r="H1402" s="30" t="str">
        <f aca="false">IF($C1402="","",IFERROR(IF(INDEX(links!$B$2:$B$501,MATCH($C1402,links!$D$2:$D$501,0))="","",INDEX(links!$B$2:$B$501,MATCH($C1402,links!$D$2:$D$501,0))),""))</f>
        <v/>
      </c>
      <c r="I1402" s="30" t="str">
        <f aca="false">IF($C1402="","",IFERROR(IF(INDEX(links!$C$2:$C$501,MATCH($C1402,links!$D$2:$D$501,0))="","",INDEX(links!$C$2:$C$501,MATCH($C1402,links!$D$2:$D$501,0))),""))</f>
        <v/>
      </c>
      <c r="J1402" s="30" t="str">
        <f aca="false">IF($C1402="","",IF($G1402="","slug not in links; ","")&amp;IF($D1402="","reading type missing; ","")&amp;IF(COUNTIFS(scans!$C$2:$C$1601,$C1402,scans!$D$2:$D$1601,$D1402)&gt;1,"two readings of this type: keep one; ",""))</f>
        <v/>
      </c>
    </row>
    <row r="1403" customFormat="false" ht="15" hidden="false" customHeight="false" outlineLevel="0" collapsed="false">
      <c r="A1403" s="11"/>
      <c r="B1403" s="38"/>
      <c r="D1403" s="10"/>
      <c r="G1403" s="30" t="str">
        <f aca="false">IF($C1403="","",IFERROR(IF(INDEX(links!$A$2:$A$501,MATCH($C1403,links!$D$2:$D$501,0))="","",INDEX(links!$A$2:$A$501,MATCH($C1403,links!$D$2:$D$501,0))),""))</f>
        <v/>
      </c>
      <c r="H1403" s="30" t="str">
        <f aca="false">IF($C1403="","",IFERROR(IF(INDEX(links!$B$2:$B$501,MATCH($C1403,links!$D$2:$D$501,0))="","",INDEX(links!$B$2:$B$501,MATCH($C1403,links!$D$2:$D$501,0))),""))</f>
        <v/>
      </c>
      <c r="I1403" s="30" t="str">
        <f aca="false">IF($C1403="","",IFERROR(IF(INDEX(links!$C$2:$C$501,MATCH($C1403,links!$D$2:$D$501,0))="","",INDEX(links!$C$2:$C$501,MATCH($C1403,links!$D$2:$D$501,0))),""))</f>
        <v/>
      </c>
      <c r="J1403" s="30" t="str">
        <f aca="false">IF($C1403="","",IF($G1403="","slug not in links; ","")&amp;IF($D1403="","reading type missing; ","")&amp;IF(COUNTIFS(scans!$C$2:$C$1601,$C1403,scans!$D$2:$D$1601,$D1403)&gt;1,"two readings of this type: keep one; ",""))</f>
        <v/>
      </c>
    </row>
    <row r="1404" customFormat="false" ht="15" hidden="false" customHeight="false" outlineLevel="0" collapsed="false">
      <c r="A1404" s="11"/>
      <c r="B1404" s="38"/>
      <c r="D1404" s="10"/>
      <c r="G1404" s="30" t="str">
        <f aca="false">IF($C1404="","",IFERROR(IF(INDEX(links!$A$2:$A$501,MATCH($C1404,links!$D$2:$D$501,0))="","",INDEX(links!$A$2:$A$501,MATCH($C1404,links!$D$2:$D$501,0))),""))</f>
        <v/>
      </c>
      <c r="H1404" s="30" t="str">
        <f aca="false">IF($C1404="","",IFERROR(IF(INDEX(links!$B$2:$B$501,MATCH($C1404,links!$D$2:$D$501,0))="","",INDEX(links!$B$2:$B$501,MATCH($C1404,links!$D$2:$D$501,0))),""))</f>
        <v/>
      </c>
      <c r="I1404" s="30" t="str">
        <f aca="false">IF($C1404="","",IFERROR(IF(INDEX(links!$C$2:$C$501,MATCH($C1404,links!$D$2:$D$501,0))="","",INDEX(links!$C$2:$C$501,MATCH($C1404,links!$D$2:$D$501,0))),""))</f>
        <v/>
      </c>
      <c r="J1404" s="30" t="str">
        <f aca="false">IF($C1404="","",IF($G1404="","slug not in links; ","")&amp;IF($D1404="","reading type missing; ","")&amp;IF(COUNTIFS(scans!$C$2:$C$1601,$C1404,scans!$D$2:$D$1601,$D1404)&gt;1,"two readings of this type: keep one; ",""))</f>
        <v/>
      </c>
    </row>
    <row r="1405" customFormat="false" ht="15" hidden="false" customHeight="false" outlineLevel="0" collapsed="false">
      <c r="A1405" s="11"/>
      <c r="B1405" s="38"/>
      <c r="D1405" s="10"/>
      <c r="G1405" s="30" t="str">
        <f aca="false">IF($C1405="","",IFERROR(IF(INDEX(links!$A$2:$A$501,MATCH($C1405,links!$D$2:$D$501,0))="","",INDEX(links!$A$2:$A$501,MATCH($C1405,links!$D$2:$D$501,0))),""))</f>
        <v/>
      </c>
      <c r="H1405" s="30" t="str">
        <f aca="false">IF($C1405="","",IFERROR(IF(INDEX(links!$B$2:$B$501,MATCH($C1405,links!$D$2:$D$501,0))="","",INDEX(links!$B$2:$B$501,MATCH($C1405,links!$D$2:$D$501,0))),""))</f>
        <v/>
      </c>
      <c r="I1405" s="30" t="str">
        <f aca="false">IF($C1405="","",IFERROR(IF(INDEX(links!$C$2:$C$501,MATCH($C1405,links!$D$2:$D$501,0))="","",INDEX(links!$C$2:$C$501,MATCH($C1405,links!$D$2:$D$501,0))),""))</f>
        <v/>
      </c>
      <c r="J1405" s="30" t="str">
        <f aca="false">IF($C1405="","",IF($G1405="","slug not in links; ","")&amp;IF($D1405="","reading type missing; ","")&amp;IF(COUNTIFS(scans!$C$2:$C$1601,$C1405,scans!$D$2:$D$1601,$D1405)&gt;1,"two readings of this type: keep one; ",""))</f>
        <v/>
      </c>
    </row>
    <row r="1406" customFormat="false" ht="15" hidden="false" customHeight="false" outlineLevel="0" collapsed="false">
      <c r="A1406" s="11"/>
      <c r="B1406" s="38"/>
      <c r="D1406" s="10"/>
      <c r="G1406" s="30" t="str">
        <f aca="false">IF($C1406="","",IFERROR(IF(INDEX(links!$A$2:$A$501,MATCH($C1406,links!$D$2:$D$501,0))="","",INDEX(links!$A$2:$A$501,MATCH($C1406,links!$D$2:$D$501,0))),""))</f>
        <v/>
      </c>
      <c r="H1406" s="30" t="str">
        <f aca="false">IF($C1406="","",IFERROR(IF(INDEX(links!$B$2:$B$501,MATCH($C1406,links!$D$2:$D$501,0))="","",INDEX(links!$B$2:$B$501,MATCH($C1406,links!$D$2:$D$501,0))),""))</f>
        <v/>
      </c>
      <c r="I1406" s="30" t="str">
        <f aca="false">IF($C1406="","",IFERROR(IF(INDEX(links!$C$2:$C$501,MATCH($C1406,links!$D$2:$D$501,0))="","",INDEX(links!$C$2:$C$501,MATCH($C1406,links!$D$2:$D$501,0))),""))</f>
        <v/>
      </c>
      <c r="J1406" s="30" t="str">
        <f aca="false">IF($C1406="","",IF($G1406="","slug not in links; ","")&amp;IF($D1406="","reading type missing; ","")&amp;IF(COUNTIFS(scans!$C$2:$C$1601,$C1406,scans!$D$2:$D$1601,$D1406)&gt;1,"two readings of this type: keep one; ",""))</f>
        <v/>
      </c>
    </row>
    <row r="1407" customFormat="false" ht="15" hidden="false" customHeight="false" outlineLevel="0" collapsed="false">
      <c r="A1407" s="11"/>
      <c r="B1407" s="38"/>
      <c r="D1407" s="10"/>
      <c r="G1407" s="30" t="str">
        <f aca="false">IF($C1407="","",IFERROR(IF(INDEX(links!$A$2:$A$501,MATCH($C1407,links!$D$2:$D$501,0))="","",INDEX(links!$A$2:$A$501,MATCH($C1407,links!$D$2:$D$501,0))),""))</f>
        <v/>
      </c>
      <c r="H1407" s="30" t="str">
        <f aca="false">IF($C1407="","",IFERROR(IF(INDEX(links!$B$2:$B$501,MATCH($C1407,links!$D$2:$D$501,0))="","",INDEX(links!$B$2:$B$501,MATCH($C1407,links!$D$2:$D$501,0))),""))</f>
        <v/>
      </c>
      <c r="I1407" s="30" t="str">
        <f aca="false">IF($C1407="","",IFERROR(IF(INDEX(links!$C$2:$C$501,MATCH($C1407,links!$D$2:$D$501,0))="","",INDEX(links!$C$2:$C$501,MATCH($C1407,links!$D$2:$D$501,0))),""))</f>
        <v/>
      </c>
      <c r="J1407" s="30" t="str">
        <f aca="false">IF($C1407="","",IF($G1407="","slug not in links; ","")&amp;IF($D1407="","reading type missing; ","")&amp;IF(COUNTIFS(scans!$C$2:$C$1601,$C1407,scans!$D$2:$D$1601,$D1407)&gt;1,"two readings of this type: keep one; ",""))</f>
        <v/>
      </c>
    </row>
    <row r="1408" customFormat="false" ht="15" hidden="false" customHeight="false" outlineLevel="0" collapsed="false">
      <c r="A1408" s="11"/>
      <c r="B1408" s="38"/>
      <c r="D1408" s="10"/>
      <c r="G1408" s="30" t="str">
        <f aca="false">IF($C1408="","",IFERROR(IF(INDEX(links!$A$2:$A$501,MATCH($C1408,links!$D$2:$D$501,0))="","",INDEX(links!$A$2:$A$501,MATCH($C1408,links!$D$2:$D$501,0))),""))</f>
        <v/>
      </c>
      <c r="H1408" s="30" t="str">
        <f aca="false">IF($C1408="","",IFERROR(IF(INDEX(links!$B$2:$B$501,MATCH($C1408,links!$D$2:$D$501,0))="","",INDEX(links!$B$2:$B$501,MATCH($C1408,links!$D$2:$D$501,0))),""))</f>
        <v/>
      </c>
      <c r="I1408" s="30" t="str">
        <f aca="false">IF($C1408="","",IFERROR(IF(INDEX(links!$C$2:$C$501,MATCH($C1408,links!$D$2:$D$501,0))="","",INDEX(links!$C$2:$C$501,MATCH($C1408,links!$D$2:$D$501,0))),""))</f>
        <v/>
      </c>
      <c r="J1408" s="30" t="str">
        <f aca="false">IF($C1408="","",IF($G1408="","slug not in links; ","")&amp;IF($D1408="","reading type missing; ","")&amp;IF(COUNTIFS(scans!$C$2:$C$1601,$C1408,scans!$D$2:$D$1601,$D1408)&gt;1,"two readings of this type: keep one; ",""))</f>
        <v/>
      </c>
    </row>
    <row r="1409" customFormat="false" ht="15" hidden="false" customHeight="false" outlineLevel="0" collapsed="false">
      <c r="A1409" s="11"/>
      <c r="B1409" s="38"/>
      <c r="D1409" s="10"/>
      <c r="G1409" s="30" t="str">
        <f aca="false">IF($C1409="","",IFERROR(IF(INDEX(links!$A$2:$A$501,MATCH($C1409,links!$D$2:$D$501,0))="","",INDEX(links!$A$2:$A$501,MATCH($C1409,links!$D$2:$D$501,0))),""))</f>
        <v/>
      </c>
      <c r="H1409" s="30" t="str">
        <f aca="false">IF($C1409="","",IFERROR(IF(INDEX(links!$B$2:$B$501,MATCH($C1409,links!$D$2:$D$501,0))="","",INDEX(links!$B$2:$B$501,MATCH($C1409,links!$D$2:$D$501,0))),""))</f>
        <v/>
      </c>
      <c r="I1409" s="30" t="str">
        <f aca="false">IF($C1409="","",IFERROR(IF(INDEX(links!$C$2:$C$501,MATCH($C1409,links!$D$2:$D$501,0))="","",INDEX(links!$C$2:$C$501,MATCH($C1409,links!$D$2:$D$501,0))),""))</f>
        <v/>
      </c>
      <c r="J1409" s="30" t="str">
        <f aca="false">IF($C1409="","",IF($G1409="","slug not in links; ","")&amp;IF($D1409="","reading type missing; ","")&amp;IF(COUNTIFS(scans!$C$2:$C$1601,$C1409,scans!$D$2:$D$1601,$D1409)&gt;1,"two readings of this type: keep one; ",""))</f>
        <v/>
      </c>
    </row>
    <row r="1410" customFormat="false" ht="15" hidden="false" customHeight="false" outlineLevel="0" collapsed="false">
      <c r="A1410" s="11"/>
      <c r="B1410" s="38"/>
      <c r="D1410" s="10"/>
      <c r="G1410" s="30" t="str">
        <f aca="false">IF($C1410="","",IFERROR(IF(INDEX(links!$A$2:$A$501,MATCH($C1410,links!$D$2:$D$501,0))="","",INDEX(links!$A$2:$A$501,MATCH($C1410,links!$D$2:$D$501,0))),""))</f>
        <v/>
      </c>
      <c r="H1410" s="30" t="str">
        <f aca="false">IF($C1410="","",IFERROR(IF(INDEX(links!$B$2:$B$501,MATCH($C1410,links!$D$2:$D$501,0))="","",INDEX(links!$B$2:$B$501,MATCH($C1410,links!$D$2:$D$501,0))),""))</f>
        <v/>
      </c>
      <c r="I1410" s="30" t="str">
        <f aca="false">IF($C1410="","",IFERROR(IF(INDEX(links!$C$2:$C$501,MATCH($C1410,links!$D$2:$D$501,0))="","",INDEX(links!$C$2:$C$501,MATCH($C1410,links!$D$2:$D$501,0))),""))</f>
        <v/>
      </c>
      <c r="J1410" s="30" t="str">
        <f aca="false">IF($C1410="","",IF($G1410="","slug not in links; ","")&amp;IF($D1410="","reading type missing; ","")&amp;IF(COUNTIFS(scans!$C$2:$C$1601,$C1410,scans!$D$2:$D$1601,$D1410)&gt;1,"two readings of this type: keep one; ",""))</f>
        <v/>
      </c>
    </row>
    <row r="1411" customFormat="false" ht="15" hidden="false" customHeight="false" outlineLevel="0" collapsed="false">
      <c r="A1411" s="11"/>
      <c r="B1411" s="38"/>
      <c r="D1411" s="10"/>
      <c r="G1411" s="30" t="str">
        <f aca="false">IF($C1411="","",IFERROR(IF(INDEX(links!$A$2:$A$501,MATCH($C1411,links!$D$2:$D$501,0))="","",INDEX(links!$A$2:$A$501,MATCH($C1411,links!$D$2:$D$501,0))),""))</f>
        <v/>
      </c>
      <c r="H1411" s="30" t="str">
        <f aca="false">IF($C1411="","",IFERROR(IF(INDEX(links!$B$2:$B$501,MATCH($C1411,links!$D$2:$D$501,0))="","",INDEX(links!$B$2:$B$501,MATCH($C1411,links!$D$2:$D$501,0))),""))</f>
        <v/>
      </c>
      <c r="I1411" s="30" t="str">
        <f aca="false">IF($C1411="","",IFERROR(IF(INDEX(links!$C$2:$C$501,MATCH($C1411,links!$D$2:$D$501,0))="","",INDEX(links!$C$2:$C$501,MATCH($C1411,links!$D$2:$D$501,0))),""))</f>
        <v/>
      </c>
      <c r="J1411" s="30" t="str">
        <f aca="false">IF($C1411="","",IF($G1411="","slug not in links; ","")&amp;IF($D1411="","reading type missing; ","")&amp;IF(COUNTIFS(scans!$C$2:$C$1601,$C1411,scans!$D$2:$D$1601,$D1411)&gt;1,"two readings of this type: keep one; ",""))</f>
        <v/>
      </c>
    </row>
    <row r="1412" customFormat="false" ht="15" hidden="false" customHeight="false" outlineLevel="0" collapsed="false">
      <c r="A1412" s="11"/>
      <c r="B1412" s="38"/>
      <c r="D1412" s="10"/>
      <c r="G1412" s="30" t="str">
        <f aca="false">IF($C1412="","",IFERROR(IF(INDEX(links!$A$2:$A$501,MATCH($C1412,links!$D$2:$D$501,0))="","",INDEX(links!$A$2:$A$501,MATCH($C1412,links!$D$2:$D$501,0))),""))</f>
        <v/>
      </c>
      <c r="H1412" s="30" t="str">
        <f aca="false">IF($C1412="","",IFERROR(IF(INDEX(links!$B$2:$B$501,MATCH($C1412,links!$D$2:$D$501,0))="","",INDEX(links!$B$2:$B$501,MATCH($C1412,links!$D$2:$D$501,0))),""))</f>
        <v/>
      </c>
      <c r="I1412" s="30" t="str">
        <f aca="false">IF($C1412="","",IFERROR(IF(INDEX(links!$C$2:$C$501,MATCH($C1412,links!$D$2:$D$501,0))="","",INDEX(links!$C$2:$C$501,MATCH($C1412,links!$D$2:$D$501,0))),""))</f>
        <v/>
      </c>
      <c r="J1412" s="30" t="str">
        <f aca="false">IF($C1412="","",IF($G1412="","slug not in links; ","")&amp;IF($D1412="","reading type missing; ","")&amp;IF(COUNTIFS(scans!$C$2:$C$1601,$C1412,scans!$D$2:$D$1601,$D1412)&gt;1,"two readings of this type: keep one; ",""))</f>
        <v/>
      </c>
    </row>
    <row r="1413" customFormat="false" ht="15" hidden="false" customHeight="false" outlineLevel="0" collapsed="false">
      <c r="A1413" s="11"/>
      <c r="B1413" s="38"/>
      <c r="D1413" s="10"/>
      <c r="G1413" s="30" t="str">
        <f aca="false">IF($C1413="","",IFERROR(IF(INDEX(links!$A$2:$A$501,MATCH($C1413,links!$D$2:$D$501,0))="","",INDEX(links!$A$2:$A$501,MATCH($C1413,links!$D$2:$D$501,0))),""))</f>
        <v/>
      </c>
      <c r="H1413" s="30" t="str">
        <f aca="false">IF($C1413="","",IFERROR(IF(INDEX(links!$B$2:$B$501,MATCH($C1413,links!$D$2:$D$501,0))="","",INDEX(links!$B$2:$B$501,MATCH($C1413,links!$D$2:$D$501,0))),""))</f>
        <v/>
      </c>
      <c r="I1413" s="30" t="str">
        <f aca="false">IF($C1413="","",IFERROR(IF(INDEX(links!$C$2:$C$501,MATCH($C1413,links!$D$2:$D$501,0))="","",INDEX(links!$C$2:$C$501,MATCH($C1413,links!$D$2:$D$501,0))),""))</f>
        <v/>
      </c>
      <c r="J1413" s="30" t="str">
        <f aca="false">IF($C1413="","",IF($G1413="","slug not in links; ","")&amp;IF($D1413="","reading type missing; ","")&amp;IF(COUNTIFS(scans!$C$2:$C$1601,$C1413,scans!$D$2:$D$1601,$D1413)&gt;1,"two readings of this type: keep one; ",""))</f>
        <v/>
      </c>
    </row>
    <row r="1414" customFormat="false" ht="15" hidden="false" customHeight="false" outlineLevel="0" collapsed="false">
      <c r="A1414" s="11"/>
      <c r="B1414" s="38"/>
      <c r="D1414" s="10"/>
      <c r="G1414" s="30" t="str">
        <f aca="false">IF($C1414="","",IFERROR(IF(INDEX(links!$A$2:$A$501,MATCH($C1414,links!$D$2:$D$501,0))="","",INDEX(links!$A$2:$A$501,MATCH($C1414,links!$D$2:$D$501,0))),""))</f>
        <v/>
      </c>
      <c r="H1414" s="30" t="str">
        <f aca="false">IF($C1414="","",IFERROR(IF(INDEX(links!$B$2:$B$501,MATCH($C1414,links!$D$2:$D$501,0))="","",INDEX(links!$B$2:$B$501,MATCH($C1414,links!$D$2:$D$501,0))),""))</f>
        <v/>
      </c>
      <c r="I1414" s="30" t="str">
        <f aca="false">IF($C1414="","",IFERROR(IF(INDEX(links!$C$2:$C$501,MATCH($C1414,links!$D$2:$D$501,0))="","",INDEX(links!$C$2:$C$501,MATCH($C1414,links!$D$2:$D$501,0))),""))</f>
        <v/>
      </c>
      <c r="J1414" s="30" t="str">
        <f aca="false">IF($C1414="","",IF($G1414="","slug not in links; ","")&amp;IF($D1414="","reading type missing; ","")&amp;IF(COUNTIFS(scans!$C$2:$C$1601,$C1414,scans!$D$2:$D$1601,$D1414)&gt;1,"two readings of this type: keep one; ",""))</f>
        <v/>
      </c>
    </row>
    <row r="1415" customFormat="false" ht="15" hidden="false" customHeight="false" outlineLevel="0" collapsed="false">
      <c r="A1415" s="11"/>
      <c r="B1415" s="38"/>
      <c r="D1415" s="10"/>
      <c r="G1415" s="30" t="str">
        <f aca="false">IF($C1415="","",IFERROR(IF(INDEX(links!$A$2:$A$501,MATCH($C1415,links!$D$2:$D$501,0))="","",INDEX(links!$A$2:$A$501,MATCH($C1415,links!$D$2:$D$501,0))),""))</f>
        <v/>
      </c>
      <c r="H1415" s="30" t="str">
        <f aca="false">IF($C1415="","",IFERROR(IF(INDEX(links!$B$2:$B$501,MATCH($C1415,links!$D$2:$D$501,0))="","",INDEX(links!$B$2:$B$501,MATCH($C1415,links!$D$2:$D$501,0))),""))</f>
        <v/>
      </c>
      <c r="I1415" s="30" t="str">
        <f aca="false">IF($C1415="","",IFERROR(IF(INDEX(links!$C$2:$C$501,MATCH($C1415,links!$D$2:$D$501,0))="","",INDEX(links!$C$2:$C$501,MATCH($C1415,links!$D$2:$D$501,0))),""))</f>
        <v/>
      </c>
      <c r="J1415" s="30" t="str">
        <f aca="false">IF($C1415="","",IF($G1415="","slug not in links; ","")&amp;IF($D1415="","reading type missing; ","")&amp;IF(COUNTIFS(scans!$C$2:$C$1601,$C1415,scans!$D$2:$D$1601,$D1415)&gt;1,"two readings of this type: keep one; ",""))</f>
        <v/>
      </c>
    </row>
    <row r="1416" customFormat="false" ht="15" hidden="false" customHeight="false" outlineLevel="0" collapsed="false">
      <c r="A1416" s="11"/>
      <c r="B1416" s="38"/>
      <c r="D1416" s="10"/>
      <c r="G1416" s="30" t="str">
        <f aca="false">IF($C1416="","",IFERROR(IF(INDEX(links!$A$2:$A$501,MATCH($C1416,links!$D$2:$D$501,0))="","",INDEX(links!$A$2:$A$501,MATCH($C1416,links!$D$2:$D$501,0))),""))</f>
        <v/>
      </c>
      <c r="H1416" s="30" t="str">
        <f aca="false">IF($C1416="","",IFERROR(IF(INDEX(links!$B$2:$B$501,MATCH($C1416,links!$D$2:$D$501,0))="","",INDEX(links!$B$2:$B$501,MATCH($C1416,links!$D$2:$D$501,0))),""))</f>
        <v/>
      </c>
      <c r="I1416" s="30" t="str">
        <f aca="false">IF($C1416="","",IFERROR(IF(INDEX(links!$C$2:$C$501,MATCH($C1416,links!$D$2:$D$501,0))="","",INDEX(links!$C$2:$C$501,MATCH($C1416,links!$D$2:$D$501,0))),""))</f>
        <v/>
      </c>
      <c r="J1416" s="30" t="str">
        <f aca="false">IF($C1416="","",IF($G1416="","slug not in links; ","")&amp;IF($D1416="","reading type missing; ","")&amp;IF(COUNTIFS(scans!$C$2:$C$1601,$C1416,scans!$D$2:$D$1601,$D1416)&gt;1,"two readings of this type: keep one; ",""))</f>
        <v/>
      </c>
    </row>
    <row r="1417" customFormat="false" ht="15" hidden="false" customHeight="false" outlineLevel="0" collapsed="false">
      <c r="A1417" s="11"/>
      <c r="B1417" s="38"/>
      <c r="D1417" s="10"/>
      <c r="G1417" s="30" t="str">
        <f aca="false">IF($C1417="","",IFERROR(IF(INDEX(links!$A$2:$A$501,MATCH($C1417,links!$D$2:$D$501,0))="","",INDEX(links!$A$2:$A$501,MATCH($C1417,links!$D$2:$D$501,0))),""))</f>
        <v/>
      </c>
      <c r="H1417" s="30" t="str">
        <f aca="false">IF($C1417="","",IFERROR(IF(INDEX(links!$B$2:$B$501,MATCH($C1417,links!$D$2:$D$501,0))="","",INDEX(links!$B$2:$B$501,MATCH($C1417,links!$D$2:$D$501,0))),""))</f>
        <v/>
      </c>
      <c r="I1417" s="30" t="str">
        <f aca="false">IF($C1417="","",IFERROR(IF(INDEX(links!$C$2:$C$501,MATCH($C1417,links!$D$2:$D$501,0))="","",INDEX(links!$C$2:$C$501,MATCH($C1417,links!$D$2:$D$501,0))),""))</f>
        <v/>
      </c>
      <c r="J1417" s="30" t="str">
        <f aca="false">IF($C1417="","",IF($G1417="","slug not in links; ","")&amp;IF($D1417="","reading type missing; ","")&amp;IF(COUNTIFS(scans!$C$2:$C$1601,$C1417,scans!$D$2:$D$1601,$D1417)&gt;1,"two readings of this type: keep one; ",""))</f>
        <v/>
      </c>
    </row>
    <row r="1418" customFormat="false" ht="15" hidden="false" customHeight="false" outlineLevel="0" collapsed="false">
      <c r="A1418" s="11"/>
      <c r="B1418" s="38"/>
      <c r="D1418" s="10"/>
      <c r="G1418" s="30" t="str">
        <f aca="false">IF($C1418="","",IFERROR(IF(INDEX(links!$A$2:$A$501,MATCH($C1418,links!$D$2:$D$501,0))="","",INDEX(links!$A$2:$A$501,MATCH($C1418,links!$D$2:$D$501,0))),""))</f>
        <v/>
      </c>
      <c r="H1418" s="30" t="str">
        <f aca="false">IF($C1418="","",IFERROR(IF(INDEX(links!$B$2:$B$501,MATCH($C1418,links!$D$2:$D$501,0))="","",INDEX(links!$B$2:$B$501,MATCH($C1418,links!$D$2:$D$501,0))),""))</f>
        <v/>
      </c>
      <c r="I1418" s="30" t="str">
        <f aca="false">IF($C1418="","",IFERROR(IF(INDEX(links!$C$2:$C$501,MATCH($C1418,links!$D$2:$D$501,0))="","",INDEX(links!$C$2:$C$501,MATCH($C1418,links!$D$2:$D$501,0))),""))</f>
        <v/>
      </c>
      <c r="J1418" s="30" t="str">
        <f aca="false">IF($C1418="","",IF($G1418="","slug not in links; ","")&amp;IF($D1418="","reading type missing; ","")&amp;IF(COUNTIFS(scans!$C$2:$C$1601,$C1418,scans!$D$2:$D$1601,$D1418)&gt;1,"two readings of this type: keep one; ",""))</f>
        <v/>
      </c>
    </row>
    <row r="1419" customFormat="false" ht="15" hidden="false" customHeight="false" outlineLevel="0" collapsed="false">
      <c r="A1419" s="11"/>
      <c r="B1419" s="38"/>
      <c r="D1419" s="10"/>
      <c r="G1419" s="30" t="str">
        <f aca="false">IF($C1419="","",IFERROR(IF(INDEX(links!$A$2:$A$501,MATCH($C1419,links!$D$2:$D$501,0))="","",INDEX(links!$A$2:$A$501,MATCH($C1419,links!$D$2:$D$501,0))),""))</f>
        <v/>
      </c>
      <c r="H1419" s="30" t="str">
        <f aca="false">IF($C1419="","",IFERROR(IF(INDEX(links!$B$2:$B$501,MATCH($C1419,links!$D$2:$D$501,0))="","",INDEX(links!$B$2:$B$501,MATCH($C1419,links!$D$2:$D$501,0))),""))</f>
        <v/>
      </c>
      <c r="I1419" s="30" t="str">
        <f aca="false">IF($C1419="","",IFERROR(IF(INDEX(links!$C$2:$C$501,MATCH($C1419,links!$D$2:$D$501,0))="","",INDEX(links!$C$2:$C$501,MATCH($C1419,links!$D$2:$D$501,0))),""))</f>
        <v/>
      </c>
      <c r="J1419" s="30" t="str">
        <f aca="false">IF($C1419="","",IF($G1419="","slug not in links; ","")&amp;IF($D1419="","reading type missing; ","")&amp;IF(COUNTIFS(scans!$C$2:$C$1601,$C1419,scans!$D$2:$D$1601,$D1419)&gt;1,"two readings of this type: keep one; ",""))</f>
        <v/>
      </c>
    </row>
    <row r="1420" customFormat="false" ht="15" hidden="false" customHeight="false" outlineLevel="0" collapsed="false">
      <c r="A1420" s="11"/>
      <c r="B1420" s="38"/>
      <c r="D1420" s="10"/>
      <c r="G1420" s="30" t="str">
        <f aca="false">IF($C1420="","",IFERROR(IF(INDEX(links!$A$2:$A$501,MATCH($C1420,links!$D$2:$D$501,0))="","",INDEX(links!$A$2:$A$501,MATCH($C1420,links!$D$2:$D$501,0))),""))</f>
        <v/>
      </c>
      <c r="H1420" s="30" t="str">
        <f aca="false">IF($C1420="","",IFERROR(IF(INDEX(links!$B$2:$B$501,MATCH($C1420,links!$D$2:$D$501,0))="","",INDEX(links!$B$2:$B$501,MATCH($C1420,links!$D$2:$D$501,0))),""))</f>
        <v/>
      </c>
      <c r="I1420" s="30" t="str">
        <f aca="false">IF($C1420="","",IFERROR(IF(INDEX(links!$C$2:$C$501,MATCH($C1420,links!$D$2:$D$501,0))="","",INDEX(links!$C$2:$C$501,MATCH($C1420,links!$D$2:$D$501,0))),""))</f>
        <v/>
      </c>
      <c r="J1420" s="30" t="str">
        <f aca="false">IF($C1420="","",IF($G1420="","slug not in links; ","")&amp;IF($D1420="","reading type missing; ","")&amp;IF(COUNTIFS(scans!$C$2:$C$1601,$C1420,scans!$D$2:$D$1601,$D1420)&gt;1,"two readings of this type: keep one; ",""))</f>
        <v/>
      </c>
    </row>
    <row r="1421" customFormat="false" ht="15" hidden="false" customHeight="false" outlineLevel="0" collapsed="false">
      <c r="A1421" s="11"/>
      <c r="B1421" s="38"/>
      <c r="D1421" s="10"/>
      <c r="G1421" s="30" t="str">
        <f aca="false">IF($C1421="","",IFERROR(IF(INDEX(links!$A$2:$A$501,MATCH($C1421,links!$D$2:$D$501,0))="","",INDEX(links!$A$2:$A$501,MATCH($C1421,links!$D$2:$D$501,0))),""))</f>
        <v/>
      </c>
      <c r="H1421" s="30" t="str">
        <f aca="false">IF($C1421="","",IFERROR(IF(INDEX(links!$B$2:$B$501,MATCH($C1421,links!$D$2:$D$501,0))="","",INDEX(links!$B$2:$B$501,MATCH($C1421,links!$D$2:$D$501,0))),""))</f>
        <v/>
      </c>
      <c r="I1421" s="30" t="str">
        <f aca="false">IF($C1421="","",IFERROR(IF(INDEX(links!$C$2:$C$501,MATCH($C1421,links!$D$2:$D$501,0))="","",INDEX(links!$C$2:$C$501,MATCH($C1421,links!$D$2:$D$501,0))),""))</f>
        <v/>
      </c>
      <c r="J1421" s="30" t="str">
        <f aca="false">IF($C1421="","",IF($G1421="","slug not in links; ","")&amp;IF($D1421="","reading type missing; ","")&amp;IF(COUNTIFS(scans!$C$2:$C$1601,$C1421,scans!$D$2:$D$1601,$D1421)&gt;1,"two readings of this type: keep one; ",""))</f>
        <v/>
      </c>
    </row>
    <row r="1422" customFormat="false" ht="15" hidden="false" customHeight="false" outlineLevel="0" collapsed="false">
      <c r="A1422" s="11"/>
      <c r="B1422" s="38"/>
      <c r="D1422" s="10"/>
      <c r="G1422" s="30" t="str">
        <f aca="false">IF($C1422="","",IFERROR(IF(INDEX(links!$A$2:$A$501,MATCH($C1422,links!$D$2:$D$501,0))="","",INDEX(links!$A$2:$A$501,MATCH($C1422,links!$D$2:$D$501,0))),""))</f>
        <v/>
      </c>
      <c r="H1422" s="30" t="str">
        <f aca="false">IF($C1422="","",IFERROR(IF(INDEX(links!$B$2:$B$501,MATCH($C1422,links!$D$2:$D$501,0))="","",INDEX(links!$B$2:$B$501,MATCH($C1422,links!$D$2:$D$501,0))),""))</f>
        <v/>
      </c>
      <c r="I1422" s="30" t="str">
        <f aca="false">IF($C1422="","",IFERROR(IF(INDEX(links!$C$2:$C$501,MATCH($C1422,links!$D$2:$D$501,0))="","",INDEX(links!$C$2:$C$501,MATCH($C1422,links!$D$2:$D$501,0))),""))</f>
        <v/>
      </c>
      <c r="J1422" s="30" t="str">
        <f aca="false">IF($C1422="","",IF($G1422="","slug not in links; ","")&amp;IF($D1422="","reading type missing; ","")&amp;IF(COUNTIFS(scans!$C$2:$C$1601,$C1422,scans!$D$2:$D$1601,$D1422)&gt;1,"two readings of this type: keep one; ",""))</f>
        <v/>
      </c>
    </row>
    <row r="1423" customFormat="false" ht="15" hidden="false" customHeight="false" outlineLevel="0" collapsed="false">
      <c r="A1423" s="11"/>
      <c r="B1423" s="38"/>
      <c r="D1423" s="10"/>
      <c r="G1423" s="30" t="str">
        <f aca="false">IF($C1423="","",IFERROR(IF(INDEX(links!$A$2:$A$501,MATCH($C1423,links!$D$2:$D$501,0))="","",INDEX(links!$A$2:$A$501,MATCH($C1423,links!$D$2:$D$501,0))),""))</f>
        <v/>
      </c>
      <c r="H1423" s="30" t="str">
        <f aca="false">IF($C1423="","",IFERROR(IF(INDEX(links!$B$2:$B$501,MATCH($C1423,links!$D$2:$D$501,0))="","",INDEX(links!$B$2:$B$501,MATCH($C1423,links!$D$2:$D$501,0))),""))</f>
        <v/>
      </c>
      <c r="I1423" s="30" t="str">
        <f aca="false">IF($C1423="","",IFERROR(IF(INDEX(links!$C$2:$C$501,MATCH($C1423,links!$D$2:$D$501,0))="","",INDEX(links!$C$2:$C$501,MATCH($C1423,links!$D$2:$D$501,0))),""))</f>
        <v/>
      </c>
      <c r="J1423" s="30" t="str">
        <f aca="false">IF($C1423="","",IF($G1423="","slug not in links; ","")&amp;IF($D1423="","reading type missing; ","")&amp;IF(COUNTIFS(scans!$C$2:$C$1601,$C1423,scans!$D$2:$D$1601,$D1423)&gt;1,"two readings of this type: keep one; ",""))</f>
        <v/>
      </c>
    </row>
    <row r="1424" customFormat="false" ht="15" hidden="false" customHeight="false" outlineLevel="0" collapsed="false">
      <c r="A1424" s="11"/>
      <c r="B1424" s="38"/>
      <c r="D1424" s="10"/>
      <c r="G1424" s="30" t="str">
        <f aca="false">IF($C1424="","",IFERROR(IF(INDEX(links!$A$2:$A$501,MATCH($C1424,links!$D$2:$D$501,0))="","",INDEX(links!$A$2:$A$501,MATCH($C1424,links!$D$2:$D$501,0))),""))</f>
        <v/>
      </c>
      <c r="H1424" s="30" t="str">
        <f aca="false">IF($C1424="","",IFERROR(IF(INDEX(links!$B$2:$B$501,MATCH($C1424,links!$D$2:$D$501,0))="","",INDEX(links!$B$2:$B$501,MATCH($C1424,links!$D$2:$D$501,0))),""))</f>
        <v/>
      </c>
      <c r="I1424" s="30" t="str">
        <f aca="false">IF($C1424="","",IFERROR(IF(INDEX(links!$C$2:$C$501,MATCH($C1424,links!$D$2:$D$501,0))="","",INDEX(links!$C$2:$C$501,MATCH($C1424,links!$D$2:$D$501,0))),""))</f>
        <v/>
      </c>
      <c r="J1424" s="30" t="str">
        <f aca="false">IF($C1424="","",IF($G1424="","slug not in links; ","")&amp;IF($D1424="","reading type missing; ","")&amp;IF(COUNTIFS(scans!$C$2:$C$1601,$C1424,scans!$D$2:$D$1601,$D1424)&gt;1,"two readings of this type: keep one; ",""))</f>
        <v/>
      </c>
    </row>
    <row r="1425" customFormat="false" ht="15" hidden="false" customHeight="false" outlineLevel="0" collapsed="false">
      <c r="A1425" s="11"/>
      <c r="B1425" s="38"/>
      <c r="D1425" s="10"/>
      <c r="G1425" s="30" t="str">
        <f aca="false">IF($C1425="","",IFERROR(IF(INDEX(links!$A$2:$A$501,MATCH($C1425,links!$D$2:$D$501,0))="","",INDEX(links!$A$2:$A$501,MATCH($C1425,links!$D$2:$D$501,0))),""))</f>
        <v/>
      </c>
      <c r="H1425" s="30" t="str">
        <f aca="false">IF($C1425="","",IFERROR(IF(INDEX(links!$B$2:$B$501,MATCH($C1425,links!$D$2:$D$501,0))="","",INDEX(links!$B$2:$B$501,MATCH($C1425,links!$D$2:$D$501,0))),""))</f>
        <v/>
      </c>
      <c r="I1425" s="30" t="str">
        <f aca="false">IF($C1425="","",IFERROR(IF(INDEX(links!$C$2:$C$501,MATCH($C1425,links!$D$2:$D$501,0))="","",INDEX(links!$C$2:$C$501,MATCH($C1425,links!$D$2:$D$501,0))),""))</f>
        <v/>
      </c>
      <c r="J1425" s="30" t="str">
        <f aca="false">IF($C1425="","",IF($G1425="","slug not in links; ","")&amp;IF($D1425="","reading type missing; ","")&amp;IF(COUNTIFS(scans!$C$2:$C$1601,$C1425,scans!$D$2:$D$1601,$D1425)&gt;1,"two readings of this type: keep one; ",""))</f>
        <v/>
      </c>
    </row>
    <row r="1426" customFormat="false" ht="15" hidden="false" customHeight="false" outlineLevel="0" collapsed="false">
      <c r="A1426" s="11"/>
      <c r="B1426" s="38"/>
      <c r="D1426" s="10"/>
      <c r="G1426" s="30" t="str">
        <f aca="false">IF($C1426="","",IFERROR(IF(INDEX(links!$A$2:$A$501,MATCH($C1426,links!$D$2:$D$501,0))="","",INDEX(links!$A$2:$A$501,MATCH($C1426,links!$D$2:$D$501,0))),""))</f>
        <v/>
      </c>
      <c r="H1426" s="30" t="str">
        <f aca="false">IF($C1426="","",IFERROR(IF(INDEX(links!$B$2:$B$501,MATCH($C1426,links!$D$2:$D$501,0))="","",INDEX(links!$B$2:$B$501,MATCH($C1426,links!$D$2:$D$501,0))),""))</f>
        <v/>
      </c>
      <c r="I1426" s="30" t="str">
        <f aca="false">IF($C1426="","",IFERROR(IF(INDEX(links!$C$2:$C$501,MATCH($C1426,links!$D$2:$D$501,0))="","",INDEX(links!$C$2:$C$501,MATCH($C1426,links!$D$2:$D$501,0))),""))</f>
        <v/>
      </c>
      <c r="J1426" s="30" t="str">
        <f aca="false">IF($C1426="","",IF($G1426="","slug not in links; ","")&amp;IF($D1426="","reading type missing; ","")&amp;IF(COUNTIFS(scans!$C$2:$C$1601,$C1426,scans!$D$2:$D$1601,$D1426)&gt;1,"two readings of this type: keep one; ",""))</f>
        <v/>
      </c>
    </row>
    <row r="1427" customFormat="false" ht="15" hidden="false" customHeight="false" outlineLevel="0" collapsed="false">
      <c r="A1427" s="11"/>
      <c r="B1427" s="38"/>
      <c r="D1427" s="10"/>
      <c r="G1427" s="30" t="str">
        <f aca="false">IF($C1427="","",IFERROR(IF(INDEX(links!$A$2:$A$501,MATCH($C1427,links!$D$2:$D$501,0))="","",INDEX(links!$A$2:$A$501,MATCH($C1427,links!$D$2:$D$501,0))),""))</f>
        <v/>
      </c>
      <c r="H1427" s="30" t="str">
        <f aca="false">IF($C1427="","",IFERROR(IF(INDEX(links!$B$2:$B$501,MATCH($C1427,links!$D$2:$D$501,0))="","",INDEX(links!$B$2:$B$501,MATCH($C1427,links!$D$2:$D$501,0))),""))</f>
        <v/>
      </c>
      <c r="I1427" s="30" t="str">
        <f aca="false">IF($C1427="","",IFERROR(IF(INDEX(links!$C$2:$C$501,MATCH($C1427,links!$D$2:$D$501,0))="","",INDEX(links!$C$2:$C$501,MATCH($C1427,links!$D$2:$D$501,0))),""))</f>
        <v/>
      </c>
      <c r="J1427" s="30" t="str">
        <f aca="false">IF($C1427="","",IF($G1427="","slug not in links; ","")&amp;IF($D1427="","reading type missing; ","")&amp;IF(COUNTIFS(scans!$C$2:$C$1601,$C1427,scans!$D$2:$D$1601,$D1427)&gt;1,"two readings of this type: keep one; ",""))</f>
        <v/>
      </c>
    </row>
    <row r="1428" customFormat="false" ht="15" hidden="false" customHeight="false" outlineLevel="0" collapsed="false">
      <c r="A1428" s="11"/>
      <c r="B1428" s="38"/>
      <c r="D1428" s="10"/>
      <c r="G1428" s="30" t="str">
        <f aca="false">IF($C1428="","",IFERROR(IF(INDEX(links!$A$2:$A$501,MATCH($C1428,links!$D$2:$D$501,0))="","",INDEX(links!$A$2:$A$501,MATCH($C1428,links!$D$2:$D$501,0))),""))</f>
        <v/>
      </c>
      <c r="H1428" s="30" t="str">
        <f aca="false">IF($C1428="","",IFERROR(IF(INDEX(links!$B$2:$B$501,MATCH($C1428,links!$D$2:$D$501,0))="","",INDEX(links!$B$2:$B$501,MATCH($C1428,links!$D$2:$D$501,0))),""))</f>
        <v/>
      </c>
      <c r="I1428" s="30" t="str">
        <f aca="false">IF($C1428="","",IFERROR(IF(INDEX(links!$C$2:$C$501,MATCH($C1428,links!$D$2:$D$501,0))="","",INDEX(links!$C$2:$C$501,MATCH($C1428,links!$D$2:$D$501,0))),""))</f>
        <v/>
      </c>
      <c r="J1428" s="30" t="str">
        <f aca="false">IF($C1428="","",IF($G1428="","slug not in links; ","")&amp;IF($D1428="","reading type missing; ","")&amp;IF(COUNTIFS(scans!$C$2:$C$1601,$C1428,scans!$D$2:$D$1601,$D1428)&gt;1,"two readings of this type: keep one; ",""))</f>
        <v/>
      </c>
    </row>
    <row r="1429" customFormat="false" ht="15" hidden="false" customHeight="false" outlineLevel="0" collapsed="false">
      <c r="A1429" s="11"/>
      <c r="B1429" s="38"/>
      <c r="D1429" s="10"/>
      <c r="G1429" s="30" t="str">
        <f aca="false">IF($C1429="","",IFERROR(IF(INDEX(links!$A$2:$A$501,MATCH($C1429,links!$D$2:$D$501,0))="","",INDEX(links!$A$2:$A$501,MATCH($C1429,links!$D$2:$D$501,0))),""))</f>
        <v/>
      </c>
      <c r="H1429" s="30" t="str">
        <f aca="false">IF($C1429="","",IFERROR(IF(INDEX(links!$B$2:$B$501,MATCH($C1429,links!$D$2:$D$501,0))="","",INDEX(links!$B$2:$B$501,MATCH($C1429,links!$D$2:$D$501,0))),""))</f>
        <v/>
      </c>
      <c r="I1429" s="30" t="str">
        <f aca="false">IF($C1429="","",IFERROR(IF(INDEX(links!$C$2:$C$501,MATCH($C1429,links!$D$2:$D$501,0))="","",INDEX(links!$C$2:$C$501,MATCH($C1429,links!$D$2:$D$501,0))),""))</f>
        <v/>
      </c>
      <c r="J1429" s="30" t="str">
        <f aca="false">IF($C1429="","",IF($G1429="","slug not in links; ","")&amp;IF($D1429="","reading type missing; ","")&amp;IF(COUNTIFS(scans!$C$2:$C$1601,$C1429,scans!$D$2:$D$1601,$D1429)&gt;1,"two readings of this type: keep one; ",""))</f>
        <v/>
      </c>
    </row>
    <row r="1430" customFormat="false" ht="15" hidden="false" customHeight="false" outlineLevel="0" collapsed="false">
      <c r="A1430" s="11"/>
      <c r="B1430" s="38"/>
      <c r="D1430" s="10"/>
      <c r="G1430" s="30" t="str">
        <f aca="false">IF($C1430="","",IFERROR(IF(INDEX(links!$A$2:$A$501,MATCH($C1430,links!$D$2:$D$501,0))="","",INDEX(links!$A$2:$A$501,MATCH($C1430,links!$D$2:$D$501,0))),""))</f>
        <v/>
      </c>
      <c r="H1430" s="30" t="str">
        <f aca="false">IF($C1430="","",IFERROR(IF(INDEX(links!$B$2:$B$501,MATCH($C1430,links!$D$2:$D$501,0))="","",INDEX(links!$B$2:$B$501,MATCH($C1430,links!$D$2:$D$501,0))),""))</f>
        <v/>
      </c>
      <c r="I1430" s="30" t="str">
        <f aca="false">IF($C1430="","",IFERROR(IF(INDEX(links!$C$2:$C$501,MATCH($C1430,links!$D$2:$D$501,0))="","",INDEX(links!$C$2:$C$501,MATCH($C1430,links!$D$2:$D$501,0))),""))</f>
        <v/>
      </c>
      <c r="J1430" s="30" t="str">
        <f aca="false">IF($C1430="","",IF($G1430="","slug not in links; ","")&amp;IF($D1430="","reading type missing; ","")&amp;IF(COUNTIFS(scans!$C$2:$C$1601,$C1430,scans!$D$2:$D$1601,$D1430)&gt;1,"two readings of this type: keep one; ",""))</f>
        <v/>
      </c>
    </row>
    <row r="1431" customFormat="false" ht="15" hidden="false" customHeight="false" outlineLevel="0" collapsed="false">
      <c r="A1431" s="11"/>
      <c r="B1431" s="38"/>
      <c r="D1431" s="10"/>
      <c r="G1431" s="30" t="str">
        <f aca="false">IF($C1431="","",IFERROR(IF(INDEX(links!$A$2:$A$501,MATCH($C1431,links!$D$2:$D$501,0))="","",INDEX(links!$A$2:$A$501,MATCH($C1431,links!$D$2:$D$501,0))),""))</f>
        <v/>
      </c>
      <c r="H1431" s="30" t="str">
        <f aca="false">IF($C1431="","",IFERROR(IF(INDEX(links!$B$2:$B$501,MATCH($C1431,links!$D$2:$D$501,0))="","",INDEX(links!$B$2:$B$501,MATCH($C1431,links!$D$2:$D$501,0))),""))</f>
        <v/>
      </c>
      <c r="I1431" s="30" t="str">
        <f aca="false">IF($C1431="","",IFERROR(IF(INDEX(links!$C$2:$C$501,MATCH($C1431,links!$D$2:$D$501,0))="","",INDEX(links!$C$2:$C$501,MATCH($C1431,links!$D$2:$D$501,0))),""))</f>
        <v/>
      </c>
      <c r="J1431" s="30" t="str">
        <f aca="false">IF($C1431="","",IF($G1431="","slug not in links; ","")&amp;IF($D1431="","reading type missing; ","")&amp;IF(COUNTIFS(scans!$C$2:$C$1601,$C1431,scans!$D$2:$D$1601,$D1431)&gt;1,"two readings of this type: keep one; ",""))</f>
        <v/>
      </c>
    </row>
    <row r="1432" customFormat="false" ht="15" hidden="false" customHeight="false" outlineLevel="0" collapsed="false">
      <c r="A1432" s="11"/>
      <c r="B1432" s="38"/>
      <c r="D1432" s="10"/>
      <c r="G1432" s="30" t="str">
        <f aca="false">IF($C1432="","",IFERROR(IF(INDEX(links!$A$2:$A$501,MATCH($C1432,links!$D$2:$D$501,0))="","",INDEX(links!$A$2:$A$501,MATCH($C1432,links!$D$2:$D$501,0))),""))</f>
        <v/>
      </c>
      <c r="H1432" s="30" t="str">
        <f aca="false">IF($C1432="","",IFERROR(IF(INDEX(links!$B$2:$B$501,MATCH($C1432,links!$D$2:$D$501,0))="","",INDEX(links!$B$2:$B$501,MATCH($C1432,links!$D$2:$D$501,0))),""))</f>
        <v/>
      </c>
      <c r="I1432" s="30" t="str">
        <f aca="false">IF($C1432="","",IFERROR(IF(INDEX(links!$C$2:$C$501,MATCH($C1432,links!$D$2:$D$501,0))="","",INDEX(links!$C$2:$C$501,MATCH($C1432,links!$D$2:$D$501,0))),""))</f>
        <v/>
      </c>
      <c r="J1432" s="30" t="str">
        <f aca="false">IF($C1432="","",IF($G1432="","slug not in links; ","")&amp;IF($D1432="","reading type missing; ","")&amp;IF(COUNTIFS(scans!$C$2:$C$1601,$C1432,scans!$D$2:$D$1601,$D1432)&gt;1,"two readings of this type: keep one; ",""))</f>
        <v/>
      </c>
    </row>
    <row r="1433" customFormat="false" ht="15" hidden="false" customHeight="false" outlineLevel="0" collapsed="false">
      <c r="A1433" s="11"/>
      <c r="B1433" s="38"/>
      <c r="D1433" s="10"/>
      <c r="G1433" s="30" t="str">
        <f aca="false">IF($C1433="","",IFERROR(IF(INDEX(links!$A$2:$A$501,MATCH($C1433,links!$D$2:$D$501,0))="","",INDEX(links!$A$2:$A$501,MATCH($C1433,links!$D$2:$D$501,0))),""))</f>
        <v/>
      </c>
      <c r="H1433" s="30" t="str">
        <f aca="false">IF($C1433="","",IFERROR(IF(INDEX(links!$B$2:$B$501,MATCH($C1433,links!$D$2:$D$501,0))="","",INDEX(links!$B$2:$B$501,MATCH($C1433,links!$D$2:$D$501,0))),""))</f>
        <v/>
      </c>
      <c r="I1433" s="30" t="str">
        <f aca="false">IF($C1433="","",IFERROR(IF(INDEX(links!$C$2:$C$501,MATCH($C1433,links!$D$2:$D$501,0))="","",INDEX(links!$C$2:$C$501,MATCH($C1433,links!$D$2:$D$501,0))),""))</f>
        <v/>
      </c>
      <c r="J1433" s="30" t="str">
        <f aca="false">IF($C1433="","",IF($G1433="","slug not in links; ","")&amp;IF($D1433="","reading type missing; ","")&amp;IF(COUNTIFS(scans!$C$2:$C$1601,$C1433,scans!$D$2:$D$1601,$D1433)&gt;1,"two readings of this type: keep one; ",""))</f>
        <v/>
      </c>
    </row>
    <row r="1434" customFormat="false" ht="15" hidden="false" customHeight="false" outlineLevel="0" collapsed="false">
      <c r="A1434" s="11"/>
      <c r="B1434" s="38"/>
      <c r="D1434" s="10"/>
      <c r="G1434" s="30" t="str">
        <f aca="false">IF($C1434="","",IFERROR(IF(INDEX(links!$A$2:$A$501,MATCH($C1434,links!$D$2:$D$501,0))="","",INDEX(links!$A$2:$A$501,MATCH($C1434,links!$D$2:$D$501,0))),""))</f>
        <v/>
      </c>
      <c r="H1434" s="30" t="str">
        <f aca="false">IF($C1434="","",IFERROR(IF(INDEX(links!$B$2:$B$501,MATCH($C1434,links!$D$2:$D$501,0))="","",INDEX(links!$B$2:$B$501,MATCH($C1434,links!$D$2:$D$501,0))),""))</f>
        <v/>
      </c>
      <c r="I1434" s="30" t="str">
        <f aca="false">IF($C1434="","",IFERROR(IF(INDEX(links!$C$2:$C$501,MATCH($C1434,links!$D$2:$D$501,0))="","",INDEX(links!$C$2:$C$501,MATCH($C1434,links!$D$2:$D$501,0))),""))</f>
        <v/>
      </c>
      <c r="J1434" s="30" t="str">
        <f aca="false">IF($C1434="","",IF($G1434="","slug not in links; ","")&amp;IF($D1434="","reading type missing; ","")&amp;IF(COUNTIFS(scans!$C$2:$C$1601,$C1434,scans!$D$2:$D$1601,$D1434)&gt;1,"two readings of this type: keep one; ",""))</f>
        <v/>
      </c>
    </row>
    <row r="1435" customFormat="false" ht="15" hidden="false" customHeight="false" outlineLevel="0" collapsed="false">
      <c r="A1435" s="11"/>
      <c r="B1435" s="38"/>
      <c r="D1435" s="10"/>
      <c r="G1435" s="30" t="str">
        <f aca="false">IF($C1435="","",IFERROR(IF(INDEX(links!$A$2:$A$501,MATCH($C1435,links!$D$2:$D$501,0))="","",INDEX(links!$A$2:$A$501,MATCH($C1435,links!$D$2:$D$501,0))),""))</f>
        <v/>
      </c>
      <c r="H1435" s="30" t="str">
        <f aca="false">IF($C1435="","",IFERROR(IF(INDEX(links!$B$2:$B$501,MATCH($C1435,links!$D$2:$D$501,0))="","",INDEX(links!$B$2:$B$501,MATCH($C1435,links!$D$2:$D$501,0))),""))</f>
        <v/>
      </c>
      <c r="I1435" s="30" t="str">
        <f aca="false">IF($C1435="","",IFERROR(IF(INDEX(links!$C$2:$C$501,MATCH($C1435,links!$D$2:$D$501,0))="","",INDEX(links!$C$2:$C$501,MATCH($C1435,links!$D$2:$D$501,0))),""))</f>
        <v/>
      </c>
      <c r="J1435" s="30" t="str">
        <f aca="false">IF($C1435="","",IF($G1435="","slug not in links; ","")&amp;IF($D1435="","reading type missing; ","")&amp;IF(COUNTIFS(scans!$C$2:$C$1601,$C1435,scans!$D$2:$D$1601,$D1435)&gt;1,"two readings of this type: keep one; ",""))</f>
        <v/>
      </c>
    </row>
    <row r="1436" customFormat="false" ht="15" hidden="false" customHeight="false" outlineLevel="0" collapsed="false">
      <c r="A1436" s="11"/>
      <c r="B1436" s="38"/>
      <c r="D1436" s="10"/>
      <c r="G1436" s="30" t="str">
        <f aca="false">IF($C1436="","",IFERROR(IF(INDEX(links!$A$2:$A$501,MATCH($C1436,links!$D$2:$D$501,0))="","",INDEX(links!$A$2:$A$501,MATCH($C1436,links!$D$2:$D$501,0))),""))</f>
        <v/>
      </c>
      <c r="H1436" s="30" t="str">
        <f aca="false">IF($C1436="","",IFERROR(IF(INDEX(links!$B$2:$B$501,MATCH($C1436,links!$D$2:$D$501,0))="","",INDEX(links!$B$2:$B$501,MATCH($C1436,links!$D$2:$D$501,0))),""))</f>
        <v/>
      </c>
      <c r="I1436" s="30" t="str">
        <f aca="false">IF($C1436="","",IFERROR(IF(INDEX(links!$C$2:$C$501,MATCH($C1436,links!$D$2:$D$501,0))="","",INDEX(links!$C$2:$C$501,MATCH($C1436,links!$D$2:$D$501,0))),""))</f>
        <v/>
      </c>
      <c r="J1436" s="30" t="str">
        <f aca="false">IF($C1436="","",IF($G1436="","slug not in links; ","")&amp;IF($D1436="","reading type missing; ","")&amp;IF(COUNTIFS(scans!$C$2:$C$1601,$C1436,scans!$D$2:$D$1601,$D1436)&gt;1,"two readings of this type: keep one; ",""))</f>
        <v/>
      </c>
    </row>
    <row r="1437" customFormat="false" ht="15" hidden="false" customHeight="false" outlineLevel="0" collapsed="false">
      <c r="A1437" s="11"/>
      <c r="B1437" s="38"/>
      <c r="D1437" s="10"/>
      <c r="G1437" s="30" t="str">
        <f aca="false">IF($C1437="","",IFERROR(IF(INDEX(links!$A$2:$A$501,MATCH($C1437,links!$D$2:$D$501,0))="","",INDEX(links!$A$2:$A$501,MATCH($C1437,links!$D$2:$D$501,0))),""))</f>
        <v/>
      </c>
      <c r="H1437" s="30" t="str">
        <f aca="false">IF($C1437="","",IFERROR(IF(INDEX(links!$B$2:$B$501,MATCH($C1437,links!$D$2:$D$501,0))="","",INDEX(links!$B$2:$B$501,MATCH($C1437,links!$D$2:$D$501,0))),""))</f>
        <v/>
      </c>
      <c r="I1437" s="30" t="str">
        <f aca="false">IF($C1437="","",IFERROR(IF(INDEX(links!$C$2:$C$501,MATCH($C1437,links!$D$2:$D$501,0))="","",INDEX(links!$C$2:$C$501,MATCH($C1437,links!$D$2:$D$501,0))),""))</f>
        <v/>
      </c>
      <c r="J1437" s="30" t="str">
        <f aca="false">IF($C1437="","",IF($G1437="","slug not in links; ","")&amp;IF($D1437="","reading type missing; ","")&amp;IF(COUNTIFS(scans!$C$2:$C$1601,$C1437,scans!$D$2:$D$1601,$D1437)&gt;1,"two readings of this type: keep one; ",""))</f>
        <v/>
      </c>
    </row>
    <row r="1438" customFormat="false" ht="15" hidden="false" customHeight="false" outlineLevel="0" collapsed="false">
      <c r="A1438" s="11"/>
      <c r="B1438" s="38"/>
      <c r="D1438" s="10"/>
      <c r="G1438" s="30" t="str">
        <f aca="false">IF($C1438="","",IFERROR(IF(INDEX(links!$A$2:$A$501,MATCH($C1438,links!$D$2:$D$501,0))="","",INDEX(links!$A$2:$A$501,MATCH($C1438,links!$D$2:$D$501,0))),""))</f>
        <v/>
      </c>
      <c r="H1438" s="30" t="str">
        <f aca="false">IF($C1438="","",IFERROR(IF(INDEX(links!$B$2:$B$501,MATCH($C1438,links!$D$2:$D$501,0))="","",INDEX(links!$B$2:$B$501,MATCH($C1438,links!$D$2:$D$501,0))),""))</f>
        <v/>
      </c>
      <c r="I1438" s="30" t="str">
        <f aca="false">IF($C1438="","",IFERROR(IF(INDEX(links!$C$2:$C$501,MATCH($C1438,links!$D$2:$D$501,0))="","",INDEX(links!$C$2:$C$501,MATCH($C1438,links!$D$2:$D$501,0))),""))</f>
        <v/>
      </c>
      <c r="J1438" s="30" t="str">
        <f aca="false">IF($C1438="","",IF($G1438="","slug not in links; ","")&amp;IF($D1438="","reading type missing; ","")&amp;IF(COUNTIFS(scans!$C$2:$C$1601,$C1438,scans!$D$2:$D$1601,$D1438)&gt;1,"two readings of this type: keep one; ",""))</f>
        <v/>
      </c>
    </row>
    <row r="1439" customFormat="false" ht="15" hidden="false" customHeight="false" outlineLevel="0" collapsed="false">
      <c r="A1439" s="11"/>
      <c r="B1439" s="38"/>
      <c r="D1439" s="10"/>
      <c r="G1439" s="30" t="str">
        <f aca="false">IF($C1439="","",IFERROR(IF(INDEX(links!$A$2:$A$501,MATCH($C1439,links!$D$2:$D$501,0))="","",INDEX(links!$A$2:$A$501,MATCH($C1439,links!$D$2:$D$501,0))),""))</f>
        <v/>
      </c>
      <c r="H1439" s="30" t="str">
        <f aca="false">IF($C1439="","",IFERROR(IF(INDEX(links!$B$2:$B$501,MATCH($C1439,links!$D$2:$D$501,0))="","",INDEX(links!$B$2:$B$501,MATCH($C1439,links!$D$2:$D$501,0))),""))</f>
        <v/>
      </c>
      <c r="I1439" s="30" t="str">
        <f aca="false">IF($C1439="","",IFERROR(IF(INDEX(links!$C$2:$C$501,MATCH($C1439,links!$D$2:$D$501,0))="","",INDEX(links!$C$2:$C$501,MATCH($C1439,links!$D$2:$D$501,0))),""))</f>
        <v/>
      </c>
      <c r="J1439" s="30" t="str">
        <f aca="false">IF($C1439="","",IF($G1439="","slug not in links; ","")&amp;IF($D1439="","reading type missing; ","")&amp;IF(COUNTIFS(scans!$C$2:$C$1601,$C1439,scans!$D$2:$D$1601,$D1439)&gt;1,"two readings of this type: keep one; ",""))</f>
        <v/>
      </c>
    </row>
    <row r="1440" customFormat="false" ht="15" hidden="false" customHeight="false" outlineLevel="0" collapsed="false">
      <c r="A1440" s="11"/>
      <c r="B1440" s="38"/>
      <c r="D1440" s="10"/>
      <c r="G1440" s="30" t="str">
        <f aca="false">IF($C1440="","",IFERROR(IF(INDEX(links!$A$2:$A$501,MATCH($C1440,links!$D$2:$D$501,0))="","",INDEX(links!$A$2:$A$501,MATCH($C1440,links!$D$2:$D$501,0))),""))</f>
        <v/>
      </c>
      <c r="H1440" s="30" t="str">
        <f aca="false">IF($C1440="","",IFERROR(IF(INDEX(links!$B$2:$B$501,MATCH($C1440,links!$D$2:$D$501,0))="","",INDEX(links!$B$2:$B$501,MATCH($C1440,links!$D$2:$D$501,0))),""))</f>
        <v/>
      </c>
      <c r="I1440" s="30" t="str">
        <f aca="false">IF($C1440="","",IFERROR(IF(INDEX(links!$C$2:$C$501,MATCH($C1440,links!$D$2:$D$501,0))="","",INDEX(links!$C$2:$C$501,MATCH($C1440,links!$D$2:$D$501,0))),""))</f>
        <v/>
      </c>
      <c r="J1440" s="30" t="str">
        <f aca="false">IF($C1440="","",IF($G1440="","slug not in links; ","")&amp;IF($D1440="","reading type missing; ","")&amp;IF(COUNTIFS(scans!$C$2:$C$1601,$C1440,scans!$D$2:$D$1601,$D1440)&gt;1,"two readings of this type: keep one; ",""))</f>
        <v/>
      </c>
    </row>
    <row r="1441" customFormat="false" ht="15" hidden="false" customHeight="false" outlineLevel="0" collapsed="false">
      <c r="A1441" s="11"/>
      <c r="B1441" s="38"/>
      <c r="D1441" s="10"/>
      <c r="G1441" s="30" t="str">
        <f aca="false">IF($C1441="","",IFERROR(IF(INDEX(links!$A$2:$A$501,MATCH($C1441,links!$D$2:$D$501,0))="","",INDEX(links!$A$2:$A$501,MATCH($C1441,links!$D$2:$D$501,0))),""))</f>
        <v/>
      </c>
      <c r="H1441" s="30" t="str">
        <f aca="false">IF($C1441="","",IFERROR(IF(INDEX(links!$B$2:$B$501,MATCH($C1441,links!$D$2:$D$501,0))="","",INDEX(links!$B$2:$B$501,MATCH($C1441,links!$D$2:$D$501,0))),""))</f>
        <v/>
      </c>
      <c r="I1441" s="30" t="str">
        <f aca="false">IF($C1441="","",IFERROR(IF(INDEX(links!$C$2:$C$501,MATCH($C1441,links!$D$2:$D$501,0))="","",INDEX(links!$C$2:$C$501,MATCH($C1441,links!$D$2:$D$501,0))),""))</f>
        <v/>
      </c>
      <c r="J1441" s="30" t="str">
        <f aca="false">IF($C1441="","",IF($G1441="","slug not in links; ","")&amp;IF($D1441="","reading type missing; ","")&amp;IF(COUNTIFS(scans!$C$2:$C$1601,$C1441,scans!$D$2:$D$1601,$D1441)&gt;1,"two readings of this type: keep one; ",""))</f>
        <v/>
      </c>
    </row>
    <row r="1442" customFormat="false" ht="15" hidden="false" customHeight="false" outlineLevel="0" collapsed="false">
      <c r="A1442" s="11"/>
      <c r="B1442" s="38"/>
      <c r="D1442" s="10"/>
      <c r="G1442" s="30" t="str">
        <f aca="false">IF($C1442="","",IFERROR(IF(INDEX(links!$A$2:$A$501,MATCH($C1442,links!$D$2:$D$501,0))="","",INDEX(links!$A$2:$A$501,MATCH($C1442,links!$D$2:$D$501,0))),""))</f>
        <v/>
      </c>
      <c r="H1442" s="30" t="str">
        <f aca="false">IF($C1442="","",IFERROR(IF(INDEX(links!$B$2:$B$501,MATCH($C1442,links!$D$2:$D$501,0))="","",INDEX(links!$B$2:$B$501,MATCH($C1442,links!$D$2:$D$501,0))),""))</f>
        <v/>
      </c>
      <c r="I1442" s="30" t="str">
        <f aca="false">IF($C1442="","",IFERROR(IF(INDEX(links!$C$2:$C$501,MATCH($C1442,links!$D$2:$D$501,0))="","",INDEX(links!$C$2:$C$501,MATCH($C1442,links!$D$2:$D$501,0))),""))</f>
        <v/>
      </c>
      <c r="J1442" s="30" t="str">
        <f aca="false">IF($C1442="","",IF($G1442="","slug not in links; ","")&amp;IF($D1442="","reading type missing; ","")&amp;IF(COUNTIFS(scans!$C$2:$C$1601,$C1442,scans!$D$2:$D$1601,$D1442)&gt;1,"two readings of this type: keep one; ",""))</f>
        <v/>
      </c>
    </row>
    <row r="1443" customFormat="false" ht="15" hidden="false" customHeight="false" outlineLevel="0" collapsed="false">
      <c r="A1443" s="11"/>
      <c r="B1443" s="38"/>
      <c r="D1443" s="10"/>
      <c r="G1443" s="30" t="str">
        <f aca="false">IF($C1443="","",IFERROR(IF(INDEX(links!$A$2:$A$501,MATCH($C1443,links!$D$2:$D$501,0))="","",INDEX(links!$A$2:$A$501,MATCH($C1443,links!$D$2:$D$501,0))),""))</f>
        <v/>
      </c>
      <c r="H1443" s="30" t="str">
        <f aca="false">IF($C1443="","",IFERROR(IF(INDEX(links!$B$2:$B$501,MATCH($C1443,links!$D$2:$D$501,0))="","",INDEX(links!$B$2:$B$501,MATCH($C1443,links!$D$2:$D$501,0))),""))</f>
        <v/>
      </c>
      <c r="I1443" s="30" t="str">
        <f aca="false">IF($C1443="","",IFERROR(IF(INDEX(links!$C$2:$C$501,MATCH($C1443,links!$D$2:$D$501,0))="","",INDEX(links!$C$2:$C$501,MATCH($C1443,links!$D$2:$D$501,0))),""))</f>
        <v/>
      </c>
      <c r="J1443" s="30" t="str">
        <f aca="false">IF($C1443="","",IF($G1443="","slug not in links; ","")&amp;IF($D1443="","reading type missing; ","")&amp;IF(COUNTIFS(scans!$C$2:$C$1601,$C1443,scans!$D$2:$D$1601,$D1443)&gt;1,"two readings of this type: keep one; ",""))</f>
        <v/>
      </c>
    </row>
    <row r="1444" customFormat="false" ht="15" hidden="false" customHeight="false" outlineLevel="0" collapsed="false">
      <c r="A1444" s="11"/>
      <c r="B1444" s="38"/>
      <c r="D1444" s="10"/>
      <c r="G1444" s="30" t="str">
        <f aca="false">IF($C1444="","",IFERROR(IF(INDEX(links!$A$2:$A$501,MATCH($C1444,links!$D$2:$D$501,0))="","",INDEX(links!$A$2:$A$501,MATCH($C1444,links!$D$2:$D$501,0))),""))</f>
        <v/>
      </c>
      <c r="H1444" s="30" t="str">
        <f aca="false">IF($C1444="","",IFERROR(IF(INDEX(links!$B$2:$B$501,MATCH($C1444,links!$D$2:$D$501,0))="","",INDEX(links!$B$2:$B$501,MATCH($C1444,links!$D$2:$D$501,0))),""))</f>
        <v/>
      </c>
      <c r="I1444" s="30" t="str">
        <f aca="false">IF($C1444="","",IFERROR(IF(INDEX(links!$C$2:$C$501,MATCH($C1444,links!$D$2:$D$501,0))="","",INDEX(links!$C$2:$C$501,MATCH($C1444,links!$D$2:$D$501,0))),""))</f>
        <v/>
      </c>
      <c r="J1444" s="30" t="str">
        <f aca="false">IF($C1444="","",IF($G1444="","slug not in links; ","")&amp;IF($D1444="","reading type missing; ","")&amp;IF(COUNTIFS(scans!$C$2:$C$1601,$C1444,scans!$D$2:$D$1601,$D1444)&gt;1,"two readings of this type: keep one; ",""))</f>
        <v/>
      </c>
    </row>
    <row r="1445" customFormat="false" ht="15" hidden="false" customHeight="false" outlineLevel="0" collapsed="false">
      <c r="A1445" s="11"/>
      <c r="B1445" s="38"/>
      <c r="D1445" s="10"/>
      <c r="G1445" s="30" t="str">
        <f aca="false">IF($C1445="","",IFERROR(IF(INDEX(links!$A$2:$A$501,MATCH($C1445,links!$D$2:$D$501,0))="","",INDEX(links!$A$2:$A$501,MATCH($C1445,links!$D$2:$D$501,0))),""))</f>
        <v/>
      </c>
      <c r="H1445" s="30" t="str">
        <f aca="false">IF($C1445="","",IFERROR(IF(INDEX(links!$B$2:$B$501,MATCH($C1445,links!$D$2:$D$501,0))="","",INDEX(links!$B$2:$B$501,MATCH($C1445,links!$D$2:$D$501,0))),""))</f>
        <v/>
      </c>
      <c r="I1445" s="30" t="str">
        <f aca="false">IF($C1445="","",IFERROR(IF(INDEX(links!$C$2:$C$501,MATCH($C1445,links!$D$2:$D$501,0))="","",INDEX(links!$C$2:$C$501,MATCH($C1445,links!$D$2:$D$501,0))),""))</f>
        <v/>
      </c>
      <c r="J1445" s="30" t="str">
        <f aca="false">IF($C1445="","",IF($G1445="","slug not in links; ","")&amp;IF($D1445="","reading type missing; ","")&amp;IF(COUNTIFS(scans!$C$2:$C$1601,$C1445,scans!$D$2:$D$1601,$D1445)&gt;1,"two readings of this type: keep one; ",""))</f>
        <v/>
      </c>
    </row>
    <row r="1446" customFormat="false" ht="15" hidden="false" customHeight="false" outlineLevel="0" collapsed="false">
      <c r="A1446" s="11"/>
      <c r="B1446" s="38"/>
      <c r="D1446" s="10"/>
      <c r="G1446" s="30" t="str">
        <f aca="false">IF($C1446="","",IFERROR(IF(INDEX(links!$A$2:$A$501,MATCH($C1446,links!$D$2:$D$501,0))="","",INDEX(links!$A$2:$A$501,MATCH($C1446,links!$D$2:$D$501,0))),""))</f>
        <v/>
      </c>
      <c r="H1446" s="30" t="str">
        <f aca="false">IF($C1446="","",IFERROR(IF(INDEX(links!$B$2:$B$501,MATCH($C1446,links!$D$2:$D$501,0))="","",INDEX(links!$B$2:$B$501,MATCH($C1446,links!$D$2:$D$501,0))),""))</f>
        <v/>
      </c>
      <c r="I1446" s="30" t="str">
        <f aca="false">IF($C1446="","",IFERROR(IF(INDEX(links!$C$2:$C$501,MATCH($C1446,links!$D$2:$D$501,0))="","",INDEX(links!$C$2:$C$501,MATCH($C1446,links!$D$2:$D$501,0))),""))</f>
        <v/>
      </c>
      <c r="J1446" s="30" t="str">
        <f aca="false">IF($C1446="","",IF($G1446="","slug not in links; ","")&amp;IF($D1446="","reading type missing; ","")&amp;IF(COUNTIFS(scans!$C$2:$C$1601,$C1446,scans!$D$2:$D$1601,$D1446)&gt;1,"two readings of this type: keep one; ",""))</f>
        <v/>
      </c>
    </row>
    <row r="1447" customFormat="false" ht="15" hidden="false" customHeight="false" outlineLevel="0" collapsed="false">
      <c r="A1447" s="11"/>
      <c r="B1447" s="38"/>
      <c r="D1447" s="10"/>
      <c r="G1447" s="30" t="str">
        <f aca="false">IF($C1447="","",IFERROR(IF(INDEX(links!$A$2:$A$501,MATCH($C1447,links!$D$2:$D$501,0))="","",INDEX(links!$A$2:$A$501,MATCH($C1447,links!$D$2:$D$501,0))),""))</f>
        <v/>
      </c>
      <c r="H1447" s="30" t="str">
        <f aca="false">IF($C1447="","",IFERROR(IF(INDEX(links!$B$2:$B$501,MATCH($C1447,links!$D$2:$D$501,0))="","",INDEX(links!$B$2:$B$501,MATCH($C1447,links!$D$2:$D$501,0))),""))</f>
        <v/>
      </c>
      <c r="I1447" s="30" t="str">
        <f aca="false">IF($C1447="","",IFERROR(IF(INDEX(links!$C$2:$C$501,MATCH($C1447,links!$D$2:$D$501,0))="","",INDEX(links!$C$2:$C$501,MATCH($C1447,links!$D$2:$D$501,0))),""))</f>
        <v/>
      </c>
      <c r="J1447" s="30" t="str">
        <f aca="false">IF($C1447="","",IF($G1447="","slug not in links; ","")&amp;IF($D1447="","reading type missing; ","")&amp;IF(COUNTIFS(scans!$C$2:$C$1601,$C1447,scans!$D$2:$D$1601,$D1447)&gt;1,"two readings of this type: keep one; ",""))</f>
        <v/>
      </c>
    </row>
    <row r="1448" customFormat="false" ht="15" hidden="false" customHeight="false" outlineLevel="0" collapsed="false">
      <c r="A1448" s="11"/>
      <c r="B1448" s="38"/>
      <c r="D1448" s="10"/>
      <c r="G1448" s="30" t="str">
        <f aca="false">IF($C1448="","",IFERROR(IF(INDEX(links!$A$2:$A$501,MATCH($C1448,links!$D$2:$D$501,0))="","",INDEX(links!$A$2:$A$501,MATCH($C1448,links!$D$2:$D$501,0))),""))</f>
        <v/>
      </c>
      <c r="H1448" s="30" t="str">
        <f aca="false">IF($C1448="","",IFERROR(IF(INDEX(links!$B$2:$B$501,MATCH($C1448,links!$D$2:$D$501,0))="","",INDEX(links!$B$2:$B$501,MATCH($C1448,links!$D$2:$D$501,0))),""))</f>
        <v/>
      </c>
      <c r="I1448" s="30" t="str">
        <f aca="false">IF($C1448="","",IFERROR(IF(INDEX(links!$C$2:$C$501,MATCH($C1448,links!$D$2:$D$501,0))="","",INDEX(links!$C$2:$C$501,MATCH($C1448,links!$D$2:$D$501,0))),""))</f>
        <v/>
      </c>
      <c r="J1448" s="30" t="str">
        <f aca="false">IF($C1448="","",IF($G1448="","slug not in links; ","")&amp;IF($D1448="","reading type missing; ","")&amp;IF(COUNTIFS(scans!$C$2:$C$1601,$C1448,scans!$D$2:$D$1601,$D1448)&gt;1,"two readings of this type: keep one; ",""))</f>
        <v/>
      </c>
    </row>
    <row r="1449" customFormat="false" ht="15" hidden="false" customHeight="false" outlineLevel="0" collapsed="false">
      <c r="A1449" s="11"/>
      <c r="B1449" s="38"/>
      <c r="D1449" s="10"/>
      <c r="G1449" s="30" t="str">
        <f aca="false">IF($C1449="","",IFERROR(IF(INDEX(links!$A$2:$A$501,MATCH($C1449,links!$D$2:$D$501,0))="","",INDEX(links!$A$2:$A$501,MATCH($C1449,links!$D$2:$D$501,0))),""))</f>
        <v/>
      </c>
      <c r="H1449" s="30" t="str">
        <f aca="false">IF($C1449="","",IFERROR(IF(INDEX(links!$B$2:$B$501,MATCH($C1449,links!$D$2:$D$501,0))="","",INDEX(links!$B$2:$B$501,MATCH($C1449,links!$D$2:$D$501,0))),""))</f>
        <v/>
      </c>
      <c r="I1449" s="30" t="str">
        <f aca="false">IF($C1449="","",IFERROR(IF(INDEX(links!$C$2:$C$501,MATCH($C1449,links!$D$2:$D$501,0))="","",INDEX(links!$C$2:$C$501,MATCH($C1449,links!$D$2:$D$501,0))),""))</f>
        <v/>
      </c>
      <c r="J1449" s="30" t="str">
        <f aca="false">IF($C1449="","",IF($G1449="","slug not in links; ","")&amp;IF($D1449="","reading type missing; ","")&amp;IF(COUNTIFS(scans!$C$2:$C$1601,$C1449,scans!$D$2:$D$1601,$D1449)&gt;1,"two readings of this type: keep one; ",""))</f>
        <v/>
      </c>
    </row>
    <row r="1450" customFormat="false" ht="15" hidden="false" customHeight="false" outlineLevel="0" collapsed="false">
      <c r="A1450" s="11"/>
      <c r="B1450" s="38"/>
      <c r="D1450" s="10"/>
      <c r="G1450" s="30" t="str">
        <f aca="false">IF($C1450="","",IFERROR(IF(INDEX(links!$A$2:$A$501,MATCH($C1450,links!$D$2:$D$501,0))="","",INDEX(links!$A$2:$A$501,MATCH($C1450,links!$D$2:$D$501,0))),""))</f>
        <v/>
      </c>
      <c r="H1450" s="30" t="str">
        <f aca="false">IF($C1450="","",IFERROR(IF(INDEX(links!$B$2:$B$501,MATCH($C1450,links!$D$2:$D$501,0))="","",INDEX(links!$B$2:$B$501,MATCH($C1450,links!$D$2:$D$501,0))),""))</f>
        <v/>
      </c>
      <c r="I1450" s="30" t="str">
        <f aca="false">IF($C1450="","",IFERROR(IF(INDEX(links!$C$2:$C$501,MATCH($C1450,links!$D$2:$D$501,0))="","",INDEX(links!$C$2:$C$501,MATCH($C1450,links!$D$2:$D$501,0))),""))</f>
        <v/>
      </c>
      <c r="J1450" s="30" t="str">
        <f aca="false">IF($C1450="","",IF($G1450="","slug not in links; ","")&amp;IF($D1450="","reading type missing; ","")&amp;IF(COUNTIFS(scans!$C$2:$C$1601,$C1450,scans!$D$2:$D$1601,$D1450)&gt;1,"two readings of this type: keep one; ",""))</f>
        <v/>
      </c>
    </row>
    <row r="1451" customFormat="false" ht="15" hidden="false" customHeight="false" outlineLevel="0" collapsed="false">
      <c r="A1451" s="11"/>
      <c r="B1451" s="38"/>
      <c r="D1451" s="10"/>
      <c r="G1451" s="30" t="str">
        <f aca="false">IF($C1451="","",IFERROR(IF(INDEX(links!$A$2:$A$501,MATCH($C1451,links!$D$2:$D$501,0))="","",INDEX(links!$A$2:$A$501,MATCH($C1451,links!$D$2:$D$501,0))),""))</f>
        <v/>
      </c>
      <c r="H1451" s="30" t="str">
        <f aca="false">IF($C1451="","",IFERROR(IF(INDEX(links!$B$2:$B$501,MATCH($C1451,links!$D$2:$D$501,0))="","",INDEX(links!$B$2:$B$501,MATCH($C1451,links!$D$2:$D$501,0))),""))</f>
        <v/>
      </c>
      <c r="I1451" s="30" t="str">
        <f aca="false">IF($C1451="","",IFERROR(IF(INDEX(links!$C$2:$C$501,MATCH($C1451,links!$D$2:$D$501,0))="","",INDEX(links!$C$2:$C$501,MATCH($C1451,links!$D$2:$D$501,0))),""))</f>
        <v/>
      </c>
      <c r="J1451" s="30" t="str">
        <f aca="false">IF($C1451="","",IF($G1451="","slug not in links; ","")&amp;IF($D1451="","reading type missing; ","")&amp;IF(COUNTIFS(scans!$C$2:$C$1601,$C1451,scans!$D$2:$D$1601,$D1451)&gt;1,"two readings of this type: keep one; ",""))</f>
        <v/>
      </c>
    </row>
    <row r="1452" customFormat="false" ht="15" hidden="false" customHeight="false" outlineLevel="0" collapsed="false">
      <c r="A1452" s="11"/>
      <c r="B1452" s="38"/>
      <c r="D1452" s="10"/>
      <c r="G1452" s="30" t="str">
        <f aca="false">IF($C1452="","",IFERROR(IF(INDEX(links!$A$2:$A$501,MATCH($C1452,links!$D$2:$D$501,0))="","",INDEX(links!$A$2:$A$501,MATCH($C1452,links!$D$2:$D$501,0))),""))</f>
        <v/>
      </c>
      <c r="H1452" s="30" t="str">
        <f aca="false">IF($C1452="","",IFERROR(IF(INDEX(links!$B$2:$B$501,MATCH($C1452,links!$D$2:$D$501,0))="","",INDEX(links!$B$2:$B$501,MATCH($C1452,links!$D$2:$D$501,0))),""))</f>
        <v/>
      </c>
      <c r="I1452" s="30" t="str">
        <f aca="false">IF($C1452="","",IFERROR(IF(INDEX(links!$C$2:$C$501,MATCH($C1452,links!$D$2:$D$501,0))="","",INDEX(links!$C$2:$C$501,MATCH($C1452,links!$D$2:$D$501,0))),""))</f>
        <v/>
      </c>
      <c r="J1452" s="30" t="str">
        <f aca="false">IF($C1452="","",IF($G1452="","slug not in links; ","")&amp;IF($D1452="","reading type missing; ","")&amp;IF(COUNTIFS(scans!$C$2:$C$1601,$C1452,scans!$D$2:$D$1601,$D1452)&gt;1,"two readings of this type: keep one; ",""))</f>
        <v/>
      </c>
    </row>
    <row r="1453" customFormat="false" ht="15" hidden="false" customHeight="false" outlineLevel="0" collapsed="false">
      <c r="A1453" s="11"/>
      <c r="B1453" s="38"/>
      <c r="D1453" s="10"/>
      <c r="G1453" s="30" t="str">
        <f aca="false">IF($C1453="","",IFERROR(IF(INDEX(links!$A$2:$A$501,MATCH($C1453,links!$D$2:$D$501,0))="","",INDEX(links!$A$2:$A$501,MATCH($C1453,links!$D$2:$D$501,0))),""))</f>
        <v/>
      </c>
      <c r="H1453" s="30" t="str">
        <f aca="false">IF($C1453="","",IFERROR(IF(INDEX(links!$B$2:$B$501,MATCH($C1453,links!$D$2:$D$501,0))="","",INDEX(links!$B$2:$B$501,MATCH($C1453,links!$D$2:$D$501,0))),""))</f>
        <v/>
      </c>
      <c r="I1453" s="30" t="str">
        <f aca="false">IF($C1453="","",IFERROR(IF(INDEX(links!$C$2:$C$501,MATCH($C1453,links!$D$2:$D$501,0))="","",INDEX(links!$C$2:$C$501,MATCH($C1453,links!$D$2:$D$501,0))),""))</f>
        <v/>
      </c>
      <c r="J1453" s="30" t="str">
        <f aca="false">IF($C1453="","",IF($G1453="","slug not in links; ","")&amp;IF($D1453="","reading type missing; ","")&amp;IF(COUNTIFS(scans!$C$2:$C$1601,$C1453,scans!$D$2:$D$1601,$D1453)&gt;1,"two readings of this type: keep one; ",""))</f>
        <v/>
      </c>
    </row>
    <row r="1454" customFormat="false" ht="15" hidden="false" customHeight="false" outlineLevel="0" collapsed="false">
      <c r="A1454" s="11"/>
      <c r="B1454" s="38"/>
      <c r="D1454" s="10"/>
      <c r="G1454" s="30" t="str">
        <f aca="false">IF($C1454="","",IFERROR(IF(INDEX(links!$A$2:$A$501,MATCH($C1454,links!$D$2:$D$501,0))="","",INDEX(links!$A$2:$A$501,MATCH($C1454,links!$D$2:$D$501,0))),""))</f>
        <v/>
      </c>
      <c r="H1454" s="30" t="str">
        <f aca="false">IF($C1454="","",IFERROR(IF(INDEX(links!$B$2:$B$501,MATCH($C1454,links!$D$2:$D$501,0))="","",INDEX(links!$B$2:$B$501,MATCH($C1454,links!$D$2:$D$501,0))),""))</f>
        <v/>
      </c>
      <c r="I1454" s="30" t="str">
        <f aca="false">IF($C1454="","",IFERROR(IF(INDEX(links!$C$2:$C$501,MATCH($C1454,links!$D$2:$D$501,0))="","",INDEX(links!$C$2:$C$501,MATCH($C1454,links!$D$2:$D$501,0))),""))</f>
        <v/>
      </c>
      <c r="J1454" s="30" t="str">
        <f aca="false">IF($C1454="","",IF($G1454="","slug not in links; ","")&amp;IF($D1454="","reading type missing; ","")&amp;IF(COUNTIFS(scans!$C$2:$C$1601,$C1454,scans!$D$2:$D$1601,$D1454)&gt;1,"two readings of this type: keep one; ",""))</f>
        <v/>
      </c>
    </row>
    <row r="1455" customFormat="false" ht="15" hidden="false" customHeight="false" outlineLevel="0" collapsed="false">
      <c r="A1455" s="11"/>
      <c r="B1455" s="38"/>
      <c r="D1455" s="10"/>
      <c r="G1455" s="30" t="str">
        <f aca="false">IF($C1455="","",IFERROR(IF(INDEX(links!$A$2:$A$501,MATCH($C1455,links!$D$2:$D$501,0))="","",INDEX(links!$A$2:$A$501,MATCH($C1455,links!$D$2:$D$501,0))),""))</f>
        <v/>
      </c>
      <c r="H1455" s="30" t="str">
        <f aca="false">IF($C1455="","",IFERROR(IF(INDEX(links!$B$2:$B$501,MATCH($C1455,links!$D$2:$D$501,0))="","",INDEX(links!$B$2:$B$501,MATCH($C1455,links!$D$2:$D$501,0))),""))</f>
        <v/>
      </c>
      <c r="I1455" s="30" t="str">
        <f aca="false">IF($C1455="","",IFERROR(IF(INDEX(links!$C$2:$C$501,MATCH($C1455,links!$D$2:$D$501,0))="","",INDEX(links!$C$2:$C$501,MATCH($C1455,links!$D$2:$D$501,0))),""))</f>
        <v/>
      </c>
      <c r="J1455" s="30" t="str">
        <f aca="false">IF($C1455="","",IF($G1455="","slug not in links; ","")&amp;IF($D1455="","reading type missing; ","")&amp;IF(COUNTIFS(scans!$C$2:$C$1601,$C1455,scans!$D$2:$D$1601,$D1455)&gt;1,"two readings of this type: keep one; ",""))</f>
        <v/>
      </c>
    </row>
    <row r="1456" customFormat="false" ht="15" hidden="false" customHeight="false" outlineLevel="0" collapsed="false">
      <c r="A1456" s="11"/>
      <c r="B1456" s="38"/>
      <c r="D1456" s="10"/>
      <c r="G1456" s="30" t="str">
        <f aca="false">IF($C1456="","",IFERROR(IF(INDEX(links!$A$2:$A$501,MATCH($C1456,links!$D$2:$D$501,0))="","",INDEX(links!$A$2:$A$501,MATCH($C1456,links!$D$2:$D$501,0))),""))</f>
        <v/>
      </c>
      <c r="H1456" s="30" t="str">
        <f aca="false">IF($C1456="","",IFERROR(IF(INDEX(links!$B$2:$B$501,MATCH($C1456,links!$D$2:$D$501,0))="","",INDEX(links!$B$2:$B$501,MATCH($C1456,links!$D$2:$D$501,0))),""))</f>
        <v/>
      </c>
      <c r="I1456" s="30" t="str">
        <f aca="false">IF($C1456="","",IFERROR(IF(INDEX(links!$C$2:$C$501,MATCH($C1456,links!$D$2:$D$501,0))="","",INDEX(links!$C$2:$C$501,MATCH($C1456,links!$D$2:$D$501,0))),""))</f>
        <v/>
      </c>
      <c r="J1456" s="30" t="str">
        <f aca="false">IF($C1456="","",IF($G1456="","slug not in links; ","")&amp;IF($D1456="","reading type missing; ","")&amp;IF(COUNTIFS(scans!$C$2:$C$1601,$C1456,scans!$D$2:$D$1601,$D1456)&gt;1,"two readings of this type: keep one; ",""))</f>
        <v/>
      </c>
    </row>
    <row r="1457" customFormat="false" ht="15" hidden="false" customHeight="false" outlineLevel="0" collapsed="false">
      <c r="A1457" s="11"/>
      <c r="B1457" s="38"/>
      <c r="D1457" s="10"/>
      <c r="G1457" s="30" t="str">
        <f aca="false">IF($C1457="","",IFERROR(IF(INDEX(links!$A$2:$A$501,MATCH($C1457,links!$D$2:$D$501,0))="","",INDEX(links!$A$2:$A$501,MATCH($C1457,links!$D$2:$D$501,0))),""))</f>
        <v/>
      </c>
      <c r="H1457" s="30" t="str">
        <f aca="false">IF($C1457="","",IFERROR(IF(INDEX(links!$B$2:$B$501,MATCH($C1457,links!$D$2:$D$501,0))="","",INDEX(links!$B$2:$B$501,MATCH($C1457,links!$D$2:$D$501,0))),""))</f>
        <v/>
      </c>
      <c r="I1457" s="30" t="str">
        <f aca="false">IF($C1457="","",IFERROR(IF(INDEX(links!$C$2:$C$501,MATCH($C1457,links!$D$2:$D$501,0))="","",INDEX(links!$C$2:$C$501,MATCH($C1457,links!$D$2:$D$501,0))),""))</f>
        <v/>
      </c>
      <c r="J1457" s="30" t="str">
        <f aca="false">IF($C1457="","",IF($G1457="","slug not in links; ","")&amp;IF($D1457="","reading type missing; ","")&amp;IF(COUNTIFS(scans!$C$2:$C$1601,$C1457,scans!$D$2:$D$1601,$D1457)&gt;1,"two readings of this type: keep one; ",""))</f>
        <v/>
      </c>
    </row>
    <row r="1458" customFormat="false" ht="15" hidden="false" customHeight="false" outlineLevel="0" collapsed="false">
      <c r="A1458" s="11"/>
      <c r="B1458" s="38"/>
      <c r="D1458" s="10"/>
      <c r="G1458" s="30" t="str">
        <f aca="false">IF($C1458="","",IFERROR(IF(INDEX(links!$A$2:$A$501,MATCH($C1458,links!$D$2:$D$501,0))="","",INDEX(links!$A$2:$A$501,MATCH($C1458,links!$D$2:$D$501,0))),""))</f>
        <v/>
      </c>
      <c r="H1458" s="30" t="str">
        <f aca="false">IF($C1458="","",IFERROR(IF(INDEX(links!$B$2:$B$501,MATCH($C1458,links!$D$2:$D$501,0))="","",INDEX(links!$B$2:$B$501,MATCH($C1458,links!$D$2:$D$501,0))),""))</f>
        <v/>
      </c>
      <c r="I1458" s="30" t="str">
        <f aca="false">IF($C1458="","",IFERROR(IF(INDEX(links!$C$2:$C$501,MATCH($C1458,links!$D$2:$D$501,0))="","",INDEX(links!$C$2:$C$501,MATCH($C1458,links!$D$2:$D$501,0))),""))</f>
        <v/>
      </c>
      <c r="J1458" s="30" t="str">
        <f aca="false">IF($C1458="","",IF($G1458="","slug not in links; ","")&amp;IF($D1458="","reading type missing; ","")&amp;IF(COUNTIFS(scans!$C$2:$C$1601,$C1458,scans!$D$2:$D$1601,$D1458)&gt;1,"two readings of this type: keep one; ",""))</f>
        <v/>
      </c>
    </row>
    <row r="1459" customFormat="false" ht="15" hidden="false" customHeight="false" outlineLevel="0" collapsed="false">
      <c r="A1459" s="11"/>
      <c r="B1459" s="38"/>
      <c r="D1459" s="10"/>
      <c r="G1459" s="30" t="str">
        <f aca="false">IF($C1459="","",IFERROR(IF(INDEX(links!$A$2:$A$501,MATCH($C1459,links!$D$2:$D$501,0))="","",INDEX(links!$A$2:$A$501,MATCH($C1459,links!$D$2:$D$501,0))),""))</f>
        <v/>
      </c>
      <c r="H1459" s="30" t="str">
        <f aca="false">IF($C1459="","",IFERROR(IF(INDEX(links!$B$2:$B$501,MATCH($C1459,links!$D$2:$D$501,0))="","",INDEX(links!$B$2:$B$501,MATCH($C1459,links!$D$2:$D$501,0))),""))</f>
        <v/>
      </c>
      <c r="I1459" s="30" t="str">
        <f aca="false">IF($C1459="","",IFERROR(IF(INDEX(links!$C$2:$C$501,MATCH($C1459,links!$D$2:$D$501,0))="","",INDEX(links!$C$2:$C$501,MATCH($C1459,links!$D$2:$D$501,0))),""))</f>
        <v/>
      </c>
      <c r="J1459" s="30" t="str">
        <f aca="false">IF($C1459="","",IF($G1459="","slug not in links; ","")&amp;IF($D1459="","reading type missing; ","")&amp;IF(COUNTIFS(scans!$C$2:$C$1601,$C1459,scans!$D$2:$D$1601,$D1459)&gt;1,"two readings of this type: keep one; ",""))</f>
        <v/>
      </c>
    </row>
    <row r="1460" customFormat="false" ht="15" hidden="false" customHeight="false" outlineLevel="0" collapsed="false">
      <c r="A1460" s="11"/>
      <c r="B1460" s="38"/>
      <c r="D1460" s="10"/>
      <c r="G1460" s="30" t="str">
        <f aca="false">IF($C1460="","",IFERROR(IF(INDEX(links!$A$2:$A$501,MATCH($C1460,links!$D$2:$D$501,0))="","",INDEX(links!$A$2:$A$501,MATCH($C1460,links!$D$2:$D$501,0))),""))</f>
        <v/>
      </c>
      <c r="H1460" s="30" t="str">
        <f aca="false">IF($C1460="","",IFERROR(IF(INDEX(links!$B$2:$B$501,MATCH($C1460,links!$D$2:$D$501,0))="","",INDEX(links!$B$2:$B$501,MATCH($C1460,links!$D$2:$D$501,0))),""))</f>
        <v/>
      </c>
      <c r="I1460" s="30" t="str">
        <f aca="false">IF($C1460="","",IFERROR(IF(INDEX(links!$C$2:$C$501,MATCH($C1460,links!$D$2:$D$501,0))="","",INDEX(links!$C$2:$C$501,MATCH($C1460,links!$D$2:$D$501,0))),""))</f>
        <v/>
      </c>
      <c r="J1460" s="30" t="str">
        <f aca="false">IF($C1460="","",IF($G1460="","slug not in links; ","")&amp;IF($D1460="","reading type missing; ","")&amp;IF(COUNTIFS(scans!$C$2:$C$1601,$C1460,scans!$D$2:$D$1601,$D1460)&gt;1,"two readings of this type: keep one; ",""))</f>
        <v/>
      </c>
    </row>
    <row r="1461" customFormat="false" ht="15" hidden="false" customHeight="false" outlineLevel="0" collapsed="false">
      <c r="A1461" s="11"/>
      <c r="B1461" s="38"/>
      <c r="D1461" s="10"/>
      <c r="G1461" s="30" t="str">
        <f aca="false">IF($C1461="","",IFERROR(IF(INDEX(links!$A$2:$A$501,MATCH($C1461,links!$D$2:$D$501,0))="","",INDEX(links!$A$2:$A$501,MATCH($C1461,links!$D$2:$D$501,0))),""))</f>
        <v/>
      </c>
      <c r="H1461" s="30" t="str">
        <f aca="false">IF($C1461="","",IFERROR(IF(INDEX(links!$B$2:$B$501,MATCH($C1461,links!$D$2:$D$501,0))="","",INDEX(links!$B$2:$B$501,MATCH($C1461,links!$D$2:$D$501,0))),""))</f>
        <v/>
      </c>
      <c r="I1461" s="30" t="str">
        <f aca="false">IF($C1461="","",IFERROR(IF(INDEX(links!$C$2:$C$501,MATCH($C1461,links!$D$2:$D$501,0))="","",INDEX(links!$C$2:$C$501,MATCH($C1461,links!$D$2:$D$501,0))),""))</f>
        <v/>
      </c>
      <c r="J1461" s="30" t="str">
        <f aca="false">IF($C1461="","",IF($G1461="","slug not in links; ","")&amp;IF($D1461="","reading type missing; ","")&amp;IF(COUNTIFS(scans!$C$2:$C$1601,$C1461,scans!$D$2:$D$1601,$D1461)&gt;1,"two readings of this type: keep one; ",""))</f>
        <v/>
      </c>
    </row>
    <row r="1462" customFormat="false" ht="15" hidden="false" customHeight="false" outlineLevel="0" collapsed="false">
      <c r="A1462" s="11"/>
      <c r="B1462" s="38"/>
      <c r="D1462" s="10"/>
      <c r="G1462" s="30" t="str">
        <f aca="false">IF($C1462="","",IFERROR(IF(INDEX(links!$A$2:$A$501,MATCH($C1462,links!$D$2:$D$501,0))="","",INDEX(links!$A$2:$A$501,MATCH($C1462,links!$D$2:$D$501,0))),""))</f>
        <v/>
      </c>
      <c r="H1462" s="30" t="str">
        <f aca="false">IF($C1462="","",IFERROR(IF(INDEX(links!$B$2:$B$501,MATCH($C1462,links!$D$2:$D$501,0))="","",INDEX(links!$B$2:$B$501,MATCH($C1462,links!$D$2:$D$501,0))),""))</f>
        <v/>
      </c>
      <c r="I1462" s="30" t="str">
        <f aca="false">IF($C1462="","",IFERROR(IF(INDEX(links!$C$2:$C$501,MATCH($C1462,links!$D$2:$D$501,0))="","",INDEX(links!$C$2:$C$501,MATCH($C1462,links!$D$2:$D$501,0))),""))</f>
        <v/>
      </c>
      <c r="J1462" s="30" t="str">
        <f aca="false">IF($C1462="","",IF($G1462="","slug not in links; ","")&amp;IF($D1462="","reading type missing; ","")&amp;IF(COUNTIFS(scans!$C$2:$C$1601,$C1462,scans!$D$2:$D$1601,$D1462)&gt;1,"two readings of this type: keep one; ",""))</f>
        <v/>
      </c>
    </row>
    <row r="1463" customFormat="false" ht="15" hidden="false" customHeight="false" outlineLevel="0" collapsed="false">
      <c r="A1463" s="11"/>
      <c r="B1463" s="38"/>
      <c r="D1463" s="10"/>
      <c r="G1463" s="30" t="str">
        <f aca="false">IF($C1463="","",IFERROR(IF(INDEX(links!$A$2:$A$501,MATCH($C1463,links!$D$2:$D$501,0))="","",INDEX(links!$A$2:$A$501,MATCH($C1463,links!$D$2:$D$501,0))),""))</f>
        <v/>
      </c>
      <c r="H1463" s="30" t="str">
        <f aca="false">IF($C1463="","",IFERROR(IF(INDEX(links!$B$2:$B$501,MATCH($C1463,links!$D$2:$D$501,0))="","",INDEX(links!$B$2:$B$501,MATCH($C1463,links!$D$2:$D$501,0))),""))</f>
        <v/>
      </c>
      <c r="I1463" s="30" t="str">
        <f aca="false">IF($C1463="","",IFERROR(IF(INDEX(links!$C$2:$C$501,MATCH($C1463,links!$D$2:$D$501,0))="","",INDEX(links!$C$2:$C$501,MATCH($C1463,links!$D$2:$D$501,0))),""))</f>
        <v/>
      </c>
      <c r="J1463" s="30" t="str">
        <f aca="false">IF($C1463="","",IF($G1463="","slug not in links; ","")&amp;IF($D1463="","reading type missing; ","")&amp;IF(COUNTIFS(scans!$C$2:$C$1601,$C1463,scans!$D$2:$D$1601,$D1463)&gt;1,"two readings of this type: keep one; ",""))</f>
        <v/>
      </c>
    </row>
    <row r="1464" customFormat="false" ht="15" hidden="false" customHeight="false" outlineLevel="0" collapsed="false">
      <c r="A1464" s="11"/>
      <c r="B1464" s="38"/>
      <c r="D1464" s="10"/>
      <c r="G1464" s="30" t="str">
        <f aca="false">IF($C1464="","",IFERROR(IF(INDEX(links!$A$2:$A$501,MATCH($C1464,links!$D$2:$D$501,0))="","",INDEX(links!$A$2:$A$501,MATCH($C1464,links!$D$2:$D$501,0))),""))</f>
        <v/>
      </c>
      <c r="H1464" s="30" t="str">
        <f aca="false">IF($C1464="","",IFERROR(IF(INDEX(links!$B$2:$B$501,MATCH($C1464,links!$D$2:$D$501,0))="","",INDEX(links!$B$2:$B$501,MATCH($C1464,links!$D$2:$D$501,0))),""))</f>
        <v/>
      </c>
      <c r="I1464" s="30" t="str">
        <f aca="false">IF($C1464="","",IFERROR(IF(INDEX(links!$C$2:$C$501,MATCH($C1464,links!$D$2:$D$501,0))="","",INDEX(links!$C$2:$C$501,MATCH($C1464,links!$D$2:$D$501,0))),""))</f>
        <v/>
      </c>
      <c r="J1464" s="30" t="str">
        <f aca="false">IF($C1464="","",IF($G1464="","slug not in links; ","")&amp;IF($D1464="","reading type missing; ","")&amp;IF(COUNTIFS(scans!$C$2:$C$1601,$C1464,scans!$D$2:$D$1601,$D1464)&gt;1,"two readings of this type: keep one; ",""))</f>
        <v/>
      </c>
    </row>
    <row r="1465" customFormat="false" ht="15" hidden="false" customHeight="false" outlineLevel="0" collapsed="false">
      <c r="A1465" s="11"/>
      <c r="B1465" s="38"/>
      <c r="D1465" s="10"/>
      <c r="G1465" s="30" t="str">
        <f aca="false">IF($C1465="","",IFERROR(IF(INDEX(links!$A$2:$A$501,MATCH($C1465,links!$D$2:$D$501,0))="","",INDEX(links!$A$2:$A$501,MATCH($C1465,links!$D$2:$D$501,0))),""))</f>
        <v/>
      </c>
      <c r="H1465" s="30" t="str">
        <f aca="false">IF($C1465="","",IFERROR(IF(INDEX(links!$B$2:$B$501,MATCH($C1465,links!$D$2:$D$501,0))="","",INDEX(links!$B$2:$B$501,MATCH($C1465,links!$D$2:$D$501,0))),""))</f>
        <v/>
      </c>
      <c r="I1465" s="30" t="str">
        <f aca="false">IF($C1465="","",IFERROR(IF(INDEX(links!$C$2:$C$501,MATCH($C1465,links!$D$2:$D$501,0))="","",INDEX(links!$C$2:$C$501,MATCH($C1465,links!$D$2:$D$501,0))),""))</f>
        <v/>
      </c>
      <c r="J1465" s="30" t="str">
        <f aca="false">IF($C1465="","",IF($G1465="","slug not in links; ","")&amp;IF($D1465="","reading type missing; ","")&amp;IF(COUNTIFS(scans!$C$2:$C$1601,$C1465,scans!$D$2:$D$1601,$D1465)&gt;1,"two readings of this type: keep one; ",""))</f>
        <v/>
      </c>
    </row>
    <row r="1466" customFormat="false" ht="15" hidden="false" customHeight="false" outlineLevel="0" collapsed="false">
      <c r="A1466" s="11"/>
      <c r="B1466" s="38"/>
      <c r="D1466" s="10"/>
      <c r="G1466" s="30" t="str">
        <f aca="false">IF($C1466="","",IFERROR(IF(INDEX(links!$A$2:$A$501,MATCH($C1466,links!$D$2:$D$501,0))="","",INDEX(links!$A$2:$A$501,MATCH($C1466,links!$D$2:$D$501,0))),""))</f>
        <v/>
      </c>
      <c r="H1466" s="30" t="str">
        <f aca="false">IF($C1466="","",IFERROR(IF(INDEX(links!$B$2:$B$501,MATCH($C1466,links!$D$2:$D$501,0))="","",INDEX(links!$B$2:$B$501,MATCH($C1466,links!$D$2:$D$501,0))),""))</f>
        <v/>
      </c>
      <c r="I1466" s="30" t="str">
        <f aca="false">IF($C1466="","",IFERROR(IF(INDEX(links!$C$2:$C$501,MATCH($C1466,links!$D$2:$D$501,0))="","",INDEX(links!$C$2:$C$501,MATCH($C1466,links!$D$2:$D$501,0))),""))</f>
        <v/>
      </c>
      <c r="J1466" s="30" t="str">
        <f aca="false">IF($C1466="","",IF($G1466="","slug not in links; ","")&amp;IF($D1466="","reading type missing; ","")&amp;IF(COUNTIFS(scans!$C$2:$C$1601,$C1466,scans!$D$2:$D$1601,$D1466)&gt;1,"two readings of this type: keep one; ",""))</f>
        <v/>
      </c>
    </row>
    <row r="1467" customFormat="false" ht="15" hidden="false" customHeight="false" outlineLevel="0" collapsed="false">
      <c r="A1467" s="11"/>
      <c r="B1467" s="38"/>
      <c r="D1467" s="10"/>
      <c r="G1467" s="30" t="str">
        <f aca="false">IF($C1467="","",IFERROR(IF(INDEX(links!$A$2:$A$501,MATCH($C1467,links!$D$2:$D$501,0))="","",INDEX(links!$A$2:$A$501,MATCH($C1467,links!$D$2:$D$501,0))),""))</f>
        <v/>
      </c>
      <c r="H1467" s="30" t="str">
        <f aca="false">IF($C1467="","",IFERROR(IF(INDEX(links!$B$2:$B$501,MATCH($C1467,links!$D$2:$D$501,0))="","",INDEX(links!$B$2:$B$501,MATCH($C1467,links!$D$2:$D$501,0))),""))</f>
        <v/>
      </c>
      <c r="I1467" s="30" t="str">
        <f aca="false">IF($C1467="","",IFERROR(IF(INDEX(links!$C$2:$C$501,MATCH($C1467,links!$D$2:$D$501,0))="","",INDEX(links!$C$2:$C$501,MATCH($C1467,links!$D$2:$D$501,0))),""))</f>
        <v/>
      </c>
      <c r="J1467" s="30" t="str">
        <f aca="false">IF($C1467="","",IF($G1467="","slug not in links; ","")&amp;IF($D1467="","reading type missing; ","")&amp;IF(COUNTIFS(scans!$C$2:$C$1601,$C1467,scans!$D$2:$D$1601,$D1467)&gt;1,"two readings of this type: keep one; ",""))</f>
        <v/>
      </c>
    </row>
    <row r="1468" customFormat="false" ht="15" hidden="false" customHeight="false" outlineLevel="0" collapsed="false">
      <c r="A1468" s="11"/>
      <c r="B1468" s="38"/>
      <c r="D1468" s="10"/>
      <c r="G1468" s="30" t="str">
        <f aca="false">IF($C1468="","",IFERROR(IF(INDEX(links!$A$2:$A$501,MATCH($C1468,links!$D$2:$D$501,0))="","",INDEX(links!$A$2:$A$501,MATCH($C1468,links!$D$2:$D$501,0))),""))</f>
        <v/>
      </c>
      <c r="H1468" s="30" t="str">
        <f aca="false">IF($C1468="","",IFERROR(IF(INDEX(links!$B$2:$B$501,MATCH($C1468,links!$D$2:$D$501,0))="","",INDEX(links!$B$2:$B$501,MATCH($C1468,links!$D$2:$D$501,0))),""))</f>
        <v/>
      </c>
      <c r="I1468" s="30" t="str">
        <f aca="false">IF($C1468="","",IFERROR(IF(INDEX(links!$C$2:$C$501,MATCH($C1468,links!$D$2:$D$501,0))="","",INDEX(links!$C$2:$C$501,MATCH($C1468,links!$D$2:$D$501,0))),""))</f>
        <v/>
      </c>
      <c r="J1468" s="30" t="str">
        <f aca="false">IF($C1468="","",IF($G1468="","slug not in links; ","")&amp;IF($D1468="","reading type missing; ","")&amp;IF(COUNTIFS(scans!$C$2:$C$1601,$C1468,scans!$D$2:$D$1601,$D1468)&gt;1,"two readings of this type: keep one; ",""))</f>
        <v/>
      </c>
    </row>
    <row r="1469" customFormat="false" ht="15" hidden="false" customHeight="false" outlineLevel="0" collapsed="false">
      <c r="A1469" s="11"/>
      <c r="B1469" s="38"/>
      <c r="D1469" s="10"/>
      <c r="G1469" s="30" t="str">
        <f aca="false">IF($C1469="","",IFERROR(IF(INDEX(links!$A$2:$A$501,MATCH($C1469,links!$D$2:$D$501,0))="","",INDEX(links!$A$2:$A$501,MATCH($C1469,links!$D$2:$D$501,0))),""))</f>
        <v/>
      </c>
      <c r="H1469" s="30" t="str">
        <f aca="false">IF($C1469="","",IFERROR(IF(INDEX(links!$B$2:$B$501,MATCH($C1469,links!$D$2:$D$501,0))="","",INDEX(links!$B$2:$B$501,MATCH($C1469,links!$D$2:$D$501,0))),""))</f>
        <v/>
      </c>
      <c r="I1469" s="30" t="str">
        <f aca="false">IF($C1469="","",IFERROR(IF(INDEX(links!$C$2:$C$501,MATCH($C1469,links!$D$2:$D$501,0))="","",INDEX(links!$C$2:$C$501,MATCH($C1469,links!$D$2:$D$501,0))),""))</f>
        <v/>
      </c>
      <c r="J1469" s="30" t="str">
        <f aca="false">IF($C1469="","",IF($G1469="","slug not in links; ","")&amp;IF($D1469="","reading type missing; ","")&amp;IF(COUNTIFS(scans!$C$2:$C$1601,$C1469,scans!$D$2:$D$1601,$D1469)&gt;1,"two readings of this type: keep one; ",""))</f>
        <v/>
      </c>
    </row>
    <row r="1470" customFormat="false" ht="15" hidden="false" customHeight="false" outlineLevel="0" collapsed="false">
      <c r="A1470" s="11"/>
      <c r="B1470" s="38"/>
      <c r="D1470" s="10"/>
      <c r="G1470" s="30" t="str">
        <f aca="false">IF($C1470="","",IFERROR(IF(INDEX(links!$A$2:$A$501,MATCH($C1470,links!$D$2:$D$501,0))="","",INDEX(links!$A$2:$A$501,MATCH($C1470,links!$D$2:$D$501,0))),""))</f>
        <v/>
      </c>
      <c r="H1470" s="30" t="str">
        <f aca="false">IF($C1470="","",IFERROR(IF(INDEX(links!$B$2:$B$501,MATCH($C1470,links!$D$2:$D$501,0))="","",INDEX(links!$B$2:$B$501,MATCH($C1470,links!$D$2:$D$501,0))),""))</f>
        <v/>
      </c>
      <c r="I1470" s="30" t="str">
        <f aca="false">IF($C1470="","",IFERROR(IF(INDEX(links!$C$2:$C$501,MATCH($C1470,links!$D$2:$D$501,0))="","",INDEX(links!$C$2:$C$501,MATCH($C1470,links!$D$2:$D$501,0))),""))</f>
        <v/>
      </c>
      <c r="J1470" s="30" t="str">
        <f aca="false">IF($C1470="","",IF($G1470="","slug not in links; ","")&amp;IF($D1470="","reading type missing; ","")&amp;IF(COUNTIFS(scans!$C$2:$C$1601,$C1470,scans!$D$2:$D$1601,$D1470)&gt;1,"two readings of this type: keep one; ",""))</f>
        <v/>
      </c>
    </row>
    <row r="1471" customFormat="false" ht="15" hidden="false" customHeight="false" outlineLevel="0" collapsed="false">
      <c r="A1471" s="11"/>
      <c r="B1471" s="38"/>
      <c r="D1471" s="10"/>
      <c r="G1471" s="30" t="str">
        <f aca="false">IF($C1471="","",IFERROR(IF(INDEX(links!$A$2:$A$501,MATCH($C1471,links!$D$2:$D$501,0))="","",INDEX(links!$A$2:$A$501,MATCH($C1471,links!$D$2:$D$501,0))),""))</f>
        <v/>
      </c>
      <c r="H1471" s="30" t="str">
        <f aca="false">IF($C1471="","",IFERROR(IF(INDEX(links!$B$2:$B$501,MATCH($C1471,links!$D$2:$D$501,0))="","",INDEX(links!$B$2:$B$501,MATCH($C1471,links!$D$2:$D$501,0))),""))</f>
        <v/>
      </c>
      <c r="I1471" s="30" t="str">
        <f aca="false">IF($C1471="","",IFERROR(IF(INDEX(links!$C$2:$C$501,MATCH($C1471,links!$D$2:$D$501,0))="","",INDEX(links!$C$2:$C$501,MATCH($C1471,links!$D$2:$D$501,0))),""))</f>
        <v/>
      </c>
      <c r="J1471" s="30" t="str">
        <f aca="false">IF($C1471="","",IF($G1471="","slug not in links; ","")&amp;IF($D1471="","reading type missing; ","")&amp;IF(COUNTIFS(scans!$C$2:$C$1601,$C1471,scans!$D$2:$D$1601,$D1471)&gt;1,"two readings of this type: keep one; ",""))</f>
        <v/>
      </c>
    </row>
    <row r="1472" customFormat="false" ht="15" hidden="false" customHeight="false" outlineLevel="0" collapsed="false">
      <c r="A1472" s="11"/>
      <c r="B1472" s="38"/>
      <c r="D1472" s="10"/>
      <c r="G1472" s="30" t="str">
        <f aca="false">IF($C1472="","",IFERROR(IF(INDEX(links!$A$2:$A$501,MATCH($C1472,links!$D$2:$D$501,0))="","",INDEX(links!$A$2:$A$501,MATCH($C1472,links!$D$2:$D$501,0))),""))</f>
        <v/>
      </c>
      <c r="H1472" s="30" t="str">
        <f aca="false">IF($C1472="","",IFERROR(IF(INDEX(links!$B$2:$B$501,MATCH($C1472,links!$D$2:$D$501,0))="","",INDEX(links!$B$2:$B$501,MATCH($C1472,links!$D$2:$D$501,0))),""))</f>
        <v/>
      </c>
      <c r="I1472" s="30" t="str">
        <f aca="false">IF($C1472="","",IFERROR(IF(INDEX(links!$C$2:$C$501,MATCH($C1472,links!$D$2:$D$501,0))="","",INDEX(links!$C$2:$C$501,MATCH($C1472,links!$D$2:$D$501,0))),""))</f>
        <v/>
      </c>
      <c r="J1472" s="30" t="str">
        <f aca="false">IF($C1472="","",IF($G1472="","slug not in links; ","")&amp;IF($D1472="","reading type missing; ","")&amp;IF(COUNTIFS(scans!$C$2:$C$1601,$C1472,scans!$D$2:$D$1601,$D1472)&gt;1,"two readings of this type: keep one; ",""))</f>
        <v/>
      </c>
    </row>
    <row r="1473" customFormat="false" ht="15" hidden="false" customHeight="false" outlineLevel="0" collapsed="false">
      <c r="A1473" s="11"/>
      <c r="B1473" s="38"/>
      <c r="D1473" s="10"/>
      <c r="G1473" s="30" t="str">
        <f aca="false">IF($C1473="","",IFERROR(IF(INDEX(links!$A$2:$A$501,MATCH($C1473,links!$D$2:$D$501,0))="","",INDEX(links!$A$2:$A$501,MATCH($C1473,links!$D$2:$D$501,0))),""))</f>
        <v/>
      </c>
      <c r="H1473" s="30" t="str">
        <f aca="false">IF($C1473="","",IFERROR(IF(INDEX(links!$B$2:$B$501,MATCH($C1473,links!$D$2:$D$501,0))="","",INDEX(links!$B$2:$B$501,MATCH($C1473,links!$D$2:$D$501,0))),""))</f>
        <v/>
      </c>
      <c r="I1473" s="30" t="str">
        <f aca="false">IF($C1473="","",IFERROR(IF(INDEX(links!$C$2:$C$501,MATCH($C1473,links!$D$2:$D$501,0))="","",INDEX(links!$C$2:$C$501,MATCH($C1473,links!$D$2:$D$501,0))),""))</f>
        <v/>
      </c>
      <c r="J1473" s="30" t="str">
        <f aca="false">IF($C1473="","",IF($G1473="","slug not in links; ","")&amp;IF($D1473="","reading type missing; ","")&amp;IF(COUNTIFS(scans!$C$2:$C$1601,$C1473,scans!$D$2:$D$1601,$D1473)&gt;1,"two readings of this type: keep one; ",""))</f>
        <v/>
      </c>
    </row>
    <row r="1474" customFormat="false" ht="15" hidden="false" customHeight="false" outlineLevel="0" collapsed="false">
      <c r="A1474" s="11"/>
      <c r="B1474" s="38"/>
      <c r="D1474" s="10"/>
      <c r="G1474" s="30" t="str">
        <f aca="false">IF($C1474="","",IFERROR(IF(INDEX(links!$A$2:$A$501,MATCH($C1474,links!$D$2:$D$501,0))="","",INDEX(links!$A$2:$A$501,MATCH($C1474,links!$D$2:$D$501,0))),""))</f>
        <v/>
      </c>
      <c r="H1474" s="30" t="str">
        <f aca="false">IF($C1474="","",IFERROR(IF(INDEX(links!$B$2:$B$501,MATCH($C1474,links!$D$2:$D$501,0))="","",INDEX(links!$B$2:$B$501,MATCH($C1474,links!$D$2:$D$501,0))),""))</f>
        <v/>
      </c>
      <c r="I1474" s="30" t="str">
        <f aca="false">IF($C1474="","",IFERROR(IF(INDEX(links!$C$2:$C$501,MATCH($C1474,links!$D$2:$D$501,0))="","",INDEX(links!$C$2:$C$501,MATCH($C1474,links!$D$2:$D$501,0))),""))</f>
        <v/>
      </c>
      <c r="J1474" s="30" t="str">
        <f aca="false">IF($C1474="","",IF($G1474="","slug not in links; ","")&amp;IF($D1474="","reading type missing; ","")&amp;IF(COUNTIFS(scans!$C$2:$C$1601,$C1474,scans!$D$2:$D$1601,$D1474)&gt;1,"two readings of this type: keep one; ",""))</f>
        <v/>
      </c>
    </row>
    <row r="1475" customFormat="false" ht="15" hidden="false" customHeight="false" outlineLevel="0" collapsed="false">
      <c r="A1475" s="11"/>
      <c r="B1475" s="38"/>
      <c r="D1475" s="10"/>
      <c r="G1475" s="30" t="str">
        <f aca="false">IF($C1475="","",IFERROR(IF(INDEX(links!$A$2:$A$501,MATCH($C1475,links!$D$2:$D$501,0))="","",INDEX(links!$A$2:$A$501,MATCH($C1475,links!$D$2:$D$501,0))),""))</f>
        <v/>
      </c>
      <c r="H1475" s="30" t="str">
        <f aca="false">IF($C1475="","",IFERROR(IF(INDEX(links!$B$2:$B$501,MATCH($C1475,links!$D$2:$D$501,0))="","",INDEX(links!$B$2:$B$501,MATCH($C1475,links!$D$2:$D$501,0))),""))</f>
        <v/>
      </c>
      <c r="I1475" s="30" t="str">
        <f aca="false">IF($C1475="","",IFERROR(IF(INDEX(links!$C$2:$C$501,MATCH($C1475,links!$D$2:$D$501,0))="","",INDEX(links!$C$2:$C$501,MATCH($C1475,links!$D$2:$D$501,0))),""))</f>
        <v/>
      </c>
      <c r="J1475" s="30" t="str">
        <f aca="false">IF($C1475="","",IF($G1475="","slug not in links; ","")&amp;IF($D1475="","reading type missing; ","")&amp;IF(COUNTIFS(scans!$C$2:$C$1601,$C1475,scans!$D$2:$D$1601,$D1475)&gt;1,"two readings of this type: keep one; ",""))</f>
        <v/>
      </c>
    </row>
    <row r="1476" customFormat="false" ht="15" hidden="false" customHeight="false" outlineLevel="0" collapsed="false">
      <c r="A1476" s="11"/>
      <c r="B1476" s="38"/>
      <c r="D1476" s="10"/>
      <c r="G1476" s="30" t="str">
        <f aca="false">IF($C1476="","",IFERROR(IF(INDEX(links!$A$2:$A$501,MATCH($C1476,links!$D$2:$D$501,0))="","",INDEX(links!$A$2:$A$501,MATCH($C1476,links!$D$2:$D$501,0))),""))</f>
        <v/>
      </c>
      <c r="H1476" s="30" t="str">
        <f aca="false">IF($C1476="","",IFERROR(IF(INDEX(links!$B$2:$B$501,MATCH($C1476,links!$D$2:$D$501,0))="","",INDEX(links!$B$2:$B$501,MATCH($C1476,links!$D$2:$D$501,0))),""))</f>
        <v/>
      </c>
      <c r="I1476" s="30" t="str">
        <f aca="false">IF($C1476="","",IFERROR(IF(INDEX(links!$C$2:$C$501,MATCH($C1476,links!$D$2:$D$501,0))="","",INDEX(links!$C$2:$C$501,MATCH($C1476,links!$D$2:$D$501,0))),""))</f>
        <v/>
      </c>
      <c r="J1476" s="30" t="str">
        <f aca="false">IF($C1476="","",IF($G1476="","slug not in links; ","")&amp;IF($D1476="","reading type missing; ","")&amp;IF(COUNTIFS(scans!$C$2:$C$1601,$C1476,scans!$D$2:$D$1601,$D1476)&gt;1,"two readings of this type: keep one; ",""))</f>
        <v/>
      </c>
    </row>
    <row r="1477" customFormat="false" ht="15" hidden="false" customHeight="false" outlineLevel="0" collapsed="false">
      <c r="A1477" s="11"/>
      <c r="B1477" s="38"/>
      <c r="D1477" s="10"/>
      <c r="G1477" s="30" t="str">
        <f aca="false">IF($C1477="","",IFERROR(IF(INDEX(links!$A$2:$A$501,MATCH($C1477,links!$D$2:$D$501,0))="","",INDEX(links!$A$2:$A$501,MATCH($C1477,links!$D$2:$D$501,0))),""))</f>
        <v/>
      </c>
      <c r="H1477" s="30" t="str">
        <f aca="false">IF($C1477="","",IFERROR(IF(INDEX(links!$B$2:$B$501,MATCH($C1477,links!$D$2:$D$501,0))="","",INDEX(links!$B$2:$B$501,MATCH($C1477,links!$D$2:$D$501,0))),""))</f>
        <v/>
      </c>
      <c r="I1477" s="30" t="str">
        <f aca="false">IF($C1477="","",IFERROR(IF(INDEX(links!$C$2:$C$501,MATCH($C1477,links!$D$2:$D$501,0))="","",INDEX(links!$C$2:$C$501,MATCH($C1477,links!$D$2:$D$501,0))),""))</f>
        <v/>
      </c>
      <c r="J1477" s="30" t="str">
        <f aca="false">IF($C1477="","",IF($G1477="","slug not in links; ","")&amp;IF($D1477="","reading type missing; ","")&amp;IF(COUNTIFS(scans!$C$2:$C$1601,$C1477,scans!$D$2:$D$1601,$D1477)&gt;1,"two readings of this type: keep one; ",""))</f>
        <v/>
      </c>
    </row>
    <row r="1478" customFormat="false" ht="15" hidden="false" customHeight="false" outlineLevel="0" collapsed="false">
      <c r="A1478" s="11"/>
      <c r="B1478" s="38"/>
      <c r="D1478" s="10"/>
      <c r="G1478" s="30" t="str">
        <f aca="false">IF($C1478="","",IFERROR(IF(INDEX(links!$A$2:$A$501,MATCH($C1478,links!$D$2:$D$501,0))="","",INDEX(links!$A$2:$A$501,MATCH($C1478,links!$D$2:$D$501,0))),""))</f>
        <v/>
      </c>
      <c r="H1478" s="30" t="str">
        <f aca="false">IF($C1478="","",IFERROR(IF(INDEX(links!$B$2:$B$501,MATCH($C1478,links!$D$2:$D$501,0))="","",INDEX(links!$B$2:$B$501,MATCH($C1478,links!$D$2:$D$501,0))),""))</f>
        <v/>
      </c>
      <c r="I1478" s="30" t="str">
        <f aca="false">IF($C1478="","",IFERROR(IF(INDEX(links!$C$2:$C$501,MATCH($C1478,links!$D$2:$D$501,0))="","",INDEX(links!$C$2:$C$501,MATCH($C1478,links!$D$2:$D$501,0))),""))</f>
        <v/>
      </c>
      <c r="J1478" s="30" t="str">
        <f aca="false">IF($C1478="","",IF($G1478="","slug not in links; ","")&amp;IF($D1478="","reading type missing; ","")&amp;IF(COUNTIFS(scans!$C$2:$C$1601,$C1478,scans!$D$2:$D$1601,$D1478)&gt;1,"two readings of this type: keep one; ",""))</f>
        <v/>
      </c>
    </row>
    <row r="1479" customFormat="false" ht="15" hidden="false" customHeight="false" outlineLevel="0" collapsed="false">
      <c r="A1479" s="11"/>
      <c r="B1479" s="38"/>
      <c r="D1479" s="10"/>
      <c r="G1479" s="30" t="str">
        <f aca="false">IF($C1479="","",IFERROR(IF(INDEX(links!$A$2:$A$501,MATCH($C1479,links!$D$2:$D$501,0))="","",INDEX(links!$A$2:$A$501,MATCH($C1479,links!$D$2:$D$501,0))),""))</f>
        <v/>
      </c>
      <c r="H1479" s="30" t="str">
        <f aca="false">IF($C1479="","",IFERROR(IF(INDEX(links!$B$2:$B$501,MATCH($C1479,links!$D$2:$D$501,0))="","",INDEX(links!$B$2:$B$501,MATCH($C1479,links!$D$2:$D$501,0))),""))</f>
        <v/>
      </c>
      <c r="I1479" s="30" t="str">
        <f aca="false">IF($C1479="","",IFERROR(IF(INDEX(links!$C$2:$C$501,MATCH($C1479,links!$D$2:$D$501,0))="","",INDEX(links!$C$2:$C$501,MATCH($C1479,links!$D$2:$D$501,0))),""))</f>
        <v/>
      </c>
      <c r="J1479" s="30" t="str">
        <f aca="false">IF($C1479="","",IF($G1479="","slug not in links; ","")&amp;IF($D1479="","reading type missing; ","")&amp;IF(COUNTIFS(scans!$C$2:$C$1601,$C1479,scans!$D$2:$D$1601,$D1479)&gt;1,"two readings of this type: keep one; ",""))</f>
        <v/>
      </c>
    </row>
    <row r="1480" customFormat="false" ht="15" hidden="false" customHeight="false" outlineLevel="0" collapsed="false">
      <c r="A1480" s="11"/>
      <c r="B1480" s="38"/>
      <c r="D1480" s="10"/>
      <c r="G1480" s="30" t="str">
        <f aca="false">IF($C1480="","",IFERROR(IF(INDEX(links!$A$2:$A$501,MATCH($C1480,links!$D$2:$D$501,0))="","",INDEX(links!$A$2:$A$501,MATCH($C1480,links!$D$2:$D$501,0))),""))</f>
        <v/>
      </c>
      <c r="H1480" s="30" t="str">
        <f aca="false">IF($C1480="","",IFERROR(IF(INDEX(links!$B$2:$B$501,MATCH($C1480,links!$D$2:$D$501,0))="","",INDEX(links!$B$2:$B$501,MATCH($C1480,links!$D$2:$D$501,0))),""))</f>
        <v/>
      </c>
      <c r="I1480" s="30" t="str">
        <f aca="false">IF($C1480="","",IFERROR(IF(INDEX(links!$C$2:$C$501,MATCH($C1480,links!$D$2:$D$501,0))="","",INDEX(links!$C$2:$C$501,MATCH($C1480,links!$D$2:$D$501,0))),""))</f>
        <v/>
      </c>
      <c r="J1480" s="30" t="str">
        <f aca="false">IF($C1480="","",IF($G1480="","slug not in links; ","")&amp;IF($D1480="","reading type missing; ","")&amp;IF(COUNTIFS(scans!$C$2:$C$1601,$C1480,scans!$D$2:$D$1601,$D1480)&gt;1,"two readings of this type: keep one; ",""))</f>
        <v/>
      </c>
    </row>
    <row r="1481" customFormat="false" ht="15" hidden="false" customHeight="false" outlineLevel="0" collapsed="false">
      <c r="A1481" s="11"/>
      <c r="B1481" s="38"/>
      <c r="D1481" s="10"/>
      <c r="G1481" s="30" t="str">
        <f aca="false">IF($C1481="","",IFERROR(IF(INDEX(links!$A$2:$A$501,MATCH($C1481,links!$D$2:$D$501,0))="","",INDEX(links!$A$2:$A$501,MATCH($C1481,links!$D$2:$D$501,0))),""))</f>
        <v/>
      </c>
      <c r="H1481" s="30" t="str">
        <f aca="false">IF($C1481="","",IFERROR(IF(INDEX(links!$B$2:$B$501,MATCH($C1481,links!$D$2:$D$501,0))="","",INDEX(links!$B$2:$B$501,MATCH($C1481,links!$D$2:$D$501,0))),""))</f>
        <v/>
      </c>
      <c r="I1481" s="30" t="str">
        <f aca="false">IF($C1481="","",IFERROR(IF(INDEX(links!$C$2:$C$501,MATCH($C1481,links!$D$2:$D$501,0))="","",INDEX(links!$C$2:$C$501,MATCH($C1481,links!$D$2:$D$501,0))),""))</f>
        <v/>
      </c>
      <c r="J1481" s="30" t="str">
        <f aca="false">IF($C1481="","",IF($G1481="","slug not in links; ","")&amp;IF($D1481="","reading type missing; ","")&amp;IF(COUNTIFS(scans!$C$2:$C$1601,$C1481,scans!$D$2:$D$1601,$D1481)&gt;1,"two readings of this type: keep one; ",""))</f>
        <v/>
      </c>
    </row>
    <row r="1482" customFormat="false" ht="15" hidden="false" customHeight="false" outlineLevel="0" collapsed="false">
      <c r="A1482" s="11"/>
      <c r="B1482" s="38"/>
      <c r="D1482" s="10"/>
      <c r="G1482" s="30" t="str">
        <f aca="false">IF($C1482="","",IFERROR(IF(INDEX(links!$A$2:$A$501,MATCH($C1482,links!$D$2:$D$501,0))="","",INDEX(links!$A$2:$A$501,MATCH($C1482,links!$D$2:$D$501,0))),""))</f>
        <v/>
      </c>
      <c r="H1482" s="30" t="str">
        <f aca="false">IF($C1482="","",IFERROR(IF(INDEX(links!$B$2:$B$501,MATCH($C1482,links!$D$2:$D$501,0))="","",INDEX(links!$B$2:$B$501,MATCH($C1482,links!$D$2:$D$501,0))),""))</f>
        <v/>
      </c>
      <c r="I1482" s="30" t="str">
        <f aca="false">IF($C1482="","",IFERROR(IF(INDEX(links!$C$2:$C$501,MATCH($C1482,links!$D$2:$D$501,0))="","",INDEX(links!$C$2:$C$501,MATCH($C1482,links!$D$2:$D$501,0))),""))</f>
        <v/>
      </c>
      <c r="J1482" s="30" t="str">
        <f aca="false">IF($C1482="","",IF($G1482="","slug not in links; ","")&amp;IF($D1482="","reading type missing; ","")&amp;IF(COUNTIFS(scans!$C$2:$C$1601,$C1482,scans!$D$2:$D$1601,$D1482)&gt;1,"two readings of this type: keep one; ",""))</f>
        <v/>
      </c>
    </row>
    <row r="1483" customFormat="false" ht="15" hidden="false" customHeight="false" outlineLevel="0" collapsed="false">
      <c r="A1483" s="11"/>
      <c r="B1483" s="38"/>
      <c r="D1483" s="10"/>
      <c r="G1483" s="30" t="str">
        <f aca="false">IF($C1483="","",IFERROR(IF(INDEX(links!$A$2:$A$501,MATCH($C1483,links!$D$2:$D$501,0))="","",INDEX(links!$A$2:$A$501,MATCH($C1483,links!$D$2:$D$501,0))),""))</f>
        <v/>
      </c>
      <c r="H1483" s="30" t="str">
        <f aca="false">IF($C1483="","",IFERROR(IF(INDEX(links!$B$2:$B$501,MATCH($C1483,links!$D$2:$D$501,0))="","",INDEX(links!$B$2:$B$501,MATCH($C1483,links!$D$2:$D$501,0))),""))</f>
        <v/>
      </c>
      <c r="I1483" s="30" t="str">
        <f aca="false">IF($C1483="","",IFERROR(IF(INDEX(links!$C$2:$C$501,MATCH($C1483,links!$D$2:$D$501,0))="","",INDEX(links!$C$2:$C$501,MATCH($C1483,links!$D$2:$D$501,0))),""))</f>
        <v/>
      </c>
      <c r="J1483" s="30" t="str">
        <f aca="false">IF($C1483="","",IF($G1483="","slug not in links; ","")&amp;IF($D1483="","reading type missing; ","")&amp;IF(COUNTIFS(scans!$C$2:$C$1601,$C1483,scans!$D$2:$D$1601,$D1483)&gt;1,"two readings of this type: keep one; ",""))</f>
        <v/>
      </c>
    </row>
    <row r="1484" customFormat="false" ht="15" hidden="false" customHeight="false" outlineLevel="0" collapsed="false">
      <c r="A1484" s="11"/>
      <c r="B1484" s="38"/>
      <c r="D1484" s="10"/>
      <c r="G1484" s="30" t="str">
        <f aca="false">IF($C1484="","",IFERROR(IF(INDEX(links!$A$2:$A$501,MATCH($C1484,links!$D$2:$D$501,0))="","",INDEX(links!$A$2:$A$501,MATCH($C1484,links!$D$2:$D$501,0))),""))</f>
        <v/>
      </c>
      <c r="H1484" s="30" t="str">
        <f aca="false">IF($C1484="","",IFERROR(IF(INDEX(links!$B$2:$B$501,MATCH($C1484,links!$D$2:$D$501,0))="","",INDEX(links!$B$2:$B$501,MATCH($C1484,links!$D$2:$D$501,0))),""))</f>
        <v/>
      </c>
      <c r="I1484" s="30" t="str">
        <f aca="false">IF($C1484="","",IFERROR(IF(INDEX(links!$C$2:$C$501,MATCH($C1484,links!$D$2:$D$501,0))="","",INDEX(links!$C$2:$C$501,MATCH($C1484,links!$D$2:$D$501,0))),""))</f>
        <v/>
      </c>
      <c r="J1484" s="30" t="str">
        <f aca="false">IF($C1484="","",IF($G1484="","slug not in links; ","")&amp;IF($D1484="","reading type missing; ","")&amp;IF(COUNTIFS(scans!$C$2:$C$1601,$C1484,scans!$D$2:$D$1601,$D1484)&gt;1,"two readings of this type: keep one; ",""))</f>
        <v/>
      </c>
    </row>
    <row r="1485" customFormat="false" ht="15" hidden="false" customHeight="false" outlineLevel="0" collapsed="false">
      <c r="A1485" s="11"/>
      <c r="B1485" s="38"/>
      <c r="D1485" s="10"/>
      <c r="G1485" s="30" t="str">
        <f aca="false">IF($C1485="","",IFERROR(IF(INDEX(links!$A$2:$A$501,MATCH($C1485,links!$D$2:$D$501,0))="","",INDEX(links!$A$2:$A$501,MATCH($C1485,links!$D$2:$D$501,0))),""))</f>
        <v/>
      </c>
      <c r="H1485" s="30" t="str">
        <f aca="false">IF($C1485="","",IFERROR(IF(INDEX(links!$B$2:$B$501,MATCH($C1485,links!$D$2:$D$501,0))="","",INDEX(links!$B$2:$B$501,MATCH($C1485,links!$D$2:$D$501,0))),""))</f>
        <v/>
      </c>
      <c r="I1485" s="30" t="str">
        <f aca="false">IF($C1485="","",IFERROR(IF(INDEX(links!$C$2:$C$501,MATCH($C1485,links!$D$2:$D$501,0))="","",INDEX(links!$C$2:$C$501,MATCH($C1485,links!$D$2:$D$501,0))),""))</f>
        <v/>
      </c>
      <c r="J1485" s="30" t="str">
        <f aca="false">IF($C1485="","",IF($G1485="","slug not in links; ","")&amp;IF($D1485="","reading type missing; ","")&amp;IF(COUNTIFS(scans!$C$2:$C$1601,$C1485,scans!$D$2:$D$1601,$D1485)&gt;1,"two readings of this type: keep one; ",""))</f>
        <v/>
      </c>
    </row>
    <row r="1486" customFormat="false" ht="15" hidden="false" customHeight="false" outlineLevel="0" collapsed="false">
      <c r="A1486" s="11"/>
      <c r="B1486" s="38"/>
      <c r="D1486" s="10"/>
      <c r="G1486" s="30" t="str">
        <f aca="false">IF($C1486="","",IFERROR(IF(INDEX(links!$A$2:$A$501,MATCH($C1486,links!$D$2:$D$501,0))="","",INDEX(links!$A$2:$A$501,MATCH($C1486,links!$D$2:$D$501,0))),""))</f>
        <v/>
      </c>
      <c r="H1486" s="30" t="str">
        <f aca="false">IF($C1486="","",IFERROR(IF(INDEX(links!$B$2:$B$501,MATCH($C1486,links!$D$2:$D$501,0))="","",INDEX(links!$B$2:$B$501,MATCH($C1486,links!$D$2:$D$501,0))),""))</f>
        <v/>
      </c>
      <c r="I1486" s="30" t="str">
        <f aca="false">IF($C1486="","",IFERROR(IF(INDEX(links!$C$2:$C$501,MATCH($C1486,links!$D$2:$D$501,0))="","",INDEX(links!$C$2:$C$501,MATCH($C1486,links!$D$2:$D$501,0))),""))</f>
        <v/>
      </c>
      <c r="J1486" s="30" t="str">
        <f aca="false">IF($C1486="","",IF($G1486="","slug not in links; ","")&amp;IF($D1486="","reading type missing; ","")&amp;IF(COUNTIFS(scans!$C$2:$C$1601,$C1486,scans!$D$2:$D$1601,$D1486)&gt;1,"two readings of this type: keep one; ",""))</f>
        <v/>
      </c>
    </row>
    <row r="1487" customFormat="false" ht="15" hidden="false" customHeight="false" outlineLevel="0" collapsed="false">
      <c r="A1487" s="11"/>
      <c r="B1487" s="38"/>
      <c r="D1487" s="10"/>
      <c r="G1487" s="30" t="str">
        <f aca="false">IF($C1487="","",IFERROR(IF(INDEX(links!$A$2:$A$501,MATCH($C1487,links!$D$2:$D$501,0))="","",INDEX(links!$A$2:$A$501,MATCH($C1487,links!$D$2:$D$501,0))),""))</f>
        <v/>
      </c>
      <c r="H1487" s="30" t="str">
        <f aca="false">IF($C1487="","",IFERROR(IF(INDEX(links!$B$2:$B$501,MATCH($C1487,links!$D$2:$D$501,0))="","",INDEX(links!$B$2:$B$501,MATCH($C1487,links!$D$2:$D$501,0))),""))</f>
        <v/>
      </c>
      <c r="I1487" s="30" t="str">
        <f aca="false">IF($C1487="","",IFERROR(IF(INDEX(links!$C$2:$C$501,MATCH($C1487,links!$D$2:$D$501,0))="","",INDEX(links!$C$2:$C$501,MATCH($C1487,links!$D$2:$D$501,0))),""))</f>
        <v/>
      </c>
      <c r="J1487" s="30" t="str">
        <f aca="false">IF($C1487="","",IF($G1487="","slug not in links; ","")&amp;IF($D1487="","reading type missing; ","")&amp;IF(COUNTIFS(scans!$C$2:$C$1601,$C1487,scans!$D$2:$D$1601,$D1487)&gt;1,"two readings of this type: keep one; ",""))</f>
        <v/>
      </c>
    </row>
    <row r="1488" customFormat="false" ht="15" hidden="false" customHeight="false" outlineLevel="0" collapsed="false">
      <c r="A1488" s="11"/>
      <c r="B1488" s="38"/>
      <c r="D1488" s="10"/>
      <c r="G1488" s="30" t="str">
        <f aca="false">IF($C1488="","",IFERROR(IF(INDEX(links!$A$2:$A$501,MATCH($C1488,links!$D$2:$D$501,0))="","",INDEX(links!$A$2:$A$501,MATCH($C1488,links!$D$2:$D$501,0))),""))</f>
        <v/>
      </c>
      <c r="H1488" s="30" t="str">
        <f aca="false">IF($C1488="","",IFERROR(IF(INDEX(links!$B$2:$B$501,MATCH($C1488,links!$D$2:$D$501,0))="","",INDEX(links!$B$2:$B$501,MATCH($C1488,links!$D$2:$D$501,0))),""))</f>
        <v/>
      </c>
      <c r="I1488" s="30" t="str">
        <f aca="false">IF($C1488="","",IFERROR(IF(INDEX(links!$C$2:$C$501,MATCH($C1488,links!$D$2:$D$501,0))="","",INDEX(links!$C$2:$C$501,MATCH($C1488,links!$D$2:$D$501,0))),""))</f>
        <v/>
      </c>
      <c r="J1488" s="30" t="str">
        <f aca="false">IF($C1488="","",IF($G1488="","slug not in links; ","")&amp;IF($D1488="","reading type missing; ","")&amp;IF(COUNTIFS(scans!$C$2:$C$1601,$C1488,scans!$D$2:$D$1601,$D1488)&gt;1,"two readings of this type: keep one; ",""))</f>
        <v/>
      </c>
    </row>
    <row r="1489" customFormat="false" ht="15" hidden="false" customHeight="false" outlineLevel="0" collapsed="false">
      <c r="A1489" s="11"/>
      <c r="B1489" s="38"/>
      <c r="D1489" s="10"/>
      <c r="G1489" s="30" t="str">
        <f aca="false">IF($C1489="","",IFERROR(IF(INDEX(links!$A$2:$A$501,MATCH($C1489,links!$D$2:$D$501,0))="","",INDEX(links!$A$2:$A$501,MATCH($C1489,links!$D$2:$D$501,0))),""))</f>
        <v/>
      </c>
      <c r="H1489" s="30" t="str">
        <f aca="false">IF($C1489="","",IFERROR(IF(INDEX(links!$B$2:$B$501,MATCH($C1489,links!$D$2:$D$501,0))="","",INDEX(links!$B$2:$B$501,MATCH($C1489,links!$D$2:$D$501,0))),""))</f>
        <v/>
      </c>
      <c r="I1489" s="30" t="str">
        <f aca="false">IF($C1489="","",IFERROR(IF(INDEX(links!$C$2:$C$501,MATCH($C1489,links!$D$2:$D$501,0))="","",INDEX(links!$C$2:$C$501,MATCH($C1489,links!$D$2:$D$501,0))),""))</f>
        <v/>
      </c>
      <c r="J1489" s="30" t="str">
        <f aca="false">IF($C1489="","",IF($G1489="","slug not in links; ","")&amp;IF($D1489="","reading type missing; ","")&amp;IF(COUNTIFS(scans!$C$2:$C$1601,$C1489,scans!$D$2:$D$1601,$D1489)&gt;1,"two readings of this type: keep one; ",""))</f>
        <v/>
      </c>
    </row>
    <row r="1490" customFormat="false" ht="15" hidden="false" customHeight="false" outlineLevel="0" collapsed="false">
      <c r="A1490" s="11"/>
      <c r="B1490" s="38"/>
      <c r="D1490" s="10"/>
      <c r="G1490" s="30" t="str">
        <f aca="false">IF($C1490="","",IFERROR(IF(INDEX(links!$A$2:$A$501,MATCH($C1490,links!$D$2:$D$501,0))="","",INDEX(links!$A$2:$A$501,MATCH($C1490,links!$D$2:$D$501,0))),""))</f>
        <v/>
      </c>
      <c r="H1490" s="30" t="str">
        <f aca="false">IF($C1490="","",IFERROR(IF(INDEX(links!$B$2:$B$501,MATCH($C1490,links!$D$2:$D$501,0))="","",INDEX(links!$B$2:$B$501,MATCH($C1490,links!$D$2:$D$501,0))),""))</f>
        <v/>
      </c>
      <c r="I1490" s="30" t="str">
        <f aca="false">IF($C1490="","",IFERROR(IF(INDEX(links!$C$2:$C$501,MATCH($C1490,links!$D$2:$D$501,0))="","",INDEX(links!$C$2:$C$501,MATCH($C1490,links!$D$2:$D$501,0))),""))</f>
        <v/>
      </c>
      <c r="J1490" s="30" t="str">
        <f aca="false">IF($C1490="","",IF($G1490="","slug not in links; ","")&amp;IF($D1490="","reading type missing; ","")&amp;IF(COUNTIFS(scans!$C$2:$C$1601,$C1490,scans!$D$2:$D$1601,$D1490)&gt;1,"two readings of this type: keep one; ",""))</f>
        <v/>
      </c>
    </row>
    <row r="1491" customFormat="false" ht="15" hidden="false" customHeight="false" outlineLevel="0" collapsed="false">
      <c r="A1491" s="11"/>
      <c r="B1491" s="38"/>
      <c r="D1491" s="10"/>
      <c r="G1491" s="30" t="str">
        <f aca="false">IF($C1491="","",IFERROR(IF(INDEX(links!$A$2:$A$501,MATCH($C1491,links!$D$2:$D$501,0))="","",INDEX(links!$A$2:$A$501,MATCH($C1491,links!$D$2:$D$501,0))),""))</f>
        <v/>
      </c>
      <c r="H1491" s="30" t="str">
        <f aca="false">IF($C1491="","",IFERROR(IF(INDEX(links!$B$2:$B$501,MATCH($C1491,links!$D$2:$D$501,0))="","",INDEX(links!$B$2:$B$501,MATCH($C1491,links!$D$2:$D$501,0))),""))</f>
        <v/>
      </c>
      <c r="I1491" s="30" t="str">
        <f aca="false">IF($C1491="","",IFERROR(IF(INDEX(links!$C$2:$C$501,MATCH($C1491,links!$D$2:$D$501,0))="","",INDEX(links!$C$2:$C$501,MATCH($C1491,links!$D$2:$D$501,0))),""))</f>
        <v/>
      </c>
      <c r="J1491" s="30" t="str">
        <f aca="false">IF($C1491="","",IF($G1491="","slug not in links; ","")&amp;IF($D1491="","reading type missing; ","")&amp;IF(COUNTIFS(scans!$C$2:$C$1601,$C1491,scans!$D$2:$D$1601,$D1491)&gt;1,"two readings of this type: keep one; ",""))</f>
        <v/>
      </c>
    </row>
    <row r="1492" customFormat="false" ht="15" hidden="false" customHeight="false" outlineLevel="0" collapsed="false">
      <c r="A1492" s="11"/>
      <c r="B1492" s="38"/>
      <c r="D1492" s="10"/>
      <c r="G1492" s="30" t="str">
        <f aca="false">IF($C1492="","",IFERROR(IF(INDEX(links!$A$2:$A$501,MATCH($C1492,links!$D$2:$D$501,0))="","",INDEX(links!$A$2:$A$501,MATCH($C1492,links!$D$2:$D$501,0))),""))</f>
        <v/>
      </c>
      <c r="H1492" s="30" t="str">
        <f aca="false">IF($C1492="","",IFERROR(IF(INDEX(links!$B$2:$B$501,MATCH($C1492,links!$D$2:$D$501,0))="","",INDEX(links!$B$2:$B$501,MATCH($C1492,links!$D$2:$D$501,0))),""))</f>
        <v/>
      </c>
      <c r="I1492" s="30" t="str">
        <f aca="false">IF($C1492="","",IFERROR(IF(INDEX(links!$C$2:$C$501,MATCH($C1492,links!$D$2:$D$501,0))="","",INDEX(links!$C$2:$C$501,MATCH($C1492,links!$D$2:$D$501,0))),""))</f>
        <v/>
      </c>
      <c r="J1492" s="30" t="str">
        <f aca="false">IF($C1492="","",IF($G1492="","slug not in links; ","")&amp;IF($D1492="","reading type missing; ","")&amp;IF(COUNTIFS(scans!$C$2:$C$1601,$C1492,scans!$D$2:$D$1601,$D1492)&gt;1,"two readings of this type: keep one; ",""))</f>
        <v/>
      </c>
    </row>
    <row r="1493" customFormat="false" ht="15" hidden="false" customHeight="false" outlineLevel="0" collapsed="false">
      <c r="A1493" s="11"/>
      <c r="B1493" s="38"/>
      <c r="D1493" s="10"/>
      <c r="G1493" s="30" t="str">
        <f aca="false">IF($C1493="","",IFERROR(IF(INDEX(links!$A$2:$A$501,MATCH($C1493,links!$D$2:$D$501,0))="","",INDEX(links!$A$2:$A$501,MATCH($C1493,links!$D$2:$D$501,0))),""))</f>
        <v/>
      </c>
      <c r="H1493" s="30" t="str">
        <f aca="false">IF($C1493="","",IFERROR(IF(INDEX(links!$B$2:$B$501,MATCH($C1493,links!$D$2:$D$501,0))="","",INDEX(links!$B$2:$B$501,MATCH($C1493,links!$D$2:$D$501,0))),""))</f>
        <v/>
      </c>
      <c r="I1493" s="30" t="str">
        <f aca="false">IF($C1493="","",IFERROR(IF(INDEX(links!$C$2:$C$501,MATCH($C1493,links!$D$2:$D$501,0))="","",INDEX(links!$C$2:$C$501,MATCH($C1493,links!$D$2:$D$501,0))),""))</f>
        <v/>
      </c>
      <c r="J1493" s="30" t="str">
        <f aca="false">IF($C1493="","",IF($G1493="","slug not in links; ","")&amp;IF($D1493="","reading type missing; ","")&amp;IF(COUNTIFS(scans!$C$2:$C$1601,$C1493,scans!$D$2:$D$1601,$D1493)&gt;1,"two readings of this type: keep one; ",""))</f>
        <v/>
      </c>
    </row>
    <row r="1494" customFormat="false" ht="15" hidden="false" customHeight="false" outlineLevel="0" collapsed="false">
      <c r="A1494" s="11"/>
      <c r="B1494" s="38"/>
      <c r="D1494" s="10"/>
      <c r="G1494" s="30" t="str">
        <f aca="false">IF($C1494="","",IFERROR(IF(INDEX(links!$A$2:$A$501,MATCH($C1494,links!$D$2:$D$501,0))="","",INDEX(links!$A$2:$A$501,MATCH($C1494,links!$D$2:$D$501,0))),""))</f>
        <v/>
      </c>
      <c r="H1494" s="30" t="str">
        <f aca="false">IF($C1494="","",IFERROR(IF(INDEX(links!$B$2:$B$501,MATCH($C1494,links!$D$2:$D$501,0))="","",INDEX(links!$B$2:$B$501,MATCH($C1494,links!$D$2:$D$501,0))),""))</f>
        <v/>
      </c>
      <c r="I1494" s="30" t="str">
        <f aca="false">IF($C1494="","",IFERROR(IF(INDEX(links!$C$2:$C$501,MATCH($C1494,links!$D$2:$D$501,0))="","",INDEX(links!$C$2:$C$501,MATCH($C1494,links!$D$2:$D$501,0))),""))</f>
        <v/>
      </c>
      <c r="J1494" s="30" t="str">
        <f aca="false">IF($C1494="","",IF($G1494="","slug not in links; ","")&amp;IF($D1494="","reading type missing; ","")&amp;IF(COUNTIFS(scans!$C$2:$C$1601,$C1494,scans!$D$2:$D$1601,$D1494)&gt;1,"two readings of this type: keep one; ",""))</f>
        <v/>
      </c>
    </row>
    <row r="1495" customFormat="false" ht="15" hidden="false" customHeight="false" outlineLevel="0" collapsed="false">
      <c r="A1495" s="11"/>
      <c r="B1495" s="38"/>
      <c r="D1495" s="10"/>
      <c r="G1495" s="30" t="str">
        <f aca="false">IF($C1495="","",IFERROR(IF(INDEX(links!$A$2:$A$501,MATCH($C1495,links!$D$2:$D$501,0))="","",INDEX(links!$A$2:$A$501,MATCH($C1495,links!$D$2:$D$501,0))),""))</f>
        <v/>
      </c>
      <c r="H1495" s="30" t="str">
        <f aca="false">IF($C1495="","",IFERROR(IF(INDEX(links!$B$2:$B$501,MATCH($C1495,links!$D$2:$D$501,0))="","",INDEX(links!$B$2:$B$501,MATCH($C1495,links!$D$2:$D$501,0))),""))</f>
        <v/>
      </c>
      <c r="I1495" s="30" t="str">
        <f aca="false">IF($C1495="","",IFERROR(IF(INDEX(links!$C$2:$C$501,MATCH($C1495,links!$D$2:$D$501,0))="","",INDEX(links!$C$2:$C$501,MATCH($C1495,links!$D$2:$D$501,0))),""))</f>
        <v/>
      </c>
      <c r="J1495" s="30" t="str">
        <f aca="false">IF($C1495="","",IF($G1495="","slug not in links; ","")&amp;IF($D1495="","reading type missing; ","")&amp;IF(COUNTIFS(scans!$C$2:$C$1601,$C1495,scans!$D$2:$D$1601,$D1495)&gt;1,"two readings of this type: keep one; ",""))</f>
        <v/>
      </c>
    </row>
    <row r="1496" customFormat="false" ht="15" hidden="false" customHeight="false" outlineLevel="0" collapsed="false">
      <c r="A1496" s="11"/>
      <c r="B1496" s="38"/>
      <c r="D1496" s="10"/>
      <c r="G1496" s="30" t="str">
        <f aca="false">IF($C1496="","",IFERROR(IF(INDEX(links!$A$2:$A$501,MATCH($C1496,links!$D$2:$D$501,0))="","",INDEX(links!$A$2:$A$501,MATCH($C1496,links!$D$2:$D$501,0))),""))</f>
        <v/>
      </c>
      <c r="H1496" s="30" t="str">
        <f aca="false">IF($C1496="","",IFERROR(IF(INDEX(links!$B$2:$B$501,MATCH($C1496,links!$D$2:$D$501,0))="","",INDEX(links!$B$2:$B$501,MATCH($C1496,links!$D$2:$D$501,0))),""))</f>
        <v/>
      </c>
      <c r="I1496" s="30" t="str">
        <f aca="false">IF($C1496="","",IFERROR(IF(INDEX(links!$C$2:$C$501,MATCH($C1496,links!$D$2:$D$501,0))="","",INDEX(links!$C$2:$C$501,MATCH($C1496,links!$D$2:$D$501,0))),""))</f>
        <v/>
      </c>
      <c r="J1496" s="30" t="str">
        <f aca="false">IF($C1496="","",IF($G1496="","slug not in links; ","")&amp;IF($D1496="","reading type missing; ","")&amp;IF(COUNTIFS(scans!$C$2:$C$1601,$C1496,scans!$D$2:$D$1601,$D1496)&gt;1,"two readings of this type: keep one; ",""))</f>
        <v/>
      </c>
    </row>
    <row r="1497" customFormat="false" ht="15" hidden="false" customHeight="false" outlineLevel="0" collapsed="false">
      <c r="A1497" s="11"/>
      <c r="B1497" s="38"/>
      <c r="D1497" s="10"/>
      <c r="G1497" s="30" t="str">
        <f aca="false">IF($C1497="","",IFERROR(IF(INDEX(links!$A$2:$A$501,MATCH($C1497,links!$D$2:$D$501,0))="","",INDEX(links!$A$2:$A$501,MATCH($C1497,links!$D$2:$D$501,0))),""))</f>
        <v/>
      </c>
      <c r="H1497" s="30" t="str">
        <f aca="false">IF($C1497="","",IFERROR(IF(INDEX(links!$B$2:$B$501,MATCH($C1497,links!$D$2:$D$501,0))="","",INDEX(links!$B$2:$B$501,MATCH($C1497,links!$D$2:$D$501,0))),""))</f>
        <v/>
      </c>
      <c r="I1497" s="30" t="str">
        <f aca="false">IF($C1497="","",IFERROR(IF(INDEX(links!$C$2:$C$501,MATCH($C1497,links!$D$2:$D$501,0))="","",INDEX(links!$C$2:$C$501,MATCH($C1497,links!$D$2:$D$501,0))),""))</f>
        <v/>
      </c>
      <c r="J1497" s="30" t="str">
        <f aca="false">IF($C1497="","",IF($G1497="","slug not in links; ","")&amp;IF($D1497="","reading type missing; ","")&amp;IF(COUNTIFS(scans!$C$2:$C$1601,$C1497,scans!$D$2:$D$1601,$D1497)&gt;1,"two readings of this type: keep one; ",""))</f>
        <v/>
      </c>
    </row>
    <row r="1498" customFormat="false" ht="15" hidden="false" customHeight="false" outlineLevel="0" collapsed="false">
      <c r="A1498" s="11"/>
      <c r="B1498" s="38"/>
      <c r="D1498" s="10"/>
      <c r="G1498" s="30" t="str">
        <f aca="false">IF($C1498="","",IFERROR(IF(INDEX(links!$A$2:$A$501,MATCH($C1498,links!$D$2:$D$501,0))="","",INDEX(links!$A$2:$A$501,MATCH($C1498,links!$D$2:$D$501,0))),""))</f>
        <v/>
      </c>
      <c r="H1498" s="30" t="str">
        <f aca="false">IF($C1498="","",IFERROR(IF(INDEX(links!$B$2:$B$501,MATCH($C1498,links!$D$2:$D$501,0))="","",INDEX(links!$B$2:$B$501,MATCH($C1498,links!$D$2:$D$501,0))),""))</f>
        <v/>
      </c>
      <c r="I1498" s="30" t="str">
        <f aca="false">IF($C1498="","",IFERROR(IF(INDEX(links!$C$2:$C$501,MATCH($C1498,links!$D$2:$D$501,0))="","",INDEX(links!$C$2:$C$501,MATCH($C1498,links!$D$2:$D$501,0))),""))</f>
        <v/>
      </c>
      <c r="J1498" s="30" t="str">
        <f aca="false">IF($C1498="","",IF($G1498="","slug not in links; ","")&amp;IF($D1498="","reading type missing; ","")&amp;IF(COUNTIFS(scans!$C$2:$C$1601,$C1498,scans!$D$2:$D$1601,$D1498)&gt;1,"two readings of this type: keep one; ",""))</f>
        <v/>
      </c>
    </row>
    <row r="1499" customFormat="false" ht="15" hidden="false" customHeight="false" outlineLevel="0" collapsed="false">
      <c r="A1499" s="11"/>
      <c r="B1499" s="38"/>
      <c r="D1499" s="10"/>
      <c r="G1499" s="30" t="str">
        <f aca="false">IF($C1499="","",IFERROR(IF(INDEX(links!$A$2:$A$501,MATCH($C1499,links!$D$2:$D$501,0))="","",INDEX(links!$A$2:$A$501,MATCH($C1499,links!$D$2:$D$501,0))),""))</f>
        <v/>
      </c>
      <c r="H1499" s="30" t="str">
        <f aca="false">IF($C1499="","",IFERROR(IF(INDEX(links!$B$2:$B$501,MATCH($C1499,links!$D$2:$D$501,0))="","",INDEX(links!$B$2:$B$501,MATCH($C1499,links!$D$2:$D$501,0))),""))</f>
        <v/>
      </c>
      <c r="I1499" s="30" t="str">
        <f aca="false">IF($C1499="","",IFERROR(IF(INDEX(links!$C$2:$C$501,MATCH($C1499,links!$D$2:$D$501,0))="","",INDEX(links!$C$2:$C$501,MATCH($C1499,links!$D$2:$D$501,0))),""))</f>
        <v/>
      </c>
      <c r="J1499" s="30" t="str">
        <f aca="false">IF($C1499="","",IF($G1499="","slug not in links; ","")&amp;IF($D1499="","reading type missing; ","")&amp;IF(COUNTIFS(scans!$C$2:$C$1601,$C1499,scans!$D$2:$D$1601,$D1499)&gt;1,"two readings of this type: keep one; ",""))</f>
        <v/>
      </c>
    </row>
    <row r="1500" customFormat="false" ht="15" hidden="false" customHeight="false" outlineLevel="0" collapsed="false">
      <c r="A1500" s="11"/>
      <c r="B1500" s="38"/>
      <c r="D1500" s="10"/>
      <c r="G1500" s="30" t="str">
        <f aca="false">IF($C1500="","",IFERROR(IF(INDEX(links!$A$2:$A$501,MATCH($C1500,links!$D$2:$D$501,0))="","",INDEX(links!$A$2:$A$501,MATCH($C1500,links!$D$2:$D$501,0))),""))</f>
        <v/>
      </c>
      <c r="H1500" s="30" t="str">
        <f aca="false">IF($C1500="","",IFERROR(IF(INDEX(links!$B$2:$B$501,MATCH($C1500,links!$D$2:$D$501,0))="","",INDEX(links!$B$2:$B$501,MATCH($C1500,links!$D$2:$D$501,0))),""))</f>
        <v/>
      </c>
      <c r="I1500" s="30" t="str">
        <f aca="false">IF($C1500="","",IFERROR(IF(INDEX(links!$C$2:$C$501,MATCH($C1500,links!$D$2:$D$501,0))="","",INDEX(links!$C$2:$C$501,MATCH($C1500,links!$D$2:$D$501,0))),""))</f>
        <v/>
      </c>
      <c r="J1500" s="30" t="str">
        <f aca="false">IF($C1500="","",IF($G1500="","slug not in links; ","")&amp;IF($D1500="","reading type missing; ","")&amp;IF(COUNTIFS(scans!$C$2:$C$1601,$C1500,scans!$D$2:$D$1601,$D1500)&gt;1,"two readings of this type: keep one; ",""))</f>
        <v/>
      </c>
    </row>
    <row r="1501" customFormat="false" ht="15" hidden="false" customHeight="false" outlineLevel="0" collapsed="false">
      <c r="A1501" s="11"/>
      <c r="B1501" s="38"/>
      <c r="D1501" s="10"/>
      <c r="G1501" s="30" t="str">
        <f aca="false">IF($C1501="","",IFERROR(IF(INDEX(links!$A$2:$A$501,MATCH($C1501,links!$D$2:$D$501,0))="","",INDEX(links!$A$2:$A$501,MATCH($C1501,links!$D$2:$D$501,0))),""))</f>
        <v/>
      </c>
      <c r="H1501" s="30" t="str">
        <f aca="false">IF($C1501="","",IFERROR(IF(INDEX(links!$B$2:$B$501,MATCH($C1501,links!$D$2:$D$501,0))="","",INDEX(links!$B$2:$B$501,MATCH($C1501,links!$D$2:$D$501,0))),""))</f>
        <v/>
      </c>
      <c r="I1501" s="30" t="str">
        <f aca="false">IF($C1501="","",IFERROR(IF(INDEX(links!$C$2:$C$501,MATCH($C1501,links!$D$2:$D$501,0))="","",INDEX(links!$C$2:$C$501,MATCH($C1501,links!$D$2:$D$501,0))),""))</f>
        <v/>
      </c>
      <c r="J1501" s="30" t="str">
        <f aca="false">IF($C1501="","",IF($G1501="","slug not in links; ","")&amp;IF($D1501="","reading type missing; ","")&amp;IF(COUNTIFS(scans!$C$2:$C$1601,$C1501,scans!$D$2:$D$1601,$D1501)&gt;1,"two readings of this type: keep one; ",""))</f>
        <v/>
      </c>
    </row>
    <row r="1502" customFormat="false" ht="15" hidden="false" customHeight="false" outlineLevel="0" collapsed="false">
      <c r="A1502" s="11"/>
      <c r="B1502" s="38"/>
      <c r="D1502" s="10"/>
      <c r="G1502" s="30" t="str">
        <f aca="false">IF($C1502="","",IFERROR(IF(INDEX(links!$A$2:$A$501,MATCH($C1502,links!$D$2:$D$501,0))="","",INDEX(links!$A$2:$A$501,MATCH($C1502,links!$D$2:$D$501,0))),""))</f>
        <v/>
      </c>
      <c r="H1502" s="30" t="str">
        <f aca="false">IF($C1502="","",IFERROR(IF(INDEX(links!$B$2:$B$501,MATCH($C1502,links!$D$2:$D$501,0))="","",INDEX(links!$B$2:$B$501,MATCH($C1502,links!$D$2:$D$501,0))),""))</f>
        <v/>
      </c>
      <c r="I1502" s="30" t="str">
        <f aca="false">IF($C1502="","",IFERROR(IF(INDEX(links!$C$2:$C$501,MATCH($C1502,links!$D$2:$D$501,0))="","",INDEX(links!$C$2:$C$501,MATCH($C1502,links!$D$2:$D$501,0))),""))</f>
        <v/>
      </c>
      <c r="J1502" s="30" t="str">
        <f aca="false">IF($C1502="","",IF($G1502="","slug not in links; ","")&amp;IF($D1502="","reading type missing; ","")&amp;IF(COUNTIFS(scans!$C$2:$C$1601,$C1502,scans!$D$2:$D$1601,$D1502)&gt;1,"two readings of this type: keep one; ",""))</f>
        <v/>
      </c>
    </row>
    <row r="1503" customFormat="false" ht="15" hidden="false" customHeight="false" outlineLevel="0" collapsed="false">
      <c r="A1503" s="11"/>
      <c r="B1503" s="38"/>
      <c r="D1503" s="10"/>
      <c r="G1503" s="30" t="str">
        <f aca="false">IF($C1503="","",IFERROR(IF(INDEX(links!$A$2:$A$501,MATCH($C1503,links!$D$2:$D$501,0))="","",INDEX(links!$A$2:$A$501,MATCH($C1503,links!$D$2:$D$501,0))),""))</f>
        <v/>
      </c>
      <c r="H1503" s="30" t="str">
        <f aca="false">IF($C1503="","",IFERROR(IF(INDEX(links!$B$2:$B$501,MATCH($C1503,links!$D$2:$D$501,0))="","",INDEX(links!$B$2:$B$501,MATCH($C1503,links!$D$2:$D$501,0))),""))</f>
        <v/>
      </c>
      <c r="I1503" s="30" t="str">
        <f aca="false">IF($C1503="","",IFERROR(IF(INDEX(links!$C$2:$C$501,MATCH($C1503,links!$D$2:$D$501,0))="","",INDEX(links!$C$2:$C$501,MATCH($C1503,links!$D$2:$D$501,0))),""))</f>
        <v/>
      </c>
      <c r="J1503" s="30" t="str">
        <f aca="false">IF($C1503="","",IF($G1503="","slug not in links; ","")&amp;IF($D1503="","reading type missing; ","")&amp;IF(COUNTIFS(scans!$C$2:$C$1601,$C1503,scans!$D$2:$D$1601,$D1503)&gt;1,"two readings of this type: keep one; ",""))</f>
        <v/>
      </c>
    </row>
    <row r="1504" customFormat="false" ht="15" hidden="false" customHeight="false" outlineLevel="0" collapsed="false">
      <c r="A1504" s="11"/>
      <c r="B1504" s="38"/>
      <c r="D1504" s="10"/>
      <c r="G1504" s="30" t="str">
        <f aca="false">IF($C1504="","",IFERROR(IF(INDEX(links!$A$2:$A$501,MATCH($C1504,links!$D$2:$D$501,0))="","",INDEX(links!$A$2:$A$501,MATCH($C1504,links!$D$2:$D$501,0))),""))</f>
        <v/>
      </c>
      <c r="H1504" s="30" t="str">
        <f aca="false">IF($C1504="","",IFERROR(IF(INDEX(links!$B$2:$B$501,MATCH($C1504,links!$D$2:$D$501,0))="","",INDEX(links!$B$2:$B$501,MATCH($C1504,links!$D$2:$D$501,0))),""))</f>
        <v/>
      </c>
      <c r="I1504" s="30" t="str">
        <f aca="false">IF($C1504="","",IFERROR(IF(INDEX(links!$C$2:$C$501,MATCH($C1504,links!$D$2:$D$501,0))="","",INDEX(links!$C$2:$C$501,MATCH($C1504,links!$D$2:$D$501,0))),""))</f>
        <v/>
      </c>
      <c r="J1504" s="30" t="str">
        <f aca="false">IF($C1504="","",IF($G1504="","slug not in links; ","")&amp;IF($D1504="","reading type missing; ","")&amp;IF(COUNTIFS(scans!$C$2:$C$1601,$C1504,scans!$D$2:$D$1601,$D1504)&gt;1,"two readings of this type: keep one; ",""))</f>
        <v/>
      </c>
    </row>
    <row r="1505" customFormat="false" ht="15" hidden="false" customHeight="false" outlineLevel="0" collapsed="false">
      <c r="A1505" s="11"/>
      <c r="B1505" s="38"/>
      <c r="D1505" s="10"/>
      <c r="G1505" s="30" t="str">
        <f aca="false">IF($C1505="","",IFERROR(IF(INDEX(links!$A$2:$A$501,MATCH($C1505,links!$D$2:$D$501,0))="","",INDEX(links!$A$2:$A$501,MATCH($C1505,links!$D$2:$D$501,0))),""))</f>
        <v/>
      </c>
      <c r="H1505" s="30" t="str">
        <f aca="false">IF($C1505="","",IFERROR(IF(INDEX(links!$B$2:$B$501,MATCH($C1505,links!$D$2:$D$501,0))="","",INDEX(links!$B$2:$B$501,MATCH($C1505,links!$D$2:$D$501,0))),""))</f>
        <v/>
      </c>
      <c r="I1505" s="30" t="str">
        <f aca="false">IF($C1505="","",IFERROR(IF(INDEX(links!$C$2:$C$501,MATCH($C1505,links!$D$2:$D$501,0))="","",INDEX(links!$C$2:$C$501,MATCH($C1505,links!$D$2:$D$501,0))),""))</f>
        <v/>
      </c>
      <c r="J1505" s="30" t="str">
        <f aca="false">IF($C1505="","",IF($G1505="","slug not in links; ","")&amp;IF($D1505="","reading type missing; ","")&amp;IF(COUNTIFS(scans!$C$2:$C$1601,$C1505,scans!$D$2:$D$1601,$D1505)&gt;1,"two readings of this type: keep one; ",""))</f>
        <v/>
      </c>
    </row>
    <row r="1506" customFormat="false" ht="15" hidden="false" customHeight="false" outlineLevel="0" collapsed="false">
      <c r="A1506" s="11"/>
      <c r="B1506" s="38"/>
      <c r="D1506" s="10"/>
      <c r="G1506" s="30" t="str">
        <f aca="false">IF($C1506="","",IFERROR(IF(INDEX(links!$A$2:$A$501,MATCH($C1506,links!$D$2:$D$501,0))="","",INDEX(links!$A$2:$A$501,MATCH($C1506,links!$D$2:$D$501,0))),""))</f>
        <v/>
      </c>
      <c r="H1506" s="30" t="str">
        <f aca="false">IF($C1506="","",IFERROR(IF(INDEX(links!$B$2:$B$501,MATCH($C1506,links!$D$2:$D$501,0))="","",INDEX(links!$B$2:$B$501,MATCH($C1506,links!$D$2:$D$501,0))),""))</f>
        <v/>
      </c>
      <c r="I1506" s="30" t="str">
        <f aca="false">IF($C1506="","",IFERROR(IF(INDEX(links!$C$2:$C$501,MATCH($C1506,links!$D$2:$D$501,0))="","",INDEX(links!$C$2:$C$501,MATCH($C1506,links!$D$2:$D$501,0))),""))</f>
        <v/>
      </c>
      <c r="J1506" s="30" t="str">
        <f aca="false">IF($C1506="","",IF($G1506="","slug not in links; ","")&amp;IF($D1506="","reading type missing; ","")&amp;IF(COUNTIFS(scans!$C$2:$C$1601,$C1506,scans!$D$2:$D$1601,$D1506)&gt;1,"two readings of this type: keep one; ",""))</f>
        <v/>
      </c>
    </row>
    <row r="1507" customFormat="false" ht="15" hidden="false" customHeight="false" outlineLevel="0" collapsed="false">
      <c r="A1507" s="11"/>
      <c r="B1507" s="38"/>
      <c r="D1507" s="10"/>
      <c r="G1507" s="30" t="str">
        <f aca="false">IF($C1507="","",IFERROR(IF(INDEX(links!$A$2:$A$501,MATCH($C1507,links!$D$2:$D$501,0))="","",INDEX(links!$A$2:$A$501,MATCH($C1507,links!$D$2:$D$501,0))),""))</f>
        <v/>
      </c>
      <c r="H1507" s="30" t="str">
        <f aca="false">IF($C1507="","",IFERROR(IF(INDEX(links!$B$2:$B$501,MATCH($C1507,links!$D$2:$D$501,0))="","",INDEX(links!$B$2:$B$501,MATCH($C1507,links!$D$2:$D$501,0))),""))</f>
        <v/>
      </c>
      <c r="I1507" s="30" t="str">
        <f aca="false">IF($C1507="","",IFERROR(IF(INDEX(links!$C$2:$C$501,MATCH($C1507,links!$D$2:$D$501,0))="","",INDEX(links!$C$2:$C$501,MATCH($C1507,links!$D$2:$D$501,0))),""))</f>
        <v/>
      </c>
      <c r="J1507" s="30" t="str">
        <f aca="false">IF($C1507="","",IF($G1507="","slug not in links; ","")&amp;IF($D1507="","reading type missing; ","")&amp;IF(COUNTIFS(scans!$C$2:$C$1601,$C1507,scans!$D$2:$D$1601,$D1507)&gt;1,"two readings of this type: keep one; ",""))</f>
        <v/>
      </c>
    </row>
    <row r="1508" customFormat="false" ht="15" hidden="false" customHeight="false" outlineLevel="0" collapsed="false">
      <c r="A1508" s="11"/>
      <c r="B1508" s="38"/>
      <c r="D1508" s="10"/>
      <c r="G1508" s="30" t="str">
        <f aca="false">IF($C1508="","",IFERROR(IF(INDEX(links!$A$2:$A$501,MATCH($C1508,links!$D$2:$D$501,0))="","",INDEX(links!$A$2:$A$501,MATCH($C1508,links!$D$2:$D$501,0))),""))</f>
        <v/>
      </c>
      <c r="H1508" s="30" t="str">
        <f aca="false">IF($C1508="","",IFERROR(IF(INDEX(links!$B$2:$B$501,MATCH($C1508,links!$D$2:$D$501,0))="","",INDEX(links!$B$2:$B$501,MATCH($C1508,links!$D$2:$D$501,0))),""))</f>
        <v/>
      </c>
      <c r="I1508" s="30" t="str">
        <f aca="false">IF($C1508="","",IFERROR(IF(INDEX(links!$C$2:$C$501,MATCH($C1508,links!$D$2:$D$501,0))="","",INDEX(links!$C$2:$C$501,MATCH($C1508,links!$D$2:$D$501,0))),""))</f>
        <v/>
      </c>
      <c r="J1508" s="30" t="str">
        <f aca="false">IF($C1508="","",IF($G1508="","slug not in links; ","")&amp;IF($D1508="","reading type missing; ","")&amp;IF(COUNTIFS(scans!$C$2:$C$1601,$C1508,scans!$D$2:$D$1601,$D1508)&gt;1,"two readings of this type: keep one; ",""))</f>
        <v/>
      </c>
    </row>
    <row r="1509" customFormat="false" ht="15" hidden="false" customHeight="false" outlineLevel="0" collapsed="false">
      <c r="A1509" s="11"/>
      <c r="B1509" s="38"/>
      <c r="D1509" s="10"/>
      <c r="G1509" s="30" t="str">
        <f aca="false">IF($C1509="","",IFERROR(IF(INDEX(links!$A$2:$A$501,MATCH($C1509,links!$D$2:$D$501,0))="","",INDEX(links!$A$2:$A$501,MATCH($C1509,links!$D$2:$D$501,0))),""))</f>
        <v/>
      </c>
      <c r="H1509" s="30" t="str">
        <f aca="false">IF($C1509="","",IFERROR(IF(INDEX(links!$B$2:$B$501,MATCH($C1509,links!$D$2:$D$501,0))="","",INDEX(links!$B$2:$B$501,MATCH($C1509,links!$D$2:$D$501,0))),""))</f>
        <v/>
      </c>
      <c r="I1509" s="30" t="str">
        <f aca="false">IF($C1509="","",IFERROR(IF(INDEX(links!$C$2:$C$501,MATCH($C1509,links!$D$2:$D$501,0))="","",INDEX(links!$C$2:$C$501,MATCH($C1509,links!$D$2:$D$501,0))),""))</f>
        <v/>
      </c>
      <c r="J1509" s="30" t="str">
        <f aca="false">IF($C1509="","",IF($G1509="","slug not in links; ","")&amp;IF($D1509="","reading type missing; ","")&amp;IF(COUNTIFS(scans!$C$2:$C$1601,$C1509,scans!$D$2:$D$1601,$D1509)&gt;1,"two readings of this type: keep one; ",""))</f>
        <v/>
      </c>
    </row>
    <row r="1510" customFormat="false" ht="15" hidden="false" customHeight="false" outlineLevel="0" collapsed="false">
      <c r="A1510" s="11"/>
      <c r="B1510" s="38"/>
      <c r="D1510" s="10"/>
      <c r="G1510" s="30" t="str">
        <f aca="false">IF($C1510="","",IFERROR(IF(INDEX(links!$A$2:$A$501,MATCH($C1510,links!$D$2:$D$501,0))="","",INDEX(links!$A$2:$A$501,MATCH($C1510,links!$D$2:$D$501,0))),""))</f>
        <v/>
      </c>
      <c r="H1510" s="30" t="str">
        <f aca="false">IF($C1510="","",IFERROR(IF(INDEX(links!$B$2:$B$501,MATCH($C1510,links!$D$2:$D$501,0))="","",INDEX(links!$B$2:$B$501,MATCH($C1510,links!$D$2:$D$501,0))),""))</f>
        <v/>
      </c>
      <c r="I1510" s="30" t="str">
        <f aca="false">IF($C1510="","",IFERROR(IF(INDEX(links!$C$2:$C$501,MATCH($C1510,links!$D$2:$D$501,0))="","",INDEX(links!$C$2:$C$501,MATCH($C1510,links!$D$2:$D$501,0))),""))</f>
        <v/>
      </c>
      <c r="J1510" s="30" t="str">
        <f aca="false">IF($C1510="","",IF($G1510="","slug not in links; ","")&amp;IF($D1510="","reading type missing; ","")&amp;IF(COUNTIFS(scans!$C$2:$C$1601,$C1510,scans!$D$2:$D$1601,$D1510)&gt;1,"two readings of this type: keep one; ",""))</f>
        <v/>
      </c>
    </row>
    <row r="1511" customFormat="false" ht="15" hidden="false" customHeight="false" outlineLevel="0" collapsed="false">
      <c r="A1511" s="11"/>
      <c r="B1511" s="38"/>
      <c r="D1511" s="10"/>
      <c r="G1511" s="30" t="str">
        <f aca="false">IF($C1511="","",IFERROR(IF(INDEX(links!$A$2:$A$501,MATCH($C1511,links!$D$2:$D$501,0))="","",INDEX(links!$A$2:$A$501,MATCH($C1511,links!$D$2:$D$501,0))),""))</f>
        <v/>
      </c>
      <c r="H1511" s="30" t="str">
        <f aca="false">IF($C1511="","",IFERROR(IF(INDEX(links!$B$2:$B$501,MATCH($C1511,links!$D$2:$D$501,0))="","",INDEX(links!$B$2:$B$501,MATCH($C1511,links!$D$2:$D$501,0))),""))</f>
        <v/>
      </c>
      <c r="I1511" s="30" t="str">
        <f aca="false">IF($C1511="","",IFERROR(IF(INDEX(links!$C$2:$C$501,MATCH($C1511,links!$D$2:$D$501,0))="","",INDEX(links!$C$2:$C$501,MATCH($C1511,links!$D$2:$D$501,0))),""))</f>
        <v/>
      </c>
      <c r="J1511" s="30" t="str">
        <f aca="false">IF($C1511="","",IF($G1511="","slug not in links; ","")&amp;IF($D1511="","reading type missing; ","")&amp;IF(COUNTIFS(scans!$C$2:$C$1601,$C1511,scans!$D$2:$D$1601,$D1511)&gt;1,"two readings of this type: keep one; ",""))</f>
        <v/>
      </c>
    </row>
    <row r="1512" customFormat="false" ht="15" hidden="false" customHeight="false" outlineLevel="0" collapsed="false">
      <c r="A1512" s="11"/>
      <c r="B1512" s="38"/>
      <c r="D1512" s="10"/>
      <c r="G1512" s="30" t="str">
        <f aca="false">IF($C1512="","",IFERROR(IF(INDEX(links!$A$2:$A$501,MATCH($C1512,links!$D$2:$D$501,0))="","",INDEX(links!$A$2:$A$501,MATCH($C1512,links!$D$2:$D$501,0))),""))</f>
        <v/>
      </c>
      <c r="H1512" s="30" t="str">
        <f aca="false">IF($C1512="","",IFERROR(IF(INDEX(links!$B$2:$B$501,MATCH($C1512,links!$D$2:$D$501,0))="","",INDEX(links!$B$2:$B$501,MATCH($C1512,links!$D$2:$D$501,0))),""))</f>
        <v/>
      </c>
      <c r="I1512" s="30" t="str">
        <f aca="false">IF($C1512="","",IFERROR(IF(INDEX(links!$C$2:$C$501,MATCH($C1512,links!$D$2:$D$501,0))="","",INDEX(links!$C$2:$C$501,MATCH($C1512,links!$D$2:$D$501,0))),""))</f>
        <v/>
      </c>
      <c r="J1512" s="30" t="str">
        <f aca="false">IF($C1512="","",IF($G1512="","slug not in links; ","")&amp;IF($D1512="","reading type missing; ","")&amp;IF(COUNTIFS(scans!$C$2:$C$1601,$C1512,scans!$D$2:$D$1601,$D1512)&gt;1,"two readings of this type: keep one; ",""))</f>
        <v/>
      </c>
    </row>
    <row r="1513" customFormat="false" ht="15" hidden="false" customHeight="false" outlineLevel="0" collapsed="false">
      <c r="A1513" s="11"/>
      <c r="B1513" s="38"/>
      <c r="D1513" s="10"/>
      <c r="G1513" s="30" t="str">
        <f aca="false">IF($C1513="","",IFERROR(IF(INDEX(links!$A$2:$A$501,MATCH($C1513,links!$D$2:$D$501,0))="","",INDEX(links!$A$2:$A$501,MATCH($C1513,links!$D$2:$D$501,0))),""))</f>
        <v/>
      </c>
      <c r="H1513" s="30" t="str">
        <f aca="false">IF($C1513="","",IFERROR(IF(INDEX(links!$B$2:$B$501,MATCH($C1513,links!$D$2:$D$501,0))="","",INDEX(links!$B$2:$B$501,MATCH($C1513,links!$D$2:$D$501,0))),""))</f>
        <v/>
      </c>
      <c r="I1513" s="30" t="str">
        <f aca="false">IF($C1513="","",IFERROR(IF(INDEX(links!$C$2:$C$501,MATCH($C1513,links!$D$2:$D$501,0))="","",INDEX(links!$C$2:$C$501,MATCH($C1513,links!$D$2:$D$501,0))),""))</f>
        <v/>
      </c>
      <c r="J1513" s="30" t="str">
        <f aca="false">IF($C1513="","",IF($G1513="","slug not in links; ","")&amp;IF($D1513="","reading type missing; ","")&amp;IF(COUNTIFS(scans!$C$2:$C$1601,$C1513,scans!$D$2:$D$1601,$D1513)&gt;1,"two readings of this type: keep one; ",""))</f>
        <v/>
      </c>
    </row>
    <row r="1514" customFormat="false" ht="15" hidden="false" customHeight="false" outlineLevel="0" collapsed="false">
      <c r="A1514" s="11"/>
      <c r="B1514" s="38"/>
      <c r="D1514" s="10"/>
      <c r="G1514" s="30" t="str">
        <f aca="false">IF($C1514="","",IFERROR(IF(INDEX(links!$A$2:$A$501,MATCH($C1514,links!$D$2:$D$501,0))="","",INDEX(links!$A$2:$A$501,MATCH($C1514,links!$D$2:$D$501,0))),""))</f>
        <v/>
      </c>
      <c r="H1514" s="30" t="str">
        <f aca="false">IF($C1514="","",IFERROR(IF(INDEX(links!$B$2:$B$501,MATCH($C1514,links!$D$2:$D$501,0))="","",INDEX(links!$B$2:$B$501,MATCH($C1514,links!$D$2:$D$501,0))),""))</f>
        <v/>
      </c>
      <c r="I1514" s="30" t="str">
        <f aca="false">IF($C1514="","",IFERROR(IF(INDEX(links!$C$2:$C$501,MATCH($C1514,links!$D$2:$D$501,0))="","",INDEX(links!$C$2:$C$501,MATCH($C1514,links!$D$2:$D$501,0))),""))</f>
        <v/>
      </c>
      <c r="J1514" s="30" t="str">
        <f aca="false">IF($C1514="","",IF($G1514="","slug not in links; ","")&amp;IF($D1514="","reading type missing; ","")&amp;IF(COUNTIFS(scans!$C$2:$C$1601,$C1514,scans!$D$2:$D$1601,$D1514)&gt;1,"two readings of this type: keep one; ",""))</f>
        <v/>
      </c>
    </row>
    <row r="1515" customFormat="false" ht="15" hidden="false" customHeight="false" outlineLevel="0" collapsed="false">
      <c r="A1515" s="11"/>
      <c r="B1515" s="38"/>
      <c r="D1515" s="10"/>
      <c r="G1515" s="30" t="str">
        <f aca="false">IF($C1515="","",IFERROR(IF(INDEX(links!$A$2:$A$501,MATCH($C1515,links!$D$2:$D$501,0))="","",INDEX(links!$A$2:$A$501,MATCH($C1515,links!$D$2:$D$501,0))),""))</f>
        <v/>
      </c>
      <c r="H1515" s="30" t="str">
        <f aca="false">IF($C1515="","",IFERROR(IF(INDEX(links!$B$2:$B$501,MATCH($C1515,links!$D$2:$D$501,0))="","",INDEX(links!$B$2:$B$501,MATCH($C1515,links!$D$2:$D$501,0))),""))</f>
        <v/>
      </c>
      <c r="I1515" s="30" t="str">
        <f aca="false">IF($C1515="","",IFERROR(IF(INDEX(links!$C$2:$C$501,MATCH($C1515,links!$D$2:$D$501,0))="","",INDEX(links!$C$2:$C$501,MATCH($C1515,links!$D$2:$D$501,0))),""))</f>
        <v/>
      </c>
      <c r="J1515" s="30" t="str">
        <f aca="false">IF($C1515="","",IF($G1515="","slug not in links; ","")&amp;IF($D1515="","reading type missing; ","")&amp;IF(COUNTIFS(scans!$C$2:$C$1601,$C1515,scans!$D$2:$D$1601,$D1515)&gt;1,"two readings of this type: keep one; ",""))</f>
        <v/>
      </c>
    </row>
    <row r="1516" customFormat="false" ht="15" hidden="false" customHeight="false" outlineLevel="0" collapsed="false">
      <c r="A1516" s="11"/>
      <c r="B1516" s="38"/>
      <c r="D1516" s="10"/>
      <c r="G1516" s="30" t="str">
        <f aca="false">IF($C1516="","",IFERROR(IF(INDEX(links!$A$2:$A$501,MATCH($C1516,links!$D$2:$D$501,0))="","",INDEX(links!$A$2:$A$501,MATCH($C1516,links!$D$2:$D$501,0))),""))</f>
        <v/>
      </c>
      <c r="H1516" s="30" t="str">
        <f aca="false">IF($C1516="","",IFERROR(IF(INDEX(links!$B$2:$B$501,MATCH($C1516,links!$D$2:$D$501,0))="","",INDEX(links!$B$2:$B$501,MATCH($C1516,links!$D$2:$D$501,0))),""))</f>
        <v/>
      </c>
      <c r="I1516" s="30" t="str">
        <f aca="false">IF($C1516="","",IFERROR(IF(INDEX(links!$C$2:$C$501,MATCH($C1516,links!$D$2:$D$501,0))="","",INDEX(links!$C$2:$C$501,MATCH($C1516,links!$D$2:$D$501,0))),""))</f>
        <v/>
      </c>
      <c r="J1516" s="30" t="str">
        <f aca="false">IF($C1516="","",IF($G1516="","slug not in links; ","")&amp;IF($D1516="","reading type missing; ","")&amp;IF(COUNTIFS(scans!$C$2:$C$1601,$C1516,scans!$D$2:$D$1601,$D1516)&gt;1,"two readings of this type: keep one; ",""))</f>
        <v/>
      </c>
    </row>
    <row r="1517" customFormat="false" ht="15" hidden="false" customHeight="false" outlineLevel="0" collapsed="false">
      <c r="A1517" s="11"/>
      <c r="B1517" s="38"/>
      <c r="D1517" s="10"/>
      <c r="G1517" s="30" t="str">
        <f aca="false">IF($C1517="","",IFERROR(IF(INDEX(links!$A$2:$A$501,MATCH($C1517,links!$D$2:$D$501,0))="","",INDEX(links!$A$2:$A$501,MATCH($C1517,links!$D$2:$D$501,0))),""))</f>
        <v/>
      </c>
      <c r="H1517" s="30" t="str">
        <f aca="false">IF($C1517="","",IFERROR(IF(INDEX(links!$B$2:$B$501,MATCH($C1517,links!$D$2:$D$501,0))="","",INDEX(links!$B$2:$B$501,MATCH($C1517,links!$D$2:$D$501,0))),""))</f>
        <v/>
      </c>
      <c r="I1517" s="30" t="str">
        <f aca="false">IF($C1517="","",IFERROR(IF(INDEX(links!$C$2:$C$501,MATCH($C1517,links!$D$2:$D$501,0))="","",INDEX(links!$C$2:$C$501,MATCH($C1517,links!$D$2:$D$501,0))),""))</f>
        <v/>
      </c>
      <c r="J1517" s="30" t="str">
        <f aca="false">IF($C1517="","",IF($G1517="","slug not in links; ","")&amp;IF($D1517="","reading type missing; ","")&amp;IF(COUNTIFS(scans!$C$2:$C$1601,$C1517,scans!$D$2:$D$1601,$D1517)&gt;1,"two readings of this type: keep one; ",""))</f>
        <v/>
      </c>
    </row>
    <row r="1518" customFormat="false" ht="15" hidden="false" customHeight="false" outlineLevel="0" collapsed="false">
      <c r="A1518" s="11"/>
      <c r="B1518" s="38"/>
      <c r="D1518" s="10"/>
      <c r="G1518" s="30" t="str">
        <f aca="false">IF($C1518="","",IFERROR(IF(INDEX(links!$A$2:$A$501,MATCH($C1518,links!$D$2:$D$501,0))="","",INDEX(links!$A$2:$A$501,MATCH($C1518,links!$D$2:$D$501,0))),""))</f>
        <v/>
      </c>
      <c r="H1518" s="30" t="str">
        <f aca="false">IF($C1518="","",IFERROR(IF(INDEX(links!$B$2:$B$501,MATCH($C1518,links!$D$2:$D$501,0))="","",INDEX(links!$B$2:$B$501,MATCH($C1518,links!$D$2:$D$501,0))),""))</f>
        <v/>
      </c>
      <c r="I1518" s="30" t="str">
        <f aca="false">IF($C1518="","",IFERROR(IF(INDEX(links!$C$2:$C$501,MATCH($C1518,links!$D$2:$D$501,0))="","",INDEX(links!$C$2:$C$501,MATCH($C1518,links!$D$2:$D$501,0))),""))</f>
        <v/>
      </c>
      <c r="J1518" s="30" t="str">
        <f aca="false">IF($C1518="","",IF($G1518="","slug not in links; ","")&amp;IF($D1518="","reading type missing; ","")&amp;IF(COUNTIFS(scans!$C$2:$C$1601,$C1518,scans!$D$2:$D$1601,$D1518)&gt;1,"two readings of this type: keep one; ",""))</f>
        <v/>
      </c>
    </row>
    <row r="1519" customFormat="false" ht="15" hidden="false" customHeight="false" outlineLevel="0" collapsed="false">
      <c r="A1519" s="11"/>
      <c r="B1519" s="38"/>
      <c r="D1519" s="10"/>
      <c r="G1519" s="30" t="str">
        <f aca="false">IF($C1519="","",IFERROR(IF(INDEX(links!$A$2:$A$501,MATCH($C1519,links!$D$2:$D$501,0))="","",INDEX(links!$A$2:$A$501,MATCH($C1519,links!$D$2:$D$501,0))),""))</f>
        <v/>
      </c>
      <c r="H1519" s="30" t="str">
        <f aca="false">IF($C1519="","",IFERROR(IF(INDEX(links!$B$2:$B$501,MATCH($C1519,links!$D$2:$D$501,0))="","",INDEX(links!$B$2:$B$501,MATCH($C1519,links!$D$2:$D$501,0))),""))</f>
        <v/>
      </c>
      <c r="I1519" s="30" t="str">
        <f aca="false">IF($C1519="","",IFERROR(IF(INDEX(links!$C$2:$C$501,MATCH($C1519,links!$D$2:$D$501,0))="","",INDEX(links!$C$2:$C$501,MATCH($C1519,links!$D$2:$D$501,0))),""))</f>
        <v/>
      </c>
      <c r="J1519" s="30" t="str">
        <f aca="false">IF($C1519="","",IF($G1519="","slug not in links; ","")&amp;IF($D1519="","reading type missing; ","")&amp;IF(COUNTIFS(scans!$C$2:$C$1601,$C1519,scans!$D$2:$D$1601,$D1519)&gt;1,"two readings of this type: keep one; ",""))</f>
        <v/>
      </c>
    </row>
    <row r="1520" customFormat="false" ht="15" hidden="false" customHeight="false" outlineLevel="0" collapsed="false">
      <c r="A1520" s="11"/>
      <c r="B1520" s="38"/>
      <c r="D1520" s="10"/>
      <c r="G1520" s="30" t="str">
        <f aca="false">IF($C1520="","",IFERROR(IF(INDEX(links!$A$2:$A$501,MATCH($C1520,links!$D$2:$D$501,0))="","",INDEX(links!$A$2:$A$501,MATCH($C1520,links!$D$2:$D$501,0))),""))</f>
        <v/>
      </c>
      <c r="H1520" s="30" t="str">
        <f aca="false">IF($C1520="","",IFERROR(IF(INDEX(links!$B$2:$B$501,MATCH($C1520,links!$D$2:$D$501,0))="","",INDEX(links!$B$2:$B$501,MATCH($C1520,links!$D$2:$D$501,0))),""))</f>
        <v/>
      </c>
      <c r="I1520" s="30" t="str">
        <f aca="false">IF($C1520="","",IFERROR(IF(INDEX(links!$C$2:$C$501,MATCH($C1520,links!$D$2:$D$501,0))="","",INDEX(links!$C$2:$C$501,MATCH($C1520,links!$D$2:$D$501,0))),""))</f>
        <v/>
      </c>
      <c r="J1520" s="30" t="str">
        <f aca="false">IF($C1520="","",IF($G1520="","slug not in links; ","")&amp;IF($D1520="","reading type missing; ","")&amp;IF(COUNTIFS(scans!$C$2:$C$1601,$C1520,scans!$D$2:$D$1601,$D1520)&gt;1,"two readings of this type: keep one; ",""))</f>
        <v/>
      </c>
    </row>
    <row r="1521" customFormat="false" ht="15" hidden="false" customHeight="false" outlineLevel="0" collapsed="false">
      <c r="A1521" s="11"/>
      <c r="B1521" s="38"/>
      <c r="D1521" s="10"/>
      <c r="G1521" s="30" t="str">
        <f aca="false">IF($C1521="","",IFERROR(IF(INDEX(links!$A$2:$A$501,MATCH($C1521,links!$D$2:$D$501,0))="","",INDEX(links!$A$2:$A$501,MATCH($C1521,links!$D$2:$D$501,0))),""))</f>
        <v/>
      </c>
      <c r="H1521" s="30" t="str">
        <f aca="false">IF($C1521="","",IFERROR(IF(INDEX(links!$B$2:$B$501,MATCH($C1521,links!$D$2:$D$501,0))="","",INDEX(links!$B$2:$B$501,MATCH($C1521,links!$D$2:$D$501,0))),""))</f>
        <v/>
      </c>
      <c r="I1521" s="30" t="str">
        <f aca="false">IF($C1521="","",IFERROR(IF(INDEX(links!$C$2:$C$501,MATCH($C1521,links!$D$2:$D$501,0))="","",INDEX(links!$C$2:$C$501,MATCH($C1521,links!$D$2:$D$501,0))),""))</f>
        <v/>
      </c>
      <c r="J1521" s="30" t="str">
        <f aca="false">IF($C1521="","",IF($G1521="","slug not in links; ","")&amp;IF($D1521="","reading type missing; ","")&amp;IF(COUNTIFS(scans!$C$2:$C$1601,$C1521,scans!$D$2:$D$1601,$D1521)&gt;1,"two readings of this type: keep one; ",""))</f>
        <v/>
      </c>
    </row>
    <row r="1522" customFormat="false" ht="15" hidden="false" customHeight="false" outlineLevel="0" collapsed="false">
      <c r="A1522" s="11"/>
      <c r="B1522" s="38"/>
      <c r="D1522" s="10"/>
      <c r="G1522" s="30" t="str">
        <f aca="false">IF($C1522="","",IFERROR(IF(INDEX(links!$A$2:$A$501,MATCH($C1522,links!$D$2:$D$501,0))="","",INDEX(links!$A$2:$A$501,MATCH($C1522,links!$D$2:$D$501,0))),""))</f>
        <v/>
      </c>
      <c r="H1522" s="30" t="str">
        <f aca="false">IF($C1522="","",IFERROR(IF(INDEX(links!$B$2:$B$501,MATCH($C1522,links!$D$2:$D$501,0))="","",INDEX(links!$B$2:$B$501,MATCH($C1522,links!$D$2:$D$501,0))),""))</f>
        <v/>
      </c>
      <c r="I1522" s="30" t="str">
        <f aca="false">IF($C1522="","",IFERROR(IF(INDEX(links!$C$2:$C$501,MATCH($C1522,links!$D$2:$D$501,0))="","",INDEX(links!$C$2:$C$501,MATCH($C1522,links!$D$2:$D$501,0))),""))</f>
        <v/>
      </c>
      <c r="J1522" s="30" t="str">
        <f aca="false">IF($C1522="","",IF($G1522="","slug not in links; ","")&amp;IF($D1522="","reading type missing; ","")&amp;IF(COUNTIFS(scans!$C$2:$C$1601,$C1522,scans!$D$2:$D$1601,$D1522)&gt;1,"two readings of this type: keep one; ",""))</f>
        <v/>
      </c>
    </row>
    <row r="1523" customFormat="false" ht="15" hidden="false" customHeight="false" outlineLevel="0" collapsed="false">
      <c r="A1523" s="11"/>
      <c r="B1523" s="38"/>
      <c r="D1523" s="10"/>
      <c r="G1523" s="30" t="str">
        <f aca="false">IF($C1523="","",IFERROR(IF(INDEX(links!$A$2:$A$501,MATCH($C1523,links!$D$2:$D$501,0))="","",INDEX(links!$A$2:$A$501,MATCH($C1523,links!$D$2:$D$501,0))),""))</f>
        <v/>
      </c>
      <c r="H1523" s="30" t="str">
        <f aca="false">IF($C1523="","",IFERROR(IF(INDEX(links!$B$2:$B$501,MATCH($C1523,links!$D$2:$D$501,0))="","",INDEX(links!$B$2:$B$501,MATCH($C1523,links!$D$2:$D$501,0))),""))</f>
        <v/>
      </c>
      <c r="I1523" s="30" t="str">
        <f aca="false">IF($C1523="","",IFERROR(IF(INDEX(links!$C$2:$C$501,MATCH($C1523,links!$D$2:$D$501,0))="","",INDEX(links!$C$2:$C$501,MATCH($C1523,links!$D$2:$D$501,0))),""))</f>
        <v/>
      </c>
      <c r="J1523" s="30" t="str">
        <f aca="false">IF($C1523="","",IF($G1523="","slug not in links; ","")&amp;IF($D1523="","reading type missing; ","")&amp;IF(COUNTIFS(scans!$C$2:$C$1601,$C1523,scans!$D$2:$D$1601,$D1523)&gt;1,"two readings of this type: keep one; ",""))</f>
        <v/>
      </c>
    </row>
    <row r="1524" customFormat="false" ht="15" hidden="false" customHeight="false" outlineLevel="0" collapsed="false">
      <c r="A1524" s="11"/>
      <c r="B1524" s="38"/>
      <c r="D1524" s="10"/>
      <c r="G1524" s="30" t="str">
        <f aca="false">IF($C1524="","",IFERROR(IF(INDEX(links!$A$2:$A$501,MATCH($C1524,links!$D$2:$D$501,0))="","",INDEX(links!$A$2:$A$501,MATCH($C1524,links!$D$2:$D$501,0))),""))</f>
        <v/>
      </c>
      <c r="H1524" s="30" t="str">
        <f aca="false">IF($C1524="","",IFERROR(IF(INDEX(links!$B$2:$B$501,MATCH($C1524,links!$D$2:$D$501,0))="","",INDEX(links!$B$2:$B$501,MATCH($C1524,links!$D$2:$D$501,0))),""))</f>
        <v/>
      </c>
      <c r="I1524" s="30" t="str">
        <f aca="false">IF($C1524="","",IFERROR(IF(INDEX(links!$C$2:$C$501,MATCH($C1524,links!$D$2:$D$501,0))="","",INDEX(links!$C$2:$C$501,MATCH($C1524,links!$D$2:$D$501,0))),""))</f>
        <v/>
      </c>
      <c r="J1524" s="30" t="str">
        <f aca="false">IF($C1524="","",IF($G1524="","slug not in links; ","")&amp;IF($D1524="","reading type missing; ","")&amp;IF(COUNTIFS(scans!$C$2:$C$1601,$C1524,scans!$D$2:$D$1601,$D1524)&gt;1,"two readings of this type: keep one; ",""))</f>
        <v/>
      </c>
    </row>
    <row r="1525" customFormat="false" ht="15" hidden="false" customHeight="false" outlineLevel="0" collapsed="false">
      <c r="A1525" s="11"/>
      <c r="B1525" s="38"/>
      <c r="D1525" s="10"/>
      <c r="G1525" s="30" t="str">
        <f aca="false">IF($C1525="","",IFERROR(IF(INDEX(links!$A$2:$A$501,MATCH($C1525,links!$D$2:$D$501,0))="","",INDEX(links!$A$2:$A$501,MATCH($C1525,links!$D$2:$D$501,0))),""))</f>
        <v/>
      </c>
      <c r="H1525" s="30" t="str">
        <f aca="false">IF($C1525="","",IFERROR(IF(INDEX(links!$B$2:$B$501,MATCH($C1525,links!$D$2:$D$501,0))="","",INDEX(links!$B$2:$B$501,MATCH($C1525,links!$D$2:$D$501,0))),""))</f>
        <v/>
      </c>
      <c r="I1525" s="30" t="str">
        <f aca="false">IF($C1525="","",IFERROR(IF(INDEX(links!$C$2:$C$501,MATCH($C1525,links!$D$2:$D$501,0))="","",INDEX(links!$C$2:$C$501,MATCH($C1525,links!$D$2:$D$501,0))),""))</f>
        <v/>
      </c>
      <c r="J1525" s="30" t="str">
        <f aca="false">IF($C1525="","",IF($G1525="","slug not in links; ","")&amp;IF($D1525="","reading type missing; ","")&amp;IF(COUNTIFS(scans!$C$2:$C$1601,$C1525,scans!$D$2:$D$1601,$D1525)&gt;1,"two readings of this type: keep one; ",""))</f>
        <v/>
      </c>
    </row>
    <row r="1526" customFormat="false" ht="15" hidden="false" customHeight="false" outlineLevel="0" collapsed="false">
      <c r="A1526" s="11"/>
      <c r="B1526" s="38"/>
      <c r="D1526" s="10"/>
      <c r="G1526" s="30" t="str">
        <f aca="false">IF($C1526="","",IFERROR(IF(INDEX(links!$A$2:$A$501,MATCH($C1526,links!$D$2:$D$501,0))="","",INDEX(links!$A$2:$A$501,MATCH($C1526,links!$D$2:$D$501,0))),""))</f>
        <v/>
      </c>
      <c r="H1526" s="30" t="str">
        <f aca="false">IF($C1526="","",IFERROR(IF(INDEX(links!$B$2:$B$501,MATCH($C1526,links!$D$2:$D$501,0))="","",INDEX(links!$B$2:$B$501,MATCH($C1526,links!$D$2:$D$501,0))),""))</f>
        <v/>
      </c>
      <c r="I1526" s="30" t="str">
        <f aca="false">IF($C1526="","",IFERROR(IF(INDEX(links!$C$2:$C$501,MATCH($C1526,links!$D$2:$D$501,0))="","",INDEX(links!$C$2:$C$501,MATCH($C1526,links!$D$2:$D$501,0))),""))</f>
        <v/>
      </c>
      <c r="J1526" s="30" t="str">
        <f aca="false">IF($C1526="","",IF($G1526="","slug not in links; ","")&amp;IF($D1526="","reading type missing; ","")&amp;IF(COUNTIFS(scans!$C$2:$C$1601,$C1526,scans!$D$2:$D$1601,$D1526)&gt;1,"two readings of this type: keep one; ",""))</f>
        <v/>
      </c>
    </row>
    <row r="1527" customFormat="false" ht="15" hidden="false" customHeight="false" outlineLevel="0" collapsed="false">
      <c r="A1527" s="11"/>
      <c r="B1527" s="38"/>
      <c r="D1527" s="10"/>
      <c r="G1527" s="30" t="str">
        <f aca="false">IF($C1527="","",IFERROR(IF(INDEX(links!$A$2:$A$501,MATCH($C1527,links!$D$2:$D$501,0))="","",INDEX(links!$A$2:$A$501,MATCH($C1527,links!$D$2:$D$501,0))),""))</f>
        <v/>
      </c>
      <c r="H1527" s="30" t="str">
        <f aca="false">IF($C1527="","",IFERROR(IF(INDEX(links!$B$2:$B$501,MATCH($C1527,links!$D$2:$D$501,0))="","",INDEX(links!$B$2:$B$501,MATCH($C1527,links!$D$2:$D$501,0))),""))</f>
        <v/>
      </c>
      <c r="I1527" s="30" t="str">
        <f aca="false">IF($C1527="","",IFERROR(IF(INDEX(links!$C$2:$C$501,MATCH($C1527,links!$D$2:$D$501,0))="","",INDEX(links!$C$2:$C$501,MATCH($C1527,links!$D$2:$D$501,0))),""))</f>
        <v/>
      </c>
      <c r="J1527" s="30" t="str">
        <f aca="false">IF($C1527="","",IF($G1527="","slug not in links; ","")&amp;IF($D1527="","reading type missing; ","")&amp;IF(COUNTIFS(scans!$C$2:$C$1601,$C1527,scans!$D$2:$D$1601,$D1527)&gt;1,"two readings of this type: keep one; ",""))</f>
        <v/>
      </c>
    </row>
    <row r="1528" customFormat="false" ht="15" hidden="false" customHeight="false" outlineLevel="0" collapsed="false">
      <c r="A1528" s="11"/>
      <c r="B1528" s="38"/>
      <c r="D1528" s="10"/>
      <c r="G1528" s="30" t="str">
        <f aca="false">IF($C1528="","",IFERROR(IF(INDEX(links!$A$2:$A$501,MATCH($C1528,links!$D$2:$D$501,0))="","",INDEX(links!$A$2:$A$501,MATCH($C1528,links!$D$2:$D$501,0))),""))</f>
        <v/>
      </c>
      <c r="H1528" s="30" t="str">
        <f aca="false">IF($C1528="","",IFERROR(IF(INDEX(links!$B$2:$B$501,MATCH($C1528,links!$D$2:$D$501,0))="","",INDEX(links!$B$2:$B$501,MATCH($C1528,links!$D$2:$D$501,0))),""))</f>
        <v/>
      </c>
      <c r="I1528" s="30" t="str">
        <f aca="false">IF($C1528="","",IFERROR(IF(INDEX(links!$C$2:$C$501,MATCH($C1528,links!$D$2:$D$501,0))="","",INDEX(links!$C$2:$C$501,MATCH($C1528,links!$D$2:$D$501,0))),""))</f>
        <v/>
      </c>
      <c r="J1528" s="30" t="str">
        <f aca="false">IF($C1528="","",IF($G1528="","slug not in links; ","")&amp;IF($D1528="","reading type missing; ","")&amp;IF(COUNTIFS(scans!$C$2:$C$1601,$C1528,scans!$D$2:$D$1601,$D1528)&gt;1,"two readings of this type: keep one; ",""))</f>
        <v/>
      </c>
    </row>
    <row r="1529" customFormat="false" ht="15" hidden="false" customHeight="false" outlineLevel="0" collapsed="false">
      <c r="A1529" s="11"/>
      <c r="B1529" s="38"/>
      <c r="D1529" s="10"/>
      <c r="G1529" s="30" t="str">
        <f aca="false">IF($C1529="","",IFERROR(IF(INDEX(links!$A$2:$A$501,MATCH($C1529,links!$D$2:$D$501,0))="","",INDEX(links!$A$2:$A$501,MATCH($C1529,links!$D$2:$D$501,0))),""))</f>
        <v/>
      </c>
      <c r="H1529" s="30" t="str">
        <f aca="false">IF($C1529="","",IFERROR(IF(INDEX(links!$B$2:$B$501,MATCH($C1529,links!$D$2:$D$501,0))="","",INDEX(links!$B$2:$B$501,MATCH($C1529,links!$D$2:$D$501,0))),""))</f>
        <v/>
      </c>
      <c r="I1529" s="30" t="str">
        <f aca="false">IF($C1529="","",IFERROR(IF(INDEX(links!$C$2:$C$501,MATCH($C1529,links!$D$2:$D$501,0))="","",INDEX(links!$C$2:$C$501,MATCH($C1529,links!$D$2:$D$501,0))),""))</f>
        <v/>
      </c>
      <c r="J1529" s="30" t="str">
        <f aca="false">IF($C1529="","",IF($G1529="","slug not in links; ","")&amp;IF($D1529="","reading type missing; ","")&amp;IF(COUNTIFS(scans!$C$2:$C$1601,$C1529,scans!$D$2:$D$1601,$D1529)&gt;1,"two readings of this type: keep one; ",""))</f>
        <v/>
      </c>
    </row>
    <row r="1530" customFormat="false" ht="15" hidden="false" customHeight="false" outlineLevel="0" collapsed="false">
      <c r="A1530" s="11"/>
      <c r="B1530" s="38"/>
      <c r="D1530" s="10"/>
      <c r="G1530" s="30" t="str">
        <f aca="false">IF($C1530="","",IFERROR(IF(INDEX(links!$A$2:$A$501,MATCH($C1530,links!$D$2:$D$501,0))="","",INDEX(links!$A$2:$A$501,MATCH($C1530,links!$D$2:$D$501,0))),""))</f>
        <v/>
      </c>
      <c r="H1530" s="30" t="str">
        <f aca="false">IF($C1530="","",IFERROR(IF(INDEX(links!$B$2:$B$501,MATCH($C1530,links!$D$2:$D$501,0))="","",INDEX(links!$B$2:$B$501,MATCH($C1530,links!$D$2:$D$501,0))),""))</f>
        <v/>
      </c>
      <c r="I1530" s="30" t="str">
        <f aca="false">IF($C1530="","",IFERROR(IF(INDEX(links!$C$2:$C$501,MATCH($C1530,links!$D$2:$D$501,0))="","",INDEX(links!$C$2:$C$501,MATCH($C1530,links!$D$2:$D$501,0))),""))</f>
        <v/>
      </c>
      <c r="J1530" s="30" t="str">
        <f aca="false">IF($C1530="","",IF($G1530="","slug not in links; ","")&amp;IF($D1530="","reading type missing; ","")&amp;IF(COUNTIFS(scans!$C$2:$C$1601,$C1530,scans!$D$2:$D$1601,$D1530)&gt;1,"two readings of this type: keep one; ",""))</f>
        <v/>
      </c>
    </row>
    <row r="1531" customFormat="false" ht="15" hidden="false" customHeight="false" outlineLevel="0" collapsed="false">
      <c r="A1531" s="11"/>
      <c r="B1531" s="38"/>
      <c r="D1531" s="10"/>
      <c r="G1531" s="30" t="str">
        <f aca="false">IF($C1531="","",IFERROR(IF(INDEX(links!$A$2:$A$501,MATCH($C1531,links!$D$2:$D$501,0))="","",INDEX(links!$A$2:$A$501,MATCH($C1531,links!$D$2:$D$501,0))),""))</f>
        <v/>
      </c>
      <c r="H1531" s="30" t="str">
        <f aca="false">IF($C1531="","",IFERROR(IF(INDEX(links!$B$2:$B$501,MATCH($C1531,links!$D$2:$D$501,0))="","",INDEX(links!$B$2:$B$501,MATCH($C1531,links!$D$2:$D$501,0))),""))</f>
        <v/>
      </c>
      <c r="I1531" s="30" t="str">
        <f aca="false">IF($C1531="","",IFERROR(IF(INDEX(links!$C$2:$C$501,MATCH($C1531,links!$D$2:$D$501,0))="","",INDEX(links!$C$2:$C$501,MATCH($C1531,links!$D$2:$D$501,0))),""))</f>
        <v/>
      </c>
      <c r="J1531" s="30" t="str">
        <f aca="false">IF($C1531="","",IF($G1531="","slug not in links; ","")&amp;IF($D1531="","reading type missing; ","")&amp;IF(COUNTIFS(scans!$C$2:$C$1601,$C1531,scans!$D$2:$D$1601,$D1531)&gt;1,"two readings of this type: keep one; ",""))</f>
        <v/>
      </c>
    </row>
    <row r="1532" customFormat="false" ht="15" hidden="false" customHeight="false" outlineLevel="0" collapsed="false">
      <c r="A1532" s="11"/>
      <c r="B1532" s="38"/>
      <c r="D1532" s="10"/>
      <c r="G1532" s="30" t="str">
        <f aca="false">IF($C1532="","",IFERROR(IF(INDEX(links!$A$2:$A$501,MATCH($C1532,links!$D$2:$D$501,0))="","",INDEX(links!$A$2:$A$501,MATCH($C1532,links!$D$2:$D$501,0))),""))</f>
        <v/>
      </c>
      <c r="H1532" s="30" t="str">
        <f aca="false">IF($C1532="","",IFERROR(IF(INDEX(links!$B$2:$B$501,MATCH($C1532,links!$D$2:$D$501,0))="","",INDEX(links!$B$2:$B$501,MATCH($C1532,links!$D$2:$D$501,0))),""))</f>
        <v/>
      </c>
      <c r="I1532" s="30" t="str">
        <f aca="false">IF($C1532="","",IFERROR(IF(INDEX(links!$C$2:$C$501,MATCH($C1532,links!$D$2:$D$501,0))="","",INDEX(links!$C$2:$C$501,MATCH($C1532,links!$D$2:$D$501,0))),""))</f>
        <v/>
      </c>
      <c r="J1532" s="30" t="str">
        <f aca="false">IF($C1532="","",IF($G1532="","slug not in links; ","")&amp;IF($D1532="","reading type missing; ","")&amp;IF(COUNTIFS(scans!$C$2:$C$1601,$C1532,scans!$D$2:$D$1601,$D1532)&gt;1,"two readings of this type: keep one; ",""))</f>
        <v/>
      </c>
    </row>
    <row r="1533" customFormat="false" ht="15" hidden="false" customHeight="false" outlineLevel="0" collapsed="false">
      <c r="A1533" s="11"/>
      <c r="B1533" s="38"/>
      <c r="D1533" s="10"/>
      <c r="G1533" s="30" t="str">
        <f aca="false">IF($C1533="","",IFERROR(IF(INDEX(links!$A$2:$A$501,MATCH($C1533,links!$D$2:$D$501,0))="","",INDEX(links!$A$2:$A$501,MATCH($C1533,links!$D$2:$D$501,0))),""))</f>
        <v/>
      </c>
      <c r="H1533" s="30" t="str">
        <f aca="false">IF($C1533="","",IFERROR(IF(INDEX(links!$B$2:$B$501,MATCH($C1533,links!$D$2:$D$501,0))="","",INDEX(links!$B$2:$B$501,MATCH($C1533,links!$D$2:$D$501,0))),""))</f>
        <v/>
      </c>
      <c r="I1533" s="30" t="str">
        <f aca="false">IF($C1533="","",IFERROR(IF(INDEX(links!$C$2:$C$501,MATCH($C1533,links!$D$2:$D$501,0))="","",INDEX(links!$C$2:$C$501,MATCH($C1533,links!$D$2:$D$501,0))),""))</f>
        <v/>
      </c>
      <c r="J1533" s="30" t="str">
        <f aca="false">IF($C1533="","",IF($G1533="","slug not in links; ","")&amp;IF($D1533="","reading type missing; ","")&amp;IF(COUNTIFS(scans!$C$2:$C$1601,$C1533,scans!$D$2:$D$1601,$D1533)&gt;1,"two readings of this type: keep one; ",""))</f>
        <v/>
      </c>
    </row>
    <row r="1534" customFormat="false" ht="15" hidden="false" customHeight="false" outlineLevel="0" collapsed="false">
      <c r="A1534" s="11"/>
      <c r="B1534" s="38"/>
      <c r="D1534" s="10"/>
      <c r="G1534" s="30" t="str">
        <f aca="false">IF($C1534="","",IFERROR(IF(INDEX(links!$A$2:$A$501,MATCH($C1534,links!$D$2:$D$501,0))="","",INDEX(links!$A$2:$A$501,MATCH($C1534,links!$D$2:$D$501,0))),""))</f>
        <v/>
      </c>
      <c r="H1534" s="30" t="str">
        <f aca="false">IF($C1534="","",IFERROR(IF(INDEX(links!$B$2:$B$501,MATCH($C1534,links!$D$2:$D$501,0))="","",INDEX(links!$B$2:$B$501,MATCH($C1534,links!$D$2:$D$501,0))),""))</f>
        <v/>
      </c>
      <c r="I1534" s="30" t="str">
        <f aca="false">IF($C1534="","",IFERROR(IF(INDEX(links!$C$2:$C$501,MATCH($C1534,links!$D$2:$D$501,0))="","",INDEX(links!$C$2:$C$501,MATCH($C1534,links!$D$2:$D$501,0))),""))</f>
        <v/>
      </c>
      <c r="J1534" s="30" t="str">
        <f aca="false">IF($C1534="","",IF($G1534="","slug not in links; ","")&amp;IF($D1534="","reading type missing; ","")&amp;IF(COUNTIFS(scans!$C$2:$C$1601,$C1534,scans!$D$2:$D$1601,$D1534)&gt;1,"two readings of this type: keep one; ",""))</f>
        <v/>
      </c>
    </row>
    <row r="1535" customFormat="false" ht="15" hidden="false" customHeight="false" outlineLevel="0" collapsed="false">
      <c r="A1535" s="11"/>
      <c r="B1535" s="38"/>
      <c r="D1535" s="10"/>
      <c r="G1535" s="30" t="str">
        <f aca="false">IF($C1535="","",IFERROR(IF(INDEX(links!$A$2:$A$501,MATCH($C1535,links!$D$2:$D$501,0))="","",INDEX(links!$A$2:$A$501,MATCH($C1535,links!$D$2:$D$501,0))),""))</f>
        <v/>
      </c>
      <c r="H1535" s="30" t="str">
        <f aca="false">IF($C1535="","",IFERROR(IF(INDEX(links!$B$2:$B$501,MATCH($C1535,links!$D$2:$D$501,0))="","",INDEX(links!$B$2:$B$501,MATCH($C1535,links!$D$2:$D$501,0))),""))</f>
        <v/>
      </c>
      <c r="I1535" s="30" t="str">
        <f aca="false">IF($C1535="","",IFERROR(IF(INDEX(links!$C$2:$C$501,MATCH($C1535,links!$D$2:$D$501,0))="","",INDEX(links!$C$2:$C$501,MATCH($C1535,links!$D$2:$D$501,0))),""))</f>
        <v/>
      </c>
      <c r="J1535" s="30" t="str">
        <f aca="false">IF($C1535="","",IF($G1535="","slug not in links; ","")&amp;IF($D1535="","reading type missing; ","")&amp;IF(COUNTIFS(scans!$C$2:$C$1601,$C1535,scans!$D$2:$D$1601,$D1535)&gt;1,"two readings of this type: keep one; ",""))</f>
        <v/>
      </c>
    </row>
    <row r="1536" customFormat="false" ht="15" hidden="false" customHeight="false" outlineLevel="0" collapsed="false">
      <c r="A1536" s="11"/>
      <c r="B1536" s="38"/>
      <c r="D1536" s="10"/>
      <c r="G1536" s="30" t="str">
        <f aca="false">IF($C1536="","",IFERROR(IF(INDEX(links!$A$2:$A$501,MATCH($C1536,links!$D$2:$D$501,0))="","",INDEX(links!$A$2:$A$501,MATCH($C1536,links!$D$2:$D$501,0))),""))</f>
        <v/>
      </c>
      <c r="H1536" s="30" t="str">
        <f aca="false">IF($C1536="","",IFERROR(IF(INDEX(links!$B$2:$B$501,MATCH($C1536,links!$D$2:$D$501,0))="","",INDEX(links!$B$2:$B$501,MATCH($C1536,links!$D$2:$D$501,0))),""))</f>
        <v/>
      </c>
      <c r="I1536" s="30" t="str">
        <f aca="false">IF($C1536="","",IFERROR(IF(INDEX(links!$C$2:$C$501,MATCH($C1536,links!$D$2:$D$501,0))="","",INDEX(links!$C$2:$C$501,MATCH($C1536,links!$D$2:$D$501,0))),""))</f>
        <v/>
      </c>
      <c r="J1536" s="30" t="str">
        <f aca="false">IF($C1536="","",IF($G1536="","slug not in links; ","")&amp;IF($D1536="","reading type missing; ","")&amp;IF(COUNTIFS(scans!$C$2:$C$1601,$C1536,scans!$D$2:$D$1601,$D1536)&gt;1,"two readings of this type: keep one; ",""))</f>
        <v/>
      </c>
    </row>
    <row r="1537" customFormat="false" ht="15" hidden="false" customHeight="false" outlineLevel="0" collapsed="false">
      <c r="A1537" s="11"/>
      <c r="B1537" s="38"/>
      <c r="D1537" s="10"/>
      <c r="G1537" s="30" t="str">
        <f aca="false">IF($C1537="","",IFERROR(IF(INDEX(links!$A$2:$A$501,MATCH($C1537,links!$D$2:$D$501,0))="","",INDEX(links!$A$2:$A$501,MATCH($C1537,links!$D$2:$D$501,0))),""))</f>
        <v/>
      </c>
      <c r="H1537" s="30" t="str">
        <f aca="false">IF($C1537="","",IFERROR(IF(INDEX(links!$B$2:$B$501,MATCH($C1537,links!$D$2:$D$501,0))="","",INDEX(links!$B$2:$B$501,MATCH($C1537,links!$D$2:$D$501,0))),""))</f>
        <v/>
      </c>
      <c r="I1537" s="30" t="str">
        <f aca="false">IF($C1537="","",IFERROR(IF(INDEX(links!$C$2:$C$501,MATCH($C1537,links!$D$2:$D$501,0))="","",INDEX(links!$C$2:$C$501,MATCH($C1537,links!$D$2:$D$501,0))),""))</f>
        <v/>
      </c>
      <c r="J1537" s="30" t="str">
        <f aca="false">IF($C1537="","",IF($G1537="","slug not in links; ","")&amp;IF($D1537="","reading type missing; ","")&amp;IF(COUNTIFS(scans!$C$2:$C$1601,$C1537,scans!$D$2:$D$1601,$D1537)&gt;1,"two readings of this type: keep one; ",""))</f>
        <v/>
      </c>
    </row>
    <row r="1538" customFormat="false" ht="15" hidden="false" customHeight="false" outlineLevel="0" collapsed="false">
      <c r="A1538" s="11"/>
      <c r="B1538" s="38"/>
      <c r="D1538" s="10"/>
      <c r="G1538" s="30" t="str">
        <f aca="false">IF($C1538="","",IFERROR(IF(INDEX(links!$A$2:$A$501,MATCH($C1538,links!$D$2:$D$501,0))="","",INDEX(links!$A$2:$A$501,MATCH($C1538,links!$D$2:$D$501,0))),""))</f>
        <v/>
      </c>
      <c r="H1538" s="30" t="str">
        <f aca="false">IF($C1538="","",IFERROR(IF(INDEX(links!$B$2:$B$501,MATCH($C1538,links!$D$2:$D$501,0))="","",INDEX(links!$B$2:$B$501,MATCH($C1538,links!$D$2:$D$501,0))),""))</f>
        <v/>
      </c>
      <c r="I1538" s="30" t="str">
        <f aca="false">IF($C1538="","",IFERROR(IF(INDEX(links!$C$2:$C$501,MATCH($C1538,links!$D$2:$D$501,0))="","",INDEX(links!$C$2:$C$501,MATCH($C1538,links!$D$2:$D$501,0))),""))</f>
        <v/>
      </c>
      <c r="J1538" s="30" t="str">
        <f aca="false">IF($C1538="","",IF($G1538="","slug not in links; ","")&amp;IF($D1538="","reading type missing; ","")&amp;IF(COUNTIFS(scans!$C$2:$C$1601,$C1538,scans!$D$2:$D$1601,$D1538)&gt;1,"two readings of this type: keep one; ",""))</f>
        <v/>
      </c>
    </row>
    <row r="1539" customFormat="false" ht="15" hidden="false" customHeight="false" outlineLevel="0" collapsed="false">
      <c r="A1539" s="11"/>
      <c r="B1539" s="38"/>
      <c r="D1539" s="10"/>
      <c r="G1539" s="30" t="str">
        <f aca="false">IF($C1539="","",IFERROR(IF(INDEX(links!$A$2:$A$501,MATCH($C1539,links!$D$2:$D$501,0))="","",INDEX(links!$A$2:$A$501,MATCH($C1539,links!$D$2:$D$501,0))),""))</f>
        <v/>
      </c>
      <c r="H1539" s="30" t="str">
        <f aca="false">IF($C1539="","",IFERROR(IF(INDEX(links!$B$2:$B$501,MATCH($C1539,links!$D$2:$D$501,0))="","",INDEX(links!$B$2:$B$501,MATCH($C1539,links!$D$2:$D$501,0))),""))</f>
        <v/>
      </c>
      <c r="I1539" s="30" t="str">
        <f aca="false">IF($C1539="","",IFERROR(IF(INDEX(links!$C$2:$C$501,MATCH($C1539,links!$D$2:$D$501,0))="","",INDEX(links!$C$2:$C$501,MATCH($C1539,links!$D$2:$D$501,0))),""))</f>
        <v/>
      </c>
      <c r="J1539" s="30" t="str">
        <f aca="false">IF($C1539="","",IF($G1539="","slug not in links; ","")&amp;IF($D1539="","reading type missing; ","")&amp;IF(COUNTIFS(scans!$C$2:$C$1601,$C1539,scans!$D$2:$D$1601,$D1539)&gt;1,"two readings of this type: keep one; ",""))</f>
        <v/>
      </c>
    </row>
    <row r="1540" customFormat="false" ht="15" hidden="false" customHeight="false" outlineLevel="0" collapsed="false">
      <c r="A1540" s="11"/>
      <c r="B1540" s="38"/>
      <c r="D1540" s="10"/>
      <c r="G1540" s="30" t="str">
        <f aca="false">IF($C1540="","",IFERROR(IF(INDEX(links!$A$2:$A$501,MATCH($C1540,links!$D$2:$D$501,0))="","",INDEX(links!$A$2:$A$501,MATCH($C1540,links!$D$2:$D$501,0))),""))</f>
        <v/>
      </c>
      <c r="H1540" s="30" t="str">
        <f aca="false">IF($C1540="","",IFERROR(IF(INDEX(links!$B$2:$B$501,MATCH($C1540,links!$D$2:$D$501,0))="","",INDEX(links!$B$2:$B$501,MATCH($C1540,links!$D$2:$D$501,0))),""))</f>
        <v/>
      </c>
      <c r="I1540" s="30" t="str">
        <f aca="false">IF($C1540="","",IFERROR(IF(INDEX(links!$C$2:$C$501,MATCH($C1540,links!$D$2:$D$501,0))="","",INDEX(links!$C$2:$C$501,MATCH($C1540,links!$D$2:$D$501,0))),""))</f>
        <v/>
      </c>
      <c r="J1540" s="30" t="str">
        <f aca="false">IF($C1540="","",IF($G1540="","slug not in links; ","")&amp;IF($D1540="","reading type missing; ","")&amp;IF(COUNTIFS(scans!$C$2:$C$1601,$C1540,scans!$D$2:$D$1601,$D1540)&gt;1,"two readings of this type: keep one; ",""))</f>
        <v/>
      </c>
    </row>
    <row r="1541" customFormat="false" ht="15" hidden="false" customHeight="false" outlineLevel="0" collapsed="false">
      <c r="A1541" s="11"/>
      <c r="B1541" s="38"/>
      <c r="D1541" s="10"/>
      <c r="G1541" s="30" t="str">
        <f aca="false">IF($C1541="","",IFERROR(IF(INDEX(links!$A$2:$A$501,MATCH($C1541,links!$D$2:$D$501,0))="","",INDEX(links!$A$2:$A$501,MATCH($C1541,links!$D$2:$D$501,0))),""))</f>
        <v/>
      </c>
      <c r="H1541" s="30" t="str">
        <f aca="false">IF($C1541="","",IFERROR(IF(INDEX(links!$B$2:$B$501,MATCH($C1541,links!$D$2:$D$501,0))="","",INDEX(links!$B$2:$B$501,MATCH($C1541,links!$D$2:$D$501,0))),""))</f>
        <v/>
      </c>
      <c r="I1541" s="30" t="str">
        <f aca="false">IF($C1541="","",IFERROR(IF(INDEX(links!$C$2:$C$501,MATCH($C1541,links!$D$2:$D$501,0))="","",INDEX(links!$C$2:$C$501,MATCH($C1541,links!$D$2:$D$501,0))),""))</f>
        <v/>
      </c>
      <c r="J1541" s="30" t="str">
        <f aca="false">IF($C1541="","",IF($G1541="","slug not in links; ","")&amp;IF($D1541="","reading type missing; ","")&amp;IF(COUNTIFS(scans!$C$2:$C$1601,$C1541,scans!$D$2:$D$1601,$D1541)&gt;1,"two readings of this type: keep one; ",""))</f>
        <v/>
      </c>
    </row>
    <row r="1542" customFormat="false" ht="15" hidden="false" customHeight="false" outlineLevel="0" collapsed="false">
      <c r="A1542" s="11"/>
      <c r="B1542" s="38"/>
      <c r="D1542" s="10"/>
      <c r="G1542" s="30" t="str">
        <f aca="false">IF($C1542="","",IFERROR(IF(INDEX(links!$A$2:$A$501,MATCH($C1542,links!$D$2:$D$501,0))="","",INDEX(links!$A$2:$A$501,MATCH($C1542,links!$D$2:$D$501,0))),""))</f>
        <v/>
      </c>
      <c r="H1542" s="30" t="str">
        <f aca="false">IF($C1542="","",IFERROR(IF(INDEX(links!$B$2:$B$501,MATCH($C1542,links!$D$2:$D$501,0))="","",INDEX(links!$B$2:$B$501,MATCH($C1542,links!$D$2:$D$501,0))),""))</f>
        <v/>
      </c>
      <c r="I1542" s="30" t="str">
        <f aca="false">IF($C1542="","",IFERROR(IF(INDEX(links!$C$2:$C$501,MATCH($C1542,links!$D$2:$D$501,0))="","",INDEX(links!$C$2:$C$501,MATCH($C1542,links!$D$2:$D$501,0))),""))</f>
        <v/>
      </c>
      <c r="J1542" s="30" t="str">
        <f aca="false">IF($C1542="","",IF($G1542="","slug not in links; ","")&amp;IF($D1542="","reading type missing; ","")&amp;IF(COUNTIFS(scans!$C$2:$C$1601,$C1542,scans!$D$2:$D$1601,$D1542)&gt;1,"two readings of this type: keep one; ",""))</f>
        <v/>
      </c>
    </row>
    <row r="1543" customFormat="false" ht="15" hidden="false" customHeight="false" outlineLevel="0" collapsed="false">
      <c r="A1543" s="11"/>
      <c r="B1543" s="38"/>
      <c r="D1543" s="10"/>
      <c r="G1543" s="30" t="str">
        <f aca="false">IF($C1543="","",IFERROR(IF(INDEX(links!$A$2:$A$501,MATCH($C1543,links!$D$2:$D$501,0))="","",INDEX(links!$A$2:$A$501,MATCH($C1543,links!$D$2:$D$501,0))),""))</f>
        <v/>
      </c>
      <c r="H1543" s="30" t="str">
        <f aca="false">IF($C1543="","",IFERROR(IF(INDEX(links!$B$2:$B$501,MATCH($C1543,links!$D$2:$D$501,0))="","",INDEX(links!$B$2:$B$501,MATCH($C1543,links!$D$2:$D$501,0))),""))</f>
        <v/>
      </c>
      <c r="I1543" s="30" t="str">
        <f aca="false">IF($C1543="","",IFERROR(IF(INDEX(links!$C$2:$C$501,MATCH($C1543,links!$D$2:$D$501,0))="","",INDEX(links!$C$2:$C$501,MATCH($C1543,links!$D$2:$D$501,0))),""))</f>
        <v/>
      </c>
      <c r="J1543" s="30" t="str">
        <f aca="false">IF($C1543="","",IF($G1543="","slug not in links; ","")&amp;IF($D1543="","reading type missing; ","")&amp;IF(COUNTIFS(scans!$C$2:$C$1601,$C1543,scans!$D$2:$D$1601,$D1543)&gt;1,"two readings of this type: keep one; ",""))</f>
        <v/>
      </c>
    </row>
    <row r="1544" customFormat="false" ht="15" hidden="false" customHeight="false" outlineLevel="0" collapsed="false">
      <c r="A1544" s="11"/>
      <c r="B1544" s="38"/>
      <c r="D1544" s="10"/>
      <c r="G1544" s="30" t="str">
        <f aca="false">IF($C1544="","",IFERROR(IF(INDEX(links!$A$2:$A$501,MATCH($C1544,links!$D$2:$D$501,0))="","",INDEX(links!$A$2:$A$501,MATCH($C1544,links!$D$2:$D$501,0))),""))</f>
        <v/>
      </c>
      <c r="H1544" s="30" t="str">
        <f aca="false">IF($C1544="","",IFERROR(IF(INDEX(links!$B$2:$B$501,MATCH($C1544,links!$D$2:$D$501,0))="","",INDEX(links!$B$2:$B$501,MATCH($C1544,links!$D$2:$D$501,0))),""))</f>
        <v/>
      </c>
      <c r="I1544" s="30" t="str">
        <f aca="false">IF($C1544="","",IFERROR(IF(INDEX(links!$C$2:$C$501,MATCH($C1544,links!$D$2:$D$501,0))="","",INDEX(links!$C$2:$C$501,MATCH($C1544,links!$D$2:$D$501,0))),""))</f>
        <v/>
      </c>
      <c r="J1544" s="30" t="str">
        <f aca="false">IF($C1544="","",IF($G1544="","slug not in links; ","")&amp;IF($D1544="","reading type missing; ","")&amp;IF(COUNTIFS(scans!$C$2:$C$1601,$C1544,scans!$D$2:$D$1601,$D1544)&gt;1,"two readings of this type: keep one; ",""))</f>
        <v/>
      </c>
    </row>
    <row r="1545" customFormat="false" ht="15" hidden="false" customHeight="false" outlineLevel="0" collapsed="false">
      <c r="A1545" s="11"/>
      <c r="B1545" s="38"/>
      <c r="D1545" s="10"/>
      <c r="G1545" s="30" t="str">
        <f aca="false">IF($C1545="","",IFERROR(IF(INDEX(links!$A$2:$A$501,MATCH($C1545,links!$D$2:$D$501,0))="","",INDEX(links!$A$2:$A$501,MATCH($C1545,links!$D$2:$D$501,0))),""))</f>
        <v/>
      </c>
      <c r="H1545" s="30" t="str">
        <f aca="false">IF($C1545="","",IFERROR(IF(INDEX(links!$B$2:$B$501,MATCH($C1545,links!$D$2:$D$501,0))="","",INDEX(links!$B$2:$B$501,MATCH($C1545,links!$D$2:$D$501,0))),""))</f>
        <v/>
      </c>
      <c r="I1545" s="30" t="str">
        <f aca="false">IF($C1545="","",IFERROR(IF(INDEX(links!$C$2:$C$501,MATCH($C1545,links!$D$2:$D$501,0))="","",INDEX(links!$C$2:$C$501,MATCH($C1545,links!$D$2:$D$501,0))),""))</f>
        <v/>
      </c>
      <c r="J1545" s="30" t="str">
        <f aca="false">IF($C1545="","",IF($G1545="","slug not in links; ","")&amp;IF($D1545="","reading type missing; ","")&amp;IF(COUNTIFS(scans!$C$2:$C$1601,$C1545,scans!$D$2:$D$1601,$D1545)&gt;1,"two readings of this type: keep one; ",""))</f>
        <v/>
      </c>
    </row>
    <row r="1546" customFormat="false" ht="15" hidden="false" customHeight="false" outlineLevel="0" collapsed="false">
      <c r="A1546" s="11"/>
      <c r="B1546" s="38"/>
      <c r="D1546" s="10"/>
      <c r="G1546" s="30" t="str">
        <f aca="false">IF($C1546="","",IFERROR(IF(INDEX(links!$A$2:$A$501,MATCH($C1546,links!$D$2:$D$501,0))="","",INDEX(links!$A$2:$A$501,MATCH($C1546,links!$D$2:$D$501,0))),""))</f>
        <v/>
      </c>
      <c r="H1546" s="30" t="str">
        <f aca="false">IF($C1546="","",IFERROR(IF(INDEX(links!$B$2:$B$501,MATCH($C1546,links!$D$2:$D$501,0))="","",INDEX(links!$B$2:$B$501,MATCH($C1546,links!$D$2:$D$501,0))),""))</f>
        <v/>
      </c>
      <c r="I1546" s="30" t="str">
        <f aca="false">IF($C1546="","",IFERROR(IF(INDEX(links!$C$2:$C$501,MATCH($C1546,links!$D$2:$D$501,0))="","",INDEX(links!$C$2:$C$501,MATCH($C1546,links!$D$2:$D$501,0))),""))</f>
        <v/>
      </c>
      <c r="J1546" s="30" t="str">
        <f aca="false">IF($C1546="","",IF($G1546="","slug not in links; ","")&amp;IF($D1546="","reading type missing; ","")&amp;IF(COUNTIFS(scans!$C$2:$C$1601,$C1546,scans!$D$2:$D$1601,$D1546)&gt;1,"two readings of this type: keep one; ",""))</f>
        <v/>
      </c>
    </row>
    <row r="1547" customFormat="false" ht="15" hidden="false" customHeight="false" outlineLevel="0" collapsed="false">
      <c r="A1547" s="11"/>
      <c r="B1547" s="38"/>
      <c r="D1547" s="10"/>
      <c r="G1547" s="30" t="str">
        <f aca="false">IF($C1547="","",IFERROR(IF(INDEX(links!$A$2:$A$501,MATCH($C1547,links!$D$2:$D$501,0))="","",INDEX(links!$A$2:$A$501,MATCH($C1547,links!$D$2:$D$501,0))),""))</f>
        <v/>
      </c>
      <c r="H1547" s="30" t="str">
        <f aca="false">IF($C1547="","",IFERROR(IF(INDEX(links!$B$2:$B$501,MATCH($C1547,links!$D$2:$D$501,0))="","",INDEX(links!$B$2:$B$501,MATCH($C1547,links!$D$2:$D$501,0))),""))</f>
        <v/>
      </c>
      <c r="I1547" s="30" t="str">
        <f aca="false">IF($C1547="","",IFERROR(IF(INDEX(links!$C$2:$C$501,MATCH($C1547,links!$D$2:$D$501,0))="","",INDEX(links!$C$2:$C$501,MATCH($C1547,links!$D$2:$D$501,0))),""))</f>
        <v/>
      </c>
      <c r="J1547" s="30" t="str">
        <f aca="false">IF($C1547="","",IF($G1547="","slug not in links; ","")&amp;IF($D1547="","reading type missing; ","")&amp;IF(COUNTIFS(scans!$C$2:$C$1601,$C1547,scans!$D$2:$D$1601,$D1547)&gt;1,"two readings of this type: keep one; ",""))</f>
        <v/>
      </c>
    </row>
    <row r="1548" customFormat="false" ht="15" hidden="false" customHeight="false" outlineLevel="0" collapsed="false">
      <c r="A1548" s="11"/>
      <c r="B1548" s="38"/>
      <c r="D1548" s="10"/>
      <c r="G1548" s="30" t="str">
        <f aca="false">IF($C1548="","",IFERROR(IF(INDEX(links!$A$2:$A$501,MATCH($C1548,links!$D$2:$D$501,0))="","",INDEX(links!$A$2:$A$501,MATCH($C1548,links!$D$2:$D$501,0))),""))</f>
        <v/>
      </c>
      <c r="H1548" s="30" t="str">
        <f aca="false">IF($C1548="","",IFERROR(IF(INDEX(links!$B$2:$B$501,MATCH($C1548,links!$D$2:$D$501,0))="","",INDEX(links!$B$2:$B$501,MATCH($C1548,links!$D$2:$D$501,0))),""))</f>
        <v/>
      </c>
      <c r="I1548" s="30" t="str">
        <f aca="false">IF($C1548="","",IFERROR(IF(INDEX(links!$C$2:$C$501,MATCH($C1548,links!$D$2:$D$501,0))="","",INDEX(links!$C$2:$C$501,MATCH($C1548,links!$D$2:$D$501,0))),""))</f>
        <v/>
      </c>
      <c r="J1548" s="30" t="str">
        <f aca="false">IF($C1548="","",IF($G1548="","slug not in links; ","")&amp;IF($D1548="","reading type missing; ","")&amp;IF(COUNTIFS(scans!$C$2:$C$1601,$C1548,scans!$D$2:$D$1601,$D1548)&gt;1,"two readings of this type: keep one; ",""))</f>
        <v/>
      </c>
    </row>
    <row r="1549" customFormat="false" ht="15" hidden="false" customHeight="false" outlineLevel="0" collapsed="false">
      <c r="A1549" s="11"/>
      <c r="B1549" s="38"/>
      <c r="D1549" s="10"/>
      <c r="G1549" s="30" t="str">
        <f aca="false">IF($C1549="","",IFERROR(IF(INDEX(links!$A$2:$A$501,MATCH($C1549,links!$D$2:$D$501,0))="","",INDEX(links!$A$2:$A$501,MATCH($C1549,links!$D$2:$D$501,0))),""))</f>
        <v/>
      </c>
      <c r="H1549" s="30" t="str">
        <f aca="false">IF($C1549="","",IFERROR(IF(INDEX(links!$B$2:$B$501,MATCH($C1549,links!$D$2:$D$501,0))="","",INDEX(links!$B$2:$B$501,MATCH($C1549,links!$D$2:$D$501,0))),""))</f>
        <v/>
      </c>
      <c r="I1549" s="30" t="str">
        <f aca="false">IF($C1549="","",IFERROR(IF(INDEX(links!$C$2:$C$501,MATCH($C1549,links!$D$2:$D$501,0))="","",INDEX(links!$C$2:$C$501,MATCH($C1549,links!$D$2:$D$501,0))),""))</f>
        <v/>
      </c>
      <c r="J1549" s="30" t="str">
        <f aca="false">IF($C1549="","",IF($G1549="","slug not in links; ","")&amp;IF($D1549="","reading type missing; ","")&amp;IF(COUNTIFS(scans!$C$2:$C$1601,$C1549,scans!$D$2:$D$1601,$D1549)&gt;1,"two readings of this type: keep one; ",""))</f>
        <v/>
      </c>
    </row>
    <row r="1550" customFormat="false" ht="15" hidden="false" customHeight="false" outlineLevel="0" collapsed="false">
      <c r="A1550" s="11"/>
      <c r="B1550" s="38"/>
      <c r="D1550" s="10"/>
      <c r="G1550" s="30" t="str">
        <f aca="false">IF($C1550="","",IFERROR(IF(INDEX(links!$A$2:$A$501,MATCH($C1550,links!$D$2:$D$501,0))="","",INDEX(links!$A$2:$A$501,MATCH($C1550,links!$D$2:$D$501,0))),""))</f>
        <v/>
      </c>
      <c r="H1550" s="30" t="str">
        <f aca="false">IF($C1550="","",IFERROR(IF(INDEX(links!$B$2:$B$501,MATCH($C1550,links!$D$2:$D$501,0))="","",INDEX(links!$B$2:$B$501,MATCH($C1550,links!$D$2:$D$501,0))),""))</f>
        <v/>
      </c>
      <c r="I1550" s="30" t="str">
        <f aca="false">IF($C1550="","",IFERROR(IF(INDEX(links!$C$2:$C$501,MATCH($C1550,links!$D$2:$D$501,0))="","",INDEX(links!$C$2:$C$501,MATCH($C1550,links!$D$2:$D$501,0))),""))</f>
        <v/>
      </c>
      <c r="J1550" s="30" t="str">
        <f aca="false">IF($C1550="","",IF($G1550="","slug not in links; ","")&amp;IF($D1550="","reading type missing; ","")&amp;IF(COUNTIFS(scans!$C$2:$C$1601,$C1550,scans!$D$2:$D$1601,$D1550)&gt;1,"two readings of this type: keep one; ",""))</f>
        <v/>
      </c>
    </row>
    <row r="1551" customFormat="false" ht="15" hidden="false" customHeight="false" outlineLevel="0" collapsed="false">
      <c r="A1551" s="11"/>
      <c r="B1551" s="38"/>
      <c r="D1551" s="10"/>
      <c r="G1551" s="30" t="str">
        <f aca="false">IF($C1551="","",IFERROR(IF(INDEX(links!$A$2:$A$501,MATCH($C1551,links!$D$2:$D$501,0))="","",INDEX(links!$A$2:$A$501,MATCH($C1551,links!$D$2:$D$501,0))),""))</f>
        <v/>
      </c>
      <c r="H1551" s="30" t="str">
        <f aca="false">IF($C1551="","",IFERROR(IF(INDEX(links!$B$2:$B$501,MATCH($C1551,links!$D$2:$D$501,0))="","",INDEX(links!$B$2:$B$501,MATCH($C1551,links!$D$2:$D$501,0))),""))</f>
        <v/>
      </c>
      <c r="I1551" s="30" t="str">
        <f aca="false">IF($C1551="","",IFERROR(IF(INDEX(links!$C$2:$C$501,MATCH($C1551,links!$D$2:$D$501,0))="","",INDEX(links!$C$2:$C$501,MATCH($C1551,links!$D$2:$D$501,0))),""))</f>
        <v/>
      </c>
      <c r="J1551" s="30" t="str">
        <f aca="false">IF($C1551="","",IF($G1551="","slug not in links; ","")&amp;IF($D1551="","reading type missing; ","")&amp;IF(COUNTIFS(scans!$C$2:$C$1601,$C1551,scans!$D$2:$D$1601,$D1551)&gt;1,"two readings of this type: keep one; ",""))</f>
        <v/>
      </c>
    </row>
    <row r="1552" customFormat="false" ht="15" hidden="false" customHeight="false" outlineLevel="0" collapsed="false">
      <c r="A1552" s="11"/>
      <c r="B1552" s="38"/>
      <c r="D1552" s="10"/>
      <c r="G1552" s="30" t="str">
        <f aca="false">IF($C1552="","",IFERROR(IF(INDEX(links!$A$2:$A$501,MATCH($C1552,links!$D$2:$D$501,0))="","",INDEX(links!$A$2:$A$501,MATCH($C1552,links!$D$2:$D$501,0))),""))</f>
        <v/>
      </c>
      <c r="H1552" s="30" t="str">
        <f aca="false">IF($C1552="","",IFERROR(IF(INDEX(links!$B$2:$B$501,MATCH($C1552,links!$D$2:$D$501,0))="","",INDEX(links!$B$2:$B$501,MATCH($C1552,links!$D$2:$D$501,0))),""))</f>
        <v/>
      </c>
      <c r="I1552" s="30" t="str">
        <f aca="false">IF($C1552="","",IFERROR(IF(INDEX(links!$C$2:$C$501,MATCH($C1552,links!$D$2:$D$501,0))="","",INDEX(links!$C$2:$C$501,MATCH($C1552,links!$D$2:$D$501,0))),""))</f>
        <v/>
      </c>
      <c r="J1552" s="30" t="str">
        <f aca="false">IF($C1552="","",IF($G1552="","slug not in links; ","")&amp;IF($D1552="","reading type missing; ","")&amp;IF(COUNTIFS(scans!$C$2:$C$1601,$C1552,scans!$D$2:$D$1601,$D1552)&gt;1,"two readings of this type: keep one; ",""))</f>
        <v/>
      </c>
    </row>
    <row r="1553" customFormat="false" ht="15" hidden="false" customHeight="false" outlineLevel="0" collapsed="false">
      <c r="A1553" s="11"/>
      <c r="B1553" s="38"/>
      <c r="D1553" s="10"/>
      <c r="G1553" s="30" t="str">
        <f aca="false">IF($C1553="","",IFERROR(IF(INDEX(links!$A$2:$A$501,MATCH($C1553,links!$D$2:$D$501,0))="","",INDEX(links!$A$2:$A$501,MATCH($C1553,links!$D$2:$D$501,0))),""))</f>
        <v/>
      </c>
      <c r="H1553" s="30" t="str">
        <f aca="false">IF($C1553="","",IFERROR(IF(INDEX(links!$B$2:$B$501,MATCH($C1553,links!$D$2:$D$501,0))="","",INDEX(links!$B$2:$B$501,MATCH($C1553,links!$D$2:$D$501,0))),""))</f>
        <v/>
      </c>
      <c r="I1553" s="30" t="str">
        <f aca="false">IF($C1553="","",IFERROR(IF(INDEX(links!$C$2:$C$501,MATCH($C1553,links!$D$2:$D$501,0))="","",INDEX(links!$C$2:$C$501,MATCH($C1553,links!$D$2:$D$501,0))),""))</f>
        <v/>
      </c>
      <c r="J1553" s="30" t="str">
        <f aca="false">IF($C1553="","",IF($G1553="","slug not in links; ","")&amp;IF($D1553="","reading type missing; ","")&amp;IF(COUNTIFS(scans!$C$2:$C$1601,$C1553,scans!$D$2:$D$1601,$D1553)&gt;1,"two readings of this type: keep one; ",""))</f>
        <v/>
      </c>
    </row>
    <row r="1554" customFormat="false" ht="15" hidden="false" customHeight="false" outlineLevel="0" collapsed="false">
      <c r="A1554" s="11"/>
      <c r="B1554" s="38"/>
      <c r="D1554" s="10"/>
      <c r="G1554" s="30" t="str">
        <f aca="false">IF($C1554="","",IFERROR(IF(INDEX(links!$A$2:$A$501,MATCH($C1554,links!$D$2:$D$501,0))="","",INDEX(links!$A$2:$A$501,MATCH($C1554,links!$D$2:$D$501,0))),""))</f>
        <v/>
      </c>
      <c r="H1554" s="30" t="str">
        <f aca="false">IF($C1554="","",IFERROR(IF(INDEX(links!$B$2:$B$501,MATCH($C1554,links!$D$2:$D$501,0))="","",INDEX(links!$B$2:$B$501,MATCH($C1554,links!$D$2:$D$501,0))),""))</f>
        <v/>
      </c>
      <c r="I1554" s="30" t="str">
        <f aca="false">IF($C1554="","",IFERROR(IF(INDEX(links!$C$2:$C$501,MATCH($C1554,links!$D$2:$D$501,0))="","",INDEX(links!$C$2:$C$501,MATCH($C1554,links!$D$2:$D$501,0))),""))</f>
        <v/>
      </c>
      <c r="J1554" s="30" t="str">
        <f aca="false">IF($C1554="","",IF($G1554="","slug not in links; ","")&amp;IF($D1554="","reading type missing; ","")&amp;IF(COUNTIFS(scans!$C$2:$C$1601,$C1554,scans!$D$2:$D$1601,$D1554)&gt;1,"two readings of this type: keep one; ",""))</f>
        <v/>
      </c>
    </row>
    <row r="1555" customFormat="false" ht="15" hidden="false" customHeight="false" outlineLevel="0" collapsed="false">
      <c r="A1555" s="11"/>
      <c r="B1555" s="38"/>
      <c r="D1555" s="10"/>
      <c r="G1555" s="30" t="str">
        <f aca="false">IF($C1555="","",IFERROR(IF(INDEX(links!$A$2:$A$501,MATCH($C1555,links!$D$2:$D$501,0))="","",INDEX(links!$A$2:$A$501,MATCH($C1555,links!$D$2:$D$501,0))),""))</f>
        <v/>
      </c>
      <c r="H1555" s="30" t="str">
        <f aca="false">IF($C1555="","",IFERROR(IF(INDEX(links!$B$2:$B$501,MATCH($C1555,links!$D$2:$D$501,0))="","",INDEX(links!$B$2:$B$501,MATCH($C1555,links!$D$2:$D$501,0))),""))</f>
        <v/>
      </c>
      <c r="I1555" s="30" t="str">
        <f aca="false">IF($C1555="","",IFERROR(IF(INDEX(links!$C$2:$C$501,MATCH($C1555,links!$D$2:$D$501,0))="","",INDEX(links!$C$2:$C$501,MATCH($C1555,links!$D$2:$D$501,0))),""))</f>
        <v/>
      </c>
      <c r="J1555" s="30" t="str">
        <f aca="false">IF($C1555="","",IF($G1555="","slug not in links; ","")&amp;IF($D1555="","reading type missing; ","")&amp;IF(COUNTIFS(scans!$C$2:$C$1601,$C1555,scans!$D$2:$D$1601,$D1555)&gt;1,"two readings of this type: keep one; ",""))</f>
        <v/>
      </c>
    </row>
    <row r="1556" customFormat="false" ht="15" hidden="false" customHeight="false" outlineLevel="0" collapsed="false">
      <c r="A1556" s="11"/>
      <c r="B1556" s="38"/>
      <c r="D1556" s="10"/>
      <c r="G1556" s="30" t="str">
        <f aca="false">IF($C1556="","",IFERROR(IF(INDEX(links!$A$2:$A$501,MATCH($C1556,links!$D$2:$D$501,0))="","",INDEX(links!$A$2:$A$501,MATCH($C1556,links!$D$2:$D$501,0))),""))</f>
        <v/>
      </c>
      <c r="H1556" s="30" t="str">
        <f aca="false">IF($C1556="","",IFERROR(IF(INDEX(links!$B$2:$B$501,MATCH($C1556,links!$D$2:$D$501,0))="","",INDEX(links!$B$2:$B$501,MATCH($C1556,links!$D$2:$D$501,0))),""))</f>
        <v/>
      </c>
      <c r="I1556" s="30" t="str">
        <f aca="false">IF($C1556="","",IFERROR(IF(INDEX(links!$C$2:$C$501,MATCH($C1556,links!$D$2:$D$501,0))="","",INDEX(links!$C$2:$C$501,MATCH($C1556,links!$D$2:$D$501,0))),""))</f>
        <v/>
      </c>
      <c r="J1556" s="30" t="str">
        <f aca="false">IF($C1556="","",IF($G1556="","slug not in links; ","")&amp;IF($D1556="","reading type missing; ","")&amp;IF(COUNTIFS(scans!$C$2:$C$1601,$C1556,scans!$D$2:$D$1601,$D1556)&gt;1,"two readings of this type: keep one; ",""))</f>
        <v/>
      </c>
    </row>
    <row r="1557" customFormat="false" ht="15" hidden="false" customHeight="false" outlineLevel="0" collapsed="false">
      <c r="A1557" s="11"/>
      <c r="B1557" s="38"/>
      <c r="D1557" s="10"/>
      <c r="G1557" s="30" t="str">
        <f aca="false">IF($C1557="","",IFERROR(IF(INDEX(links!$A$2:$A$501,MATCH($C1557,links!$D$2:$D$501,0))="","",INDEX(links!$A$2:$A$501,MATCH($C1557,links!$D$2:$D$501,0))),""))</f>
        <v/>
      </c>
      <c r="H1557" s="30" t="str">
        <f aca="false">IF($C1557="","",IFERROR(IF(INDEX(links!$B$2:$B$501,MATCH($C1557,links!$D$2:$D$501,0))="","",INDEX(links!$B$2:$B$501,MATCH($C1557,links!$D$2:$D$501,0))),""))</f>
        <v/>
      </c>
      <c r="I1557" s="30" t="str">
        <f aca="false">IF($C1557="","",IFERROR(IF(INDEX(links!$C$2:$C$501,MATCH($C1557,links!$D$2:$D$501,0))="","",INDEX(links!$C$2:$C$501,MATCH($C1557,links!$D$2:$D$501,0))),""))</f>
        <v/>
      </c>
      <c r="J1557" s="30" t="str">
        <f aca="false">IF($C1557="","",IF($G1557="","slug not in links; ","")&amp;IF($D1557="","reading type missing; ","")&amp;IF(COUNTIFS(scans!$C$2:$C$1601,$C1557,scans!$D$2:$D$1601,$D1557)&gt;1,"two readings of this type: keep one; ",""))</f>
        <v/>
      </c>
    </row>
    <row r="1558" customFormat="false" ht="15" hidden="false" customHeight="false" outlineLevel="0" collapsed="false">
      <c r="A1558" s="11"/>
      <c r="B1558" s="38"/>
      <c r="D1558" s="10"/>
      <c r="G1558" s="30" t="str">
        <f aca="false">IF($C1558="","",IFERROR(IF(INDEX(links!$A$2:$A$501,MATCH($C1558,links!$D$2:$D$501,0))="","",INDEX(links!$A$2:$A$501,MATCH($C1558,links!$D$2:$D$501,0))),""))</f>
        <v/>
      </c>
      <c r="H1558" s="30" t="str">
        <f aca="false">IF($C1558="","",IFERROR(IF(INDEX(links!$B$2:$B$501,MATCH($C1558,links!$D$2:$D$501,0))="","",INDEX(links!$B$2:$B$501,MATCH($C1558,links!$D$2:$D$501,0))),""))</f>
        <v/>
      </c>
      <c r="I1558" s="30" t="str">
        <f aca="false">IF($C1558="","",IFERROR(IF(INDEX(links!$C$2:$C$501,MATCH($C1558,links!$D$2:$D$501,0))="","",INDEX(links!$C$2:$C$501,MATCH($C1558,links!$D$2:$D$501,0))),""))</f>
        <v/>
      </c>
      <c r="J1558" s="30" t="str">
        <f aca="false">IF($C1558="","",IF($G1558="","slug not in links; ","")&amp;IF($D1558="","reading type missing; ","")&amp;IF(COUNTIFS(scans!$C$2:$C$1601,$C1558,scans!$D$2:$D$1601,$D1558)&gt;1,"two readings of this type: keep one; ",""))</f>
        <v/>
      </c>
    </row>
    <row r="1559" customFormat="false" ht="15" hidden="false" customHeight="false" outlineLevel="0" collapsed="false">
      <c r="A1559" s="11"/>
      <c r="B1559" s="38"/>
      <c r="D1559" s="10"/>
      <c r="G1559" s="30" t="str">
        <f aca="false">IF($C1559="","",IFERROR(IF(INDEX(links!$A$2:$A$501,MATCH($C1559,links!$D$2:$D$501,0))="","",INDEX(links!$A$2:$A$501,MATCH($C1559,links!$D$2:$D$501,0))),""))</f>
        <v/>
      </c>
      <c r="H1559" s="30" t="str">
        <f aca="false">IF($C1559="","",IFERROR(IF(INDEX(links!$B$2:$B$501,MATCH($C1559,links!$D$2:$D$501,0))="","",INDEX(links!$B$2:$B$501,MATCH($C1559,links!$D$2:$D$501,0))),""))</f>
        <v/>
      </c>
      <c r="I1559" s="30" t="str">
        <f aca="false">IF($C1559="","",IFERROR(IF(INDEX(links!$C$2:$C$501,MATCH($C1559,links!$D$2:$D$501,0))="","",INDEX(links!$C$2:$C$501,MATCH($C1559,links!$D$2:$D$501,0))),""))</f>
        <v/>
      </c>
      <c r="J1559" s="30" t="str">
        <f aca="false">IF($C1559="","",IF($G1559="","slug not in links; ","")&amp;IF($D1559="","reading type missing; ","")&amp;IF(COUNTIFS(scans!$C$2:$C$1601,$C1559,scans!$D$2:$D$1601,$D1559)&gt;1,"two readings of this type: keep one; ",""))</f>
        <v/>
      </c>
    </row>
    <row r="1560" customFormat="false" ht="15" hidden="false" customHeight="false" outlineLevel="0" collapsed="false">
      <c r="A1560" s="11"/>
      <c r="B1560" s="38"/>
      <c r="D1560" s="10"/>
      <c r="G1560" s="30" t="str">
        <f aca="false">IF($C1560="","",IFERROR(IF(INDEX(links!$A$2:$A$501,MATCH($C1560,links!$D$2:$D$501,0))="","",INDEX(links!$A$2:$A$501,MATCH($C1560,links!$D$2:$D$501,0))),""))</f>
        <v/>
      </c>
      <c r="H1560" s="30" t="str">
        <f aca="false">IF($C1560="","",IFERROR(IF(INDEX(links!$B$2:$B$501,MATCH($C1560,links!$D$2:$D$501,0))="","",INDEX(links!$B$2:$B$501,MATCH($C1560,links!$D$2:$D$501,0))),""))</f>
        <v/>
      </c>
      <c r="I1560" s="30" t="str">
        <f aca="false">IF($C1560="","",IFERROR(IF(INDEX(links!$C$2:$C$501,MATCH($C1560,links!$D$2:$D$501,0))="","",INDEX(links!$C$2:$C$501,MATCH($C1560,links!$D$2:$D$501,0))),""))</f>
        <v/>
      </c>
      <c r="J1560" s="30" t="str">
        <f aca="false">IF($C1560="","",IF($G1560="","slug not in links; ","")&amp;IF($D1560="","reading type missing; ","")&amp;IF(COUNTIFS(scans!$C$2:$C$1601,$C1560,scans!$D$2:$D$1601,$D1560)&gt;1,"two readings of this type: keep one; ",""))</f>
        <v/>
      </c>
    </row>
    <row r="1561" customFormat="false" ht="15" hidden="false" customHeight="false" outlineLevel="0" collapsed="false">
      <c r="A1561" s="11"/>
      <c r="B1561" s="38"/>
      <c r="D1561" s="10"/>
      <c r="G1561" s="30" t="str">
        <f aca="false">IF($C1561="","",IFERROR(IF(INDEX(links!$A$2:$A$501,MATCH($C1561,links!$D$2:$D$501,0))="","",INDEX(links!$A$2:$A$501,MATCH($C1561,links!$D$2:$D$501,0))),""))</f>
        <v/>
      </c>
      <c r="H1561" s="30" t="str">
        <f aca="false">IF($C1561="","",IFERROR(IF(INDEX(links!$B$2:$B$501,MATCH($C1561,links!$D$2:$D$501,0))="","",INDEX(links!$B$2:$B$501,MATCH($C1561,links!$D$2:$D$501,0))),""))</f>
        <v/>
      </c>
      <c r="I1561" s="30" t="str">
        <f aca="false">IF($C1561="","",IFERROR(IF(INDEX(links!$C$2:$C$501,MATCH($C1561,links!$D$2:$D$501,0))="","",INDEX(links!$C$2:$C$501,MATCH($C1561,links!$D$2:$D$501,0))),""))</f>
        <v/>
      </c>
      <c r="J1561" s="30" t="str">
        <f aca="false">IF($C1561="","",IF($G1561="","slug not in links; ","")&amp;IF($D1561="","reading type missing; ","")&amp;IF(COUNTIFS(scans!$C$2:$C$1601,$C1561,scans!$D$2:$D$1601,$D1561)&gt;1,"two readings of this type: keep one; ",""))</f>
        <v/>
      </c>
    </row>
    <row r="1562" customFormat="false" ht="15" hidden="false" customHeight="false" outlineLevel="0" collapsed="false">
      <c r="A1562" s="11"/>
      <c r="B1562" s="38"/>
      <c r="D1562" s="10"/>
      <c r="G1562" s="30" t="str">
        <f aca="false">IF($C1562="","",IFERROR(IF(INDEX(links!$A$2:$A$501,MATCH($C1562,links!$D$2:$D$501,0))="","",INDEX(links!$A$2:$A$501,MATCH($C1562,links!$D$2:$D$501,0))),""))</f>
        <v/>
      </c>
      <c r="H1562" s="30" t="str">
        <f aca="false">IF($C1562="","",IFERROR(IF(INDEX(links!$B$2:$B$501,MATCH($C1562,links!$D$2:$D$501,0))="","",INDEX(links!$B$2:$B$501,MATCH($C1562,links!$D$2:$D$501,0))),""))</f>
        <v/>
      </c>
      <c r="I1562" s="30" t="str">
        <f aca="false">IF($C1562="","",IFERROR(IF(INDEX(links!$C$2:$C$501,MATCH($C1562,links!$D$2:$D$501,0))="","",INDEX(links!$C$2:$C$501,MATCH($C1562,links!$D$2:$D$501,0))),""))</f>
        <v/>
      </c>
      <c r="J1562" s="30" t="str">
        <f aca="false">IF($C1562="","",IF($G1562="","slug not in links; ","")&amp;IF($D1562="","reading type missing; ","")&amp;IF(COUNTIFS(scans!$C$2:$C$1601,$C1562,scans!$D$2:$D$1601,$D1562)&gt;1,"two readings of this type: keep one; ",""))</f>
        <v/>
      </c>
    </row>
    <row r="1563" customFormat="false" ht="15" hidden="false" customHeight="false" outlineLevel="0" collapsed="false">
      <c r="A1563" s="11"/>
      <c r="B1563" s="38"/>
      <c r="D1563" s="10"/>
      <c r="G1563" s="30" t="str">
        <f aca="false">IF($C1563="","",IFERROR(IF(INDEX(links!$A$2:$A$501,MATCH($C1563,links!$D$2:$D$501,0))="","",INDEX(links!$A$2:$A$501,MATCH($C1563,links!$D$2:$D$501,0))),""))</f>
        <v/>
      </c>
      <c r="H1563" s="30" t="str">
        <f aca="false">IF($C1563="","",IFERROR(IF(INDEX(links!$B$2:$B$501,MATCH($C1563,links!$D$2:$D$501,0))="","",INDEX(links!$B$2:$B$501,MATCH($C1563,links!$D$2:$D$501,0))),""))</f>
        <v/>
      </c>
      <c r="I1563" s="30" t="str">
        <f aca="false">IF($C1563="","",IFERROR(IF(INDEX(links!$C$2:$C$501,MATCH($C1563,links!$D$2:$D$501,0))="","",INDEX(links!$C$2:$C$501,MATCH($C1563,links!$D$2:$D$501,0))),""))</f>
        <v/>
      </c>
      <c r="J1563" s="30" t="str">
        <f aca="false">IF($C1563="","",IF($G1563="","slug not in links; ","")&amp;IF($D1563="","reading type missing; ","")&amp;IF(COUNTIFS(scans!$C$2:$C$1601,$C1563,scans!$D$2:$D$1601,$D1563)&gt;1,"two readings of this type: keep one; ",""))</f>
        <v/>
      </c>
    </row>
    <row r="1564" customFormat="false" ht="15" hidden="false" customHeight="false" outlineLevel="0" collapsed="false">
      <c r="A1564" s="11"/>
      <c r="B1564" s="38"/>
      <c r="D1564" s="10"/>
      <c r="G1564" s="30" t="str">
        <f aca="false">IF($C1564="","",IFERROR(IF(INDEX(links!$A$2:$A$501,MATCH($C1564,links!$D$2:$D$501,0))="","",INDEX(links!$A$2:$A$501,MATCH($C1564,links!$D$2:$D$501,0))),""))</f>
        <v/>
      </c>
      <c r="H1564" s="30" t="str">
        <f aca="false">IF($C1564="","",IFERROR(IF(INDEX(links!$B$2:$B$501,MATCH($C1564,links!$D$2:$D$501,0))="","",INDEX(links!$B$2:$B$501,MATCH($C1564,links!$D$2:$D$501,0))),""))</f>
        <v/>
      </c>
      <c r="I1564" s="30" t="str">
        <f aca="false">IF($C1564="","",IFERROR(IF(INDEX(links!$C$2:$C$501,MATCH($C1564,links!$D$2:$D$501,0))="","",INDEX(links!$C$2:$C$501,MATCH($C1564,links!$D$2:$D$501,0))),""))</f>
        <v/>
      </c>
      <c r="J1564" s="30" t="str">
        <f aca="false">IF($C1564="","",IF($G1564="","slug not in links; ","")&amp;IF($D1564="","reading type missing; ","")&amp;IF(COUNTIFS(scans!$C$2:$C$1601,$C1564,scans!$D$2:$D$1601,$D1564)&gt;1,"two readings of this type: keep one; ",""))</f>
        <v/>
      </c>
    </row>
    <row r="1565" customFormat="false" ht="15" hidden="false" customHeight="false" outlineLevel="0" collapsed="false">
      <c r="A1565" s="11"/>
      <c r="B1565" s="38"/>
      <c r="D1565" s="10"/>
      <c r="G1565" s="30" t="str">
        <f aca="false">IF($C1565="","",IFERROR(IF(INDEX(links!$A$2:$A$501,MATCH($C1565,links!$D$2:$D$501,0))="","",INDEX(links!$A$2:$A$501,MATCH($C1565,links!$D$2:$D$501,0))),""))</f>
        <v/>
      </c>
      <c r="H1565" s="30" t="str">
        <f aca="false">IF($C1565="","",IFERROR(IF(INDEX(links!$B$2:$B$501,MATCH($C1565,links!$D$2:$D$501,0))="","",INDEX(links!$B$2:$B$501,MATCH($C1565,links!$D$2:$D$501,0))),""))</f>
        <v/>
      </c>
      <c r="I1565" s="30" t="str">
        <f aca="false">IF($C1565="","",IFERROR(IF(INDEX(links!$C$2:$C$501,MATCH($C1565,links!$D$2:$D$501,0))="","",INDEX(links!$C$2:$C$501,MATCH($C1565,links!$D$2:$D$501,0))),""))</f>
        <v/>
      </c>
      <c r="J1565" s="30" t="str">
        <f aca="false">IF($C1565="","",IF($G1565="","slug not in links; ","")&amp;IF($D1565="","reading type missing; ","")&amp;IF(COUNTIFS(scans!$C$2:$C$1601,$C1565,scans!$D$2:$D$1601,$D1565)&gt;1,"two readings of this type: keep one; ",""))</f>
        <v/>
      </c>
    </row>
    <row r="1566" customFormat="false" ht="15" hidden="false" customHeight="false" outlineLevel="0" collapsed="false">
      <c r="A1566" s="11"/>
      <c r="B1566" s="38"/>
      <c r="D1566" s="10"/>
      <c r="G1566" s="30" t="str">
        <f aca="false">IF($C1566="","",IFERROR(IF(INDEX(links!$A$2:$A$501,MATCH($C1566,links!$D$2:$D$501,0))="","",INDEX(links!$A$2:$A$501,MATCH($C1566,links!$D$2:$D$501,0))),""))</f>
        <v/>
      </c>
      <c r="H1566" s="30" t="str">
        <f aca="false">IF($C1566="","",IFERROR(IF(INDEX(links!$B$2:$B$501,MATCH($C1566,links!$D$2:$D$501,0))="","",INDEX(links!$B$2:$B$501,MATCH($C1566,links!$D$2:$D$501,0))),""))</f>
        <v/>
      </c>
      <c r="I1566" s="30" t="str">
        <f aca="false">IF($C1566="","",IFERROR(IF(INDEX(links!$C$2:$C$501,MATCH($C1566,links!$D$2:$D$501,0))="","",INDEX(links!$C$2:$C$501,MATCH($C1566,links!$D$2:$D$501,0))),""))</f>
        <v/>
      </c>
      <c r="J1566" s="30" t="str">
        <f aca="false">IF($C1566="","",IF($G1566="","slug not in links; ","")&amp;IF($D1566="","reading type missing; ","")&amp;IF(COUNTIFS(scans!$C$2:$C$1601,$C1566,scans!$D$2:$D$1601,$D1566)&gt;1,"two readings of this type: keep one; ",""))</f>
        <v/>
      </c>
    </row>
    <row r="1567" customFormat="false" ht="15" hidden="false" customHeight="false" outlineLevel="0" collapsed="false">
      <c r="A1567" s="11"/>
      <c r="B1567" s="38"/>
      <c r="D1567" s="10"/>
      <c r="G1567" s="30" t="str">
        <f aca="false">IF($C1567="","",IFERROR(IF(INDEX(links!$A$2:$A$501,MATCH($C1567,links!$D$2:$D$501,0))="","",INDEX(links!$A$2:$A$501,MATCH($C1567,links!$D$2:$D$501,0))),""))</f>
        <v/>
      </c>
      <c r="H1567" s="30" t="str">
        <f aca="false">IF($C1567="","",IFERROR(IF(INDEX(links!$B$2:$B$501,MATCH($C1567,links!$D$2:$D$501,0))="","",INDEX(links!$B$2:$B$501,MATCH($C1567,links!$D$2:$D$501,0))),""))</f>
        <v/>
      </c>
      <c r="I1567" s="30" t="str">
        <f aca="false">IF($C1567="","",IFERROR(IF(INDEX(links!$C$2:$C$501,MATCH($C1567,links!$D$2:$D$501,0))="","",INDEX(links!$C$2:$C$501,MATCH($C1567,links!$D$2:$D$501,0))),""))</f>
        <v/>
      </c>
      <c r="J1567" s="30" t="str">
        <f aca="false">IF($C1567="","",IF($G1567="","slug not in links; ","")&amp;IF($D1567="","reading type missing; ","")&amp;IF(COUNTIFS(scans!$C$2:$C$1601,$C1567,scans!$D$2:$D$1601,$D1567)&gt;1,"two readings of this type: keep one; ",""))</f>
        <v/>
      </c>
    </row>
    <row r="1568" customFormat="false" ht="15" hidden="false" customHeight="false" outlineLevel="0" collapsed="false">
      <c r="A1568" s="11"/>
      <c r="B1568" s="38"/>
      <c r="D1568" s="10"/>
      <c r="G1568" s="30" t="str">
        <f aca="false">IF($C1568="","",IFERROR(IF(INDEX(links!$A$2:$A$501,MATCH($C1568,links!$D$2:$D$501,0))="","",INDEX(links!$A$2:$A$501,MATCH($C1568,links!$D$2:$D$501,0))),""))</f>
        <v/>
      </c>
      <c r="H1568" s="30" t="str">
        <f aca="false">IF($C1568="","",IFERROR(IF(INDEX(links!$B$2:$B$501,MATCH($C1568,links!$D$2:$D$501,0))="","",INDEX(links!$B$2:$B$501,MATCH($C1568,links!$D$2:$D$501,0))),""))</f>
        <v/>
      </c>
      <c r="I1568" s="30" t="str">
        <f aca="false">IF($C1568="","",IFERROR(IF(INDEX(links!$C$2:$C$501,MATCH($C1568,links!$D$2:$D$501,0))="","",INDEX(links!$C$2:$C$501,MATCH($C1568,links!$D$2:$D$501,0))),""))</f>
        <v/>
      </c>
      <c r="J1568" s="30" t="str">
        <f aca="false">IF($C1568="","",IF($G1568="","slug not in links; ","")&amp;IF($D1568="","reading type missing; ","")&amp;IF(COUNTIFS(scans!$C$2:$C$1601,$C1568,scans!$D$2:$D$1601,$D1568)&gt;1,"two readings of this type: keep one; ",""))</f>
        <v/>
      </c>
    </row>
    <row r="1569" customFormat="false" ht="15" hidden="false" customHeight="false" outlineLevel="0" collapsed="false">
      <c r="A1569" s="11"/>
      <c r="B1569" s="38"/>
      <c r="D1569" s="10"/>
      <c r="G1569" s="30" t="str">
        <f aca="false">IF($C1569="","",IFERROR(IF(INDEX(links!$A$2:$A$501,MATCH($C1569,links!$D$2:$D$501,0))="","",INDEX(links!$A$2:$A$501,MATCH($C1569,links!$D$2:$D$501,0))),""))</f>
        <v/>
      </c>
      <c r="H1569" s="30" t="str">
        <f aca="false">IF($C1569="","",IFERROR(IF(INDEX(links!$B$2:$B$501,MATCH($C1569,links!$D$2:$D$501,0))="","",INDEX(links!$B$2:$B$501,MATCH($C1569,links!$D$2:$D$501,0))),""))</f>
        <v/>
      </c>
      <c r="I1569" s="30" t="str">
        <f aca="false">IF($C1569="","",IFERROR(IF(INDEX(links!$C$2:$C$501,MATCH($C1569,links!$D$2:$D$501,0))="","",INDEX(links!$C$2:$C$501,MATCH($C1569,links!$D$2:$D$501,0))),""))</f>
        <v/>
      </c>
      <c r="J1569" s="30" t="str">
        <f aca="false">IF($C1569="","",IF($G1569="","slug not in links; ","")&amp;IF($D1569="","reading type missing; ","")&amp;IF(COUNTIFS(scans!$C$2:$C$1601,$C1569,scans!$D$2:$D$1601,$D1569)&gt;1,"two readings of this type: keep one; ",""))</f>
        <v/>
      </c>
    </row>
    <row r="1570" customFormat="false" ht="15" hidden="false" customHeight="false" outlineLevel="0" collapsed="false">
      <c r="A1570" s="11"/>
      <c r="B1570" s="38"/>
      <c r="D1570" s="10"/>
      <c r="G1570" s="30" t="str">
        <f aca="false">IF($C1570="","",IFERROR(IF(INDEX(links!$A$2:$A$501,MATCH($C1570,links!$D$2:$D$501,0))="","",INDEX(links!$A$2:$A$501,MATCH($C1570,links!$D$2:$D$501,0))),""))</f>
        <v/>
      </c>
      <c r="H1570" s="30" t="str">
        <f aca="false">IF($C1570="","",IFERROR(IF(INDEX(links!$B$2:$B$501,MATCH($C1570,links!$D$2:$D$501,0))="","",INDEX(links!$B$2:$B$501,MATCH($C1570,links!$D$2:$D$501,0))),""))</f>
        <v/>
      </c>
      <c r="I1570" s="30" t="str">
        <f aca="false">IF($C1570="","",IFERROR(IF(INDEX(links!$C$2:$C$501,MATCH($C1570,links!$D$2:$D$501,0))="","",INDEX(links!$C$2:$C$501,MATCH($C1570,links!$D$2:$D$501,0))),""))</f>
        <v/>
      </c>
      <c r="J1570" s="30" t="str">
        <f aca="false">IF($C1570="","",IF($G1570="","slug not in links; ","")&amp;IF($D1570="","reading type missing; ","")&amp;IF(COUNTIFS(scans!$C$2:$C$1601,$C1570,scans!$D$2:$D$1601,$D1570)&gt;1,"two readings of this type: keep one; ",""))</f>
        <v/>
      </c>
    </row>
    <row r="1571" customFormat="false" ht="15" hidden="false" customHeight="false" outlineLevel="0" collapsed="false">
      <c r="A1571" s="11"/>
      <c r="B1571" s="38"/>
      <c r="D1571" s="10"/>
      <c r="G1571" s="30" t="str">
        <f aca="false">IF($C1571="","",IFERROR(IF(INDEX(links!$A$2:$A$501,MATCH($C1571,links!$D$2:$D$501,0))="","",INDEX(links!$A$2:$A$501,MATCH($C1571,links!$D$2:$D$501,0))),""))</f>
        <v/>
      </c>
      <c r="H1571" s="30" t="str">
        <f aca="false">IF($C1571="","",IFERROR(IF(INDEX(links!$B$2:$B$501,MATCH($C1571,links!$D$2:$D$501,0))="","",INDEX(links!$B$2:$B$501,MATCH($C1571,links!$D$2:$D$501,0))),""))</f>
        <v/>
      </c>
      <c r="I1571" s="30" t="str">
        <f aca="false">IF($C1571="","",IFERROR(IF(INDEX(links!$C$2:$C$501,MATCH($C1571,links!$D$2:$D$501,0))="","",INDEX(links!$C$2:$C$501,MATCH($C1571,links!$D$2:$D$501,0))),""))</f>
        <v/>
      </c>
      <c r="J1571" s="30" t="str">
        <f aca="false">IF($C1571="","",IF($G1571="","slug not in links; ","")&amp;IF($D1571="","reading type missing; ","")&amp;IF(COUNTIFS(scans!$C$2:$C$1601,$C1571,scans!$D$2:$D$1601,$D1571)&gt;1,"two readings of this type: keep one; ",""))</f>
        <v/>
      </c>
    </row>
    <row r="1572" customFormat="false" ht="15" hidden="false" customHeight="false" outlineLevel="0" collapsed="false">
      <c r="A1572" s="11"/>
      <c r="B1572" s="38"/>
      <c r="D1572" s="10"/>
      <c r="G1572" s="30" t="str">
        <f aca="false">IF($C1572="","",IFERROR(IF(INDEX(links!$A$2:$A$501,MATCH($C1572,links!$D$2:$D$501,0))="","",INDEX(links!$A$2:$A$501,MATCH($C1572,links!$D$2:$D$501,0))),""))</f>
        <v/>
      </c>
      <c r="H1572" s="30" t="str">
        <f aca="false">IF($C1572="","",IFERROR(IF(INDEX(links!$B$2:$B$501,MATCH($C1572,links!$D$2:$D$501,0))="","",INDEX(links!$B$2:$B$501,MATCH($C1572,links!$D$2:$D$501,0))),""))</f>
        <v/>
      </c>
      <c r="I1572" s="30" t="str">
        <f aca="false">IF($C1572="","",IFERROR(IF(INDEX(links!$C$2:$C$501,MATCH($C1572,links!$D$2:$D$501,0))="","",INDEX(links!$C$2:$C$501,MATCH($C1572,links!$D$2:$D$501,0))),""))</f>
        <v/>
      </c>
      <c r="J1572" s="30" t="str">
        <f aca="false">IF($C1572="","",IF($G1572="","slug not in links; ","")&amp;IF($D1572="","reading type missing; ","")&amp;IF(COUNTIFS(scans!$C$2:$C$1601,$C1572,scans!$D$2:$D$1601,$D1572)&gt;1,"two readings of this type: keep one; ",""))</f>
        <v/>
      </c>
    </row>
    <row r="1573" customFormat="false" ht="15" hidden="false" customHeight="false" outlineLevel="0" collapsed="false">
      <c r="A1573" s="11"/>
      <c r="B1573" s="38"/>
      <c r="D1573" s="10"/>
      <c r="G1573" s="30" t="str">
        <f aca="false">IF($C1573="","",IFERROR(IF(INDEX(links!$A$2:$A$501,MATCH($C1573,links!$D$2:$D$501,0))="","",INDEX(links!$A$2:$A$501,MATCH($C1573,links!$D$2:$D$501,0))),""))</f>
        <v/>
      </c>
      <c r="H1573" s="30" t="str">
        <f aca="false">IF($C1573="","",IFERROR(IF(INDEX(links!$B$2:$B$501,MATCH($C1573,links!$D$2:$D$501,0))="","",INDEX(links!$B$2:$B$501,MATCH($C1573,links!$D$2:$D$501,0))),""))</f>
        <v/>
      </c>
      <c r="I1573" s="30" t="str">
        <f aca="false">IF($C1573="","",IFERROR(IF(INDEX(links!$C$2:$C$501,MATCH($C1573,links!$D$2:$D$501,0))="","",INDEX(links!$C$2:$C$501,MATCH($C1573,links!$D$2:$D$501,0))),""))</f>
        <v/>
      </c>
      <c r="J1573" s="30" t="str">
        <f aca="false">IF($C1573="","",IF($G1573="","slug not in links; ","")&amp;IF($D1573="","reading type missing; ","")&amp;IF(COUNTIFS(scans!$C$2:$C$1601,$C1573,scans!$D$2:$D$1601,$D1573)&gt;1,"two readings of this type: keep one; ",""))</f>
        <v/>
      </c>
    </row>
    <row r="1574" customFormat="false" ht="15" hidden="false" customHeight="false" outlineLevel="0" collapsed="false">
      <c r="A1574" s="11"/>
      <c r="B1574" s="38"/>
      <c r="D1574" s="10"/>
      <c r="G1574" s="30" t="str">
        <f aca="false">IF($C1574="","",IFERROR(IF(INDEX(links!$A$2:$A$501,MATCH($C1574,links!$D$2:$D$501,0))="","",INDEX(links!$A$2:$A$501,MATCH($C1574,links!$D$2:$D$501,0))),""))</f>
        <v/>
      </c>
      <c r="H1574" s="30" t="str">
        <f aca="false">IF($C1574="","",IFERROR(IF(INDEX(links!$B$2:$B$501,MATCH($C1574,links!$D$2:$D$501,0))="","",INDEX(links!$B$2:$B$501,MATCH($C1574,links!$D$2:$D$501,0))),""))</f>
        <v/>
      </c>
      <c r="I1574" s="30" t="str">
        <f aca="false">IF($C1574="","",IFERROR(IF(INDEX(links!$C$2:$C$501,MATCH($C1574,links!$D$2:$D$501,0))="","",INDEX(links!$C$2:$C$501,MATCH($C1574,links!$D$2:$D$501,0))),""))</f>
        <v/>
      </c>
      <c r="J1574" s="30" t="str">
        <f aca="false">IF($C1574="","",IF($G1574="","slug not in links; ","")&amp;IF($D1574="","reading type missing; ","")&amp;IF(COUNTIFS(scans!$C$2:$C$1601,$C1574,scans!$D$2:$D$1601,$D1574)&gt;1,"two readings of this type: keep one; ",""))</f>
        <v/>
      </c>
    </row>
    <row r="1575" customFormat="false" ht="15" hidden="false" customHeight="false" outlineLevel="0" collapsed="false">
      <c r="A1575" s="11"/>
      <c r="B1575" s="38"/>
      <c r="D1575" s="10"/>
      <c r="G1575" s="30" t="str">
        <f aca="false">IF($C1575="","",IFERROR(IF(INDEX(links!$A$2:$A$501,MATCH($C1575,links!$D$2:$D$501,0))="","",INDEX(links!$A$2:$A$501,MATCH($C1575,links!$D$2:$D$501,0))),""))</f>
        <v/>
      </c>
      <c r="H1575" s="30" t="str">
        <f aca="false">IF($C1575="","",IFERROR(IF(INDEX(links!$B$2:$B$501,MATCH($C1575,links!$D$2:$D$501,0))="","",INDEX(links!$B$2:$B$501,MATCH($C1575,links!$D$2:$D$501,0))),""))</f>
        <v/>
      </c>
      <c r="I1575" s="30" t="str">
        <f aca="false">IF($C1575="","",IFERROR(IF(INDEX(links!$C$2:$C$501,MATCH($C1575,links!$D$2:$D$501,0))="","",INDEX(links!$C$2:$C$501,MATCH($C1575,links!$D$2:$D$501,0))),""))</f>
        <v/>
      </c>
      <c r="J1575" s="30" t="str">
        <f aca="false">IF($C1575="","",IF($G1575="","slug not in links; ","")&amp;IF($D1575="","reading type missing; ","")&amp;IF(COUNTIFS(scans!$C$2:$C$1601,$C1575,scans!$D$2:$D$1601,$D1575)&gt;1,"two readings of this type: keep one; ",""))</f>
        <v/>
      </c>
    </row>
    <row r="1576" customFormat="false" ht="15" hidden="false" customHeight="false" outlineLevel="0" collapsed="false">
      <c r="A1576" s="11"/>
      <c r="B1576" s="38"/>
      <c r="D1576" s="10"/>
      <c r="G1576" s="30" t="str">
        <f aca="false">IF($C1576="","",IFERROR(IF(INDEX(links!$A$2:$A$501,MATCH($C1576,links!$D$2:$D$501,0))="","",INDEX(links!$A$2:$A$501,MATCH($C1576,links!$D$2:$D$501,0))),""))</f>
        <v/>
      </c>
      <c r="H1576" s="30" t="str">
        <f aca="false">IF($C1576="","",IFERROR(IF(INDEX(links!$B$2:$B$501,MATCH($C1576,links!$D$2:$D$501,0))="","",INDEX(links!$B$2:$B$501,MATCH($C1576,links!$D$2:$D$501,0))),""))</f>
        <v/>
      </c>
      <c r="I1576" s="30" t="str">
        <f aca="false">IF($C1576="","",IFERROR(IF(INDEX(links!$C$2:$C$501,MATCH($C1576,links!$D$2:$D$501,0))="","",INDEX(links!$C$2:$C$501,MATCH($C1576,links!$D$2:$D$501,0))),""))</f>
        <v/>
      </c>
      <c r="J1576" s="30" t="str">
        <f aca="false">IF($C1576="","",IF($G1576="","slug not in links; ","")&amp;IF($D1576="","reading type missing; ","")&amp;IF(COUNTIFS(scans!$C$2:$C$1601,$C1576,scans!$D$2:$D$1601,$D1576)&gt;1,"two readings of this type: keep one; ",""))</f>
        <v/>
      </c>
    </row>
    <row r="1577" customFormat="false" ht="15" hidden="false" customHeight="false" outlineLevel="0" collapsed="false">
      <c r="A1577" s="11"/>
      <c r="B1577" s="38"/>
      <c r="D1577" s="10"/>
      <c r="G1577" s="30" t="str">
        <f aca="false">IF($C1577="","",IFERROR(IF(INDEX(links!$A$2:$A$501,MATCH($C1577,links!$D$2:$D$501,0))="","",INDEX(links!$A$2:$A$501,MATCH($C1577,links!$D$2:$D$501,0))),""))</f>
        <v/>
      </c>
      <c r="H1577" s="30" t="str">
        <f aca="false">IF($C1577="","",IFERROR(IF(INDEX(links!$B$2:$B$501,MATCH($C1577,links!$D$2:$D$501,0))="","",INDEX(links!$B$2:$B$501,MATCH($C1577,links!$D$2:$D$501,0))),""))</f>
        <v/>
      </c>
      <c r="I1577" s="30" t="str">
        <f aca="false">IF($C1577="","",IFERROR(IF(INDEX(links!$C$2:$C$501,MATCH($C1577,links!$D$2:$D$501,0))="","",INDEX(links!$C$2:$C$501,MATCH($C1577,links!$D$2:$D$501,0))),""))</f>
        <v/>
      </c>
      <c r="J1577" s="30" t="str">
        <f aca="false">IF($C1577="","",IF($G1577="","slug not in links; ","")&amp;IF($D1577="","reading type missing; ","")&amp;IF(COUNTIFS(scans!$C$2:$C$1601,$C1577,scans!$D$2:$D$1601,$D1577)&gt;1,"two readings of this type: keep one; ",""))</f>
        <v/>
      </c>
    </row>
    <row r="1578" customFormat="false" ht="15" hidden="false" customHeight="false" outlineLevel="0" collapsed="false">
      <c r="A1578" s="11"/>
      <c r="B1578" s="38"/>
      <c r="D1578" s="10"/>
      <c r="G1578" s="30" t="str">
        <f aca="false">IF($C1578="","",IFERROR(IF(INDEX(links!$A$2:$A$501,MATCH($C1578,links!$D$2:$D$501,0))="","",INDEX(links!$A$2:$A$501,MATCH($C1578,links!$D$2:$D$501,0))),""))</f>
        <v/>
      </c>
      <c r="H1578" s="30" t="str">
        <f aca="false">IF($C1578="","",IFERROR(IF(INDEX(links!$B$2:$B$501,MATCH($C1578,links!$D$2:$D$501,0))="","",INDEX(links!$B$2:$B$501,MATCH($C1578,links!$D$2:$D$501,0))),""))</f>
        <v/>
      </c>
      <c r="I1578" s="30" t="str">
        <f aca="false">IF($C1578="","",IFERROR(IF(INDEX(links!$C$2:$C$501,MATCH($C1578,links!$D$2:$D$501,0))="","",INDEX(links!$C$2:$C$501,MATCH($C1578,links!$D$2:$D$501,0))),""))</f>
        <v/>
      </c>
      <c r="J1578" s="30" t="str">
        <f aca="false">IF($C1578="","",IF($G1578="","slug not in links; ","")&amp;IF($D1578="","reading type missing; ","")&amp;IF(COUNTIFS(scans!$C$2:$C$1601,$C1578,scans!$D$2:$D$1601,$D1578)&gt;1,"two readings of this type: keep one; ",""))</f>
        <v/>
      </c>
    </row>
    <row r="1579" customFormat="false" ht="15" hidden="false" customHeight="false" outlineLevel="0" collapsed="false">
      <c r="A1579" s="11"/>
      <c r="B1579" s="38"/>
      <c r="D1579" s="10"/>
      <c r="G1579" s="30" t="str">
        <f aca="false">IF($C1579="","",IFERROR(IF(INDEX(links!$A$2:$A$501,MATCH($C1579,links!$D$2:$D$501,0))="","",INDEX(links!$A$2:$A$501,MATCH($C1579,links!$D$2:$D$501,0))),""))</f>
        <v/>
      </c>
      <c r="H1579" s="30" t="str">
        <f aca="false">IF($C1579="","",IFERROR(IF(INDEX(links!$B$2:$B$501,MATCH($C1579,links!$D$2:$D$501,0))="","",INDEX(links!$B$2:$B$501,MATCH($C1579,links!$D$2:$D$501,0))),""))</f>
        <v/>
      </c>
      <c r="I1579" s="30" t="str">
        <f aca="false">IF($C1579="","",IFERROR(IF(INDEX(links!$C$2:$C$501,MATCH($C1579,links!$D$2:$D$501,0))="","",INDEX(links!$C$2:$C$501,MATCH($C1579,links!$D$2:$D$501,0))),""))</f>
        <v/>
      </c>
      <c r="J1579" s="30" t="str">
        <f aca="false">IF($C1579="","",IF($G1579="","slug not in links; ","")&amp;IF($D1579="","reading type missing; ","")&amp;IF(COUNTIFS(scans!$C$2:$C$1601,$C1579,scans!$D$2:$D$1601,$D1579)&gt;1,"two readings of this type: keep one; ",""))</f>
        <v/>
      </c>
    </row>
    <row r="1580" customFormat="false" ht="15" hidden="false" customHeight="false" outlineLevel="0" collapsed="false">
      <c r="A1580" s="11"/>
      <c r="B1580" s="38"/>
      <c r="D1580" s="10"/>
      <c r="G1580" s="30" t="str">
        <f aca="false">IF($C1580="","",IFERROR(IF(INDEX(links!$A$2:$A$501,MATCH($C1580,links!$D$2:$D$501,0))="","",INDEX(links!$A$2:$A$501,MATCH($C1580,links!$D$2:$D$501,0))),""))</f>
        <v/>
      </c>
      <c r="H1580" s="30" t="str">
        <f aca="false">IF($C1580="","",IFERROR(IF(INDEX(links!$B$2:$B$501,MATCH($C1580,links!$D$2:$D$501,0))="","",INDEX(links!$B$2:$B$501,MATCH($C1580,links!$D$2:$D$501,0))),""))</f>
        <v/>
      </c>
      <c r="I1580" s="30" t="str">
        <f aca="false">IF($C1580="","",IFERROR(IF(INDEX(links!$C$2:$C$501,MATCH($C1580,links!$D$2:$D$501,0))="","",INDEX(links!$C$2:$C$501,MATCH($C1580,links!$D$2:$D$501,0))),""))</f>
        <v/>
      </c>
      <c r="J1580" s="30" t="str">
        <f aca="false">IF($C1580="","",IF($G1580="","slug not in links; ","")&amp;IF($D1580="","reading type missing; ","")&amp;IF(COUNTIFS(scans!$C$2:$C$1601,$C1580,scans!$D$2:$D$1601,$D1580)&gt;1,"two readings of this type: keep one; ",""))</f>
        <v/>
      </c>
    </row>
    <row r="1581" customFormat="false" ht="15" hidden="false" customHeight="false" outlineLevel="0" collapsed="false">
      <c r="A1581" s="11"/>
      <c r="B1581" s="38"/>
      <c r="D1581" s="10"/>
      <c r="G1581" s="30" t="str">
        <f aca="false">IF($C1581="","",IFERROR(IF(INDEX(links!$A$2:$A$501,MATCH($C1581,links!$D$2:$D$501,0))="","",INDEX(links!$A$2:$A$501,MATCH($C1581,links!$D$2:$D$501,0))),""))</f>
        <v/>
      </c>
      <c r="H1581" s="30" t="str">
        <f aca="false">IF($C1581="","",IFERROR(IF(INDEX(links!$B$2:$B$501,MATCH($C1581,links!$D$2:$D$501,0))="","",INDEX(links!$B$2:$B$501,MATCH($C1581,links!$D$2:$D$501,0))),""))</f>
        <v/>
      </c>
      <c r="I1581" s="30" t="str">
        <f aca="false">IF($C1581="","",IFERROR(IF(INDEX(links!$C$2:$C$501,MATCH($C1581,links!$D$2:$D$501,0))="","",INDEX(links!$C$2:$C$501,MATCH($C1581,links!$D$2:$D$501,0))),""))</f>
        <v/>
      </c>
      <c r="J1581" s="30" t="str">
        <f aca="false">IF($C1581="","",IF($G1581="","slug not in links; ","")&amp;IF($D1581="","reading type missing; ","")&amp;IF(COUNTIFS(scans!$C$2:$C$1601,$C1581,scans!$D$2:$D$1601,$D1581)&gt;1,"two readings of this type: keep one; ",""))</f>
        <v/>
      </c>
    </row>
    <row r="1582" customFormat="false" ht="15" hidden="false" customHeight="false" outlineLevel="0" collapsed="false">
      <c r="A1582" s="11"/>
      <c r="B1582" s="38"/>
      <c r="D1582" s="10"/>
      <c r="G1582" s="30" t="str">
        <f aca="false">IF($C1582="","",IFERROR(IF(INDEX(links!$A$2:$A$501,MATCH($C1582,links!$D$2:$D$501,0))="","",INDEX(links!$A$2:$A$501,MATCH($C1582,links!$D$2:$D$501,0))),""))</f>
        <v/>
      </c>
      <c r="H1582" s="30" t="str">
        <f aca="false">IF($C1582="","",IFERROR(IF(INDEX(links!$B$2:$B$501,MATCH($C1582,links!$D$2:$D$501,0))="","",INDEX(links!$B$2:$B$501,MATCH($C1582,links!$D$2:$D$501,0))),""))</f>
        <v/>
      </c>
      <c r="I1582" s="30" t="str">
        <f aca="false">IF($C1582="","",IFERROR(IF(INDEX(links!$C$2:$C$501,MATCH($C1582,links!$D$2:$D$501,0))="","",INDEX(links!$C$2:$C$501,MATCH($C1582,links!$D$2:$D$501,0))),""))</f>
        <v/>
      </c>
      <c r="J1582" s="30" t="str">
        <f aca="false">IF($C1582="","",IF($G1582="","slug not in links; ","")&amp;IF($D1582="","reading type missing; ","")&amp;IF(COUNTIFS(scans!$C$2:$C$1601,$C1582,scans!$D$2:$D$1601,$D1582)&gt;1,"two readings of this type: keep one; ",""))</f>
        <v/>
      </c>
    </row>
    <row r="1583" customFormat="false" ht="15" hidden="false" customHeight="false" outlineLevel="0" collapsed="false">
      <c r="A1583" s="11"/>
      <c r="B1583" s="38"/>
      <c r="D1583" s="10"/>
      <c r="G1583" s="30" t="str">
        <f aca="false">IF($C1583="","",IFERROR(IF(INDEX(links!$A$2:$A$501,MATCH($C1583,links!$D$2:$D$501,0))="","",INDEX(links!$A$2:$A$501,MATCH($C1583,links!$D$2:$D$501,0))),""))</f>
        <v/>
      </c>
      <c r="H1583" s="30" t="str">
        <f aca="false">IF($C1583="","",IFERROR(IF(INDEX(links!$B$2:$B$501,MATCH($C1583,links!$D$2:$D$501,0))="","",INDEX(links!$B$2:$B$501,MATCH($C1583,links!$D$2:$D$501,0))),""))</f>
        <v/>
      </c>
      <c r="I1583" s="30" t="str">
        <f aca="false">IF($C1583="","",IFERROR(IF(INDEX(links!$C$2:$C$501,MATCH($C1583,links!$D$2:$D$501,0))="","",INDEX(links!$C$2:$C$501,MATCH($C1583,links!$D$2:$D$501,0))),""))</f>
        <v/>
      </c>
      <c r="J1583" s="30" t="str">
        <f aca="false">IF($C1583="","",IF($G1583="","slug not in links; ","")&amp;IF($D1583="","reading type missing; ","")&amp;IF(COUNTIFS(scans!$C$2:$C$1601,$C1583,scans!$D$2:$D$1601,$D1583)&gt;1,"two readings of this type: keep one; ",""))</f>
        <v/>
      </c>
    </row>
    <row r="1584" customFormat="false" ht="15" hidden="false" customHeight="false" outlineLevel="0" collapsed="false">
      <c r="A1584" s="11"/>
      <c r="B1584" s="38"/>
      <c r="D1584" s="10"/>
      <c r="G1584" s="30" t="str">
        <f aca="false">IF($C1584="","",IFERROR(IF(INDEX(links!$A$2:$A$501,MATCH($C1584,links!$D$2:$D$501,0))="","",INDEX(links!$A$2:$A$501,MATCH($C1584,links!$D$2:$D$501,0))),""))</f>
        <v/>
      </c>
      <c r="H1584" s="30" t="str">
        <f aca="false">IF($C1584="","",IFERROR(IF(INDEX(links!$B$2:$B$501,MATCH($C1584,links!$D$2:$D$501,0))="","",INDEX(links!$B$2:$B$501,MATCH($C1584,links!$D$2:$D$501,0))),""))</f>
        <v/>
      </c>
      <c r="I1584" s="30" t="str">
        <f aca="false">IF($C1584="","",IFERROR(IF(INDEX(links!$C$2:$C$501,MATCH($C1584,links!$D$2:$D$501,0))="","",INDEX(links!$C$2:$C$501,MATCH($C1584,links!$D$2:$D$501,0))),""))</f>
        <v/>
      </c>
      <c r="J1584" s="30" t="str">
        <f aca="false">IF($C1584="","",IF($G1584="","slug not in links; ","")&amp;IF($D1584="","reading type missing; ","")&amp;IF(COUNTIFS(scans!$C$2:$C$1601,$C1584,scans!$D$2:$D$1601,$D1584)&gt;1,"two readings of this type: keep one; ",""))</f>
        <v/>
      </c>
    </row>
    <row r="1585" customFormat="false" ht="15" hidden="false" customHeight="false" outlineLevel="0" collapsed="false">
      <c r="A1585" s="11"/>
      <c r="B1585" s="38"/>
      <c r="D1585" s="10"/>
      <c r="G1585" s="30" t="str">
        <f aca="false">IF($C1585="","",IFERROR(IF(INDEX(links!$A$2:$A$501,MATCH($C1585,links!$D$2:$D$501,0))="","",INDEX(links!$A$2:$A$501,MATCH($C1585,links!$D$2:$D$501,0))),""))</f>
        <v/>
      </c>
      <c r="H1585" s="30" t="str">
        <f aca="false">IF($C1585="","",IFERROR(IF(INDEX(links!$B$2:$B$501,MATCH($C1585,links!$D$2:$D$501,0))="","",INDEX(links!$B$2:$B$501,MATCH($C1585,links!$D$2:$D$501,0))),""))</f>
        <v/>
      </c>
      <c r="I1585" s="30" t="str">
        <f aca="false">IF($C1585="","",IFERROR(IF(INDEX(links!$C$2:$C$501,MATCH($C1585,links!$D$2:$D$501,0))="","",INDEX(links!$C$2:$C$501,MATCH($C1585,links!$D$2:$D$501,0))),""))</f>
        <v/>
      </c>
      <c r="J1585" s="30" t="str">
        <f aca="false">IF($C1585="","",IF($G1585="","slug not in links; ","")&amp;IF($D1585="","reading type missing; ","")&amp;IF(COUNTIFS(scans!$C$2:$C$1601,$C1585,scans!$D$2:$D$1601,$D1585)&gt;1,"two readings of this type: keep one; ",""))</f>
        <v/>
      </c>
    </row>
    <row r="1586" customFormat="false" ht="15" hidden="false" customHeight="false" outlineLevel="0" collapsed="false">
      <c r="A1586" s="11"/>
      <c r="B1586" s="38"/>
      <c r="D1586" s="10"/>
      <c r="G1586" s="30" t="str">
        <f aca="false">IF($C1586="","",IFERROR(IF(INDEX(links!$A$2:$A$501,MATCH($C1586,links!$D$2:$D$501,0))="","",INDEX(links!$A$2:$A$501,MATCH($C1586,links!$D$2:$D$501,0))),""))</f>
        <v/>
      </c>
      <c r="H1586" s="30" t="str">
        <f aca="false">IF($C1586="","",IFERROR(IF(INDEX(links!$B$2:$B$501,MATCH($C1586,links!$D$2:$D$501,0))="","",INDEX(links!$B$2:$B$501,MATCH($C1586,links!$D$2:$D$501,0))),""))</f>
        <v/>
      </c>
      <c r="I1586" s="30" t="str">
        <f aca="false">IF($C1586="","",IFERROR(IF(INDEX(links!$C$2:$C$501,MATCH($C1586,links!$D$2:$D$501,0))="","",INDEX(links!$C$2:$C$501,MATCH($C1586,links!$D$2:$D$501,0))),""))</f>
        <v/>
      </c>
      <c r="J1586" s="30" t="str">
        <f aca="false">IF($C1586="","",IF($G1586="","slug not in links; ","")&amp;IF($D1586="","reading type missing; ","")&amp;IF(COUNTIFS(scans!$C$2:$C$1601,$C1586,scans!$D$2:$D$1601,$D1586)&gt;1,"two readings of this type: keep one; ",""))</f>
        <v/>
      </c>
    </row>
    <row r="1587" customFormat="false" ht="15" hidden="false" customHeight="false" outlineLevel="0" collapsed="false">
      <c r="A1587" s="11"/>
      <c r="B1587" s="38"/>
      <c r="D1587" s="10"/>
      <c r="G1587" s="30" t="str">
        <f aca="false">IF($C1587="","",IFERROR(IF(INDEX(links!$A$2:$A$501,MATCH($C1587,links!$D$2:$D$501,0))="","",INDEX(links!$A$2:$A$501,MATCH($C1587,links!$D$2:$D$501,0))),""))</f>
        <v/>
      </c>
      <c r="H1587" s="30" t="str">
        <f aca="false">IF($C1587="","",IFERROR(IF(INDEX(links!$B$2:$B$501,MATCH($C1587,links!$D$2:$D$501,0))="","",INDEX(links!$B$2:$B$501,MATCH($C1587,links!$D$2:$D$501,0))),""))</f>
        <v/>
      </c>
      <c r="I1587" s="30" t="str">
        <f aca="false">IF($C1587="","",IFERROR(IF(INDEX(links!$C$2:$C$501,MATCH($C1587,links!$D$2:$D$501,0))="","",INDEX(links!$C$2:$C$501,MATCH($C1587,links!$D$2:$D$501,0))),""))</f>
        <v/>
      </c>
      <c r="J1587" s="30" t="str">
        <f aca="false">IF($C1587="","",IF($G1587="","slug not in links; ","")&amp;IF($D1587="","reading type missing; ","")&amp;IF(COUNTIFS(scans!$C$2:$C$1601,$C1587,scans!$D$2:$D$1601,$D1587)&gt;1,"two readings of this type: keep one; ",""))</f>
        <v/>
      </c>
    </row>
    <row r="1588" customFormat="false" ht="15" hidden="false" customHeight="false" outlineLevel="0" collapsed="false">
      <c r="A1588" s="11"/>
      <c r="B1588" s="38"/>
      <c r="D1588" s="10"/>
      <c r="G1588" s="30" t="str">
        <f aca="false">IF($C1588="","",IFERROR(IF(INDEX(links!$A$2:$A$501,MATCH($C1588,links!$D$2:$D$501,0))="","",INDEX(links!$A$2:$A$501,MATCH($C1588,links!$D$2:$D$501,0))),""))</f>
        <v/>
      </c>
      <c r="H1588" s="30" t="str">
        <f aca="false">IF($C1588="","",IFERROR(IF(INDEX(links!$B$2:$B$501,MATCH($C1588,links!$D$2:$D$501,0))="","",INDEX(links!$B$2:$B$501,MATCH($C1588,links!$D$2:$D$501,0))),""))</f>
        <v/>
      </c>
      <c r="I1588" s="30" t="str">
        <f aca="false">IF($C1588="","",IFERROR(IF(INDEX(links!$C$2:$C$501,MATCH($C1588,links!$D$2:$D$501,0))="","",INDEX(links!$C$2:$C$501,MATCH($C1588,links!$D$2:$D$501,0))),""))</f>
        <v/>
      </c>
      <c r="J1588" s="30" t="str">
        <f aca="false">IF($C1588="","",IF($G1588="","slug not in links; ","")&amp;IF($D1588="","reading type missing; ","")&amp;IF(COUNTIFS(scans!$C$2:$C$1601,$C1588,scans!$D$2:$D$1601,$D1588)&gt;1,"two readings of this type: keep one; ",""))</f>
        <v/>
      </c>
    </row>
    <row r="1589" customFormat="false" ht="15" hidden="false" customHeight="false" outlineLevel="0" collapsed="false">
      <c r="A1589" s="11"/>
      <c r="B1589" s="38"/>
      <c r="D1589" s="10"/>
      <c r="G1589" s="30" t="str">
        <f aca="false">IF($C1589="","",IFERROR(IF(INDEX(links!$A$2:$A$501,MATCH($C1589,links!$D$2:$D$501,0))="","",INDEX(links!$A$2:$A$501,MATCH($C1589,links!$D$2:$D$501,0))),""))</f>
        <v/>
      </c>
      <c r="H1589" s="30" t="str">
        <f aca="false">IF($C1589="","",IFERROR(IF(INDEX(links!$B$2:$B$501,MATCH($C1589,links!$D$2:$D$501,0))="","",INDEX(links!$B$2:$B$501,MATCH($C1589,links!$D$2:$D$501,0))),""))</f>
        <v/>
      </c>
      <c r="I1589" s="30" t="str">
        <f aca="false">IF($C1589="","",IFERROR(IF(INDEX(links!$C$2:$C$501,MATCH($C1589,links!$D$2:$D$501,0))="","",INDEX(links!$C$2:$C$501,MATCH($C1589,links!$D$2:$D$501,0))),""))</f>
        <v/>
      </c>
      <c r="J1589" s="30" t="str">
        <f aca="false">IF($C1589="","",IF($G1589="","slug not in links; ","")&amp;IF($D1589="","reading type missing; ","")&amp;IF(COUNTIFS(scans!$C$2:$C$1601,$C1589,scans!$D$2:$D$1601,$D1589)&gt;1,"two readings of this type: keep one; ",""))</f>
        <v/>
      </c>
    </row>
    <row r="1590" customFormat="false" ht="15" hidden="false" customHeight="false" outlineLevel="0" collapsed="false">
      <c r="A1590" s="11"/>
      <c r="B1590" s="38"/>
      <c r="D1590" s="10"/>
      <c r="G1590" s="30" t="str">
        <f aca="false">IF($C1590="","",IFERROR(IF(INDEX(links!$A$2:$A$501,MATCH($C1590,links!$D$2:$D$501,0))="","",INDEX(links!$A$2:$A$501,MATCH($C1590,links!$D$2:$D$501,0))),""))</f>
        <v/>
      </c>
      <c r="H1590" s="30" t="str">
        <f aca="false">IF($C1590="","",IFERROR(IF(INDEX(links!$B$2:$B$501,MATCH($C1590,links!$D$2:$D$501,0))="","",INDEX(links!$B$2:$B$501,MATCH($C1590,links!$D$2:$D$501,0))),""))</f>
        <v/>
      </c>
      <c r="I1590" s="30" t="str">
        <f aca="false">IF($C1590="","",IFERROR(IF(INDEX(links!$C$2:$C$501,MATCH($C1590,links!$D$2:$D$501,0))="","",INDEX(links!$C$2:$C$501,MATCH($C1590,links!$D$2:$D$501,0))),""))</f>
        <v/>
      </c>
      <c r="J1590" s="30" t="str">
        <f aca="false">IF($C1590="","",IF($G1590="","slug not in links; ","")&amp;IF($D1590="","reading type missing; ","")&amp;IF(COUNTIFS(scans!$C$2:$C$1601,$C1590,scans!$D$2:$D$1601,$D1590)&gt;1,"two readings of this type: keep one; ",""))</f>
        <v/>
      </c>
    </row>
    <row r="1591" customFormat="false" ht="15" hidden="false" customHeight="false" outlineLevel="0" collapsed="false">
      <c r="A1591" s="11"/>
      <c r="B1591" s="38"/>
      <c r="D1591" s="10"/>
      <c r="G1591" s="30" t="str">
        <f aca="false">IF($C1591="","",IFERROR(IF(INDEX(links!$A$2:$A$501,MATCH($C1591,links!$D$2:$D$501,0))="","",INDEX(links!$A$2:$A$501,MATCH($C1591,links!$D$2:$D$501,0))),""))</f>
        <v/>
      </c>
      <c r="H1591" s="30" t="str">
        <f aca="false">IF($C1591="","",IFERROR(IF(INDEX(links!$B$2:$B$501,MATCH($C1591,links!$D$2:$D$501,0))="","",INDEX(links!$B$2:$B$501,MATCH($C1591,links!$D$2:$D$501,0))),""))</f>
        <v/>
      </c>
      <c r="I1591" s="30" t="str">
        <f aca="false">IF($C1591="","",IFERROR(IF(INDEX(links!$C$2:$C$501,MATCH($C1591,links!$D$2:$D$501,0))="","",INDEX(links!$C$2:$C$501,MATCH($C1591,links!$D$2:$D$501,0))),""))</f>
        <v/>
      </c>
      <c r="J1591" s="30" t="str">
        <f aca="false">IF($C1591="","",IF($G1591="","slug not in links; ","")&amp;IF($D1591="","reading type missing; ","")&amp;IF(COUNTIFS(scans!$C$2:$C$1601,$C1591,scans!$D$2:$D$1601,$D1591)&gt;1,"two readings of this type: keep one; ",""))</f>
        <v/>
      </c>
    </row>
    <row r="1592" customFormat="false" ht="15" hidden="false" customHeight="false" outlineLevel="0" collapsed="false">
      <c r="A1592" s="11"/>
      <c r="B1592" s="38"/>
      <c r="D1592" s="10"/>
      <c r="G1592" s="30" t="str">
        <f aca="false">IF($C1592="","",IFERROR(IF(INDEX(links!$A$2:$A$501,MATCH($C1592,links!$D$2:$D$501,0))="","",INDEX(links!$A$2:$A$501,MATCH($C1592,links!$D$2:$D$501,0))),""))</f>
        <v/>
      </c>
      <c r="H1592" s="30" t="str">
        <f aca="false">IF($C1592="","",IFERROR(IF(INDEX(links!$B$2:$B$501,MATCH($C1592,links!$D$2:$D$501,0))="","",INDEX(links!$B$2:$B$501,MATCH($C1592,links!$D$2:$D$501,0))),""))</f>
        <v/>
      </c>
      <c r="I1592" s="30" t="str">
        <f aca="false">IF($C1592="","",IFERROR(IF(INDEX(links!$C$2:$C$501,MATCH($C1592,links!$D$2:$D$501,0))="","",INDEX(links!$C$2:$C$501,MATCH($C1592,links!$D$2:$D$501,0))),""))</f>
        <v/>
      </c>
      <c r="J1592" s="30" t="str">
        <f aca="false">IF($C1592="","",IF($G1592="","slug not in links; ","")&amp;IF($D1592="","reading type missing; ","")&amp;IF(COUNTIFS(scans!$C$2:$C$1601,$C1592,scans!$D$2:$D$1601,$D1592)&gt;1,"two readings of this type: keep one; ",""))</f>
        <v/>
      </c>
    </row>
    <row r="1593" customFormat="false" ht="15" hidden="false" customHeight="false" outlineLevel="0" collapsed="false">
      <c r="A1593" s="11"/>
      <c r="B1593" s="38"/>
      <c r="D1593" s="10"/>
      <c r="G1593" s="30" t="str">
        <f aca="false">IF($C1593="","",IFERROR(IF(INDEX(links!$A$2:$A$501,MATCH($C1593,links!$D$2:$D$501,0))="","",INDEX(links!$A$2:$A$501,MATCH($C1593,links!$D$2:$D$501,0))),""))</f>
        <v/>
      </c>
      <c r="H1593" s="30" t="str">
        <f aca="false">IF($C1593="","",IFERROR(IF(INDEX(links!$B$2:$B$501,MATCH($C1593,links!$D$2:$D$501,0))="","",INDEX(links!$B$2:$B$501,MATCH($C1593,links!$D$2:$D$501,0))),""))</f>
        <v/>
      </c>
      <c r="I1593" s="30" t="str">
        <f aca="false">IF($C1593="","",IFERROR(IF(INDEX(links!$C$2:$C$501,MATCH($C1593,links!$D$2:$D$501,0))="","",INDEX(links!$C$2:$C$501,MATCH($C1593,links!$D$2:$D$501,0))),""))</f>
        <v/>
      </c>
      <c r="J1593" s="30" t="str">
        <f aca="false">IF($C1593="","",IF($G1593="","slug not in links; ","")&amp;IF($D1593="","reading type missing; ","")&amp;IF(COUNTIFS(scans!$C$2:$C$1601,$C1593,scans!$D$2:$D$1601,$D1593)&gt;1,"two readings of this type: keep one; ",""))</f>
        <v/>
      </c>
    </row>
    <row r="1594" customFormat="false" ht="15" hidden="false" customHeight="false" outlineLevel="0" collapsed="false">
      <c r="A1594" s="11"/>
      <c r="B1594" s="38"/>
      <c r="D1594" s="10"/>
      <c r="G1594" s="30" t="str">
        <f aca="false">IF($C1594="","",IFERROR(IF(INDEX(links!$A$2:$A$501,MATCH($C1594,links!$D$2:$D$501,0))="","",INDEX(links!$A$2:$A$501,MATCH($C1594,links!$D$2:$D$501,0))),""))</f>
        <v/>
      </c>
      <c r="H1594" s="30" t="str">
        <f aca="false">IF($C1594="","",IFERROR(IF(INDEX(links!$B$2:$B$501,MATCH($C1594,links!$D$2:$D$501,0))="","",INDEX(links!$B$2:$B$501,MATCH($C1594,links!$D$2:$D$501,0))),""))</f>
        <v/>
      </c>
      <c r="I1594" s="30" t="str">
        <f aca="false">IF($C1594="","",IFERROR(IF(INDEX(links!$C$2:$C$501,MATCH($C1594,links!$D$2:$D$501,0))="","",INDEX(links!$C$2:$C$501,MATCH($C1594,links!$D$2:$D$501,0))),""))</f>
        <v/>
      </c>
      <c r="J1594" s="30" t="str">
        <f aca="false">IF($C1594="","",IF($G1594="","slug not in links; ","")&amp;IF($D1594="","reading type missing; ","")&amp;IF(COUNTIFS(scans!$C$2:$C$1601,$C1594,scans!$D$2:$D$1601,$D1594)&gt;1,"two readings of this type: keep one; ",""))</f>
        <v/>
      </c>
    </row>
    <row r="1595" customFormat="false" ht="15" hidden="false" customHeight="false" outlineLevel="0" collapsed="false">
      <c r="A1595" s="11"/>
      <c r="B1595" s="38"/>
      <c r="D1595" s="10"/>
      <c r="G1595" s="30" t="str">
        <f aca="false">IF($C1595="","",IFERROR(IF(INDEX(links!$A$2:$A$501,MATCH($C1595,links!$D$2:$D$501,0))="","",INDEX(links!$A$2:$A$501,MATCH($C1595,links!$D$2:$D$501,0))),""))</f>
        <v/>
      </c>
      <c r="H1595" s="30" t="str">
        <f aca="false">IF($C1595="","",IFERROR(IF(INDEX(links!$B$2:$B$501,MATCH($C1595,links!$D$2:$D$501,0))="","",INDEX(links!$B$2:$B$501,MATCH($C1595,links!$D$2:$D$501,0))),""))</f>
        <v/>
      </c>
      <c r="I1595" s="30" t="str">
        <f aca="false">IF($C1595="","",IFERROR(IF(INDEX(links!$C$2:$C$501,MATCH($C1595,links!$D$2:$D$501,0))="","",INDEX(links!$C$2:$C$501,MATCH($C1595,links!$D$2:$D$501,0))),""))</f>
        <v/>
      </c>
      <c r="J1595" s="30" t="str">
        <f aca="false">IF($C1595="","",IF($G1595="","slug not in links; ","")&amp;IF($D1595="","reading type missing; ","")&amp;IF(COUNTIFS(scans!$C$2:$C$1601,$C1595,scans!$D$2:$D$1601,$D1595)&gt;1,"two readings of this type: keep one; ",""))</f>
        <v/>
      </c>
    </row>
    <row r="1596" customFormat="false" ht="15" hidden="false" customHeight="false" outlineLevel="0" collapsed="false">
      <c r="A1596" s="11"/>
      <c r="B1596" s="38"/>
      <c r="D1596" s="10"/>
      <c r="G1596" s="30" t="str">
        <f aca="false">IF($C1596="","",IFERROR(IF(INDEX(links!$A$2:$A$501,MATCH($C1596,links!$D$2:$D$501,0))="","",INDEX(links!$A$2:$A$501,MATCH($C1596,links!$D$2:$D$501,0))),""))</f>
        <v/>
      </c>
      <c r="H1596" s="30" t="str">
        <f aca="false">IF($C1596="","",IFERROR(IF(INDEX(links!$B$2:$B$501,MATCH($C1596,links!$D$2:$D$501,0))="","",INDEX(links!$B$2:$B$501,MATCH($C1596,links!$D$2:$D$501,0))),""))</f>
        <v/>
      </c>
      <c r="I1596" s="30" t="str">
        <f aca="false">IF($C1596="","",IFERROR(IF(INDEX(links!$C$2:$C$501,MATCH($C1596,links!$D$2:$D$501,0))="","",INDEX(links!$C$2:$C$501,MATCH($C1596,links!$D$2:$D$501,0))),""))</f>
        <v/>
      </c>
      <c r="J1596" s="30" t="str">
        <f aca="false">IF($C1596="","",IF($G1596="","slug not in links; ","")&amp;IF($D1596="","reading type missing; ","")&amp;IF(COUNTIFS(scans!$C$2:$C$1601,$C1596,scans!$D$2:$D$1601,$D1596)&gt;1,"two readings of this type: keep one; ",""))</f>
        <v/>
      </c>
    </row>
    <row r="1597" customFormat="false" ht="15" hidden="false" customHeight="false" outlineLevel="0" collapsed="false">
      <c r="A1597" s="11"/>
      <c r="B1597" s="38"/>
      <c r="D1597" s="10"/>
      <c r="G1597" s="30" t="str">
        <f aca="false">IF($C1597="","",IFERROR(IF(INDEX(links!$A$2:$A$501,MATCH($C1597,links!$D$2:$D$501,0))="","",INDEX(links!$A$2:$A$501,MATCH($C1597,links!$D$2:$D$501,0))),""))</f>
        <v/>
      </c>
      <c r="H1597" s="30" t="str">
        <f aca="false">IF($C1597="","",IFERROR(IF(INDEX(links!$B$2:$B$501,MATCH($C1597,links!$D$2:$D$501,0))="","",INDEX(links!$B$2:$B$501,MATCH($C1597,links!$D$2:$D$501,0))),""))</f>
        <v/>
      </c>
      <c r="I1597" s="30" t="str">
        <f aca="false">IF($C1597="","",IFERROR(IF(INDEX(links!$C$2:$C$501,MATCH($C1597,links!$D$2:$D$501,0))="","",INDEX(links!$C$2:$C$501,MATCH($C1597,links!$D$2:$D$501,0))),""))</f>
        <v/>
      </c>
      <c r="J1597" s="30" t="str">
        <f aca="false">IF($C1597="","",IF($G1597="","slug not in links; ","")&amp;IF($D1597="","reading type missing; ","")&amp;IF(COUNTIFS(scans!$C$2:$C$1601,$C1597,scans!$D$2:$D$1601,$D1597)&gt;1,"two readings of this type: keep one; ",""))</f>
        <v/>
      </c>
    </row>
    <row r="1598" customFormat="false" ht="15" hidden="false" customHeight="false" outlineLevel="0" collapsed="false">
      <c r="A1598" s="11"/>
      <c r="B1598" s="38"/>
      <c r="D1598" s="10"/>
      <c r="G1598" s="30" t="str">
        <f aca="false">IF($C1598="","",IFERROR(IF(INDEX(links!$A$2:$A$501,MATCH($C1598,links!$D$2:$D$501,0))="","",INDEX(links!$A$2:$A$501,MATCH($C1598,links!$D$2:$D$501,0))),""))</f>
        <v/>
      </c>
      <c r="H1598" s="30" t="str">
        <f aca="false">IF($C1598="","",IFERROR(IF(INDEX(links!$B$2:$B$501,MATCH($C1598,links!$D$2:$D$501,0))="","",INDEX(links!$B$2:$B$501,MATCH($C1598,links!$D$2:$D$501,0))),""))</f>
        <v/>
      </c>
      <c r="I1598" s="30" t="str">
        <f aca="false">IF($C1598="","",IFERROR(IF(INDEX(links!$C$2:$C$501,MATCH($C1598,links!$D$2:$D$501,0))="","",INDEX(links!$C$2:$C$501,MATCH($C1598,links!$D$2:$D$501,0))),""))</f>
        <v/>
      </c>
      <c r="J1598" s="30" t="str">
        <f aca="false">IF($C1598="","",IF($G1598="","slug not in links; ","")&amp;IF($D1598="","reading type missing; ","")&amp;IF(COUNTIFS(scans!$C$2:$C$1601,$C1598,scans!$D$2:$D$1601,$D1598)&gt;1,"two readings of this type: keep one; ",""))</f>
        <v/>
      </c>
    </row>
    <row r="1599" customFormat="false" ht="15" hidden="false" customHeight="false" outlineLevel="0" collapsed="false">
      <c r="A1599" s="11"/>
      <c r="B1599" s="38"/>
      <c r="D1599" s="10"/>
      <c r="G1599" s="30" t="str">
        <f aca="false">IF($C1599="","",IFERROR(IF(INDEX(links!$A$2:$A$501,MATCH($C1599,links!$D$2:$D$501,0))="","",INDEX(links!$A$2:$A$501,MATCH($C1599,links!$D$2:$D$501,0))),""))</f>
        <v/>
      </c>
      <c r="H1599" s="30" t="str">
        <f aca="false">IF($C1599="","",IFERROR(IF(INDEX(links!$B$2:$B$501,MATCH($C1599,links!$D$2:$D$501,0))="","",INDEX(links!$B$2:$B$501,MATCH($C1599,links!$D$2:$D$501,0))),""))</f>
        <v/>
      </c>
      <c r="I1599" s="30" t="str">
        <f aca="false">IF($C1599="","",IFERROR(IF(INDEX(links!$C$2:$C$501,MATCH($C1599,links!$D$2:$D$501,0))="","",INDEX(links!$C$2:$C$501,MATCH($C1599,links!$D$2:$D$501,0))),""))</f>
        <v/>
      </c>
      <c r="J1599" s="30" t="str">
        <f aca="false">IF($C1599="","",IF($G1599="","slug not in links; ","")&amp;IF($D1599="","reading type missing; ","")&amp;IF(COUNTIFS(scans!$C$2:$C$1601,$C1599,scans!$D$2:$D$1601,$D1599)&gt;1,"two readings of this type: keep one; ",""))</f>
        <v/>
      </c>
    </row>
    <row r="1600" customFormat="false" ht="15" hidden="false" customHeight="false" outlineLevel="0" collapsed="false">
      <c r="A1600" s="11"/>
      <c r="B1600" s="38"/>
      <c r="D1600" s="10"/>
      <c r="G1600" s="30" t="str">
        <f aca="false">IF($C1600="","",IFERROR(IF(INDEX(links!$A$2:$A$501,MATCH($C1600,links!$D$2:$D$501,0))="","",INDEX(links!$A$2:$A$501,MATCH($C1600,links!$D$2:$D$501,0))),""))</f>
        <v/>
      </c>
      <c r="H1600" s="30" t="str">
        <f aca="false">IF($C1600="","",IFERROR(IF(INDEX(links!$B$2:$B$501,MATCH($C1600,links!$D$2:$D$501,0))="","",INDEX(links!$B$2:$B$501,MATCH($C1600,links!$D$2:$D$501,0))),""))</f>
        <v/>
      </c>
      <c r="I1600" s="30" t="str">
        <f aca="false">IF($C1600="","",IFERROR(IF(INDEX(links!$C$2:$C$501,MATCH($C1600,links!$D$2:$D$501,0))="","",INDEX(links!$C$2:$C$501,MATCH($C1600,links!$D$2:$D$501,0))),""))</f>
        <v/>
      </c>
      <c r="J1600" s="30" t="str">
        <f aca="false">IF($C1600="","",IF($G1600="","slug not in links; ","")&amp;IF($D1600="","reading type missing; ","")&amp;IF(COUNTIFS(scans!$C$2:$C$1601,$C1600,scans!$D$2:$D$1601,$D1600)&gt;1,"two readings of this type: keep one; ",""))</f>
        <v/>
      </c>
    </row>
    <row r="1601" customFormat="false" ht="15" hidden="false" customHeight="false" outlineLevel="0" collapsed="false">
      <c r="A1601" s="11"/>
      <c r="B1601" s="38"/>
      <c r="D1601" s="10"/>
      <c r="G1601" s="30" t="str">
        <f aca="false">IF($C1601="","",IFERROR(IF(INDEX(links!$A$2:$A$501,MATCH($C1601,links!$D$2:$D$501,0))="","",INDEX(links!$A$2:$A$501,MATCH($C1601,links!$D$2:$D$501,0))),""))</f>
        <v/>
      </c>
      <c r="H1601" s="30" t="str">
        <f aca="false">IF($C1601="","",IFERROR(IF(INDEX(links!$B$2:$B$501,MATCH($C1601,links!$D$2:$D$501,0))="","",INDEX(links!$B$2:$B$501,MATCH($C1601,links!$D$2:$D$501,0))),""))</f>
        <v/>
      </c>
      <c r="I1601" s="30" t="str">
        <f aca="false">IF($C1601="","",IFERROR(IF(INDEX(links!$C$2:$C$501,MATCH($C1601,links!$D$2:$D$501,0))="","",INDEX(links!$C$2:$C$501,MATCH($C1601,links!$D$2:$D$501,0))),""))</f>
        <v/>
      </c>
      <c r="J1601" s="30" t="str">
        <f aca="false">IF($C1601="","",IF($G1601="","slug not in links; ","")&amp;IF($D1601="","reading type missing; ","")&amp;IF(COUNTIFS(scans!$C$2:$C$1601,$C1601,scans!$D$2:$D$1601,$D1601)&gt;1,"two readings of this type: keep one; ",""))</f>
        <v/>
      </c>
    </row>
  </sheetData>
  <conditionalFormatting sqref="J2:J1601">
    <cfRule type="expression" priority="2" aboveAverage="0" equalAverage="0" bottom="0" percent="0" rank="0" text="" dxfId="1">
      <formula>LEN(J2)&gt;0</formula>
    </cfRule>
  </conditionalFormatting>
  <dataValidations count="1">
    <dataValidation allowBlank="true" error="Pick a value from the list." errorStyle="stop" errorTitle="Not on the list" operator="between" showDropDown="false" showErrorMessage="true" showInputMessage="false" sqref="D2:D1601" type="list">
      <formula1>"baseline,mid,close,late"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2EFDA"/>
    <pageSetUpPr fitToPage="false"/>
  </sheetPr>
  <dimension ref="A1:H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4" min="4" style="0" width="14"/>
    <col collapsed="false" customWidth="true" hidden="false" outlineLevel="0" max="5" min="5" style="0" width="16"/>
    <col collapsed="false" customWidth="true" hidden="false" outlineLevel="0" max="6" min="6" style="0" width="24"/>
    <col collapsed="false" customWidth="true" hidden="false" outlineLevel="0" max="8" min="7" style="0" width="7"/>
  </cols>
  <sheetData>
    <row r="1" customFormat="false" ht="15" hidden="false" customHeight="false" outlineLevel="0" collapsed="false">
      <c r="A1" s="28" t="s">
        <v>358</v>
      </c>
      <c r="B1" s="28" t="s">
        <v>1261</v>
      </c>
      <c r="C1" s="28" t="s">
        <v>1262</v>
      </c>
      <c r="D1" s="28" t="s">
        <v>1263</v>
      </c>
      <c r="E1" s="28" t="s">
        <v>1264</v>
      </c>
      <c r="F1" s="28" t="s">
        <v>178</v>
      </c>
      <c r="G1" s="29" t="s">
        <v>1265</v>
      </c>
      <c r="H1" s="29" t="s">
        <v>1266</v>
      </c>
    </row>
    <row r="2" customFormat="false" ht="15" hidden="false" customHeight="false" outlineLevel="0" collapsed="false">
      <c r="A2" s="0" t="s">
        <v>472</v>
      </c>
      <c r="B2" s="11" t="n">
        <v>46408</v>
      </c>
      <c r="C2" s="0" t="n">
        <v>6</v>
      </c>
      <c r="D2" s="11" t="n">
        <v>46408</v>
      </c>
      <c r="E2" s="10" t="s">
        <v>1267</v>
      </c>
      <c r="G2" s="39" t="n">
        <f aca="false">IF(OR($A2="",$B2="",IFERROR(IF(INDEX(campaigns!$BG$2:$BG$51,MATCH($A2,campaigns!$A$2:$A$51,0))="","",INDEX(campaigns!$BG$2:$BG$51,MATCH($A2,campaigns!$A$2:$A$51,0))),"")=""),"",$B2-N(IFERROR(IF(INDEX(campaigns!$BG$2:$BG$51,MATCH($A2,campaigns!$A$2:$A$51,0))="","",INDEX(campaigns!$BG$2:$BG$51,MATCH($A2,campaigns!$A$2:$A$51,0))),"")))</f>
        <v>9</v>
      </c>
      <c r="H2" s="30" t="str">
        <f aca="false">IF($G2="","",IF($G2&gt;=30,"Y","N"))</f>
        <v>N</v>
      </c>
    </row>
    <row r="3" customFormat="false" ht="15" hidden="false" customHeight="false" outlineLevel="0" collapsed="false">
      <c r="A3" s="0" t="s">
        <v>498</v>
      </c>
      <c r="B3" s="11" t="n">
        <v>46408</v>
      </c>
      <c r="C3" s="0" t="n">
        <v>2</v>
      </c>
      <c r="D3" s="11" t="n">
        <v>46408</v>
      </c>
      <c r="E3" s="10" t="s">
        <v>1267</v>
      </c>
      <c r="G3" s="39" t="n">
        <f aca="false">IF(OR($A3="",$B3="",IFERROR(IF(INDEX(campaigns!$BG$2:$BG$51,MATCH($A3,campaigns!$A$2:$A$51,0))="","",INDEX(campaigns!$BG$2:$BG$51,MATCH($A3,campaigns!$A$2:$A$51,0))),"")=""),"",$B3-N(IFERROR(IF(INDEX(campaigns!$BG$2:$BG$51,MATCH($A3,campaigns!$A$2:$A$51,0))="","",INDEX(campaigns!$BG$2:$BG$51,MATCH($A3,campaigns!$A$2:$A$51,0))),"")))</f>
        <v>9</v>
      </c>
      <c r="H3" s="30" t="str">
        <f aca="false">IF($G3="","",IF($G3&gt;=30,"Y","N"))</f>
        <v>N</v>
      </c>
    </row>
    <row r="4" customFormat="false" ht="15" hidden="false" customHeight="false" outlineLevel="0" collapsed="false">
      <c r="A4" s="0" t="s">
        <v>472</v>
      </c>
      <c r="B4" s="11" t="n">
        <v>46429</v>
      </c>
      <c r="C4" s="0" t="n">
        <v>11</v>
      </c>
      <c r="D4" s="11" t="n">
        <v>46429</v>
      </c>
      <c r="E4" s="10" t="s">
        <v>1267</v>
      </c>
      <c r="G4" s="39" t="n">
        <f aca="false">IF(OR($A4="",$B4="",IFERROR(IF(INDEX(campaigns!$BG$2:$BG$51,MATCH($A4,campaigns!$A$2:$A$51,0))="","",INDEX(campaigns!$BG$2:$BG$51,MATCH($A4,campaigns!$A$2:$A$51,0))),"")=""),"",$B4-N(IFERROR(IF(INDEX(campaigns!$BG$2:$BG$51,MATCH($A4,campaigns!$A$2:$A$51,0))="","",INDEX(campaigns!$BG$2:$BG$51,MATCH($A4,campaigns!$A$2:$A$51,0))),"")))</f>
        <v>30</v>
      </c>
      <c r="H4" s="30" t="str">
        <f aca="false">IF($G4="","",IF($G4&gt;=30,"Y","N"))</f>
        <v>Y</v>
      </c>
    </row>
    <row r="5" customFormat="false" ht="15" hidden="false" customHeight="false" outlineLevel="0" collapsed="false">
      <c r="A5" s="0" t="s">
        <v>498</v>
      </c>
      <c r="B5" s="11" t="n">
        <v>46430</v>
      </c>
      <c r="C5" s="0" t="n">
        <v>4</v>
      </c>
      <c r="D5" s="11" t="n">
        <v>46430</v>
      </c>
      <c r="E5" s="10" t="s">
        <v>1267</v>
      </c>
      <c r="G5" s="39" t="n">
        <f aca="false">IF(OR($A5="",$B5="",IFERROR(IF(INDEX(campaigns!$BG$2:$BG$51,MATCH($A5,campaigns!$A$2:$A$51,0))="","",INDEX(campaigns!$BG$2:$BG$51,MATCH($A5,campaigns!$A$2:$A$51,0))),"")=""),"",$B5-N(IFERROR(IF(INDEX(campaigns!$BG$2:$BG$51,MATCH($A5,campaigns!$A$2:$A$51,0))="","",INDEX(campaigns!$BG$2:$BG$51,MATCH($A5,campaigns!$A$2:$A$51,0))),"")))</f>
        <v>31</v>
      </c>
      <c r="H5" s="30" t="str">
        <f aca="false">IF($G5="","",IF($G5&gt;=30,"Y","N"))</f>
        <v>Y</v>
      </c>
    </row>
    <row r="6" customFormat="false" ht="15" hidden="false" customHeight="false" outlineLevel="0" collapsed="false">
      <c r="A6" s="0" t="s">
        <v>516</v>
      </c>
      <c r="B6" s="11" t="n">
        <v>46436</v>
      </c>
      <c r="C6" s="0" t="n">
        <v>9</v>
      </c>
      <c r="D6" s="11" t="n">
        <v>46436</v>
      </c>
      <c r="E6" s="10" t="s">
        <v>1268</v>
      </c>
      <c r="G6" s="39" t="n">
        <f aca="false">IF(OR($A6="",$B6="",IFERROR(IF(INDEX(campaigns!$BG$2:$BG$51,MATCH($A6,campaigns!$A$2:$A$51,0))="","",INDEX(campaigns!$BG$2:$BG$51,MATCH($A6,campaigns!$A$2:$A$51,0))),"")=""),"",$B6-N(IFERROR(IF(INDEX(campaigns!$BG$2:$BG$51,MATCH($A6,campaigns!$A$2:$A$51,0))="","",INDEX(campaigns!$BG$2:$BG$51,MATCH($A6,campaigns!$A$2:$A$51,0))),"")))</f>
        <v>9</v>
      </c>
      <c r="H6" s="30" t="str">
        <f aca="false">IF($G6="","",IF($G6&gt;=30,"Y","N"))</f>
        <v>N</v>
      </c>
    </row>
    <row r="7" customFormat="false" ht="15" hidden="false" customHeight="false" outlineLevel="0" collapsed="false">
      <c r="A7" s="0" t="s">
        <v>532</v>
      </c>
      <c r="B7" s="11" t="n">
        <v>46436</v>
      </c>
      <c r="C7" s="0" t="n">
        <v>5</v>
      </c>
      <c r="D7" s="11" t="n">
        <v>46436</v>
      </c>
      <c r="E7" s="10" t="s">
        <v>1268</v>
      </c>
      <c r="G7" s="39" t="n">
        <f aca="false">IF(OR($A7="",$B7="",IFERROR(IF(INDEX(campaigns!$BG$2:$BG$51,MATCH($A7,campaigns!$A$2:$A$51,0))="","",INDEX(campaigns!$BG$2:$BG$51,MATCH($A7,campaigns!$A$2:$A$51,0))),"")=""),"",$B7-N(IFERROR(IF(INDEX(campaigns!$BG$2:$BG$51,MATCH($A7,campaigns!$A$2:$A$51,0))="","",INDEX(campaigns!$BG$2:$BG$51,MATCH($A7,campaigns!$A$2:$A$51,0))),"")))</f>
        <v>9</v>
      </c>
      <c r="H7" s="30" t="str">
        <f aca="false">IF($G7="","",IF($G7&gt;=30,"Y","N"))</f>
        <v>N</v>
      </c>
    </row>
    <row r="8" customFormat="false" ht="15" hidden="false" customHeight="false" outlineLevel="0" collapsed="false">
      <c r="A8" s="0" t="s">
        <v>549</v>
      </c>
      <c r="B8" s="11" t="n">
        <v>46436</v>
      </c>
      <c r="C8" s="0" t="n">
        <v>12</v>
      </c>
      <c r="D8" s="11" t="n">
        <v>46436</v>
      </c>
      <c r="E8" s="10" t="s">
        <v>1268</v>
      </c>
      <c r="G8" s="39" t="n">
        <f aca="false">IF(OR($A8="",$B8="",IFERROR(IF(INDEX(campaigns!$BG$2:$BG$51,MATCH($A8,campaigns!$A$2:$A$51,0))="","",INDEX(campaigns!$BG$2:$BG$51,MATCH($A8,campaigns!$A$2:$A$51,0))),"")=""),"",$B8-N(IFERROR(IF(INDEX(campaigns!$BG$2:$BG$51,MATCH($A8,campaigns!$A$2:$A$51,0))="","",INDEX(campaigns!$BG$2:$BG$51,MATCH($A8,campaigns!$A$2:$A$51,0))),"")))</f>
        <v>9</v>
      </c>
      <c r="H8" s="30" t="str">
        <f aca="false">IF($G8="","",IF($G8&gt;=30,"Y","N"))</f>
        <v>N</v>
      </c>
    </row>
    <row r="9" customFormat="false" ht="15" hidden="false" customHeight="false" outlineLevel="0" collapsed="false">
      <c r="A9" s="0" t="s">
        <v>516</v>
      </c>
      <c r="B9" s="11" t="n">
        <v>46457</v>
      </c>
      <c r="C9" s="0" t="n">
        <v>17</v>
      </c>
      <c r="D9" s="11" t="n">
        <v>46457</v>
      </c>
      <c r="E9" s="10" t="s">
        <v>1268</v>
      </c>
      <c r="G9" s="39" t="n">
        <f aca="false">IF(OR($A9="",$B9="",IFERROR(IF(INDEX(campaigns!$BG$2:$BG$51,MATCH($A9,campaigns!$A$2:$A$51,0))="","",INDEX(campaigns!$BG$2:$BG$51,MATCH($A9,campaigns!$A$2:$A$51,0))),"")=""),"",$B9-N(IFERROR(IF(INDEX(campaigns!$BG$2:$BG$51,MATCH($A9,campaigns!$A$2:$A$51,0))="","",INDEX(campaigns!$BG$2:$BG$51,MATCH($A9,campaigns!$A$2:$A$51,0))),"")))</f>
        <v>30</v>
      </c>
      <c r="H9" s="30" t="str">
        <f aca="false">IF($G9="","",IF($G9&gt;=30,"Y","N"))</f>
        <v>Y</v>
      </c>
    </row>
    <row r="10" customFormat="false" ht="15" hidden="false" customHeight="false" outlineLevel="0" collapsed="false">
      <c r="A10" s="0" t="s">
        <v>532</v>
      </c>
      <c r="B10" s="11" t="n">
        <v>46457</v>
      </c>
      <c r="C10" s="0" t="n">
        <v>8</v>
      </c>
      <c r="D10" s="11" t="n">
        <v>46457</v>
      </c>
      <c r="E10" s="10" t="s">
        <v>1268</v>
      </c>
      <c r="G10" s="39" t="n">
        <f aca="false">IF(OR($A10="",$B10="",IFERROR(IF(INDEX(campaigns!$BG$2:$BG$51,MATCH($A10,campaigns!$A$2:$A$51,0))="","",INDEX(campaigns!$BG$2:$BG$51,MATCH($A10,campaigns!$A$2:$A$51,0))),"")=""),"",$B10-N(IFERROR(IF(INDEX(campaigns!$BG$2:$BG$51,MATCH($A10,campaigns!$A$2:$A$51,0))="","",INDEX(campaigns!$BG$2:$BG$51,MATCH($A10,campaigns!$A$2:$A$51,0))),"")))</f>
        <v>30</v>
      </c>
      <c r="H10" s="30" t="str">
        <f aca="false">IF($G10="","",IF($G10&gt;=30,"Y","N"))</f>
        <v>Y</v>
      </c>
    </row>
    <row r="11" customFormat="false" ht="15" hidden="false" customHeight="false" outlineLevel="0" collapsed="false">
      <c r="A11" s="0" t="s">
        <v>549</v>
      </c>
      <c r="B11" s="11" t="n">
        <v>46457</v>
      </c>
      <c r="C11" s="0" t="n">
        <v>21</v>
      </c>
      <c r="D11" s="11" t="n">
        <v>46457</v>
      </c>
      <c r="E11" s="10" t="s">
        <v>1268</v>
      </c>
      <c r="G11" s="39" t="n">
        <f aca="false">IF(OR($A11="",$B11="",IFERROR(IF(INDEX(campaigns!$BG$2:$BG$51,MATCH($A11,campaigns!$A$2:$A$51,0))="","",INDEX(campaigns!$BG$2:$BG$51,MATCH($A11,campaigns!$A$2:$A$51,0))),"")=""),"",$B11-N(IFERROR(IF(INDEX(campaigns!$BG$2:$BG$51,MATCH($A11,campaigns!$A$2:$A$51,0))="","",INDEX(campaigns!$BG$2:$BG$51,MATCH($A11,campaigns!$A$2:$A$51,0))),"")))</f>
        <v>30</v>
      </c>
      <c r="H11" s="30" t="str">
        <f aca="false">IF($G11="","",IF($G11&gt;=30,"Y","N"))</f>
        <v>Y</v>
      </c>
    </row>
    <row r="12" customFormat="false" ht="15" hidden="false" customHeight="false" outlineLevel="0" collapsed="false">
      <c r="A12" s="0" t="s">
        <v>563</v>
      </c>
      <c r="B12" s="11" t="n">
        <v>46449</v>
      </c>
      <c r="C12" s="0" t="n">
        <v>7</v>
      </c>
      <c r="D12" s="11" t="n">
        <v>46449</v>
      </c>
      <c r="E12" s="10" t="s">
        <v>1267</v>
      </c>
      <c r="G12" s="39" t="n">
        <f aca="false">IF(OR($A12="",$B12="",IFERROR(IF(INDEX(campaigns!$BG$2:$BG$51,MATCH($A12,campaigns!$A$2:$A$51,0))="","",INDEX(campaigns!$BG$2:$BG$51,MATCH($A12,campaigns!$A$2:$A$51,0))),"")=""),"",$B12-N(IFERROR(IF(INDEX(campaigns!$BG$2:$BG$51,MATCH($A12,campaigns!$A$2:$A$51,0))="","",INDEX(campaigns!$BG$2:$BG$51,MATCH($A12,campaigns!$A$2:$A$51,0))),"")))</f>
        <v>8</v>
      </c>
      <c r="H12" s="30" t="str">
        <f aca="false">IF($G12="","",IF($G12&gt;=30,"Y","N"))</f>
        <v>N</v>
      </c>
    </row>
    <row r="13" customFormat="false" ht="15" hidden="false" customHeight="false" outlineLevel="0" collapsed="false">
      <c r="A13" s="0" t="s">
        <v>563</v>
      </c>
      <c r="B13" s="11" t="n">
        <v>46471</v>
      </c>
      <c r="C13" s="0" t="n">
        <v>13</v>
      </c>
      <c r="D13" s="11" t="n">
        <v>46471</v>
      </c>
      <c r="E13" s="10" t="s">
        <v>1267</v>
      </c>
      <c r="G13" s="39" t="n">
        <f aca="false">IF(OR($A13="",$B13="",IFERROR(IF(INDEX(campaigns!$BG$2:$BG$51,MATCH($A13,campaigns!$A$2:$A$51,0))="","",INDEX(campaigns!$BG$2:$BG$51,MATCH($A13,campaigns!$A$2:$A$51,0))),"")=""),"",$B13-N(IFERROR(IF(INDEX(campaigns!$BG$2:$BG$51,MATCH($A13,campaigns!$A$2:$A$51,0))="","",INDEX(campaigns!$BG$2:$BG$51,MATCH($A13,campaigns!$A$2:$A$51,0))),"")))</f>
        <v>30</v>
      </c>
      <c r="H13" s="30" t="str">
        <f aca="false">IF($G13="","",IF($G13&gt;=30,"Y","N"))</f>
        <v>Y</v>
      </c>
    </row>
    <row r="14" customFormat="false" ht="15" hidden="false" customHeight="false" outlineLevel="0" collapsed="false">
      <c r="A14" s="0" t="s">
        <v>576</v>
      </c>
      <c r="B14" s="11" t="n">
        <v>46477</v>
      </c>
      <c r="C14" s="0" t="n">
        <v>5</v>
      </c>
      <c r="D14" s="11" t="n">
        <v>46477</v>
      </c>
      <c r="E14" s="10" t="s">
        <v>1267</v>
      </c>
      <c r="G14" s="39" t="n">
        <f aca="false">IF(OR($A14="",$B14="",IFERROR(IF(INDEX(campaigns!$BG$2:$BG$51,MATCH($A14,campaigns!$A$2:$A$51,0))="","",INDEX(campaigns!$BG$2:$BG$51,MATCH($A14,campaigns!$A$2:$A$51,0))),"")=""),"",$B14-N(IFERROR(IF(INDEX(campaigns!$BG$2:$BG$51,MATCH($A14,campaigns!$A$2:$A$51,0))="","",INDEX(campaigns!$BG$2:$BG$51,MATCH($A14,campaigns!$A$2:$A$51,0))),"")))</f>
        <v>8</v>
      </c>
      <c r="H14" s="30" t="str">
        <f aca="false">IF($G14="","",IF($G14&gt;=30,"Y","N"))</f>
        <v>N</v>
      </c>
    </row>
    <row r="15" customFormat="false" ht="15" hidden="false" customHeight="false" outlineLevel="0" collapsed="false">
      <c r="A15" s="0" t="s">
        <v>584</v>
      </c>
      <c r="B15" s="11" t="n">
        <v>46477</v>
      </c>
      <c r="C15" s="0" t="n">
        <v>7</v>
      </c>
      <c r="D15" s="11" t="n">
        <v>46477</v>
      </c>
      <c r="E15" s="10" t="s">
        <v>1267</v>
      </c>
      <c r="G15" s="39" t="n">
        <f aca="false">IF(OR($A15="",$B15="",IFERROR(IF(INDEX(campaigns!$BG$2:$BG$51,MATCH($A15,campaigns!$A$2:$A$51,0))="","",INDEX(campaigns!$BG$2:$BG$51,MATCH($A15,campaigns!$A$2:$A$51,0))),"")=""),"",$B15-N(IFERROR(IF(INDEX(campaigns!$BG$2:$BG$51,MATCH($A15,campaigns!$A$2:$A$51,0))="","",INDEX(campaigns!$BG$2:$BG$51,MATCH($A15,campaigns!$A$2:$A$51,0))),"")))</f>
        <v>8</v>
      </c>
      <c r="H15" s="30" t="str">
        <f aca="false">IF($G15="","",IF($G15&gt;=30,"Y","N"))</f>
        <v>N</v>
      </c>
    </row>
    <row r="16" customFormat="false" ht="15" hidden="false" customHeight="false" outlineLevel="0" collapsed="false">
      <c r="A16" s="0" t="s">
        <v>576</v>
      </c>
      <c r="B16" s="11" t="n">
        <v>46499</v>
      </c>
      <c r="C16" s="0" t="n">
        <v>9</v>
      </c>
      <c r="D16" s="11" t="n">
        <v>46499</v>
      </c>
      <c r="E16" s="10" t="s">
        <v>1267</v>
      </c>
      <c r="G16" s="39" t="n">
        <f aca="false">IF(OR($A16="",$B16="",IFERROR(IF(INDEX(campaigns!$BG$2:$BG$51,MATCH($A16,campaigns!$A$2:$A$51,0))="","",INDEX(campaigns!$BG$2:$BG$51,MATCH($A16,campaigns!$A$2:$A$51,0))),"")=""),"",$B16-N(IFERROR(IF(INDEX(campaigns!$BG$2:$BG$51,MATCH($A16,campaigns!$A$2:$A$51,0))="","",INDEX(campaigns!$BG$2:$BG$51,MATCH($A16,campaigns!$A$2:$A$51,0))),"")))</f>
        <v>30</v>
      </c>
      <c r="H16" s="30" t="str">
        <f aca="false">IF($G16="","",IF($G16&gt;=30,"Y","N"))</f>
        <v>Y</v>
      </c>
    </row>
    <row r="17" customFormat="false" ht="15" hidden="false" customHeight="false" outlineLevel="0" collapsed="false">
      <c r="A17" s="0" t="s">
        <v>584</v>
      </c>
      <c r="B17" s="11" t="n">
        <v>46499</v>
      </c>
      <c r="C17" s="0" t="n">
        <v>12</v>
      </c>
      <c r="D17" s="11" t="n">
        <v>46499</v>
      </c>
      <c r="E17" s="10" t="s">
        <v>1267</v>
      </c>
      <c r="G17" s="39" t="n">
        <f aca="false">IF(OR($A17="",$B17="",IFERROR(IF(INDEX(campaigns!$BG$2:$BG$51,MATCH($A17,campaigns!$A$2:$A$51,0))="","",INDEX(campaigns!$BG$2:$BG$51,MATCH($A17,campaigns!$A$2:$A$51,0))),"")=""),"",$B17-N(IFERROR(IF(INDEX(campaigns!$BG$2:$BG$51,MATCH($A17,campaigns!$A$2:$A$51,0))="","",INDEX(campaigns!$BG$2:$BG$51,MATCH($A17,campaigns!$A$2:$A$51,0))),"")))</f>
        <v>30</v>
      </c>
      <c r="H17" s="30" t="str">
        <f aca="false">IF($G17="","",IF($G17&gt;=30,"Y","N"))</f>
        <v>Y</v>
      </c>
    </row>
    <row r="18" customFormat="false" ht="15" hidden="false" customHeight="false" outlineLevel="0" collapsed="false">
      <c r="B18" s="11"/>
      <c r="D18" s="11"/>
      <c r="G18" s="30" t="str">
        <f aca="false">IF(OR($A18="",$B18="",IFERROR(IF(INDEX(campaigns!$BG$2:$BG$51,MATCH($A18,campaigns!$A$2:$A$51,0))="","",INDEX(campaigns!$BG$2:$BG$51,MATCH($A18,campaigns!$A$2:$A$51,0))),"")=""),"",$B18-N(IFERROR(IF(INDEX(campaigns!$BG$2:$BG$51,MATCH($A18,campaigns!$A$2:$A$51,0))="","",INDEX(campaigns!$BG$2:$BG$51,MATCH($A18,campaigns!$A$2:$A$51,0))),"")))</f>
        <v/>
      </c>
      <c r="H18" s="30" t="str">
        <f aca="false">IF($G18="","",IF($G18&gt;=30,"Y","N"))</f>
        <v/>
      </c>
    </row>
    <row r="19" customFormat="false" ht="15" hidden="false" customHeight="false" outlineLevel="0" collapsed="false">
      <c r="B19" s="11"/>
      <c r="D19" s="11"/>
      <c r="G19" s="30" t="str">
        <f aca="false">IF(OR($A19="",$B19="",IFERROR(IF(INDEX(campaigns!$BG$2:$BG$51,MATCH($A19,campaigns!$A$2:$A$51,0))="","",INDEX(campaigns!$BG$2:$BG$51,MATCH($A19,campaigns!$A$2:$A$51,0))),"")=""),"",$B19-N(IFERROR(IF(INDEX(campaigns!$BG$2:$BG$51,MATCH($A19,campaigns!$A$2:$A$51,0))="","",INDEX(campaigns!$BG$2:$BG$51,MATCH($A19,campaigns!$A$2:$A$51,0))),"")))</f>
        <v/>
      </c>
      <c r="H19" s="30" t="str">
        <f aca="false">IF($G19="","",IF($G19&gt;=30,"Y","N"))</f>
        <v/>
      </c>
    </row>
    <row r="20" customFormat="false" ht="15" hidden="false" customHeight="false" outlineLevel="0" collapsed="false">
      <c r="B20" s="11"/>
      <c r="D20" s="11"/>
      <c r="G20" s="30" t="str">
        <f aca="false">IF(OR($A20="",$B20="",IFERROR(IF(INDEX(campaigns!$BG$2:$BG$51,MATCH($A20,campaigns!$A$2:$A$51,0))="","",INDEX(campaigns!$BG$2:$BG$51,MATCH($A20,campaigns!$A$2:$A$51,0))),"")=""),"",$B20-N(IFERROR(IF(INDEX(campaigns!$BG$2:$BG$51,MATCH($A20,campaigns!$A$2:$A$51,0))="","",INDEX(campaigns!$BG$2:$BG$51,MATCH($A20,campaigns!$A$2:$A$51,0))),"")))</f>
        <v/>
      </c>
      <c r="H20" s="30" t="str">
        <f aca="false">IF($G20="","",IF($G20&gt;=30,"Y","N"))</f>
        <v/>
      </c>
    </row>
    <row r="21" customFormat="false" ht="15" hidden="false" customHeight="false" outlineLevel="0" collapsed="false">
      <c r="B21" s="11"/>
      <c r="D21" s="11"/>
      <c r="G21" s="30" t="str">
        <f aca="false">IF(OR($A21="",$B21="",IFERROR(IF(INDEX(campaigns!$BG$2:$BG$51,MATCH($A21,campaigns!$A$2:$A$51,0))="","",INDEX(campaigns!$BG$2:$BG$51,MATCH($A21,campaigns!$A$2:$A$51,0))),"")=""),"",$B21-N(IFERROR(IF(INDEX(campaigns!$BG$2:$BG$51,MATCH($A21,campaigns!$A$2:$A$51,0))="","",INDEX(campaigns!$BG$2:$BG$51,MATCH($A21,campaigns!$A$2:$A$51,0))),"")))</f>
        <v/>
      </c>
      <c r="H21" s="30" t="str">
        <f aca="false">IF($G21="","",IF($G21&gt;=30,"Y","N"))</f>
        <v/>
      </c>
    </row>
    <row r="22" customFormat="false" ht="15" hidden="false" customHeight="false" outlineLevel="0" collapsed="false">
      <c r="B22" s="11"/>
      <c r="D22" s="11"/>
      <c r="G22" s="30" t="str">
        <f aca="false">IF(OR($A22="",$B22="",IFERROR(IF(INDEX(campaigns!$BG$2:$BG$51,MATCH($A22,campaigns!$A$2:$A$51,0))="","",INDEX(campaigns!$BG$2:$BG$51,MATCH($A22,campaigns!$A$2:$A$51,0))),"")=""),"",$B22-N(IFERROR(IF(INDEX(campaigns!$BG$2:$BG$51,MATCH($A22,campaigns!$A$2:$A$51,0))="","",INDEX(campaigns!$BG$2:$BG$51,MATCH($A22,campaigns!$A$2:$A$51,0))),"")))</f>
        <v/>
      </c>
      <c r="H22" s="30" t="str">
        <f aca="false">IF($G22="","",IF($G22&gt;=30,"Y","N"))</f>
        <v/>
      </c>
    </row>
    <row r="23" customFormat="false" ht="15" hidden="false" customHeight="false" outlineLevel="0" collapsed="false">
      <c r="B23" s="11"/>
      <c r="D23" s="11"/>
      <c r="G23" s="30" t="str">
        <f aca="false">IF(OR($A23="",$B23="",IFERROR(IF(INDEX(campaigns!$BG$2:$BG$51,MATCH($A23,campaigns!$A$2:$A$51,0))="","",INDEX(campaigns!$BG$2:$BG$51,MATCH($A23,campaigns!$A$2:$A$51,0))),"")=""),"",$B23-N(IFERROR(IF(INDEX(campaigns!$BG$2:$BG$51,MATCH($A23,campaigns!$A$2:$A$51,0))="","",INDEX(campaigns!$BG$2:$BG$51,MATCH($A23,campaigns!$A$2:$A$51,0))),"")))</f>
        <v/>
      </c>
      <c r="H23" s="30" t="str">
        <f aca="false">IF($G23="","",IF($G23&gt;=30,"Y","N"))</f>
        <v/>
      </c>
    </row>
    <row r="24" customFormat="false" ht="15" hidden="false" customHeight="false" outlineLevel="0" collapsed="false">
      <c r="B24" s="11"/>
      <c r="D24" s="11"/>
      <c r="G24" s="30" t="str">
        <f aca="false">IF(OR($A24="",$B24="",IFERROR(IF(INDEX(campaigns!$BG$2:$BG$51,MATCH($A24,campaigns!$A$2:$A$51,0))="","",INDEX(campaigns!$BG$2:$BG$51,MATCH($A24,campaigns!$A$2:$A$51,0))),"")=""),"",$B24-N(IFERROR(IF(INDEX(campaigns!$BG$2:$BG$51,MATCH($A24,campaigns!$A$2:$A$51,0))="","",INDEX(campaigns!$BG$2:$BG$51,MATCH($A24,campaigns!$A$2:$A$51,0))),"")))</f>
        <v/>
      </c>
      <c r="H24" s="30" t="str">
        <f aca="false">IF($G24="","",IF($G24&gt;=30,"Y","N"))</f>
        <v/>
      </c>
    </row>
    <row r="25" customFormat="false" ht="15" hidden="false" customHeight="false" outlineLevel="0" collapsed="false">
      <c r="B25" s="11"/>
      <c r="D25" s="11"/>
      <c r="G25" s="30" t="str">
        <f aca="false">IF(OR($A25="",$B25="",IFERROR(IF(INDEX(campaigns!$BG$2:$BG$51,MATCH($A25,campaigns!$A$2:$A$51,0))="","",INDEX(campaigns!$BG$2:$BG$51,MATCH($A25,campaigns!$A$2:$A$51,0))),"")=""),"",$B25-N(IFERROR(IF(INDEX(campaigns!$BG$2:$BG$51,MATCH($A25,campaigns!$A$2:$A$51,0))="","",INDEX(campaigns!$BG$2:$BG$51,MATCH($A25,campaigns!$A$2:$A$51,0))),"")))</f>
        <v/>
      </c>
      <c r="H25" s="30" t="str">
        <f aca="false">IF($G25="","",IF($G25&gt;=30,"Y","N"))</f>
        <v/>
      </c>
    </row>
    <row r="26" customFormat="false" ht="15" hidden="false" customHeight="false" outlineLevel="0" collapsed="false">
      <c r="B26" s="11"/>
      <c r="D26" s="11"/>
      <c r="G26" s="30" t="str">
        <f aca="false">IF(OR($A26="",$B26="",IFERROR(IF(INDEX(campaigns!$BG$2:$BG$51,MATCH($A26,campaigns!$A$2:$A$51,0))="","",INDEX(campaigns!$BG$2:$BG$51,MATCH($A26,campaigns!$A$2:$A$51,0))),"")=""),"",$B26-N(IFERROR(IF(INDEX(campaigns!$BG$2:$BG$51,MATCH($A26,campaigns!$A$2:$A$51,0))="","",INDEX(campaigns!$BG$2:$BG$51,MATCH($A26,campaigns!$A$2:$A$51,0))),"")))</f>
        <v/>
      </c>
      <c r="H26" s="30" t="str">
        <f aca="false">IF($G26="","",IF($G26&gt;=30,"Y","N"))</f>
        <v/>
      </c>
    </row>
    <row r="27" customFormat="false" ht="15" hidden="false" customHeight="false" outlineLevel="0" collapsed="false">
      <c r="B27" s="11"/>
      <c r="D27" s="11"/>
      <c r="G27" s="30" t="str">
        <f aca="false">IF(OR($A27="",$B27="",IFERROR(IF(INDEX(campaigns!$BG$2:$BG$51,MATCH($A27,campaigns!$A$2:$A$51,0))="","",INDEX(campaigns!$BG$2:$BG$51,MATCH($A27,campaigns!$A$2:$A$51,0))),"")=""),"",$B27-N(IFERROR(IF(INDEX(campaigns!$BG$2:$BG$51,MATCH($A27,campaigns!$A$2:$A$51,0))="","",INDEX(campaigns!$BG$2:$BG$51,MATCH($A27,campaigns!$A$2:$A$51,0))),"")))</f>
        <v/>
      </c>
      <c r="H27" s="30" t="str">
        <f aca="false">IF($G27="","",IF($G27&gt;=30,"Y","N"))</f>
        <v/>
      </c>
    </row>
    <row r="28" customFormat="false" ht="15" hidden="false" customHeight="false" outlineLevel="0" collapsed="false">
      <c r="B28" s="11"/>
      <c r="D28" s="11"/>
      <c r="G28" s="30" t="str">
        <f aca="false">IF(OR($A28="",$B28="",IFERROR(IF(INDEX(campaigns!$BG$2:$BG$51,MATCH($A28,campaigns!$A$2:$A$51,0))="","",INDEX(campaigns!$BG$2:$BG$51,MATCH($A28,campaigns!$A$2:$A$51,0))),"")=""),"",$B28-N(IFERROR(IF(INDEX(campaigns!$BG$2:$BG$51,MATCH($A28,campaigns!$A$2:$A$51,0))="","",INDEX(campaigns!$BG$2:$BG$51,MATCH($A28,campaigns!$A$2:$A$51,0))),"")))</f>
        <v/>
      </c>
      <c r="H28" s="30" t="str">
        <f aca="false">IF($G28="","",IF($G28&gt;=30,"Y","N"))</f>
        <v/>
      </c>
    </row>
    <row r="29" customFormat="false" ht="15" hidden="false" customHeight="false" outlineLevel="0" collapsed="false">
      <c r="B29" s="11"/>
      <c r="D29" s="11"/>
      <c r="G29" s="30" t="str">
        <f aca="false">IF(OR($A29="",$B29="",IFERROR(IF(INDEX(campaigns!$BG$2:$BG$51,MATCH($A29,campaigns!$A$2:$A$51,0))="","",INDEX(campaigns!$BG$2:$BG$51,MATCH($A29,campaigns!$A$2:$A$51,0))),"")=""),"",$B29-N(IFERROR(IF(INDEX(campaigns!$BG$2:$BG$51,MATCH($A29,campaigns!$A$2:$A$51,0))="","",INDEX(campaigns!$BG$2:$BG$51,MATCH($A29,campaigns!$A$2:$A$51,0))),"")))</f>
        <v/>
      </c>
      <c r="H29" s="30" t="str">
        <f aca="false">IF($G29="","",IF($G29&gt;=30,"Y","N"))</f>
        <v/>
      </c>
    </row>
    <row r="30" customFormat="false" ht="15" hidden="false" customHeight="false" outlineLevel="0" collapsed="false">
      <c r="B30" s="11"/>
      <c r="D30" s="11"/>
      <c r="G30" s="30" t="str">
        <f aca="false">IF(OR($A30="",$B30="",IFERROR(IF(INDEX(campaigns!$BG$2:$BG$51,MATCH($A30,campaigns!$A$2:$A$51,0))="","",INDEX(campaigns!$BG$2:$BG$51,MATCH($A30,campaigns!$A$2:$A$51,0))),"")=""),"",$B30-N(IFERROR(IF(INDEX(campaigns!$BG$2:$BG$51,MATCH($A30,campaigns!$A$2:$A$51,0))="","",INDEX(campaigns!$BG$2:$BG$51,MATCH($A30,campaigns!$A$2:$A$51,0))),"")))</f>
        <v/>
      </c>
      <c r="H30" s="30" t="str">
        <f aca="false">IF($G30="","",IF($G30&gt;=30,"Y","N"))</f>
        <v/>
      </c>
    </row>
    <row r="31" customFormat="false" ht="15" hidden="false" customHeight="false" outlineLevel="0" collapsed="false">
      <c r="B31" s="11"/>
      <c r="D31" s="11"/>
      <c r="G31" s="30" t="str">
        <f aca="false">IF(OR($A31="",$B31="",IFERROR(IF(INDEX(campaigns!$BG$2:$BG$51,MATCH($A31,campaigns!$A$2:$A$51,0))="","",INDEX(campaigns!$BG$2:$BG$51,MATCH($A31,campaigns!$A$2:$A$51,0))),"")=""),"",$B31-N(IFERROR(IF(INDEX(campaigns!$BG$2:$BG$51,MATCH($A31,campaigns!$A$2:$A$51,0))="","",INDEX(campaigns!$BG$2:$BG$51,MATCH($A31,campaigns!$A$2:$A$51,0))),"")))</f>
        <v/>
      </c>
      <c r="H31" s="30" t="str">
        <f aca="false">IF($G31="","",IF($G31&gt;=30,"Y","N"))</f>
        <v/>
      </c>
    </row>
    <row r="32" customFormat="false" ht="15" hidden="false" customHeight="false" outlineLevel="0" collapsed="false">
      <c r="B32" s="11"/>
      <c r="D32" s="11"/>
      <c r="G32" s="30" t="str">
        <f aca="false">IF(OR($A32="",$B32="",IFERROR(IF(INDEX(campaigns!$BG$2:$BG$51,MATCH($A32,campaigns!$A$2:$A$51,0))="","",INDEX(campaigns!$BG$2:$BG$51,MATCH($A32,campaigns!$A$2:$A$51,0))),"")=""),"",$B32-N(IFERROR(IF(INDEX(campaigns!$BG$2:$BG$51,MATCH($A32,campaigns!$A$2:$A$51,0))="","",INDEX(campaigns!$BG$2:$BG$51,MATCH($A32,campaigns!$A$2:$A$51,0))),"")))</f>
        <v/>
      </c>
      <c r="H32" s="30" t="str">
        <f aca="false">IF($G32="","",IF($G32&gt;=30,"Y","N"))</f>
        <v/>
      </c>
    </row>
    <row r="33" customFormat="false" ht="15" hidden="false" customHeight="false" outlineLevel="0" collapsed="false">
      <c r="B33" s="11"/>
      <c r="D33" s="11"/>
      <c r="G33" s="30" t="str">
        <f aca="false">IF(OR($A33="",$B33="",IFERROR(IF(INDEX(campaigns!$BG$2:$BG$51,MATCH($A33,campaigns!$A$2:$A$51,0))="","",INDEX(campaigns!$BG$2:$BG$51,MATCH($A33,campaigns!$A$2:$A$51,0))),"")=""),"",$B33-N(IFERROR(IF(INDEX(campaigns!$BG$2:$BG$51,MATCH($A33,campaigns!$A$2:$A$51,0))="","",INDEX(campaigns!$BG$2:$BG$51,MATCH($A33,campaigns!$A$2:$A$51,0))),"")))</f>
        <v/>
      </c>
      <c r="H33" s="30" t="str">
        <f aca="false">IF($G33="","",IF($G33&gt;=30,"Y","N"))</f>
        <v/>
      </c>
    </row>
    <row r="34" customFormat="false" ht="15" hidden="false" customHeight="false" outlineLevel="0" collapsed="false">
      <c r="B34" s="11"/>
      <c r="D34" s="11"/>
      <c r="G34" s="30" t="str">
        <f aca="false">IF(OR($A34="",$B34="",IFERROR(IF(INDEX(campaigns!$BG$2:$BG$51,MATCH($A34,campaigns!$A$2:$A$51,0))="","",INDEX(campaigns!$BG$2:$BG$51,MATCH($A34,campaigns!$A$2:$A$51,0))),"")=""),"",$B34-N(IFERROR(IF(INDEX(campaigns!$BG$2:$BG$51,MATCH($A34,campaigns!$A$2:$A$51,0))="","",INDEX(campaigns!$BG$2:$BG$51,MATCH($A34,campaigns!$A$2:$A$51,0))),"")))</f>
        <v/>
      </c>
      <c r="H34" s="30" t="str">
        <f aca="false">IF($G34="","",IF($G34&gt;=30,"Y","N"))</f>
        <v/>
      </c>
    </row>
    <row r="35" customFormat="false" ht="15" hidden="false" customHeight="false" outlineLevel="0" collapsed="false">
      <c r="B35" s="11"/>
      <c r="D35" s="11"/>
      <c r="G35" s="30" t="str">
        <f aca="false">IF(OR($A35="",$B35="",IFERROR(IF(INDEX(campaigns!$BG$2:$BG$51,MATCH($A35,campaigns!$A$2:$A$51,0))="","",INDEX(campaigns!$BG$2:$BG$51,MATCH($A35,campaigns!$A$2:$A$51,0))),"")=""),"",$B35-N(IFERROR(IF(INDEX(campaigns!$BG$2:$BG$51,MATCH($A35,campaigns!$A$2:$A$51,0))="","",INDEX(campaigns!$BG$2:$BG$51,MATCH($A35,campaigns!$A$2:$A$51,0))),"")))</f>
        <v/>
      </c>
      <c r="H35" s="30" t="str">
        <f aca="false">IF($G35="","",IF($G35&gt;=30,"Y","N"))</f>
        <v/>
      </c>
    </row>
    <row r="36" customFormat="false" ht="15" hidden="false" customHeight="false" outlineLevel="0" collapsed="false">
      <c r="B36" s="11"/>
      <c r="D36" s="11"/>
      <c r="G36" s="30" t="str">
        <f aca="false">IF(OR($A36="",$B36="",IFERROR(IF(INDEX(campaigns!$BG$2:$BG$51,MATCH($A36,campaigns!$A$2:$A$51,0))="","",INDEX(campaigns!$BG$2:$BG$51,MATCH($A36,campaigns!$A$2:$A$51,0))),"")=""),"",$B36-N(IFERROR(IF(INDEX(campaigns!$BG$2:$BG$51,MATCH($A36,campaigns!$A$2:$A$51,0))="","",INDEX(campaigns!$BG$2:$BG$51,MATCH($A36,campaigns!$A$2:$A$51,0))),"")))</f>
        <v/>
      </c>
      <c r="H36" s="30" t="str">
        <f aca="false">IF($G36="","",IF($G36&gt;=30,"Y","N"))</f>
        <v/>
      </c>
    </row>
    <row r="37" customFormat="false" ht="15" hidden="false" customHeight="false" outlineLevel="0" collapsed="false">
      <c r="B37" s="11"/>
      <c r="D37" s="11"/>
      <c r="G37" s="30" t="str">
        <f aca="false">IF(OR($A37="",$B37="",IFERROR(IF(INDEX(campaigns!$BG$2:$BG$51,MATCH($A37,campaigns!$A$2:$A$51,0))="","",INDEX(campaigns!$BG$2:$BG$51,MATCH($A37,campaigns!$A$2:$A$51,0))),"")=""),"",$B37-N(IFERROR(IF(INDEX(campaigns!$BG$2:$BG$51,MATCH($A37,campaigns!$A$2:$A$51,0))="","",INDEX(campaigns!$BG$2:$BG$51,MATCH($A37,campaigns!$A$2:$A$51,0))),"")))</f>
        <v/>
      </c>
      <c r="H37" s="30" t="str">
        <f aca="false">IF($G37="","",IF($G37&gt;=30,"Y","N"))</f>
        <v/>
      </c>
    </row>
    <row r="38" customFormat="false" ht="15" hidden="false" customHeight="false" outlineLevel="0" collapsed="false">
      <c r="B38" s="11"/>
      <c r="D38" s="11"/>
      <c r="G38" s="30" t="str">
        <f aca="false">IF(OR($A38="",$B38="",IFERROR(IF(INDEX(campaigns!$BG$2:$BG$51,MATCH($A38,campaigns!$A$2:$A$51,0))="","",INDEX(campaigns!$BG$2:$BG$51,MATCH($A38,campaigns!$A$2:$A$51,0))),"")=""),"",$B38-N(IFERROR(IF(INDEX(campaigns!$BG$2:$BG$51,MATCH($A38,campaigns!$A$2:$A$51,0))="","",INDEX(campaigns!$BG$2:$BG$51,MATCH($A38,campaigns!$A$2:$A$51,0))),"")))</f>
        <v/>
      </c>
      <c r="H38" s="30" t="str">
        <f aca="false">IF($G38="","",IF($G38&gt;=30,"Y","N"))</f>
        <v/>
      </c>
    </row>
    <row r="39" customFormat="false" ht="15" hidden="false" customHeight="false" outlineLevel="0" collapsed="false">
      <c r="B39" s="11"/>
      <c r="D39" s="11"/>
      <c r="G39" s="30" t="str">
        <f aca="false">IF(OR($A39="",$B39="",IFERROR(IF(INDEX(campaigns!$BG$2:$BG$51,MATCH($A39,campaigns!$A$2:$A$51,0))="","",INDEX(campaigns!$BG$2:$BG$51,MATCH($A39,campaigns!$A$2:$A$51,0))),"")=""),"",$B39-N(IFERROR(IF(INDEX(campaigns!$BG$2:$BG$51,MATCH($A39,campaigns!$A$2:$A$51,0))="","",INDEX(campaigns!$BG$2:$BG$51,MATCH($A39,campaigns!$A$2:$A$51,0))),"")))</f>
        <v/>
      </c>
      <c r="H39" s="30" t="str">
        <f aca="false">IF($G39="","",IF($G39&gt;=30,"Y","N"))</f>
        <v/>
      </c>
    </row>
    <row r="40" customFormat="false" ht="15" hidden="false" customHeight="false" outlineLevel="0" collapsed="false">
      <c r="B40" s="11"/>
      <c r="D40" s="11"/>
      <c r="G40" s="30" t="str">
        <f aca="false">IF(OR($A40="",$B40="",IFERROR(IF(INDEX(campaigns!$BG$2:$BG$51,MATCH($A40,campaigns!$A$2:$A$51,0))="","",INDEX(campaigns!$BG$2:$BG$51,MATCH($A40,campaigns!$A$2:$A$51,0))),"")=""),"",$B40-N(IFERROR(IF(INDEX(campaigns!$BG$2:$BG$51,MATCH($A40,campaigns!$A$2:$A$51,0))="","",INDEX(campaigns!$BG$2:$BG$51,MATCH($A40,campaigns!$A$2:$A$51,0))),"")))</f>
        <v/>
      </c>
      <c r="H40" s="30" t="str">
        <f aca="false">IF($G40="","",IF($G40&gt;=30,"Y","N"))</f>
        <v/>
      </c>
    </row>
    <row r="41" customFormat="false" ht="15" hidden="false" customHeight="false" outlineLevel="0" collapsed="false">
      <c r="B41" s="11"/>
      <c r="D41" s="11"/>
      <c r="G41" s="30" t="str">
        <f aca="false">IF(OR($A41="",$B41="",IFERROR(IF(INDEX(campaigns!$BG$2:$BG$51,MATCH($A41,campaigns!$A$2:$A$51,0))="","",INDEX(campaigns!$BG$2:$BG$51,MATCH($A41,campaigns!$A$2:$A$51,0))),"")=""),"",$B41-N(IFERROR(IF(INDEX(campaigns!$BG$2:$BG$51,MATCH($A41,campaigns!$A$2:$A$51,0))="","",INDEX(campaigns!$BG$2:$BG$51,MATCH($A41,campaigns!$A$2:$A$51,0))),"")))</f>
        <v/>
      </c>
      <c r="H41" s="30" t="str">
        <f aca="false">IF($G41="","",IF($G41&gt;=30,"Y","N"))</f>
        <v/>
      </c>
    </row>
    <row r="42" customFormat="false" ht="15" hidden="false" customHeight="false" outlineLevel="0" collapsed="false">
      <c r="B42" s="11"/>
      <c r="D42" s="11"/>
      <c r="G42" s="30" t="str">
        <f aca="false">IF(OR($A42="",$B42="",IFERROR(IF(INDEX(campaigns!$BG$2:$BG$51,MATCH($A42,campaigns!$A$2:$A$51,0))="","",INDEX(campaigns!$BG$2:$BG$51,MATCH($A42,campaigns!$A$2:$A$51,0))),"")=""),"",$B42-N(IFERROR(IF(INDEX(campaigns!$BG$2:$BG$51,MATCH($A42,campaigns!$A$2:$A$51,0))="","",INDEX(campaigns!$BG$2:$BG$51,MATCH($A42,campaigns!$A$2:$A$51,0))),"")))</f>
        <v/>
      </c>
      <c r="H42" s="30" t="str">
        <f aca="false">IF($G42="","",IF($G42&gt;=30,"Y","N"))</f>
        <v/>
      </c>
    </row>
    <row r="43" customFormat="false" ht="15" hidden="false" customHeight="false" outlineLevel="0" collapsed="false">
      <c r="B43" s="11"/>
      <c r="D43" s="11"/>
      <c r="G43" s="30" t="str">
        <f aca="false">IF(OR($A43="",$B43="",IFERROR(IF(INDEX(campaigns!$BG$2:$BG$51,MATCH($A43,campaigns!$A$2:$A$51,0))="","",INDEX(campaigns!$BG$2:$BG$51,MATCH($A43,campaigns!$A$2:$A$51,0))),"")=""),"",$B43-N(IFERROR(IF(INDEX(campaigns!$BG$2:$BG$51,MATCH($A43,campaigns!$A$2:$A$51,0))="","",INDEX(campaigns!$BG$2:$BG$51,MATCH($A43,campaigns!$A$2:$A$51,0))),"")))</f>
        <v/>
      </c>
      <c r="H43" s="30" t="str">
        <f aca="false">IF($G43="","",IF($G43&gt;=30,"Y","N"))</f>
        <v/>
      </c>
    </row>
    <row r="44" customFormat="false" ht="15" hidden="false" customHeight="false" outlineLevel="0" collapsed="false">
      <c r="B44" s="11"/>
      <c r="D44" s="11"/>
      <c r="G44" s="30" t="str">
        <f aca="false">IF(OR($A44="",$B44="",IFERROR(IF(INDEX(campaigns!$BG$2:$BG$51,MATCH($A44,campaigns!$A$2:$A$51,0))="","",INDEX(campaigns!$BG$2:$BG$51,MATCH($A44,campaigns!$A$2:$A$51,0))),"")=""),"",$B44-N(IFERROR(IF(INDEX(campaigns!$BG$2:$BG$51,MATCH($A44,campaigns!$A$2:$A$51,0))="","",INDEX(campaigns!$BG$2:$BG$51,MATCH($A44,campaigns!$A$2:$A$51,0))),"")))</f>
        <v/>
      </c>
      <c r="H44" s="30" t="str">
        <f aca="false">IF($G44="","",IF($G44&gt;=30,"Y","N"))</f>
        <v/>
      </c>
    </row>
    <row r="45" customFormat="false" ht="15" hidden="false" customHeight="false" outlineLevel="0" collapsed="false">
      <c r="B45" s="11"/>
      <c r="D45" s="11"/>
      <c r="G45" s="30" t="str">
        <f aca="false">IF(OR($A45="",$B45="",IFERROR(IF(INDEX(campaigns!$BG$2:$BG$51,MATCH($A45,campaigns!$A$2:$A$51,0))="","",INDEX(campaigns!$BG$2:$BG$51,MATCH($A45,campaigns!$A$2:$A$51,0))),"")=""),"",$B45-N(IFERROR(IF(INDEX(campaigns!$BG$2:$BG$51,MATCH($A45,campaigns!$A$2:$A$51,0))="","",INDEX(campaigns!$BG$2:$BG$51,MATCH($A45,campaigns!$A$2:$A$51,0))),"")))</f>
        <v/>
      </c>
      <c r="H45" s="30" t="str">
        <f aca="false">IF($G45="","",IF($G45&gt;=30,"Y","N"))</f>
        <v/>
      </c>
    </row>
    <row r="46" customFormat="false" ht="15" hidden="false" customHeight="false" outlineLevel="0" collapsed="false">
      <c r="B46" s="11"/>
      <c r="D46" s="11"/>
      <c r="G46" s="30" t="str">
        <f aca="false">IF(OR($A46="",$B46="",IFERROR(IF(INDEX(campaigns!$BG$2:$BG$51,MATCH($A46,campaigns!$A$2:$A$51,0))="","",INDEX(campaigns!$BG$2:$BG$51,MATCH($A46,campaigns!$A$2:$A$51,0))),"")=""),"",$B46-N(IFERROR(IF(INDEX(campaigns!$BG$2:$BG$51,MATCH($A46,campaigns!$A$2:$A$51,0))="","",INDEX(campaigns!$BG$2:$BG$51,MATCH($A46,campaigns!$A$2:$A$51,0))),"")))</f>
        <v/>
      </c>
      <c r="H46" s="30" t="str">
        <f aca="false">IF($G46="","",IF($G46&gt;=30,"Y","N"))</f>
        <v/>
      </c>
    </row>
    <row r="47" customFormat="false" ht="15" hidden="false" customHeight="false" outlineLevel="0" collapsed="false">
      <c r="B47" s="11"/>
      <c r="D47" s="11"/>
      <c r="G47" s="30" t="str">
        <f aca="false">IF(OR($A47="",$B47="",IFERROR(IF(INDEX(campaigns!$BG$2:$BG$51,MATCH($A47,campaigns!$A$2:$A$51,0))="","",INDEX(campaigns!$BG$2:$BG$51,MATCH($A47,campaigns!$A$2:$A$51,0))),"")=""),"",$B47-N(IFERROR(IF(INDEX(campaigns!$BG$2:$BG$51,MATCH($A47,campaigns!$A$2:$A$51,0))="","",INDEX(campaigns!$BG$2:$BG$51,MATCH($A47,campaigns!$A$2:$A$51,0))),"")))</f>
        <v/>
      </c>
      <c r="H47" s="30" t="str">
        <f aca="false">IF($G47="","",IF($G47&gt;=30,"Y","N"))</f>
        <v/>
      </c>
    </row>
    <row r="48" customFormat="false" ht="15" hidden="false" customHeight="false" outlineLevel="0" collapsed="false">
      <c r="B48" s="11"/>
      <c r="D48" s="11"/>
      <c r="G48" s="30" t="str">
        <f aca="false">IF(OR($A48="",$B48="",IFERROR(IF(INDEX(campaigns!$BG$2:$BG$51,MATCH($A48,campaigns!$A$2:$A$51,0))="","",INDEX(campaigns!$BG$2:$BG$51,MATCH($A48,campaigns!$A$2:$A$51,0))),"")=""),"",$B48-N(IFERROR(IF(INDEX(campaigns!$BG$2:$BG$51,MATCH($A48,campaigns!$A$2:$A$51,0))="","",INDEX(campaigns!$BG$2:$BG$51,MATCH($A48,campaigns!$A$2:$A$51,0))),"")))</f>
        <v/>
      </c>
      <c r="H48" s="30" t="str">
        <f aca="false">IF($G48="","",IF($G48&gt;=30,"Y","N"))</f>
        <v/>
      </c>
    </row>
    <row r="49" customFormat="false" ht="15" hidden="false" customHeight="false" outlineLevel="0" collapsed="false">
      <c r="B49" s="11"/>
      <c r="D49" s="11"/>
      <c r="G49" s="30" t="str">
        <f aca="false">IF(OR($A49="",$B49="",IFERROR(IF(INDEX(campaigns!$BG$2:$BG$51,MATCH($A49,campaigns!$A$2:$A$51,0))="","",INDEX(campaigns!$BG$2:$BG$51,MATCH($A49,campaigns!$A$2:$A$51,0))),"")=""),"",$B49-N(IFERROR(IF(INDEX(campaigns!$BG$2:$BG$51,MATCH($A49,campaigns!$A$2:$A$51,0))="","",INDEX(campaigns!$BG$2:$BG$51,MATCH($A49,campaigns!$A$2:$A$51,0))),"")))</f>
        <v/>
      </c>
      <c r="H49" s="30" t="str">
        <f aca="false">IF($G49="","",IF($G49&gt;=30,"Y","N"))</f>
        <v/>
      </c>
    </row>
    <row r="50" customFormat="false" ht="15" hidden="false" customHeight="false" outlineLevel="0" collapsed="false">
      <c r="B50" s="11"/>
      <c r="D50" s="11"/>
      <c r="G50" s="30" t="str">
        <f aca="false">IF(OR($A50="",$B50="",IFERROR(IF(INDEX(campaigns!$BG$2:$BG$51,MATCH($A50,campaigns!$A$2:$A$51,0))="","",INDEX(campaigns!$BG$2:$BG$51,MATCH($A50,campaigns!$A$2:$A$51,0))),"")=""),"",$B50-N(IFERROR(IF(INDEX(campaigns!$BG$2:$BG$51,MATCH($A50,campaigns!$A$2:$A$51,0))="","",INDEX(campaigns!$BG$2:$BG$51,MATCH($A50,campaigns!$A$2:$A$51,0))),"")))</f>
        <v/>
      </c>
      <c r="H50" s="30" t="str">
        <f aca="false">IF($G50="","",IF($G50&gt;=30,"Y","N"))</f>
        <v/>
      </c>
    </row>
    <row r="51" customFormat="false" ht="15" hidden="false" customHeight="false" outlineLevel="0" collapsed="false">
      <c r="B51" s="11"/>
      <c r="D51" s="11"/>
      <c r="G51" s="30" t="str">
        <f aca="false">IF(OR($A51="",$B51="",IFERROR(IF(INDEX(campaigns!$BG$2:$BG$51,MATCH($A51,campaigns!$A$2:$A$51,0))="","",INDEX(campaigns!$BG$2:$BG$51,MATCH($A51,campaigns!$A$2:$A$51,0))),"")=""),"",$B51-N(IFERROR(IF(INDEX(campaigns!$BG$2:$BG$51,MATCH($A51,campaigns!$A$2:$A$51,0))="","",INDEX(campaigns!$BG$2:$BG$51,MATCH($A51,campaigns!$A$2:$A$51,0))),"")))</f>
        <v/>
      </c>
      <c r="H51" s="30" t="str">
        <f aca="false">IF($G51="","",IF($G51&gt;=30,"Y","N"))</f>
        <v/>
      </c>
    </row>
    <row r="52" customFormat="false" ht="15" hidden="false" customHeight="false" outlineLevel="0" collapsed="false">
      <c r="B52" s="11"/>
      <c r="D52" s="11"/>
      <c r="G52" s="30" t="str">
        <f aca="false">IF(OR($A52="",$B52="",IFERROR(IF(INDEX(campaigns!$BG$2:$BG$51,MATCH($A52,campaigns!$A$2:$A$51,0))="","",INDEX(campaigns!$BG$2:$BG$51,MATCH($A52,campaigns!$A$2:$A$51,0))),"")=""),"",$B52-N(IFERROR(IF(INDEX(campaigns!$BG$2:$BG$51,MATCH($A52,campaigns!$A$2:$A$51,0))="","",INDEX(campaigns!$BG$2:$BG$51,MATCH($A52,campaigns!$A$2:$A$51,0))),"")))</f>
        <v/>
      </c>
      <c r="H52" s="30" t="str">
        <f aca="false">IF($G52="","",IF($G52&gt;=30,"Y","N"))</f>
        <v/>
      </c>
    </row>
    <row r="53" customFormat="false" ht="15" hidden="false" customHeight="false" outlineLevel="0" collapsed="false">
      <c r="B53" s="11"/>
      <c r="D53" s="11"/>
      <c r="G53" s="30" t="str">
        <f aca="false">IF(OR($A53="",$B53="",IFERROR(IF(INDEX(campaigns!$BG$2:$BG$51,MATCH($A53,campaigns!$A$2:$A$51,0))="","",INDEX(campaigns!$BG$2:$BG$51,MATCH($A53,campaigns!$A$2:$A$51,0))),"")=""),"",$B53-N(IFERROR(IF(INDEX(campaigns!$BG$2:$BG$51,MATCH($A53,campaigns!$A$2:$A$51,0))="","",INDEX(campaigns!$BG$2:$BG$51,MATCH($A53,campaigns!$A$2:$A$51,0))),"")))</f>
        <v/>
      </c>
      <c r="H53" s="30" t="str">
        <f aca="false">IF($G53="","",IF($G53&gt;=30,"Y","N"))</f>
        <v/>
      </c>
    </row>
    <row r="54" customFormat="false" ht="15" hidden="false" customHeight="false" outlineLevel="0" collapsed="false">
      <c r="B54" s="11"/>
      <c r="D54" s="11"/>
      <c r="G54" s="30" t="str">
        <f aca="false">IF(OR($A54="",$B54="",IFERROR(IF(INDEX(campaigns!$BG$2:$BG$51,MATCH($A54,campaigns!$A$2:$A$51,0))="","",INDEX(campaigns!$BG$2:$BG$51,MATCH($A54,campaigns!$A$2:$A$51,0))),"")=""),"",$B54-N(IFERROR(IF(INDEX(campaigns!$BG$2:$BG$51,MATCH($A54,campaigns!$A$2:$A$51,0))="","",INDEX(campaigns!$BG$2:$BG$51,MATCH($A54,campaigns!$A$2:$A$51,0))),"")))</f>
        <v/>
      </c>
      <c r="H54" s="30" t="str">
        <f aca="false">IF($G54="","",IF($G54&gt;=30,"Y","N"))</f>
        <v/>
      </c>
    </row>
    <row r="55" customFormat="false" ht="15" hidden="false" customHeight="false" outlineLevel="0" collapsed="false">
      <c r="B55" s="11"/>
      <c r="D55" s="11"/>
      <c r="G55" s="30" t="str">
        <f aca="false">IF(OR($A55="",$B55="",IFERROR(IF(INDEX(campaigns!$BG$2:$BG$51,MATCH($A55,campaigns!$A$2:$A$51,0))="","",INDEX(campaigns!$BG$2:$BG$51,MATCH($A55,campaigns!$A$2:$A$51,0))),"")=""),"",$B55-N(IFERROR(IF(INDEX(campaigns!$BG$2:$BG$51,MATCH($A55,campaigns!$A$2:$A$51,0))="","",INDEX(campaigns!$BG$2:$BG$51,MATCH($A55,campaigns!$A$2:$A$51,0))),"")))</f>
        <v/>
      </c>
      <c r="H55" s="30" t="str">
        <f aca="false">IF($G55="","",IF($G55&gt;=30,"Y","N"))</f>
        <v/>
      </c>
    </row>
    <row r="56" customFormat="false" ht="15" hidden="false" customHeight="false" outlineLevel="0" collapsed="false">
      <c r="B56" s="11"/>
      <c r="D56" s="11"/>
      <c r="G56" s="30" t="str">
        <f aca="false">IF(OR($A56="",$B56="",IFERROR(IF(INDEX(campaigns!$BG$2:$BG$51,MATCH($A56,campaigns!$A$2:$A$51,0))="","",INDEX(campaigns!$BG$2:$BG$51,MATCH($A56,campaigns!$A$2:$A$51,0))),"")=""),"",$B56-N(IFERROR(IF(INDEX(campaigns!$BG$2:$BG$51,MATCH($A56,campaigns!$A$2:$A$51,0))="","",INDEX(campaigns!$BG$2:$BG$51,MATCH($A56,campaigns!$A$2:$A$51,0))),"")))</f>
        <v/>
      </c>
      <c r="H56" s="30" t="str">
        <f aca="false">IF($G56="","",IF($G56&gt;=30,"Y","N"))</f>
        <v/>
      </c>
    </row>
    <row r="57" customFormat="false" ht="15" hidden="false" customHeight="false" outlineLevel="0" collapsed="false">
      <c r="B57" s="11"/>
      <c r="D57" s="11"/>
      <c r="G57" s="30" t="str">
        <f aca="false">IF(OR($A57="",$B57="",IFERROR(IF(INDEX(campaigns!$BG$2:$BG$51,MATCH($A57,campaigns!$A$2:$A$51,0))="","",INDEX(campaigns!$BG$2:$BG$51,MATCH($A57,campaigns!$A$2:$A$51,0))),"")=""),"",$B57-N(IFERROR(IF(INDEX(campaigns!$BG$2:$BG$51,MATCH($A57,campaigns!$A$2:$A$51,0))="","",INDEX(campaigns!$BG$2:$BG$51,MATCH($A57,campaigns!$A$2:$A$51,0))),"")))</f>
        <v/>
      </c>
      <c r="H57" s="30" t="str">
        <f aca="false">IF($G57="","",IF($G57&gt;=30,"Y","N"))</f>
        <v/>
      </c>
    </row>
    <row r="58" customFormat="false" ht="15" hidden="false" customHeight="false" outlineLevel="0" collapsed="false">
      <c r="B58" s="11"/>
      <c r="D58" s="11"/>
      <c r="G58" s="30" t="str">
        <f aca="false">IF(OR($A58="",$B58="",IFERROR(IF(INDEX(campaigns!$BG$2:$BG$51,MATCH($A58,campaigns!$A$2:$A$51,0))="","",INDEX(campaigns!$BG$2:$BG$51,MATCH($A58,campaigns!$A$2:$A$51,0))),"")=""),"",$B58-N(IFERROR(IF(INDEX(campaigns!$BG$2:$BG$51,MATCH($A58,campaigns!$A$2:$A$51,0))="","",INDEX(campaigns!$BG$2:$BG$51,MATCH($A58,campaigns!$A$2:$A$51,0))),"")))</f>
        <v/>
      </c>
      <c r="H58" s="30" t="str">
        <f aca="false">IF($G58="","",IF($G58&gt;=30,"Y","N"))</f>
        <v/>
      </c>
    </row>
    <row r="59" customFormat="false" ht="15" hidden="false" customHeight="false" outlineLevel="0" collapsed="false">
      <c r="B59" s="11"/>
      <c r="D59" s="11"/>
      <c r="G59" s="30" t="str">
        <f aca="false">IF(OR($A59="",$B59="",IFERROR(IF(INDEX(campaigns!$BG$2:$BG$51,MATCH($A59,campaigns!$A$2:$A$51,0))="","",INDEX(campaigns!$BG$2:$BG$51,MATCH($A59,campaigns!$A$2:$A$51,0))),"")=""),"",$B59-N(IFERROR(IF(INDEX(campaigns!$BG$2:$BG$51,MATCH($A59,campaigns!$A$2:$A$51,0))="","",INDEX(campaigns!$BG$2:$BG$51,MATCH($A59,campaigns!$A$2:$A$51,0))),"")))</f>
        <v/>
      </c>
      <c r="H59" s="30" t="str">
        <f aca="false">IF($G59="","",IF($G59&gt;=30,"Y","N"))</f>
        <v/>
      </c>
    </row>
    <row r="60" customFormat="false" ht="15" hidden="false" customHeight="false" outlineLevel="0" collapsed="false">
      <c r="B60" s="11"/>
      <c r="D60" s="11"/>
      <c r="G60" s="30" t="str">
        <f aca="false">IF(OR($A60="",$B60="",IFERROR(IF(INDEX(campaigns!$BG$2:$BG$51,MATCH($A60,campaigns!$A$2:$A$51,0))="","",INDEX(campaigns!$BG$2:$BG$51,MATCH($A60,campaigns!$A$2:$A$51,0))),"")=""),"",$B60-N(IFERROR(IF(INDEX(campaigns!$BG$2:$BG$51,MATCH($A60,campaigns!$A$2:$A$51,0))="","",INDEX(campaigns!$BG$2:$BG$51,MATCH($A60,campaigns!$A$2:$A$51,0))),"")))</f>
        <v/>
      </c>
      <c r="H60" s="30" t="str">
        <f aca="false">IF($G60="","",IF($G60&gt;=30,"Y","N"))</f>
        <v/>
      </c>
    </row>
    <row r="61" customFormat="false" ht="15" hidden="false" customHeight="false" outlineLevel="0" collapsed="false">
      <c r="B61" s="11"/>
      <c r="D61" s="11"/>
      <c r="G61" s="30" t="str">
        <f aca="false">IF(OR($A61="",$B61="",IFERROR(IF(INDEX(campaigns!$BG$2:$BG$51,MATCH($A61,campaigns!$A$2:$A$51,0))="","",INDEX(campaigns!$BG$2:$BG$51,MATCH($A61,campaigns!$A$2:$A$51,0))),"")=""),"",$B61-N(IFERROR(IF(INDEX(campaigns!$BG$2:$BG$51,MATCH($A61,campaigns!$A$2:$A$51,0))="","",INDEX(campaigns!$BG$2:$BG$51,MATCH($A61,campaigns!$A$2:$A$51,0))),"")))</f>
        <v/>
      </c>
      <c r="H61" s="30" t="str">
        <f aca="false">IF($G61="","",IF($G61&gt;=30,"Y","N"))</f>
        <v/>
      </c>
    </row>
    <row r="62" customFormat="false" ht="15" hidden="false" customHeight="false" outlineLevel="0" collapsed="false">
      <c r="B62" s="11"/>
      <c r="D62" s="11"/>
      <c r="G62" s="30" t="str">
        <f aca="false">IF(OR($A62="",$B62="",IFERROR(IF(INDEX(campaigns!$BG$2:$BG$51,MATCH($A62,campaigns!$A$2:$A$51,0))="","",INDEX(campaigns!$BG$2:$BG$51,MATCH($A62,campaigns!$A$2:$A$51,0))),"")=""),"",$B62-N(IFERROR(IF(INDEX(campaigns!$BG$2:$BG$51,MATCH($A62,campaigns!$A$2:$A$51,0))="","",INDEX(campaigns!$BG$2:$BG$51,MATCH($A62,campaigns!$A$2:$A$51,0))),"")))</f>
        <v/>
      </c>
      <c r="H62" s="30" t="str">
        <f aca="false">IF($G62="","",IF($G62&gt;=30,"Y","N"))</f>
        <v/>
      </c>
    </row>
    <row r="63" customFormat="false" ht="15" hidden="false" customHeight="false" outlineLevel="0" collapsed="false">
      <c r="B63" s="11"/>
      <c r="D63" s="11"/>
      <c r="G63" s="30" t="str">
        <f aca="false">IF(OR($A63="",$B63="",IFERROR(IF(INDEX(campaigns!$BG$2:$BG$51,MATCH($A63,campaigns!$A$2:$A$51,0))="","",INDEX(campaigns!$BG$2:$BG$51,MATCH($A63,campaigns!$A$2:$A$51,0))),"")=""),"",$B63-N(IFERROR(IF(INDEX(campaigns!$BG$2:$BG$51,MATCH($A63,campaigns!$A$2:$A$51,0))="","",INDEX(campaigns!$BG$2:$BG$51,MATCH($A63,campaigns!$A$2:$A$51,0))),"")))</f>
        <v/>
      </c>
      <c r="H63" s="30" t="str">
        <f aca="false">IF($G63="","",IF($G63&gt;=30,"Y","N"))</f>
        <v/>
      </c>
    </row>
    <row r="64" customFormat="false" ht="15" hidden="false" customHeight="false" outlineLevel="0" collapsed="false">
      <c r="B64" s="11"/>
      <c r="D64" s="11"/>
      <c r="G64" s="30" t="str">
        <f aca="false">IF(OR($A64="",$B64="",IFERROR(IF(INDEX(campaigns!$BG$2:$BG$51,MATCH($A64,campaigns!$A$2:$A$51,0))="","",INDEX(campaigns!$BG$2:$BG$51,MATCH($A64,campaigns!$A$2:$A$51,0))),"")=""),"",$B64-N(IFERROR(IF(INDEX(campaigns!$BG$2:$BG$51,MATCH($A64,campaigns!$A$2:$A$51,0))="","",INDEX(campaigns!$BG$2:$BG$51,MATCH($A64,campaigns!$A$2:$A$51,0))),"")))</f>
        <v/>
      </c>
      <c r="H64" s="30" t="str">
        <f aca="false">IF($G64="","",IF($G64&gt;=30,"Y","N"))</f>
        <v/>
      </c>
    </row>
    <row r="65" customFormat="false" ht="15" hidden="false" customHeight="false" outlineLevel="0" collapsed="false">
      <c r="B65" s="11"/>
      <c r="D65" s="11"/>
      <c r="G65" s="30" t="str">
        <f aca="false">IF(OR($A65="",$B65="",IFERROR(IF(INDEX(campaigns!$BG$2:$BG$51,MATCH($A65,campaigns!$A$2:$A$51,0))="","",INDEX(campaigns!$BG$2:$BG$51,MATCH($A65,campaigns!$A$2:$A$51,0))),"")=""),"",$B65-N(IFERROR(IF(INDEX(campaigns!$BG$2:$BG$51,MATCH($A65,campaigns!$A$2:$A$51,0))="","",INDEX(campaigns!$BG$2:$BG$51,MATCH($A65,campaigns!$A$2:$A$51,0))),"")))</f>
        <v/>
      </c>
      <c r="H65" s="30" t="str">
        <f aca="false">IF($G65="","",IF($G65&gt;=30,"Y","N"))</f>
        <v/>
      </c>
    </row>
    <row r="66" customFormat="false" ht="15" hidden="false" customHeight="false" outlineLevel="0" collapsed="false">
      <c r="B66" s="11"/>
      <c r="D66" s="11"/>
      <c r="G66" s="30" t="str">
        <f aca="false">IF(OR($A66="",$B66="",IFERROR(IF(INDEX(campaigns!$BG$2:$BG$51,MATCH($A66,campaigns!$A$2:$A$51,0))="","",INDEX(campaigns!$BG$2:$BG$51,MATCH($A66,campaigns!$A$2:$A$51,0))),"")=""),"",$B66-N(IFERROR(IF(INDEX(campaigns!$BG$2:$BG$51,MATCH($A66,campaigns!$A$2:$A$51,0))="","",INDEX(campaigns!$BG$2:$BG$51,MATCH($A66,campaigns!$A$2:$A$51,0))),"")))</f>
        <v/>
      </c>
      <c r="H66" s="30" t="str">
        <f aca="false">IF($G66="","",IF($G66&gt;=30,"Y","N"))</f>
        <v/>
      </c>
    </row>
    <row r="67" customFormat="false" ht="15" hidden="false" customHeight="false" outlineLevel="0" collapsed="false">
      <c r="B67" s="11"/>
      <c r="D67" s="11"/>
      <c r="G67" s="30" t="str">
        <f aca="false">IF(OR($A67="",$B67="",IFERROR(IF(INDEX(campaigns!$BG$2:$BG$51,MATCH($A67,campaigns!$A$2:$A$51,0))="","",INDEX(campaigns!$BG$2:$BG$51,MATCH($A67,campaigns!$A$2:$A$51,0))),"")=""),"",$B67-N(IFERROR(IF(INDEX(campaigns!$BG$2:$BG$51,MATCH($A67,campaigns!$A$2:$A$51,0))="","",INDEX(campaigns!$BG$2:$BG$51,MATCH($A67,campaigns!$A$2:$A$51,0))),"")))</f>
        <v/>
      </c>
      <c r="H67" s="30" t="str">
        <f aca="false">IF($G67="","",IF($G67&gt;=30,"Y","N"))</f>
        <v/>
      </c>
    </row>
    <row r="68" customFormat="false" ht="15" hidden="false" customHeight="false" outlineLevel="0" collapsed="false">
      <c r="B68" s="11"/>
      <c r="D68" s="11"/>
      <c r="G68" s="30" t="str">
        <f aca="false">IF(OR($A68="",$B68="",IFERROR(IF(INDEX(campaigns!$BG$2:$BG$51,MATCH($A68,campaigns!$A$2:$A$51,0))="","",INDEX(campaigns!$BG$2:$BG$51,MATCH($A68,campaigns!$A$2:$A$51,0))),"")=""),"",$B68-N(IFERROR(IF(INDEX(campaigns!$BG$2:$BG$51,MATCH($A68,campaigns!$A$2:$A$51,0))="","",INDEX(campaigns!$BG$2:$BG$51,MATCH($A68,campaigns!$A$2:$A$51,0))),"")))</f>
        <v/>
      </c>
      <c r="H68" s="30" t="str">
        <f aca="false">IF($G68="","",IF($G68&gt;=30,"Y","N"))</f>
        <v/>
      </c>
    </row>
    <row r="69" customFormat="false" ht="15" hidden="false" customHeight="false" outlineLevel="0" collapsed="false">
      <c r="B69" s="11"/>
      <c r="D69" s="11"/>
      <c r="G69" s="30" t="str">
        <f aca="false">IF(OR($A69="",$B69="",IFERROR(IF(INDEX(campaigns!$BG$2:$BG$51,MATCH($A69,campaigns!$A$2:$A$51,0))="","",INDEX(campaigns!$BG$2:$BG$51,MATCH($A69,campaigns!$A$2:$A$51,0))),"")=""),"",$B69-N(IFERROR(IF(INDEX(campaigns!$BG$2:$BG$51,MATCH($A69,campaigns!$A$2:$A$51,0))="","",INDEX(campaigns!$BG$2:$BG$51,MATCH($A69,campaigns!$A$2:$A$51,0))),"")))</f>
        <v/>
      </c>
      <c r="H69" s="30" t="str">
        <f aca="false">IF($G69="","",IF($G69&gt;=30,"Y","N"))</f>
        <v/>
      </c>
    </row>
    <row r="70" customFormat="false" ht="15" hidden="false" customHeight="false" outlineLevel="0" collapsed="false">
      <c r="B70" s="11"/>
      <c r="D70" s="11"/>
      <c r="G70" s="30" t="str">
        <f aca="false">IF(OR($A70="",$B70="",IFERROR(IF(INDEX(campaigns!$BG$2:$BG$51,MATCH($A70,campaigns!$A$2:$A$51,0))="","",INDEX(campaigns!$BG$2:$BG$51,MATCH($A70,campaigns!$A$2:$A$51,0))),"")=""),"",$B70-N(IFERROR(IF(INDEX(campaigns!$BG$2:$BG$51,MATCH($A70,campaigns!$A$2:$A$51,0))="","",INDEX(campaigns!$BG$2:$BG$51,MATCH($A70,campaigns!$A$2:$A$51,0))),"")))</f>
        <v/>
      </c>
      <c r="H70" s="30" t="str">
        <f aca="false">IF($G70="","",IF($G70&gt;=30,"Y","N"))</f>
        <v/>
      </c>
    </row>
    <row r="71" customFormat="false" ht="15" hidden="false" customHeight="false" outlineLevel="0" collapsed="false">
      <c r="B71" s="11"/>
      <c r="D71" s="11"/>
      <c r="G71" s="30" t="str">
        <f aca="false">IF(OR($A71="",$B71="",IFERROR(IF(INDEX(campaigns!$BG$2:$BG$51,MATCH($A71,campaigns!$A$2:$A$51,0))="","",INDEX(campaigns!$BG$2:$BG$51,MATCH($A71,campaigns!$A$2:$A$51,0))),"")=""),"",$B71-N(IFERROR(IF(INDEX(campaigns!$BG$2:$BG$51,MATCH($A71,campaigns!$A$2:$A$51,0))="","",INDEX(campaigns!$BG$2:$BG$51,MATCH($A71,campaigns!$A$2:$A$51,0))),"")))</f>
        <v/>
      </c>
      <c r="H71" s="30" t="str">
        <f aca="false">IF($G71="","",IF($G71&gt;=30,"Y","N"))</f>
        <v/>
      </c>
    </row>
    <row r="72" customFormat="false" ht="15" hidden="false" customHeight="false" outlineLevel="0" collapsed="false">
      <c r="B72" s="11"/>
      <c r="D72" s="11"/>
      <c r="G72" s="30" t="str">
        <f aca="false">IF(OR($A72="",$B72="",IFERROR(IF(INDEX(campaigns!$BG$2:$BG$51,MATCH($A72,campaigns!$A$2:$A$51,0))="","",INDEX(campaigns!$BG$2:$BG$51,MATCH($A72,campaigns!$A$2:$A$51,0))),"")=""),"",$B72-N(IFERROR(IF(INDEX(campaigns!$BG$2:$BG$51,MATCH($A72,campaigns!$A$2:$A$51,0))="","",INDEX(campaigns!$BG$2:$BG$51,MATCH($A72,campaigns!$A$2:$A$51,0))),"")))</f>
        <v/>
      </c>
      <c r="H72" s="30" t="str">
        <f aca="false">IF($G72="","",IF($G72&gt;=30,"Y","N"))</f>
        <v/>
      </c>
    </row>
    <row r="73" customFormat="false" ht="15" hidden="false" customHeight="false" outlineLevel="0" collapsed="false">
      <c r="B73" s="11"/>
      <c r="D73" s="11"/>
      <c r="G73" s="30" t="str">
        <f aca="false">IF(OR($A73="",$B73="",IFERROR(IF(INDEX(campaigns!$BG$2:$BG$51,MATCH($A73,campaigns!$A$2:$A$51,0))="","",INDEX(campaigns!$BG$2:$BG$51,MATCH($A73,campaigns!$A$2:$A$51,0))),"")=""),"",$B73-N(IFERROR(IF(INDEX(campaigns!$BG$2:$BG$51,MATCH($A73,campaigns!$A$2:$A$51,0))="","",INDEX(campaigns!$BG$2:$BG$51,MATCH($A73,campaigns!$A$2:$A$51,0))),"")))</f>
        <v/>
      </c>
      <c r="H73" s="30" t="str">
        <f aca="false">IF($G73="","",IF($G73&gt;=30,"Y","N"))</f>
        <v/>
      </c>
    </row>
    <row r="74" customFormat="false" ht="15" hidden="false" customHeight="false" outlineLevel="0" collapsed="false">
      <c r="B74" s="11"/>
      <c r="D74" s="11"/>
      <c r="G74" s="30" t="str">
        <f aca="false">IF(OR($A74="",$B74="",IFERROR(IF(INDEX(campaigns!$BG$2:$BG$51,MATCH($A74,campaigns!$A$2:$A$51,0))="","",INDEX(campaigns!$BG$2:$BG$51,MATCH($A74,campaigns!$A$2:$A$51,0))),"")=""),"",$B74-N(IFERROR(IF(INDEX(campaigns!$BG$2:$BG$51,MATCH($A74,campaigns!$A$2:$A$51,0))="","",INDEX(campaigns!$BG$2:$BG$51,MATCH($A74,campaigns!$A$2:$A$51,0))),"")))</f>
        <v/>
      </c>
      <c r="H74" s="30" t="str">
        <f aca="false">IF($G74="","",IF($G74&gt;=30,"Y","N"))</f>
        <v/>
      </c>
    </row>
    <row r="75" customFormat="false" ht="15" hidden="false" customHeight="false" outlineLevel="0" collapsed="false">
      <c r="B75" s="11"/>
      <c r="D75" s="11"/>
      <c r="G75" s="30" t="str">
        <f aca="false">IF(OR($A75="",$B75="",IFERROR(IF(INDEX(campaigns!$BG$2:$BG$51,MATCH($A75,campaigns!$A$2:$A$51,0))="","",INDEX(campaigns!$BG$2:$BG$51,MATCH($A75,campaigns!$A$2:$A$51,0))),"")=""),"",$B75-N(IFERROR(IF(INDEX(campaigns!$BG$2:$BG$51,MATCH($A75,campaigns!$A$2:$A$51,0))="","",INDEX(campaigns!$BG$2:$BG$51,MATCH($A75,campaigns!$A$2:$A$51,0))),"")))</f>
        <v/>
      </c>
      <c r="H75" s="30" t="str">
        <f aca="false">IF($G75="","",IF($G75&gt;=30,"Y","N"))</f>
        <v/>
      </c>
    </row>
    <row r="76" customFormat="false" ht="15" hidden="false" customHeight="false" outlineLevel="0" collapsed="false">
      <c r="B76" s="11"/>
      <c r="D76" s="11"/>
      <c r="G76" s="30" t="str">
        <f aca="false">IF(OR($A76="",$B76="",IFERROR(IF(INDEX(campaigns!$BG$2:$BG$51,MATCH($A76,campaigns!$A$2:$A$51,0))="","",INDEX(campaigns!$BG$2:$BG$51,MATCH($A76,campaigns!$A$2:$A$51,0))),"")=""),"",$B76-N(IFERROR(IF(INDEX(campaigns!$BG$2:$BG$51,MATCH($A76,campaigns!$A$2:$A$51,0))="","",INDEX(campaigns!$BG$2:$BG$51,MATCH($A76,campaigns!$A$2:$A$51,0))),"")))</f>
        <v/>
      </c>
      <c r="H76" s="30" t="str">
        <f aca="false">IF($G76="","",IF($G76&gt;=30,"Y","N"))</f>
        <v/>
      </c>
    </row>
    <row r="77" customFormat="false" ht="15" hidden="false" customHeight="false" outlineLevel="0" collapsed="false">
      <c r="B77" s="11"/>
      <c r="D77" s="11"/>
      <c r="G77" s="30" t="str">
        <f aca="false">IF(OR($A77="",$B77="",IFERROR(IF(INDEX(campaigns!$BG$2:$BG$51,MATCH($A77,campaigns!$A$2:$A$51,0))="","",INDEX(campaigns!$BG$2:$BG$51,MATCH($A77,campaigns!$A$2:$A$51,0))),"")=""),"",$B77-N(IFERROR(IF(INDEX(campaigns!$BG$2:$BG$51,MATCH($A77,campaigns!$A$2:$A$51,0))="","",INDEX(campaigns!$BG$2:$BG$51,MATCH($A77,campaigns!$A$2:$A$51,0))),"")))</f>
        <v/>
      </c>
      <c r="H77" s="30" t="str">
        <f aca="false">IF($G77="","",IF($G77&gt;=30,"Y","N"))</f>
        <v/>
      </c>
    </row>
    <row r="78" customFormat="false" ht="15" hidden="false" customHeight="false" outlineLevel="0" collapsed="false">
      <c r="B78" s="11"/>
      <c r="D78" s="11"/>
      <c r="G78" s="30" t="str">
        <f aca="false">IF(OR($A78="",$B78="",IFERROR(IF(INDEX(campaigns!$BG$2:$BG$51,MATCH($A78,campaigns!$A$2:$A$51,0))="","",INDEX(campaigns!$BG$2:$BG$51,MATCH($A78,campaigns!$A$2:$A$51,0))),"")=""),"",$B78-N(IFERROR(IF(INDEX(campaigns!$BG$2:$BG$51,MATCH($A78,campaigns!$A$2:$A$51,0))="","",INDEX(campaigns!$BG$2:$BG$51,MATCH($A78,campaigns!$A$2:$A$51,0))),"")))</f>
        <v/>
      </c>
      <c r="H78" s="30" t="str">
        <f aca="false">IF($G78="","",IF($G78&gt;=30,"Y","N"))</f>
        <v/>
      </c>
    </row>
    <row r="79" customFormat="false" ht="15" hidden="false" customHeight="false" outlineLevel="0" collapsed="false">
      <c r="B79" s="11"/>
      <c r="D79" s="11"/>
      <c r="G79" s="30" t="str">
        <f aca="false">IF(OR($A79="",$B79="",IFERROR(IF(INDEX(campaigns!$BG$2:$BG$51,MATCH($A79,campaigns!$A$2:$A$51,0))="","",INDEX(campaigns!$BG$2:$BG$51,MATCH($A79,campaigns!$A$2:$A$51,0))),"")=""),"",$B79-N(IFERROR(IF(INDEX(campaigns!$BG$2:$BG$51,MATCH($A79,campaigns!$A$2:$A$51,0))="","",INDEX(campaigns!$BG$2:$BG$51,MATCH($A79,campaigns!$A$2:$A$51,0))),"")))</f>
        <v/>
      </c>
      <c r="H79" s="30" t="str">
        <f aca="false">IF($G79="","",IF($G79&gt;=30,"Y","N"))</f>
        <v/>
      </c>
    </row>
    <row r="80" customFormat="false" ht="15" hidden="false" customHeight="false" outlineLevel="0" collapsed="false">
      <c r="B80" s="11"/>
      <c r="D80" s="11"/>
      <c r="G80" s="30" t="str">
        <f aca="false">IF(OR($A80="",$B80="",IFERROR(IF(INDEX(campaigns!$BG$2:$BG$51,MATCH($A80,campaigns!$A$2:$A$51,0))="","",INDEX(campaigns!$BG$2:$BG$51,MATCH($A80,campaigns!$A$2:$A$51,0))),"")=""),"",$B80-N(IFERROR(IF(INDEX(campaigns!$BG$2:$BG$51,MATCH($A80,campaigns!$A$2:$A$51,0))="","",INDEX(campaigns!$BG$2:$BG$51,MATCH($A80,campaigns!$A$2:$A$51,0))),"")))</f>
        <v/>
      </c>
      <c r="H80" s="30" t="str">
        <f aca="false">IF($G80="","",IF($G80&gt;=30,"Y","N"))</f>
        <v/>
      </c>
    </row>
    <row r="81" customFormat="false" ht="15" hidden="false" customHeight="false" outlineLevel="0" collapsed="false">
      <c r="B81" s="11"/>
      <c r="D81" s="11"/>
      <c r="G81" s="30" t="str">
        <f aca="false">IF(OR($A81="",$B81="",IFERROR(IF(INDEX(campaigns!$BG$2:$BG$51,MATCH($A81,campaigns!$A$2:$A$51,0))="","",INDEX(campaigns!$BG$2:$BG$51,MATCH($A81,campaigns!$A$2:$A$51,0))),"")=""),"",$B81-N(IFERROR(IF(INDEX(campaigns!$BG$2:$BG$51,MATCH($A81,campaigns!$A$2:$A$51,0))="","",INDEX(campaigns!$BG$2:$BG$51,MATCH($A81,campaigns!$A$2:$A$51,0))),"")))</f>
        <v/>
      </c>
      <c r="H81" s="30" t="str">
        <f aca="false">IF($G81="","",IF($G81&gt;=30,"Y","N"))</f>
        <v/>
      </c>
    </row>
    <row r="82" customFormat="false" ht="15" hidden="false" customHeight="false" outlineLevel="0" collapsed="false">
      <c r="B82" s="11"/>
      <c r="D82" s="11"/>
      <c r="G82" s="30" t="str">
        <f aca="false">IF(OR($A82="",$B82="",IFERROR(IF(INDEX(campaigns!$BG$2:$BG$51,MATCH($A82,campaigns!$A$2:$A$51,0))="","",INDEX(campaigns!$BG$2:$BG$51,MATCH($A82,campaigns!$A$2:$A$51,0))),"")=""),"",$B82-N(IFERROR(IF(INDEX(campaigns!$BG$2:$BG$51,MATCH($A82,campaigns!$A$2:$A$51,0))="","",INDEX(campaigns!$BG$2:$BG$51,MATCH($A82,campaigns!$A$2:$A$51,0))),"")))</f>
        <v/>
      </c>
      <c r="H82" s="30" t="str">
        <f aca="false">IF($G82="","",IF($G82&gt;=30,"Y","N"))</f>
        <v/>
      </c>
    </row>
    <row r="83" customFormat="false" ht="15" hidden="false" customHeight="false" outlineLevel="0" collapsed="false">
      <c r="B83" s="11"/>
      <c r="D83" s="11"/>
      <c r="G83" s="30" t="str">
        <f aca="false">IF(OR($A83="",$B83="",IFERROR(IF(INDEX(campaigns!$BG$2:$BG$51,MATCH($A83,campaigns!$A$2:$A$51,0))="","",INDEX(campaigns!$BG$2:$BG$51,MATCH($A83,campaigns!$A$2:$A$51,0))),"")=""),"",$B83-N(IFERROR(IF(INDEX(campaigns!$BG$2:$BG$51,MATCH($A83,campaigns!$A$2:$A$51,0))="","",INDEX(campaigns!$BG$2:$BG$51,MATCH($A83,campaigns!$A$2:$A$51,0))),"")))</f>
        <v/>
      </c>
      <c r="H83" s="30" t="str">
        <f aca="false">IF($G83="","",IF($G83&gt;=30,"Y","N"))</f>
        <v/>
      </c>
    </row>
    <row r="84" customFormat="false" ht="15" hidden="false" customHeight="false" outlineLevel="0" collapsed="false">
      <c r="B84" s="11"/>
      <c r="D84" s="11"/>
      <c r="G84" s="30" t="str">
        <f aca="false">IF(OR($A84="",$B84="",IFERROR(IF(INDEX(campaigns!$BG$2:$BG$51,MATCH($A84,campaigns!$A$2:$A$51,0))="","",INDEX(campaigns!$BG$2:$BG$51,MATCH($A84,campaigns!$A$2:$A$51,0))),"")=""),"",$B84-N(IFERROR(IF(INDEX(campaigns!$BG$2:$BG$51,MATCH($A84,campaigns!$A$2:$A$51,0))="","",INDEX(campaigns!$BG$2:$BG$51,MATCH($A84,campaigns!$A$2:$A$51,0))),"")))</f>
        <v/>
      </c>
      <c r="H84" s="30" t="str">
        <f aca="false">IF($G84="","",IF($G84&gt;=30,"Y","N"))</f>
        <v/>
      </c>
    </row>
    <row r="85" customFormat="false" ht="15" hidden="false" customHeight="false" outlineLevel="0" collapsed="false">
      <c r="B85" s="11"/>
      <c r="D85" s="11"/>
      <c r="G85" s="30" t="str">
        <f aca="false">IF(OR($A85="",$B85="",IFERROR(IF(INDEX(campaigns!$BG$2:$BG$51,MATCH($A85,campaigns!$A$2:$A$51,0))="","",INDEX(campaigns!$BG$2:$BG$51,MATCH($A85,campaigns!$A$2:$A$51,0))),"")=""),"",$B85-N(IFERROR(IF(INDEX(campaigns!$BG$2:$BG$51,MATCH($A85,campaigns!$A$2:$A$51,0))="","",INDEX(campaigns!$BG$2:$BG$51,MATCH($A85,campaigns!$A$2:$A$51,0))),"")))</f>
        <v/>
      </c>
      <c r="H85" s="30" t="str">
        <f aca="false">IF($G85="","",IF($G85&gt;=30,"Y","N"))</f>
        <v/>
      </c>
    </row>
    <row r="86" customFormat="false" ht="15" hidden="false" customHeight="false" outlineLevel="0" collapsed="false">
      <c r="B86" s="11"/>
      <c r="D86" s="11"/>
      <c r="G86" s="30" t="str">
        <f aca="false">IF(OR($A86="",$B86="",IFERROR(IF(INDEX(campaigns!$BG$2:$BG$51,MATCH($A86,campaigns!$A$2:$A$51,0))="","",INDEX(campaigns!$BG$2:$BG$51,MATCH($A86,campaigns!$A$2:$A$51,0))),"")=""),"",$B86-N(IFERROR(IF(INDEX(campaigns!$BG$2:$BG$51,MATCH($A86,campaigns!$A$2:$A$51,0))="","",INDEX(campaigns!$BG$2:$BG$51,MATCH($A86,campaigns!$A$2:$A$51,0))),"")))</f>
        <v/>
      </c>
      <c r="H86" s="30" t="str">
        <f aca="false">IF($G86="","",IF($G86&gt;=30,"Y","N"))</f>
        <v/>
      </c>
    </row>
    <row r="87" customFormat="false" ht="15" hidden="false" customHeight="false" outlineLevel="0" collapsed="false">
      <c r="B87" s="11"/>
      <c r="D87" s="11"/>
      <c r="G87" s="30" t="str">
        <f aca="false">IF(OR($A87="",$B87="",IFERROR(IF(INDEX(campaigns!$BG$2:$BG$51,MATCH($A87,campaigns!$A$2:$A$51,0))="","",INDEX(campaigns!$BG$2:$BG$51,MATCH($A87,campaigns!$A$2:$A$51,0))),"")=""),"",$B87-N(IFERROR(IF(INDEX(campaigns!$BG$2:$BG$51,MATCH($A87,campaigns!$A$2:$A$51,0))="","",INDEX(campaigns!$BG$2:$BG$51,MATCH($A87,campaigns!$A$2:$A$51,0))),"")))</f>
        <v/>
      </c>
      <c r="H87" s="30" t="str">
        <f aca="false">IF($G87="","",IF($G87&gt;=30,"Y","N"))</f>
        <v/>
      </c>
    </row>
    <row r="88" customFormat="false" ht="15" hidden="false" customHeight="false" outlineLevel="0" collapsed="false">
      <c r="B88" s="11"/>
      <c r="D88" s="11"/>
      <c r="G88" s="30" t="str">
        <f aca="false">IF(OR($A88="",$B88="",IFERROR(IF(INDEX(campaigns!$BG$2:$BG$51,MATCH($A88,campaigns!$A$2:$A$51,0))="","",INDEX(campaigns!$BG$2:$BG$51,MATCH($A88,campaigns!$A$2:$A$51,0))),"")=""),"",$B88-N(IFERROR(IF(INDEX(campaigns!$BG$2:$BG$51,MATCH($A88,campaigns!$A$2:$A$51,0))="","",INDEX(campaigns!$BG$2:$BG$51,MATCH($A88,campaigns!$A$2:$A$51,0))),"")))</f>
        <v/>
      </c>
      <c r="H88" s="30" t="str">
        <f aca="false">IF($G88="","",IF($G88&gt;=30,"Y","N"))</f>
        <v/>
      </c>
    </row>
    <row r="89" customFormat="false" ht="15" hidden="false" customHeight="false" outlineLevel="0" collapsed="false">
      <c r="B89" s="11"/>
      <c r="D89" s="11"/>
      <c r="G89" s="30" t="str">
        <f aca="false">IF(OR($A89="",$B89="",IFERROR(IF(INDEX(campaigns!$BG$2:$BG$51,MATCH($A89,campaigns!$A$2:$A$51,0))="","",INDEX(campaigns!$BG$2:$BG$51,MATCH($A89,campaigns!$A$2:$A$51,0))),"")=""),"",$B89-N(IFERROR(IF(INDEX(campaigns!$BG$2:$BG$51,MATCH($A89,campaigns!$A$2:$A$51,0))="","",INDEX(campaigns!$BG$2:$BG$51,MATCH($A89,campaigns!$A$2:$A$51,0))),"")))</f>
        <v/>
      </c>
      <c r="H89" s="30" t="str">
        <f aca="false">IF($G89="","",IF($G89&gt;=30,"Y","N"))</f>
        <v/>
      </c>
    </row>
    <row r="90" customFormat="false" ht="15" hidden="false" customHeight="false" outlineLevel="0" collapsed="false">
      <c r="B90" s="11"/>
      <c r="D90" s="11"/>
      <c r="G90" s="30" t="str">
        <f aca="false">IF(OR($A90="",$B90="",IFERROR(IF(INDEX(campaigns!$BG$2:$BG$51,MATCH($A90,campaigns!$A$2:$A$51,0))="","",INDEX(campaigns!$BG$2:$BG$51,MATCH($A90,campaigns!$A$2:$A$51,0))),"")=""),"",$B90-N(IFERROR(IF(INDEX(campaigns!$BG$2:$BG$51,MATCH($A90,campaigns!$A$2:$A$51,0))="","",INDEX(campaigns!$BG$2:$BG$51,MATCH($A90,campaigns!$A$2:$A$51,0))),"")))</f>
        <v/>
      </c>
      <c r="H90" s="30" t="str">
        <f aca="false">IF($G90="","",IF($G90&gt;=30,"Y","N"))</f>
        <v/>
      </c>
    </row>
    <row r="91" customFormat="false" ht="15" hidden="false" customHeight="false" outlineLevel="0" collapsed="false">
      <c r="B91" s="11"/>
      <c r="D91" s="11"/>
      <c r="G91" s="30" t="str">
        <f aca="false">IF(OR($A91="",$B91="",IFERROR(IF(INDEX(campaigns!$BG$2:$BG$51,MATCH($A91,campaigns!$A$2:$A$51,0))="","",INDEX(campaigns!$BG$2:$BG$51,MATCH($A91,campaigns!$A$2:$A$51,0))),"")=""),"",$B91-N(IFERROR(IF(INDEX(campaigns!$BG$2:$BG$51,MATCH($A91,campaigns!$A$2:$A$51,0))="","",INDEX(campaigns!$BG$2:$BG$51,MATCH($A91,campaigns!$A$2:$A$51,0))),"")))</f>
        <v/>
      </c>
      <c r="H91" s="30" t="str">
        <f aca="false">IF($G91="","",IF($G91&gt;=30,"Y","N"))</f>
        <v/>
      </c>
    </row>
    <row r="92" customFormat="false" ht="15" hidden="false" customHeight="false" outlineLevel="0" collapsed="false">
      <c r="B92" s="11"/>
      <c r="D92" s="11"/>
      <c r="G92" s="30" t="str">
        <f aca="false">IF(OR($A92="",$B92="",IFERROR(IF(INDEX(campaigns!$BG$2:$BG$51,MATCH($A92,campaigns!$A$2:$A$51,0))="","",INDEX(campaigns!$BG$2:$BG$51,MATCH($A92,campaigns!$A$2:$A$51,0))),"")=""),"",$B92-N(IFERROR(IF(INDEX(campaigns!$BG$2:$BG$51,MATCH($A92,campaigns!$A$2:$A$51,0))="","",INDEX(campaigns!$BG$2:$BG$51,MATCH($A92,campaigns!$A$2:$A$51,0))),"")))</f>
        <v/>
      </c>
      <c r="H92" s="30" t="str">
        <f aca="false">IF($G92="","",IF($G92&gt;=30,"Y","N"))</f>
        <v/>
      </c>
    </row>
    <row r="93" customFormat="false" ht="15" hidden="false" customHeight="false" outlineLevel="0" collapsed="false">
      <c r="B93" s="11"/>
      <c r="D93" s="11"/>
      <c r="G93" s="30" t="str">
        <f aca="false">IF(OR($A93="",$B93="",IFERROR(IF(INDEX(campaigns!$BG$2:$BG$51,MATCH($A93,campaigns!$A$2:$A$51,0))="","",INDEX(campaigns!$BG$2:$BG$51,MATCH($A93,campaigns!$A$2:$A$51,0))),"")=""),"",$B93-N(IFERROR(IF(INDEX(campaigns!$BG$2:$BG$51,MATCH($A93,campaigns!$A$2:$A$51,0))="","",INDEX(campaigns!$BG$2:$BG$51,MATCH($A93,campaigns!$A$2:$A$51,0))),"")))</f>
        <v/>
      </c>
      <c r="H93" s="30" t="str">
        <f aca="false">IF($G93="","",IF($G93&gt;=30,"Y","N"))</f>
        <v/>
      </c>
    </row>
    <row r="94" customFormat="false" ht="15" hidden="false" customHeight="false" outlineLevel="0" collapsed="false">
      <c r="B94" s="11"/>
      <c r="D94" s="11"/>
      <c r="G94" s="30" t="str">
        <f aca="false">IF(OR($A94="",$B94="",IFERROR(IF(INDEX(campaigns!$BG$2:$BG$51,MATCH($A94,campaigns!$A$2:$A$51,0))="","",INDEX(campaigns!$BG$2:$BG$51,MATCH($A94,campaigns!$A$2:$A$51,0))),"")=""),"",$B94-N(IFERROR(IF(INDEX(campaigns!$BG$2:$BG$51,MATCH($A94,campaigns!$A$2:$A$51,0))="","",INDEX(campaigns!$BG$2:$BG$51,MATCH($A94,campaigns!$A$2:$A$51,0))),"")))</f>
        <v/>
      </c>
      <c r="H94" s="30" t="str">
        <f aca="false">IF($G94="","",IF($G94&gt;=30,"Y","N"))</f>
        <v/>
      </c>
    </row>
    <row r="95" customFormat="false" ht="15" hidden="false" customHeight="false" outlineLevel="0" collapsed="false">
      <c r="B95" s="11"/>
      <c r="D95" s="11"/>
      <c r="G95" s="30" t="str">
        <f aca="false">IF(OR($A95="",$B95="",IFERROR(IF(INDEX(campaigns!$BG$2:$BG$51,MATCH($A95,campaigns!$A$2:$A$51,0))="","",INDEX(campaigns!$BG$2:$BG$51,MATCH($A95,campaigns!$A$2:$A$51,0))),"")=""),"",$B95-N(IFERROR(IF(INDEX(campaigns!$BG$2:$BG$51,MATCH($A95,campaigns!$A$2:$A$51,0))="","",INDEX(campaigns!$BG$2:$BG$51,MATCH($A95,campaigns!$A$2:$A$51,0))),"")))</f>
        <v/>
      </c>
      <c r="H95" s="30" t="str">
        <f aca="false">IF($G95="","",IF($G95&gt;=30,"Y","N"))</f>
        <v/>
      </c>
    </row>
    <row r="96" customFormat="false" ht="15" hidden="false" customHeight="false" outlineLevel="0" collapsed="false">
      <c r="B96" s="11"/>
      <c r="D96" s="11"/>
      <c r="G96" s="30" t="str">
        <f aca="false">IF(OR($A96="",$B96="",IFERROR(IF(INDEX(campaigns!$BG$2:$BG$51,MATCH($A96,campaigns!$A$2:$A$51,0))="","",INDEX(campaigns!$BG$2:$BG$51,MATCH($A96,campaigns!$A$2:$A$51,0))),"")=""),"",$B96-N(IFERROR(IF(INDEX(campaigns!$BG$2:$BG$51,MATCH($A96,campaigns!$A$2:$A$51,0))="","",INDEX(campaigns!$BG$2:$BG$51,MATCH($A96,campaigns!$A$2:$A$51,0))),"")))</f>
        <v/>
      </c>
      <c r="H96" s="30" t="str">
        <f aca="false">IF($G96="","",IF($G96&gt;=30,"Y","N"))</f>
        <v/>
      </c>
    </row>
    <row r="97" customFormat="false" ht="15" hidden="false" customHeight="false" outlineLevel="0" collapsed="false">
      <c r="B97" s="11"/>
      <c r="D97" s="11"/>
      <c r="G97" s="30" t="str">
        <f aca="false">IF(OR($A97="",$B97="",IFERROR(IF(INDEX(campaigns!$BG$2:$BG$51,MATCH($A97,campaigns!$A$2:$A$51,0))="","",INDEX(campaigns!$BG$2:$BG$51,MATCH($A97,campaigns!$A$2:$A$51,0))),"")=""),"",$B97-N(IFERROR(IF(INDEX(campaigns!$BG$2:$BG$51,MATCH($A97,campaigns!$A$2:$A$51,0))="","",INDEX(campaigns!$BG$2:$BG$51,MATCH($A97,campaigns!$A$2:$A$51,0))),"")))</f>
        <v/>
      </c>
      <c r="H97" s="30" t="str">
        <f aca="false">IF($G97="","",IF($G97&gt;=30,"Y","N"))</f>
        <v/>
      </c>
    </row>
    <row r="98" customFormat="false" ht="15" hidden="false" customHeight="false" outlineLevel="0" collapsed="false">
      <c r="B98" s="11"/>
      <c r="D98" s="11"/>
      <c r="G98" s="30" t="str">
        <f aca="false">IF(OR($A98="",$B98="",IFERROR(IF(INDEX(campaigns!$BG$2:$BG$51,MATCH($A98,campaigns!$A$2:$A$51,0))="","",INDEX(campaigns!$BG$2:$BG$51,MATCH($A98,campaigns!$A$2:$A$51,0))),"")=""),"",$B98-N(IFERROR(IF(INDEX(campaigns!$BG$2:$BG$51,MATCH($A98,campaigns!$A$2:$A$51,0))="","",INDEX(campaigns!$BG$2:$BG$51,MATCH($A98,campaigns!$A$2:$A$51,0))),"")))</f>
        <v/>
      </c>
      <c r="H98" s="30" t="str">
        <f aca="false">IF($G98="","",IF($G98&gt;=30,"Y","N"))</f>
        <v/>
      </c>
    </row>
    <row r="99" customFormat="false" ht="15" hidden="false" customHeight="false" outlineLevel="0" collapsed="false">
      <c r="B99" s="11"/>
      <c r="D99" s="11"/>
      <c r="G99" s="30" t="str">
        <f aca="false">IF(OR($A99="",$B99="",IFERROR(IF(INDEX(campaigns!$BG$2:$BG$51,MATCH($A99,campaigns!$A$2:$A$51,0))="","",INDEX(campaigns!$BG$2:$BG$51,MATCH($A99,campaigns!$A$2:$A$51,0))),"")=""),"",$B99-N(IFERROR(IF(INDEX(campaigns!$BG$2:$BG$51,MATCH($A99,campaigns!$A$2:$A$51,0))="","",INDEX(campaigns!$BG$2:$BG$51,MATCH($A99,campaigns!$A$2:$A$51,0))),"")))</f>
        <v/>
      </c>
      <c r="H99" s="30" t="str">
        <f aca="false">IF($G99="","",IF($G99&gt;=30,"Y","N"))</f>
        <v/>
      </c>
    </row>
    <row r="100" customFormat="false" ht="15" hidden="false" customHeight="false" outlineLevel="0" collapsed="false">
      <c r="B100" s="11"/>
      <c r="D100" s="11"/>
      <c r="G100" s="30" t="str">
        <f aca="false">IF(OR($A100="",$B100="",IFERROR(IF(INDEX(campaigns!$BG$2:$BG$51,MATCH($A100,campaigns!$A$2:$A$51,0))="","",INDEX(campaigns!$BG$2:$BG$51,MATCH($A100,campaigns!$A$2:$A$51,0))),"")=""),"",$B100-N(IFERROR(IF(INDEX(campaigns!$BG$2:$BG$51,MATCH($A100,campaigns!$A$2:$A$51,0))="","",INDEX(campaigns!$BG$2:$BG$51,MATCH($A100,campaigns!$A$2:$A$51,0))),"")))</f>
        <v/>
      </c>
      <c r="H100" s="30" t="str">
        <f aca="false">IF($G100="","",IF($G100&gt;=30,"Y","N"))</f>
        <v/>
      </c>
    </row>
    <row r="101" customFormat="false" ht="15" hidden="false" customHeight="false" outlineLevel="0" collapsed="false">
      <c r="B101" s="11"/>
      <c r="D101" s="11"/>
      <c r="G101" s="30" t="str">
        <f aca="false">IF(OR($A101="",$B101="",IFERROR(IF(INDEX(campaigns!$BG$2:$BG$51,MATCH($A101,campaigns!$A$2:$A$51,0))="","",INDEX(campaigns!$BG$2:$BG$51,MATCH($A101,campaigns!$A$2:$A$51,0))),"")=""),"",$B101-N(IFERROR(IF(INDEX(campaigns!$BG$2:$BG$51,MATCH($A101,campaigns!$A$2:$A$51,0))="","",INDEX(campaigns!$BG$2:$BG$51,MATCH($A101,campaigns!$A$2:$A$51,0))),"")))</f>
        <v/>
      </c>
      <c r="H101" s="30" t="str">
        <f aca="false">IF($G101="","",IF($G101&gt;=30,"Y","N"))</f>
        <v/>
      </c>
    </row>
    <row r="102" customFormat="false" ht="15" hidden="false" customHeight="false" outlineLevel="0" collapsed="false">
      <c r="B102" s="11"/>
      <c r="D102" s="11"/>
      <c r="G102" s="30" t="str">
        <f aca="false">IF(OR($A102="",$B102="",IFERROR(IF(INDEX(campaigns!$BG$2:$BG$51,MATCH($A102,campaigns!$A$2:$A$51,0))="","",INDEX(campaigns!$BG$2:$BG$51,MATCH($A102,campaigns!$A$2:$A$51,0))),"")=""),"",$B102-N(IFERROR(IF(INDEX(campaigns!$BG$2:$BG$51,MATCH($A102,campaigns!$A$2:$A$51,0))="","",INDEX(campaigns!$BG$2:$BG$51,MATCH($A102,campaigns!$A$2:$A$51,0))),"")))</f>
        <v/>
      </c>
      <c r="H102" s="30" t="str">
        <f aca="false">IF($G102="","",IF($G102&gt;=30,"Y","N"))</f>
        <v/>
      </c>
    </row>
    <row r="103" customFormat="false" ht="15" hidden="false" customHeight="false" outlineLevel="0" collapsed="false">
      <c r="B103" s="11"/>
      <c r="D103" s="11"/>
      <c r="G103" s="30" t="str">
        <f aca="false">IF(OR($A103="",$B103="",IFERROR(IF(INDEX(campaigns!$BG$2:$BG$51,MATCH($A103,campaigns!$A$2:$A$51,0))="","",INDEX(campaigns!$BG$2:$BG$51,MATCH($A103,campaigns!$A$2:$A$51,0))),"")=""),"",$B103-N(IFERROR(IF(INDEX(campaigns!$BG$2:$BG$51,MATCH($A103,campaigns!$A$2:$A$51,0))="","",INDEX(campaigns!$BG$2:$BG$51,MATCH($A103,campaigns!$A$2:$A$51,0))),"")))</f>
        <v/>
      </c>
      <c r="H103" s="30" t="str">
        <f aca="false">IF($G103="","",IF($G103&gt;=30,"Y","N"))</f>
        <v/>
      </c>
    </row>
    <row r="104" customFormat="false" ht="15" hidden="false" customHeight="false" outlineLevel="0" collapsed="false">
      <c r="B104" s="11"/>
      <c r="D104" s="11"/>
      <c r="G104" s="30" t="str">
        <f aca="false">IF(OR($A104="",$B104="",IFERROR(IF(INDEX(campaigns!$BG$2:$BG$51,MATCH($A104,campaigns!$A$2:$A$51,0))="","",INDEX(campaigns!$BG$2:$BG$51,MATCH($A104,campaigns!$A$2:$A$51,0))),"")=""),"",$B104-N(IFERROR(IF(INDEX(campaigns!$BG$2:$BG$51,MATCH($A104,campaigns!$A$2:$A$51,0))="","",INDEX(campaigns!$BG$2:$BG$51,MATCH($A104,campaigns!$A$2:$A$51,0))),"")))</f>
        <v/>
      </c>
      <c r="H104" s="30" t="str">
        <f aca="false">IF($G104="","",IF($G104&gt;=30,"Y","N"))</f>
        <v/>
      </c>
    </row>
    <row r="105" customFormat="false" ht="15" hidden="false" customHeight="false" outlineLevel="0" collapsed="false">
      <c r="B105" s="11"/>
      <c r="D105" s="11"/>
      <c r="G105" s="30" t="str">
        <f aca="false">IF(OR($A105="",$B105="",IFERROR(IF(INDEX(campaigns!$BG$2:$BG$51,MATCH($A105,campaigns!$A$2:$A$51,0))="","",INDEX(campaigns!$BG$2:$BG$51,MATCH($A105,campaigns!$A$2:$A$51,0))),"")=""),"",$B105-N(IFERROR(IF(INDEX(campaigns!$BG$2:$BG$51,MATCH($A105,campaigns!$A$2:$A$51,0))="","",INDEX(campaigns!$BG$2:$BG$51,MATCH($A105,campaigns!$A$2:$A$51,0))),"")))</f>
        <v/>
      </c>
      <c r="H105" s="30" t="str">
        <f aca="false">IF($G105="","",IF($G105&gt;=30,"Y","N"))</f>
        <v/>
      </c>
    </row>
    <row r="106" customFormat="false" ht="15" hidden="false" customHeight="false" outlineLevel="0" collapsed="false">
      <c r="B106" s="11"/>
      <c r="D106" s="11"/>
      <c r="G106" s="30" t="str">
        <f aca="false">IF(OR($A106="",$B106="",IFERROR(IF(INDEX(campaigns!$BG$2:$BG$51,MATCH($A106,campaigns!$A$2:$A$51,0))="","",INDEX(campaigns!$BG$2:$BG$51,MATCH($A106,campaigns!$A$2:$A$51,0))),"")=""),"",$B106-N(IFERROR(IF(INDEX(campaigns!$BG$2:$BG$51,MATCH($A106,campaigns!$A$2:$A$51,0))="","",INDEX(campaigns!$BG$2:$BG$51,MATCH($A106,campaigns!$A$2:$A$51,0))),"")))</f>
        <v/>
      </c>
      <c r="H106" s="30" t="str">
        <f aca="false">IF($G106="","",IF($G106&gt;=30,"Y","N"))</f>
        <v/>
      </c>
    </row>
    <row r="107" customFormat="false" ht="15" hidden="false" customHeight="false" outlineLevel="0" collapsed="false">
      <c r="B107" s="11"/>
      <c r="D107" s="11"/>
      <c r="G107" s="30" t="str">
        <f aca="false">IF(OR($A107="",$B107="",IFERROR(IF(INDEX(campaigns!$BG$2:$BG$51,MATCH($A107,campaigns!$A$2:$A$51,0))="","",INDEX(campaigns!$BG$2:$BG$51,MATCH($A107,campaigns!$A$2:$A$51,0))),"")=""),"",$B107-N(IFERROR(IF(INDEX(campaigns!$BG$2:$BG$51,MATCH($A107,campaigns!$A$2:$A$51,0))="","",INDEX(campaigns!$BG$2:$BG$51,MATCH($A107,campaigns!$A$2:$A$51,0))),"")))</f>
        <v/>
      </c>
      <c r="H107" s="30" t="str">
        <f aca="false">IF($G107="","",IF($G107&gt;=30,"Y","N"))</f>
        <v/>
      </c>
    </row>
    <row r="108" customFormat="false" ht="15" hidden="false" customHeight="false" outlineLevel="0" collapsed="false">
      <c r="B108" s="11"/>
      <c r="D108" s="11"/>
      <c r="G108" s="30" t="str">
        <f aca="false">IF(OR($A108="",$B108="",IFERROR(IF(INDEX(campaigns!$BG$2:$BG$51,MATCH($A108,campaigns!$A$2:$A$51,0))="","",INDEX(campaigns!$BG$2:$BG$51,MATCH($A108,campaigns!$A$2:$A$51,0))),"")=""),"",$B108-N(IFERROR(IF(INDEX(campaigns!$BG$2:$BG$51,MATCH($A108,campaigns!$A$2:$A$51,0))="","",INDEX(campaigns!$BG$2:$BG$51,MATCH($A108,campaigns!$A$2:$A$51,0))),"")))</f>
        <v/>
      </c>
      <c r="H108" s="30" t="str">
        <f aca="false">IF($G108="","",IF($G108&gt;=30,"Y","N"))</f>
        <v/>
      </c>
    </row>
    <row r="109" customFormat="false" ht="15" hidden="false" customHeight="false" outlineLevel="0" collapsed="false">
      <c r="B109" s="11"/>
      <c r="D109" s="11"/>
      <c r="G109" s="30" t="str">
        <f aca="false">IF(OR($A109="",$B109="",IFERROR(IF(INDEX(campaigns!$BG$2:$BG$51,MATCH($A109,campaigns!$A$2:$A$51,0))="","",INDEX(campaigns!$BG$2:$BG$51,MATCH($A109,campaigns!$A$2:$A$51,0))),"")=""),"",$B109-N(IFERROR(IF(INDEX(campaigns!$BG$2:$BG$51,MATCH($A109,campaigns!$A$2:$A$51,0))="","",INDEX(campaigns!$BG$2:$BG$51,MATCH($A109,campaigns!$A$2:$A$51,0))),"")))</f>
        <v/>
      </c>
      <c r="H109" s="30" t="str">
        <f aca="false">IF($G109="","",IF($G109&gt;=30,"Y","N"))</f>
        <v/>
      </c>
    </row>
    <row r="110" customFormat="false" ht="15" hidden="false" customHeight="false" outlineLevel="0" collapsed="false">
      <c r="B110" s="11"/>
      <c r="D110" s="11"/>
      <c r="G110" s="30" t="str">
        <f aca="false">IF(OR($A110="",$B110="",IFERROR(IF(INDEX(campaigns!$BG$2:$BG$51,MATCH($A110,campaigns!$A$2:$A$51,0))="","",INDEX(campaigns!$BG$2:$BG$51,MATCH($A110,campaigns!$A$2:$A$51,0))),"")=""),"",$B110-N(IFERROR(IF(INDEX(campaigns!$BG$2:$BG$51,MATCH($A110,campaigns!$A$2:$A$51,0))="","",INDEX(campaigns!$BG$2:$BG$51,MATCH($A110,campaigns!$A$2:$A$51,0))),"")))</f>
        <v/>
      </c>
      <c r="H110" s="30" t="str">
        <f aca="false">IF($G110="","",IF($G110&gt;=30,"Y","N"))</f>
        <v/>
      </c>
    </row>
    <row r="111" customFormat="false" ht="15" hidden="false" customHeight="false" outlineLevel="0" collapsed="false">
      <c r="B111" s="11"/>
      <c r="D111" s="11"/>
      <c r="G111" s="30" t="str">
        <f aca="false">IF(OR($A111="",$B111="",IFERROR(IF(INDEX(campaigns!$BG$2:$BG$51,MATCH($A111,campaigns!$A$2:$A$51,0))="","",INDEX(campaigns!$BG$2:$BG$51,MATCH($A111,campaigns!$A$2:$A$51,0))),"")=""),"",$B111-N(IFERROR(IF(INDEX(campaigns!$BG$2:$BG$51,MATCH($A111,campaigns!$A$2:$A$51,0))="","",INDEX(campaigns!$BG$2:$BG$51,MATCH($A111,campaigns!$A$2:$A$51,0))),"")))</f>
        <v/>
      </c>
      <c r="H111" s="30" t="str">
        <f aca="false">IF($G111="","",IF($G111&gt;=30,"Y","N"))</f>
        <v/>
      </c>
    </row>
    <row r="112" customFormat="false" ht="15" hidden="false" customHeight="false" outlineLevel="0" collapsed="false">
      <c r="B112" s="11"/>
      <c r="D112" s="11"/>
      <c r="G112" s="30" t="str">
        <f aca="false">IF(OR($A112="",$B112="",IFERROR(IF(INDEX(campaigns!$BG$2:$BG$51,MATCH($A112,campaigns!$A$2:$A$51,0))="","",INDEX(campaigns!$BG$2:$BG$51,MATCH($A112,campaigns!$A$2:$A$51,0))),"")=""),"",$B112-N(IFERROR(IF(INDEX(campaigns!$BG$2:$BG$51,MATCH($A112,campaigns!$A$2:$A$51,0))="","",INDEX(campaigns!$BG$2:$BG$51,MATCH($A112,campaigns!$A$2:$A$51,0))),"")))</f>
        <v/>
      </c>
      <c r="H112" s="30" t="str">
        <f aca="false">IF($G112="","",IF($G112&gt;=30,"Y","N"))</f>
        <v/>
      </c>
    </row>
    <row r="113" customFormat="false" ht="15" hidden="false" customHeight="false" outlineLevel="0" collapsed="false">
      <c r="B113" s="11"/>
      <c r="D113" s="11"/>
      <c r="G113" s="30" t="str">
        <f aca="false">IF(OR($A113="",$B113="",IFERROR(IF(INDEX(campaigns!$BG$2:$BG$51,MATCH($A113,campaigns!$A$2:$A$51,0))="","",INDEX(campaigns!$BG$2:$BG$51,MATCH($A113,campaigns!$A$2:$A$51,0))),"")=""),"",$B113-N(IFERROR(IF(INDEX(campaigns!$BG$2:$BG$51,MATCH($A113,campaigns!$A$2:$A$51,0))="","",INDEX(campaigns!$BG$2:$BG$51,MATCH($A113,campaigns!$A$2:$A$51,0))),"")))</f>
        <v/>
      </c>
      <c r="H113" s="30" t="str">
        <f aca="false">IF($G113="","",IF($G113&gt;=30,"Y","N"))</f>
        <v/>
      </c>
    </row>
    <row r="114" customFormat="false" ht="15" hidden="false" customHeight="false" outlineLevel="0" collapsed="false">
      <c r="B114" s="11"/>
      <c r="D114" s="11"/>
      <c r="G114" s="30" t="str">
        <f aca="false">IF(OR($A114="",$B114="",IFERROR(IF(INDEX(campaigns!$BG$2:$BG$51,MATCH($A114,campaigns!$A$2:$A$51,0))="","",INDEX(campaigns!$BG$2:$BG$51,MATCH($A114,campaigns!$A$2:$A$51,0))),"")=""),"",$B114-N(IFERROR(IF(INDEX(campaigns!$BG$2:$BG$51,MATCH($A114,campaigns!$A$2:$A$51,0))="","",INDEX(campaigns!$BG$2:$BG$51,MATCH($A114,campaigns!$A$2:$A$51,0))),"")))</f>
        <v/>
      </c>
      <c r="H114" s="30" t="str">
        <f aca="false">IF($G114="","",IF($G114&gt;=30,"Y","N"))</f>
        <v/>
      </c>
    </row>
    <row r="115" customFormat="false" ht="15" hidden="false" customHeight="false" outlineLevel="0" collapsed="false">
      <c r="B115" s="11"/>
      <c r="D115" s="11"/>
      <c r="G115" s="30" t="str">
        <f aca="false">IF(OR($A115="",$B115="",IFERROR(IF(INDEX(campaigns!$BG$2:$BG$51,MATCH($A115,campaigns!$A$2:$A$51,0))="","",INDEX(campaigns!$BG$2:$BG$51,MATCH($A115,campaigns!$A$2:$A$51,0))),"")=""),"",$B115-N(IFERROR(IF(INDEX(campaigns!$BG$2:$BG$51,MATCH($A115,campaigns!$A$2:$A$51,0))="","",INDEX(campaigns!$BG$2:$BG$51,MATCH($A115,campaigns!$A$2:$A$51,0))),"")))</f>
        <v/>
      </c>
      <c r="H115" s="30" t="str">
        <f aca="false">IF($G115="","",IF($G115&gt;=30,"Y","N"))</f>
        <v/>
      </c>
    </row>
    <row r="116" customFormat="false" ht="15" hidden="false" customHeight="false" outlineLevel="0" collapsed="false">
      <c r="B116" s="11"/>
      <c r="D116" s="11"/>
      <c r="G116" s="30" t="str">
        <f aca="false">IF(OR($A116="",$B116="",IFERROR(IF(INDEX(campaigns!$BG$2:$BG$51,MATCH($A116,campaigns!$A$2:$A$51,0))="","",INDEX(campaigns!$BG$2:$BG$51,MATCH($A116,campaigns!$A$2:$A$51,0))),"")=""),"",$B116-N(IFERROR(IF(INDEX(campaigns!$BG$2:$BG$51,MATCH($A116,campaigns!$A$2:$A$51,0))="","",INDEX(campaigns!$BG$2:$BG$51,MATCH($A116,campaigns!$A$2:$A$51,0))),"")))</f>
        <v/>
      </c>
      <c r="H116" s="30" t="str">
        <f aca="false">IF($G116="","",IF($G116&gt;=30,"Y","N"))</f>
        <v/>
      </c>
    </row>
    <row r="117" customFormat="false" ht="15" hidden="false" customHeight="false" outlineLevel="0" collapsed="false">
      <c r="B117" s="11"/>
      <c r="D117" s="11"/>
      <c r="G117" s="30" t="str">
        <f aca="false">IF(OR($A117="",$B117="",IFERROR(IF(INDEX(campaigns!$BG$2:$BG$51,MATCH($A117,campaigns!$A$2:$A$51,0))="","",INDEX(campaigns!$BG$2:$BG$51,MATCH($A117,campaigns!$A$2:$A$51,0))),"")=""),"",$B117-N(IFERROR(IF(INDEX(campaigns!$BG$2:$BG$51,MATCH($A117,campaigns!$A$2:$A$51,0))="","",INDEX(campaigns!$BG$2:$BG$51,MATCH($A117,campaigns!$A$2:$A$51,0))),"")))</f>
        <v/>
      </c>
      <c r="H117" s="30" t="str">
        <f aca="false">IF($G117="","",IF($G117&gt;=30,"Y","N"))</f>
        <v/>
      </c>
    </row>
    <row r="118" customFormat="false" ht="15" hidden="false" customHeight="false" outlineLevel="0" collapsed="false">
      <c r="B118" s="11"/>
      <c r="D118" s="11"/>
      <c r="G118" s="30" t="str">
        <f aca="false">IF(OR($A118="",$B118="",IFERROR(IF(INDEX(campaigns!$BG$2:$BG$51,MATCH($A118,campaigns!$A$2:$A$51,0))="","",INDEX(campaigns!$BG$2:$BG$51,MATCH($A118,campaigns!$A$2:$A$51,0))),"")=""),"",$B118-N(IFERROR(IF(INDEX(campaigns!$BG$2:$BG$51,MATCH($A118,campaigns!$A$2:$A$51,0))="","",INDEX(campaigns!$BG$2:$BG$51,MATCH($A118,campaigns!$A$2:$A$51,0))),"")))</f>
        <v/>
      </c>
      <c r="H118" s="30" t="str">
        <f aca="false">IF($G118="","",IF($G118&gt;=30,"Y","N"))</f>
        <v/>
      </c>
    </row>
    <row r="119" customFormat="false" ht="15" hidden="false" customHeight="false" outlineLevel="0" collapsed="false">
      <c r="B119" s="11"/>
      <c r="D119" s="11"/>
      <c r="G119" s="30" t="str">
        <f aca="false">IF(OR($A119="",$B119="",IFERROR(IF(INDEX(campaigns!$BG$2:$BG$51,MATCH($A119,campaigns!$A$2:$A$51,0))="","",INDEX(campaigns!$BG$2:$BG$51,MATCH($A119,campaigns!$A$2:$A$51,0))),"")=""),"",$B119-N(IFERROR(IF(INDEX(campaigns!$BG$2:$BG$51,MATCH($A119,campaigns!$A$2:$A$51,0))="","",INDEX(campaigns!$BG$2:$BG$51,MATCH($A119,campaigns!$A$2:$A$51,0))),"")))</f>
        <v/>
      </c>
      <c r="H119" s="30" t="str">
        <f aca="false">IF($G119="","",IF($G119&gt;=30,"Y","N"))</f>
        <v/>
      </c>
    </row>
    <row r="120" customFormat="false" ht="15" hidden="false" customHeight="false" outlineLevel="0" collapsed="false">
      <c r="B120" s="11"/>
      <c r="D120" s="11"/>
      <c r="G120" s="30" t="str">
        <f aca="false">IF(OR($A120="",$B120="",IFERROR(IF(INDEX(campaigns!$BG$2:$BG$51,MATCH($A120,campaigns!$A$2:$A$51,0))="","",INDEX(campaigns!$BG$2:$BG$51,MATCH($A120,campaigns!$A$2:$A$51,0))),"")=""),"",$B120-N(IFERROR(IF(INDEX(campaigns!$BG$2:$BG$51,MATCH($A120,campaigns!$A$2:$A$51,0))="","",INDEX(campaigns!$BG$2:$BG$51,MATCH($A120,campaigns!$A$2:$A$51,0))),"")))</f>
        <v/>
      </c>
      <c r="H120" s="30" t="str">
        <f aca="false">IF($G120="","",IF($G120&gt;=30,"Y","N"))</f>
        <v/>
      </c>
    </row>
    <row r="121" customFormat="false" ht="15" hidden="false" customHeight="false" outlineLevel="0" collapsed="false">
      <c r="B121" s="11"/>
      <c r="D121" s="11"/>
      <c r="G121" s="30" t="str">
        <f aca="false">IF(OR($A121="",$B121="",IFERROR(IF(INDEX(campaigns!$BG$2:$BG$51,MATCH($A121,campaigns!$A$2:$A$51,0))="","",INDEX(campaigns!$BG$2:$BG$51,MATCH($A121,campaigns!$A$2:$A$51,0))),"")=""),"",$B121-N(IFERROR(IF(INDEX(campaigns!$BG$2:$BG$51,MATCH($A121,campaigns!$A$2:$A$51,0))="","",INDEX(campaigns!$BG$2:$BG$51,MATCH($A121,campaigns!$A$2:$A$51,0))),"")))</f>
        <v/>
      </c>
      <c r="H121" s="30" t="str">
        <f aca="false">IF($G121="","",IF($G121&gt;=30,"Y","N"))</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CE4D6"/>
    <pageSetUpPr fitToPage="false"/>
  </sheetPr>
  <dimension ref="A1:O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7" min="4" style="0" width="14"/>
    <col collapsed="false" customWidth="true" hidden="false" outlineLevel="0" max="8" min="8" style="0" width="34"/>
    <col collapsed="false" customWidth="true" hidden="false" outlineLevel="0" max="9" min="9" style="0" width="30"/>
    <col collapsed="false" customWidth="true" hidden="false" outlineLevel="0" max="12" min="10" style="0" width="14"/>
    <col collapsed="false" customWidth="true" hidden="false" outlineLevel="0" max="13" min="13" style="0" width="20"/>
    <col collapsed="false" customWidth="true" hidden="false" outlineLevel="0" max="14" min="14" style="0" width="7"/>
    <col collapsed="false" customWidth="true" hidden="false" outlineLevel="0" max="15" min="15" style="0" width="34"/>
  </cols>
  <sheetData>
    <row r="1" customFormat="false" ht="15" hidden="false" customHeight="false" outlineLevel="0" collapsed="false">
      <c r="A1" s="28" t="s">
        <v>1269</v>
      </c>
      <c r="B1" s="28" t="s">
        <v>77</v>
      </c>
      <c r="C1" s="28" t="s">
        <v>780</v>
      </c>
      <c r="D1" s="28" t="s">
        <v>299</v>
      </c>
      <c r="E1" s="28" t="s">
        <v>358</v>
      </c>
      <c r="F1" s="28" t="s">
        <v>642</v>
      </c>
      <c r="G1" s="28" t="s">
        <v>1270</v>
      </c>
      <c r="H1" s="28" t="s">
        <v>1271</v>
      </c>
      <c r="I1" s="28" t="s">
        <v>1272</v>
      </c>
      <c r="J1" s="28" t="s">
        <v>1273</v>
      </c>
      <c r="K1" s="28" t="s">
        <v>1274</v>
      </c>
      <c r="L1" s="28" t="s">
        <v>1275</v>
      </c>
      <c r="M1" s="28" t="s">
        <v>178</v>
      </c>
      <c r="N1" s="29" t="s">
        <v>1276</v>
      </c>
      <c r="O1" s="29" t="s">
        <v>120</v>
      </c>
    </row>
    <row r="2" customFormat="false" ht="15" hidden="false" customHeight="false" outlineLevel="0" collapsed="false">
      <c r="A2" s="0" t="s">
        <v>1277</v>
      </c>
      <c r="B2" s="11" t="n">
        <v>46386</v>
      </c>
      <c r="C2" s="38" t="n">
        <v>0.479166666666667</v>
      </c>
      <c r="D2" s="10" t="s">
        <v>337</v>
      </c>
      <c r="E2" s="10" t="s">
        <v>498</v>
      </c>
      <c r="G2" s="10" t="s">
        <v>1278</v>
      </c>
      <c r="H2" s="10" t="s">
        <v>1279</v>
      </c>
      <c r="I2" s="10" t="s">
        <v>1280</v>
      </c>
      <c r="J2" s="11" t="n">
        <v>46386</v>
      </c>
      <c r="K2" s="11"/>
      <c r="L2" s="11" t="n">
        <v>46409</v>
      </c>
      <c r="N2" s="30" t="n">
        <f aca="true">IF($B2="","",IF($L2="",IF(config!$B$37&lt;&gt;"",config!$B$37,TODAY())-$B2,$L2-$B2))</f>
        <v>23</v>
      </c>
      <c r="O2" s="30" t="str">
        <f aca="false">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ustomFormat="false" ht="15" hidden="false" customHeight="false" outlineLevel="0" collapsed="false">
      <c r="A3" s="0" t="s">
        <v>1281</v>
      </c>
      <c r="B3" s="11" t="n">
        <v>46399</v>
      </c>
      <c r="C3" s="38" t="n">
        <v>0.452777777777778</v>
      </c>
      <c r="D3" s="10" t="s">
        <v>337</v>
      </c>
      <c r="F3" s="10" t="s">
        <v>686</v>
      </c>
      <c r="G3" s="10" t="s">
        <v>1282</v>
      </c>
      <c r="H3" s="10" t="s">
        <v>1283</v>
      </c>
      <c r="I3" s="10" t="s">
        <v>1284</v>
      </c>
      <c r="J3" s="11"/>
      <c r="K3" s="11" t="n">
        <v>46399</v>
      </c>
      <c r="L3" s="11" t="n">
        <v>46401</v>
      </c>
      <c r="N3" s="30" t="n">
        <f aca="true">IF($B3="","",IF($L3="",IF(config!$B$37&lt;&gt;"",config!$B$37,TODAY())-$B3,$L3-$B3))</f>
        <v>2</v>
      </c>
      <c r="O3" s="30" t="str">
        <f aca="false">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ustomFormat="false" ht="15" hidden="false" customHeight="false" outlineLevel="0" collapsed="false">
      <c r="A4" s="0" t="s">
        <v>1285</v>
      </c>
      <c r="B4" s="11" t="n">
        <v>46400</v>
      </c>
      <c r="C4" s="38" t="n">
        <v>0.708333333333333</v>
      </c>
      <c r="D4" s="10" t="s">
        <v>337</v>
      </c>
      <c r="E4" s="10" t="s">
        <v>472</v>
      </c>
      <c r="F4" s="10" t="s">
        <v>686</v>
      </c>
      <c r="G4" s="10" t="s">
        <v>1286</v>
      </c>
      <c r="H4" s="10" t="s">
        <v>1287</v>
      </c>
      <c r="I4" s="10" t="s">
        <v>1288</v>
      </c>
      <c r="J4" s="11" t="n">
        <v>46400</v>
      </c>
      <c r="K4" s="11" t="n">
        <v>46400</v>
      </c>
      <c r="L4" s="11" t="n">
        <v>46402</v>
      </c>
      <c r="N4" s="30" t="n">
        <f aca="true">IF($B4="","",IF($L4="",IF(config!$B$37&lt;&gt;"",config!$B$37,TODAY())-$B4,$L4-$B4))</f>
        <v>2</v>
      </c>
      <c r="O4" s="30" t="str">
        <f aca="false">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ustomFormat="false" ht="15" hidden="false" customHeight="false" outlineLevel="0" collapsed="false">
      <c r="A5" s="0" t="s">
        <v>1289</v>
      </c>
      <c r="B5" s="11" t="n">
        <v>46416</v>
      </c>
      <c r="C5" s="38" t="n">
        <v>0.604166666666667</v>
      </c>
      <c r="D5" s="10" t="s">
        <v>344</v>
      </c>
      <c r="E5" s="10" t="s">
        <v>516</v>
      </c>
      <c r="G5" s="10" t="s">
        <v>1290</v>
      </c>
      <c r="H5" s="10" t="s">
        <v>1291</v>
      </c>
      <c r="I5" s="10" t="s">
        <v>1292</v>
      </c>
      <c r="J5" s="11" t="n">
        <v>46416</v>
      </c>
      <c r="K5" s="11"/>
      <c r="L5" s="11" t="n">
        <v>46416</v>
      </c>
      <c r="N5" s="30" t="n">
        <f aca="true">IF($B5="","",IF($L5="",IF(config!$B$37&lt;&gt;"",config!$B$37,TODAY())-$B5,$L5-$B5))</f>
        <v>0</v>
      </c>
      <c r="O5" s="30" t="str">
        <f aca="false">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ustomFormat="false" ht="15" hidden="false" customHeight="false" outlineLevel="0" collapsed="false">
      <c r="A6" s="0" t="s">
        <v>1293</v>
      </c>
      <c r="B6" s="11" t="n">
        <v>46395</v>
      </c>
      <c r="C6" s="38" t="n">
        <v>0.416666666666667</v>
      </c>
      <c r="D6" s="10" t="s">
        <v>344</v>
      </c>
      <c r="E6" s="10" t="s">
        <v>532</v>
      </c>
      <c r="F6" s="10" t="s">
        <v>692</v>
      </c>
      <c r="G6" s="10" t="s">
        <v>1294</v>
      </c>
      <c r="H6" s="10" t="s">
        <v>1295</v>
      </c>
      <c r="I6" s="10" t="s">
        <v>1296</v>
      </c>
      <c r="J6" s="11" t="n">
        <v>46395</v>
      </c>
      <c r="K6" s="11" t="n">
        <v>46395</v>
      </c>
      <c r="L6" s="11" t="n">
        <v>46428</v>
      </c>
      <c r="N6" s="30" t="n">
        <f aca="true">IF($B6="","",IF($L6="",IF(config!$B$37&lt;&gt;"",config!$B$37,TODAY())-$B6,$L6-$B6))</f>
        <v>33</v>
      </c>
      <c r="O6" s="30" t="str">
        <f aca="false">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ustomFormat="false" ht="15" hidden="false" customHeight="false" outlineLevel="0" collapsed="false">
      <c r="A7" s="0" t="s">
        <v>1297</v>
      </c>
      <c r="B7" s="11" t="n">
        <v>46427</v>
      </c>
      <c r="C7" s="38" t="n">
        <v>0.460416666666667</v>
      </c>
      <c r="D7" s="10" t="s">
        <v>344</v>
      </c>
      <c r="F7" s="10" t="s">
        <v>696</v>
      </c>
      <c r="G7" s="10" t="s">
        <v>1282</v>
      </c>
      <c r="H7" s="10" t="s">
        <v>1298</v>
      </c>
      <c r="I7" s="10" t="s">
        <v>1299</v>
      </c>
      <c r="J7" s="11"/>
      <c r="K7" s="11" t="n">
        <v>46427</v>
      </c>
      <c r="L7" s="11" t="n">
        <v>46428</v>
      </c>
      <c r="N7" s="30" t="n">
        <f aca="true">IF($B7="","",IF($L7="",IF(config!$B$37&lt;&gt;"",config!$B$37,TODAY())-$B7,$L7-$B7))</f>
        <v>1</v>
      </c>
      <c r="O7" s="30" t="str">
        <f aca="false">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ustomFormat="false" ht="15" hidden="false" customHeight="false" outlineLevel="0" collapsed="false">
      <c r="A8" s="0" t="s">
        <v>1300</v>
      </c>
      <c r="B8" s="11" t="n">
        <v>46430</v>
      </c>
      <c r="C8" s="38" t="n">
        <v>0.604166666666667</v>
      </c>
      <c r="D8" s="10" t="s">
        <v>349</v>
      </c>
      <c r="E8" s="10" t="s">
        <v>563</v>
      </c>
      <c r="G8" s="10" t="s">
        <v>1290</v>
      </c>
      <c r="H8" s="10" t="s">
        <v>1301</v>
      </c>
      <c r="I8" s="10" t="s">
        <v>1302</v>
      </c>
      <c r="J8" s="11" t="n">
        <v>46430</v>
      </c>
      <c r="K8" s="11"/>
      <c r="L8" s="11" t="n">
        <v>46430</v>
      </c>
      <c r="N8" s="30" t="n">
        <f aca="true">IF($B8="","",IF($L8="",IF(config!$B$37&lt;&gt;"",config!$B$37,TODAY())-$B8,$L8-$B8))</f>
        <v>0</v>
      </c>
      <c r="O8" s="30" t="str">
        <f aca="false">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ustomFormat="false" ht="15" hidden="false" customHeight="false" outlineLevel="0" collapsed="false">
      <c r="A9" s="0" t="s">
        <v>1303</v>
      </c>
      <c r="B9" s="11" t="n">
        <v>46441</v>
      </c>
      <c r="C9" s="38" t="n">
        <v>0.349305555555556</v>
      </c>
      <c r="D9" s="10" t="s">
        <v>349</v>
      </c>
      <c r="E9" s="10" t="s">
        <v>563</v>
      </c>
      <c r="F9" s="10" t="s">
        <v>690</v>
      </c>
      <c r="G9" s="10" t="s">
        <v>1304</v>
      </c>
      <c r="H9" s="10" t="s">
        <v>1305</v>
      </c>
      <c r="I9" s="10" t="s">
        <v>1306</v>
      </c>
      <c r="J9" s="11" t="n">
        <v>46442</v>
      </c>
      <c r="K9" s="11" t="n">
        <v>46441</v>
      </c>
      <c r="L9" s="11" t="n">
        <v>46442</v>
      </c>
      <c r="N9" s="30" t="n">
        <f aca="true">IF($B9="","",IF($L9="",IF(config!$B$37&lt;&gt;"",config!$B$37,TODAY())-$B9,$L9-$B9))</f>
        <v>1</v>
      </c>
      <c r="O9" s="30" t="str">
        <f aca="false">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ustomFormat="false" ht="15" hidden="false" customHeight="false" outlineLevel="0" collapsed="false">
      <c r="A10" s="0" t="s">
        <v>1307</v>
      </c>
      <c r="B10" s="11" t="n">
        <v>46469</v>
      </c>
      <c r="C10" s="38" t="n">
        <v>0.5625</v>
      </c>
      <c r="D10" s="10" t="s">
        <v>353</v>
      </c>
      <c r="E10" s="10" t="s">
        <v>576</v>
      </c>
      <c r="F10" s="10" t="s">
        <v>683</v>
      </c>
      <c r="G10" s="10" t="s">
        <v>1290</v>
      </c>
      <c r="H10" s="10" t="s">
        <v>1308</v>
      </c>
      <c r="I10" s="10" t="s">
        <v>1309</v>
      </c>
      <c r="J10" s="11" t="n">
        <v>46469</v>
      </c>
      <c r="K10" s="11" t="n">
        <v>46469</v>
      </c>
      <c r="L10" s="11" t="n">
        <v>46471</v>
      </c>
      <c r="N10" s="30" t="n">
        <f aca="true">IF($B10="","",IF($L10="",IF(config!$B$37&lt;&gt;"",config!$B$37,TODAY())-$B10,$L10-$B10))</f>
        <v>2</v>
      </c>
      <c r="O10" s="30" t="str">
        <f aca="false">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ustomFormat="false" ht="15" hidden="false" customHeight="false" outlineLevel="0" collapsed="false">
      <c r="A11" s="0" t="s">
        <v>1310</v>
      </c>
      <c r="B11" s="11" t="n">
        <v>46469</v>
      </c>
      <c r="C11" s="38" t="n">
        <v>0.430555555555556</v>
      </c>
      <c r="D11" s="10" t="s">
        <v>353</v>
      </c>
      <c r="E11" s="10" t="s">
        <v>584</v>
      </c>
      <c r="F11" s="10" t="s">
        <v>694</v>
      </c>
      <c r="G11" s="10" t="s">
        <v>1304</v>
      </c>
      <c r="H11" s="10" t="s">
        <v>1311</v>
      </c>
      <c r="I11" s="10" t="s">
        <v>1312</v>
      </c>
      <c r="J11" s="11" t="n">
        <v>46469</v>
      </c>
      <c r="K11" s="11" t="n">
        <v>46469</v>
      </c>
      <c r="L11" s="11" t="n">
        <v>46470</v>
      </c>
      <c r="N11" s="30" t="n">
        <f aca="true">IF($B11="","",IF($L11="",IF(config!$B$37&lt;&gt;"",config!$B$37,TODAY())-$B11,$L11-$B11))</f>
        <v>1</v>
      </c>
      <c r="O11" s="30" t="str">
        <f aca="false">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ustomFormat="false" ht="15" hidden="false" customHeight="false" outlineLevel="0" collapsed="false">
      <c r="B12" s="11"/>
      <c r="C12" s="38"/>
      <c r="G12" s="10"/>
      <c r="J12" s="11"/>
      <c r="K12" s="11"/>
      <c r="L12" s="11"/>
      <c r="N12" s="30" t="str">
        <f aca="true">IF($B12="","",IF($L12="",IF(config!$B$37&lt;&gt;"",config!$B$37,TODAY())-$B12,$L12-$B12))</f>
        <v/>
      </c>
      <c r="O12" s="30" t="str">
        <f aca="false">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ustomFormat="false" ht="15" hidden="false" customHeight="false" outlineLevel="0" collapsed="false">
      <c r="B13" s="11"/>
      <c r="C13" s="38"/>
      <c r="G13" s="10"/>
      <c r="J13" s="11"/>
      <c r="K13" s="11"/>
      <c r="L13" s="11"/>
      <c r="N13" s="30" t="str">
        <f aca="true">IF($B13="","",IF($L13="",IF(config!$B$37&lt;&gt;"",config!$B$37,TODAY())-$B13,$L13-$B13))</f>
        <v/>
      </c>
      <c r="O13" s="30" t="str">
        <f aca="false">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ustomFormat="false" ht="15" hidden="false" customHeight="false" outlineLevel="0" collapsed="false">
      <c r="B14" s="11"/>
      <c r="C14" s="38"/>
      <c r="G14" s="10"/>
      <c r="J14" s="11"/>
      <c r="K14" s="11"/>
      <c r="L14" s="11"/>
      <c r="N14" s="30" t="str">
        <f aca="true">IF($B14="","",IF($L14="",IF(config!$B$37&lt;&gt;"",config!$B$37,TODAY())-$B14,$L14-$B14))</f>
        <v/>
      </c>
      <c r="O14" s="30" t="str">
        <f aca="false">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ustomFormat="false" ht="15" hidden="false" customHeight="false" outlineLevel="0" collapsed="false">
      <c r="B15" s="11"/>
      <c r="C15" s="38"/>
      <c r="G15" s="10"/>
      <c r="J15" s="11"/>
      <c r="K15" s="11"/>
      <c r="L15" s="11"/>
      <c r="N15" s="30" t="str">
        <f aca="true">IF($B15="","",IF($L15="",IF(config!$B$37&lt;&gt;"",config!$B$37,TODAY())-$B15,$L15-$B15))</f>
        <v/>
      </c>
      <c r="O15" s="30" t="str">
        <f aca="false">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ustomFormat="false" ht="15" hidden="false" customHeight="false" outlineLevel="0" collapsed="false">
      <c r="B16" s="11"/>
      <c r="C16" s="38"/>
      <c r="G16" s="10"/>
      <c r="J16" s="11"/>
      <c r="K16" s="11"/>
      <c r="L16" s="11"/>
      <c r="N16" s="30" t="str">
        <f aca="true">IF($B16="","",IF($L16="",IF(config!$B$37&lt;&gt;"",config!$B$37,TODAY())-$B16,$L16-$B16))</f>
        <v/>
      </c>
      <c r="O16" s="30" t="str">
        <f aca="false">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ustomFormat="false" ht="15" hidden="false" customHeight="false" outlineLevel="0" collapsed="false">
      <c r="B17" s="11"/>
      <c r="C17" s="38"/>
      <c r="G17" s="10"/>
      <c r="J17" s="11"/>
      <c r="K17" s="11"/>
      <c r="L17" s="11"/>
      <c r="N17" s="30" t="str">
        <f aca="true">IF($B17="","",IF($L17="",IF(config!$B$37&lt;&gt;"",config!$B$37,TODAY())-$B17,$L17-$B17))</f>
        <v/>
      </c>
      <c r="O17" s="30" t="str">
        <f aca="false">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ustomFormat="false" ht="15" hidden="false" customHeight="false" outlineLevel="0" collapsed="false">
      <c r="B18" s="11"/>
      <c r="C18" s="38"/>
      <c r="G18" s="10"/>
      <c r="J18" s="11"/>
      <c r="K18" s="11"/>
      <c r="L18" s="11"/>
      <c r="N18" s="30" t="str">
        <f aca="true">IF($B18="","",IF($L18="",IF(config!$B$37&lt;&gt;"",config!$B$37,TODAY())-$B18,$L18-$B18))</f>
        <v/>
      </c>
      <c r="O18" s="30" t="str">
        <f aca="false">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ustomFormat="false" ht="15" hidden="false" customHeight="false" outlineLevel="0" collapsed="false">
      <c r="B19" s="11"/>
      <c r="C19" s="38"/>
      <c r="G19" s="10"/>
      <c r="J19" s="11"/>
      <c r="K19" s="11"/>
      <c r="L19" s="11"/>
      <c r="N19" s="30" t="str">
        <f aca="true">IF($B19="","",IF($L19="",IF(config!$B$37&lt;&gt;"",config!$B$37,TODAY())-$B19,$L19-$B19))</f>
        <v/>
      </c>
      <c r="O19" s="30" t="str">
        <f aca="false">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ustomFormat="false" ht="15" hidden="false" customHeight="false" outlineLevel="0" collapsed="false">
      <c r="B20" s="11"/>
      <c r="C20" s="38"/>
      <c r="G20" s="10"/>
      <c r="J20" s="11"/>
      <c r="K20" s="11"/>
      <c r="L20" s="11"/>
      <c r="N20" s="30" t="str">
        <f aca="true">IF($B20="","",IF($L20="",IF(config!$B$37&lt;&gt;"",config!$B$37,TODAY())-$B20,$L20-$B20))</f>
        <v/>
      </c>
      <c r="O20" s="30" t="str">
        <f aca="false">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ustomFormat="false" ht="15" hidden="false" customHeight="false" outlineLevel="0" collapsed="false">
      <c r="B21" s="11"/>
      <c r="C21" s="38"/>
      <c r="G21" s="10"/>
      <c r="J21" s="11"/>
      <c r="K21" s="11"/>
      <c r="L21" s="11"/>
      <c r="N21" s="30" t="str">
        <f aca="true">IF($B21="","",IF($L21="",IF(config!$B$37&lt;&gt;"",config!$B$37,TODAY())-$B21,$L21-$B21))</f>
        <v/>
      </c>
      <c r="O21" s="30" t="str">
        <f aca="false">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ustomFormat="false" ht="15" hidden="false" customHeight="false" outlineLevel="0" collapsed="false">
      <c r="B22" s="11"/>
      <c r="C22" s="38"/>
      <c r="G22" s="10"/>
      <c r="J22" s="11"/>
      <c r="K22" s="11"/>
      <c r="L22" s="11"/>
      <c r="N22" s="30" t="str">
        <f aca="true">IF($B22="","",IF($L22="",IF(config!$B$37&lt;&gt;"",config!$B$37,TODAY())-$B22,$L22-$B22))</f>
        <v/>
      </c>
      <c r="O22" s="30" t="str">
        <f aca="false">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ustomFormat="false" ht="15" hidden="false" customHeight="false" outlineLevel="0" collapsed="false">
      <c r="B23" s="11"/>
      <c r="C23" s="38"/>
      <c r="G23" s="10"/>
      <c r="J23" s="11"/>
      <c r="K23" s="11"/>
      <c r="L23" s="11"/>
      <c r="N23" s="30" t="str">
        <f aca="true">IF($B23="","",IF($L23="",IF(config!$B$37&lt;&gt;"",config!$B$37,TODAY())-$B23,$L23-$B23))</f>
        <v/>
      </c>
      <c r="O23" s="30" t="str">
        <f aca="false">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ustomFormat="false" ht="15" hidden="false" customHeight="false" outlineLevel="0" collapsed="false">
      <c r="B24" s="11"/>
      <c r="C24" s="38"/>
      <c r="G24" s="10"/>
      <c r="J24" s="11"/>
      <c r="K24" s="11"/>
      <c r="L24" s="11"/>
      <c r="N24" s="30" t="str">
        <f aca="true">IF($B24="","",IF($L24="",IF(config!$B$37&lt;&gt;"",config!$B$37,TODAY())-$B24,$L24-$B24))</f>
        <v/>
      </c>
      <c r="O24" s="30" t="str">
        <f aca="false">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ustomFormat="false" ht="15" hidden="false" customHeight="false" outlineLevel="0" collapsed="false">
      <c r="B25" s="11"/>
      <c r="C25" s="38"/>
      <c r="G25" s="10"/>
      <c r="J25" s="11"/>
      <c r="K25" s="11"/>
      <c r="L25" s="11"/>
      <c r="N25" s="30" t="str">
        <f aca="true">IF($B25="","",IF($L25="",IF(config!$B$37&lt;&gt;"",config!$B$37,TODAY())-$B25,$L25-$B25))</f>
        <v/>
      </c>
      <c r="O25" s="30" t="str">
        <f aca="false">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ustomFormat="false" ht="15" hidden="false" customHeight="false" outlineLevel="0" collapsed="false">
      <c r="B26" s="11"/>
      <c r="C26" s="38"/>
      <c r="G26" s="10"/>
      <c r="J26" s="11"/>
      <c r="K26" s="11"/>
      <c r="L26" s="11"/>
      <c r="N26" s="30" t="str">
        <f aca="true">IF($B26="","",IF($L26="",IF(config!$B$37&lt;&gt;"",config!$B$37,TODAY())-$B26,$L26-$B26))</f>
        <v/>
      </c>
      <c r="O26" s="30" t="str">
        <f aca="false">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ustomFormat="false" ht="15" hidden="false" customHeight="false" outlineLevel="0" collapsed="false">
      <c r="B27" s="11"/>
      <c r="C27" s="38"/>
      <c r="G27" s="10"/>
      <c r="J27" s="11"/>
      <c r="K27" s="11"/>
      <c r="L27" s="11"/>
      <c r="N27" s="30" t="str">
        <f aca="true">IF($B27="","",IF($L27="",IF(config!$B$37&lt;&gt;"",config!$B$37,TODAY())-$B27,$L27-$B27))</f>
        <v/>
      </c>
      <c r="O27" s="30" t="str">
        <f aca="false">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ustomFormat="false" ht="15" hidden="false" customHeight="false" outlineLevel="0" collapsed="false">
      <c r="B28" s="11"/>
      <c r="C28" s="38"/>
      <c r="G28" s="10"/>
      <c r="J28" s="11"/>
      <c r="K28" s="11"/>
      <c r="L28" s="11"/>
      <c r="N28" s="30" t="str">
        <f aca="true">IF($B28="","",IF($L28="",IF(config!$B$37&lt;&gt;"",config!$B$37,TODAY())-$B28,$L28-$B28))</f>
        <v/>
      </c>
      <c r="O28" s="30" t="str">
        <f aca="false">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ustomFormat="false" ht="15" hidden="false" customHeight="false" outlineLevel="0" collapsed="false">
      <c r="B29" s="11"/>
      <c r="C29" s="38"/>
      <c r="G29" s="10"/>
      <c r="J29" s="11"/>
      <c r="K29" s="11"/>
      <c r="L29" s="11"/>
      <c r="N29" s="30" t="str">
        <f aca="true">IF($B29="","",IF($L29="",IF(config!$B$37&lt;&gt;"",config!$B$37,TODAY())-$B29,$L29-$B29))</f>
        <v/>
      </c>
      <c r="O29" s="30" t="str">
        <f aca="false">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ustomFormat="false" ht="15" hidden="false" customHeight="false" outlineLevel="0" collapsed="false">
      <c r="B30" s="11"/>
      <c r="C30" s="38"/>
      <c r="G30" s="10"/>
      <c r="J30" s="11"/>
      <c r="K30" s="11"/>
      <c r="L30" s="11"/>
      <c r="N30" s="30" t="str">
        <f aca="true">IF($B30="","",IF($L30="",IF(config!$B$37&lt;&gt;"",config!$B$37,TODAY())-$B30,$L30-$B30))</f>
        <v/>
      </c>
      <c r="O30" s="30" t="str">
        <f aca="false">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ustomFormat="false" ht="15" hidden="false" customHeight="false" outlineLevel="0" collapsed="false">
      <c r="B31" s="11"/>
      <c r="C31" s="38"/>
      <c r="G31" s="10"/>
      <c r="J31" s="11"/>
      <c r="K31" s="11"/>
      <c r="L31" s="11"/>
      <c r="N31" s="30" t="str">
        <f aca="true">IF($B31="","",IF($L31="",IF(config!$B$37&lt;&gt;"",config!$B$37,TODAY())-$B31,$L31-$B31))</f>
        <v/>
      </c>
      <c r="O31" s="30" t="str">
        <f aca="false">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ustomFormat="false" ht="15" hidden="false" customHeight="false" outlineLevel="0" collapsed="false">
      <c r="B32" s="11"/>
      <c r="C32" s="38"/>
      <c r="G32" s="10"/>
      <c r="J32" s="11"/>
      <c r="K32" s="11"/>
      <c r="L32" s="11"/>
      <c r="N32" s="30" t="str">
        <f aca="true">IF($B32="","",IF($L32="",IF(config!$B$37&lt;&gt;"",config!$B$37,TODAY())-$B32,$L32-$B32))</f>
        <v/>
      </c>
      <c r="O32" s="30" t="str">
        <f aca="false">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ustomFormat="false" ht="15" hidden="false" customHeight="false" outlineLevel="0" collapsed="false">
      <c r="B33" s="11"/>
      <c r="C33" s="38"/>
      <c r="G33" s="10"/>
      <c r="J33" s="11"/>
      <c r="K33" s="11"/>
      <c r="L33" s="11"/>
      <c r="N33" s="30" t="str">
        <f aca="true">IF($B33="","",IF($L33="",IF(config!$B$37&lt;&gt;"",config!$B$37,TODAY())-$B33,$L33-$B33))</f>
        <v/>
      </c>
      <c r="O33" s="30" t="str">
        <f aca="false">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ustomFormat="false" ht="15" hidden="false" customHeight="false" outlineLevel="0" collapsed="false">
      <c r="B34" s="11"/>
      <c r="C34" s="38"/>
      <c r="G34" s="10"/>
      <c r="J34" s="11"/>
      <c r="K34" s="11"/>
      <c r="L34" s="11"/>
      <c r="N34" s="30" t="str">
        <f aca="true">IF($B34="","",IF($L34="",IF(config!$B$37&lt;&gt;"",config!$B$37,TODAY())-$B34,$L34-$B34))</f>
        <v/>
      </c>
      <c r="O34" s="30" t="str">
        <f aca="false">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ustomFormat="false" ht="15" hidden="false" customHeight="false" outlineLevel="0" collapsed="false">
      <c r="B35" s="11"/>
      <c r="C35" s="38"/>
      <c r="G35" s="10"/>
      <c r="J35" s="11"/>
      <c r="K35" s="11"/>
      <c r="L35" s="11"/>
      <c r="N35" s="30" t="str">
        <f aca="true">IF($B35="","",IF($L35="",IF(config!$B$37&lt;&gt;"",config!$B$37,TODAY())-$B35,$L35-$B35))</f>
        <v/>
      </c>
      <c r="O35" s="30" t="str">
        <f aca="false">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ustomFormat="false" ht="15" hidden="false" customHeight="false" outlineLevel="0" collapsed="false">
      <c r="B36" s="11"/>
      <c r="C36" s="38"/>
      <c r="G36" s="10"/>
      <c r="J36" s="11"/>
      <c r="K36" s="11"/>
      <c r="L36" s="11"/>
      <c r="N36" s="30" t="str">
        <f aca="true">IF($B36="","",IF($L36="",IF(config!$B$37&lt;&gt;"",config!$B$37,TODAY())-$B36,$L36-$B36))</f>
        <v/>
      </c>
      <c r="O36" s="30" t="str">
        <f aca="false">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ustomFormat="false" ht="15" hidden="false" customHeight="false" outlineLevel="0" collapsed="false">
      <c r="B37" s="11"/>
      <c r="C37" s="38"/>
      <c r="G37" s="10"/>
      <c r="J37" s="11"/>
      <c r="K37" s="11"/>
      <c r="L37" s="11"/>
      <c r="N37" s="30" t="str">
        <f aca="true">IF($B37="","",IF($L37="",IF(config!$B$37&lt;&gt;"",config!$B$37,TODAY())-$B37,$L37-$B37))</f>
        <v/>
      </c>
      <c r="O37" s="30" t="str">
        <f aca="false">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ustomFormat="false" ht="15" hidden="false" customHeight="false" outlineLevel="0" collapsed="false">
      <c r="B38" s="11"/>
      <c r="C38" s="38"/>
      <c r="G38" s="10"/>
      <c r="J38" s="11"/>
      <c r="K38" s="11"/>
      <c r="L38" s="11"/>
      <c r="N38" s="30" t="str">
        <f aca="true">IF($B38="","",IF($L38="",IF(config!$B$37&lt;&gt;"",config!$B$37,TODAY())-$B38,$L38-$B38))</f>
        <v/>
      </c>
      <c r="O38" s="30" t="str">
        <f aca="false">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ustomFormat="false" ht="15" hidden="false" customHeight="false" outlineLevel="0" collapsed="false">
      <c r="B39" s="11"/>
      <c r="C39" s="38"/>
      <c r="G39" s="10"/>
      <c r="J39" s="11"/>
      <c r="K39" s="11"/>
      <c r="L39" s="11"/>
      <c r="N39" s="30" t="str">
        <f aca="true">IF($B39="","",IF($L39="",IF(config!$B$37&lt;&gt;"",config!$B$37,TODAY())-$B39,$L39-$B39))</f>
        <v/>
      </c>
      <c r="O39" s="30" t="str">
        <f aca="false">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ustomFormat="false" ht="15" hidden="false" customHeight="false" outlineLevel="0" collapsed="false">
      <c r="B40" s="11"/>
      <c r="C40" s="38"/>
      <c r="G40" s="10"/>
      <c r="J40" s="11"/>
      <c r="K40" s="11"/>
      <c r="L40" s="11"/>
      <c r="N40" s="30" t="str">
        <f aca="true">IF($B40="","",IF($L40="",IF(config!$B$37&lt;&gt;"",config!$B$37,TODAY())-$B40,$L40-$B40))</f>
        <v/>
      </c>
      <c r="O40" s="30" t="str">
        <f aca="false">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ustomFormat="false" ht="15" hidden="false" customHeight="false" outlineLevel="0" collapsed="false">
      <c r="B41" s="11"/>
      <c r="C41" s="38"/>
      <c r="G41" s="10"/>
      <c r="J41" s="11"/>
      <c r="K41" s="11"/>
      <c r="L41" s="11"/>
      <c r="N41" s="30" t="str">
        <f aca="true">IF($B41="","",IF($L41="",IF(config!$B$37&lt;&gt;"",config!$B$37,TODAY())-$B41,$L41-$B41))</f>
        <v/>
      </c>
      <c r="O41" s="30" t="str">
        <f aca="false">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ustomFormat="false" ht="15" hidden="false" customHeight="false" outlineLevel="0" collapsed="false">
      <c r="B42" s="11"/>
      <c r="C42" s="38"/>
      <c r="G42" s="10"/>
      <c r="J42" s="11"/>
      <c r="K42" s="11"/>
      <c r="L42" s="11"/>
      <c r="N42" s="30" t="str">
        <f aca="true">IF($B42="","",IF($L42="",IF(config!$B$37&lt;&gt;"",config!$B$37,TODAY())-$B42,$L42-$B42))</f>
        <v/>
      </c>
      <c r="O42" s="30" t="str">
        <f aca="false">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ustomFormat="false" ht="15" hidden="false" customHeight="false" outlineLevel="0" collapsed="false">
      <c r="B43" s="11"/>
      <c r="C43" s="38"/>
      <c r="G43" s="10"/>
      <c r="J43" s="11"/>
      <c r="K43" s="11"/>
      <c r="L43" s="11"/>
      <c r="N43" s="30" t="str">
        <f aca="true">IF($B43="","",IF($L43="",IF(config!$B$37&lt;&gt;"",config!$B$37,TODAY())-$B43,$L43-$B43))</f>
        <v/>
      </c>
      <c r="O43" s="30" t="str">
        <f aca="false">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ustomFormat="false" ht="15" hidden="false" customHeight="false" outlineLevel="0" collapsed="false">
      <c r="B44" s="11"/>
      <c r="C44" s="38"/>
      <c r="G44" s="10"/>
      <c r="J44" s="11"/>
      <c r="K44" s="11"/>
      <c r="L44" s="11"/>
      <c r="N44" s="30" t="str">
        <f aca="true">IF($B44="","",IF($L44="",IF(config!$B$37&lt;&gt;"",config!$B$37,TODAY())-$B44,$L44-$B44))</f>
        <v/>
      </c>
      <c r="O44" s="30" t="str">
        <f aca="false">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ustomFormat="false" ht="15" hidden="false" customHeight="false" outlineLevel="0" collapsed="false">
      <c r="B45" s="11"/>
      <c r="C45" s="38"/>
      <c r="G45" s="10"/>
      <c r="J45" s="11"/>
      <c r="K45" s="11"/>
      <c r="L45" s="11"/>
      <c r="N45" s="30" t="str">
        <f aca="true">IF($B45="","",IF($L45="",IF(config!$B$37&lt;&gt;"",config!$B$37,TODAY())-$B45,$L45-$B45))</f>
        <v/>
      </c>
      <c r="O45" s="30" t="str">
        <f aca="false">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ustomFormat="false" ht="15" hidden="false" customHeight="false" outlineLevel="0" collapsed="false">
      <c r="B46" s="11"/>
      <c r="C46" s="38"/>
      <c r="G46" s="10"/>
      <c r="J46" s="11"/>
      <c r="K46" s="11"/>
      <c r="L46" s="11"/>
      <c r="N46" s="30" t="str">
        <f aca="true">IF($B46="","",IF($L46="",IF(config!$B$37&lt;&gt;"",config!$B$37,TODAY())-$B46,$L46-$B46))</f>
        <v/>
      </c>
      <c r="O46" s="30" t="str">
        <f aca="false">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ustomFormat="false" ht="15" hidden="false" customHeight="false" outlineLevel="0" collapsed="false">
      <c r="B47" s="11"/>
      <c r="C47" s="38"/>
      <c r="G47" s="10"/>
      <c r="J47" s="11"/>
      <c r="K47" s="11"/>
      <c r="L47" s="11"/>
      <c r="N47" s="30" t="str">
        <f aca="true">IF($B47="","",IF($L47="",IF(config!$B$37&lt;&gt;"",config!$B$37,TODAY())-$B47,$L47-$B47))</f>
        <v/>
      </c>
      <c r="O47" s="30" t="str">
        <f aca="false">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ustomFormat="false" ht="15" hidden="false" customHeight="false" outlineLevel="0" collapsed="false">
      <c r="B48" s="11"/>
      <c r="C48" s="38"/>
      <c r="G48" s="10"/>
      <c r="J48" s="11"/>
      <c r="K48" s="11"/>
      <c r="L48" s="11"/>
      <c r="N48" s="30" t="str">
        <f aca="true">IF($B48="","",IF($L48="",IF(config!$B$37&lt;&gt;"",config!$B$37,TODAY())-$B48,$L48-$B48))</f>
        <v/>
      </c>
      <c r="O48" s="30" t="str">
        <f aca="false">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ustomFormat="false" ht="15" hidden="false" customHeight="false" outlineLevel="0" collapsed="false">
      <c r="B49" s="11"/>
      <c r="C49" s="38"/>
      <c r="G49" s="10"/>
      <c r="J49" s="11"/>
      <c r="K49" s="11"/>
      <c r="L49" s="11"/>
      <c r="N49" s="30" t="str">
        <f aca="true">IF($B49="","",IF($L49="",IF(config!$B$37&lt;&gt;"",config!$B$37,TODAY())-$B49,$L49-$B49))</f>
        <v/>
      </c>
      <c r="O49" s="30" t="str">
        <f aca="false">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ustomFormat="false" ht="15" hidden="false" customHeight="false" outlineLevel="0" collapsed="false">
      <c r="B50" s="11"/>
      <c r="C50" s="38"/>
      <c r="G50" s="10"/>
      <c r="J50" s="11"/>
      <c r="K50" s="11"/>
      <c r="L50" s="11"/>
      <c r="N50" s="30" t="str">
        <f aca="true">IF($B50="","",IF($L50="",IF(config!$B$37&lt;&gt;"",config!$B$37,TODAY())-$B50,$L50-$B50))</f>
        <v/>
      </c>
      <c r="O50" s="30" t="str">
        <f aca="false">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ustomFormat="false" ht="15" hidden="false" customHeight="false" outlineLevel="0" collapsed="false">
      <c r="B51" s="11"/>
      <c r="C51" s="38"/>
      <c r="G51" s="10"/>
      <c r="J51" s="11"/>
      <c r="K51" s="11"/>
      <c r="L51" s="11"/>
      <c r="N51" s="30" t="str">
        <f aca="true">IF($B51="","",IF($L51="",IF(config!$B$37&lt;&gt;"",config!$B$37,TODAY())-$B51,$L51-$B51))</f>
        <v/>
      </c>
      <c r="O51" s="30" t="str">
        <f aca="false">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ustomFormat="false" ht="15" hidden="false" customHeight="false" outlineLevel="0" collapsed="false">
      <c r="B52" s="11"/>
      <c r="C52" s="38"/>
      <c r="G52" s="10"/>
      <c r="J52" s="11"/>
      <c r="K52" s="11"/>
      <c r="L52" s="11"/>
      <c r="N52" s="30" t="str">
        <f aca="true">IF($B52="","",IF($L52="",IF(config!$B$37&lt;&gt;"",config!$B$37,TODAY())-$B52,$L52-$B52))</f>
        <v/>
      </c>
      <c r="O52" s="30" t="str">
        <f aca="false">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ustomFormat="false" ht="15" hidden="false" customHeight="false" outlineLevel="0" collapsed="false">
      <c r="B53" s="11"/>
      <c r="C53" s="38"/>
      <c r="G53" s="10"/>
      <c r="J53" s="11"/>
      <c r="K53" s="11"/>
      <c r="L53" s="11"/>
      <c r="N53" s="30" t="str">
        <f aca="true">IF($B53="","",IF($L53="",IF(config!$B$37&lt;&gt;"",config!$B$37,TODAY())-$B53,$L53-$B53))</f>
        <v/>
      </c>
      <c r="O53" s="30" t="str">
        <f aca="false">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ustomFormat="false" ht="15" hidden="false" customHeight="false" outlineLevel="0" collapsed="false">
      <c r="B54" s="11"/>
      <c r="C54" s="38"/>
      <c r="G54" s="10"/>
      <c r="J54" s="11"/>
      <c r="K54" s="11"/>
      <c r="L54" s="11"/>
      <c r="N54" s="30" t="str">
        <f aca="true">IF($B54="","",IF($L54="",IF(config!$B$37&lt;&gt;"",config!$B$37,TODAY())-$B54,$L54-$B54))</f>
        <v/>
      </c>
      <c r="O54" s="30" t="str">
        <f aca="false">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ustomFormat="false" ht="15" hidden="false" customHeight="false" outlineLevel="0" collapsed="false">
      <c r="B55" s="11"/>
      <c r="C55" s="38"/>
      <c r="G55" s="10"/>
      <c r="J55" s="11"/>
      <c r="K55" s="11"/>
      <c r="L55" s="11"/>
      <c r="N55" s="30" t="str">
        <f aca="true">IF($B55="","",IF($L55="",IF(config!$B$37&lt;&gt;"",config!$B$37,TODAY())-$B55,$L55-$B55))</f>
        <v/>
      </c>
      <c r="O55" s="30" t="str">
        <f aca="false">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ustomFormat="false" ht="15" hidden="false" customHeight="false" outlineLevel="0" collapsed="false">
      <c r="B56" s="11"/>
      <c r="C56" s="38"/>
      <c r="G56" s="10"/>
      <c r="J56" s="11"/>
      <c r="K56" s="11"/>
      <c r="L56" s="11"/>
      <c r="N56" s="30" t="str">
        <f aca="true">IF($B56="","",IF($L56="",IF(config!$B$37&lt;&gt;"",config!$B$37,TODAY())-$B56,$L56-$B56))</f>
        <v/>
      </c>
      <c r="O56" s="30" t="str">
        <f aca="false">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ustomFormat="false" ht="15" hidden="false" customHeight="false" outlineLevel="0" collapsed="false">
      <c r="B57" s="11"/>
      <c r="C57" s="38"/>
      <c r="G57" s="10"/>
      <c r="J57" s="11"/>
      <c r="K57" s="11"/>
      <c r="L57" s="11"/>
      <c r="N57" s="30" t="str">
        <f aca="true">IF($B57="","",IF($L57="",IF(config!$B$37&lt;&gt;"",config!$B$37,TODAY())-$B57,$L57-$B57))</f>
        <v/>
      </c>
      <c r="O57" s="30" t="str">
        <f aca="false">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ustomFormat="false" ht="15" hidden="false" customHeight="false" outlineLevel="0" collapsed="false">
      <c r="B58" s="11"/>
      <c r="C58" s="38"/>
      <c r="G58" s="10"/>
      <c r="J58" s="11"/>
      <c r="K58" s="11"/>
      <c r="L58" s="11"/>
      <c r="N58" s="30" t="str">
        <f aca="true">IF($B58="","",IF($L58="",IF(config!$B$37&lt;&gt;"",config!$B$37,TODAY())-$B58,$L58-$B58))</f>
        <v/>
      </c>
      <c r="O58" s="30" t="str">
        <f aca="false">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ustomFormat="false" ht="15" hidden="false" customHeight="false" outlineLevel="0" collapsed="false">
      <c r="B59" s="11"/>
      <c r="C59" s="38"/>
      <c r="G59" s="10"/>
      <c r="J59" s="11"/>
      <c r="K59" s="11"/>
      <c r="L59" s="11"/>
      <c r="N59" s="30" t="str">
        <f aca="true">IF($B59="","",IF($L59="",IF(config!$B$37&lt;&gt;"",config!$B$37,TODAY())-$B59,$L59-$B59))</f>
        <v/>
      </c>
      <c r="O59" s="30" t="str">
        <f aca="false">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ustomFormat="false" ht="15" hidden="false" customHeight="false" outlineLevel="0" collapsed="false">
      <c r="B60" s="11"/>
      <c r="C60" s="38"/>
      <c r="G60" s="10"/>
      <c r="J60" s="11"/>
      <c r="K60" s="11"/>
      <c r="L60" s="11"/>
      <c r="N60" s="30" t="str">
        <f aca="true">IF($B60="","",IF($L60="",IF(config!$B$37&lt;&gt;"",config!$B$37,TODAY())-$B60,$L60-$B60))</f>
        <v/>
      </c>
      <c r="O60" s="30" t="str">
        <f aca="false">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ustomFormat="false" ht="15" hidden="false" customHeight="false" outlineLevel="0" collapsed="false">
      <c r="B61" s="11"/>
      <c r="C61" s="38"/>
      <c r="G61" s="10"/>
      <c r="J61" s="11"/>
      <c r="K61" s="11"/>
      <c r="L61" s="11"/>
      <c r="N61" s="30" t="str">
        <f aca="true">IF($B61="","",IF($L61="",IF(config!$B$37&lt;&gt;"",config!$B$37,TODAY())-$B61,$L61-$B61))</f>
        <v/>
      </c>
      <c r="O61" s="30" t="str">
        <f aca="false">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ustomFormat="false" ht="15" hidden="false" customHeight="false" outlineLevel="0" collapsed="false">
      <c r="B62" s="11"/>
      <c r="C62" s="38"/>
      <c r="G62" s="10"/>
      <c r="J62" s="11"/>
      <c r="K62" s="11"/>
      <c r="L62" s="11"/>
      <c r="N62" s="30" t="str">
        <f aca="true">IF($B62="","",IF($L62="",IF(config!$B$37&lt;&gt;"",config!$B$37,TODAY())-$B62,$L62-$B62))</f>
        <v/>
      </c>
      <c r="O62" s="30" t="str">
        <f aca="false">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ustomFormat="false" ht="15" hidden="false" customHeight="false" outlineLevel="0" collapsed="false">
      <c r="B63" s="11"/>
      <c r="C63" s="38"/>
      <c r="G63" s="10"/>
      <c r="J63" s="11"/>
      <c r="K63" s="11"/>
      <c r="L63" s="11"/>
      <c r="N63" s="30" t="str">
        <f aca="true">IF($B63="","",IF($L63="",IF(config!$B$37&lt;&gt;"",config!$B$37,TODAY())-$B63,$L63-$B63))</f>
        <v/>
      </c>
      <c r="O63" s="30" t="str">
        <f aca="false">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ustomFormat="false" ht="15" hidden="false" customHeight="false" outlineLevel="0" collapsed="false">
      <c r="B64" s="11"/>
      <c r="C64" s="38"/>
      <c r="G64" s="10"/>
      <c r="J64" s="11"/>
      <c r="K64" s="11"/>
      <c r="L64" s="11"/>
      <c r="N64" s="30" t="str">
        <f aca="true">IF($B64="","",IF($L64="",IF(config!$B$37&lt;&gt;"",config!$B$37,TODAY())-$B64,$L64-$B64))</f>
        <v/>
      </c>
      <c r="O64" s="30" t="str">
        <f aca="false">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ustomFormat="false" ht="15" hidden="false" customHeight="false" outlineLevel="0" collapsed="false">
      <c r="B65" s="11"/>
      <c r="C65" s="38"/>
      <c r="G65" s="10"/>
      <c r="J65" s="11"/>
      <c r="K65" s="11"/>
      <c r="L65" s="11"/>
      <c r="N65" s="30" t="str">
        <f aca="true">IF($B65="","",IF($L65="",IF(config!$B$37&lt;&gt;"",config!$B$37,TODAY())-$B65,$L65-$B65))</f>
        <v/>
      </c>
      <c r="O65" s="30" t="str">
        <f aca="false">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ustomFormat="false" ht="15" hidden="false" customHeight="false" outlineLevel="0" collapsed="false">
      <c r="B66" s="11"/>
      <c r="C66" s="38"/>
      <c r="G66" s="10"/>
      <c r="J66" s="11"/>
      <c r="K66" s="11"/>
      <c r="L66" s="11"/>
      <c r="N66" s="30" t="str">
        <f aca="true">IF($B66="","",IF($L66="",IF(config!$B$37&lt;&gt;"",config!$B$37,TODAY())-$B66,$L66-$B66))</f>
        <v/>
      </c>
      <c r="O66" s="30" t="str">
        <f aca="false">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ustomFormat="false" ht="15" hidden="false" customHeight="false" outlineLevel="0" collapsed="false">
      <c r="B67" s="11"/>
      <c r="C67" s="38"/>
      <c r="G67" s="10"/>
      <c r="J67" s="11"/>
      <c r="K67" s="11"/>
      <c r="L67" s="11"/>
      <c r="N67" s="30" t="str">
        <f aca="true">IF($B67="","",IF($L67="",IF(config!$B$37&lt;&gt;"",config!$B$37,TODAY())-$B67,$L67-$B67))</f>
        <v/>
      </c>
      <c r="O67" s="30" t="str">
        <f aca="false">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ustomFormat="false" ht="15" hidden="false" customHeight="false" outlineLevel="0" collapsed="false">
      <c r="B68" s="11"/>
      <c r="C68" s="38"/>
      <c r="G68" s="10"/>
      <c r="J68" s="11"/>
      <c r="K68" s="11"/>
      <c r="L68" s="11"/>
      <c r="N68" s="30" t="str">
        <f aca="true">IF($B68="","",IF($L68="",IF(config!$B$37&lt;&gt;"",config!$B$37,TODAY())-$B68,$L68-$B68))</f>
        <v/>
      </c>
      <c r="O68" s="30" t="str">
        <f aca="false">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ustomFormat="false" ht="15" hidden="false" customHeight="false" outlineLevel="0" collapsed="false">
      <c r="B69" s="11"/>
      <c r="C69" s="38"/>
      <c r="G69" s="10"/>
      <c r="J69" s="11"/>
      <c r="K69" s="11"/>
      <c r="L69" s="11"/>
      <c r="N69" s="30" t="str">
        <f aca="true">IF($B69="","",IF($L69="",IF(config!$B$37&lt;&gt;"",config!$B$37,TODAY())-$B69,$L69-$B69))</f>
        <v/>
      </c>
      <c r="O69" s="30" t="str">
        <f aca="false">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ustomFormat="false" ht="15" hidden="false" customHeight="false" outlineLevel="0" collapsed="false">
      <c r="B70" s="11"/>
      <c r="C70" s="38"/>
      <c r="G70" s="10"/>
      <c r="J70" s="11"/>
      <c r="K70" s="11"/>
      <c r="L70" s="11"/>
      <c r="N70" s="30" t="str">
        <f aca="true">IF($B70="","",IF($L70="",IF(config!$B$37&lt;&gt;"",config!$B$37,TODAY())-$B70,$L70-$B70))</f>
        <v/>
      </c>
      <c r="O70" s="30" t="str">
        <f aca="false">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ustomFormat="false" ht="15" hidden="false" customHeight="false" outlineLevel="0" collapsed="false">
      <c r="B71" s="11"/>
      <c r="C71" s="38"/>
      <c r="G71" s="10"/>
      <c r="J71" s="11"/>
      <c r="K71" s="11"/>
      <c r="L71" s="11"/>
      <c r="N71" s="30" t="str">
        <f aca="true">IF($B71="","",IF($L71="",IF(config!$B$37&lt;&gt;"",config!$B$37,TODAY())-$B71,$L71-$B71))</f>
        <v/>
      </c>
      <c r="O71" s="30" t="str">
        <f aca="false">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ustomFormat="false" ht="15" hidden="false" customHeight="false" outlineLevel="0" collapsed="false">
      <c r="B72" s="11"/>
      <c r="C72" s="38"/>
      <c r="G72" s="10"/>
      <c r="J72" s="11"/>
      <c r="K72" s="11"/>
      <c r="L72" s="11"/>
      <c r="N72" s="30" t="str">
        <f aca="true">IF($B72="","",IF($L72="",IF(config!$B$37&lt;&gt;"",config!$B$37,TODAY())-$B72,$L72-$B72))</f>
        <v/>
      </c>
      <c r="O72" s="30" t="str">
        <f aca="false">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ustomFormat="false" ht="15" hidden="false" customHeight="false" outlineLevel="0" collapsed="false">
      <c r="B73" s="11"/>
      <c r="C73" s="38"/>
      <c r="G73" s="10"/>
      <c r="J73" s="11"/>
      <c r="K73" s="11"/>
      <c r="L73" s="11"/>
      <c r="N73" s="30" t="str">
        <f aca="true">IF($B73="","",IF($L73="",IF(config!$B$37&lt;&gt;"",config!$B$37,TODAY())-$B73,$L73-$B73))</f>
        <v/>
      </c>
      <c r="O73" s="30" t="str">
        <f aca="false">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ustomFormat="false" ht="15" hidden="false" customHeight="false" outlineLevel="0" collapsed="false">
      <c r="B74" s="11"/>
      <c r="C74" s="38"/>
      <c r="G74" s="10"/>
      <c r="J74" s="11"/>
      <c r="K74" s="11"/>
      <c r="L74" s="11"/>
      <c r="N74" s="30" t="str">
        <f aca="true">IF($B74="","",IF($L74="",IF(config!$B$37&lt;&gt;"",config!$B$37,TODAY())-$B74,$L74-$B74))</f>
        <v/>
      </c>
      <c r="O74" s="30" t="str">
        <f aca="false">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ustomFormat="false" ht="15" hidden="false" customHeight="false" outlineLevel="0" collapsed="false">
      <c r="B75" s="11"/>
      <c r="C75" s="38"/>
      <c r="G75" s="10"/>
      <c r="J75" s="11"/>
      <c r="K75" s="11"/>
      <c r="L75" s="11"/>
      <c r="N75" s="30" t="str">
        <f aca="true">IF($B75="","",IF($L75="",IF(config!$B$37&lt;&gt;"",config!$B$37,TODAY())-$B75,$L75-$B75))</f>
        <v/>
      </c>
      <c r="O75" s="30" t="str">
        <f aca="false">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ustomFormat="false" ht="15" hidden="false" customHeight="false" outlineLevel="0" collapsed="false">
      <c r="B76" s="11"/>
      <c r="C76" s="38"/>
      <c r="G76" s="10"/>
      <c r="J76" s="11"/>
      <c r="K76" s="11"/>
      <c r="L76" s="11"/>
      <c r="N76" s="30" t="str">
        <f aca="true">IF($B76="","",IF($L76="",IF(config!$B$37&lt;&gt;"",config!$B$37,TODAY())-$B76,$L76-$B76))</f>
        <v/>
      </c>
      <c r="O76" s="30" t="str">
        <f aca="false">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ustomFormat="false" ht="15" hidden="false" customHeight="false" outlineLevel="0" collapsed="false">
      <c r="B77" s="11"/>
      <c r="C77" s="38"/>
      <c r="G77" s="10"/>
      <c r="J77" s="11"/>
      <c r="K77" s="11"/>
      <c r="L77" s="11"/>
      <c r="N77" s="30" t="str">
        <f aca="true">IF($B77="","",IF($L77="",IF(config!$B$37&lt;&gt;"",config!$B$37,TODAY())-$B77,$L77-$B77))</f>
        <v/>
      </c>
      <c r="O77" s="30" t="str">
        <f aca="false">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ustomFormat="false" ht="15" hidden="false" customHeight="false" outlineLevel="0" collapsed="false">
      <c r="B78" s="11"/>
      <c r="C78" s="38"/>
      <c r="G78" s="10"/>
      <c r="J78" s="11"/>
      <c r="K78" s="11"/>
      <c r="L78" s="11"/>
      <c r="N78" s="30" t="str">
        <f aca="true">IF($B78="","",IF($L78="",IF(config!$B$37&lt;&gt;"",config!$B$37,TODAY())-$B78,$L78-$B78))</f>
        <v/>
      </c>
      <c r="O78" s="30" t="str">
        <f aca="false">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ustomFormat="false" ht="15" hidden="false" customHeight="false" outlineLevel="0" collapsed="false">
      <c r="B79" s="11"/>
      <c r="C79" s="38"/>
      <c r="G79" s="10"/>
      <c r="J79" s="11"/>
      <c r="K79" s="11"/>
      <c r="L79" s="11"/>
      <c r="N79" s="30" t="str">
        <f aca="true">IF($B79="","",IF($L79="",IF(config!$B$37&lt;&gt;"",config!$B$37,TODAY())-$B79,$L79-$B79))</f>
        <v/>
      </c>
      <c r="O79" s="30" t="str">
        <f aca="false">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ustomFormat="false" ht="15" hidden="false" customHeight="false" outlineLevel="0" collapsed="false">
      <c r="B80" s="11"/>
      <c r="C80" s="38"/>
      <c r="G80" s="10"/>
      <c r="J80" s="11"/>
      <c r="K80" s="11"/>
      <c r="L80" s="11"/>
      <c r="N80" s="30" t="str">
        <f aca="true">IF($B80="","",IF($L80="",IF(config!$B$37&lt;&gt;"",config!$B$37,TODAY())-$B80,$L80-$B80))</f>
        <v/>
      </c>
      <c r="O80" s="30" t="str">
        <f aca="false">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ustomFormat="false" ht="15" hidden="false" customHeight="false" outlineLevel="0" collapsed="false">
      <c r="B81" s="11"/>
      <c r="C81" s="38"/>
      <c r="G81" s="10"/>
      <c r="J81" s="11"/>
      <c r="K81" s="11"/>
      <c r="L81" s="11"/>
      <c r="N81" s="30" t="str">
        <f aca="true">IF($B81="","",IF($L81="",IF(config!$B$37&lt;&gt;"",config!$B$37,TODAY())-$B81,$L81-$B81))</f>
        <v/>
      </c>
      <c r="O81" s="30" t="str">
        <f aca="false">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ustomFormat="false" ht="15" hidden="false" customHeight="false" outlineLevel="0" collapsed="false">
      <c r="B82" s="11"/>
      <c r="C82" s="38"/>
      <c r="G82" s="10"/>
      <c r="J82" s="11"/>
      <c r="K82" s="11"/>
      <c r="L82" s="11"/>
      <c r="N82" s="30" t="str">
        <f aca="true">IF($B82="","",IF($L82="",IF(config!$B$37&lt;&gt;"",config!$B$37,TODAY())-$B82,$L82-$B82))</f>
        <v/>
      </c>
      <c r="O82" s="30" t="str">
        <f aca="false">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ustomFormat="false" ht="15" hidden="false" customHeight="false" outlineLevel="0" collapsed="false">
      <c r="B83" s="11"/>
      <c r="C83" s="38"/>
      <c r="G83" s="10"/>
      <c r="J83" s="11"/>
      <c r="K83" s="11"/>
      <c r="L83" s="11"/>
      <c r="N83" s="30" t="str">
        <f aca="true">IF($B83="","",IF($L83="",IF(config!$B$37&lt;&gt;"",config!$B$37,TODAY())-$B83,$L83-$B83))</f>
        <v/>
      </c>
      <c r="O83" s="30" t="str">
        <f aca="false">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ustomFormat="false" ht="15" hidden="false" customHeight="false" outlineLevel="0" collapsed="false">
      <c r="B84" s="11"/>
      <c r="C84" s="38"/>
      <c r="G84" s="10"/>
      <c r="J84" s="11"/>
      <c r="K84" s="11"/>
      <c r="L84" s="11"/>
      <c r="N84" s="30" t="str">
        <f aca="true">IF($B84="","",IF($L84="",IF(config!$B$37&lt;&gt;"",config!$B$37,TODAY())-$B84,$L84-$B84))</f>
        <v/>
      </c>
      <c r="O84" s="30" t="str">
        <f aca="false">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ustomFormat="false" ht="15" hidden="false" customHeight="false" outlineLevel="0" collapsed="false">
      <c r="B85" s="11"/>
      <c r="C85" s="38"/>
      <c r="G85" s="10"/>
      <c r="J85" s="11"/>
      <c r="K85" s="11"/>
      <c r="L85" s="11"/>
      <c r="N85" s="30" t="str">
        <f aca="true">IF($B85="","",IF($L85="",IF(config!$B$37&lt;&gt;"",config!$B$37,TODAY())-$B85,$L85-$B85))</f>
        <v/>
      </c>
      <c r="O85" s="30" t="str">
        <f aca="false">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ustomFormat="false" ht="15" hidden="false" customHeight="false" outlineLevel="0" collapsed="false">
      <c r="B86" s="11"/>
      <c r="C86" s="38"/>
      <c r="G86" s="10"/>
      <c r="J86" s="11"/>
      <c r="K86" s="11"/>
      <c r="L86" s="11"/>
      <c r="N86" s="30" t="str">
        <f aca="true">IF($B86="","",IF($L86="",IF(config!$B$37&lt;&gt;"",config!$B$37,TODAY())-$B86,$L86-$B86))</f>
        <v/>
      </c>
      <c r="O86" s="30" t="str">
        <f aca="false">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ustomFormat="false" ht="15" hidden="false" customHeight="false" outlineLevel="0" collapsed="false">
      <c r="B87" s="11"/>
      <c r="C87" s="38"/>
      <c r="G87" s="10"/>
      <c r="J87" s="11"/>
      <c r="K87" s="11"/>
      <c r="L87" s="11"/>
      <c r="N87" s="30" t="str">
        <f aca="true">IF($B87="","",IF($L87="",IF(config!$B$37&lt;&gt;"",config!$B$37,TODAY())-$B87,$L87-$B87))</f>
        <v/>
      </c>
      <c r="O87" s="30" t="str">
        <f aca="false">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ustomFormat="false" ht="15" hidden="false" customHeight="false" outlineLevel="0" collapsed="false">
      <c r="B88" s="11"/>
      <c r="C88" s="38"/>
      <c r="G88" s="10"/>
      <c r="J88" s="11"/>
      <c r="K88" s="11"/>
      <c r="L88" s="11"/>
      <c r="N88" s="30" t="str">
        <f aca="true">IF($B88="","",IF($L88="",IF(config!$B$37&lt;&gt;"",config!$B$37,TODAY())-$B88,$L88-$B88))</f>
        <v/>
      </c>
      <c r="O88" s="30" t="str">
        <f aca="false">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ustomFormat="false" ht="15" hidden="false" customHeight="false" outlineLevel="0" collapsed="false">
      <c r="B89" s="11"/>
      <c r="C89" s="38"/>
      <c r="G89" s="10"/>
      <c r="J89" s="11"/>
      <c r="K89" s="11"/>
      <c r="L89" s="11"/>
      <c r="N89" s="30" t="str">
        <f aca="true">IF($B89="","",IF($L89="",IF(config!$B$37&lt;&gt;"",config!$B$37,TODAY())-$B89,$L89-$B89))</f>
        <v/>
      </c>
      <c r="O89" s="30" t="str">
        <f aca="false">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ustomFormat="false" ht="15" hidden="false" customHeight="false" outlineLevel="0" collapsed="false">
      <c r="B90" s="11"/>
      <c r="C90" s="38"/>
      <c r="G90" s="10"/>
      <c r="J90" s="11"/>
      <c r="K90" s="11"/>
      <c r="L90" s="11"/>
      <c r="N90" s="30" t="str">
        <f aca="true">IF($B90="","",IF($L90="",IF(config!$B$37&lt;&gt;"",config!$B$37,TODAY())-$B90,$L90-$B90))</f>
        <v/>
      </c>
      <c r="O90" s="30" t="str">
        <f aca="false">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ustomFormat="false" ht="15" hidden="false" customHeight="false" outlineLevel="0" collapsed="false">
      <c r="B91" s="11"/>
      <c r="C91" s="38"/>
      <c r="G91" s="10"/>
      <c r="J91" s="11"/>
      <c r="K91" s="11"/>
      <c r="L91" s="11"/>
      <c r="N91" s="30" t="str">
        <f aca="true">IF($B91="","",IF($L91="",IF(config!$B$37&lt;&gt;"",config!$B$37,TODAY())-$B91,$L91-$B91))</f>
        <v/>
      </c>
      <c r="O91" s="30" t="str">
        <f aca="false">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ustomFormat="false" ht="15" hidden="false" customHeight="false" outlineLevel="0" collapsed="false">
      <c r="B92" s="11"/>
      <c r="C92" s="38"/>
      <c r="G92" s="10"/>
      <c r="J92" s="11"/>
      <c r="K92" s="11"/>
      <c r="L92" s="11"/>
      <c r="N92" s="30" t="str">
        <f aca="true">IF($B92="","",IF($L92="",IF(config!$B$37&lt;&gt;"",config!$B$37,TODAY())-$B92,$L92-$B92))</f>
        <v/>
      </c>
      <c r="O92" s="30" t="str">
        <f aca="false">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ustomFormat="false" ht="15" hidden="false" customHeight="false" outlineLevel="0" collapsed="false">
      <c r="B93" s="11"/>
      <c r="C93" s="38"/>
      <c r="G93" s="10"/>
      <c r="J93" s="11"/>
      <c r="K93" s="11"/>
      <c r="L93" s="11"/>
      <c r="N93" s="30" t="str">
        <f aca="true">IF($B93="","",IF($L93="",IF(config!$B$37&lt;&gt;"",config!$B$37,TODAY())-$B93,$L93-$B93))</f>
        <v/>
      </c>
      <c r="O93" s="30" t="str">
        <f aca="false">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ustomFormat="false" ht="15" hidden="false" customHeight="false" outlineLevel="0" collapsed="false">
      <c r="B94" s="11"/>
      <c r="C94" s="38"/>
      <c r="G94" s="10"/>
      <c r="J94" s="11"/>
      <c r="K94" s="11"/>
      <c r="L94" s="11"/>
      <c r="N94" s="30" t="str">
        <f aca="true">IF($B94="","",IF($L94="",IF(config!$B$37&lt;&gt;"",config!$B$37,TODAY())-$B94,$L94-$B94))</f>
        <v/>
      </c>
      <c r="O94" s="30" t="str">
        <f aca="false">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ustomFormat="false" ht="15" hidden="false" customHeight="false" outlineLevel="0" collapsed="false">
      <c r="B95" s="11"/>
      <c r="C95" s="38"/>
      <c r="G95" s="10"/>
      <c r="J95" s="11"/>
      <c r="K95" s="11"/>
      <c r="L95" s="11"/>
      <c r="N95" s="30" t="str">
        <f aca="true">IF($B95="","",IF($L95="",IF(config!$B$37&lt;&gt;"",config!$B$37,TODAY())-$B95,$L95-$B95))</f>
        <v/>
      </c>
      <c r="O95" s="30" t="str">
        <f aca="false">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ustomFormat="false" ht="15" hidden="false" customHeight="false" outlineLevel="0" collapsed="false">
      <c r="B96" s="11"/>
      <c r="C96" s="38"/>
      <c r="G96" s="10"/>
      <c r="J96" s="11"/>
      <c r="K96" s="11"/>
      <c r="L96" s="11"/>
      <c r="N96" s="30" t="str">
        <f aca="true">IF($B96="","",IF($L96="",IF(config!$B$37&lt;&gt;"",config!$B$37,TODAY())-$B96,$L96-$B96))</f>
        <v/>
      </c>
      <c r="O96" s="30" t="str">
        <f aca="false">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ustomFormat="false" ht="15" hidden="false" customHeight="false" outlineLevel="0" collapsed="false">
      <c r="B97" s="11"/>
      <c r="C97" s="38"/>
      <c r="G97" s="10"/>
      <c r="J97" s="11"/>
      <c r="K97" s="11"/>
      <c r="L97" s="11"/>
      <c r="N97" s="30" t="str">
        <f aca="true">IF($B97="","",IF($L97="",IF(config!$B$37&lt;&gt;"",config!$B$37,TODAY())-$B97,$L97-$B97))</f>
        <v/>
      </c>
      <c r="O97" s="30" t="str">
        <f aca="false">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ustomFormat="false" ht="15" hidden="false" customHeight="false" outlineLevel="0" collapsed="false">
      <c r="B98" s="11"/>
      <c r="C98" s="38"/>
      <c r="G98" s="10"/>
      <c r="J98" s="11"/>
      <c r="K98" s="11"/>
      <c r="L98" s="11"/>
      <c r="N98" s="30" t="str">
        <f aca="true">IF($B98="","",IF($L98="",IF(config!$B$37&lt;&gt;"",config!$B$37,TODAY())-$B98,$L98-$B98))</f>
        <v/>
      </c>
      <c r="O98" s="30" t="str">
        <f aca="false">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ustomFormat="false" ht="15" hidden="false" customHeight="false" outlineLevel="0" collapsed="false">
      <c r="B99" s="11"/>
      <c r="C99" s="38"/>
      <c r="G99" s="10"/>
      <c r="J99" s="11"/>
      <c r="K99" s="11"/>
      <c r="L99" s="11"/>
      <c r="N99" s="30" t="str">
        <f aca="true">IF($B99="","",IF($L99="",IF(config!$B$37&lt;&gt;"",config!$B$37,TODAY())-$B99,$L99-$B99))</f>
        <v/>
      </c>
      <c r="O99" s="30" t="str">
        <f aca="false">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ustomFormat="false" ht="15" hidden="false" customHeight="false" outlineLevel="0" collapsed="false">
      <c r="B100" s="11"/>
      <c r="C100" s="38"/>
      <c r="G100" s="10"/>
      <c r="J100" s="11"/>
      <c r="K100" s="11"/>
      <c r="L100" s="11"/>
      <c r="N100" s="30" t="str">
        <f aca="true">IF($B100="","",IF($L100="",IF(config!$B$37&lt;&gt;"",config!$B$37,TODAY())-$B100,$L100-$B100))</f>
        <v/>
      </c>
      <c r="O100" s="30" t="str">
        <f aca="false">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ustomFormat="false" ht="15" hidden="false" customHeight="false" outlineLevel="0" collapsed="false">
      <c r="B101" s="11"/>
      <c r="C101" s="38"/>
      <c r="G101" s="10"/>
      <c r="J101" s="11"/>
      <c r="K101" s="11"/>
      <c r="L101" s="11"/>
      <c r="N101" s="30" t="str">
        <f aca="true">IF($B101="","",IF($L101="",IF(config!$B$37&lt;&gt;"",config!$B$37,TODAY())-$B101,$L101-$B101))</f>
        <v/>
      </c>
      <c r="O101" s="30" t="str">
        <f aca="false">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ustomFormat="false" ht="15" hidden="false" customHeight="false" outlineLevel="0" collapsed="false">
      <c r="B102" s="11"/>
      <c r="C102" s="38"/>
      <c r="G102" s="10"/>
      <c r="J102" s="11"/>
      <c r="K102" s="11"/>
      <c r="L102" s="11"/>
      <c r="N102" s="30" t="str">
        <f aca="true">IF($B102="","",IF($L102="",IF(config!$B$37&lt;&gt;"",config!$B$37,TODAY())-$B102,$L102-$B102))</f>
        <v/>
      </c>
      <c r="O102" s="30" t="str">
        <f aca="false">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ustomFormat="false" ht="15" hidden="false" customHeight="false" outlineLevel="0" collapsed="false">
      <c r="B103" s="11"/>
      <c r="C103" s="38"/>
      <c r="G103" s="10"/>
      <c r="J103" s="11"/>
      <c r="K103" s="11"/>
      <c r="L103" s="11"/>
      <c r="N103" s="30" t="str">
        <f aca="true">IF($B103="","",IF($L103="",IF(config!$B$37&lt;&gt;"",config!$B$37,TODAY())-$B103,$L103-$B103))</f>
        <v/>
      </c>
      <c r="O103" s="30" t="str">
        <f aca="false">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ustomFormat="false" ht="15" hidden="false" customHeight="false" outlineLevel="0" collapsed="false">
      <c r="B104" s="11"/>
      <c r="C104" s="38"/>
      <c r="G104" s="10"/>
      <c r="J104" s="11"/>
      <c r="K104" s="11"/>
      <c r="L104" s="11"/>
      <c r="N104" s="30" t="str">
        <f aca="true">IF($B104="","",IF($L104="",IF(config!$B$37&lt;&gt;"",config!$B$37,TODAY())-$B104,$L104-$B104))</f>
        <v/>
      </c>
      <c r="O104" s="30" t="str">
        <f aca="false">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ustomFormat="false" ht="15" hidden="false" customHeight="false" outlineLevel="0" collapsed="false">
      <c r="B105" s="11"/>
      <c r="C105" s="38"/>
      <c r="G105" s="10"/>
      <c r="J105" s="11"/>
      <c r="K105" s="11"/>
      <c r="L105" s="11"/>
      <c r="N105" s="30" t="str">
        <f aca="true">IF($B105="","",IF($L105="",IF(config!$B$37&lt;&gt;"",config!$B$37,TODAY())-$B105,$L105-$B105))</f>
        <v/>
      </c>
      <c r="O105" s="30" t="str">
        <f aca="false">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ustomFormat="false" ht="15" hidden="false" customHeight="false" outlineLevel="0" collapsed="false">
      <c r="B106" s="11"/>
      <c r="C106" s="38"/>
      <c r="G106" s="10"/>
      <c r="J106" s="11"/>
      <c r="K106" s="11"/>
      <c r="L106" s="11"/>
      <c r="N106" s="30" t="str">
        <f aca="true">IF($B106="","",IF($L106="",IF(config!$B$37&lt;&gt;"",config!$B$37,TODAY())-$B106,$L106-$B106))</f>
        <v/>
      </c>
      <c r="O106" s="30" t="str">
        <f aca="false">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ustomFormat="false" ht="15" hidden="false" customHeight="false" outlineLevel="0" collapsed="false">
      <c r="B107" s="11"/>
      <c r="C107" s="38"/>
      <c r="G107" s="10"/>
      <c r="J107" s="11"/>
      <c r="K107" s="11"/>
      <c r="L107" s="11"/>
      <c r="N107" s="30" t="str">
        <f aca="true">IF($B107="","",IF($L107="",IF(config!$B$37&lt;&gt;"",config!$B$37,TODAY())-$B107,$L107-$B107))</f>
        <v/>
      </c>
      <c r="O107" s="30" t="str">
        <f aca="false">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ustomFormat="false" ht="15" hidden="false" customHeight="false" outlineLevel="0" collapsed="false">
      <c r="B108" s="11"/>
      <c r="C108" s="38"/>
      <c r="G108" s="10"/>
      <c r="J108" s="11"/>
      <c r="K108" s="11"/>
      <c r="L108" s="11"/>
      <c r="N108" s="30" t="str">
        <f aca="true">IF($B108="","",IF($L108="",IF(config!$B$37&lt;&gt;"",config!$B$37,TODAY())-$B108,$L108-$B108))</f>
        <v/>
      </c>
      <c r="O108" s="30" t="str">
        <f aca="false">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ustomFormat="false" ht="15" hidden="false" customHeight="false" outlineLevel="0" collapsed="false">
      <c r="B109" s="11"/>
      <c r="C109" s="38"/>
      <c r="G109" s="10"/>
      <c r="J109" s="11"/>
      <c r="K109" s="11"/>
      <c r="L109" s="11"/>
      <c r="N109" s="30" t="str">
        <f aca="true">IF($B109="","",IF($L109="",IF(config!$B$37&lt;&gt;"",config!$B$37,TODAY())-$B109,$L109-$B109))</f>
        <v/>
      </c>
      <c r="O109" s="30" t="str">
        <f aca="false">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ustomFormat="false" ht="15" hidden="false" customHeight="false" outlineLevel="0" collapsed="false">
      <c r="B110" s="11"/>
      <c r="C110" s="38"/>
      <c r="G110" s="10"/>
      <c r="J110" s="11"/>
      <c r="K110" s="11"/>
      <c r="L110" s="11"/>
      <c r="N110" s="30" t="str">
        <f aca="true">IF($B110="","",IF($L110="",IF(config!$B$37&lt;&gt;"",config!$B$37,TODAY())-$B110,$L110-$B110))</f>
        <v/>
      </c>
      <c r="O110" s="30" t="str">
        <f aca="false">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ustomFormat="false" ht="15" hidden="false" customHeight="false" outlineLevel="0" collapsed="false">
      <c r="B111" s="11"/>
      <c r="C111" s="38"/>
      <c r="G111" s="10"/>
      <c r="J111" s="11"/>
      <c r="K111" s="11"/>
      <c r="L111" s="11"/>
      <c r="N111" s="30" t="str">
        <f aca="true">IF($B111="","",IF($L111="",IF(config!$B$37&lt;&gt;"",config!$B$37,TODAY())-$B111,$L111-$B111))</f>
        <v/>
      </c>
      <c r="O111" s="30" t="str">
        <f aca="false">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ustomFormat="false" ht="15" hidden="false" customHeight="false" outlineLevel="0" collapsed="false">
      <c r="B112" s="11"/>
      <c r="C112" s="38"/>
      <c r="G112" s="10"/>
      <c r="J112" s="11"/>
      <c r="K112" s="11"/>
      <c r="L112" s="11"/>
      <c r="N112" s="30" t="str">
        <f aca="true">IF($B112="","",IF($L112="",IF(config!$B$37&lt;&gt;"",config!$B$37,TODAY())-$B112,$L112-$B112))</f>
        <v/>
      </c>
      <c r="O112" s="30" t="str">
        <f aca="false">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ustomFormat="false" ht="15" hidden="false" customHeight="false" outlineLevel="0" collapsed="false">
      <c r="B113" s="11"/>
      <c r="C113" s="38"/>
      <c r="G113" s="10"/>
      <c r="J113" s="11"/>
      <c r="K113" s="11"/>
      <c r="L113" s="11"/>
      <c r="N113" s="30" t="str">
        <f aca="true">IF($B113="","",IF($L113="",IF(config!$B$37&lt;&gt;"",config!$B$37,TODAY())-$B113,$L113-$B113))</f>
        <v/>
      </c>
      <c r="O113" s="30" t="str">
        <f aca="false">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ustomFormat="false" ht="15" hidden="false" customHeight="false" outlineLevel="0" collapsed="false">
      <c r="B114" s="11"/>
      <c r="C114" s="38"/>
      <c r="G114" s="10"/>
      <c r="J114" s="11"/>
      <c r="K114" s="11"/>
      <c r="L114" s="11"/>
      <c r="N114" s="30" t="str">
        <f aca="true">IF($B114="","",IF($L114="",IF(config!$B$37&lt;&gt;"",config!$B$37,TODAY())-$B114,$L114-$B114))</f>
        <v/>
      </c>
      <c r="O114" s="30" t="str">
        <f aca="false">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ustomFormat="false" ht="15" hidden="false" customHeight="false" outlineLevel="0" collapsed="false">
      <c r="B115" s="11"/>
      <c r="C115" s="38"/>
      <c r="G115" s="10"/>
      <c r="J115" s="11"/>
      <c r="K115" s="11"/>
      <c r="L115" s="11"/>
      <c r="N115" s="30" t="str">
        <f aca="true">IF($B115="","",IF($L115="",IF(config!$B$37&lt;&gt;"",config!$B$37,TODAY())-$B115,$L115-$B115))</f>
        <v/>
      </c>
      <c r="O115" s="30" t="str">
        <f aca="false">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ustomFormat="false" ht="15" hidden="false" customHeight="false" outlineLevel="0" collapsed="false">
      <c r="B116" s="11"/>
      <c r="C116" s="38"/>
      <c r="G116" s="10"/>
      <c r="J116" s="11"/>
      <c r="K116" s="11"/>
      <c r="L116" s="11"/>
      <c r="N116" s="30" t="str">
        <f aca="true">IF($B116="","",IF($L116="",IF(config!$B$37&lt;&gt;"",config!$B$37,TODAY())-$B116,$L116-$B116))</f>
        <v/>
      </c>
      <c r="O116" s="30" t="str">
        <f aca="false">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ustomFormat="false" ht="15" hidden="false" customHeight="false" outlineLevel="0" collapsed="false">
      <c r="B117" s="11"/>
      <c r="C117" s="38"/>
      <c r="G117" s="10"/>
      <c r="J117" s="11"/>
      <c r="K117" s="11"/>
      <c r="L117" s="11"/>
      <c r="N117" s="30" t="str">
        <f aca="true">IF($B117="","",IF($L117="",IF(config!$B$37&lt;&gt;"",config!$B$37,TODAY())-$B117,$L117-$B117))</f>
        <v/>
      </c>
      <c r="O117" s="30" t="str">
        <f aca="false">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ustomFormat="false" ht="15" hidden="false" customHeight="false" outlineLevel="0" collapsed="false">
      <c r="B118" s="11"/>
      <c r="C118" s="38"/>
      <c r="G118" s="10"/>
      <c r="J118" s="11"/>
      <c r="K118" s="11"/>
      <c r="L118" s="11"/>
      <c r="N118" s="30" t="str">
        <f aca="true">IF($B118="","",IF($L118="",IF(config!$B$37&lt;&gt;"",config!$B$37,TODAY())-$B118,$L118-$B118))</f>
        <v/>
      </c>
      <c r="O118" s="30" t="str">
        <f aca="false">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ustomFormat="false" ht="15" hidden="false" customHeight="false" outlineLevel="0" collapsed="false">
      <c r="B119" s="11"/>
      <c r="C119" s="38"/>
      <c r="G119" s="10"/>
      <c r="J119" s="11"/>
      <c r="K119" s="11"/>
      <c r="L119" s="11"/>
      <c r="N119" s="30" t="str">
        <f aca="true">IF($B119="","",IF($L119="",IF(config!$B$37&lt;&gt;"",config!$B$37,TODAY())-$B119,$L119-$B119))</f>
        <v/>
      </c>
      <c r="O119" s="30" t="str">
        <f aca="false">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ustomFormat="false" ht="15" hidden="false" customHeight="false" outlineLevel="0" collapsed="false">
      <c r="B120" s="11"/>
      <c r="C120" s="38"/>
      <c r="G120" s="10"/>
      <c r="J120" s="11"/>
      <c r="K120" s="11"/>
      <c r="L120" s="11"/>
      <c r="N120" s="30" t="str">
        <f aca="true">IF($B120="","",IF($L120="",IF(config!$B$37&lt;&gt;"",config!$B$37,TODAY())-$B120,$L120-$B120))</f>
        <v/>
      </c>
      <c r="O120" s="30" t="str">
        <f aca="false">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ustomFormat="false" ht="15" hidden="false" customHeight="false" outlineLevel="0" collapsed="false">
      <c r="B121" s="11"/>
      <c r="C121" s="38"/>
      <c r="G121" s="10"/>
      <c r="J121" s="11"/>
      <c r="K121" s="11"/>
      <c r="L121" s="11"/>
      <c r="N121" s="30" t="str">
        <f aca="true">IF($B121="","",IF($L121="",IF(config!$B$37&lt;&gt;"",config!$B$37,TODAY())-$B121,$L121-$B121))</f>
        <v/>
      </c>
      <c r="O121" s="30" t="str">
        <f aca="false">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2" aboveAverage="0" equalAverage="0" bottom="0" percent="0" rank="0" text="" dxfId="1">
      <formula>LEN(O2)&gt;0</formula>
    </cfRule>
  </conditionalFormatting>
  <dataValidations count="1">
    <dataValidation allowBlank="true" error="Pick a value from the list." errorStyle="stop" errorTitle="Not on the list" operator="between" showDropDown="false" showErrorMessage="true" showInputMessage="false" sqref="G2:G121" type="list">
      <formula1>"late_arrival,short_shipment,damaged_or_short_dated,owner_absent,declined_at_door,complaint_or_reaction,brand_asks_employee_data,building_access,photo_missing,placement_late,recall_or_pull,other"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G15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4" min="1" style="0" width="14"/>
    <col collapsed="false" customWidth="true" hidden="false" outlineLevel="0" max="5" min="5" style="0" width="7"/>
    <col collapsed="false" customWidth="true" hidden="false" outlineLevel="0" max="6" min="6" style="0" width="30"/>
    <col collapsed="false" customWidth="true" hidden="false" outlineLevel="0" max="7" min="7" style="0" width="24"/>
  </cols>
  <sheetData>
    <row r="1" customFormat="false" ht="15" hidden="false" customHeight="false" outlineLevel="0" collapsed="false">
      <c r="A1" s="28" t="s">
        <v>77</v>
      </c>
      <c r="B1" s="28" t="s">
        <v>299</v>
      </c>
      <c r="C1" s="28" t="s">
        <v>358</v>
      </c>
      <c r="D1" s="28" t="s">
        <v>123</v>
      </c>
      <c r="E1" s="28" t="s">
        <v>331</v>
      </c>
      <c r="F1" s="28" t="s">
        <v>178</v>
      </c>
      <c r="G1" s="29" t="s">
        <v>120</v>
      </c>
    </row>
    <row r="2" customFormat="false" ht="15" hidden="false" customHeight="false" outlineLevel="0" collapsed="false">
      <c r="A2" s="11" t="n">
        <v>46322</v>
      </c>
      <c r="D2" s="10" t="s">
        <v>127</v>
      </c>
      <c r="E2" s="12" t="n">
        <v>1.5</v>
      </c>
      <c r="F2" s="10" t="s">
        <v>1313</v>
      </c>
      <c r="G2" s="30" t="str">
        <f aca="false">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ustomFormat="false" ht="15" hidden="false" customHeight="false" outlineLevel="0" collapsed="false">
      <c r="A3" s="11" t="n">
        <v>46322</v>
      </c>
      <c r="D3" s="10" t="s">
        <v>126</v>
      </c>
      <c r="E3" s="12" t="n">
        <v>1.5</v>
      </c>
      <c r="F3" s="10" t="s">
        <v>1313</v>
      </c>
      <c r="G3" s="30" t="str">
        <f aca="false">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ustomFormat="false" ht="15" hidden="false" customHeight="false" outlineLevel="0" collapsed="false">
      <c r="A4" s="11" t="n">
        <v>46324</v>
      </c>
      <c r="D4" s="10" t="s">
        <v>127</v>
      </c>
      <c r="E4" s="12" t="n">
        <v>1.5</v>
      </c>
      <c r="F4" s="10" t="s">
        <v>1313</v>
      </c>
      <c r="G4" s="30" t="str">
        <f aca="false">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ustomFormat="false" ht="15" hidden="false" customHeight="false" outlineLevel="0" collapsed="false">
      <c r="A5" s="11" t="n">
        <v>46324</v>
      </c>
      <c r="D5" s="10" t="s">
        <v>126</v>
      </c>
      <c r="E5" s="12" t="n">
        <v>1.5</v>
      </c>
      <c r="F5" s="10" t="s">
        <v>1313</v>
      </c>
      <c r="G5" s="30" t="str">
        <f aca="false">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ustomFormat="false" ht="15" hidden="false" customHeight="false" outlineLevel="0" collapsed="false">
      <c r="A6" s="11" t="n">
        <v>46329</v>
      </c>
      <c r="D6" s="10" t="s">
        <v>127</v>
      </c>
      <c r="E6" s="12" t="n">
        <v>1.5</v>
      </c>
      <c r="F6" s="10" t="s">
        <v>1313</v>
      </c>
      <c r="G6" s="30" t="str">
        <f aca="false">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ustomFormat="false" ht="15" hidden="false" customHeight="false" outlineLevel="0" collapsed="false">
      <c r="A7" s="11" t="n">
        <v>46329</v>
      </c>
      <c r="D7" s="10" t="s">
        <v>126</v>
      </c>
      <c r="E7" s="12" t="n">
        <v>1.5</v>
      </c>
      <c r="F7" s="10" t="s">
        <v>1313</v>
      </c>
      <c r="G7" s="30" t="str">
        <f aca="false">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ustomFormat="false" ht="15" hidden="false" customHeight="false" outlineLevel="0" collapsed="false">
      <c r="A8" s="11" t="n">
        <v>46331</v>
      </c>
      <c r="D8" s="10" t="s">
        <v>127</v>
      </c>
      <c r="E8" s="12" t="n">
        <v>1.5</v>
      </c>
      <c r="F8" s="10" t="s">
        <v>1313</v>
      </c>
      <c r="G8" s="30" t="str">
        <f aca="false">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ustomFormat="false" ht="15" hidden="false" customHeight="false" outlineLevel="0" collapsed="false">
      <c r="A9" s="11" t="n">
        <v>46331</v>
      </c>
      <c r="D9" s="10" t="s">
        <v>126</v>
      </c>
      <c r="E9" s="12" t="n">
        <v>1.5</v>
      </c>
      <c r="F9" s="10" t="s">
        <v>1313</v>
      </c>
      <c r="G9" s="30" t="str">
        <f aca="false">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ustomFormat="false" ht="15" hidden="false" customHeight="false" outlineLevel="0" collapsed="false">
      <c r="A10" s="11" t="n">
        <v>46336</v>
      </c>
      <c r="D10" s="10" t="s">
        <v>127</v>
      </c>
      <c r="E10" s="12" t="n">
        <v>1.5</v>
      </c>
      <c r="F10" s="10" t="s">
        <v>1313</v>
      </c>
      <c r="G10" s="30" t="str">
        <f aca="false">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ustomFormat="false" ht="15" hidden="false" customHeight="false" outlineLevel="0" collapsed="false">
      <c r="A11" s="11" t="n">
        <v>46336</v>
      </c>
      <c r="D11" s="10" t="s">
        <v>126</v>
      </c>
      <c r="E11" s="12" t="n">
        <v>1.5</v>
      </c>
      <c r="F11" s="10" t="s">
        <v>1313</v>
      </c>
      <c r="G11" s="30" t="str">
        <f aca="false">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ustomFormat="false" ht="15" hidden="false" customHeight="false" outlineLevel="0" collapsed="false">
      <c r="A12" s="11" t="n">
        <v>46343</v>
      </c>
      <c r="B12" s="10" t="s">
        <v>337</v>
      </c>
      <c r="C12" s="10" t="s">
        <v>472</v>
      </c>
      <c r="D12" s="10" t="s">
        <v>126</v>
      </c>
      <c r="E12" s="12" t="n">
        <v>2</v>
      </c>
      <c r="F12" s="10" t="s">
        <v>1314</v>
      </c>
      <c r="G12" s="30" t="str">
        <f aca="false">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ustomFormat="false" ht="15" hidden="false" customHeight="false" outlineLevel="0" collapsed="false">
      <c r="A13" s="11" t="n">
        <v>46344</v>
      </c>
      <c r="B13" s="10" t="s">
        <v>337</v>
      </c>
      <c r="C13" s="10" t="s">
        <v>498</v>
      </c>
      <c r="D13" s="10" t="s">
        <v>126</v>
      </c>
      <c r="E13" s="12" t="n">
        <v>2</v>
      </c>
      <c r="F13" s="10" t="s">
        <v>1314</v>
      </c>
      <c r="G13" s="30" t="str">
        <f aca="false">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ustomFormat="false" ht="15" hidden="false" customHeight="false" outlineLevel="0" collapsed="false">
      <c r="A14" s="11" t="n">
        <v>46350</v>
      </c>
      <c r="B14" s="10" t="s">
        <v>337</v>
      </c>
      <c r="C14" s="10" t="s">
        <v>472</v>
      </c>
      <c r="D14" s="10" t="s">
        <v>126</v>
      </c>
      <c r="E14" s="12" t="n">
        <v>2</v>
      </c>
      <c r="F14" s="10" t="s">
        <v>1314</v>
      </c>
      <c r="G14" s="30" t="str">
        <f aca="false">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ustomFormat="false" ht="15" hidden="false" customHeight="false" outlineLevel="0" collapsed="false">
      <c r="A15" s="11" t="n">
        <v>46351</v>
      </c>
      <c r="B15" s="10" t="s">
        <v>337</v>
      </c>
      <c r="C15" s="10" t="s">
        <v>498</v>
      </c>
      <c r="D15" s="10" t="s">
        <v>126</v>
      </c>
      <c r="E15" s="12" t="n">
        <v>2</v>
      </c>
      <c r="F15" s="10" t="s">
        <v>1314</v>
      </c>
      <c r="G15" s="30" t="str">
        <f aca="false">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ustomFormat="false" ht="15" hidden="false" customHeight="false" outlineLevel="0" collapsed="false">
      <c r="A16" s="11" t="n">
        <v>46357</v>
      </c>
      <c r="B16" s="10" t="s">
        <v>337</v>
      </c>
      <c r="C16" s="10" t="s">
        <v>472</v>
      </c>
      <c r="D16" s="10" t="s">
        <v>126</v>
      </c>
      <c r="E16" s="12" t="n">
        <v>2</v>
      </c>
      <c r="F16" s="10" t="s">
        <v>1314</v>
      </c>
      <c r="G16" s="30" t="str">
        <f aca="false">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ustomFormat="false" ht="15" hidden="false" customHeight="false" outlineLevel="0" collapsed="false">
      <c r="A17" s="11" t="n">
        <v>46358</v>
      </c>
      <c r="B17" s="10" t="s">
        <v>337</v>
      </c>
      <c r="C17" s="10" t="s">
        <v>498</v>
      </c>
      <c r="D17" s="10" t="s">
        <v>126</v>
      </c>
      <c r="E17" s="12" t="n">
        <v>2</v>
      </c>
      <c r="F17" s="10" t="s">
        <v>1314</v>
      </c>
      <c r="G17" s="30" t="str">
        <f aca="false">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ustomFormat="false" ht="15" hidden="false" customHeight="false" outlineLevel="0" collapsed="false">
      <c r="A18" s="11" t="n">
        <v>46360</v>
      </c>
      <c r="B18" s="10" t="s">
        <v>337</v>
      </c>
      <c r="C18" s="10" t="s">
        <v>472</v>
      </c>
      <c r="D18" s="10" t="s">
        <v>126</v>
      </c>
      <c r="E18" s="12" t="n">
        <v>2</v>
      </c>
      <c r="F18" s="10" t="s">
        <v>1314</v>
      </c>
      <c r="G18" s="30" t="str">
        <f aca="false">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ustomFormat="false" ht="15" hidden="false" customHeight="false" outlineLevel="0" collapsed="false">
      <c r="A19" s="11" t="n">
        <v>46363</v>
      </c>
      <c r="B19" s="10" t="s">
        <v>337</v>
      </c>
      <c r="C19" s="10" t="s">
        <v>498</v>
      </c>
      <c r="D19" s="10" t="s">
        <v>126</v>
      </c>
      <c r="E19" s="12" t="n">
        <v>2</v>
      </c>
      <c r="F19" s="10" t="s">
        <v>1314</v>
      </c>
      <c r="G19" s="30" t="str">
        <f aca="false">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ustomFormat="false" ht="15" hidden="false" customHeight="false" outlineLevel="0" collapsed="false">
      <c r="A20" s="11" t="n">
        <v>46363</v>
      </c>
      <c r="B20" s="10" t="s">
        <v>337</v>
      </c>
      <c r="C20" s="10" t="s">
        <v>472</v>
      </c>
      <c r="D20" s="10" t="s">
        <v>126</v>
      </c>
      <c r="E20" s="12" t="n">
        <v>2</v>
      </c>
      <c r="F20" s="10" t="s">
        <v>1314</v>
      </c>
      <c r="G20" s="30" t="str">
        <f aca="false">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ustomFormat="false" ht="15" hidden="false" customHeight="false" outlineLevel="0" collapsed="false">
      <c r="A21" s="11" t="n">
        <v>46364</v>
      </c>
      <c r="B21" s="10" t="s">
        <v>337</v>
      </c>
      <c r="C21" s="10" t="s">
        <v>498</v>
      </c>
      <c r="D21" s="10" t="s">
        <v>126</v>
      </c>
      <c r="E21" s="12" t="n">
        <v>2</v>
      </c>
      <c r="F21" s="10" t="s">
        <v>1314</v>
      </c>
      <c r="G21" s="30" t="str">
        <f aca="false">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ustomFormat="false" ht="15" hidden="false" customHeight="false" outlineLevel="0" collapsed="false">
      <c r="A22" s="11" t="n">
        <v>46342</v>
      </c>
      <c r="B22" s="10" t="s">
        <v>337</v>
      </c>
      <c r="D22" s="10" t="s">
        <v>127</v>
      </c>
      <c r="E22" s="12" t="n">
        <v>4</v>
      </c>
      <c r="F22" s="10" t="s">
        <v>1315</v>
      </c>
      <c r="G22" s="30" t="str">
        <f aca="false">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ustomFormat="false" ht="15" hidden="false" customHeight="false" outlineLevel="0" collapsed="false">
      <c r="A23" s="11" t="n">
        <v>46344</v>
      </c>
      <c r="B23" s="10" t="s">
        <v>337</v>
      </c>
      <c r="D23" s="10" t="s">
        <v>127</v>
      </c>
      <c r="E23" s="12" t="n">
        <v>4</v>
      </c>
      <c r="F23" s="10" t="s">
        <v>1315</v>
      </c>
      <c r="G23" s="30" t="str">
        <f aca="false">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ustomFormat="false" ht="15" hidden="false" customHeight="false" outlineLevel="0" collapsed="false">
      <c r="A24" s="11" t="n">
        <v>46350</v>
      </c>
      <c r="B24" s="10" t="s">
        <v>337</v>
      </c>
      <c r="D24" s="10" t="s">
        <v>127</v>
      </c>
      <c r="E24" s="12" t="n">
        <v>4</v>
      </c>
      <c r="F24" s="10" t="s">
        <v>1315</v>
      </c>
      <c r="G24" s="30" t="str">
        <f aca="false">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ustomFormat="false" ht="15" hidden="false" customHeight="false" outlineLevel="0" collapsed="false">
      <c r="A25" s="11" t="n">
        <v>46357</v>
      </c>
      <c r="B25" s="10" t="s">
        <v>337</v>
      </c>
      <c r="D25" s="10" t="s">
        <v>127</v>
      </c>
      <c r="E25" s="12" t="n">
        <v>4</v>
      </c>
      <c r="F25" s="10" t="s">
        <v>1315</v>
      </c>
      <c r="G25" s="30" t="str">
        <f aca="false">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ustomFormat="false" ht="15" hidden="false" customHeight="false" outlineLevel="0" collapsed="false">
      <c r="A26" s="11" t="n">
        <v>46359</v>
      </c>
      <c r="B26" s="10" t="s">
        <v>337</v>
      </c>
      <c r="D26" s="10" t="s">
        <v>127</v>
      </c>
      <c r="E26" s="12" t="n">
        <v>4</v>
      </c>
      <c r="F26" s="10" t="s">
        <v>1315</v>
      </c>
      <c r="G26" s="30" t="str">
        <f aca="false">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ustomFormat="false" ht="15" hidden="false" customHeight="false" outlineLevel="0" collapsed="false">
      <c r="A27" s="11" t="n">
        <v>46384</v>
      </c>
      <c r="B27" s="10" t="s">
        <v>337</v>
      </c>
      <c r="D27" s="10" t="s">
        <v>128</v>
      </c>
      <c r="E27" s="12" t="n">
        <v>1</v>
      </c>
      <c r="F27" s="10" t="s">
        <v>1316</v>
      </c>
      <c r="G27" s="30" t="str">
        <f aca="false">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ustomFormat="false" ht="15" hidden="false" customHeight="false" outlineLevel="0" collapsed="false">
      <c r="A28" s="11" t="n">
        <v>46386</v>
      </c>
      <c r="B28" s="10" t="s">
        <v>337</v>
      </c>
      <c r="D28" s="10" t="s">
        <v>128</v>
      </c>
      <c r="E28" s="12" t="n">
        <v>1</v>
      </c>
      <c r="F28" s="10" t="s">
        <v>1317</v>
      </c>
      <c r="G28" s="30" t="str">
        <f aca="false">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ustomFormat="false" ht="15" hidden="false" customHeight="false" outlineLevel="0" collapsed="false">
      <c r="A29" s="11" t="n">
        <v>46398</v>
      </c>
      <c r="B29" s="10" t="s">
        <v>337</v>
      </c>
      <c r="D29" s="10" t="s">
        <v>128</v>
      </c>
      <c r="E29" s="12" t="n">
        <v>1</v>
      </c>
      <c r="F29" s="10" t="s">
        <v>1318</v>
      </c>
      <c r="G29" s="30" t="str">
        <f aca="false">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ustomFormat="false" ht="15" hidden="false" customHeight="false" outlineLevel="0" collapsed="false">
      <c r="A30" s="11" t="n">
        <v>46399</v>
      </c>
      <c r="B30" s="10" t="s">
        <v>337</v>
      </c>
      <c r="D30" s="10" t="s">
        <v>129</v>
      </c>
      <c r="E30" s="12" t="n">
        <v>5</v>
      </c>
      <c r="F30" s="10" t="s">
        <v>1319</v>
      </c>
      <c r="G30" s="30" t="str">
        <f aca="false">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ustomFormat="false" ht="15" hidden="false" customHeight="false" outlineLevel="0" collapsed="false">
      <c r="A31" s="11" t="n">
        <v>46401</v>
      </c>
      <c r="B31" s="10" t="s">
        <v>337</v>
      </c>
      <c r="D31" s="10" t="s">
        <v>130</v>
      </c>
      <c r="E31" s="12" t="n">
        <v>1.5</v>
      </c>
      <c r="F31" s="10" t="s">
        <v>1320</v>
      </c>
      <c r="G31" s="30" t="str">
        <f aca="false">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ustomFormat="false" ht="15" hidden="false" customHeight="false" outlineLevel="0" collapsed="false">
      <c r="A32" s="11" t="n">
        <v>46406</v>
      </c>
      <c r="B32" s="10" t="s">
        <v>337</v>
      </c>
      <c r="D32" s="10" t="s">
        <v>130</v>
      </c>
      <c r="E32" s="12" t="n">
        <v>1.5</v>
      </c>
      <c r="F32" s="10" t="s">
        <v>1321</v>
      </c>
      <c r="G32" s="30" t="str">
        <f aca="false">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ustomFormat="false" ht="15" hidden="false" customHeight="false" outlineLevel="0" collapsed="false">
      <c r="A33" s="11" t="n">
        <v>46409</v>
      </c>
      <c r="B33" s="10" t="s">
        <v>337</v>
      </c>
      <c r="C33" s="10" t="s">
        <v>472</v>
      </c>
      <c r="D33" s="10" t="s">
        <v>131</v>
      </c>
      <c r="E33" s="12" t="n">
        <v>1.5</v>
      </c>
      <c r="F33" s="10" t="s">
        <v>1322</v>
      </c>
      <c r="G33" s="30" t="str">
        <f aca="false">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ustomFormat="false" ht="15" hidden="false" customHeight="false" outlineLevel="0" collapsed="false">
      <c r="A34" s="11" t="n">
        <v>46409</v>
      </c>
      <c r="B34" s="10" t="s">
        <v>337</v>
      </c>
      <c r="C34" s="10" t="s">
        <v>498</v>
      </c>
      <c r="D34" s="10" t="s">
        <v>131</v>
      </c>
      <c r="E34" s="12" t="n">
        <v>1.5</v>
      </c>
      <c r="F34" s="10" t="s">
        <v>1322</v>
      </c>
      <c r="G34" s="30" t="str">
        <f aca="false">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ustomFormat="false" ht="15" hidden="false" customHeight="false" outlineLevel="0" collapsed="false">
      <c r="A35" s="11" t="n">
        <v>46414</v>
      </c>
      <c r="B35" s="10" t="s">
        <v>337</v>
      </c>
      <c r="C35" s="10" t="s">
        <v>472</v>
      </c>
      <c r="D35" s="10" t="s">
        <v>131</v>
      </c>
      <c r="E35" s="12" t="n">
        <v>0.5</v>
      </c>
      <c r="F35" s="10" t="s">
        <v>1323</v>
      </c>
      <c r="G35" s="30" t="str">
        <f aca="false">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ustomFormat="false" ht="15" hidden="false" customHeight="false" outlineLevel="0" collapsed="false">
      <c r="A36" s="11" t="n">
        <v>46414</v>
      </c>
      <c r="B36" s="10" t="s">
        <v>337</v>
      </c>
      <c r="C36" s="10" t="s">
        <v>498</v>
      </c>
      <c r="D36" s="10" t="s">
        <v>131</v>
      </c>
      <c r="E36" s="12" t="n">
        <v>0.5</v>
      </c>
      <c r="F36" s="10" t="s">
        <v>1323</v>
      </c>
      <c r="G36" s="30" t="str">
        <f aca="false">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ustomFormat="false" ht="15" hidden="false" customHeight="false" outlineLevel="0" collapsed="false">
      <c r="A37" s="11" t="n">
        <v>46363</v>
      </c>
      <c r="B37" s="10" t="s">
        <v>337</v>
      </c>
      <c r="D37" s="10" t="s">
        <v>132</v>
      </c>
      <c r="E37" s="12" t="n">
        <v>1</v>
      </c>
      <c r="F37" s="10" t="s">
        <v>1324</v>
      </c>
      <c r="G37" s="30" t="str">
        <f aca="false">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ustomFormat="false" ht="15" hidden="false" customHeight="false" outlineLevel="0" collapsed="false">
      <c r="A38" s="11" t="n">
        <v>46402</v>
      </c>
      <c r="B38" s="10" t="s">
        <v>337</v>
      </c>
      <c r="D38" s="10" t="s">
        <v>132</v>
      </c>
      <c r="E38" s="12" t="n">
        <v>1</v>
      </c>
      <c r="F38" s="10" t="s">
        <v>1325</v>
      </c>
      <c r="G38" s="30" t="str">
        <f aca="false">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ustomFormat="false" ht="15" hidden="false" customHeight="false" outlineLevel="0" collapsed="false">
      <c r="A39" s="11" t="n">
        <v>46391</v>
      </c>
      <c r="B39" s="10" t="s">
        <v>344</v>
      </c>
      <c r="C39" s="10" t="s">
        <v>516</v>
      </c>
      <c r="D39" s="10" t="s">
        <v>126</v>
      </c>
      <c r="E39" s="12" t="n">
        <v>2</v>
      </c>
      <c r="F39" s="10" t="s">
        <v>1326</v>
      </c>
      <c r="G39" s="30" t="str">
        <f aca="false">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ustomFormat="false" ht="15" hidden="false" customHeight="false" outlineLevel="0" collapsed="false">
      <c r="A40" s="11" t="n">
        <v>46380</v>
      </c>
      <c r="B40" s="10" t="s">
        <v>344</v>
      </c>
      <c r="C40" s="10" t="s">
        <v>516</v>
      </c>
      <c r="D40" s="10" t="s">
        <v>126</v>
      </c>
      <c r="E40" s="12" t="n">
        <v>2</v>
      </c>
      <c r="F40" s="10" t="s">
        <v>1326</v>
      </c>
      <c r="G40" s="30" t="str">
        <f aca="false">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ustomFormat="false" ht="15" hidden="false" customHeight="false" outlineLevel="0" collapsed="false">
      <c r="A41" s="11" t="n">
        <v>46373</v>
      </c>
      <c r="B41" s="10" t="s">
        <v>344</v>
      </c>
      <c r="C41" s="10" t="s">
        <v>516</v>
      </c>
      <c r="D41" s="10" t="s">
        <v>126</v>
      </c>
      <c r="E41" s="12" t="n">
        <v>2</v>
      </c>
      <c r="F41" s="10" t="s">
        <v>1326</v>
      </c>
      <c r="G41" s="30" t="str">
        <f aca="false">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ustomFormat="false" ht="15" hidden="false" customHeight="false" outlineLevel="0" collapsed="false">
      <c r="A42" s="11" t="n">
        <v>46437</v>
      </c>
      <c r="B42" s="10" t="s">
        <v>344</v>
      </c>
      <c r="C42" s="10" t="s">
        <v>516</v>
      </c>
      <c r="D42" s="10" t="s">
        <v>131</v>
      </c>
      <c r="E42" s="12" t="n">
        <v>1.5</v>
      </c>
      <c r="F42" s="10" t="s">
        <v>1322</v>
      </c>
      <c r="G42" s="30" t="str">
        <f aca="false">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ustomFormat="false" ht="15" hidden="false" customHeight="false" outlineLevel="0" collapsed="false">
      <c r="A43" s="11" t="n">
        <v>46442</v>
      </c>
      <c r="B43" s="10" t="s">
        <v>344</v>
      </c>
      <c r="C43" s="10" t="s">
        <v>516</v>
      </c>
      <c r="D43" s="10" t="s">
        <v>131</v>
      </c>
      <c r="E43" s="12" t="n">
        <v>0.5</v>
      </c>
      <c r="F43" s="10" t="s">
        <v>1327</v>
      </c>
      <c r="G43" s="30" t="str">
        <f aca="false">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ustomFormat="false" ht="15" hidden="false" customHeight="false" outlineLevel="0" collapsed="false">
      <c r="A44" s="11" t="n">
        <v>46393</v>
      </c>
      <c r="B44" s="10" t="s">
        <v>344</v>
      </c>
      <c r="C44" s="10" t="s">
        <v>532</v>
      </c>
      <c r="D44" s="10" t="s">
        <v>126</v>
      </c>
      <c r="E44" s="12" t="n">
        <v>2</v>
      </c>
      <c r="F44" s="10" t="s">
        <v>1326</v>
      </c>
      <c r="G44" s="30" t="str">
        <f aca="false">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ustomFormat="false" ht="15" hidden="false" customHeight="false" outlineLevel="0" collapsed="false">
      <c r="A45" s="11" t="n">
        <v>46385</v>
      </c>
      <c r="B45" s="10" t="s">
        <v>344</v>
      </c>
      <c r="C45" s="10" t="s">
        <v>532</v>
      </c>
      <c r="D45" s="10" t="s">
        <v>126</v>
      </c>
      <c r="E45" s="12" t="n">
        <v>2</v>
      </c>
      <c r="F45" s="10" t="s">
        <v>1326</v>
      </c>
      <c r="G45" s="30" t="str">
        <f aca="false">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ustomFormat="false" ht="15" hidden="false" customHeight="false" outlineLevel="0" collapsed="false">
      <c r="A46" s="11" t="n">
        <v>46377</v>
      </c>
      <c r="B46" s="10" t="s">
        <v>344</v>
      </c>
      <c r="C46" s="10" t="s">
        <v>532</v>
      </c>
      <c r="D46" s="10" t="s">
        <v>126</v>
      </c>
      <c r="E46" s="12" t="n">
        <v>2</v>
      </c>
      <c r="F46" s="10" t="s">
        <v>1326</v>
      </c>
      <c r="G46" s="30" t="str">
        <f aca="false">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ustomFormat="false" ht="15" hidden="false" customHeight="false" outlineLevel="0" collapsed="false">
      <c r="A47" s="11" t="n">
        <v>46437</v>
      </c>
      <c r="B47" s="10" t="s">
        <v>344</v>
      </c>
      <c r="C47" s="10" t="s">
        <v>532</v>
      </c>
      <c r="D47" s="10" t="s">
        <v>131</v>
      </c>
      <c r="E47" s="12" t="n">
        <v>1.5</v>
      </c>
      <c r="F47" s="10" t="s">
        <v>1322</v>
      </c>
      <c r="G47" s="30" t="str">
        <f aca="false">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ustomFormat="false" ht="15" hidden="false" customHeight="false" outlineLevel="0" collapsed="false">
      <c r="A48" s="11" t="n">
        <v>46442</v>
      </c>
      <c r="B48" s="10" t="s">
        <v>344</v>
      </c>
      <c r="C48" s="10" t="s">
        <v>532</v>
      </c>
      <c r="D48" s="10" t="s">
        <v>131</v>
      </c>
      <c r="E48" s="12" t="n">
        <v>0.5</v>
      </c>
      <c r="F48" s="10" t="s">
        <v>1327</v>
      </c>
      <c r="G48" s="30" t="str">
        <f aca="false">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ustomFormat="false" ht="15" hidden="false" customHeight="false" outlineLevel="0" collapsed="false">
      <c r="A49" s="11" t="n">
        <v>46395</v>
      </c>
      <c r="B49" s="10" t="s">
        <v>344</v>
      </c>
      <c r="C49" s="10" t="s">
        <v>549</v>
      </c>
      <c r="D49" s="10" t="s">
        <v>126</v>
      </c>
      <c r="E49" s="12" t="n">
        <v>2</v>
      </c>
      <c r="F49" s="10" t="s">
        <v>1326</v>
      </c>
      <c r="G49" s="30" t="str">
        <f aca="false">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ustomFormat="false" ht="15" hidden="false" customHeight="false" outlineLevel="0" collapsed="false">
      <c r="A50" s="11" t="n">
        <v>46387</v>
      </c>
      <c r="B50" s="10" t="s">
        <v>344</v>
      </c>
      <c r="C50" s="10" t="s">
        <v>549</v>
      </c>
      <c r="D50" s="10" t="s">
        <v>126</v>
      </c>
      <c r="E50" s="12" t="n">
        <v>2</v>
      </c>
      <c r="F50" s="10" t="s">
        <v>1326</v>
      </c>
      <c r="G50" s="30" t="str">
        <f aca="false">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ustomFormat="false" ht="15" hidden="false" customHeight="false" outlineLevel="0" collapsed="false">
      <c r="A51" s="11" t="n">
        <v>46379</v>
      </c>
      <c r="B51" s="10" t="s">
        <v>344</v>
      </c>
      <c r="C51" s="10" t="s">
        <v>549</v>
      </c>
      <c r="D51" s="10" t="s">
        <v>126</v>
      </c>
      <c r="E51" s="12" t="n">
        <v>2</v>
      </c>
      <c r="F51" s="10" t="s">
        <v>1326</v>
      </c>
      <c r="G51" s="30" t="str">
        <f aca="false">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ustomFormat="false" ht="15" hidden="false" customHeight="false" outlineLevel="0" collapsed="false">
      <c r="A52" s="11" t="n">
        <v>46437</v>
      </c>
      <c r="B52" s="10" t="s">
        <v>344</v>
      </c>
      <c r="C52" s="10" t="s">
        <v>549</v>
      </c>
      <c r="D52" s="10" t="s">
        <v>131</v>
      </c>
      <c r="E52" s="12" t="n">
        <v>1.5</v>
      </c>
      <c r="F52" s="10" t="s">
        <v>1322</v>
      </c>
      <c r="G52" s="30" t="str">
        <f aca="false">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ustomFormat="false" ht="15" hidden="false" customHeight="false" outlineLevel="0" collapsed="false">
      <c r="A53" s="11" t="n">
        <v>46442</v>
      </c>
      <c r="B53" s="10" t="s">
        <v>344</v>
      </c>
      <c r="C53" s="10" t="s">
        <v>549</v>
      </c>
      <c r="D53" s="10" t="s">
        <v>131</v>
      </c>
      <c r="E53" s="12" t="n">
        <v>0.5</v>
      </c>
      <c r="F53" s="10" t="s">
        <v>1327</v>
      </c>
      <c r="G53" s="30" t="str">
        <f aca="false">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ustomFormat="false" ht="15" hidden="false" customHeight="false" outlineLevel="0" collapsed="false">
      <c r="A54" s="11" t="n">
        <v>46392</v>
      </c>
      <c r="B54" s="10" t="s">
        <v>344</v>
      </c>
      <c r="D54" s="10" t="s">
        <v>127</v>
      </c>
      <c r="E54" s="12" t="n">
        <v>1.5</v>
      </c>
      <c r="F54" s="10" t="s">
        <v>1328</v>
      </c>
      <c r="G54" s="30" t="str">
        <f aca="false">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ustomFormat="false" ht="15" hidden="false" customHeight="false" outlineLevel="0" collapsed="false">
      <c r="A55" s="11" t="n">
        <v>46393</v>
      </c>
      <c r="B55" s="10" t="s">
        <v>344</v>
      </c>
      <c r="D55" s="10" t="s">
        <v>127</v>
      </c>
      <c r="E55" s="12" t="n">
        <v>1.5</v>
      </c>
      <c r="F55" s="10" t="s">
        <v>1328</v>
      </c>
      <c r="G55" s="30" t="str">
        <f aca="false">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ustomFormat="false" ht="15" hidden="false" customHeight="false" outlineLevel="0" collapsed="false">
      <c r="A56" s="11" t="n">
        <v>46394</v>
      </c>
      <c r="B56" s="10" t="s">
        <v>344</v>
      </c>
      <c r="D56" s="10" t="s">
        <v>127</v>
      </c>
      <c r="E56" s="12" t="n">
        <v>1.5</v>
      </c>
      <c r="F56" s="10" t="s">
        <v>1328</v>
      </c>
      <c r="G56" s="30" t="str">
        <f aca="false">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ustomFormat="false" ht="15" hidden="false" customHeight="false" outlineLevel="0" collapsed="false">
      <c r="A57" s="11" t="n">
        <v>46395</v>
      </c>
      <c r="B57" s="10" t="s">
        <v>344</v>
      </c>
      <c r="D57" s="10" t="s">
        <v>127</v>
      </c>
      <c r="E57" s="12" t="n">
        <v>1.5</v>
      </c>
      <c r="F57" s="10" t="s">
        <v>1328</v>
      </c>
      <c r="G57" s="30" t="str">
        <f aca="false">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ustomFormat="false" ht="15" hidden="false" customHeight="false" outlineLevel="0" collapsed="false">
      <c r="A58" s="11" t="n">
        <v>46400</v>
      </c>
      <c r="B58" s="10" t="s">
        <v>344</v>
      </c>
      <c r="D58" s="10" t="s">
        <v>127</v>
      </c>
      <c r="E58" s="12" t="n">
        <v>1.5</v>
      </c>
      <c r="F58" s="10" t="s">
        <v>1328</v>
      </c>
      <c r="G58" s="30" t="str">
        <f aca="false">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ustomFormat="false" ht="15" hidden="false" customHeight="false" outlineLevel="0" collapsed="false">
      <c r="A59" s="11" t="n">
        <v>46407</v>
      </c>
      <c r="B59" s="10" t="s">
        <v>344</v>
      </c>
      <c r="D59" s="10" t="s">
        <v>127</v>
      </c>
      <c r="E59" s="12" t="n">
        <v>1.25</v>
      </c>
      <c r="F59" s="10" t="s">
        <v>1329</v>
      </c>
      <c r="G59" s="30" t="str">
        <f aca="false">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ustomFormat="false" ht="15" hidden="false" customHeight="false" outlineLevel="0" collapsed="false">
      <c r="A60" s="11" t="n">
        <v>46419</v>
      </c>
      <c r="B60" s="10" t="s">
        <v>344</v>
      </c>
      <c r="D60" s="10" t="s">
        <v>127</v>
      </c>
      <c r="E60" s="12" t="n">
        <v>1.25</v>
      </c>
      <c r="F60" s="10" t="s">
        <v>1329</v>
      </c>
      <c r="G60" s="30" t="str">
        <f aca="false">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ustomFormat="false" ht="15" hidden="false" customHeight="false" outlineLevel="0" collapsed="false">
      <c r="A61" s="11" t="n">
        <v>46416</v>
      </c>
      <c r="B61" s="10" t="s">
        <v>344</v>
      </c>
      <c r="D61" s="10" t="s">
        <v>128</v>
      </c>
      <c r="E61" s="12" t="n">
        <v>1</v>
      </c>
      <c r="G61" s="30" t="str">
        <f aca="false">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ustomFormat="false" ht="15" hidden="false" customHeight="false" outlineLevel="0" collapsed="false">
      <c r="A62" s="11" t="n">
        <v>46419</v>
      </c>
      <c r="B62" s="10" t="s">
        <v>344</v>
      </c>
      <c r="D62" s="10" t="s">
        <v>128</v>
      </c>
      <c r="E62" s="12" t="n">
        <v>1</v>
      </c>
      <c r="G62" s="30" t="str">
        <f aca="false">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ustomFormat="false" ht="15" hidden="false" customHeight="false" outlineLevel="0" collapsed="false">
      <c r="A63" s="11" t="n">
        <v>46426</v>
      </c>
      <c r="B63" s="10" t="s">
        <v>344</v>
      </c>
      <c r="D63" s="10" t="s">
        <v>128</v>
      </c>
      <c r="E63" s="12" t="n">
        <v>2</v>
      </c>
      <c r="G63" s="30" t="str">
        <f aca="false">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ustomFormat="false" ht="15" hidden="false" customHeight="false" outlineLevel="0" collapsed="false">
      <c r="A64" s="11" t="n">
        <v>46427</v>
      </c>
      <c r="B64" s="10" t="s">
        <v>344</v>
      </c>
      <c r="D64" s="10" t="s">
        <v>129</v>
      </c>
      <c r="E64" s="12" t="n">
        <v>6.5</v>
      </c>
      <c r="F64" s="10" t="s">
        <v>1330</v>
      </c>
      <c r="G64" s="30" t="str">
        <f aca="false">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ustomFormat="false" ht="15" hidden="false" customHeight="false" outlineLevel="0" collapsed="false">
      <c r="A65" s="11" t="n">
        <v>46428</v>
      </c>
      <c r="B65" s="10" t="s">
        <v>344</v>
      </c>
      <c r="D65" s="10" t="s">
        <v>129</v>
      </c>
      <c r="E65" s="12" t="n">
        <v>1.5</v>
      </c>
      <c r="F65" s="10" t="s">
        <v>1331</v>
      </c>
      <c r="G65" s="30" t="str">
        <f aca="false">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ustomFormat="false" ht="15" hidden="false" customHeight="false" outlineLevel="0" collapsed="false">
      <c r="A66" s="11" t="n">
        <v>46429</v>
      </c>
      <c r="B66" s="10" t="s">
        <v>344</v>
      </c>
      <c r="D66" s="10" t="s">
        <v>130</v>
      </c>
      <c r="E66" s="12" t="n">
        <v>2</v>
      </c>
      <c r="G66" s="30" t="str">
        <f aca="false">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ustomFormat="false" ht="15" hidden="false" customHeight="false" outlineLevel="0" collapsed="false">
      <c r="A67" s="11" t="n">
        <v>46434</v>
      </c>
      <c r="B67" s="10" t="s">
        <v>344</v>
      </c>
      <c r="D67" s="10" t="s">
        <v>130</v>
      </c>
      <c r="E67" s="12" t="n">
        <v>2</v>
      </c>
      <c r="G67" s="30" t="str">
        <f aca="false">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ustomFormat="false" ht="15" hidden="false" customHeight="false" outlineLevel="0" collapsed="false">
      <c r="A68" s="11" t="n">
        <v>46391</v>
      </c>
      <c r="B68" s="10" t="s">
        <v>344</v>
      </c>
      <c r="D68" s="10" t="s">
        <v>132</v>
      </c>
      <c r="E68" s="12" t="n">
        <v>1</v>
      </c>
      <c r="G68" s="30" t="str">
        <f aca="false">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ustomFormat="false" ht="15" hidden="false" customHeight="false" outlineLevel="0" collapsed="false">
      <c r="A69" s="11" t="n">
        <v>46428</v>
      </c>
      <c r="B69" s="10" t="s">
        <v>344</v>
      </c>
      <c r="D69" s="10" t="s">
        <v>132</v>
      </c>
      <c r="E69" s="12" t="n">
        <v>1</v>
      </c>
      <c r="G69" s="30" t="str">
        <f aca="false">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ustomFormat="false" ht="15" hidden="false" customHeight="false" outlineLevel="0" collapsed="false">
      <c r="A70" s="11" t="n">
        <v>46412</v>
      </c>
      <c r="B70" s="10" t="s">
        <v>349</v>
      </c>
      <c r="C70" s="10" t="s">
        <v>563</v>
      </c>
      <c r="D70" s="10" t="s">
        <v>126</v>
      </c>
      <c r="E70" s="12" t="n">
        <v>2</v>
      </c>
      <c r="F70" s="10" t="s">
        <v>1326</v>
      </c>
      <c r="G70" s="30" t="str">
        <f aca="false">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ustomFormat="false" ht="15" hidden="false" customHeight="false" outlineLevel="0" collapsed="false">
      <c r="A71" s="11" t="n">
        <v>46407</v>
      </c>
      <c r="B71" s="10" t="s">
        <v>349</v>
      </c>
      <c r="C71" s="10" t="s">
        <v>563</v>
      </c>
      <c r="D71" s="10" t="s">
        <v>126</v>
      </c>
      <c r="E71" s="12" t="n">
        <v>2</v>
      </c>
      <c r="F71" s="10" t="s">
        <v>1326</v>
      </c>
      <c r="G71" s="30" t="str">
        <f aca="false">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ustomFormat="false" ht="15" hidden="false" customHeight="false" outlineLevel="0" collapsed="false">
      <c r="A72" s="11" t="n">
        <v>46401</v>
      </c>
      <c r="B72" s="10" t="s">
        <v>349</v>
      </c>
      <c r="C72" s="10" t="s">
        <v>563</v>
      </c>
      <c r="D72" s="10" t="s">
        <v>126</v>
      </c>
      <c r="E72" s="12" t="n">
        <v>2</v>
      </c>
      <c r="F72" s="10" t="s">
        <v>1326</v>
      </c>
      <c r="G72" s="30" t="str">
        <f aca="false">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ustomFormat="false" ht="15" hidden="false" customHeight="false" outlineLevel="0" collapsed="false">
      <c r="A73" s="11" t="n">
        <v>46413</v>
      </c>
      <c r="B73" s="10" t="s">
        <v>349</v>
      </c>
      <c r="D73" s="10" t="s">
        <v>127</v>
      </c>
      <c r="E73" s="12" t="n">
        <v>1.5</v>
      </c>
      <c r="F73" s="10" t="s">
        <v>1332</v>
      </c>
      <c r="G73" s="30" t="str">
        <f aca="false">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ustomFormat="false" ht="15" hidden="false" customHeight="false" outlineLevel="0" collapsed="false">
      <c r="A74" s="11" t="n">
        <v>46430</v>
      </c>
      <c r="B74" s="10" t="s">
        <v>349</v>
      </c>
      <c r="D74" s="10" t="s">
        <v>128</v>
      </c>
      <c r="E74" s="12" t="n">
        <v>1.5</v>
      </c>
      <c r="F74" s="10" t="s">
        <v>1333</v>
      </c>
      <c r="G74" s="30" t="str">
        <f aca="false">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ustomFormat="false" ht="15" hidden="false" customHeight="false" outlineLevel="0" collapsed="false">
      <c r="A75" s="11" t="n">
        <v>46440</v>
      </c>
      <c r="B75" s="10" t="s">
        <v>349</v>
      </c>
      <c r="D75" s="10" t="s">
        <v>128</v>
      </c>
      <c r="E75" s="12" t="n">
        <v>1.5</v>
      </c>
      <c r="F75" s="10" t="s">
        <v>1318</v>
      </c>
      <c r="G75" s="30" t="str">
        <f aca="false">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ustomFormat="false" ht="15" hidden="false" customHeight="false" outlineLevel="0" collapsed="false">
      <c r="A76" s="11" t="n">
        <v>46441</v>
      </c>
      <c r="B76" s="10" t="s">
        <v>349</v>
      </c>
      <c r="D76" s="10" t="s">
        <v>129</v>
      </c>
      <c r="E76" s="12" t="n">
        <v>4</v>
      </c>
      <c r="F76" s="10" t="s">
        <v>1334</v>
      </c>
      <c r="G76" s="30" t="str">
        <f aca="false">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ustomFormat="false" ht="15" hidden="false" customHeight="false" outlineLevel="0" collapsed="false">
      <c r="A77" s="11" t="n">
        <v>46443</v>
      </c>
      <c r="B77" s="10" t="s">
        <v>349</v>
      </c>
      <c r="D77" s="10" t="s">
        <v>130</v>
      </c>
      <c r="E77" s="12" t="n">
        <v>1.5</v>
      </c>
      <c r="G77" s="30" t="str">
        <f aca="false">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ustomFormat="false" ht="15" hidden="false" customHeight="false" outlineLevel="0" collapsed="false">
      <c r="A78" s="11" t="n">
        <v>46447</v>
      </c>
      <c r="B78" s="10" t="s">
        <v>349</v>
      </c>
      <c r="D78" s="10" t="s">
        <v>130</v>
      </c>
      <c r="E78" s="12" t="n">
        <v>1.5</v>
      </c>
      <c r="G78" s="30" t="str">
        <f aca="false">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ustomFormat="false" ht="15" hidden="false" customHeight="false" outlineLevel="0" collapsed="false">
      <c r="A79" s="11" t="n">
        <v>46450</v>
      </c>
      <c r="B79" s="10" t="s">
        <v>349</v>
      </c>
      <c r="C79" s="10" t="s">
        <v>563</v>
      </c>
      <c r="D79" s="10" t="s">
        <v>131</v>
      </c>
      <c r="E79" s="12" t="n">
        <v>1.5</v>
      </c>
      <c r="F79" s="10" t="s">
        <v>1322</v>
      </c>
      <c r="G79" s="30" t="str">
        <f aca="false">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ustomFormat="false" ht="15" hidden="false" customHeight="false" outlineLevel="0" collapsed="false">
      <c r="A80" s="11" t="n">
        <v>46455</v>
      </c>
      <c r="B80" s="10" t="s">
        <v>349</v>
      </c>
      <c r="C80" s="10" t="s">
        <v>563</v>
      </c>
      <c r="D80" s="10" t="s">
        <v>131</v>
      </c>
      <c r="E80" s="12" t="n">
        <v>0.5</v>
      </c>
      <c r="F80" s="10" t="s">
        <v>1335</v>
      </c>
      <c r="G80" s="30" t="str">
        <f aca="false">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ustomFormat="false" ht="15" hidden="false" customHeight="false" outlineLevel="0" collapsed="false">
      <c r="A81" s="11" t="n">
        <v>46442</v>
      </c>
      <c r="B81" s="10" t="s">
        <v>349</v>
      </c>
      <c r="D81" s="10" t="s">
        <v>132</v>
      </c>
      <c r="E81" s="12" t="n">
        <v>1</v>
      </c>
      <c r="F81" s="10" t="s">
        <v>1336</v>
      </c>
      <c r="G81" s="30" t="str">
        <f aca="false">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ustomFormat="false" ht="15" hidden="false" customHeight="false" outlineLevel="0" collapsed="false">
      <c r="A82" s="11" t="n">
        <v>46440</v>
      </c>
      <c r="B82" s="10" t="s">
        <v>353</v>
      </c>
      <c r="C82" s="10" t="s">
        <v>576</v>
      </c>
      <c r="D82" s="10" t="s">
        <v>126</v>
      </c>
      <c r="E82" s="12" t="n">
        <v>2</v>
      </c>
      <c r="F82" s="10" t="s">
        <v>1337</v>
      </c>
      <c r="G82" s="30" t="str">
        <f aca="false">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ustomFormat="false" ht="15" hidden="false" customHeight="false" outlineLevel="0" collapsed="false">
      <c r="A83" s="11" t="n">
        <v>46478</v>
      </c>
      <c r="B83" s="10" t="s">
        <v>353</v>
      </c>
      <c r="C83" s="10" t="s">
        <v>576</v>
      </c>
      <c r="D83" s="10" t="s">
        <v>131</v>
      </c>
      <c r="E83" s="12" t="n">
        <v>1.5</v>
      </c>
      <c r="F83" s="10" t="s">
        <v>1322</v>
      </c>
      <c r="G83" s="30" t="str">
        <f aca="false">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ustomFormat="false" ht="15" hidden="false" customHeight="false" outlineLevel="0" collapsed="false">
      <c r="A84" s="11" t="n">
        <v>46483</v>
      </c>
      <c r="B84" s="10" t="s">
        <v>353</v>
      </c>
      <c r="C84" s="10" t="s">
        <v>576</v>
      </c>
      <c r="D84" s="10" t="s">
        <v>131</v>
      </c>
      <c r="E84" s="12" t="n">
        <v>0.5</v>
      </c>
      <c r="F84" s="10" t="s">
        <v>1335</v>
      </c>
      <c r="G84" s="30" t="str">
        <f aca="false">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ustomFormat="false" ht="15" hidden="false" customHeight="false" outlineLevel="0" collapsed="false">
      <c r="A85" s="11" t="n">
        <v>46440</v>
      </c>
      <c r="B85" s="10" t="s">
        <v>353</v>
      </c>
      <c r="C85" s="10" t="s">
        <v>584</v>
      </c>
      <c r="D85" s="10" t="s">
        <v>126</v>
      </c>
      <c r="E85" s="12" t="n">
        <v>2</v>
      </c>
      <c r="F85" s="10" t="s">
        <v>1337</v>
      </c>
      <c r="G85" s="30" t="str">
        <f aca="false">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ustomFormat="false" ht="15" hidden="false" customHeight="false" outlineLevel="0" collapsed="false">
      <c r="A86" s="11" t="n">
        <v>46478</v>
      </c>
      <c r="B86" s="10" t="s">
        <v>353</v>
      </c>
      <c r="C86" s="10" t="s">
        <v>584</v>
      </c>
      <c r="D86" s="10" t="s">
        <v>131</v>
      </c>
      <c r="E86" s="12" t="n">
        <v>1.5</v>
      </c>
      <c r="F86" s="10" t="s">
        <v>1322</v>
      </c>
      <c r="G86" s="30" t="str">
        <f aca="false">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ustomFormat="false" ht="15" hidden="false" customHeight="false" outlineLevel="0" collapsed="false">
      <c r="A87" s="11" t="n">
        <v>46483</v>
      </c>
      <c r="B87" s="10" t="s">
        <v>353</v>
      </c>
      <c r="C87" s="10" t="s">
        <v>584</v>
      </c>
      <c r="D87" s="10" t="s">
        <v>131</v>
      </c>
      <c r="E87" s="12" t="n">
        <v>0.5</v>
      </c>
      <c r="F87" s="10" t="s">
        <v>1335</v>
      </c>
      <c r="G87" s="30" t="str">
        <f aca="false">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ustomFormat="false" ht="15" hidden="false" customHeight="false" outlineLevel="0" collapsed="false">
      <c r="A88" s="11" t="n">
        <v>46443</v>
      </c>
      <c r="B88" s="10" t="s">
        <v>353</v>
      </c>
      <c r="D88" s="10" t="s">
        <v>127</v>
      </c>
      <c r="E88" s="12" t="n">
        <v>1.5</v>
      </c>
      <c r="F88" s="10" t="s">
        <v>1332</v>
      </c>
      <c r="G88" s="30" t="str">
        <f aca="false">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ustomFormat="false" ht="15" hidden="false" customHeight="false" outlineLevel="0" collapsed="false">
      <c r="A89" s="11" t="n">
        <v>46462</v>
      </c>
      <c r="B89" s="10" t="s">
        <v>353</v>
      </c>
      <c r="D89" s="10" t="s">
        <v>128</v>
      </c>
      <c r="E89" s="12" t="n">
        <v>1</v>
      </c>
      <c r="F89" s="10" t="s">
        <v>1338</v>
      </c>
      <c r="G89" s="30" t="str">
        <f aca="false">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ustomFormat="false" ht="15" hidden="false" customHeight="false" outlineLevel="0" collapsed="false">
      <c r="A90" s="11" t="n">
        <v>46464</v>
      </c>
      <c r="B90" s="10" t="s">
        <v>353</v>
      </c>
      <c r="D90" s="10" t="s">
        <v>128</v>
      </c>
      <c r="E90" s="12" t="n">
        <v>1.5</v>
      </c>
      <c r="F90" s="10" t="s">
        <v>1339</v>
      </c>
      <c r="G90" s="30" t="str">
        <f aca="false">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ustomFormat="false" ht="15" hidden="false" customHeight="false" outlineLevel="0" collapsed="false">
      <c r="A91" s="11" t="n">
        <v>46469</v>
      </c>
      <c r="B91" s="10" t="s">
        <v>353</v>
      </c>
      <c r="D91" s="10" t="s">
        <v>129</v>
      </c>
      <c r="E91" s="12" t="n">
        <v>2</v>
      </c>
      <c r="F91" s="10" t="s">
        <v>1340</v>
      </c>
      <c r="G91" s="30" t="str">
        <f aca="false">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ustomFormat="false" ht="15" hidden="false" customHeight="false" outlineLevel="0" collapsed="false">
      <c r="A92" s="11" t="n">
        <v>46471</v>
      </c>
      <c r="B92" s="10" t="s">
        <v>353</v>
      </c>
      <c r="D92" s="10" t="s">
        <v>130</v>
      </c>
      <c r="E92" s="12" t="n">
        <v>1.5</v>
      </c>
      <c r="F92" s="10" t="s">
        <v>1341</v>
      </c>
      <c r="G92" s="30" t="str">
        <f aca="false">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ustomFormat="false" ht="15" hidden="false" customHeight="false" outlineLevel="0" collapsed="false">
      <c r="A93" s="11" t="n">
        <v>46475</v>
      </c>
      <c r="B93" s="10" t="s">
        <v>353</v>
      </c>
      <c r="D93" s="10" t="s">
        <v>130</v>
      </c>
      <c r="E93" s="12" t="n">
        <v>1</v>
      </c>
      <c r="F93" s="10" t="s">
        <v>1342</v>
      </c>
      <c r="G93" s="30" t="str">
        <f aca="false">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ustomFormat="false" ht="15" hidden="false" customHeight="false" outlineLevel="0" collapsed="false">
      <c r="A94" s="11" t="n">
        <v>46470</v>
      </c>
      <c r="B94" s="10" t="s">
        <v>353</v>
      </c>
      <c r="D94" s="10" t="s">
        <v>132</v>
      </c>
      <c r="E94" s="12" t="n">
        <v>1</v>
      </c>
      <c r="F94" s="10" t="s">
        <v>1336</v>
      </c>
      <c r="G94" s="30" t="str">
        <f aca="false">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ustomFormat="false" ht="15" hidden="false" customHeight="false" outlineLevel="0" collapsed="false">
      <c r="A95" s="11"/>
      <c r="D95" s="10"/>
      <c r="E95" s="12"/>
      <c r="G95" s="30" t="str">
        <f aca="false">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ustomFormat="false" ht="15" hidden="false" customHeight="false" outlineLevel="0" collapsed="false">
      <c r="A96" s="11"/>
      <c r="D96" s="10"/>
      <c r="E96" s="12"/>
      <c r="G96" s="30" t="str">
        <f aca="false">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ustomFormat="false" ht="15" hidden="false" customHeight="false" outlineLevel="0" collapsed="false">
      <c r="A97" s="11"/>
      <c r="D97" s="10"/>
      <c r="E97" s="12"/>
      <c r="G97" s="30" t="str">
        <f aca="false">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ustomFormat="false" ht="15" hidden="false" customHeight="false" outlineLevel="0" collapsed="false">
      <c r="A98" s="11"/>
      <c r="D98" s="10"/>
      <c r="E98" s="12"/>
      <c r="G98" s="30" t="str">
        <f aca="false">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ustomFormat="false" ht="15" hidden="false" customHeight="false" outlineLevel="0" collapsed="false">
      <c r="A99" s="11"/>
      <c r="D99" s="10"/>
      <c r="E99" s="12"/>
      <c r="G99" s="30" t="str">
        <f aca="false">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ustomFormat="false" ht="15" hidden="false" customHeight="false" outlineLevel="0" collapsed="false">
      <c r="A100" s="11"/>
      <c r="D100" s="10"/>
      <c r="E100" s="12"/>
      <c r="G100" s="30" t="str">
        <f aca="false">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ustomFormat="false" ht="15" hidden="false" customHeight="false" outlineLevel="0" collapsed="false">
      <c r="A101" s="11"/>
      <c r="D101" s="10"/>
      <c r="E101" s="12"/>
      <c r="G101" s="30" t="str">
        <f aca="false">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ustomFormat="false" ht="15" hidden="false" customHeight="false" outlineLevel="0" collapsed="false">
      <c r="A102" s="11"/>
      <c r="D102" s="10"/>
      <c r="E102" s="12"/>
      <c r="G102" s="30" t="str">
        <f aca="false">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ustomFormat="false" ht="15" hidden="false" customHeight="false" outlineLevel="0" collapsed="false">
      <c r="A103" s="11"/>
      <c r="D103" s="10"/>
      <c r="E103" s="12"/>
      <c r="G103" s="30" t="str">
        <f aca="false">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ustomFormat="false" ht="15" hidden="false" customHeight="false" outlineLevel="0" collapsed="false">
      <c r="A104" s="11"/>
      <c r="D104" s="10"/>
      <c r="E104" s="12"/>
      <c r="G104" s="30" t="str">
        <f aca="false">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ustomFormat="false" ht="15" hidden="false" customHeight="false" outlineLevel="0" collapsed="false">
      <c r="A105" s="11"/>
      <c r="D105" s="10"/>
      <c r="E105" s="12"/>
      <c r="G105" s="30" t="str">
        <f aca="false">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ustomFormat="false" ht="15" hidden="false" customHeight="false" outlineLevel="0" collapsed="false">
      <c r="A106" s="11"/>
      <c r="D106" s="10"/>
      <c r="E106" s="12"/>
      <c r="G106" s="30" t="str">
        <f aca="false">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ustomFormat="false" ht="15" hidden="false" customHeight="false" outlineLevel="0" collapsed="false">
      <c r="A107" s="11"/>
      <c r="D107" s="10"/>
      <c r="E107" s="12"/>
      <c r="G107" s="30" t="str">
        <f aca="false">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ustomFormat="false" ht="15" hidden="false" customHeight="false" outlineLevel="0" collapsed="false">
      <c r="A108" s="11"/>
      <c r="D108" s="10"/>
      <c r="E108" s="12"/>
      <c r="G108" s="30" t="str">
        <f aca="false">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ustomFormat="false" ht="15" hidden="false" customHeight="false" outlineLevel="0" collapsed="false">
      <c r="A109" s="11"/>
      <c r="D109" s="10"/>
      <c r="E109" s="12"/>
      <c r="G109" s="30" t="str">
        <f aca="false">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ustomFormat="false" ht="15" hidden="false" customHeight="false" outlineLevel="0" collapsed="false">
      <c r="A110" s="11"/>
      <c r="D110" s="10"/>
      <c r="E110" s="12"/>
      <c r="G110" s="30" t="str">
        <f aca="false">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ustomFormat="false" ht="15" hidden="false" customHeight="false" outlineLevel="0" collapsed="false">
      <c r="A111" s="11"/>
      <c r="D111" s="10"/>
      <c r="E111" s="12"/>
      <c r="G111" s="30" t="str">
        <f aca="false">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ustomFormat="false" ht="15" hidden="false" customHeight="false" outlineLevel="0" collapsed="false">
      <c r="A112" s="11"/>
      <c r="D112" s="10"/>
      <c r="E112" s="12"/>
      <c r="G112" s="30" t="str">
        <f aca="false">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ustomFormat="false" ht="15" hidden="false" customHeight="false" outlineLevel="0" collapsed="false">
      <c r="A113" s="11"/>
      <c r="D113" s="10"/>
      <c r="E113" s="12"/>
      <c r="G113" s="30" t="str">
        <f aca="false">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ustomFormat="false" ht="15" hidden="false" customHeight="false" outlineLevel="0" collapsed="false">
      <c r="A114" s="11"/>
      <c r="D114" s="10"/>
      <c r="E114" s="12"/>
      <c r="G114" s="30" t="str">
        <f aca="false">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ustomFormat="false" ht="15" hidden="false" customHeight="false" outlineLevel="0" collapsed="false">
      <c r="A115" s="11"/>
      <c r="D115" s="10"/>
      <c r="E115" s="12"/>
      <c r="G115" s="30" t="str">
        <f aca="false">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ustomFormat="false" ht="15" hidden="false" customHeight="false" outlineLevel="0" collapsed="false">
      <c r="A116" s="11"/>
      <c r="D116" s="10"/>
      <c r="E116" s="12"/>
      <c r="G116" s="30" t="str">
        <f aca="false">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ustomFormat="false" ht="15" hidden="false" customHeight="false" outlineLevel="0" collapsed="false">
      <c r="A117" s="11"/>
      <c r="D117" s="10"/>
      <c r="E117" s="12"/>
      <c r="G117" s="30" t="str">
        <f aca="false">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ustomFormat="false" ht="15" hidden="false" customHeight="false" outlineLevel="0" collapsed="false">
      <c r="A118" s="11"/>
      <c r="D118" s="10"/>
      <c r="E118" s="12"/>
      <c r="G118" s="30" t="str">
        <f aca="false">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ustomFormat="false" ht="15" hidden="false" customHeight="false" outlineLevel="0" collapsed="false">
      <c r="A119" s="11"/>
      <c r="D119" s="10"/>
      <c r="E119" s="12"/>
      <c r="G119" s="30" t="str">
        <f aca="false">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ustomFormat="false" ht="15" hidden="false" customHeight="false" outlineLevel="0" collapsed="false">
      <c r="A120" s="11"/>
      <c r="D120" s="10"/>
      <c r="E120" s="12"/>
      <c r="G120" s="30" t="str">
        <f aca="false">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ustomFormat="false" ht="15" hidden="false" customHeight="false" outlineLevel="0" collapsed="false">
      <c r="A121" s="11"/>
      <c r="D121" s="10"/>
      <c r="E121" s="12"/>
      <c r="G121" s="30" t="str">
        <f aca="false">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ustomFormat="false" ht="15" hidden="false" customHeight="false" outlineLevel="0" collapsed="false">
      <c r="A122" s="11"/>
      <c r="D122" s="10"/>
      <c r="E122" s="12"/>
      <c r="G122" s="30" t="str">
        <f aca="false">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ustomFormat="false" ht="15" hidden="false" customHeight="false" outlineLevel="0" collapsed="false">
      <c r="A123" s="11"/>
      <c r="D123" s="10"/>
      <c r="E123" s="12"/>
      <c r="G123" s="30" t="str">
        <f aca="false">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ustomFormat="false" ht="15" hidden="false" customHeight="false" outlineLevel="0" collapsed="false">
      <c r="A124" s="11"/>
      <c r="D124" s="10"/>
      <c r="E124" s="12"/>
      <c r="G124" s="30" t="str">
        <f aca="false">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ustomFormat="false" ht="15" hidden="false" customHeight="false" outlineLevel="0" collapsed="false">
      <c r="A125" s="11"/>
      <c r="D125" s="10"/>
      <c r="E125" s="12"/>
      <c r="G125" s="30" t="str">
        <f aca="false">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ustomFormat="false" ht="15" hidden="false" customHeight="false" outlineLevel="0" collapsed="false">
      <c r="A126" s="11"/>
      <c r="D126" s="10"/>
      <c r="E126" s="12"/>
      <c r="G126" s="30" t="str">
        <f aca="false">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ustomFormat="false" ht="15" hidden="false" customHeight="false" outlineLevel="0" collapsed="false">
      <c r="A127" s="11"/>
      <c r="D127" s="10"/>
      <c r="E127" s="12"/>
      <c r="G127" s="30" t="str">
        <f aca="false">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ustomFormat="false" ht="15" hidden="false" customHeight="false" outlineLevel="0" collapsed="false">
      <c r="A128" s="11"/>
      <c r="D128" s="10"/>
      <c r="E128" s="12"/>
      <c r="G128" s="30" t="str">
        <f aca="false">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ustomFormat="false" ht="15" hidden="false" customHeight="false" outlineLevel="0" collapsed="false">
      <c r="A129" s="11"/>
      <c r="D129" s="10"/>
      <c r="E129" s="12"/>
      <c r="G129" s="30" t="str">
        <f aca="false">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ustomFormat="false" ht="15" hidden="false" customHeight="false" outlineLevel="0" collapsed="false">
      <c r="A130" s="11"/>
      <c r="D130" s="10"/>
      <c r="E130" s="12"/>
      <c r="G130" s="30" t="str">
        <f aca="false">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ustomFormat="false" ht="15" hidden="false" customHeight="false" outlineLevel="0" collapsed="false">
      <c r="A131" s="11"/>
      <c r="D131" s="10"/>
      <c r="E131" s="12"/>
      <c r="G131" s="30" t="str">
        <f aca="false">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ustomFormat="false" ht="15" hidden="false" customHeight="false" outlineLevel="0" collapsed="false">
      <c r="A132" s="11"/>
      <c r="D132" s="10"/>
      <c r="E132" s="12"/>
      <c r="G132" s="30" t="str">
        <f aca="false">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ustomFormat="false" ht="15" hidden="false" customHeight="false" outlineLevel="0" collapsed="false">
      <c r="A133" s="11"/>
      <c r="D133" s="10"/>
      <c r="E133" s="12"/>
      <c r="G133" s="30" t="str">
        <f aca="false">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ustomFormat="false" ht="15" hidden="false" customHeight="false" outlineLevel="0" collapsed="false">
      <c r="A134" s="11"/>
      <c r="D134" s="10"/>
      <c r="E134" s="12"/>
      <c r="G134" s="30" t="str">
        <f aca="false">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ustomFormat="false" ht="15" hidden="false" customHeight="false" outlineLevel="0" collapsed="false">
      <c r="A135" s="11"/>
      <c r="D135" s="10"/>
      <c r="E135" s="12"/>
      <c r="G135" s="30" t="str">
        <f aca="false">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ustomFormat="false" ht="15" hidden="false" customHeight="false" outlineLevel="0" collapsed="false">
      <c r="A136" s="11"/>
      <c r="D136" s="10"/>
      <c r="E136" s="12"/>
      <c r="G136" s="30" t="str">
        <f aca="false">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ustomFormat="false" ht="15" hidden="false" customHeight="false" outlineLevel="0" collapsed="false">
      <c r="A137" s="11"/>
      <c r="D137" s="10"/>
      <c r="E137" s="12"/>
      <c r="G137" s="30" t="str">
        <f aca="false">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ustomFormat="false" ht="15" hidden="false" customHeight="false" outlineLevel="0" collapsed="false">
      <c r="A138" s="11"/>
      <c r="D138" s="10"/>
      <c r="E138" s="12"/>
      <c r="G138" s="30" t="str">
        <f aca="false">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ustomFormat="false" ht="15" hidden="false" customHeight="false" outlineLevel="0" collapsed="false">
      <c r="A139" s="11"/>
      <c r="D139" s="10"/>
      <c r="E139" s="12"/>
      <c r="G139" s="30" t="str">
        <f aca="false">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ustomFormat="false" ht="15" hidden="false" customHeight="false" outlineLevel="0" collapsed="false">
      <c r="A140" s="11"/>
      <c r="D140" s="10"/>
      <c r="E140" s="12"/>
      <c r="G140" s="30" t="str">
        <f aca="false">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ustomFormat="false" ht="15" hidden="false" customHeight="false" outlineLevel="0" collapsed="false">
      <c r="A141" s="11"/>
      <c r="D141" s="10"/>
      <c r="E141" s="12"/>
      <c r="G141" s="30" t="str">
        <f aca="false">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ustomFormat="false" ht="15" hidden="false" customHeight="false" outlineLevel="0" collapsed="false">
      <c r="A142" s="11"/>
      <c r="D142" s="10"/>
      <c r="E142" s="12"/>
      <c r="G142" s="30" t="str">
        <f aca="false">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ustomFormat="false" ht="15" hidden="false" customHeight="false" outlineLevel="0" collapsed="false">
      <c r="A143" s="11"/>
      <c r="D143" s="10"/>
      <c r="E143" s="12"/>
      <c r="G143" s="30" t="str">
        <f aca="false">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ustomFormat="false" ht="15" hidden="false" customHeight="false" outlineLevel="0" collapsed="false">
      <c r="A144" s="11"/>
      <c r="D144" s="10"/>
      <c r="E144" s="12"/>
      <c r="G144" s="30" t="str">
        <f aca="false">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ustomFormat="false" ht="15" hidden="false" customHeight="false" outlineLevel="0" collapsed="false">
      <c r="A145" s="11"/>
      <c r="D145" s="10"/>
      <c r="E145" s="12"/>
      <c r="G145" s="30" t="str">
        <f aca="false">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ustomFormat="false" ht="15" hidden="false" customHeight="false" outlineLevel="0" collapsed="false">
      <c r="A146" s="11"/>
      <c r="D146" s="10"/>
      <c r="E146" s="12"/>
      <c r="G146" s="30" t="str">
        <f aca="false">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ustomFormat="false" ht="15" hidden="false" customHeight="false" outlineLevel="0" collapsed="false">
      <c r="A147" s="11"/>
      <c r="D147" s="10"/>
      <c r="E147" s="12"/>
      <c r="G147" s="30" t="str">
        <f aca="false">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ustomFormat="false" ht="15" hidden="false" customHeight="false" outlineLevel="0" collapsed="false">
      <c r="A148" s="11"/>
      <c r="D148" s="10"/>
      <c r="E148" s="12"/>
      <c r="G148" s="30" t="str">
        <f aca="false">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ustomFormat="false" ht="15" hidden="false" customHeight="false" outlineLevel="0" collapsed="false">
      <c r="A149" s="11"/>
      <c r="D149" s="10"/>
      <c r="E149" s="12"/>
      <c r="G149" s="30" t="str">
        <f aca="false">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ustomFormat="false" ht="15" hidden="false" customHeight="false" outlineLevel="0" collapsed="false">
      <c r="A150" s="11"/>
      <c r="D150" s="10"/>
      <c r="E150" s="12"/>
      <c r="G150" s="30" t="str">
        <f aca="false">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ustomFormat="false" ht="15" hidden="false" customHeight="false" outlineLevel="0" collapsed="false">
      <c r="A151" s="11"/>
      <c r="D151" s="10"/>
      <c r="E151" s="12"/>
      <c r="G151" s="30" t="str">
        <f aca="false">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ustomFormat="false" ht="15" hidden="false" customHeight="false" outlineLevel="0" collapsed="false">
      <c r="A152" s="11"/>
      <c r="D152" s="10"/>
      <c r="E152" s="12"/>
      <c r="G152" s="30" t="str">
        <f aca="false">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ustomFormat="false" ht="15" hidden="false" customHeight="false" outlineLevel="0" collapsed="false">
      <c r="A153" s="11"/>
      <c r="D153" s="10"/>
      <c r="E153" s="12"/>
      <c r="G153" s="30" t="str">
        <f aca="false">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ustomFormat="false" ht="15" hidden="false" customHeight="false" outlineLevel="0" collapsed="false">
      <c r="A154" s="11"/>
      <c r="D154" s="10"/>
      <c r="E154" s="12"/>
      <c r="G154" s="30" t="str">
        <f aca="false">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ustomFormat="false" ht="15" hidden="false" customHeight="false" outlineLevel="0" collapsed="false">
      <c r="A155" s="11"/>
      <c r="D155" s="10"/>
      <c r="E155" s="12"/>
      <c r="G155" s="30" t="str">
        <f aca="false">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ustomFormat="false" ht="15" hidden="false" customHeight="false" outlineLevel="0" collapsed="false">
      <c r="A156" s="11"/>
      <c r="D156" s="10"/>
      <c r="E156" s="12"/>
      <c r="G156" s="30" t="str">
        <f aca="false">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ustomFormat="false" ht="15" hidden="false" customHeight="false" outlineLevel="0" collapsed="false">
      <c r="A157" s="11"/>
      <c r="D157" s="10"/>
      <c r="E157" s="12"/>
      <c r="G157" s="30" t="str">
        <f aca="false">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ustomFormat="false" ht="15" hidden="false" customHeight="false" outlineLevel="0" collapsed="false">
      <c r="A158" s="11"/>
      <c r="D158" s="10"/>
      <c r="E158" s="12"/>
      <c r="G158" s="30" t="str">
        <f aca="false">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ustomFormat="false" ht="15" hidden="false" customHeight="false" outlineLevel="0" collapsed="false">
      <c r="A159" s="11"/>
      <c r="D159" s="10"/>
      <c r="E159" s="12"/>
      <c r="G159" s="30" t="str">
        <f aca="false">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ustomFormat="false" ht="15" hidden="false" customHeight="false" outlineLevel="0" collapsed="false">
      <c r="A160" s="11"/>
      <c r="D160" s="10"/>
      <c r="E160" s="12"/>
      <c r="G160" s="30" t="str">
        <f aca="false">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ustomFormat="false" ht="15" hidden="false" customHeight="false" outlineLevel="0" collapsed="false">
      <c r="A161" s="11"/>
      <c r="D161" s="10"/>
      <c r="E161" s="12"/>
      <c r="G161" s="30" t="str">
        <f aca="false">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ustomFormat="false" ht="15" hidden="false" customHeight="false" outlineLevel="0" collapsed="false">
      <c r="A162" s="11"/>
      <c r="D162" s="10"/>
      <c r="E162" s="12"/>
      <c r="G162" s="30" t="str">
        <f aca="false">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ustomFormat="false" ht="15" hidden="false" customHeight="false" outlineLevel="0" collapsed="false">
      <c r="A163" s="11"/>
      <c r="D163" s="10"/>
      <c r="E163" s="12"/>
      <c r="G163" s="30" t="str">
        <f aca="false">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ustomFormat="false" ht="15" hidden="false" customHeight="false" outlineLevel="0" collapsed="false">
      <c r="A164" s="11"/>
      <c r="D164" s="10"/>
      <c r="E164" s="12"/>
      <c r="G164" s="30" t="str">
        <f aca="false">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ustomFormat="false" ht="15" hidden="false" customHeight="false" outlineLevel="0" collapsed="false">
      <c r="A165" s="11"/>
      <c r="D165" s="10"/>
      <c r="E165" s="12"/>
      <c r="G165" s="30" t="str">
        <f aca="false">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ustomFormat="false" ht="15" hidden="false" customHeight="false" outlineLevel="0" collapsed="false">
      <c r="A166" s="11"/>
      <c r="D166" s="10"/>
      <c r="E166" s="12"/>
      <c r="G166" s="30" t="str">
        <f aca="false">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ustomFormat="false" ht="15" hidden="false" customHeight="false" outlineLevel="0" collapsed="false">
      <c r="A167" s="11"/>
      <c r="D167" s="10"/>
      <c r="E167" s="12"/>
      <c r="G167" s="30" t="str">
        <f aca="false">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ustomFormat="false" ht="15" hidden="false" customHeight="false" outlineLevel="0" collapsed="false">
      <c r="A168" s="11"/>
      <c r="D168" s="10"/>
      <c r="E168" s="12"/>
      <c r="G168" s="30" t="str">
        <f aca="false">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ustomFormat="false" ht="15" hidden="false" customHeight="false" outlineLevel="0" collapsed="false">
      <c r="A169" s="11"/>
      <c r="D169" s="10"/>
      <c r="E169" s="12"/>
      <c r="G169" s="30" t="str">
        <f aca="false">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ustomFormat="false" ht="15" hidden="false" customHeight="false" outlineLevel="0" collapsed="false">
      <c r="A170" s="11"/>
      <c r="D170" s="10"/>
      <c r="E170" s="12"/>
      <c r="G170" s="30" t="str">
        <f aca="false">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ustomFormat="false" ht="15" hidden="false" customHeight="false" outlineLevel="0" collapsed="false">
      <c r="A171" s="11"/>
      <c r="D171" s="10"/>
      <c r="E171" s="12"/>
      <c r="G171" s="30" t="str">
        <f aca="false">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ustomFormat="false" ht="15" hidden="false" customHeight="false" outlineLevel="0" collapsed="false">
      <c r="A172" s="11"/>
      <c r="D172" s="10"/>
      <c r="E172" s="12"/>
      <c r="G172" s="30" t="str">
        <f aca="false">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ustomFormat="false" ht="15" hidden="false" customHeight="false" outlineLevel="0" collapsed="false">
      <c r="A173" s="11"/>
      <c r="D173" s="10"/>
      <c r="E173" s="12"/>
      <c r="G173" s="30" t="str">
        <f aca="false">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ustomFormat="false" ht="15" hidden="false" customHeight="false" outlineLevel="0" collapsed="false">
      <c r="A174" s="11"/>
      <c r="D174" s="10"/>
      <c r="E174" s="12"/>
      <c r="G174" s="30" t="str">
        <f aca="false">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ustomFormat="false" ht="15" hidden="false" customHeight="false" outlineLevel="0" collapsed="false">
      <c r="A175" s="11"/>
      <c r="D175" s="10"/>
      <c r="E175" s="12"/>
      <c r="G175" s="30" t="str">
        <f aca="false">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ustomFormat="false" ht="15" hidden="false" customHeight="false" outlineLevel="0" collapsed="false">
      <c r="A176" s="11"/>
      <c r="D176" s="10"/>
      <c r="E176" s="12"/>
      <c r="G176" s="30" t="str">
        <f aca="false">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ustomFormat="false" ht="15" hidden="false" customHeight="false" outlineLevel="0" collapsed="false">
      <c r="A177" s="11"/>
      <c r="D177" s="10"/>
      <c r="E177" s="12"/>
      <c r="G177" s="30" t="str">
        <f aca="false">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ustomFormat="false" ht="15" hidden="false" customHeight="false" outlineLevel="0" collapsed="false">
      <c r="A178" s="11"/>
      <c r="D178" s="10"/>
      <c r="E178" s="12"/>
      <c r="G178" s="30" t="str">
        <f aca="false">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ustomFormat="false" ht="15" hidden="false" customHeight="false" outlineLevel="0" collapsed="false">
      <c r="A179" s="11"/>
      <c r="D179" s="10"/>
      <c r="E179" s="12"/>
      <c r="G179" s="30" t="str">
        <f aca="false">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ustomFormat="false" ht="15" hidden="false" customHeight="false" outlineLevel="0" collapsed="false">
      <c r="A180" s="11"/>
      <c r="D180" s="10"/>
      <c r="E180" s="12"/>
      <c r="G180" s="30" t="str">
        <f aca="false">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ustomFormat="false" ht="15" hidden="false" customHeight="false" outlineLevel="0" collapsed="false">
      <c r="A181" s="11"/>
      <c r="D181" s="10"/>
      <c r="E181" s="12"/>
      <c r="G181" s="30" t="str">
        <f aca="false">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ustomFormat="false" ht="15" hidden="false" customHeight="false" outlineLevel="0" collapsed="false">
      <c r="A182" s="11"/>
      <c r="D182" s="10"/>
      <c r="E182" s="12"/>
      <c r="G182" s="30" t="str">
        <f aca="false">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ustomFormat="false" ht="15" hidden="false" customHeight="false" outlineLevel="0" collapsed="false">
      <c r="A183" s="11"/>
      <c r="D183" s="10"/>
      <c r="E183" s="12"/>
      <c r="G183" s="30" t="str">
        <f aca="false">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ustomFormat="false" ht="15" hidden="false" customHeight="false" outlineLevel="0" collapsed="false">
      <c r="A184" s="11"/>
      <c r="D184" s="10"/>
      <c r="E184" s="12"/>
      <c r="G184" s="30" t="str">
        <f aca="false">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ustomFormat="false" ht="15" hidden="false" customHeight="false" outlineLevel="0" collapsed="false">
      <c r="A185" s="11"/>
      <c r="D185" s="10"/>
      <c r="E185" s="12"/>
      <c r="G185" s="30" t="str">
        <f aca="false">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ustomFormat="false" ht="15" hidden="false" customHeight="false" outlineLevel="0" collapsed="false">
      <c r="A186" s="11"/>
      <c r="D186" s="10"/>
      <c r="E186" s="12"/>
      <c r="G186" s="30" t="str">
        <f aca="false">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ustomFormat="false" ht="15" hidden="false" customHeight="false" outlineLevel="0" collapsed="false">
      <c r="A187" s="11"/>
      <c r="D187" s="10"/>
      <c r="E187" s="12"/>
      <c r="G187" s="30" t="str">
        <f aca="false">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ustomFormat="false" ht="15" hidden="false" customHeight="false" outlineLevel="0" collapsed="false">
      <c r="A188" s="11"/>
      <c r="D188" s="10"/>
      <c r="E188" s="12"/>
      <c r="G188" s="30" t="str">
        <f aca="false">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ustomFormat="false" ht="15" hidden="false" customHeight="false" outlineLevel="0" collapsed="false">
      <c r="A189" s="11"/>
      <c r="D189" s="10"/>
      <c r="E189" s="12"/>
      <c r="G189" s="30" t="str">
        <f aca="false">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ustomFormat="false" ht="15" hidden="false" customHeight="false" outlineLevel="0" collapsed="false">
      <c r="A190" s="11"/>
      <c r="D190" s="10"/>
      <c r="E190" s="12"/>
      <c r="G190" s="30" t="str">
        <f aca="false">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ustomFormat="false" ht="15" hidden="false" customHeight="false" outlineLevel="0" collapsed="false">
      <c r="A191" s="11"/>
      <c r="D191" s="10"/>
      <c r="E191" s="12"/>
      <c r="G191" s="30" t="str">
        <f aca="false">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ustomFormat="false" ht="15" hidden="false" customHeight="false" outlineLevel="0" collapsed="false">
      <c r="A192" s="11"/>
      <c r="D192" s="10"/>
      <c r="E192" s="12"/>
      <c r="G192" s="30" t="str">
        <f aca="false">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ustomFormat="false" ht="15" hidden="false" customHeight="false" outlineLevel="0" collapsed="false">
      <c r="A193" s="11"/>
      <c r="D193" s="10"/>
      <c r="E193" s="12"/>
      <c r="G193" s="30" t="str">
        <f aca="false">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ustomFormat="false" ht="15" hidden="false" customHeight="false" outlineLevel="0" collapsed="false">
      <c r="A194" s="11"/>
      <c r="D194" s="10"/>
      <c r="E194" s="12"/>
      <c r="G194" s="30" t="str">
        <f aca="false">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ustomFormat="false" ht="15" hidden="false" customHeight="false" outlineLevel="0" collapsed="false">
      <c r="A195" s="11"/>
      <c r="D195" s="10"/>
      <c r="E195" s="12"/>
      <c r="G195" s="30" t="str">
        <f aca="false">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ustomFormat="false" ht="15" hidden="false" customHeight="false" outlineLevel="0" collapsed="false">
      <c r="A196" s="11"/>
      <c r="D196" s="10"/>
      <c r="E196" s="12"/>
      <c r="G196" s="30" t="str">
        <f aca="false">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ustomFormat="false" ht="15" hidden="false" customHeight="false" outlineLevel="0" collapsed="false">
      <c r="A197" s="11"/>
      <c r="D197" s="10"/>
      <c r="E197" s="12"/>
      <c r="G197" s="30" t="str">
        <f aca="false">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ustomFormat="false" ht="15" hidden="false" customHeight="false" outlineLevel="0" collapsed="false">
      <c r="A198" s="11"/>
      <c r="D198" s="10"/>
      <c r="E198" s="12"/>
      <c r="G198" s="30" t="str">
        <f aca="false">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ustomFormat="false" ht="15" hidden="false" customHeight="false" outlineLevel="0" collapsed="false">
      <c r="A199" s="11"/>
      <c r="D199" s="10"/>
      <c r="E199" s="12"/>
      <c r="G199" s="30" t="str">
        <f aca="false">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ustomFormat="false" ht="15" hidden="false" customHeight="false" outlineLevel="0" collapsed="false">
      <c r="A200" s="11"/>
      <c r="D200" s="10"/>
      <c r="E200" s="12"/>
      <c r="G200" s="30" t="str">
        <f aca="false">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ustomFormat="false" ht="15" hidden="false" customHeight="false" outlineLevel="0" collapsed="false">
      <c r="A201" s="11"/>
      <c r="D201" s="10"/>
      <c r="E201" s="12"/>
      <c r="G201" s="30" t="str">
        <f aca="false">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ustomFormat="false" ht="15" hidden="false" customHeight="false" outlineLevel="0" collapsed="false">
      <c r="A202" s="11"/>
      <c r="D202" s="10"/>
      <c r="E202" s="12"/>
      <c r="G202" s="30" t="str">
        <f aca="false">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ustomFormat="false" ht="15" hidden="false" customHeight="false" outlineLevel="0" collapsed="false">
      <c r="A203" s="11"/>
      <c r="D203" s="10"/>
      <c r="E203" s="12"/>
      <c r="G203" s="30" t="str">
        <f aca="false">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ustomFormat="false" ht="15" hidden="false" customHeight="false" outlineLevel="0" collapsed="false">
      <c r="A204" s="11"/>
      <c r="D204" s="10"/>
      <c r="E204" s="12"/>
      <c r="G204" s="30" t="str">
        <f aca="false">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ustomFormat="false" ht="15" hidden="false" customHeight="false" outlineLevel="0" collapsed="false">
      <c r="A205" s="11"/>
      <c r="D205" s="10"/>
      <c r="E205" s="12"/>
      <c r="G205" s="30" t="str">
        <f aca="false">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ustomFormat="false" ht="15" hidden="false" customHeight="false" outlineLevel="0" collapsed="false">
      <c r="A206" s="11"/>
      <c r="D206" s="10"/>
      <c r="E206" s="12"/>
      <c r="G206" s="30" t="str">
        <f aca="false">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ustomFormat="false" ht="15" hidden="false" customHeight="false" outlineLevel="0" collapsed="false">
      <c r="A207" s="11"/>
      <c r="D207" s="10"/>
      <c r="E207" s="12"/>
      <c r="G207" s="30" t="str">
        <f aca="false">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ustomFormat="false" ht="15" hidden="false" customHeight="false" outlineLevel="0" collapsed="false">
      <c r="A208" s="11"/>
      <c r="D208" s="10"/>
      <c r="E208" s="12"/>
      <c r="G208" s="30" t="str">
        <f aca="false">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ustomFormat="false" ht="15" hidden="false" customHeight="false" outlineLevel="0" collapsed="false">
      <c r="A209" s="11"/>
      <c r="D209" s="10"/>
      <c r="E209" s="12"/>
      <c r="G209" s="30" t="str">
        <f aca="false">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ustomFormat="false" ht="15" hidden="false" customHeight="false" outlineLevel="0" collapsed="false">
      <c r="A210" s="11"/>
      <c r="D210" s="10"/>
      <c r="E210" s="12"/>
      <c r="G210" s="30" t="str">
        <f aca="false">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ustomFormat="false" ht="15" hidden="false" customHeight="false" outlineLevel="0" collapsed="false">
      <c r="A211" s="11"/>
      <c r="D211" s="10"/>
      <c r="E211" s="12"/>
      <c r="G211" s="30" t="str">
        <f aca="false">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ustomFormat="false" ht="15" hidden="false" customHeight="false" outlineLevel="0" collapsed="false">
      <c r="A212" s="11"/>
      <c r="D212" s="10"/>
      <c r="E212" s="12"/>
      <c r="G212" s="30" t="str">
        <f aca="false">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ustomFormat="false" ht="15" hidden="false" customHeight="false" outlineLevel="0" collapsed="false">
      <c r="A213" s="11"/>
      <c r="D213" s="10"/>
      <c r="E213" s="12"/>
      <c r="G213" s="30" t="str">
        <f aca="false">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ustomFormat="false" ht="15" hidden="false" customHeight="false" outlineLevel="0" collapsed="false">
      <c r="A214" s="11"/>
      <c r="D214" s="10"/>
      <c r="E214" s="12"/>
      <c r="G214" s="30" t="str">
        <f aca="false">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ustomFormat="false" ht="15" hidden="false" customHeight="false" outlineLevel="0" collapsed="false">
      <c r="A215" s="11"/>
      <c r="D215" s="10"/>
      <c r="E215" s="12"/>
      <c r="G215" s="30" t="str">
        <f aca="false">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ustomFormat="false" ht="15" hidden="false" customHeight="false" outlineLevel="0" collapsed="false">
      <c r="A216" s="11"/>
      <c r="D216" s="10"/>
      <c r="E216" s="12"/>
      <c r="G216" s="30" t="str">
        <f aca="false">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ustomFormat="false" ht="15" hidden="false" customHeight="false" outlineLevel="0" collapsed="false">
      <c r="A217" s="11"/>
      <c r="D217" s="10"/>
      <c r="E217" s="12"/>
      <c r="G217" s="30" t="str">
        <f aca="false">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ustomFormat="false" ht="15" hidden="false" customHeight="false" outlineLevel="0" collapsed="false">
      <c r="A218" s="11"/>
      <c r="D218" s="10"/>
      <c r="E218" s="12"/>
      <c r="G218" s="30" t="str">
        <f aca="false">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ustomFormat="false" ht="15" hidden="false" customHeight="false" outlineLevel="0" collapsed="false">
      <c r="A219" s="11"/>
      <c r="D219" s="10"/>
      <c r="E219" s="12"/>
      <c r="G219" s="30" t="str">
        <f aca="false">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ustomFormat="false" ht="15" hidden="false" customHeight="false" outlineLevel="0" collapsed="false">
      <c r="A220" s="11"/>
      <c r="D220" s="10"/>
      <c r="E220" s="12"/>
      <c r="G220" s="30" t="str">
        <f aca="false">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ustomFormat="false" ht="15" hidden="false" customHeight="false" outlineLevel="0" collapsed="false">
      <c r="A221" s="11"/>
      <c r="D221" s="10"/>
      <c r="E221" s="12"/>
      <c r="G221" s="30" t="str">
        <f aca="false">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ustomFormat="false" ht="15" hidden="false" customHeight="false" outlineLevel="0" collapsed="false">
      <c r="A222" s="11"/>
      <c r="D222" s="10"/>
      <c r="E222" s="12"/>
      <c r="G222" s="30" t="str">
        <f aca="false">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ustomFormat="false" ht="15" hidden="false" customHeight="false" outlineLevel="0" collapsed="false">
      <c r="A223" s="11"/>
      <c r="D223" s="10"/>
      <c r="E223" s="12"/>
      <c r="G223" s="30" t="str">
        <f aca="false">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ustomFormat="false" ht="15" hidden="false" customHeight="false" outlineLevel="0" collapsed="false">
      <c r="A224" s="11"/>
      <c r="D224" s="10"/>
      <c r="E224" s="12"/>
      <c r="G224" s="30" t="str">
        <f aca="false">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ustomFormat="false" ht="15" hidden="false" customHeight="false" outlineLevel="0" collapsed="false">
      <c r="A225" s="11"/>
      <c r="D225" s="10"/>
      <c r="E225" s="12"/>
      <c r="G225" s="30" t="str">
        <f aca="false">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ustomFormat="false" ht="15" hidden="false" customHeight="false" outlineLevel="0" collapsed="false">
      <c r="A226" s="11"/>
      <c r="D226" s="10"/>
      <c r="E226" s="12"/>
      <c r="G226" s="30" t="str">
        <f aca="false">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ustomFormat="false" ht="15" hidden="false" customHeight="false" outlineLevel="0" collapsed="false">
      <c r="A227" s="11"/>
      <c r="D227" s="10"/>
      <c r="E227" s="12"/>
      <c r="G227" s="30" t="str">
        <f aca="false">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ustomFormat="false" ht="15" hidden="false" customHeight="false" outlineLevel="0" collapsed="false">
      <c r="A228" s="11"/>
      <c r="D228" s="10"/>
      <c r="E228" s="12"/>
      <c r="G228" s="30" t="str">
        <f aca="false">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ustomFormat="false" ht="15" hidden="false" customHeight="false" outlineLevel="0" collapsed="false">
      <c r="A229" s="11"/>
      <c r="D229" s="10"/>
      <c r="E229" s="12"/>
      <c r="G229" s="30" t="str">
        <f aca="false">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ustomFormat="false" ht="15" hidden="false" customHeight="false" outlineLevel="0" collapsed="false">
      <c r="A230" s="11"/>
      <c r="D230" s="10"/>
      <c r="E230" s="12"/>
      <c r="G230" s="30" t="str">
        <f aca="false">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ustomFormat="false" ht="15" hidden="false" customHeight="false" outlineLevel="0" collapsed="false">
      <c r="A231" s="11"/>
      <c r="D231" s="10"/>
      <c r="E231" s="12"/>
      <c r="G231" s="30" t="str">
        <f aca="false">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ustomFormat="false" ht="15" hidden="false" customHeight="false" outlineLevel="0" collapsed="false">
      <c r="A232" s="11"/>
      <c r="D232" s="10"/>
      <c r="E232" s="12"/>
      <c r="G232" s="30" t="str">
        <f aca="false">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ustomFormat="false" ht="15" hidden="false" customHeight="false" outlineLevel="0" collapsed="false">
      <c r="A233" s="11"/>
      <c r="D233" s="10"/>
      <c r="E233" s="12"/>
      <c r="G233" s="30" t="str">
        <f aca="false">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ustomFormat="false" ht="15" hidden="false" customHeight="false" outlineLevel="0" collapsed="false">
      <c r="A234" s="11"/>
      <c r="D234" s="10"/>
      <c r="E234" s="12"/>
      <c r="G234" s="30" t="str">
        <f aca="false">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ustomFormat="false" ht="15" hidden="false" customHeight="false" outlineLevel="0" collapsed="false">
      <c r="A235" s="11"/>
      <c r="D235" s="10"/>
      <c r="E235" s="12"/>
      <c r="G235" s="30" t="str">
        <f aca="false">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ustomFormat="false" ht="15" hidden="false" customHeight="false" outlineLevel="0" collapsed="false">
      <c r="A236" s="11"/>
      <c r="D236" s="10"/>
      <c r="E236" s="12"/>
      <c r="G236" s="30" t="str">
        <f aca="false">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ustomFormat="false" ht="15" hidden="false" customHeight="false" outlineLevel="0" collapsed="false">
      <c r="A237" s="11"/>
      <c r="D237" s="10"/>
      <c r="E237" s="12"/>
      <c r="G237" s="30" t="str">
        <f aca="false">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ustomFormat="false" ht="15" hidden="false" customHeight="false" outlineLevel="0" collapsed="false">
      <c r="A238" s="11"/>
      <c r="D238" s="10"/>
      <c r="E238" s="12"/>
      <c r="G238" s="30" t="str">
        <f aca="false">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ustomFormat="false" ht="15" hidden="false" customHeight="false" outlineLevel="0" collapsed="false">
      <c r="A239" s="11"/>
      <c r="D239" s="10"/>
      <c r="E239" s="12"/>
      <c r="G239" s="30" t="str">
        <f aca="false">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ustomFormat="false" ht="15" hidden="false" customHeight="false" outlineLevel="0" collapsed="false">
      <c r="A240" s="11"/>
      <c r="D240" s="10"/>
      <c r="E240" s="12"/>
      <c r="G240" s="30" t="str">
        <f aca="false">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ustomFormat="false" ht="15" hidden="false" customHeight="false" outlineLevel="0" collapsed="false">
      <c r="A241" s="11"/>
      <c r="D241" s="10"/>
      <c r="E241" s="12"/>
      <c r="G241" s="30" t="str">
        <f aca="false">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ustomFormat="false" ht="15" hidden="false" customHeight="false" outlineLevel="0" collapsed="false">
      <c r="A242" s="11"/>
      <c r="D242" s="10"/>
      <c r="E242" s="12"/>
      <c r="G242" s="30" t="str">
        <f aca="false">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ustomFormat="false" ht="15" hidden="false" customHeight="false" outlineLevel="0" collapsed="false">
      <c r="A243" s="11"/>
      <c r="D243" s="10"/>
      <c r="E243" s="12"/>
      <c r="G243" s="30" t="str">
        <f aca="false">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ustomFormat="false" ht="15" hidden="false" customHeight="false" outlineLevel="0" collapsed="false">
      <c r="A244" s="11"/>
      <c r="D244" s="10"/>
      <c r="E244" s="12"/>
      <c r="G244" s="30" t="str">
        <f aca="false">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ustomFormat="false" ht="15" hidden="false" customHeight="false" outlineLevel="0" collapsed="false">
      <c r="A245" s="11"/>
      <c r="D245" s="10"/>
      <c r="E245" s="12"/>
      <c r="G245" s="30" t="str">
        <f aca="false">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ustomFormat="false" ht="15" hidden="false" customHeight="false" outlineLevel="0" collapsed="false">
      <c r="A246" s="11"/>
      <c r="D246" s="10"/>
      <c r="E246" s="12"/>
      <c r="G246" s="30" t="str">
        <f aca="false">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ustomFormat="false" ht="15" hidden="false" customHeight="false" outlineLevel="0" collapsed="false">
      <c r="A247" s="11"/>
      <c r="D247" s="10"/>
      <c r="E247" s="12"/>
      <c r="G247" s="30" t="str">
        <f aca="false">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ustomFormat="false" ht="15" hidden="false" customHeight="false" outlineLevel="0" collapsed="false">
      <c r="A248" s="11"/>
      <c r="D248" s="10"/>
      <c r="E248" s="12"/>
      <c r="G248" s="30" t="str">
        <f aca="false">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ustomFormat="false" ht="15" hidden="false" customHeight="false" outlineLevel="0" collapsed="false">
      <c r="A249" s="11"/>
      <c r="D249" s="10"/>
      <c r="E249" s="12"/>
      <c r="G249" s="30" t="str">
        <f aca="false">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ustomFormat="false" ht="15" hidden="false" customHeight="false" outlineLevel="0" collapsed="false">
      <c r="A250" s="11"/>
      <c r="D250" s="10"/>
      <c r="E250" s="12"/>
      <c r="G250" s="30" t="str">
        <f aca="false">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ustomFormat="false" ht="15" hidden="false" customHeight="false" outlineLevel="0" collapsed="false">
      <c r="A251" s="11"/>
      <c r="D251" s="10"/>
      <c r="E251" s="12"/>
      <c r="G251" s="30" t="str">
        <f aca="false">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ustomFormat="false" ht="15" hidden="false" customHeight="false" outlineLevel="0" collapsed="false">
      <c r="A252" s="11"/>
      <c r="D252" s="10"/>
      <c r="E252" s="12"/>
      <c r="G252" s="30" t="str">
        <f aca="false">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ustomFormat="false" ht="15" hidden="false" customHeight="false" outlineLevel="0" collapsed="false">
      <c r="A253" s="11"/>
      <c r="D253" s="10"/>
      <c r="E253" s="12"/>
      <c r="G253" s="30" t="str">
        <f aca="false">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ustomFormat="false" ht="15" hidden="false" customHeight="false" outlineLevel="0" collapsed="false">
      <c r="A254" s="11"/>
      <c r="D254" s="10"/>
      <c r="E254" s="12"/>
      <c r="G254" s="30" t="str">
        <f aca="false">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ustomFormat="false" ht="15" hidden="false" customHeight="false" outlineLevel="0" collapsed="false">
      <c r="A255" s="11"/>
      <c r="D255" s="10"/>
      <c r="E255" s="12"/>
      <c r="G255" s="30" t="str">
        <f aca="false">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ustomFormat="false" ht="15" hidden="false" customHeight="false" outlineLevel="0" collapsed="false">
      <c r="A256" s="11"/>
      <c r="D256" s="10"/>
      <c r="E256" s="12"/>
      <c r="G256" s="30" t="str">
        <f aca="false">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ustomFormat="false" ht="15" hidden="false" customHeight="false" outlineLevel="0" collapsed="false">
      <c r="A257" s="11"/>
      <c r="D257" s="10"/>
      <c r="E257" s="12"/>
      <c r="G257" s="30" t="str">
        <f aca="false">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ustomFormat="false" ht="15" hidden="false" customHeight="false" outlineLevel="0" collapsed="false">
      <c r="A258" s="11"/>
      <c r="D258" s="10"/>
      <c r="E258" s="12"/>
      <c r="G258" s="30" t="str">
        <f aca="false">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ustomFormat="false" ht="15" hidden="false" customHeight="false" outlineLevel="0" collapsed="false">
      <c r="A259" s="11"/>
      <c r="D259" s="10"/>
      <c r="E259" s="12"/>
      <c r="G259" s="30" t="str">
        <f aca="false">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ustomFormat="false" ht="15" hidden="false" customHeight="false" outlineLevel="0" collapsed="false">
      <c r="A260" s="11"/>
      <c r="D260" s="10"/>
      <c r="E260" s="12"/>
      <c r="G260" s="30" t="str">
        <f aca="false">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ustomFormat="false" ht="15" hidden="false" customHeight="false" outlineLevel="0" collapsed="false">
      <c r="A261" s="11"/>
      <c r="D261" s="10"/>
      <c r="E261" s="12"/>
      <c r="G261" s="30" t="str">
        <f aca="false">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ustomFormat="false" ht="15" hidden="false" customHeight="false" outlineLevel="0" collapsed="false">
      <c r="A262" s="11"/>
      <c r="D262" s="10"/>
      <c r="E262" s="12"/>
      <c r="G262" s="30" t="str">
        <f aca="false">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ustomFormat="false" ht="15" hidden="false" customHeight="false" outlineLevel="0" collapsed="false">
      <c r="A263" s="11"/>
      <c r="D263" s="10"/>
      <c r="E263" s="12"/>
      <c r="G263" s="30" t="str">
        <f aca="false">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ustomFormat="false" ht="15" hidden="false" customHeight="false" outlineLevel="0" collapsed="false">
      <c r="A264" s="11"/>
      <c r="D264" s="10"/>
      <c r="E264" s="12"/>
      <c r="G264" s="30" t="str">
        <f aca="false">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ustomFormat="false" ht="15" hidden="false" customHeight="false" outlineLevel="0" collapsed="false">
      <c r="A265" s="11"/>
      <c r="D265" s="10"/>
      <c r="E265" s="12"/>
      <c r="G265" s="30" t="str">
        <f aca="false">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ustomFormat="false" ht="15" hidden="false" customHeight="false" outlineLevel="0" collapsed="false">
      <c r="A266" s="11"/>
      <c r="D266" s="10"/>
      <c r="E266" s="12"/>
      <c r="G266" s="30" t="str">
        <f aca="false">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ustomFormat="false" ht="15" hidden="false" customHeight="false" outlineLevel="0" collapsed="false">
      <c r="A267" s="11"/>
      <c r="D267" s="10"/>
      <c r="E267" s="12"/>
      <c r="G267" s="30" t="str">
        <f aca="false">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ustomFormat="false" ht="15" hidden="false" customHeight="false" outlineLevel="0" collapsed="false">
      <c r="A268" s="11"/>
      <c r="D268" s="10"/>
      <c r="E268" s="12"/>
      <c r="G268" s="30" t="str">
        <f aca="false">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ustomFormat="false" ht="15" hidden="false" customHeight="false" outlineLevel="0" collapsed="false">
      <c r="A269" s="11"/>
      <c r="D269" s="10"/>
      <c r="E269" s="12"/>
      <c r="G269" s="30" t="str">
        <f aca="false">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ustomFormat="false" ht="15" hidden="false" customHeight="false" outlineLevel="0" collapsed="false">
      <c r="A270" s="11"/>
      <c r="D270" s="10"/>
      <c r="E270" s="12"/>
      <c r="G270" s="30" t="str">
        <f aca="false">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ustomFormat="false" ht="15" hidden="false" customHeight="false" outlineLevel="0" collapsed="false">
      <c r="A271" s="11"/>
      <c r="D271" s="10"/>
      <c r="E271" s="12"/>
      <c r="G271" s="30" t="str">
        <f aca="false">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ustomFormat="false" ht="15" hidden="false" customHeight="false" outlineLevel="0" collapsed="false">
      <c r="A272" s="11"/>
      <c r="D272" s="10"/>
      <c r="E272" s="12"/>
      <c r="G272" s="30" t="str">
        <f aca="false">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ustomFormat="false" ht="15" hidden="false" customHeight="false" outlineLevel="0" collapsed="false">
      <c r="A273" s="11"/>
      <c r="D273" s="10"/>
      <c r="E273" s="12"/>
      <c r="G273" s="30" t="str">
        <f aca="false">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ustomFormat="false" ht="15" hidden="false" customHeight="false" outlineLevel="0" collapsed="false">
      <c r="A274" s="11"/>
      <c r="D274" s="10"/>
      <c r="E274" s="12"/>
      <c r="G274" s="30" t="str">
        <f aca="false">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ustomFormat="false" ht="15" hidden="false" customHeight="false" outlineLevel="0" collapsed="false">
      <c r="A275" s="11"/>
      <c r="D275" s="10"/>
      <c r="E275" s="12"/>
      <c r="G275" s="30" t="str">
        <f aca="false">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ustomFormat="false" ht="15" hidden="false" customHeight="false" outlineLevel="0" collapsed="false">
      <c r="A276" s="11"/>
      <c r="D276" s="10"/>
      <c r="E276" s="12"/>
      <c r="G276" s="30" t="str">
        <f aca="false">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ustomFormat="false" ht="15" hidden="false" customHeight="false" outlineLevel="0" collapsed="false">
      <c r="A277" s="11"/>
      <c r="D277" s="10"/>
      <c r="E277" s="12"/>
      <c r="G277" s="30" t="str">
        <f aca="false">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ustomFormat="false" ht="15" hidden="false" customHeight="false" outlineLevel="0" collapsed="false">
      <c r="A278" s="11"/>
      <c r="D278" s="10"/>
      <c r="E278" s="12"/>
      <c r="G278" s="30" t="str">
        <f aca="false">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ustomFormat="false" ht="15" hidden="false" customHeight="false" outlineLevel="0" collapsed="false">
      <c r="A279" s="11"/>
      <c r="D279" s="10"/>
      <c r="E279" s="12"/>
      <c r="G279" s="30" t="str">
        <f aca="false">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ustomFormat="false" ht="15" hidden="false" customHeight="false" outlineLevel="0" collapsed="false">
      <c r="A280" s="11"/>
      <c r="D280" s="10"/>
      <c r="E280" s="12"/>
      <c r="G280" s="30" t="str">
        <f aca="false">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ustomFormat="false" ht="15" hidden="false" customHeight="false" outlineLevel="0" collapsed="false">
      <c r="A281" s="11"/>
      <c r="D281" s="10"/>
      <c r="E281" s="12"/>
      <c r="G281" s="30" t="str">
        <f aca="false">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ustomFormat="false" ht="15" hidden="false" customHeight="false" outlineLevel="0" collapsed="false">
      <c r="A282" s="11"/>
      <c r="D282" s="10"/>
      <c r="E282" s="12"/>
      <c r="G282" s="30" t="str">
        <f aca="false">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ustomFormat="false" ht="15" hidden="false" customHeight="false" outlineLevel="0" collapsed="false">
      <c r="A283" s="11"/>
      <c r="D283" s="10"/>
      <c r="E283" s="12"/>
      <c r="G283" s="30" t="str">
        <f aca="false">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ustomFormat="false" ht="15" hidden="false" customHeight="false" outlineLevel="0" collapsed="false">
      <c r="A284" s="11"/>
      <c r="D284" s="10"/>
      <c r="E284" s="12"/>
      <c r="G284" s="30" t="str">
        <f aca="false">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ustomFormat="false" ht="15" hidden="false" customHeight="false" outlineLevel="0" collapsed="false">
      <c r="A285" s="11"/>
      <c r="D285" s="10"/>
      <c r="E285" s="12"/>
      <c r="G285" s="30" t="str">
        <f aca="false">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ustomFormat="false" ht="15" hidden="false" customHeight="false" outlineLevel="0" collapsed="false">
      <c r="A286" s="11"/>
      <c r="D286" s="10"/>
      <c r="E286" s="12"/>
      <c r="G286" s="30" t="str">
        <f aca="false">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ustomFormat="false" ht="15" hidden="false" customHeight="false" outlineLevel="0" collapsed="false">
      <c r="A287" s="11"/>
      <c r="D287" s="10"/>
      <c r="E287" s="12"/>
      <c r="G287" s="30" t="str">
        <f aca="false">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ustomFormat="false" ht="15" hidden="false" customHeight="false" outlineLevel="0" collapsed="false">
      <c r="A288" s="11"/>
      <c r="D288" s="10"/>
      <c r="E288" s="12"/>
      <c r="G288" s="30" t="str">
        <f aca="false">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ustomFormat="false" ht="15" hidden="false" customHeight="false" outlineLevel="0" collapsed="false">
      <c r="A289" s="11"/>
      <c r="D289" s="10"/>
      <c r="E289" s="12"/>
      <c r="G289" s="30" t="str">
        <f aca="false">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ustomFormat="false" ht="15" hidden="false" customHeight="false" outlineLevel="0" collapsed="false">
      <c r="A290" s="11"/>
      <c r="D290" s="10"/>
      <c r="E290" s="12"/>
      <c r="G290" s="30" t="str">
        <f aca="false">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ustomFormat="false" ht="15" hidden="false" customHeight="false" outlineLevel="0" collapsed="false">
      <c r="A291" s="11"/>
      <c r="D291" s="10"/>
      <c r="E291" s="12"/>
      <c r="G291" s="30" t="str">
        <f aca="false">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ustomFormat="false" ht="15" hidden="false" customHeight="false" outlineLevel="0" collapsed="false">
      <c r="A292" s="11"/>
      <c r="D292" s="10"/>
      <c r="E292" s="12"/>
      <c r="G292" s="30" t="str">
        <f aca="false">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ustomFormat="false" ht="15" hidden="false" customHeight="false" outlineLevel="0" collapsed="false">
      <c r="A293" s="11"/>
      <c r="D293" s="10"/>
      <c r="E293" s="12"/>
      <c r="G293" s="30" t="str">
        <f aca="false">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ustomFormat="false" ht="15" hidden="false" customHeight="false" outlineLevel="0" collapsed="false">
      <c r="A294" s="11"/>
      <c r="D294" s="10"/>
      <c r="E294" s="12"/>
      <c r="G294" s="30" t="str">
        <f aca="false">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ustomFormat="false" ht="15" hidden="false" customHeight="false" outlineLevel="0" collapsed="false">
      <c r="A295" s="11"/>
      <c r="D295" s="10"/>
      <c r="E295" s="12"/>
      <c r="G295" s="30" t="str">
        <f aca="false">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ustomFormat="false" ht="15" hidden="false" customHeight="false" outlineLevel="0" collapsed="false">
      <c r="A296" s="11"/>
      <c r="D296" s="10"/>
      <c r="E296" s="12"/>
      <c r="G296" s="30" t="str">
        <f aca="false">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ustomFormat="false" ht="15" hidden="false" customHeight="false" outlineLevel="0" collapsed="false">
      <c r="A297" s="11"/>
      <c r="D297" s="10"/>
      <c r="E297" s="12"/>
      <c r="G297" s="30" t="str">
        <f aca="false">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ustomFormat="false" ht="15" hidden="false" customHeight="false" outlineLevel="0" collapsed="false">
      <c r="A298" s="11"/>
      <c r="D298" s="10"/>
      <c r="E298" s="12"/>
      <c r="G298" s="30" t="str">
        <f aca="false">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ustomFormat="false" ht="15" hidden="false" customHeight="false" outlineLevel="0" collapsed="false">
      <c r="A299" s="11"/>
      <c r="D299" s="10"/>
      <c r="E299" s="12"/>
      <c r="G299" s="30" t="str">
        <f aca="false">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ustomFormat="false" ht="15" hidden="false" customHeight="false" outlineLevel="0" collapsed="false">
      <c r="A300" s="11"/>
      <c r="D300" s="10"/>
      <c r="E300" s="12"/>
      <c r="G300" s="30" t="str">
        <f aca="false">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ustomFormat="false" ht="15" hidden="false" customHeight="false" outlineLevel="0" collapsed="false">
      <c r="A301" s="11"/>
      <c r="D301" s="10"/>
      <c r="E301" s="12"/>
      <c r="G301" s="30" t="str">
        <f aca="false">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ustomFormat="false" ht="15" hidden="false" customHeight="false" outlineLevel="0" collapsed="false">
      <c r="A302" s="11"/>
      <c r="D302" s="10"/>
      <c r="E302" s="12"/>
      <c r="G302" s="30" t="str">
        <f aca="false">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ustomFormat="false" ht="15" hidden="false" customHeight="false" outlineLevel="0" collapsed="false">
      <c r="A303" s="11"/>
      <c r="D303" s="10"/>
      <c r="E303" s="12"/>
      <c r="G303" s="30" t="str">
        <f aca="false">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ustomFormat="false" ht="15" hidden="false" customHeight="false" outlineLevel="0" collapsed="false">
      <c r="A304" s="11"/>
      <c r="D304" s="10"/>
      <c r="E304" s="12"/>
      <c r="G304" s="30" t="str">
        <f aca="false">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ustomFormat="false" ht="15" hidden="false" customHeight="false" outlineLevel="0" collapsed="false">
      <c r="A305" s="11"/>
      <c r="D305" s="10"/>
      <c r="E305" s="12"/>
      <c r="G305" s="30" t="str">
        <f aca="false">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ustomFormat="false" ht="15" hidden="false" customHeight="false" outlineLevel="0" collapsed="false">
      <c r="A306" s="11"/>
      <c r="D306" s="10"/>
      <c r="E306" s="12"/>
      <c r="G306" s="30" t="str">
        <f aca="false">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ustomFormat="false" ht="15" hidden="false" customHeight="false" outlineLevel="0" collapsed="false">
      <c r="A307" s="11"/>
      <c r="D307" s="10"/>
      <c r="E307" s="12"/>
      <c r="G307" s="30" t="str">
        <f aca="false">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ustomFormat="false" ht="15" hidden="false" customHeight="false" outlineLevel="0" collapsed="false">
      <c r="A308" s="11"/>
      <c r="D308" s="10"/>
      <c r="E308" s="12"/>
      <c r="G308" s="30" t="str">
        <f aca="false">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ustomFormat="false" ht="15" hidden="false" customHeight="false" outlineLevel="0" collapsed="false">
      <c r="A309" s="11"/>
      <c r="D309" s="10"/>
      <c r="E309" s="12"/>
      <c r="G309" s="30" t="str">
        <f aca="false">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ustomFormat="false" ht="15" hidden="false" customHeight="false" outlineLevel="0" collapsed="false">
      <c r="A310" s="11"/>
      <c r="D310" s="10"/>
      <c r="E310" s="12"/>
      <c r="G310" s="30" t="str">
        <f aca="false">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ustomFormat="false" ht="15" hidden="false" customHeight="false" outlineLevel="0" collapsed="false">
      <c r="A311" s="11"/>
      <c r="D311" s="10"/>
      <c r="E311" s="12"/>
      <c r="G311" s="30" t="str">
        <f aca="false">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ustomFormat="false" ht="15" hidden="false" customHeight="false" outlineLevel="0" collapsed="false">
      <c r="A312" s="11"/>
      <c r="D312" s="10"/>
      <c r="E312" s="12"/>
      <c r="G312" s="30" t="str">
        <f aca="false">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ustomFormat="false" ht="15" hidden="false" customHeight="false" outlineLevel="0" collapsed="false">
      <c r="A313" s="11"/>
      <c r="D313" s="10"/>
      <c r="E313" s="12"/>
      <c r="G313" s="30" t="str">
        <f aca="false">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ustomFormat="false" ht="15" hidden="false" customHeight="false" outlineLevel="0" collapsed="false">
      <c r="A314" s="11"/>
      <c r="D314" s="10"/>
      <c r="E314" s="12"/>
      <c r="G314" s="30" t="str">
        <f aca="false">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ustomFormat="false" ht="15" hidden="false" customHeight="false" outlineLevel="0" collapsed="false">
      <c r="A315" s="11"/>
      <c r="D315" s="10"/>
      <c r="E315" s="12"/>
      <c r="G315" s="30" t="str">
        <f aca="false">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ustomFormat="false" ht="15" hidden="false" customHeight="false" outlineLevel="0" collapsed="false">
      <c r="A316" s="11"/>
      <c r="D316" s="10"/>
      <c r="E316" s="12"/>
      <c r="G316" s="30" t="str">
        <f aca="false">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ustomFormat="false" ht="15" hidden="false" customHeight="false" outlineLevel="0" collapsed="false">
      <c r="A317" s="11"/>
      <c r="D317" s="10"/>
      <c r="E317" s="12"/>
      <c r="G317" s="30" t="str">
        <f aca="false">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ustomFormat="false" ht="15" hidden="false" customHeight="false" outlineLevel="0" collapsed="false">
      <c r="A318" s="11"/>
      <c r="D318" s="10"/>
      <c r="E318" s="12"/>
      <c r="G318" s="30" t="str">
        <f aca="false">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ustomFormat="false" ht="15" hidden="false" customHeight="false" outlineLevel="0" collapsed="false">
      <c r="A319" s="11"/>
      <c r="D319" s="10"/>
      <c r="E319" s="12"/>
      <c r="G319" s="30" t="str">
        <f aca="false">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ustomFormat="false" ht="15" hidden="false" customHeight="false" outlineLevel="0" collapsed="false">
      <c r="A320" s="11"/>
      <c r="D320" s="10"/>
      <c r="E320" s="12"/>
      <c r="G320" s="30" t="str">
        <f aca="false">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ustomFormat="false" ht="15" hidden="false" customHeight="false" outlineLevel="0" collapsed="false">
      <c r="A321" s="11"/>
      <c r="D321" s="10"/>
      <c r="E321" s="12"/>
      <c r="G321" s="30" t="str">
        <f aca="false">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ustomFormat="false" ht="15" hidden="false" customHeight="false" outlineLevel="0" collapsed="false">
      <c r="A322" s="11"/>
      <c r="D322" s="10"/>
      <c r="E322" s="12"/>
      <c r="G322" s="30" t="str">
        <f aca="false">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ustomFormat="false" ht="15" hidden="false" customHeight="false" outlineLevel="0" collapsed="false">
      <c r="A323" s="11"/>
      <c r="D323" s="10"/>
      <c r="E323" s="12"/>
      <c r="G323" s="30" t="str">
        <f aca="false">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ustomFormat="false" ht="15" hidden="false" customHeight="false" outlineLevel="0" collapsed="false">
      <c r="A324" s="11"/>
      <c r="D324" s="10"/>
      <c r="E324" s="12"/>
      <c r="G324" s="30" t="str">
        <f aca="false">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ustomFormat="false" ht="15" hidden="false" customHeight="false" outlineLevel="0" collapsed="false">
      <c r="A325" s="11"/>
      <c r="D325" s="10"/>
      <c r="E325" s="12"/>
      <c r="G325" s="30" t="str">
        <f aca="false">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ustomFormat="false" ht="15" hidden="false" customHeight="false" outlineLevel="0" collapsed="false">
      <c r="A326" s="11"/>
      <c r="D326" s="10"/>
      <c r="E326" s="12"/>
      <c r="G326" s="30" t="str">
        <f aca="false">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ustomFormat="false" ht="15" hidden="false" customHeight="false" outlineLevel="0" collapsed="false">
      <c r="A327" s="11"/>
      <c r="D327" s="10"/>
      <c r="E327" s="12"/>
      <c r="G327" s="30" t="str">
        <f aca="false">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ustomFormat="false" ht="15" hidden="false" customHeight="false" outlineLevel="0" collapsed="false">
      <c r="A328" s="11"/>
      <c r="D328" s="10"/>
      <c r="E328" s="12"/>
      <c r="G328" s="30" t="str">
        <f aca="false">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ustomFormat="false" ht="15" hidden="false" customHeight="false" outlineLevel="0" collapsed="false">
      <c r="A329" s="11"/>
      <c r="D329" s="10"/>
      <c r="E329" s="12"/>
      <c r="G329" s="30" t="str">
        <f aca="false">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ustomFormat="false" ht="15" hidden="false" customHeight="false" outlineLevel="0" collapsed="false">
      <c r="A330" s="11"/>
      <c r="D330" s="10"/>
      <c r="E330" s="12"/>
      <c r="G330" s="30" t="str">
        <f aca="false">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ustomFormat="false" ht="15" hidden="false" customHeight="false" outlineLevel="0" collapsed="false">
      <c r="A331" s="11"/>
      <c r="D331" s="10"/>
      <c r="E331" s="12"/>
      <c r="G331" s="30" t="str">
        <f aca="false">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ustomFormat="false" ht="15" hidden="false" customHeight="false" outlineLevel="0" collapsed="false">
      <c r="A332" s="11"/>
      <c r="D332" s="10"/>
      <c r="E332" s="12"/>
      <c r="G332" s="30" t="str">
        <f aca="false">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ustomFormat="false" ht="15" hidden="false" customHeight="false" outlineLevel="0" collapsed="false">
      <c r="A333" s="11"/>
      <c r="D333" s="10"/>
      <c r="E333" s="12"/>
      <c r="G333" s="30" t="str">
        <f aca="false">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ustomFormat="false" ht="15" hidden="false" customHeight="false" outlineLevel="0" collapsed="false">
      <c r="A334" s="11"/>
      <c r="D334" s="10"/>
      <c r="E334" s="12"/>
      <c r="G334" s="30" t="str">
        <f aca="false">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ustomFormat="false" ht="15" hidden="false" customHeight="false" outlineLevel="0" collapsed="false">
      <c r="A335" s="11"/>
      <c r="D335" s="10"/>
      <c r="E335" s="12"/>
      <c r="G335" s="30" t="str">
        <f aca="false">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ustomFormat="false" ht="15" hidden="false" customHeight="false" outlineLevel="0" collapsed="false">
      <c r="A336" s="11"/>
      <c r="D336" s="10"/>
      <c r="E336" s="12"/>
      <c r="G336" s="30" t="str">
        <f aca="false">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ustomFormat="false" ht="15" hidden="false" customHeight="false" outlineLevel="0" collapsed="false">
      <c r="A337" s="11"/>
      <c r="D337" s="10"/>
      <c r="E337" s="12"/>
      <c r="G337" s="30" t="str">
        <f aca="false">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ustomFormat="false" ht="15" hidden="false" customHeight="false" outlineLevel="0" collapsed="false">
      <c r="A338" s="11"/>
      <c r="D338" s="10"/>
      <c r="E338" s="12"/>
      <c r="G338" s="30" t="str">
        <f aca="false">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ustomFormat="false" ht="15" hidden="false" customHeight="false" outlineLevel="0" collapsed="false">
      <c r="A339" s="11"/>
      <c r="D339" s="10"/>
      <c r="E339" s="12"/>
      <c r="G339" s="30" t="str">
        <f aca="false">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ustomFormat="false" ht="15" hidden="false" customHeight="false" outlineLevel="0" collapsed="false">
      <c r="A340" s="11"/>
      <c r="D340" s="10"/>
      <c r="E340" s="12"/>
      <c r="G340" s="30" t="str">
        <f aca="false">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ustomFormat="false" ht="15" hidden="false" customHeight="false" outlineLevel="0" collapsed="false">
      <c r="A341" s="11"/>
      <c r="D341" s="10"/>
      <c r="E341" s="12"/>
      <c r="G341" s="30" t="str">
        <f aca="false">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ustomFormat="false" ht="15" hidden="false" customHeight="false" outlineLevel="0" collapsed="false">
      <c r="A342" s="11"/>
      <c r="D342" s="10"/>
      <c r="E342" s="12"/>
      <c r="G342" s="30" t="str">
        <f aca="false">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ustomFormat="false" ht="15" hidden="false" customHeight="false" outlineLevel="0" collapsed="false">
      <c r="A343" s="11"/>
      <c r="D343" s="10"/>
      <c r="E343" s="12"/>
      <c r="G343" s="30" t="str">
        <f aca="false">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ustomFormat="false" ht="15" hidden="false" customHeight="false" outlineLevel="0" collapsed="false">
      <c r="A344" s="11"/>
      <c r="D344" s="10"/>
      <c r="E344" s="12"/>
      <c r="G344" s="30" t="str">
        <f aca="false">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ustomFormat="false" ht="15" hidden="false" customHeight="false" outlineLevel="0" collapsed="false">
      <c r="A345" s="11"/>
      <c r="D345" s="10"/>
      <c r="E345" s="12"/>
      <c r="G345" s="30" t="str">
        <f aca="false">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ustomFormat="false" ht="15" hidden="false" customHeight="false" outlineLevel="0" collapsed="false">
      <c r="A346" s="11"/>
      <c r="D346" s="10"/>
      <c r="E346" s="12"/>
      <c r="G346" s="30" t="str">
        <f aca="false">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ustomFormat="false" ht="15" hidden="false" customHeight="false" outlineLevel="0" collapsed="false">
      <c r="A347" s="11"/>
      <c r="D347" s="10"/>
      <c r="E347" s="12"/>
      <c r="G347" s="30" t="str">
        <f aca="false">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ustomFormat="false" ht="15" hidden="false" customHeight="false" outlineLevel="0" collapsed="false">
      <c r="A348" s="11"/>
      <c r="D348" s="10"/>
      <c r="E348" s="12"/>
      <c r="G348" s="30" t="str">
        <f aca="false">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ustomFormat="false" ht="15" hidden="false" customHeight="false" outlineLevel="0" collapsed="false">
      <c r="A349" s="11"/>
      <c r="D349" s="10"/>
      <c r="E349" s="12"/>
      <c r="G349" s="30" t="str">
        <f aca="false">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ustomFormat="false" ht="15" hidden="false" customHeight="false" outlineLevel="0" collapsed="false">
      <c r="A350" s="11"/>
      <c r="D350" s="10"/>
      <c r="E350" s="12"/>
      <c r="G350" s="30" t="str">
        <f aca="false">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ustomFormat="false" ht="15" hidden="false" customHeight="false" outlineLevel="0" collapsed="false">
      <c r="A351" s="11"/>
      <c r="D351" s="10"/>
      <c r="E351" s="12"/>
      <c r="G351" s="30" t="str">
        <f aca="false">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ustomFormat="false" ht="15" hidden="false" customHeight="false" outlineLevel="0" collapsed="false">
      <c r="A352" s="11"/>
      <c r="D352" s="10"/>
      <c r="E352" s="12"/>
      <c r="G352" s="30" t="str">
        <f aca="false">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ustomFormat="false" ht="15" hidden="false" customHeight="false" outlineLevel="0" collapsed="false">
      <c r="A353" s="11"/>
      <c r="D353" s="10"/>
      <c r="E353" s="12"/>
      <c r="G353" s="30" t="str">
        <f aca="false">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ustomFormat="false" ht="15" hidden="false" customHeight="false" outlineLevel="0" collapsed="false">
      <c r="A354" s="11"/>
      <c r="D354" s="10"/>
      <c r="E354" s="12"/>
      <c r="G354" s="30" t="str">
        <f aca="false">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ustomFormat="false" ht="15" hidden="false" customHeight="false" outlineLevel="0" collapsed="false">
      <c r="A355" s="11"/>
      <c r="D355" s="10"/>
      <c r="E355" s="12"/>
      <c r="G355" s="30" t="str">
        <f aca="false">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ustomFormat="false" ht="15" hidden="false" customHeight="false" outlineLevel="0" collapsed="false">
      <c r="A356" s="11"/>
      <c r="D356" s="10"/>
      <c r="E356" s="12"/>
      <c r="G356" s="30" t="str">
        <f aca="false">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ustomFormat="false" ht="15" hidden="false" customHeight="false" outlineLevel="0" collapsed="false">
      <c r="A357" s="11"/>
      <c r="D357" s="10"/>
      <c r="E357" s="12"/>
      <c r="G357" s="30" t="str">
        <f aca="false">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ustomFormat="false" ht="15" hidden="false" customHeight="false" outlineLevel="0" collapsed="false">
      <c r="A358" s="11"/>
      <c r="D358" s="10"/>
      <c r="E358" s="12"/>
      <c r="G358" s="30" t="str">
        <f aca="false">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ustomFormat="false" ht="15" hidden="false" customHeight="false" outlineLevel="0" collapsed="false">
      <c r="A359" s="11"/>
      <c r="D359" s="10"/>
      <c r="E359" s="12"/>
      <c r="G359" s="30" t="str">
        <f aca="false">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ustomFormat="false" ht="15" hidden="false" customHeight="false" outlineLevel="0" collapsed="false">
      <c r="A360" s="11"/>
      <c r="D360" s="10"/>
      <c r="E360" s="12"/>
      <c r="G360" s="30" t="str">
        <f aca="false">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ustomFormat="false" ht="15" hidden="false" customHeight="false" outlineLevel="0" collapsed="false">
      <c r="A361" s="11"/>
      <c r="D361" s="10"/>
      <c r="E361" s="12"/>
      <c r="G361" s="30" t="str">
        <f aca="false">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ustomFormat="false" ht="15" hidden="false" customHeight="false" outlineLevel="0" collapsed="false">
      <c r="A362" s="11"/>
      <c r="D362" s="10"/>
      <c r="E362" s="12"/>
      <c r="G362" s="30" t="str">
        <f aca="false">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ustomFormat="false" ht="15" hidden="false" customHeight="false" outlineLevel="0" collapsed="false">
      <c r="A363" s="11"/>
      <c r="D363" s="10"/>
      <c r="E363" s="12"/>
      <c r="G363" s="30" t="str">
        <f aca="false">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ustomFormat="false" ht="15" hidden="false" customHeight="false" outlineLevel="0" collapsed="false">
      <c r="A364" s="11"/>
      <c r="D364" s="10"/>
      <c r="E364" s="12"/>
      <c r="G364" s="30" t="str">
        <f aca="false">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ustomFormat="false" ht="15" hidden="false" customHeight="false" outlineLevel="0" collapsed="false">
      <c r="A365" s="11"/>
      <c r="D365" s="10"/>
      <c r="E365" s="12"/>
      <c r="G365" s="30" t="str">
        <f aca="false">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ustomFormat="false" ht="15" hidden="false" customHeight="false" outlineLevel="0" collapsed="false">
      <c r="A366" s="11"/>
      <c r="D366" s="10"/>
      <c r="E366" s="12"/>
      <c r="G366" s="30" t="str">
        <f aca="false">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ustomFormat="false" ht="15" hidden="false" customHeight="false" outlineLevel="0" collapsed="false">
      <c r="A367" s="11"/>
      <c r="D367" s="10"/>
      <c r="E367" s="12"/>
      <c r="G367" s="30" t="str">
        <f aca="false">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ustomFormat="false" ht="15" hidden="false" customHeight="false" outlineLevel="0" collapsed="false">
      <c r="A368" s="11"/>
      <c r="D368" s="10"/>
      <c r="E368" s="12"/>
      <c r="G368" s="30" t="str">
        <f aca="false">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ustomFormat="false" ht="15" hidden="false" customHeight="false" outlineLevel="0" collapsed="false">
      <c r="A369" s="11"/>
      <c r="D369" s="10"/>
      <c r="E369" s="12"/>
      <c r="G369" s="30" t="str">
        <f aca="false">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ustomFormat="false" ht="15" hidden="false" customHeight="false" outlineLevel="0" collapsed="false">
      <c r="A370" s="11"/>
      <c r="D370" s="10"/>
      <c r="E370" s="12"/>
      <c r="G370" s="30" t="str">
        <f aca="false">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ustomFormat="false" ht="15" hidden="false" customHeight="false" outlineLevel="0" collapsed="false">
      <c r="A371" s="11"/>
      <c r="D371" s="10"/>
      <c r="E371" s="12"/>
      <c r="G371" s="30" t="str">
        <f aca="false">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ustomFormat="false" ht="15" hidden="false" customHeight="false" outlineLevel="0" collapsed="false">
      <c r="A372" s="11"/>
      <c r="D372" s="10"/>
      <c r="E372" s="12"/>
      <c r="G372" s="30" t="str">
        <f aca="false">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ustomFormat="false" ht="15" hidden="false" customHeight="false" outlineLevel="0" collapsed="false">
      <c r="A373" s="11"/>
      <c r="D373" s="10"/>
      <c r="E373" s="12"/>
      <c r="G373" s="30" t="str">
        <f aca="false">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ustomFormat="false" ht="15" hidden="false" customHeight="false" outlineLevel="0" collapsed="false">
      <c r="A374" s="11"/>
      <c r="D374" s="10"/>
      <c r="E374" s="12"/>
      <c r="G374" s="30" t="str">
        <f aca="false">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ustomFormat="false" ht="15" hidden="false" customHeight="false" outlineLevel="0" collapsed="false">
      <c r="A375" s="11"/>
      <c r="D375" s="10"/>
      <c r="E375" s="12"/>
      <c r="G375" s="30" t="str">
        <f aca="false">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ustomFormat="false" ht="15" hidden="false" customHeight="false" outlineLevel="0" collapsed="false">
      <c r="A376" s="11"/>
      <c r="D376" s="10"/>
      <c r="E376" s="12"/>
      <c r="G376" s="30" t="str">
        <f aca="false">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ustomFormat="false" ht="15" hidden="false" customHeight="false" outlineLevel="0" collapsed="false">
      <c r="A377" s="11"/>
      <c r="D377" s="10"/>
      <c r="E377" s="12"/>
      <c r="G377" s="30" t="str">
        <f aca="false">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ustomFormat="false" ht="15" hidden="false" customHeight="false" outlineLevel="0" collapsed="false">
      <c r="A378" s="11"/>
      <c r="D378" s="10"/>
      <c r="E378" s="12"/>
      <c r="G378" s="30" t="str">
        <f aca="false">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ustomFormat="false" ht="15" hidden="false" customHeight="false" outlineLevel="0" collapsed="false">
      <c r="A379" s="11"/>
      <c r="D379" s="10"/>
      <c r="E379" s="12"/>
      <c r="G379" s="30" t="str">
        <f aca="false">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ustomFormat="false" ht="15" hidden="false" customHeight="false" outlineLevel="0" collapsed="false">
      <c r="A380" s="11"/>
      <c r="D380" s="10"/>
      <c r="E380" s="12"/>
      <c r="G380" s="30" t="str">
        <f aca="false">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ustomFormat="false" ht="15" hidden="false" customHeight="false" outlineLevel="0" collapsed="false">
      <c r="A381" s="11"/>
      <c r="D381" s="10"/>
      <c r="E381" s="12"/>
      <c r="G381" s="30" t="str">
        <f aca="false">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ustomFormat="false" ht="15" hidden="false" customHeight="false" outlineLevel="0" collapsed="false">
      <c r="A382" s="11"/>
      <c r="D382" s="10"/>
      <c r="E382" s="12"/>
      <c r="G382" s="30" t="str">
        <f aca="false">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ustomFormat="false" ht="15" hidden="false" customHeight="false" outlineLevel="0" collapsed="false">
      <c r="A383" s="11"/>
      <c r="D383" s="10"/>
      <c r="E383" s="12"/>
      <c r="G383" s="30" t="str">
        <f aca="false">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ustomFormat="false" ht="15" hidden="false" customHeight="false" outlineLevel="0" collapsed="false">
      <c r="A384" s="11"/>
      <c r="D384" s="10"/>
      <c r="E384" s="12"/>
      <c r="G384" s="30" t="str">
        <f aca="false">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ustomFormat="false" ht="15" hidden="false" customHeight="false" outlineLevel="0" collapsed="false">
      <c r="A385" s="11"/>
      <c r="D385" s="10"/>
      <c r="E385" s="12"/>
      <c r="G385" s="30" t="str">
        <f aca="false">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ustomFormat="false" ht="15" hidden="false" customHeight="false" outlineLevel="0" collapsed="false">
      <c r="A386" s="11"/>
      <c r="D386" s="10"/>
      <c r="E386" s="12"/>
      <c r="G386" s="30" t="str">
        <f aca="false">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ustomFormat="false" ht="15" hidden="false" customHeight="false" outlineLevel="0" collapsed="false">
      <c r="A387" s="11"/>
      <c r="D387" s="10"/>
      <c r="E387" s="12"/>
      <c r="G387" s="30" t="str">
        <f aca="false">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ustomFormat="false" ht="15" hidden="false" customHeight="false" outlineLevel="0" collapsed="false">
      <c r="A388" s="11"/>
      <c r="D388" s="10"/>
      <c r="E388" s="12"/>
      <c r="G388" s="30" t="str">
        <f aca="false">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ustomFormat="false" ht="15" hidden="false" customHeight="false" outlineLevel="0" collapsed="false">
      <c r="A389" s="11"/>
      <c r="D389" s="10"/>
      <c r="E389" s="12"/>
      <c r="G389" s="30" t="str">
        <f aca="false">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ustomFormat="false" ht="15" hidden="false" customHeight="false" outlineLevel="0" collapsed="false">
      <c r="A390" s="11"/>
      <c r="D390" s="10"/>
      <c r="E390" s="12"/>
      <c r="G390" s="30" t="str">
        <f aca="false">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ustomFormat="false" ht="15" hidden="false" customHeight="false" outlineLevel="0" collapsed="false">
      <c r="A391" s="11"/>
      <c r="D391" s="10"/>
      <c r="E391" s="12"/>
      <c r="G391" s="30" t="str">
        <f aca="false">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ustomFormat="false" ht="15" hidden="false" customHeight="false" outlineLevel="0" collapsed="false">
      <c r="A392" s="11"/>
      <c r="D392" s="10"/>
      <c r="E392" s="12"/>
      <c r="G392" s="30" t="str">
        <f aca="false">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ustomFormat="false" ht="15" hidden="false" customHeight="false" outlineLevel="0" collapsed="false">
      <c r="A393" s="11"/>
      <c r="D393" s="10"/>
      <c r="E393" s="12"/>
      <c r="G393" s="30" t="str">
        <f aca="false">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ustomFormat="false" ht="15" hidden="false" customHeight="false" outlineLevel="0" collapsed="false">
      <c r="A394" s="11"/>
      <c r="D394" s="10"/>
      <c r="E394" s="12"/>
      <c r="G394" s="30" t="str">
        <f aca="false">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ustomFormat="false" ht="15" hidden="false" customHeight="false" outlineLevel="0" collapsed="false">
      <c r="A395" s="11"/>
      <c r="D395" s="10"/>
      <c r="E395" s="12"/>
      <c r="G395" s="30" t="str">
        <f aca="false">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ustomFormat="false" ht="15" hidden="false" customHeight="false" outlineLevel="0" collapsed="false">
      <c r="A396" s="11"/>
      <c r="D396" s="10"/>
      <c r="E396" s="12"/>
      <c r="G396" s="30" t="str">
        <f aca="false">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ustomFormat="false" ht="15" hidden="false" customHeight="false" outlineLevel="0" collapsed="false">
      <c r="A397" s="11"/>
      <c r="D397" s="10"/>
      <c r="E397" s="12"/>
      <c r="G397" s="30" t="str">
        <f aca="false">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ustomFormat="false" ht="15" hidden="false" customHeight="false" outlineLevel="0" collapsed="false">
      <c r="A398" s="11"/>
      <c r="D398" s="10"/>
      <c r="E398" s="12"/>
      <c r="G398" s="30" t="str">
        <f aca="false">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ustomFormat="false" ht="15" hidden="false" customHeight="false" outlineLevel="0" collapsed="false">
      <c r="A399" s="11"/>
      <c r="D399" s="10"/>
      <c r="E399" s="12"/>
      <c r="G399" s="30" t="str">
        <f aca="false">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ustomFormat="false" ht="15" hidden="false" customHeight="false" outlineLevel="0" collapsed="false">
      <c r="A400" s="11"/>
      <c r="D400" s="10"/>
      <c r="E400" s="12"/>
      <c r="G400" s="30" t="str">
        <f aca="false">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ustomFormat="false" ht="15" hidden="false" customHeight="false" outlineLevel="0" collapsed="false">
      <c r="A401" s="11"/>
      <c r="D401" s="10"/>
      <c r="E401" s="12"/>
      <c r="G401" s="30" t="str">
        <f aca="false">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ustomFormat="false" ht="15" hidden="false" customHeight="false" outlineLevel="0" collapsed="false">
      <c r="A402" s="11"/>
      <c r="D402" s="10"/>
      <c r="E402" s="12"/>
      <c r="G402" s="30" t="str">
        <f aca="false">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ustomFormat="false" ht="15" hidden="false" customHeight="false" outlineLevel="0" collapsed="false">
      <c r="A403" s="11"/>
      <c r="D403" s="10"/>
      <c r="E403" s="12"/>
      <c r="G403" s="30" t="str">
        <f aca="false">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ustomFormat="false" ht="15" hidden="false" customHeight="false" outlineLevel="0" collapsed="false">
      <c r="A404" s="11"/>
      <c r="D404" s="10"/>
      <c r="E404" s="12"/>
      <c r="G404" s="30" t="str">
        <f aca="false">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ustomFormat="false" ht="15" hidden="false" customHeight="false" outlineLevel="0" collapsed="false">
      <c r="A405" s="11"/>
      <c r="D405" s="10"/>
      <c r="E405" s="12"/>
      <c r="G405" s="30" t="str">
        <f aca="false">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ustomFormat="false" ht="15" hidden="false" customHeight="false" outlineLevel="0" collapsed="false">
      <c r="A406" s="11"/>
      <c r="D406" s="10"/>
      <c r="E406" s="12"/>
      <c r="G406" s="30" t="str">
        <f aca="false">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ustomFormat="false" ht="15" hidden="false" customHeight="false" outlineLevel="0" collapsed="false">
      <c r="A407" s="11"/>
      <c r="D407" s="10"/>
      <c r="E407" s="12"/>
      <c r="G407" s="30" t="str">
        <f aca="false">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ustomFormat="false" ht="15" hidden="false" customHeight="false" outlineLevel="0" collapsed="false">
      <c r="A408" s="11"/>
      <c r="D408" s="10"/>
      <c r="E408" s="12"/>
      <c r="G408" s="30" t="str">
        <f aca="false">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ustomFormat="false" ht="15" hidden="false" customHeight="false" outlineLevel="0" collapsed="false">
      <c r="A409" s="11"/>
      <c r="D409" s="10"/>
      <c r="E409" s="12"/>
      <c r="G409" s="30" t="str">
        <f aca="false">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ustomFormat="false" ht="15" hidden="false" customHeight="false" outlineLevel="0" collapsed="false">
      <c r="A410" s="11"/>
      <c r="D410" s="10"/>
      <c r="E410" s="12"/>
      <c r="G410" s="30" t="str">
        <f aca="false">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ustomFormat="false" ht="15" hidden="false" customHeight="false" outlineLevel="0" collapsed="false">
      <c r="A411" s="11"/>
      <c r="D411" s="10"/>
      <c r="E411" s="12"/>
      <c r="G411" s="30" t="str">
        <f aca="false">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ustomFormat="false" ht="15" hidden="false" customHeight="false" outlineLevel="0" collapsed="false">
      <c r="A412" s="11"/>
      <c r="D412" s="10"/>
      <c r="E412" s="12"/>
      <c r="G412" s="30" t="str">
        <f aca="false">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ustomFormat="false" ht="15" hidden="false" customHeight="false" outlineLevel="0" collapsed="false">
      <c r="A413" s="11"/>
      <c r="D413" s="10"/>
      <c r="E413" s="12"/>
      <c r="G413" s="30" t="str">
        <f aca="false">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ustomFormat="false" ht="15" hidden="false" customHeight="false" outlineLevel="0" collapsed="false">
      <c r="A414" s="11"/>
      <c r="D414" s="10"/>
      <c r="E414" s="12"/>
      <c r="G414" s="30" t="str">
        <f aca="false">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ustomFormat="false" ht="15" hidden="false" customHeight="false" outlineLevel="0" collapsed="false">
      <c r="A415" s="11"/>
      <c r="D415" s="10"/>
      <c r="E415" s="12"/>
      <c r="G415" s="30" t="str">
        <f aca="false">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ustomFormat="false" ht="15" hidden="false" customHeight="false" outlineLevel="0" collapsed="false">
      <c r="A416" s="11"/>
      <c r="D416" s="10"/>
      <c r="E416" s="12"/>
      <c r="G416" s="30" t="str">
        <f aca="false">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ustomFormat="false" ht="15" hidden="false" customHeight="false" outlineLevel="0" collapsed="false">
      <c r="A417" s="11"/>
      <c r="D417" s="10"/>
      <c r="E417" s="12"/>
      <c r="G417" s="30" t="str">
        <f aca="false">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ustomFormat="false" ht="15" hidden="false" customHeight="false" outlineLevel="0" collapsed="false">
      <c r="A418" s="11"/>
      <c r="D418" s="10"/>
      <c r="E418" s="12"/>
      <c r="G418" s="30" t="str">
        <f aca="false">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ustomFormat="false" ht="15" hidden="false" customHeight="false" outlineLevel="0" collapsed="false">
      <c r="A419" s="11"/>
      <c r="D419" s="10"/>
      <c r="E419" s="12"/>
      <c r="G419" s="30" t="str">
        <f aca="false">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ustomFormat="false" ht="15" hidden="false" customHeight="false" outlineLevel="0" collapsed="false">
      <c r="A420" s="11"/>
      <c r="D420" s="10"/>
      <c r="E420" s="12"/>
      <c r="G420" s="30" t="str">
        <f aca="false">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ustomFormat="false" ht="15" hidden="false" customHeight="false" outlineLevel="0" collapsed="false">
      <c r="A421" s="11"/>
      <c r="D421" s="10"/>
      <c r="E421" s="12"/>
      <c r="G421" s="30" t="str">
        <f aca="false">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ustomFormat="false" ht="15" hidden="false" customHeight="false" outlineLevel="0" collapsed="false">
      <c r="A422" s="11"/>
      <c r="D422" s="10"/>
      <c r="E422" s="12"/>
      <c r="G422" s="30" t="str">
        <f aca="false">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ustomFormat="false" ht="15" hidden="false" customHeight="false" outlineLevel="0" collapsed="false">
      <c r="A423" s="11"/>
      <c r="D423" s="10"/>
      <c r="E423" s="12"/>
      <c r="G423" s="30" t="str">
        <f aca="false">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ustomFormat="false" ht="15" hidden="false" customHeight="false" outlineLevel="0" collapsed="false">
      <c r="A424" s="11"/>
      <c r="D424" s="10"/>
      <c r="E424" s="12"/>
      <c r="G424" s="30" t="str">
        <f aca="false">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ustomFormat="false" ht="15" hidden="false" customHeight="false" outlineLevel="0" collapsed="false">
      <c r="A425" s="11"/>
      <c r="D425" s="10"/>
      <c r="E425" s="12"/>
      <c r="G425" s="30" t="str">
        <f aca="false">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ustomFormat="false" ht="15" hidden="false" customHeight="false" outlineLevel="0" collapsed="false">
      <c r="A426" s="11"/>
      <c r="D426" s="10"/>
      <c r="E426" s="12"/>
      <c r="G426" s="30" t="str">
        <f aca="false">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ustomFormat="false" ht="15" hidden="false" customHeight="false" outlineLevel="0" collapsed="false">
      <c r="A427" s="11"/>
      <c r="D427" s="10"/>
      <c r="E427" s="12"/>
      <c r="G427" s="30" t="str">
        <f aca="false">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ustomFormat="false" ht="15" hidden="false" customHeight="false" outlineLevel="0" collapsed="false">
      <c r="A428" s="11"/>
      <c r="D428" s="10"/>
      <c r="E428" s="12"/>
      <c r="G428" s="30" t="str">
        <f aca="false">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ustomFormat="false" ht="15" hidden="false" customHeight="false" outlineLevel="0" collapsed="false">
      <c r="A429" s="11"/>
      <c r="D429" s="10"/>
      <c r="E429" s="12"/>
      <c r="G429" s="30" t="str">
        <f aca="false">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ustomFormat="false" ht="15" hidden="false" customHeight="false" outlineLevel="0" collapsed="false">
      <c r="A430" s="11"/>
      <c r="D430" s="10"/>
      <c r="E430" s="12"/>
      <c r="G430" s="30" t="str">
        <f aca="false">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ustomFormat="false" ht="15" hidden="false" customHeight="false" outlineLevel="0" collapsed="false">
      <c r="A431" s="11"/>
      <c r="D431" s="10"/>
      <c r="E431" s="12"/>
      <c r="G431" s="30" t="str">
        <f aca="false">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ustomFormat="false" ht="15" hidden="false" customHeight="false" outlineLevel="0" collapsed="false">
      <c r="A432" s="11"/>
      <c r="D432" s="10"/>
      <c r="E432" s="12"/>
      <c r="G432" s="30" t="str">
        <f aca="false">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ustomFormat="false" ht="15" hidden="false" customHeight="false" outlineLevel="0" collapsed="false">
      <c r="A433" s="11"/>
      <c r="D433" s="10"/>
      <c r="E433" s="12"/>
      <c r="G433" s="30" t="str">
        <f aca="false">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ustomFormat="false" ht="15" hidden="false" customHeight="false" outlineLevel="0" collapsed="false">
      <c r="A434" s="11"/>
      <c r="D434" s="10"/>
      <c r="E434" s="12"/>
      <c r="G434" s="30" t="str">
        <f aca="false">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ustomFormat="false" ht="15" hidden="false" customHeight="false" outlineLevel="0" collapsed="false">
      <c r="A435" s="11"/>
      <c r="D435" s="10"/>
      <c r="E435" s="12"/>
      <c r="G435" s="30" t="str">
        <f aca="false">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ustomFormat="false" ht="15" hidden="false" customHeight="false" outlineLevel="0" collapsed="false">
      <c r="A436" s="11"/>
      <c r="D436" s="10"/>
      <c r="E436" s="12"/>
      <c r="G436" s="30" t="str">
        <f aca="false">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ustomFormat="false" ht="15" hidden="false" customHeight="false" outlineLevel="0" collapsed="false">
      <c r="A437" s="11"/>
      <c r="D437" s="10"/>
      <c r="E437" s="12"/>
      <c r="G437" s="30" t="str">
        <f aca="false">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ustomFormat="false" ht="15" hidden="false" customHeight="false" outlineLevel="0" collapsed="false">
      <c r="A438" s="11"/>
      <c r="D438" s="10"/>
      <c r="E438" s="12"/>
      <c r="G438" s="30" t="str">
        <f aca="false">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ustomFormat="false" ht="15" hidden="false" customHeight="false" outlineLevel="0" collapsed="false">
      <c r="A439" s="11"/>
      <c r="D439" s="10"/>
      <c r="E439" s="12"/>
      <c r="G439" s="30" t="str">
        <f aca="false">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ustomFormat="false" ht="15" hidden="false" customHeight="false" outlineLevel="0" collapsed="false">
      <c r="A440" s="11"/>
      <c r="D440" s="10"/>
      <c r="E440" s="12"/>
      <c r="G440" s="30" t="str">
        <f aca="false">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ustomFormat="false" ht="15" hidden="false" customHeight="false" outlineLevel="0" collapsed="false">
      <c r="A441" s="11"/>
      <c r="D441" s="10"/>
      <c r="E441" s="12"/>
      <c r="G441" s="30" t="str">
        <f aca="false">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ustomFormat="false" ht="15" hidden="false" customHeight="false" outlineLevel="0" collapsed="false">
      <c r="A442" s="11"/>
      <c r="D442" s="10"/>
      <c r="E442" s="12"/>
      <c r="G442" s="30" t="str">
        <f aca="false">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ustomFormat="false" ht="15" hidden="false" customHeight="false" outlineLevel="0" collapsed="false">
      <c r="A443" s="11"/>
      <c r="D443" s="10"/>
      <c r="E443" s="12"/>
      <c r="G443" s="30" t="str">
        <f aca="false">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ustomFormat="false" ht="15" hidden="false" customHeight="false" outlineLevel="0" collapsed="false">
      <c r="A444" s="11"/>
      <c r="D444" s="10"/>
      <c r="E444" s="12"/>
      <c r="G444" s="30" t="str">
        <f aca="false">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ustomFormat="false" ht="15" hidden="false" customHeight="false" outlineLevel="0" collapsed="false">
      <c r="A445" s="11"/>
      <c r="D445" s="10"/>
      <c r="E445" s="12"/>
      <c r="G445" s="30" t="str">
        <f aca="false">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ustomFormat="false" ht="15" hidden="false" customHeight="false" outlineLevel="0" collapsed="false">
      <c r="A446" s="11"/>
      <c r="D446" s="10"/>
      <c r="E446" s="12"/>
      <c r="G446" s="30" t="str">
        <f aca="false">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ustomFormat="false" ht="15" hidden="false" customHeight="false" outlineLevel="0" collapsed="false">
      <c r="A447" s="11"/>
      <c r="D447" s="10"/>
      <c r="E447" s="12"/>
      <c r="G447" s="30" t="str">
        <f aca="false">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ustomFormat="false" ht="15" hidden="false" customHeight="false" outlineLevel="0" collapsed="false">
      <c r="A448" s="11"/>
      <c r="D448" s="10"/>
      <c r="E448" s="12"/>
      <c r="G448" s="30" t="str">
        <f aca="false">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ustomFormat="false" ht="15" hidden="false" customHeight="false" outlineLevel="0" collapsed="false">
      <c r="A449" s="11"/>
      <c r="D449" s="10"/>
      <c r="E449" s="12"/>
      <c r="G449" s="30" t="str">
        <f aca="false">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ustomFormat="false" ht="15" hidden="false" customHeight="false" outlineLevel="0" collapsed="false">
      <c r="A450" s="11"/>
      <c r="D450" s="10"/>
      <c r="E450" s="12"/>
      <c r="G450" s="30" t="str">
        <f aca="false">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ustomFormat="false" ht="15" hidden="false" customHeight="false" outlineLevel="0" collapsed="false">
      <c r="A451" s="11"/>
      <c r="D451" s="10"/>
      <c r="E451" s="12"/>
      <c r="G451" s="30" t="str">
        <f aca="false">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ustomFormat="false" ht="15" hidden="false" customHeight="false" outlineLevel="0" collapsed="false">
      <c r="A452" s="11"/>
      <c r="D452" s="10"/>
      <c r="E452" s="12"/>
      <c r="G452" s="30" t="str">
        <f aca="false">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ustomFormat="false" ht="15" hidden="false" customHeight="false" outlineLevel="0" collapsed="false">
      <c r="A453" s="11"/>
      <c r="D453" s="10"/>
      <c r="E453" s="12"/>
      <c r="G453" s="30" t="str">
        <f aca="false">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ustomFormat="false" ht="15" hidden="false" customHeight="false" outlineLevel="0" collapsed="false">
      <c r="A454" s="11"/>
      <c r="D454" s="10"/>
      <c r="E454" s="12"/>
      <c r="G454" s="30" t="str">
        <f aca="false">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ustomFormat="false" ht="15" hidden="false" customHeight="false" outlineLevel="0" collapsed="false">
      <c r="A455" s="11"/>
      <c r="D455" s="10"/>
      <c r="E455" s="12"/>
      <c r="G455" s="30" t="str">
        <f aca="false">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ustomFormat="false" ht="15" hidden="false" customHeight="false" outlineLevel="0" collapsed="false">
      <c r="A456" s="11"/>
      <c r="D456" s="10"/>
      <c r="E456" s="12"/>
      <c r="G456" s="30" t="str">
        <f aca="false">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ustomFormat="false" ht="15" hidden="false" customHeight="false" outlineLevel="0" collapsed="false">
      <c r="A457" s="11"/>
      <c r="D457" s="10"/>
      <c r="E457" s="12"/>
      <c r="G457" s="30" t="str">
        <f aca="false">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ustomFormat="false" ht="15" hidden="false" customHeight="false" outlineLevel="0" collapsed="false">
      <c r="A458" s="11"/>
      <c r="D458" s="10"/>
      <c r="E458" s="12"/>
      <c r="G458" s="30" t="str">
        <f aca="false">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ustomFormat="false" ht="15" hidden="false" customHeight="false" outlineLevel="0" collapsed="false">
      <c r="A459" s="11"/>
      <c r="D459" s="10"/>
      <c r="E459" s="12"/>
      <c r="G459" s="30" t="str">
        <f aca="false">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ustomFormat="false" ht="15" hidden="false" customHeight="false" outlineLevel="0" collapsed="false">
      <c r="A460" s="11"/>
      <c r="D460" s="10"/>
      <c r="E460" s="12"/>
      <c r="G460" s="30" t="str">
        <f aca="false">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ustomFormat="false" ht="15" hidden="false" customHeight="false" outlineLevel="0" collapsed="false">
      <c r="A461" s="11"/>
      <c r="D461" s="10"/>
      <c r="E461" s="12"/>
      <c r="G461" s="30" t="str">
        <f aca="false">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ustomFormat="false" ht="15" hidden="false" customHeight="false" outlineLevel="0" collapsed="false">
      <c r="A462" s="11"/>
      <c r="D462" s="10"/>
      <c r="E462" s="12"/>
      <c r="G462" s="30" t="str">
        <f aca="false">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ustomFormat="false" ht="15" hidden="false" customHeight="false" outlineLevel="0" collapsed="false">
      <c r="A463" s="11"/>
      <c r="D463" s="10"/>
      <c r="E463" s="12"/>
      <c r="G463" s="30" t="str">
        <f aca="false">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ustomFormat="false" ht="15" hidden="false" customHeight="false" outlineLevel="0" collapsed="false">
      <c r="A464" s="11"/>
      <c r="D464" s="10"/>
      <c r="E464" s="12"/>
      <c r="G464" s="30" t="str">
        <f aca="false">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ustomFormat="false" ht="15" hidden="false" customHeight="false" outlineLevel="0" collapsed="false">
      <c r="A465" s="11"/>
      <c r="D465" s="10"/>
      <c r="E465" s="12"/>
      <c r="G465" s="30" t="str">
        <f aca="false">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ustomFormat="false" ht="15" hidden="false" customHeight="false" outlineLevel="0" collapsed="false">
      <c r="A466" s="11"/>
      <c r="D466" s="10"/>
      <c r="E466" s="12"/>
      <c r="G466" s="30" t="str">
        <f aca="false">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ustomFormat="false" ht="15" hidden="false" customHeight="false" outlineLevel="0" collapsed="false">
      <c r="A467" s="11"/>
      <c r="D467" s="10"/>
      <c r="E467" s="12"/>
      <c r="G467" s="30" t="str">
        <f aca="false">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ustomFormat="false" ht="15" hidden="false" customHeight="false" outlineLevel="0" collapsed="false">
      <c r="A468" s="11"/>
      <c r="D468" s="10"/>
      <c r="E468" s="12"/>
      <c r="G468" s="30" t="str">
        <f aca="false">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ustomFormat="false" ht="15" hidden="false" customHeight="false" outlineLevel="0" collapsed="false">
      <c r="A469" s="11"/>
      <c r="D469" s="10"/>
      <c r="E469" s="12"/>
      <c r="G469" s="30" t="str">
        <f aca="false">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ustomFormat="false" ht="15" hidden="false" customHeight="false" outlineLevel="0" collapsed="false">
      <c r="A470" s="11"/>
      <c r="D470" s="10"/>
      <c r="E470" s="12"/>
      <c r="G470" s="30" t="str">
        <f aca="false">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ustomFormat="false" ht="15" hidden="false" customHeight="false" outlineLevel="0" collapsed="false">
      <c r="A471" s="11"/>
      <c r="D471" s="10"/>
      <c r="E471" s="12"/>
      <c r="G471" s="30" t="str">
        <f aca="false">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ustomFormat="false" ht="15" hidden="false" customHeight="false" outlineLevel="0" collapsed="false">
      <c r="A472" s="11"/>
      <c r="D472" s="10"/>
      <c r="E472" s="12"/>
      <c r="G472" s="30" t="str">
        <f aca="false">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ustomFormat="false" ht="15" hidden="false" customHeight="false" outlineLevel="0" collapsed="false">
      <c r="A473" s="11"/>
      <c r="D473" s="10"/>
      <c r="E473" s="12"/>
      <c r="G473" s="30" t="str">
        <f aca="false">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ustomFormat="false" ht="15" hidden="false" customHeight="false" outlineLevel="0" collapsed="false">
      <c r="A474" s="11"/>
      <c r="D474" s="10"/>
      <c r="E474" s="12"/>
      <c r="G474" s="30" t="str">
        <f aca="false">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ustomFormat="false" ht="15" hidden="false" customHeight="false" outlineLevel="0" collapsed="false">
      <c r="A475" s="11"/>
      <c r="D475" s="10"/>
      <c r="E475" s="12"/>
      <c r="G475" s="30" t="str">
        <f aca="false">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ustomFormat="false" ht="15" hidden="false" customHeight="false" outlineLevel="0" collapsed="false">
      <c r="A476" s="11"/>
      <c r="D476" s="10"/>
      <c r="E476" s="12"/>
      <c r="G476" s="30" t="str">
        <f aca="false">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ustomFormat="false" ht="15" hidden="false" customHeight="false" outlineLevel="0" collapsed="false">
      <c r="A477" s="11"/>
      <c r="D477" s="10"/>
      <c r="E477" s="12"/>
      <c r="G477" s="30" t="str">
        <f aca="false">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ustomFormat="false" ht="15" hidden="false" customHeight="false" outlineLevel="0" collapsed="false">
      <c r="A478" s="11"/>
      <c r="D478" s="10"/>
      <c r="E478" s="12"/>
      <c r="G478" s="30" t="str">
        <f aca="false">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ustomFormat="false" ht="15" hidden="false" customHeight="false" outlineLevel="0" collapsed="false">
      <c r="A479" s="11"/>
      <c r="D479" s="10"/>
      <c r="E479" s="12"/>
      <c r="G479" s="30" t="str">
        <f aca="false">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ustomFormat="false" ht="15" hidden="false" customHeight="false" outlineLevel="0" collapsed="false">
      <c r="A480" s="11"/>
      <c r="D480" s="10"/>
      <c r="E480" s="12"/>
      <c r="G480" s="30" t="str">
        <f aca="false">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ustomFormat="false" ht="15" hidden="false" customHeight="false" outlineLevel="0" collapsed="false">
      <c r="A481" s="11"/>
      <c r="D481" s="10"/>
      <c r="E481" s="12"/>
      <c r="G481" s="30" t="str">
        <f aca="false">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ustomFormat="false" ht="15" hidden="false" customHeight="false" outlineLevel="0" collapsed="false">
      <c r="A482" s="11"/>
      <c r="D482" s="10"/>
      <c r="E482" s="12"/>
      <c r="G482" s="30" t="str">
        <f aca="false">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ustomFormat="false" ht="15" hidden="false" customHeight="false" outlineLevel="0" collapsed="false">
      <c r="A483" s="11"/>
      <c r="D483" s="10"/>
      <c r="E483" s="12"/>
      <c r="G483" s="30" t="str">
        <f aca="false">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ustomFormat="false" ht="15" hidden="false" customHeight="false" outlineLevel="0" collapsed="false">
      <c r="A484" s="11"/>
      <c r="D484" s="10"/>
      <c r="E484" s="12"/>
      <c r="G484" s="30" t="str">
        <f aca="false">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ustomFormat="false" ht="15" hidden="false" customHeight="false" outlineLevel="0" collapsed="false">
      <c r="A485" s="11"/>
      <c r="D485" s="10"/>
      <c r="E485" s="12"/>
      <c r="G485" s="30" t="str">
        <f aca="false">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ustomFormat="false" ht="15" hidden="false" customHeight="false" outlineLevel="0" collapsed="false">
      <c r="A486" s="11"/>
      <c r="D486" s="10"/>
      <c r="E486" s="12"/>
      <c r="G486" s="30" t="str">
        <f aca="false">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ustomFormat="false" ht="15" hidden="false" customHeight="false" outlineLevel="0" collapsed="false">
      <c r="A487" s="11"/>
      <c r="D487" s="10"/>
      <c r="E487" s="12"/>
      <c r="G487" s="30" t="str">
        <f aca="false">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ustomFormat="false" ht="15" hidden="false" customHeight="false" outlineLevel="0" collapsed="false">
      <c r="A488" s="11"/>
      <c r="D488" s="10"/>
      <c r="E488" s="12"/>
      <c r="G488" s="30" t="str">
        <f aca="false">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ustomFormat="false" ht="15" hidden="false" customHeight="false" outlineLevel="0" collapsed="false">
      <c r="A489" s="11"/>
      <c r="D489" s="10"/>
      <c r="E489" s="12"/>
      <c r="G489" s="30" t="str">
        <f aca="false">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ustomFormat="false" ht="15" hidden="false" customHeight="false" outlineLevel="0" collapsed="false">
      <c r="A490" s="11"/>
      <c r="D490" s="10"/>
      <c r="E490" s="12"/>
      <c r="G490" s="30" t="str">
        <f aca="false">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ustomFormat="false" ht="15" hidden="false" customHeight="false" outlineLevel="0" collapsed="false">
      <c r="A491" s="11"/>
      <c r="D491" s="10"/>
      <c r="E491" s="12"/>
      <c r="G491" s="30" t="str">
        <f aca="false">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ustomFormat="false" ht="15" hidden="false" customHeight="false" outlineLevel="0" collapsed="false">
      <c r="A492" s="11"/>
      <c r="D492" s="10"/>
      <c r="E492" s="12"/>
      <c r="G492" s="30" t="str">
        <f aca="false">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ustomFormat="false" ht="15" hidden="false" customHeight="false" outlineLevel="0" collapsed="false">
      <c r="A493" s="11"/>
      <c r="D493" s="10"/>
      <c r="E493" s="12"/>
      <c r="G493" s="30" t="str">
        <f aca="false">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ustomFormat="false" ht="15" hidden="false" customHeight="false" outlineLevel="0" collapsed="false">
      <c r="A494" s="11"/>
      <c r="D494" s="10"/>
      <c r="E494" s="12"/>
      <c r="G494" s="30" t="str">
        <f aca="false">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ustomFormat="false" ht="15" hidden="false" customHeight="false" outlineLevel="0" collapsed="false">
      <c r="A495" s="11"/>
      <c r="D495" s="10"/>
      <c r="E495" s="12"/>
      <c r="G495" s="30" t="str">
        <f aca="false">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ustomFormat="false" ht="15" hidden="false" customHeight="false" outlineLevel="0" collapsed="false">
      <c r="A496" s="11"/>
      <c r="D496" s="10"/>
      <c r="E496" s="12"/>
      <c r="G496" s="30" t="str">
        <f aca="false">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ustomFormat="false" ht="15" hidden="false" customHeight="false" outlineLevel="0" collapsed="false">
      <c r="A497" s="11"/>
      <c r="D497" s="10"/>
      <c r="E497" s="12"/>
      <c r="G497" s="30" t="str">
        <f aca="false">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ustomFormat="false" ht="15" hidden="false" customHeight="false" outlineLevel="0" collapsed="false">
      <c r="A498" s="11"/>
      <c r="D498" s="10"/>
      <c r="E498" s="12"/>
      <c r="G498" s="30" t="str">
        <f aca="false">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ustomFormat="false" ht="15" hidden="false" customHeight="false" outlineLevel="0" collapsed="false">
      <c r="A499" s="11"/>
      <c r="D499" s="10"/>
      <c r="E499" s="12"/>
      <c r="G499" s="30" t="str">
        <f aca="false">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ustomFormat="false" ht="15" hidden="false" customHeight="false" outlineLevel="0" collapsed="false">
      <c r="A500" s="11"/>
      <c r="D500" s="10"/>
      <c r="E500" s="12"/>
      <c r="G500" s="30" t="str">
        <f aca="false">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ustomFormat="false" ht="15" hidden="false" customHeight="false" outlineLevel="0" collapsed="false">
      <c r="A501" s="11"/>
      <c r="D501" s="10"/>
      <c r="E501" s="12"/>
      <c r="G501" s="30" t="str">
        <f aca="false">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ustomFormat="false" ht="15" hidden="false" customHeight="false" outlineLevel="0" collapsed="false">
      <c r="A502" s="11"/>
      <c r="D502" s="10"/>
      <c r="E502" s="12"/>
      <c r="G502" s="30" t="str">
        <f aca="false">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ustomFormat="false" ht="15" hidden="false" customHeight="false" outlineLevel="0" collapsed="false">
      <c r="A503" s="11"/>
      <c r="D503" s="10"/>
      <c r="E503" s="12"/>
      <c r="G503" s="30" t="str">
        <f aca="false">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ustomFormat="false" ht="15" hidden="false" customHeight="false" outlineLevel="0" collapsed="false">
      <c r="A504" s="11"/>
      <c r="D504" s="10"/>
      <c r="E504" s="12"/>
      <c r="G504" s="30" t="str">
        <f aca="false">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ustomFormat="false" ht="15" hidden="false" customHeight="false" outlineLevel="0" collapsed="false">
      <c r="A505" s="11"/>
      <c r="D505" s="10"/>
      <c r="E505" s="12"/>
      <c r="G505" s="30" t="str">
        <f aca="false">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ustomFormat="false" ht="15" hidden="false" customHeight="false" outlineLevel="0" collapsed="false">
      <c r="A506" s="11"/>
      <c r="D506" s="10"/>
      <c r="E506" s="12"/>
      <c r="G506" s="30" t="str">
        <f aca="false">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ustomFormat="false" ht="15" hidden="false" customHeight="false" outlineLevel="0" collapsed="false">
      <c r="A507" s="11"/>
      <c r="D507" s="10"/>
      <c r="E507" s="12"/>
      <c r="G507" s="30" t="str">
        <f aca="false">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ustomFormat="false" ht="15" hidden="false" customHeight="false" outlineLevel="0" collapsed="false">
      <c r="A508" s="11"/>
      <c r="D508" s="10"/>
      <c r="E508" s="12"/>
      <c r="G508" s="30" t="str">
        <f aca="false">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ustomFormat="false" ht="15" hidden="false" customHeight="false" outlineLevel="0" collapsed="false">
      <c r="A509" s="11"/>
      <c r="D509" s="10"/>
      <c r="E509" s="12"/>
      <c r="G509" s="30" t="str">
        <f aca="false">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ustomFormat="false" ht="15" hidden="false" customHeight="false" outlineLevel="0" collapsed="false">
      <c r="A510" s="11"/>
      <c r="D510" s="10"/>
      <c r="E510" s="12"/>
      <c r="G510" s="30" t="str">
        <f aca="false">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ustomFormat="false" ht="15" hidden="false" customHeight="false" outlineLevel="0" collapsed="false">
      <c r="A511" s="11"/>
      <c r="D511" s="10"/>
      <c r="E511" s="12"/>
      <c r="G511" s="30" t="str">
        <f aca="false">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ustomFormat="false" ht="15" hidden="false" customHeight="false" outlineLevel="0" collapsed="false">
      <c r="A512" s="11"/>
      <c r="D512" s="10"/>
      <c r="E512" s="12"/>
      <c r="G512" s="30" t="str">
        <f aca="false">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ustomFormat="false" ht="15" hidden="false" customHeight="false" outlineLevel="0" collapsed="false">
      <c r="A513" s="11"/>
      <c r="D513" s="10"/>
      <c r="E513" s="12"/>
      <c r="G513" s="30" t="str">
        <f aca="false">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ustomFormat="false" ht="15" hidden="false" customHeight="false" outlineLevel="0" collapsed="false">
      <c r="A514" s="11"/>
      <c r="D514" s="10"/>
      <c r="E514" s="12"/>
      <c r="G514" s="30" t="str">
        <f aca="false">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ustomFormat="false" ht="15" hidden="false" customHeight="false" outlineLevel="0" collapsed="false">
      <c r="A515" s="11"/>
      <c r="D515" s="10"/>
      <c r="E515" s="12"/>
      <c r="G515" s="30" t="str">
        <f aca="false">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ustomFormat="false" ht="15" hidden="false" customHeight="false" outlineLevel="0" collapsed="false">
      <c r="A516" s="11"/>
      <c r="D516" s="10"/>
      <c r="E516" s="12"/>
      <c r="G516" s="30" t="str">
        <f aca="false">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ustomFormat="false" ht="15" hidden="false" customHeight="false" outlineLevel="0" collapsed="false">
      <c r="A517" s="11"/>
      <c r="D517" s="10"/>
      <c r="E517" s="12"/>
      <c r="G517" s="30" t="str">
        <f aca="false">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ustomFormat="false" ht="15" hidden="false" customHeight="false" outlineLevel="0" collapsed="false">
      <c r="A518" s="11"/>
      <c r="D518" s="10"/>
      <c r="E518" s="12"/>
      <c r="G518" s="30" t="str">
        <f aca="false">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ustomFormat="false" ht="15" hidden="false" customHeight="false" outlineLevel="0" collapsed="false">
      <c r="A519" s="11"/>
      <c r="D519" s="10"/>
      <c r="E519" s="12"/>
      <c r="G519" s="30" t="str">
        <f aca="false">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ustomFormat="false" ht="15" hidden="false" customHeight="false" outlineLevel="0" collapsed="false">
      <c r="A520" s="11"/>
      <c r="D520" s="10"/>
      <c r="E520" s="12"/>
      <c r="G520" s="30" t="str">
        <f aca="false">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ustomFormat="false" ht="15" hidden="false" customHeight="false" outlineLevel="0" collapsed="false">
      <c r="A521" s="11"/>
      <c r="D521" s="10"/>
      <c r="E521" s="12"/>
      <c r="G521" s="30" t="str">
        <f aca="false">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ustomFormat="false" ht="15" hidden="false" customHeight="false" outlineLevel="0" collapsed="false">
      <c r="A522" s="11"/>
      <c r="D522" s="10"/>
      <c r="E522" s="12"/>
      <c r="G522" s="30" t="str">
        <f aca="false">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ustomFormat="false" ht="15" hidden="false" customHeight="false" outlineLevel="0" collapsed="false">
      <c r="A523" s="11"/>
      <c r="D523" s="10"/>
      <c r="E523" s="12"/>
      <c r="G523" s="30" t="str">
        <f aca="false">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ustomFormat="false" ht="15" hidden="false" customHeight="false" outlineLevel="0" collapsed="false">
      <c r="A524" s="11"/>
      <c r="D524" s="10"/>
      <c r="E524" s="12"/>
      <c r="G524" s="30" t="str">
        <f aca="false">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ustomFormat="false" ht="15" hidden="false" customHeight="false" outlineLevel="0" collapsed="false">
      <c r="A525" s="11"/>
      <c r="D525" s="10"/>
      <c r="E525" s="12"/>
      <c r="G525" s="30" t="str">
        <f aca="false">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ustomFormat="false" ht="15" hidden="false" customHeight="false" outlineLevel="0" collapsed="false">
      <c r="A526" s="11"/>
      <c r="D526" s="10"/>
      <c r="E526" s="12"/>
      <c r="G526" s="30" t="str">
        <f aca="false">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ustomFormat="false" ht="15" hidden="false" customHeight="false" outlineLevel="0" collapsed="false">
      <c r="A527" s="11"/>
      <c r="D527" s="10"/>
      <c r="E527" s="12"/>
      <c r="G527" s="30" t="str">
        <f aca="false">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ustomFormat="false" ht="15" hidden="false" customHeight="false" outlineLevel="0" collapsed="false">
      <c r="A528" s="11"/>
      <c r="D528" s="10"/>
      <c r="E528" s="12"/>
      <c r="G528" s="30" t="str">
        <f aca="false">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ustomFormat="false" ht="15" hidden="false" customHeight="false" outlineLevel="0" collapsed="false">
      <c r="A529" s="11"/>
      <c r="D529" s="10"/>
      <c r="E529" s="12"/>
      <c r="G529" s="30" t="str">
        <f aca="false">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ustomFormat="false" ht="15" hidden="false" customHeight="false" outlineLevel="0" collapsed="false">
      <c r="A530" s="11"/>
      <c r="D530" s="10"/>
      <c r="E530" s="12"/>
      <c r="G530" s="30" t="str">
        <f aca="false">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ustomFormat="false" ht="15" hidden="false" customHeight="false" outlineLevel="0" collapsed="false">
      <c r="A531" s="11"/>
      <c r="D531" s="10"/>
      <c r="E531" s="12"/>
      <c r="G531" s="30" t="str">
        <f aca="false">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ustomFormat="false" ht="15" hidden="false" customHeight="false" outlineLevel="0" collapsed="false">
      <c r="A532" s="11"/>
      <c r="D532" s="10"/>
      <c r="E532" s="12"/>
      <c r="G532" s="30" t="str">
        <f aca="false">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ustomFormat="false" ht="15" hidden="false" customHeight="false" outlineLevel="0" collapsed="false">
      <c r="A533" s="11"/>
      <c r="D533" s="10"/>
      <c r="E533" s="12"/>
      <c r="G533" s="30" t="str">
        <f aca="false">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ustomFormat="false" ht="15" hidden="false" customHeight="false" outlineLevel="0" collapsed="false">
      <c r="A534" s="11"/>
      <c r="D534" s="10"/>
      <c r="E534" s="12"/>
      <c r="G534" s="30" t="str">
        <f aca="false">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ustomFormat="false" ht="15" hidden="false" customHeight="false" outlineLevel="0" collapsed="false">
      <c r="A535" s="11"/>
      <c r="D535" s="10"/>
      <c r="E535" s="12"/>
      <c r="G535" s="30" t="str">
        <f aca="false">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ustomFormat="false" ht="15" hidden="false" customHeight="false" outlineLevel="0" collapsed="false">
      <c r="A536" s="11"/>
      <c r="D536" s="10"/>
      <c r="E536" s="12"/>
      <c r="G536" s="30" t="str">
        <f aca="false">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ustomFormat="false" ht="15" hidden="false" customHeight="false" outlineLevel="0" collapsed="false">
      <c r="A537" s="11"/>
      <c r="D537" s="10"/>
      <c r="E537" s="12"/>
      <c r="G537" s="30" t="str">
        <f aca="false">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ustomFormat="false" ht="15" hidden="false" customHeight="false" outlineLevel="0" collapsed="false">
      <c r="A538" s="11"/>
      <c r="D538" s="10"/>
      <c r="E538" s="12"/>
      <c r="G538" s="30" t="str">
        <f aca="false">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ustomFormat="false" ht="15" hidden="false" customHeight="false" outlineLevel="0" collapsed="false">
      <c r="A539" s="11"/>
      <c r="D539" s="10"/>
      <c r="E539" s="12"/>
      <c r="G539" s="30" t="str">
        <f aca="false">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ustomFormat="false" ht="15" hidden="false" customHeight="false" outlineLevel="0" collapsed="false">
      <c r="A540" s="11"/>
      <c r="D540" s="10"/>
      <c r="E540" s="12"/>
      <c r="G540" s="30" t="str">
        <f aca="false">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ustomFormat="false" ht="15" hidden="false" customHeight="false" outlineLevel="0" collapsed="false">
      <c r="A541" s="11"/>
      <c r="D541" s="10"/>
      <c r="E541" s="12"/>
      <c r="G541" s="30" t="str">
        <f aca="false">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ustomFormat="false" ht="15" hidden="false" customHeight="false" outlineLevel="0" collapsed="false">
      <c r="A542" s="11"/>
      <c r="D542" s="10"/>
      <c r="E542" s="12"/>
      <c r="G542" s="30" t="str">
        <f aca="false">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ustomFormat="false" ht="15" hidden="false" customHeight="false" outlineLevel="0" collapsed="false">
      <c r="A543" s="11"/>
      <c r="D543" s="10"/>
      <c r="E543" s="12"/>
      <c r="G543" s="30" t="str">
        <f aca="false">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ustomFormat="false" ht="15" hidden="false" customHeight="false" outlineLevel="0" collapsed="false">
      <c r="A544" s="11"/>
      <c r="D544" s="10"/>
      <c r="E544" s="12"/>
      <c r="G544" s="30" t="str">
        <f aca="false">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ustomFormat="false" ht="15" hidden="false" customHeight="false" outlineLevel="0" collapsed="false">
      <c r="A545" s="11"/>
      <c r="D545" s="10"/>
      <c r="E545" s="12"/>
      <c r="G545" s="30" t="str">
        <f aca="false">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ustomFormat="false" ht="15" hidden="false" customHeight="false" outlineLevel="0" collapsed="false">
      <c r="A546" s="11"/>
      <c r="D546" s="10"/>
      <c r="E546" s="12"/>
      <c r="G546" s="30" t="str">
        <f aca="false">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ustomFormat="false" ht="15" hidden="false" customHeight="false" outlineLevel="0" collapsed="false">
      <c r="A547" s="11"/>
      <c r="D547" s="10"/>
      <c r="E547" s="12"/>
      <c r="G547" s="30" t="str">
        <f aca="false">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ustomFormat="false" ht="15" hidden="false" customHeight="false" outlineLevel="0" collapsed="false">
      <c r="A548" s="11"/>
      <c r="D548" s="10"/>
      <c r="E548" s="12"/>
      <c r="G548" s="30" t="str">
        <f aca="false">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ustomFormat="false" ht="15" hidden="false" customHeight="false" outlineLevel="0" collapsed="false">
      <c r="A549" s="11"/>
      <c r="D549" s="10"/>
      <c r="E549" s="12"/>
      <c r="G549" s="30" t="str">
        <f aca="false">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ustomFormat="false" ht="15" hidden="false" customHeight="false" outlineLevel="0" collapsed="false">
      <c r="A550" s="11"/>
      <c r="D550" s="10"/>
      <c r="E550" s="12"/>
      <c r="G550" s="30" t="str">
        <f aca="false">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ustomFormat="false" ht="15" hidden="false" customHeight="false" outlineLevel="0" collapsed="false">
      <c r="A551" s="11"/>
      <c r="D551" s="10"/>
      <c r="E551" s="12"/>
      <c r="G551" s="30" t="str">
        <f aca="false">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ustomFormat="false" ht="15" hidden="false" customHeight="false" outlineLevel="0" collapsed="false">
      <c r="A552" s="11"/>
      <c r="D552" s="10"/>
      <c r="E552" s="12"/>
      <c r="G552" s="30" t="str">
        <f aca="false">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ustomFormat="false" ht="15" hidden="false" customHeight="false" outlineLevel="0" collapsed="false">
      <c r="A553" s="11"/>
      <c r="D553" s="10"/>
      <c r="E553" s="12"/>
      <c r="G553" s="30" t="str">
        <f aca="false">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ustomFormat="false" ht="15" hidden="false" customHeight="false" outlineLevel="0" collapsed="false">
      <c r="A554" s="11"/>
      <c r="D554" s="10"/>
      <c r="E554" s="12"/>
      <c r="G554" s="30" t="str">
        <f aca="false">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ustomFormat="false" ht="15" hidden="false" customHeight="false" outlineLevel="0" collapsed="false">
      <c r="A555" s="11"/>
      <c r="D555" s="10"/>
      <c r="E555" s="12"/>
      <c r="G555" s="30" t="str">
        <f aca="false">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ustomFormat="false" ht="15" hidden="false" customHeight="false" outlineLevel="0" collapsed="false">
      <c r="A556" s="11"/>
      <c r="D556" s="10"/>
      <c r="E556" s="12"/>
      <c r="G556" s="30" t="str">
        <f aca="false">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ustomFormat="false" ht="15" hidden="false" customHeight="false" outlineLevel="0" collapsed="false">
      <c r="A557" s="11"/>
      <c r="D557" s="10"/>
      <c r="E557" s="12"/>
      <c r="G557" s="30" t="str">
        <f aca="false">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ustomFormat="false" ht="15" hidden="false" customHeight="false" outlineLevel="0" collapsed="false">
      <c r="A558" s="11"/>
      <c r="D558" s="10"/>
      <c r="E558" s="12"/>
      <c r="G558" s="30" t="str">
        <f aca="false">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ustomFormat="false" ht="15" hidden="false" customHeight="false" outlineLevel="0" collapsed="false">
      <c r="A559" s="11"/>
      <c r="D559" s="10"/>
      <c r="E559" s="12"/>
      <c r="G559" s="30" t="str">
        <f aca="false">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ustomFormat="false" ht="15" hidden="false" customHeight="false" outlineLevel="0" collapsed="false">
      <c r="A560" s="11"/>
      <c r="D560" s="10"/>
      <c r="E560" s="12"/>
      <c r="G560" s="30" t="str">
        <f aca="false">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ustomFormat="false" ht="15" hidden="false" customHeight="false" outlineLevel="0" collapsed="false">
      <c r="A561" s="11"/>
      <c r="D561" s="10"/>
      <c r="E561" s="12"/>
      <c r="G561" s="30" t="str">
        <f aca="false">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ustomFormat="false" ht="15" hidden="false" customHeight="false" outlineLevel="0" collapsed="false">
      <c r="A562" s="11"/>
      <c r="D562" s="10"/>
      <c r="E562" s="12"/>
      <c r="G562" s="30" t="str">
        <f aca="false">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ustomFormat="false" ht="15" hidden="false" customHeight="false" outlineLevel="0" collapsed="false">
      <c r="A563" s="11"/>
      <c r="D563" s="10"/>
      <c r="E563" s="12"/>
      <c r="G563" s="30" t="str">
        <f aca="false">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ustomFormat="false" ht="15" hidden="false" customHeight="false" outlineLevel="0" collapsed="false">
      <c r="A564" s="11"/>
      <c r="D564" s="10"/>
      <c r="E564" s="12"/>
      <c r="G564" s="30" t="str">
        <f aca="false">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ustomFormat="false" ht="15" hidden="false" customHeight="false" outlineLevel="0" collapsed="false">
      <c r="A565" s="11"/>
      <c r="D565" s="10"/>
      <c r="E565" s="12"/>
      <c r="G565" s="30" t="str">
        <f aca="false">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ustomFormat="false" ht="15" hidden="false" customHeight="false" outlineLevel="0" collapsed="false">
      <c r="A566" s="11"/>
      <c r="D566" s="10"/>
      <c r="E566" s="12"/>
      <c r="G566" s="30" t="str">
        <f aca="false">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ustomFormat="false" ht="15" hidden="false" customHeight="false" outlineLevel="0" collapsed="false">
      <c r="A567" s="11"/>
      <c r="D567" s="10"/>
      <c r="E567" s="12"/>
      <c r="G567" s="30" t="str">
        <f aca="false">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ustomFormat="false" ht="15" hidden="false" customHeight="false" outlineLevel="0" collapsed="false">
      <c r="A568" s="11"/>
      <c r="D568" s="10"/>
      <c r="E568" s="12"/>
      <c r="G568" s="30" t="str">
        <f aca="false">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ustomFormat="false" ht="15" hidden="false" customHeight="false" outlineLevel="0" collapsed="false">
      <c r="A569" s="11"/>
      <c r="D569" s="10"/>
      <c r="E569" s="12"/>
      <c r="G569" s="30" t="str">
        <f aca="false">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ustomFormat="false" ht="15" hidden="false" customHeight="false" outlineLevel="0" collapsed="false">
      <c r="A570" s="11"/>
      <c r="D570" s="10"/>
      <c r="E570" s="12"/>
      <c r="G570" s="30" t="str">
        <f aca="false">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ustomFormat="false" ht="15" hidden="false" customHeight="false" outlineLevel="0" collapsed="false">
      <c r="A571" s="11"/>
      <c r="D571" s="10"/>
      <c r="E571" s="12"/>
      <c r="G571" s="30" t="str">
        <f aca="false">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ustomFormat="false" ht="15" hidden="false" customHeight="false" outlineLevel="0" collapsed="false">
      <c r="A572" s="11"/>
      <c r="D572" s="10"/>
      <c r="E572" s="12"/>
      <c r="G572" s="30" t="str">
        <f aca="false">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ustomFormat="false" ht="15" hidden="false" customHeight="false" outlineLevel="0" collapsed="false">
      <c r="A573" s="11"/>
      <c r="D573" s="10"/>
      <c r="E573" s="12"/>
      <c r="G573" s="30" t="str">
        <f aca="false">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ustomFormat="false" ht="15" hidden="false" customHeight="false" outlineLevel="0" collapsed="false">
      <c r="A574" s="11"/>
      <c r="D574" s="10"/>
      <c r="E574" s="12"/>
      <c r="G574" s="30" t="str">
        <f aca="false">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ustomFormat="false" ht="15" hidden="false" customHeight="false" outlineLevel="0" collapsed="false">
      <c r="A575" s="11"/>
      <c r="D575" s="10"/>
      <c r="E575" s="12"/>
      <c r="G575" s="30" t="str">
        <f aca="false">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ustomFormat="false" ht="15" hidden="false" customHeight="false" outlineLevel="0" collapsed="false">
      <c r="A576" s="11"/>
      <c r="D576" s="10"/>
      <c r="E576" s="12"/>
      <c r="G576" s="30" t="str">
        <f aca="false">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ustomFormat="false" ht="15" hidden="false" customHeight="false" outlineLevel="0" collapsed="false">
      <c r="A577" s="11"/>
      <c r="D577" s="10"/>
      <c r="E577" s="12"/>
      <c r="G577" s="30" t="str">
        <f aca="false">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ustomFormat="false" ht="15" hidden="false" customHeight="false" outlineLevel="0" collapsed="false">
      <c r="A578" s="11"/>
      <c r="D578" s="10"/>
      <c r="E578" s="12"/>
      <c r="G578" s="30" t="str">
        <f aca="false">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ustomFormat="false" ht="15" hidden="false" customHeight="false" outlineLevel="0" collapsed="false">
      <c r="A579" s="11"/>
      <c r="D579" s="10"/>
      <c r="E579" s="12"/>
      <c r="G579" s="30" t="str">
        <f aca="false">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ustomFormat="false" ht="15" hidden="false" customHeight="false" outlineLevel="0" collapsed="false">
      <c r="A580" s="11"/>
      <c r="D580" s="10"/>
      <c r="E580" s="12"/>
      <c r="G580" s="30" t="str">
        <f aca="false">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ustomFormat="false" ht="15" hidden="false" customHeight="false" outlineLevel="0" collapsed="false">
      <c r="A581" s="11"/>
      <c r="D581" s="10"/>
      <c r="E581" s="12"/>
      <c r="G581" s="30" t="str">
        <f aca="false">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ustomFormat="false" ht="15" hidden="false" customHeight="false" outlineLevel="0" collapsed="false">
      <c r="A582" s="11"/>
      <c r="D582" s="10"/>
      <c r="E582" s="12"/>
      <c r="G582" s="30" t="str">
        <f aca="false">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ustomFormat="false" ht="15" hidden="false" customHeight="false" outlineLevel="0" collapsed="false">
      <c r="A583" s="11"/>
      <c r="D583" s="10"/>
      <c r="E583" s="12"/>
      <c r="G583" s="30" t="str">
        <f aca="false">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ustomFormat="false" ht="15" hidden="false" customHeight="false" outlineLevel="0" collapsed="false">
      <c r="A584" s="11"/>
      <c r="D584" s="10"/>
      <c r="E584" s="12"/>
      <c r="G584" s="30" t="str">
        <f aca="false">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ustomFormat="false" ht="15" hidden="false" customHeight="false" outlineLevel="0" collapsed="false">
      <c r="A585" s="11"/>
      <c r="D585" s="10"/>
      <c r="E585" s="12"/>
      <c r="G585" s="30" t="str">
        <f aca="false">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ustomFormat="false" ht="15" hidden="false" customHeight="false" outlineLevel="0" collapsed="false">
      <c r="A586" s="11"/>
      <c r="D586" s="10"/>
      <c r="E586" s="12"/>
      <c r="G586" s="30" t="str">
        <f aca="false">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ustomFormat="false" ht="15" hidden="false" customHeight="false" outlineLevel="0" collapsed="false">
      <c r="A587" s="11"/>
      <c r="D587" s="10"/>
      <c r="E587" s="12"/>
      <c r="G587" s="30" t="str">
        <f aca="false">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ustomFormat="false" ht="15" hidden="false" customHeight="false" outlineLevel="0" collapsed="false">
      <c r="A588" s="11"/>
      <c r="D588" s="10"/>
      <c r="E588" s="12"/>
      <c r="G588" s="30" t="str">
        <f aca="false">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ustomFormat="false" ht="15" hidden="false" customHeight="false" outlineLevel="0" collapsed="false">
      <c r="A589" s="11"/>
      <c r="D589" s="10"/>
      <c r="E589" s="12"/>
      <c r="G589" s="30" t="str">
        <f aca="false">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ustomFormat="false" ht="15" hidden="false" customHeight="false" outlineLevel="0" collapsed="false">
      <c r="A590" s="11"/>
      <c r="D590" s="10"/>
      <c r="E590" s="12"/>
      <c r="G590" s="30" t="str">
        <f aca="false">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ustomFormat="false" ht="15" hidden="false" customHeight="false" outlineLevel="0" collapsed="false">
      <c r="A591" s="11"/>
      <c r="D591" s="10"/>
      <c r="E591" s="12"/>
      <c r="G591" s="30" t="str">
        <f aca="false">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ustomFormat="false" ht="15" hidden="false" customHeight="false" outlineLevel="0" collapsed="false">
      <c r="A592" s="11"/>
      <c r="D592" s="10"/>
      <c r="E592" s="12"/>
      <c r="G592" s="30" t="str">
        <f aca="false">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ustomFormat="false" ht="15" hidden="false" customHeight="false" outlineLevel="0" collapsed="false">
      <c r="A593" s="11"/>
      <c r="D593" s="10"/>
      <c r="E593" s="12"/>
      <c r="G593" s="30" t="str">
        <f aca="false">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ustomFormat="false" ht="15" hidden="false" customHeight="false" outlineLevel="0" collapsed="false">
      <c r="A594" s="11"/>
      <c r="D594" s="10"/>
      <c r="E594" s="12"/>
      <c r="G594" s="30" t="str">
        <f aca="false">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ustomFormat="false" ht="15" hidden="false" customHeight="false" outlineLevel="0" collapsed="false">
      <c r="A595" s="11"/>
      <c r="D595" s="10"/>
      <c r="E595" s="12"/>
      <c r="G595" s="30" t="str">
        <f aca="false">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ustomFormat="false" ht="15" hidden="false" customHeight="false" outlineLevel="0" collapsed="false">
      <c r="A596" s="11"/>
      <c r="D596" s="10"/>
      <c r="E596" s="12"/>
      <c r="G596" s="30" t="str">
        <f aca="false">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ustomFormat="false" ht="15" hidden="false" customHeight="false" outlineLevel="0" collapsed="false">
      <c r="A597" s="11"/>
      <c r="D597" s="10"/>
      <c r="E597" s="12"/>
      <c r="G597" s="30" t="str">
        <f aca="false">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ustomFormat="false" ht="15" hidden="false" customHeight="false" outlineLevel="0" collapsed="false">
      <c r="A598" s="11"/>
      <c r="D598" s="10"/>
      <c r="E598" s="12"/>
      <c r="G598" s="30" t="str">
        <f aca="false">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ustomFormat="false" ht="15" hidden="false" customHeight="false" outlineLevel="0" collapsed="false">
      <c r="A599" s="11"/>
      <c r="D599" s="10"/>
      <c r="E599" s="12"/>
      <c r="G599" s="30" t="str">
        <f aca="false">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ustomFormat="false" ht="15" hidden="false" customHeight="false" outlineLevel="0" collapsed="false">
      <c r="A600" s="11"/>
      <c r="D600" s="10"/>
      <c r="E600" s="12"/>
      <c r="G600" s="30" t="str">
        <f aca="false">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ustomFormat="false" ht="15" hidden="false" customHeight="false" outlineLevel="0" collapsed="false">
      <c r="A601" s="11"/>
      <c r="D601" s="10"/>
      <c r="E601" s="12"/>
      <c r="G601" s="30" t="str">
        <f aca="false">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ustomFormat="false" ht="15" hidden="false" customHeight="false" outlineLevel="0" collapsed="false">
      <c r="A602" s="11"/>
      <c r="D602" s="10"/>
      <c r="E602" s="12"/>
      <c r="G602" s="30" t="str">
        <f aca="false">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ustomFormat="false" ht="15" hidden="false" customHeight="false" outlineLevel="0" collapsed="false">
      <c r="A603" s="11"/>
      <c r="D603" s="10"/>
      <c r="E603" s="12"/>
      <c r="G603" s="30" t="str">
        <f aca="false">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ustomFormat="false" ht="15" hidden="false" customHeight="false" outlineLevel="0" collapsed="false">
      <c r="A604" s="11"/>
      <c r="D604" s="10"/>
      <c r="E604" s="12"/>
      <c r="G604" s="30" t="str">
        <f aca="false">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ustomFormat="false" ht="15" hidden="false" customHeight="false" outlineLevel="0" collapsed="false">
      <c r="A605" s="11"/>
      <c r="D605" s="10"/>
      <c r="E605" s="12"/>
      <c r="G605" s="30" t="str">
        <f aca="false">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ustomFormat="false" ht="15" hidden="false" customHeight="false" outlineLevel="0" collapsed="false">
      <c r="A606" s="11"/>
      <c r="D606" s="10"/>
      <c r="E606" s="12"/>
      <c r="G606" s="30" t="str">
        <f aca="false">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ustomFormat="false" ht="15" hidden="false" customHeight="false" outlineLevel="0" collapsed="false">
      <c r="A607" s="11"/>
      <c r="D607" s="10"/>
      <c r="E607" s="12"/>
      <c r="G607" s="30" t="str">
        <f aca="false">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ustomFormat="false" ht="15" hidden="false" customHeight="false" outlineLevel="0" collapsed="false">
      <c r="A608" s="11"/>
      <c r="D608" s="10"/>
      <c r="E608" s="12"/>
      <c r="G608" s="30" t="str">
        <f aca="false">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ustomFormat="false" ht="15" hidden="false" customHeight="false" outlineLevel="0" collapsed="false">
      <c r="A609" s="11"/>
      <c r="D609" s="10"/>
      <c r="E609" s="12"/>
      <c r="G609" s="30" t="str">
        <f aca="false">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ustomFormat="false" ht="15" hidden="false" customHeight="false" outlineLevel="0" collapsed="false">
      <c r="A610" s="11"/>
      <c r="D610" s="10"/>
      <c r="E610" s="12"/>
      <c r="G610" s="30" t="str">
        <f aca="false">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ustomFormat="false" ht="15" hidden="false" customHeight="false" outlineLevel="0" collapsed="false">
      <c r="A611" s="11"/>
      <c r="D611" s="10"/>
      <c r="E611" s="12"/>
      <c r="G611" s="30" t="str">
        <f aca="false">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ustomFormat="false" ht="15" hidden="false" customHeight="false" outlineLevel="0" collapsed="false">
      <c r="A612" s="11"/>
      <c r="D612" s="10"/>
      <c r="E612" s="12"/>
      <c r="G612" s="30" t="str">
        <f aca="false">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ustomFormat="false" ht="15" hidden="false" customHeight="false" outlineLevel="0" collapsed="false">
      <c r="A613" s="11"/>
      <c r="D613" s="10"/>
      <c r="E613" s="12"/>
      <c r="G613" s="30" t="str">
        <f aca="false">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ustomFormat="false" ht="15" hidden="false" customHeight="false" outlineLevel="0" collapsed="false">
      <c r="A614" s="11"/>
      <c r="D614" s="10"/>
      <c r="E614" s="12"/>
      <c r="G614" s="30" t="str">
        <f aca="false">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ustomFormat="false" ht="15" hidden="false" customHeight="false" outlineLevel="0" collapsed="false">
      <c r="A615" s="11"/>
      <c r="D615" s="10"/>
      <c r="E615" s="12"/>
      <c r="G615" s="30" t="str">
        <f aca="false">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ustomFormat="false" ht="15" hidden="false" customHeight="false" outlineLevel="0" collapsed="false">
      <c r="A616" s="11"/>
      <c r="D616" s="10"/>
      <c r="E616" s="12"/>
      <c r="G616" s="30" t="str">
        <f aca="false">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ustomFormat="false" ht="15" hidden="false" customHeight="false" outlineLevel="0" collapsed="false">
      <c r="A617" s="11"/>
      <c r="D617" s="10"/>
      <c r="E617" s="12"/>
      <c r="G617" s="30" t="str">
        <f aca="false">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ustomFormat="false" ht="15" hidden="false" customHeight="false" outlineLevel="0" collapsed="false">
      <c r="A618" s="11"/>
      <c r="D618" s="10"/>
      <c r="E618" s="12"/>
      <c r="G618" s="30" t="str">
        <f aca="false">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ustomFormat="false" ht="15" hidden="false" customHeight="false" outlineLevel="0" collapsed="false">
      <c r="A619" s="11"/>
      <c r="D619" s="10"/>
      <c r="E619" s="12"/>
      <c r="G619" s="30" t="str">
        <f aca="false">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ustomFormat="false" ht="15" hidden="false" customHeight="false" outlineLevel="0" collapsed="false">
      <c r="A620" s="11"/>
      <c r="D620" s="10"/>
      <c r="E620" s="12"/>
      <c r="G620" s="30" t="str">
        <f aca="false">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ustomFormat="false" ht="15" hidden="false" customHeight="false" outlineLevel="0" collapsed="false">
      <c r="A621" s="11"/>
      <c r="D621" s="10"/>
      <c r="E621" s="12"/>
      <c r="G621" s="30" t="str">
        <f aca="false">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ustomFormat="false" ht="15" hidden="false" customHeight="false" outlineLevel="0" collapsed="false">
      <c r="A622" s="11"/>
      <c r="D622" s="10"/>
      <c r="E622" s="12"/>
      <c r="G622" s="30" t="str">
        <f aca="false">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ustomFormat="false" ht="15" hidden="false" customHeight="false" outlineLevel="0" collapsed="false">
      <c r="A623" s="11"/>
      <c r="D623" s="10"/>
      <c r="E623" s="12"/>
      <c r="G623" s="30" t="str">
        <f aca="false">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ustomFormat="false" ht="15" hidden="false" customHeight="false" outlineLevel="0" collapsed="false">
      <c r="A624" s="11"/>
      <c r="D624" s="10"/>
      <c r="E624" s="12"/>
      <c r="G624" s="30" t="str">
        <f aca="false">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ustomFormat="false" ht="15" hidden="false" customHeight="false" outlineLevel="0" collapsed="false">
      <c r="A625" s="11"/>
      <c r="D625" s="10"/>
      <c r="E625" s="12"/>
      <c r="G625" s="30" t="str">
        <f aca="false">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ustomFormat="false" ht="15" hidden="false" customHeight="false" outlineLevel="0" collapsed="false">
      <c r="A626" s="11"/>
      <c r="D626" s="10"/>
      <c r="E626" s="12"/>
      <c r="G626" s="30" t="str">
        <f aca="false">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ustomFormat="false" ht="15" hidden="false" customHeight="false" outlineLevel="0" collapsed="false">
      <c r="A627" s="11"/>
      <c r="D627" s="10"/>
      <c r="E627" s="12"/>
      <c r="G627" s="30" t="str">
        <f aca="false">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ustomFormat="false" ht="15" hidden="false" customHeight="false" outlineLevel="0" collapsed="false">
      <c r="A628" s="11"/>
      <c r="D628" s="10"/>
      <c r="E628" s="12"/>
      <c r="G628" s="30" t="str">
        <f aca="false">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ustomFormat="false" ht="15" hidden="false" customHeight="false" outlineLevel="0" collapsed="false">
      <c r="A629" s="11"/>
      <c r="D629" s="10"/>
      <c r="E629" s="12"/>
      <c r="G629" s="30" t="str">
        <f aca="false">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ustomFormat="false" ht="15" hidden="false" customHeight="false" outlineLevel="0" collapsed="false">
      <c r="A630" s="11"/>
      <c r="D630" s="10"/>
      <c r="E630" s="12"/>
      <c r="G630" s="30" t="str">
        <f aca="false">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ustomFormat="false" ht="15" hidden="false" customHeight="false" outlineLevel="0" collapsed="false">
      <c r="A631" s="11"/>
      <c r="D631" s="10"/>
      <c r="E631" s="12"/>
      <c r="G631" s="30" t="str">
        <f aca="false">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ustomFormat="false" ht="15" hidden="false" customHeight="false" outlineLevel="0" collapsed="false">
      <c r="A632" s="11"/>
      <c r="D632" s="10"/>
      <c r="E632" s="12"/>
      <c r="G632" s="30" t="str">
        <f aca="false">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ustomFormat="false" ht="15" hidden="false" customHeight="false" outlineLevel="0" collapsed="false">
      <c r="A633" s="11"/>
      <c r="D633" s="10"/>
      <c r="E633" s="12"/>
      <c r="G633" s="30" t="str">
        <f aca="false">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ustomFormat="false" ht="15" hidden="false" customHeight="false" outlineLevel="0" collapsed="false">
      <c r="A634" s="11"/>
      <c r="D634" s="10"/>
      <c r="E634" s="12"/>
      <c r="G634" s="30" t="str">
        <f aca="false">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ustomFormat="false" ht="15" hidden="false" customHeight="false" outlineLevel="0" collapsed="false">
      <c r="A635" s="11"/>
      <c r="D635" s="10"/>
      <c r="E635" s="12"/>
      <c r="G635" s="30" t="str">
        <f aca="false">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ustomFormat="false" ht="15" hidden="false" customHeight="false" outlineLevel="0" collapsed="false">
      <c r="A636" s="11"/>
      <c r="D636" s="10"/>
      <c r="E636" s="12"/>
      <c r="G636" s="30" t="str">
        <f aca="false">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ustomFormat="false" ht="15" hidden="false" customHeight="false" outlineLevel="0" collapsed="false">
      <c r="A637" s="11"/>
      <c r="D637" s="10"/>
      <c r="E637" s="12"/>
      <c r="G637" s="30" t="str">
        <f aca="false">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ustomFormat="false" ht="15" hidden="false" customHeight="false" outlineLevel="0" collapsed="false">
      <c r="A638" s="11"/>
      <c r="D638" s="10"/>
      <c r="E638" s="12"/>
      <c r="G638" s="30" t="str">
        <f aca="false">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ustomFormat="false" ht="15" hidden="false" customHeight="false" outlineLevel="0" collapsed="false">
      <c r="A639" s="11"/>
      <c r="D639" s="10"/>
      <c r="E639" s="12"/>
      <c r="G639" s="30" t="str">
        <f aca="false">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ustomFormat="false" ht="15" hidden="false" customHeight="false" outlineLevel="0" collapsed="false">
      <c r="A640" s="11"/>
      <c r="D640" s="10"/>
      <c r="E640" s="12"/>
      <c r="G640" s="30" t="str">
        <f aca="false">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ustomFormat="false" ht="15" hidden="false" customHeight="false" outlineLevel="0" collapsed="false">
      <c r="A641" s="11"/>
      <c r="D641" s="10"/>
      <c r="E641" s="12"/>
      <c r="G641" s="30" t="str">
        <f aca="false">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ustomFormat="false" ht="15" hidden="false" customHeight="false" outlineLevel="0" collapsed="false">
      <c r="A642" s="11"/>
      <c r="D642" s="10"/>
      <c r="E642" s="12"/>
      <c r="G642" s="30" t="str">
        <f aca="false">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ustomFormat="false" ht="15" hidden="false" customHeight="false" outlineLevel="0" collapsed="false">
      <c r="A643" s="11"/>
      <c r="D643" s="10"/>
      <c r="E643" s="12"/>
      <c r="G643" s="30" t="str">
        <f aca="false">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ustomFormat="false" ht="15" hidden="false" customHeight="false" outlineLevel="0" collapsed="false">
      <c r="A644" s="11"/>
      <c r="D644" s="10"/>
      <c r="E644" s="12"/>
      <c r="G644" s="30" t="str">
        <f aca="false">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ustomFormat="false" ht="15" hidden="false" customHeight="false" outlineLevel="0" collapsed="false">
      <c r="A645" s="11"/>
      <c r="D645" s="10"/>
      <c r="E645" s="12"/>
      <c r="G645" s="30" t="str">
        <f aca="false">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ustomFormat="false" ht="15" hidden="false" customHeight="false" outlineLevel="0" collapsed="false">
      <c r="A646" s="11"/>
      <c r="D646" s="10"/>
      <c r="E646" s="12"/>
      <c r="G646" s="30" t="str">
        <f aca="false">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ustomFormat="false" ht="15" hidden="false" customHeight="false" outlineLevel="0" collapsed="false">
      <c r="A647" s="11"/>
      <c r="D647" s="10"/>
      <c r="E647" s="12"/>
      <c r="G647" s="30" t="str">
        <f aca="false">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ustomFormat="false" ht="15" hidden="false" customHeight="false" outlineLevel="0" collapsed="false">
      <c r="A648" s="11"/>
      <c r="D648" s="10"/>
      <c r="E648" s="12"/>
      <c r="G648" s="30" t="str">
        <f aca="false">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ustomFormat="false" ht="15" hidden="false" customHeight="false" outlineLevel="0" collapsed="false">
      <c r="A649" s="11"/>
      <c r="D649" s="10"/>
      <c r="E649" s="12"/>
      <c r="G649" s="30" t="str">
        <f aca="false">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ustomFormat="false" ht="15" hidden="false" customHeight="false" outlineLevel="0" collapsed="false">
      <c r="A650" s="11"/>
      <c r="D650" s="10"/>
      <c r="E650" s="12"/>
      <c r="G650" s="30" t="str">
        <f aca="false">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ustomFormat="false" ht="15" hidden="false" customHeight="false" outlineLevel="0" collapsed="false">
      <c r="A651" s="11"/>
      <c r="D651" s="10"/>
      <c r="E651" s="12"/>
      <c r="G651" s="30" t="str">
        <f aca="false">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ustomFormat="false" ht="15" hidden="false" customHeight="false" outlineLevel="0" collapsed="false">
      <c r="A652" s="11"/>
      <c r="D652" s="10"/>
      <c r="E652" s="12"/>
      <c r="G652" s="30" t="str">
        <f aca="false">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ustomFormat="false" ht="15" hidden="false" customHeight="false" outlineLevel="0" collapsed="false">
      <c r="A653" s="11"/>
      <c r="D653" s="10"/>
      <c r="E653" s="12"/>
      <c r="G653" s="30" t="str">
        <f aca="false">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ustomFormat="false" ht="15" hidden="false" customHeight="false" outlineLevel="0" collapsed="false">
      <c r="A654" s="11"/>
      <c r="D654" s="10"/>
      <c r="E654" s="12"/>
      <c r="G654" s="30" t="str">
        <f aca="false">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ustomFormat="false" ht="15" hidden="false" customHeight="false" outlineLevel="0" collapsed="false">
      <c r="A655" s="11"/>
      <c r="D655" s="10"/>
      <c r="E655" s="12"/>
      <c r="G655" s="30" t="str">
        <f aca="false">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ustomFormat="false" ht="15" hidden="false" customHeight="false" outlineLevel="0" collapsed="false">
      <c r="A656" s="11"/>
      <c r="D656" s="10"/>
      <c r="E656" s="12"/>
      <c r="G656" s="30" t="str">
        <f aca="false">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ustomFormat="false" ht="15" hidden="false" customHeight="false" outlineLevel="0" collapsed="false">
      <c r="A657" s="11"/>
      <c r="D657" s="10"/>
      <c r="E657" s="12"/>
      <c r="G657" s="30" t="str">
        <f aca="false">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ustomFormat="false" ht="15" hidden="false" customHeight="false" outlineLevel="0" collapsed="false">
      <c r="A658" s="11"/>
      <c r="D658" s="10"/>
      <c r="E658" s="12"/>
      <c r="G658" s="30" t="str">
        <f aca="false">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ustomFormat="false" ht="15" hidden="false" customHeight="false" outlineLevel="0" collapsed="false">
      <c r="A659" s="11"/>
      <c r="D659" s="10"/>
      <c r="E659" s="12"/>
      <c r="G659" s="30" t="str">
        <f aca="false">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ustomFormat="false" ht="15" hidden="false" customHeight="false" outlineLevel="0" collapsed="false">
      <c r="A660" s="11"/>
      <c r="D660" s="10"/>
      <c r="E660" s="12"/>
      <c r="G660" s="30" t="str">
        <f aca="false">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ustomFormat="false" ht="15" hidden="false" customHeight="false" outlineLevel="0" collapsed="false">
      <c r="A661" s="11"/>
      <c r="D661" s="10"/>
      <c r="E661" s="12"/>
      <c r="G661" s="30" t="str">
        <f aca="false">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ustomFormat="false" ht="15" hidden="false" customHeight="false" outlineLevel="0" collapsed="false">
      <c r="A662" s="11"/>
      <c r="D662" s="10"/>
      <c r="E662" s="12"/>
      <c r="G662" s="30" t="str">
        <f aca="false">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ustomFormat="false" ht="15" hidden="false" customHeight="false" outlineLevel="0" collapsed="false">
      <c r="A663" s="11"/>
      <c r="D663" s="10"/>
      <c r="E663" s="12"/>
      <c r="G663" s="30" t="str">
        <f aca="false">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ustomFormat="false" ht="15" hidden="false" customHeight="false" outlineLevel="0" collapsed="false">
      <c r="A664" s="11"/>
      <c r="D664" s="10"/>
      <c r="E664" s="12"/>
      <c r="G664" s="30" t="str">
        <f aca="false">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ustomFormat="false" ht="15" hidden="false" customHeight="false" outlineLevel="0" collapsed="false">
      <c r="A665" s="11"/>
      <c r="D665" s="10"/>
      <c r="E665" s="12"/>
      <c r="G665" s="30" t="str">
        <f aca="false">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ustomFormat="false" ht="15" hidden="false" customHeight="false" outlineLevel="0" collapsed="false">
      <c r="A666" s="11"/>
      <c r="D666" s="10"/>
      <c r="E666" s="12"/>
      <c r="G666" s="30" t="str">
        <f aca="false">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ustomFormat="false" ht="15" hidden="false" customHeight="false" outlineLevel="0" collapsed="false">
      <c r="A667" s="11"/>
      <c r="D667" s="10"/>
      <c r="E667" s="12"/>
      <c r="G667" s="30" t="str">
        <f aca="false">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ustomFormat="false" ht="15" hidden="false" customHeight="false" outlineLevel="0" collapsed="false">
      <c r="A668" s="11"/>
      <c r="D668" s="10"/>
      <c r="E668" s="12"/>
      <c r="G668" s="30" t="str">
        <f aca="false">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ustomFormat="false" ht="15" hidden="false" customHeight="false" outlineLevel="0" collapsed="false">
      <c r="A669" s="11"/>
      <c r="D669" s="10"/>
      <c r="E669" s="12"/>
      <c r="G669" s="30" t="str">
        <f aca="false">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ustomFormat="false" ht="15" hidden="false" customHeight="false" outlineLevel="0" collapsed="false">
      <c r="A670" s="11"/>
      <c r="D670" s="10"/>
      <c r="E670" s="12"/>
      <c r="G670" s="30" t="str">
        <f aca="false">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ustomFormat="false" ht="15" hidden="false" customHeight="false" outlineLevel="0" collapsed="false">
      <c r="A671" s="11"/>
      <c r="D671" s="10"/>
      <c r="E671" s="12"/>
      <c r="G671" s="30" t="str">
        <f aca="false">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ustomFormat="false" ht="15" hidden="false" customHeight="false" outlineLevel="0" collapsed="false">
      <c r="A672" s="11"/>
      <c r="D672" s="10"/>
      <c r="E672" s="12"/>
      <c r="G672" s="30" t="str">
        <f aca="false">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ustomFormat="false" ht="15" hidden="false" customHeight="false" outlineLevel="0" collapsed="false">
      <c r="A673" s="11"/>
      <c r="D673" s="10"/>
      <c r="E673" s="12"/>
      <c r="G673" s="30" t="str">
        <f aca="false">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ustomFormat="false" ht="15" hidden="false" customHeight="false" outlineLevel="0" collapsed="false">
      <c r="A674" s="11"/>
      <c r="D674" s="10"/>
      <c r="E674" s="12"/>
      <c r="G674" s="30" t="str">
        <f aca="false">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ustomFormat="false" ht="15" hidden="false" customHeight="false" outlineLevel="0" collapsed="false">
      <c r="A675" s="11"/>
      <c r="D675" s="10"/>
      <c r="E675" s="12"/>
      <c r="G675" s="30" t="str">
        <f aca="false">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ustomFormat="false" ht="15" hidden="false" customHeight="false" outlineLevel="0" collapsed="false">
      <c r="A676" s="11"/>
      <c r="D676" s="10"/>
      <c r="E676" s="12"/>
      <c r="G676" s="30" t="str">
        <f aca="false">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ustomFormat="false" ht="15" hidden="false" customHeight="false" outlineLevel="0" collapsed="false">
      <c r="A677" s="11"/>
      <c r="D677" s="10"/>
      <c r="E677" s="12"/>
      <c r="G677" s="30" t="str">
        <f aca="false">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ustomFormat="false" ht="15" hidden="false" customHeight="false" outlineLevel="0" collapsed="false">
      <c r="A678" s="11"/>
      <c r="D678" s="10"/>
      <c r="E678" s="12"/>
      <c r="G678" s="30" t="str">
        <f aca="false">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ustomFormat="false" ht="15" hidden="false" customHeight="false" outlineLevel="0" collapsed="false">
      <c r="A679" s="11"/>
      <c r="D679" s="10"/>
      <c r="E679" s="12"/>
      <c r="G679" s="30" t="str">
        <f aca="false">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ustomFormat="false" ht="15" hidden="false" customHeight="false" outlineLevel="0" collapsed="false">
      <c r="A680" s="11"/>
      <c r="D680" s="10"/>
      <c r="E680" s="12"/>
      <c r="G680" s="30" t="str">
        <f aca="false">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ustomFormat="false" ht="15" hidden="false" customHeight="false" outlineLevel="0" collapsed="false">
      <c r="A681" s="11"/>
      <c r="D681" s="10"/>
      <c r="E681" s="12"/>
      <c r="G681" s="30" t="str">
        <f aca="false">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ustomFormat="false" ht="15" hidden="false" customHeight="false" outlineLevel="0" collapsed="false">
      <c r="A682" s="11"/>
      <c r="D682" s="10"/>
      <c r="E682" s="12"/>
      <c r="G682" s="30" t="str">
        <f aca="false">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ustomFormat="false" ht="15" hidden="false" customHeight="false" outlineLevel="0" collapsed="false">
      <c r="A683" s="11"/>
      <c r="D683" s="10"/>
      <c r="E683" s="12"/>
      <c r="G683" s="30" t="str">
        <f aca="false">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ustomFormat="false" ht="15" hidden="false" customHeight="false" outlineLevel="0" collapsed="false">
      <c r="A684" s="11"/>
      <c r="D684" s="10"/>
      <c r="E684" s="12"/>
      <c r="G684" s="30" t="str">
        <f aca="false">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ustomFormat="false" ht="15" hidden="false" customHeight="false" outlineLevel="0" collapsed="false">
      <c r="A685" s="11"/>
      <c r="D685" s="10"/>
      <c r="E685" s="12"/>
      <c r="G685" s="30" t="str">
        <f aca="false">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ustomFormat="false" ht="15" hidden="false" customHeight="false" outlineLevel="0" collapsed="false">
      <c r="A686" s="11"/>
      <c r="D686" s="10"/>
      <c r="E686" s="12"/>
      <c r="G686" s="30" t="str">
        <f aca="false">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ustomFormat="false" ht="15" hidden="false" customHeight="false" outlineLevel="0" collapsed="false">
      <c r="A687" s="11"/>
      <c r="D687" s="10"/>
      <c r="E687" s="12"/>
      <c r="G687" s="30" t="str">
        <f aca="false">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ustomFormat="false" ht="15" hidden="false" customHeight="false" outlineLevel="0" collapsed="false">
      <c r="A688" s="11"/>
      <c r="D688" s="10"/>
      <c r="E688" s="12"/>
      <c r="G688" s="30" t="str">
        <f aca="false">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ustomFormat="false" ht="15" hidden="false" customHeight="false" outlineLevel="0" collapsed="false">
      <c r="A689" s="11"/>
      <c r="D689" s="10"/>
      <c r="E689" s="12"/>
      <c r="G689" s="30" t="str">
        <f aca="false">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ustomFormat="false" ht="15" hidden="false" customHeight="false" outlineLevel="0" collapsed="false">
      <c r="A690" s="11"/>
      <c r="D690" s="10"/>
      <c r="E690" s="12"/>
      <c r="G690" s="30" t="str">
        <f aca="false">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ustomFormat="false" ht="15" hidden="false" customHeight="false" outlineLevel="0" collapsed="false">
      <c r="A691" s="11"/>
      <c r="D691" s="10"/>
      <c r="E691" s="12"/>
      <c r="G691" s="30" t="str">
        <f aca="false">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ustomFormat="false" ht="15" hidden="false" customHeight="false" outlineLevel="0" collapsed="false">
      <c r="A692" s="11"/>
      <c r="D692" s="10"/>
      <c r="E692" s="12"/>
      <c r="G692" s="30" t="str">
        <f aca="false">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ustomFormat="false" ht="15" hidden="false" customHeight="false" outlineLevel="0" collapsed="false">
      <c r="A693" s="11"/>
      <c r="D693" s="10"/>
      <c r="E693" s="12"/>
      <c r="G693" s="30" t="str">
        <f aca="false">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ustomFormat="false" ht="15" hidden="false" customHeight="false" outlineLevel="0" collapsed="false">
      <c r="A694" s="11"/>
      <c r="D694" s="10"/>
      <c r="E694" s="12"/>
      <c r="G694" s="30" t="str">
        <f aca="false">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ustomFormat="false" ht="15" hidden="false" customHeight="false" outlineLevel="0" collapsed="false">
      <c r="A695" s="11"/>
      <c r="D695" s="10"/>
      <c r="E695" s="12"/>
      <c r="G695" s="30" t="str">
        <f aca="false">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ustomFormat="false" ht="15" hidden="false" customHeight="false" outlineLevel="0" collapsed="false">
      <c r="A696" s="11"/>
      <c r="D696" s="10"/>
      <c r="E696" s="12"/>
      <c r="G696" s="30" t="str">
        <f aca="false">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ustomFormat="false" ht="15" hidden="false" customHeight="false" outlineLevel="0" collapsed="false">
      <c r="A697" s="11"/>
      <c r="D697" s="10"/>
      <c r="E697" s="12"/>
      <c r="G697" s="30" t="str">
        <f aca="false">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ustomFormat="false" ht="15" hidden="false" customHeight="false" outlineLevel="0" collapsed="false">
      <c r="A698" s="11"/>
      <c r="D698" s="10"/>
      <c r="E698" s="12"/>
      <c r="G698" s="30" t="str">
        <f aca="false">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ustomFormat="false" ht="15" hidden="false" customHeight="false" outlineLevel="0" collapsed="false">
      <c r="A699" s="11"/>
      <c r="D699" s="10"/>
      <c r="E699" s="12"/>
      <c r="G699" s="30" t="str">
        <f aca="false">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ustomFormat="false" ht="15" hidden="false" customHeight="false" outlineLevel="0" collapsed="false">
      <c r="A700" s="11"/>
      <c r="D700" s="10"/>
      <c r="E700" s="12"/>
      <c r="G700" s="30" t="str">
        <f aca="false">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ustomFormat="false" ht="15" hidden="false" customHeight="false" outlineLevel="0" collapsed="false">
      <c r="A701" s="11"/>
      <c r="D701" s="10"/>
      <c r="E701" s="12"/>
      <c r="G701" s="30" t="str">
        <f aca="false">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ustomFormat="false" ht="15" hidden="false" customHeight="false" outlineLevel="0" collapsed="false">
      <c r="A702" s="11"/>
      <c r="D702" s="10"/>
      <c r="E702" s="12"/>
      <c r="G702" s="30" t="str">
        <f aca="false">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ustomFormat="false" ht="15" hidden="false" customHeight="false" outlineLevel="0" collapsed="false">
      <c r="A703" s="11"/>
      <c r="D703" s="10"/>
      <c r="E703" s="12"/>
      <c r="G703" s="30" t="str">
        <f aca="false">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ustomFormat="false" ht="15" hidden="false" customHeight="false" outlineLevel="0" collapsed="false">
      <c r="A704" s="11"/>
      <c r="D704" s="10"/>
      <c r="E704" s="12"/>
      <c r="G704" s="30" t="str">
        <f aca="false">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ustomFormat="false" ht="15" hidden="false" customHeight="false" outlineLevel="0" collapsed="false">
      <c r="A705" s="11"/>
      <c r="D705" s="10"/>
      <c r="E705" s="12"/>
      <c r="G705" s="30" t="str">
        <f aca="false">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ustomFormat="false" ht="15" hidden="false" customHeight="false" outlineLevel="0" collapsed="false">
      <c r="A706" s="11"/>
      <c r="D706" s="10"/>
      <c r="E706" s="12"/>
      <c r="G706" s="30" t="str">
        <f aca="false">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ustomFormat="false" ht="15" hidden="false" customHeight="false" outlineLevel="0" collapsed="false">
      <c r="A707" s="11"/>
      <c r="D707" s="10"/>
      <c r="E707" s="12"/>
      <c r="G707" s="30" t="str">
        <f aca="false">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ustomFormat="false" ht="15" hidden="false" customHeight="false" outlineLevel="0" collapsed="false">
      <c r="A708" s="11"/>
      <c r="D708" s="10"/>
      <c r="E708" s="12"/>
      <c r="G708" s="30" t="str">
        <f aca="false">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ustomFormat="false" ht="15" hidden="false" customHeight="false" outlineLevel="0" collapsed="false">
      <c r="A709" s="11"/>
      <c r="D709" s="10"/>
      <c r="E709" s="12"/>
      <c r="G709" s="30" t="str">
        <f aca="false">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ustomFormat="false" ht="15" hidden="false" customHeight="false" outlineLevel="0" collapsed="false">
      <c r="A710" s="11"/>
      <c r="D710" s="10"/>
      <c r="E710" s="12"/>
      <c r="G710" s="30" t="str">
        <f aca="false">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ustomFormat="false" ht="15" hidden="false" customHeight="false" outlineLevel="0" collapsed="false">
      <c r="A711" s="11"/>
      <c r="D711" s="10"/>
      <c r="E711" s="12"/>
      <c r="G711" s="30" t="str">
        <f aca="false">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ustomFormat="false" ht="15" hidden="false" customHeight="false" outlineLevel="0" collapsed="false">
      <c r="A712" s="11"/>
      <c r="D712" s="10"/>
      <c r="E712" s="12"/>
      <c r="G712" s="30" t="str">
        <f aca="false">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ustomFormat="false" ht="15" hidden="false" customHeight="false" outlineLevel="0" collapsed="false">
      <c r="A713" s="11"/>
      <c r="D713" s="10"/>
      <c r="E713" s="12"/>
      <c r="G713" s="30" t="str">
        <f aca="false">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ustomFormat="false" ht="15" hidden="false" customHeight="false" outlineLevel="0" collapsed="false">
      <c r="A714" s="11"/>
      <c r="D714" s="10"/>
      <c r="E714" s="12"/>
      <c r="G714" s="30" t="str">
        <f aca="false">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ustomFormat="false" ht="15" hidden="false" customHeight="false" outlineLevel="0" collapsed="false">
      <c r="A715" s="11"/>
      <c r="D715" s="10"/>
      <c r="E715" s="12"/>
      <c r="G715" s="30" t="str">
        <f aca="false">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ustomFormat="false" ht="15" hidden="false" customHeight="false" outlineLevel="0" collapsed="false">
      <c r="A716" s="11"/>
      <c r="D716" s="10"/>
      <c r="E716" s="12"/>
      <c r="G716" s="30" t="str">
        <f aca="false">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ustomFormat="false" ht="15" hidden="false" customHeight="false" outlineLevel="0" collapsed="false">
      <c r="A717" s="11"/>
      <c r="D717" s="10"/>
      <c r="E717" s="12"/>
      <c r="G717" s="30" t="str">
        <f aca="false">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ustomFormat="false" ht="15" hidden="false" customHeight="false" outlineLevel="0" collapsed="false">
      <c r="A718" s="11"/>
      <c r="D718" s="10"/>
      <c r="E718" s="12"/>
      <c r="G718" s="30" t="str">
        <f aca="false">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ustomFormat="false" ht="15" hidden="false" customHeight="false" outlineLevel="0" collapsed="false">
      <c r="A719" s="11"/>
      <c r="D719" s="10"/>
      <c r="E719" s="12"/>
      <c r="G719" s="30" t="str">
        <f aca="false">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ustomFormat="false" ht="15" hidden="false" customHeight="false" outlineLevel="0" collapsed="false">
      <c r="A720" s="11"/>
      <c r="D720" s="10"/>
      <c r="E720" s="12"/>
      <c r="G720" s="30" t="str">
        <f aca="false">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ustomFormat="false" ht="15" hidden="false" customHeight="false" outlineLevel="0" collapsed="false">
      <c r="A721" s="11"/>
      <c r="D721" s="10"/>
      <c r="E721" s="12"/>
      <c r="G721" s="30" t="str">
        <f aca="false">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ustomFormat="false" ht="15" hidden="false" customHeight="false" outlineLevel="0" collapsed="false">
      <c r="A722" s="11"/>
      <c r="D722" s="10"/>
      <c r="E722" s="12"/>
      <c r="G722" s="30" t="str">
        <f aca="false">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ustomFormat="false" ht="15" hidden="false" customHeight="false" outlineLevel="0" collapsed="false">
      <c r="A723" s="11"/>
      <c r="D723" s="10"/>
      <c r="E723" s="12"/>
      <c r="G723" s="30" t="str">
        <f aca="false">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ustomFormat="false" ht="15" hidden="false" customHeight="false" outlineLevel="0" collapsed="false">
      <c r="A724" s="11"/>
      <c r="D724" s="10"/>
      <c r="E724" s="12"/>
      <c r="G724" s="30" t="str">
        <f aca="false">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ustomFormat="false" ht="15" hidden="false" customHeight="false" outlineLevel="0" collapsed="false">
      <c r="A725" s="11"/>
      <c r="D725" s="10"/>
      <c r="E725" s="12"/>
      <c r="G725" s="30" t="str">
        <f aca="false">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ustomFormat="false" ht="15" hidden="false" customHeight="false" outlineLevel="0" collapsed="false">
      <c r="A726" s="11"/>
      <c r="D726" s="10"/>
      <c r="E726" s="12"/>
      <c r="G726" s="30" t="str">
        <f aca="false">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ustomFormat="false" ht="15" hidden="false" customHeight="false" outlineLevel="0" collapsed="false">
      <c r="A727" s="11"/>
      <c r="D727" s="10"/>
      <c r="E727" s="12"/>
      <c r="G727" s="30" t="str">
        <f aca="false">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ustomFormat="false" ht="15" hidden="false" customHeight="false" outlineLevel="0" collapsed="false">
      <c r="A728" s="11"/>
      <c r="D728" s="10"/>
      <c r="E728" s="12"/>
      <c r="G728" s="30" t="str">
        <f aca="false">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ustomFormat="false" ht="15" hidden="false" customHeight="false" outlineLevel="0" collapsed="false">
      <c r="A729" s="11"/>
      <c r="D729" s="10"/>
      <c r="E729" s="12"/>
      <c r="G729" s="30" t="str">
        <f aca="false">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ustomFormat="false" ht="15" hidden="false" customHeight="false" outlineLevel="0" collapsed="false">
      <c r="A730" s="11"/>
      <c r="D730" s="10"/>
      <c r="E730" s="12"/>
      <c r="G730" s="30" t="str">
        <f aca="false">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ustomFormat="false" ht="15" hidden="false" customHeight="false" outlineLevel="0" collapsed="false">
      <c r="A731" s="11"/>
      <c r="D731" s="10"/>
      <c r="E731" s="12"/>
      <c r="G731" s="30" t="str">
        <f aca="false">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ustomFormat="false" ht="15" hidden="false" customHeight="false" outlineLevel="0" collapsed="false">
      <c r="A732" s="11"/>
      <c r="D732" s="10"/>
      <c r="E732" s="12"/>
      <c r="G732" s="30" t="str">
        <f aca="false">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ustomFormat="false" ht="15" hidden="false" customHeight="false" outlineLevel="0" collapsed="false">
      <c r="A733" s="11"/>
      <c r="D733" s="10"/>
      <c r="E733" s="12"/>
      <c r="G733" s="30" t="str">
        <f aca="false">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ustomFormat="false" ht="15" hidden="false" customHeight="false" outlineLevel="0" collapsed="false">
      <c r="A734" s="11"/>
      <c r="D734" s="10"/>
      <c r="E734" s="12"/>
      <c r="G734" s="30" t="str">
        <f aca="false">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ustomFormat="false" ht="15" hidden="false" customHeight="false" outlineLevel="0" collapsed="false">
      <c r="A735" s="11"/>
      <c r="D735" s="10"/>
      <c r="E735" s="12"/>
      <c r="G735" s="30" t="str">
        <f aca="false">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ustomFormat="false" ht="15" hidden="false" customHeight="false" outlineLevel="0" collapsed="false">
      <c r="A736" s="11"/>
      <c r="D736" s="10"/>
      <c r="E736" s="12"/>
      <c r="G736" s="30" t="str">
        <f aca="false">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ustomFormat="false" ht="15" hidden="false" customHeight="false" outlineLevel="0" collapsed="false">
      <c r="A737" s="11"/>
      <c r="D737" s="10"/>
      <c r="E737" s="12"/>
      <c r="G737" s="30" t="str">
        <f aca="false">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ustomFormat="false" ht="15" hidden="false" customHeight="false" outlineLevel="0" collapsed="false">
      <c r="A738" s="11"/>
      <c r="D738" s="10"/>
      <c r="E738" s="12"/>
      <c r="G738" s="30" t="str">
        <f aca="false">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ustomFormat="false" ht="15" hidden="false" customHeight="false" outlineLevel="0" collapsed="false">
      <c r="A739" s="11"/>
      <c r="D739" s="10"/>
      <c r="E739" s="12"/>
      <c r="G739" s="30" t="str">
        <f aca="false">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ustomFormat="false" ht="15" hidden="false" customHeight="false" outlineLevel="0" collapsed="false">
      <c r="A740" s="11"/>
      <c r="D740" s="10"/>
      <c r="E740" s="12"/>
      <c r="G740" s="30" t="str">
        <f aca="false">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ustomFormat="false" ht="15" hidden="false" customHeight="false" outlineLevel="0" collapsed="false">
      <c r="A741" s="11"/>
      <c r="D741" s="10"/>
      <c r="E741" s="12"/>
      <c r="G741" s="30" t="str">
        <f aca="false">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ustomFormat="false" ht="15" hidden="false" customHeight="false" outlineLevel="0" collapsed="false">
      <c r="A742" s="11"/>
      <c r="D742" s="10"/>
      <c r="E742" s="12"/>
      <c r="G742" s="30" t="str">
        <f aca="false">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ustomFormat="false" ht="15" hidden="false" customHeight="false" outlineLevel="0" collapsed="false">
      <c r="A743" s="11"/>
      <c r="D743" s="10"/>
      <c r="E743" s="12"/>
      <c r="G743" s="30" t="str">
        <f aca="false">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ustomFormat="false" ht="15" hidden="false" customHeight="false" outlineLevel="0" collapsed="false">
      <c r="A744" s="11"/>
      <c r="D744" s="10"/>
      <c r="E744" s="12"/>
      <c r="G744" s="30" t="str">
        <f aca="false">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ustomFormat="false" ht="15" hidden="false" customHeight="false" outlineLevel="0" collapsed="false">
      <c r="A745" s="11"/>
      <c r="D745" s="10"/>
      <c r="E745" s="12"/>
      <c r="G745" s="30" t="str">
        <f aca="false">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ustomFormat="false" ht="15" hidden="false" customHeight="false" outlineLevel="0" collapsed="false">
      <c r="A746" s="11"/>
      <c r="D746" s="10"/>
      <c r="E746" s="12"/>
      <c r="G746" s="30" t="str">
        <f aca="false">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ustomFormat="false" ht="15" hidden="false" customHeight="false" outlineLevel="0" collapsed="false">
      <c r="A747" s="11"/>
      <c r="D747" s="10"/>
      <c r="E747" s="12"/>
      <c r="G747" s="30" t="str">
        <f aca="false">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ustomFormat="false" ht="15" hidden="false" customHeight="false" outlineLevel="0" collapsed="false">
      <c r="A748" s="11"/>
      <c r="D748" s="10"/>
      <c r="E748" s="12"/>
      <c r="G748" s="30" t="str">
        <f aca="false">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ustomFormat="false" ht="15" hidden="false" customHeight="false" outlineLevel="0" collapsed="false">
      <c r="A749" s="11"/>
      <c r="D749" s="10"/>
      <c r="E749" s="12"/>
      <c r="G749" s="30" t="str">
        <f aca="false">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ustomFormat="false" ht="15" hidden="false" customHeight="false" outlineLevel="0" collapsed="false">
      <c r="A750" s="11"/>
      <c r="D750" s="10"/>
      <c r="E750" s="12"/>
      <c r="G750" s="30" t="str">
        <f aca="false">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ustomFormat="false" ht="15" hidden="false" customHeight="false" outlineLevel="0" collapsed="false">
      <c r="A751" s="11"/>
      <c r="D751" s="10"/>
      <c r="E751" s="12"/>
      <c r="G751" s="30" t="str">
        <f aca="false">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ustomFormat="false" ht="15" hidden="false" customHeight="false" outlineLevel="0" collapsed="false">
      <c r="A752" s="11"/>
      <c r="D752" s="10"/>
      <c r="E752" s="12"/>
      <c r="G752" s="30" t="str">
        <f aca="false">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ustomFormat="false" ht="15" hidden="false" customHeight="false" outlineLevel="0" collapsed="false">
      <c r="A753" s="11"/>
      <c r="D753" s="10"/>
      <c r="E753" s="12"/>
      <c r="G753" s="30" t="str">
        <f aca="false">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ustomFormat="false" ht="15" hidden="false" customHeight="false" outlineLevel="0" collapsed="false">
      <c r="A754" s="11"/>
      <c r="D754" s="10"/>
      <c r="E754" s="12"/>
      <c r="G754" s="30" t="str">
        <f aca="false">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ustomFormat="false" ht="15" hidden="false" customHeight="false" outlineLevel="0" collapsed="false">
      <c r="A755" s="11"/>
      <c r="D755" s="10"/>
      <c r="E755" s="12"/>
      <c r="G755" s="30" t="str">
        <f aca="false">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ustomFormat="false" ht="15" hidden="false" customHeight="false" outlineLevel="0" collapsed="false">
      <c r="A756" s="11"/>
      <c r="D756" s="10"/>
      <c r="E756" s="12"/>
      <c r="G756" s="30" t="str">
        <f aca="false">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ustomFormat="false" ht="15" hidden="false" customHeight="false" outlineLevel="0" collapsed="false">
      <c r="A757" s="11"/>
      <c r="D757" s="10"/>
      <c r="E757" s="12"/>
      <c r="G757" s="30" t="str">
        <f aca="false">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ustomFormat="false" ht="15" hidden="false" customHeight="false" outlineLevel="0" collapsed="false">
      <c r="A758" s="11"/>
      <c r="D758" s="10"/>
      <c r="E758" s="12"/>
      <c r="G758" s="30" t="str">
        <f aca="false">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ustomFormat="false" ht="15" hidden="false" customHeight="false" outlineLevel="0" collapsed="false">
      <c r="A759" s="11"/>
      <c r="D759" s="10"/>
      <c r="E759" s="12"/>
      <c r="G759" s="30" t="str">
        <f aca="false">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ustomFormat="false" ht="15" hidden="false" customHeight="false" outlineLevel="0" collapsed="false">
      <c r="A760" s="11"/>
      <c r="D760" s="10"/>
      <c r="E760" s="12"/>
      <c r="G760" s="30" t="str">
        <f aca="false">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ustomFormat="false" ht="15" hidden="false" customHeight="false" outlineLevel="0" collapsed="false">
      <c r="A761" s="11"/>
      <c r="D761" s="10"/>
      <c r="E761" s="12"/>
      <c r="G761" s="30" t="str">
        <f aca="false">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ustomFormat="false" ht="15" hidden="false" customHeight="false" outlineLevel="0" collapsed="false">
      <c r="A762" s="11"/>
      <c r="D762" s="10"/>
      <c r="E762" s="12"/>
      <c r="G762" s="30" t="str">
        <f aca="false">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ustomFormat="false" ht="15" hidden="false" customHeight="false" outlineLevel="0" collapsed="false">
      <c r="A763" s="11"/>
      <c r="D763" s="10"/>
      <c r="E763" s="12"/>
      <c r="G763" s="30" t="str">
        <f aca="false">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ustomFormat="false" ht="15" hidden="false" customHeight="false" outlineLevel="0" collapsed="false">
      <c r="A764" s="11"/>
      <c r="D764" s="10"/>
      <c r="E764" s="12"/>
      <c r="G764" s="30" t="str">
        <f aca="false">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ustomFormat="false" ht="15" hidden="false" customHeight="false" outlineLevel="0" collapsed="false">
      <c r="A765" s="11"/>
      <c r="D765" s="10"/>
      <c r="E765" s="12"/>
      <c r="G765" s="30" t="str">
        <f aca="false">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ustomFormat="false" ht="15" hidden="false" customHeight="false" outlineLevel="0" collapsed="false">
      <c r="A766" s="11"/>
      <c r="D766" s="10"/>
      <c r="E766" s="12"/>
      <c r="G766" s="30" t="str">
        <f aca="false">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ustomFormat="false" ht="15" hidden="false" customHeight="false" outlineLevel="0" collapsed="false">
      <c r="A767" s="11"/>
      <c r="D767" s="10"/>
      <c r="E767" s="12"/>
      <c r="G767" s="30" t="str">
        <f aca="false">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ustomFormat="false" ht="15" hidden="false" customHeight="false" outlineLevel="0" collapsed="false">
      <c r="A768" s="11"/>
      <c r="D768" s="10"/>
      <c r="E768" s="12"/>
      <c r="G768" s="30" t="str">
        <f aca="false">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ustomFormat="false" ht="15" hidden="false" customHeight="false" outlineLevel="0" collapsed="false">
      <c r="A769" s="11"/>
      <c r="D769" s="10"/>
      <c r="E769" s="12"/>
      <c r="G769" s="30" t="str">
        <f aca="false">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ustomFormat="false" ht="15" hidden="false" customHeight="false" outlineLevel="0" collapsed="false">
      <c r="A770" s="11"/>
      <c r="D770" s="10"/>
      <c r="E770" s="12"/>
      <c r="G770" s="30" t="str">
        <f aca="false">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ustomFormat="false" ht="15" hidden="false" customHeight="false" outlineLevel="0" collapsed="false">
      <c r="A771" s="11"/>
      <c r="D771" s="10"/>
      <c r="E771" s="12"/>
      <c r="G771" s="30" t="str">
        <f aca="false">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ustomFormat="false" ht="15" hidden="false" customHeight="false" outlineLevel="0" collapsed="false">
      <c r="A772" s="11"/>
      <c r="D772" s="10"/>
      <c r="E772" s="12"/>
      <c r="G772" s="30" t="str">
        <f aca="false">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ustomFormat="false" ht="15" hidden="false" customHeight="false" outlineLevel="0" collapsed="false">
      <c r="A773" s="11"/>
      <c r="D773" s="10"/>
      <c r="E773" s="12"/>
      <c r="G773" s="30" t="str">
        <f aca="false">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ustomFormat="false" ht="15" hidden="false" customHeight="false" outlineLevel="0" collapsed="false">
      <c r="A774" s="11"/>
      <c r="D774" s="10"/>
      <c r="E774" s="12"/>
      <c r="G774" s="30" t="str">
        <f aca="false">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ustomFormat="false" ht="15" hidden="false" customHeight="false" outlineLevel="0" collapsed="false">
      <c r="A775" s="11"/>
      <c r="D775" s="10"/>
      <c r="E775" s="12"/>
      <c r="G775" s="30" t="str">
        <f aca="false">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ustomFormat="false" ht="15" hidden="false" customHeight="false" outlineLevel="0" collapsed="false">
      <c r="A776" s="11"/>
      <c r="D776" s="10"/>
      <c r="E776" s="12"/>
      <c r="G776" s="30" t="str">
        <f aca="false">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ustomFormat="false" ht="15" hidden="false" customHeight="false" outlineLevel="0" collapsed="false">
      <c r="A777" s="11"/>
      <c r="D777" s="10"/>
      <c r="E777" s="12"/>
      <c r="G777" s="30" t="str">
        <f aca="false">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ustomFormat="false" ht="15" hidden="false" customHeight="false" outlineLevel="0" collapsed="false">
      <c r="A778" s="11"/>
      <c r="D778" s="10"/>
      <c r="E778" s="12"/>
      <c r="G778" s="30" t="str">
        <f aca="false">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ustomFormat="false" ht="15" hidden="false" customHeight="false" outlineLevel="0" collapsed="false">
      <c r="A779" s="11"/>
      <c r="D779" s="10"/>
      <c r="E779" s="12"/>
      <c r="G779" s="30" t="str">
        <f aca="false">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ustomFormat="false" ht="15" hidden="false" customHeight="false" outlineLevel="0" collapsed="false">
      <c r="A780" s="11"/>
      <c r="D780" s="10"/>
      <c r="E780" s="12"/>
      <c r="G780" s="30" t="str">
        <f aca="false">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ustomFormat="false" ht="15" hidden="false" customHeight="false" outlineLevel="0" collapsed="false">
      <c r="A781" s="11"/>
      <c r="D781" s="10"/>
      <c r="E781" s="12"/>
      <c r="G781" s="30" t="str">
        <f aca="false">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ustomFormat="false" ht="15" hidden="false" customHeight="false" outlineLevel="0" collapsed="false">
      <c r="A782" s="11"/>
      <c r="D782" s="10"/>
      <c r="E782" s="12"/>
      <c r="G782" s="30" t="str">
        <f aca="false">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ustomFormat="false" ht="15" hidden="false" customHeight="false" outlineLevel="0" collapsed="false">
      <c r="A783" s="11"/>
      <c r="D783" s="10"/>
      <c r="E783" s="12"/>
      <c r="G783" s="30" t="str">
        <f aca="false">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ustomFormat="false" ht="15" hidden="false" customHeight="false" outlineLevel="0" collapsed="false">
      <c r="A784" s="11"/>
      <c r="D784" s="10"/>
      <c r="E784" s="12"/>
      <c r="G784" s="30" t="str">
        <f aca="false">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ustomFormat="false" ht="15" hidden="false" customHeight="false" outlineLevel="0" collapsed="false">
      <c r="A785" s="11"/>
      <c r="D785" s="10"/>
      <c r="E785" s="12"/>
      <c r="G785" s="30" t="str">
        <f aca="false">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ustomFormat="false" ht="15" hidden="false" customHeight="false" outlineLevel="0" collapsed="false">
      <c r="A786" s="11"/>
      <c r="D786" s="10"/>
      <c r="E786" s="12"/>
      <c r="G786" s="30" t="str">
        <f aca="false">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ustomFormat="false" ht="15" hidden="false" customHeight="false" outlineLevel="0" collapsed="false">
      <c r="A787" s="11"/>
      <c r="D787" s="10"/>
      <c r="E787" s="12"/>
      <c r="G787" s="30" t="str">
        <f aca="false">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ustomFormat="false" ht="15" hidden="false" customHeight="false" outlineLevel="0" collapsed="false">
      <c r="A788" s="11"/>
      <c r="D788" s="10"/>
      <c r="E788" s="12"/>
      <c r="G788" s="30" t="str">
        <f aca="false">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ustomFormat="false" ht="15" hidden="false" customHeight="false" outlineLevel="0" collapsed="false">
      <c r="A789" s="11"/>
      <c r="D789" s="10"/>
      <c r="E789" s="12"/>
      <c r="G789" s="30" t="str">
        <f aca="false">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ustomFormat="false" ht="15" hidden="false" customHeight="false" outlineLevel="0" collapsed="false">
      <c r="A790" s="11"/>
      <c r="D790" s="10"/>
      <c r="E790" s="12"/>
      <c r="G790" s="30" t="str">
        <f aca="false">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ustomFormat="false" ht="15" hidden="false" customHeight="false" outlineLevel="0" collapsed="false">
      <c r="A791" s="11"/>
      <c r="D791" s="10"/>
      <c r="E791" s="12"/>
      <c r="G791" s="30" t="str">
        <f aca="false">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ustomFormat="false" ht="15" hidden="false" customHeight="false" outlineLevel="0" collapsed="false">
      <c r="A792" s="11"/>
      <c r="D792" s="10"/>
      <c r="E792" s="12"/>
      <c r="G792" s="30" t="str">
        <f aca="false">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ustomFormat="false" ht="15" hidden="false" customHeight="false" outlineLevel="0" collapsed="false">
      <c r="A793" s="11"/>
      <c r="D793" s="10"/>
      <c r="E793" s="12"/>
      <c r="G793" s="30" t="str">
        <f aca="false">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ustomFormat="false" ht="15" hidden="false" customHeight="false" outlineLevel="0" collapsed="false">
      <c r="A794" s="11"/>
      <c r="D794" s="10"/>
      <c r="E794" s="12"/>
      <c r="G794" s="30" t="str">
        <f aca="false">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ustomFormat="false" ht="15" hidden="false" customHeight="false" outlineLevel="0" collapsed="false">
      <c r="A795" s="11"/>
      <c r="D795" s="10"/>
      <c r="E795" s="12"/>
      <c r="G795" s="30" t="str">
        <f aca="false">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ustomFormat="false" ht="15" hidden="false" customHeight="false" outlineLevel="0" collapsed="false">
      <c r="A796" s="11"/>
      <c r="D796" s="10"/>
      <c r="E796" s="12"/>
      <c r="G796" s="30" t="str">
        <f aca="false">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ustomFormat="false" ht="15" hidden="false" customHeight="false" outlineLevel="0" collapsed="false">
      <c r="A797" s="11"/>
      <c r="D797" s="10"/>
      <c r="E797" s="12"/>
      <c r="G797" s="30" t="str">
        <f aca="false">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ustomFormat="false" ht="15" hidden="false" customHeight="false" outlineLevel="0" collapsed="false">
      <c r="A798" s="11"/>
      <c r="D798" s="10"/>
      <c r="E798" s="12"/>
      <c r="G798" s="30" t="str">
        <f aca="false">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ustomFormat="false" ht="15" hidden="false" customHeight="false" outlineLevel="0" collapsed="false">
      <c r="A799" s="11"/>
      <c r="D799" s="10"/>
      <c r="E799" s="12"/>
      <c r="G799" s="30" t="str">
        <f aca="false">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ustomFormat="false" ht="15" hidden="false" customHeight="false" outlineLevel="0" collapsed="false">
      <c r="A800" s="11"/>
      <c r="D800" s="10"/>
      <c r="E800" s="12"/>
      <c r="G800" s="30" t="str">
        <f aca="false">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ustomFormat="false" ht="15" hidden="false" customHeight="false" outlineLevel="0" collapsed="false">
      <c r="A801" s="11"/>
      <c r="D801" s="10"/>
      <c r="E801" s="12"/>
      <c r="G801" s="30" t="str">
        <f aca="false">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ustomFormat="false" ht="15" hidden="false" customHeight="false" outlineLevel="0" collapsed="false">
      <c r="A802" s="11"/>
      <c r="D802" s="10"/>
      <c r="E802" s="12"/>
      <c r="G802" s="30" t="str">
        <f aca="false">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ustomFormat="false" ht="15" hidden="false" customHeight="false" outlineLevel="0" collapsed="false">
      <c r="A803" s="11"/>
      <c r="D803" s="10"/>
      <c r="E803" s="12"/>
      <c r="G803" s="30" t="str">
        <f aca="false">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ustomFormat="false" ht="15" hidden="false" customHeight="false" outlineLevel="0" collapsed="false">
      <c r="A804" s="11"/>
      <c r="D804" s="10"/>
      <c r="E804" s="12"/>
      <c r="G804" s="30" t="str">
        <f aca="false">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ustomFormat="false" ht="15" hidden="false" customHeight="false" outlineLevel="0" collapsed="false">
      <c r="A805" s="11"/>
      <c r="D805" s="10"/>
      <c r="E805" s="12"/>
      <c r="G805" s="30" t="str">
        <f aca="false">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ustomFormat="false" ht="15" hidden="false" customHeight="false" outlineLevel="0" collapsed="false">
      <c r="A806" s="11"/>
      <c r="D806" s="10"/>
      <c r="E806" s="12"/>
      <c r="G806" s="30" t="str">
        <f aca="false">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ustomFormat="false" ht="15" hidden="false" customHeight="false" outlineLevel="0" collapsed="false">
      <c r="A807" s="11"/>
      <c r="D807" s="10"/>
      <c r="E807" s="12"/>
      <c r="G807" s="30" t="str">
        <f aca="false">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ustomFormat="false" ht="15" hidden="false" customHeight="false" outlineLevel="0" collapsed="false">
      <c r="A808" s="11"/>
      <c r="D808" s="10"/>
      <c r="E808" s="12"/>
      <c r="G808" s="30" t="str">
        <f aca="false">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ustomFormat="false" ht="15" hidden="false" customHeight="false" outlineLevel="0" collapsed="false">
      <c r="A809" s="11"/>
      <c r="D809" s="10"/>
      <c r="E809" s="12"/>
      <c r="G809" s="30" t="str">
        <f aca="false">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ustomFormat="false" ht="15" hidden="false" customHeight="false" outlineLevel="0" collapsed="false">
      <c r="A810" s="11"/>
      <c r="D810" s="10"/>
      <c r="E810" s="12"/>
      <c r="G810" s="30" t="str">
        <f aca="false">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ustomFormat="false" ht="15" hidden="false" customHeight="false" outlineLevel="0" collapsed="false">
      <c r="A811" s="11"/>
      <c r="D811" s="10"/>
      <c r="E811" s="12"/>
      <c r="G811" s="30" t="str">
        <f aca="false">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ustomFormat="false" ht="15" hidden="false" customHeight="false" outlineLevel="0" collapsed="false">
      <c r="A812" s="11"/>
      <c r="D812" s="10"/>
      <c r="E812" s="12"/>
      <c r="G812" s="30" t="str">
        <f aca="false">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ustomFormat="false" ht="15" hidden="false" customHeight="false" outlineLevel="0" collapsed="false">
      <c r="A813" s="11"/>
      <c r="D813" s="10"/>
      <c r="E813" s="12"/>
      <c r="G813" s="30" t="str">
        <f aca="false">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ustomFormat="false" ht="15" hidden="false" customHeight="false" outlineLevel="0" collapsed="false">
      <c r="A814" s="11"/>
      <c r="D814" s="10"/>
      <c r="E814" s="12"/>
      <c r="G814" s="30" t="str">
        <f aca="false">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ustomFormat="false" ht="15" hidden="false" customHeight="false" outlineLevel="0" collapsed="false">
      <c r="A815" s="11"/>
      <c r="D815" s="10"/>
      <c r="E815" s="12"/>
      <c r="G815" s="30" t="str">
        <f aca="false">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ustomFormat="false" ht="15" hidden="false" customHeight="false" outlineLevel="0" collapsed="false">
      <c r="A816" s="11"/>
      <c r="D816" s="10"/>
      <c r="E816" s="12"/>
      <c r="G816" s="30" t="str">
        <f aca="false">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ustomFormat="false" ht="15" hidden="false" customHeight="false" outlineLevel="0" collapsed="false">
      <c r="A817" s="11"/>
      <c r="D817" s="10"/>
      <c r="E817" s="12"/>
      <c r="G817" s="30" t="str">
        <f aca="false">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ustomFormat="false" ht="15" hidden="false" customHeight="false" outlineLevel="0" collapsed="false">
      <c r="A818" s="11"/>
      <c r="D818" s="10"/>
      <c r="E818" s="12"/>
      <c r="G818" s="30" t="str">
        <f aca="false">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ustomFormat="false" ht="15" hidden="false" customHeight="false" outlineLevel="0" collapsed="false">
      <c r="A819" s="11"/>
      <c r="D819" s="10"/>
      <c r="E819" s="12"/>
      <c r="G819" s="30" t="str">
        <f aca="false">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ustomFormat="false" ht="15" hidden="false" customHeight="false" outlineLevel="0" collapsed="false">
      <c r="A820" s="11"/>
      <c r="D820" s="10"/>
      <c r="E820" s="12"/>
      <c r="G820" s="30" t="str">
        <f aca="false">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ustomFormat="false" ht="15" hidden="false" customHeight="false" outlineLevel="0" collapsed="false">
      <c r="A821" s="11"/>
      <c r="D821" s="10"/>
      <c r="E821" s="12"/>
      <c r="G821" s="30" t="str">
        <f aca="false">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ustomFormat="false" ht="15" hidden="false" customHeight="false" outlineLevel="0" collapsed="false">
      <c r="A822" s="11"/>
      <c r="D822" s="10"/>
      <c r="E822" s="12"/>
      <c r="G822" s="30" t="str">
        <f aca="false">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ustomFormat="false" ht="15" hidden="false" customHeight="false" outlineLevel="0" collapsed="false">
      <c r="A823" s="11"/>
      <c r="D823" s="10"/>
      <c r="E823" s="12"/>
      <c r="G823" s="30" t="str">
        <f aca="false">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ustomFormat="false" ht="15" hidden="false" customHeight="false" outlineLevel="0" collapsed="false">
      <c r="A824" s="11"/>
      <c r="D824" s="10"/>
      <c r="E824" s="12"/>
      <c r="G824" s="30" t="str">
        <f aca="false">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ustomFormat="false" ht="15" hidden="false" customHeight="false" outlineLevel="0" collapsed="false">
      <c r="A825" s="11"/>
      <c r="D825" s="10"/>
      <c r="E825" s="12"/>
      <c r="G825" s="30" t="str">
        <f aca="false">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ustomFormat="false" ht="15" hidden="false" customHeight="false" outlineLevel="0" collapsed="false">
      <c r="A826" s="11"/>
      <c r="D826" s="10"/>
      <c r="E826" s="12"/>
      <c r="G826" s="30" t="str">
        <f aca="false">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ustomFormat="false" ht="15" hidden="false" customHeight="false" outlineLevel="0" collapsed="false">
      <c r="A827" s="11"/>
      <c r="D827" s="10"/>
      <c r="E827" s="12"/>
      <c r="G827" s="30" t="str">
        <f aca="false">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ustomFormat="false" ht="15" hidden="false" customHeight="false" outlineLevel="0" collapsed="false">
      <c r="A828" s="11"/>
      <c r="D828" s="10"/>
      <c r="E828" s="12"/>
      <c r="G828" s="30" t="str">
        <f aca="false">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ustomFormat="false" ht="15" hidden="false" customHeight="false" outlineLevel="0" collapsed="false">
      <c r="A829" s="11"/>
      <c r="D829" s="10"/>
      <c r="E829" s="12"/>
      <c r="G829" s="30" t="str">
        <f aca="false">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ustomFormat="false" ht="15" hidden="false" customHeight="false" outlineLevel="0" collapsed="false">
      <c r="A830" s="11"/>
      <c r="D830" s="10"/>
      <c r="E830" s="12"/>
      <c r="G830" s="30" t="str">
        <f aca="false">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ustomFormat="false" ht="15" hidden="false" customHeight="false" outlineLevel="0" collapsed="false">
      <c r="A831" s="11"/>
      <c r="D831" s="10"/>
      <c r="E831" s="12"/>
      <c r="G831" s="30" t="str">
        <f aca="false">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ustomFormat="false" ht="15" hidden="false" customHeight="false" outlineLevel="0" collapsed="false">
      <c r="A832" s="11"/>
      <c r="D832" s="10"/>
      <c r="E832" s="12"/>
      <c r="G832" s="30" t="str">
        <f aca="false">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ustomFormat="false" ht="15" hidden="false" customHeight="false" outlineLevel="0" collapsed="false">
      <c r="A833" s="11"/>
      <c r="D833" s="10"/>
      <c r="E833" s="12"/>
      <c r="G833" s="30" t="str">
        <f aca="false">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ustomFormat="false" ht="15" hidden="false" customHeight="false" outlineLevel="0" collapsed="false">
      <c r="A834" s="11"/>
      <c r="D834" s="10"/>
      <c r="E834" s="12"/>
      <c r="G834" s="30" t="str">
        <f aca="false">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ustomFormat="false" ht="15" hidden="false" customHeight="false" outlineLevel="0" collapsed="false">
      <c r="A835" s="11"/>
      <c r="D835" s="10"/>
      <c r="E835" s="12"/>
      <c r="G835" s="30" t="str">
        <f aca="false">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ustomFormat="false" ht="15" hidden="false" customHeight="false" outlineLevel="0" collapsed="false">
      <c r="A836" s="11"/>
      <c r="D836" s="10"/>
      <c r="E836" s="12"/>
      <c r="G836" s="30" t="str">
        <f aca="false">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ustomFormat="false" ht="15" hidden="false" customHeight="false" outlineLevel="0" collapsed="false">
      <c r="A837" s="11"/>
      <c r="D837" s="10"/>
      <c r="E837" s="12"/>
      <c r="G837" s="30" t="str">
        <f aca="false">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ustomFormat="false" ht="15" hidden="false" customHeight="false" outlineLevel="0" collapsed="false">
      <c r="A838" s="11"/>
      <c r="D838" s="10"/>
      <c r="E838" s="12"/>
      <c r="G838" s="30" t="str">
        <f aca="false">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ustomFormat="false" ht="15" hidden="false" customHeight="false" outlineLevel="0" collapsed="false">
      <c r="A839" s="11"/>
      <c r="D839" s="10"/>
      <c r="E839" s="12"/>
      <c r="G839" s="30" t="str">
        <f aca="false">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ustomFormat="false" ht="15" hidden="false" customHeight="false" outlineLevel="0" collapsed="false">
      <c r="A840" s="11"/>
      <c r="D840" s="10"/>
      <c r="E840" s="12"/>
      <c r="G840" s="30" t="str">
        <f aca="false">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ustomFormat="false" ht="15" hidden="false" customHeight="false" outlineLevel="0" collapsed="false">
      <c r="A841" s="11"/>
      <c r="D841" s="10"/>
      <c r="E841" s="12"/>
      <c r="G841" s="30" t="str">
        <f aca="false">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ustomFormat="false" ht="15" hidden="false" customHeight="false" outlineLevel="0" collapsed="false">
      <c r="A842" s="11"/>
      <c r="D842" s="10"/>
      <c r="E842" s="12"/>
      <c r="G842" s="30" t="str">
        <f aca="false">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ustomFormat="false" ht="15" hidden="false" customHeight="false" outlineLevel="0" collapsed="false">
      <c r="A843" s="11"/>
      <c r="D843" s="10"/>
      <c r="E843" s="12"/>
      <c r="G843" s="30" t="str">
        <f aca="false">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ustomFormat="false" ht="15" hidden="false" customHeight="false" outlineLevel="0" collapsed="false">
      <c r="A844" s="11"/>
      <c r="D844" s="10"/>
      <c r="E844" s="12"/>
      <c r="G844" s="30" t="str">
        <f aca="false">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ustomFormat="false" ht="15" hidden="false" customHeight="false" outlineLevel="0" collapsed="false">
      <c r="A845" s="11"/>
      <c r="D845" s="10"/>
      <c r="E845" s="12"/>
      <c r="G845" s="30" t="str">
        <f aca="false">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ustomFormat="false" ht="15" hidden="false" customHeight="false" outlineLevel="0" collapsed="false">
      <c r="A846" s="11"/>
      <c r="D846" s="10"/>
      <c r="E846" s="12"/>
      <c r="G846" s="30" t="str">
        <f aca="false">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ustomFormat="false" ht="15" hidden="false" customHeight="false" outlineLevel="0" collapsed="false">
      <c r="A847" s="11"/>
      <c r="D847" s="10"/>
      <c r="E847" s="12"/>
      <c r="G847" s="30" t="str">
        <f aca="false">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ustomFormat="false" ht="15" hidden="false" customHeight="false" outlineLevel="0" collapsed="false">
      <c r="A848" s="11"/>
      <c r="D848" s="10"/>
      <c r="E848" s="12"/>
      <c r="G848" s="30" t="str">
        <f aca="false">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ustomFormat="false" ht="15" hidden="false" customHeight="false" outlineLevel="0" collapsed="false">
      <c r="A849" s="11"/>
      <c r="D849" s="10"/>
      <c r="E849" s="12"/>
      <c r="G849" s="30" t="str">
        <f aca="false">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ustomFormat="false" ht="15" hidden="false" customHeight="false" outlineLevel="0" collapsed="false">
      <c r="A850" s="11"/>
      <c r="D850" s="10"/>
      <c r="E850" s="12"/>
      <c r="G850" s="30" t="str">
        <f aca="false">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ustomFormat="false" ht="15" hidden="false" customHeight="false" outlineLevel="0" collapsed="false">
      <c r="A851" s="11"/>
      <c r="D851" s="10"/>
      <c r="E851" s="12"/>
      <c r="G851" s="30" t="str">
        <f aca="false">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ustomFormat="false" ht="15" hidden="false" customHeight="false" outlineLevel="0" collapsed="false">
      <c r="A852" s="11"/>
      <c r="D852" s="10"/>
      <c r="E852" s="12"/>
      <c r="G852" s="30" t="str">
        <f aca="false">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ustomFormat="false" ht="15" hidden="false" customHeight="false" outlineLevel="0" collapsed="false">
      <c r="A853" s="11"/>
      <c r="D853" s="10"/>
      <c r="E853" s="12"/>
      <c r="G853" s="30" t="str">
        <f aca="false">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ustomFormat="false" ht="15" hidden="false" customHeight="false" outlineLevel="0" collapsed="false">
      <c r="A854" s="11"/>
      <c r="D854" s="10"/>
      <c r="E854" s="12"/>
      <c r="G854" s="30" t="str">
        <f aca="false">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ustomFormat="false" ht="15" hidden="false" customHeight="false" outlineLevel="0" collapsed="false">
      <c r="A855" s="11"/>
      <c r="D855" s="10"/>
      <c r="E855" s="12"/>
      <c r="G855" s="30" t="str">
        <f aca="false">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ustomFormat="false" ht="15" hidden="false" customHeight="false" outlineLevel="0" collapsed="false">
      <c r="A856" s="11"/>
      <c r="D856" s="10"/>
      <c r="E856" s="12"/>
      <c r="G856" s="30" t="str">
        <f aca="false">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ustomFormat="false" ht="15" hidden="false" customHeight="false" outlineLevel="0" collapsed="false">
      <c r="A857" s="11"/>
      <c r="D857" s="10"/>
      <c r="E857" s="12"/>
      <c r="G857" s="30" t="str">
        <f aca="false">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ustomFormat="false" ht="15" hidden="false" customHeight="false" outlineLevel="0" collapsed="false">
      <c r="A858" s="11"/>
      <c r="D858" s="10"/>
      <c r="E858" s="12"/>
      <c r="G858" s="30" t="str">
        <f aca="false">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ustomFormat="false" ht="15" hidden="false" customHeight="false" outlineLevel="0" collapsed="false">
      <c r="A859" s="11"/>
      <c r="D859" s="10"/>
      <c r="E859" s="12"/>
      <c r="G859" s="30" t="str">
        <f aca="false">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ustomFormat="false" ht="15" hidden="false" customHeight="false" outlineLevel="0" collapsed="false">
      <c r="A860" s="11"/>
      <c r="D860" s="10"/>
      <c r="E860" s="12"/>
      <c r="G860" s="30" t="str">
        <f aca="false">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ustomFormat="false" ht="15" hidden="false" customHeight="false" outlineLevel="0" collapsed="false">
      <c r="A861" s="11"/>
      <c r="D861" s="10"/>
      <c r="E861" s="12"/>
      <c r="G861" s="30" t="str">
        <f aca="false">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ustomFormat="false" ht="15" hidden="false" customHeight="false" outlineLevel="0" collapsed="false">
      <c r="A862" s="11"/>
      <c r="D862" s="10"/>
      <c r="E862" s="12"/>
      <c r="G862" s="30" t="str">
        <f aca="false">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ustomFormat="false" ht="15" hidden="false" customHeight="false" outlineLevel="0" collapsed="false">
      <c r="A863" s="11"/>
      <c r="D863" s="10"/>
      <c r="E863" s="12"/>
      <c r="G863" s="30" t="str">
        <f aca="false">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ustomFormat="false" ht="15" hidden="false" customHeight="false" outlineLevel="0" collapsed="false">
      <c r="A864" s="11"/>
      <c r="D864" s="10"/>
      <c r="E864" s="12"/>
      <c r="G864" s="30" t="str">
        <f aca="false">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ustomFormat="false" ht="15" hidden="false" customHeight="false" outlineLevel="0" collapsed="false">
      <c r="A865" s="11"/>
      <c r="D865" s="10"/>
      <c r="E865" s="12"/>
      <c r="G865" s="30" t="str">
        <f aca="false">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ustomFormat="false" ht="15" hidden="false" customHeight="false" outlineLevel="0" collapsed="false">
      <c r="A866" s="11"/>
      <c r="D866" s="10"/>
      <c r="E866" s="12"/>
      <c r="G866" s="30" t="str">
        <f aca="false">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ustomFormat="false" ht="15" hidden="false" customHeight="false" outlineLevel="0" collapsed="false">
      <c r="A867" s="11"/>
      <c r="D867" s="10"/>
      <c r="E867" s="12"/>
      <c r="G867" s="30" t="str">
        <f aca="false">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ustomFormat="false" ht="15" hidden="false" customHeight="false" outlineLevel="0" collapsed="false">
      <c r="A868" s="11"/>
      <c r="D868" s="10"/>
      <c r="E868" s="12"/>
      <c r="G868" s="30" t="str">
        <f aca="false">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ustomFormat="false" ht="15" hidden="false" customHeight="false" outlineLevel="0" collapsed="false">
      <c r="A869" s="11"/>
      <c r="D869" s="10"/>
      <c r="E869" s="12"/>
      <c r="G869" s="30" t="str">
        <f aca="false">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ustomFormat="false" ht="15" hidden="false" customHeight="false" outlineLevel="0" collapsed="false">
      <c r="A870" s="11"/>
      <c r="D870" s="10"/>
      <c r="E870" s="12"/>
      <c r="G870" s="30" t="str">
        <f aca="false">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ustomFormat="false" ht="15" hidden="false" customHeight="false" outlineLevel="0" collapsed="false">
      <c r="A871" s="11"/>
      <c r="D871" s="10"/>
      <c r="E871" s="12"/>
      <c r="G871" s="30" t="str">
        <f aca="false">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ustomFormat="false" ht="15" hidden="false" customHeight="false" outlineLevel="0" collapsed="false">
      <c r="A872" s="11"/>
      <c r="D872" s="10"/>
      <c r="E872" s="12"/>
      <c r="G872" s="30" t="str">
        <f aca="false">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ustomFormat="false" ht="15" hidden="false" customHeight="false" outlineLevel="0" collapsed="false">
      <c r="A873" s="11"/>
      <c r="D873" s="10"/>
      <c r="E873" s="12"/>
      <c r="G873" s="30" t="str">
        <f aca="false">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ustomFormat="false" ht="15" hidden="false" customHeight="false" outlineLevel="0" collapsed="false">
      <c r="A874" s="11"/>
      <c r="D874" s="10"/>
      <c r="E874" s="12"/>
      <c r="G874" s="30" t="str">
        <f aca="false">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ustomFormat="false" ht="15" hidden="false" customHeight="false" outlineLevel="0" collapsed="false">
      <c r="A875" s="11"/>
      <c r="D875" s="10"/>
      <c r="E875" s="12"/>
      <c r="G875" s="30" t="str">
        <f aca="false">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ustomFormat="false" ht="15" hidden="false" customHeight="false" outlineLevel="0" collapsed="false">
      <c r="A876" s="11"/>
      <c r="D876" s="10"/>
      <c r="E876" s="12"/>
      <c r="G876" s="30" t="str">
        <f aca="false">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ustomFormat="false" ht="15" hidden="false" customHeight="false" outlineLevel="0" collapsed="false">
      <c r="A877" s="11"/>
      <c r="D877" s="10"/>
      <c r="E877" s="12"/>
      <c r="G877" s="30" t="str">
        <f aca="false">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ustomFormat="false" ht="15" hidden="false" customHeight="false" outlineLevel="0" collapsed="false">
      <c r="A878" s="11"/>
      <c r="D878" s="10"/>
      <c r="E878" s="12"/>
      <c r="G878" s="30" t="str">
        <f aca="false">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ustomFormat="false" ht="15" hidden="false" customHeight="false" outlineLevel="0" collapsed="false">
      <c r="A879" s="11"/>
      <c r="D879" s="10"/>
      <c r="E879" s="12"/>
      <c r="G879" s="30" t="str">
        <f aca="false">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ustomFormat="false" ht="15" hidden="false" customHeight="false" outlineLevel="0" collapsed="false">
      <c r="A880" s="11"/>
      <c r="D880" s="10"/>
      <c r="E880" s="12"/>
      <c r="G880" s="30" t="str">
        <f aca="false">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ustomFormat="false" ht="15" hidden="false" customHeight="false" outlineLevel="0" collapsed="false">
      <c r="A881" s="11"/>
      <c r="D881" s="10"/>
      <c r="E881" s="12"/>
      <c r="G881" s="30" t="str">
        <f aca="false">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ustomFormat="false" ht="15" hidden="false" customHeight="false" outlineLevel="0" collapsed="false">
      <c r="A882" s="11"/>
      <c r="D882" s="10"/>
      <c r="E882" s="12"/>
      <c r="G882" s="30" t="str">
        <f aca="false">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ustomFormat="false" ht="15" hidden="false" customHeight="false" outlineLevel="0" collapsed="false">
      <c r="A883" s="11"/>
      <c r="D883" s="10"/>
      <c r="E883" s="12"/>
      <c r="G883" s="30" t="str">
        <f aca="false">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ustomFormat="false" ht="15" hidden="false" customHeight="false" outlineLevel="0" collapsed="false">
      <c r="A884" s="11"/>
      <c r="D884" s="10"/>
      <c r="E884" s="12"/>
      <c r="G884" s="30" t="str">
        <f aca="false">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ustomFormat="false" ht="15" hidden="false" customHeight="false" outlineLevel="0" collapsed="false">
      <c r="A885" s="11"/>
      <c r="D885" s="10"/>
      <c r="E885" s="12"/>
      <c r="G885" s="30" t="str">
        <f aca="false">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ustomFormat="false" ht="15" hidden="false" customHeight="false" outlineLevel="0" collapsed="false">
      <c r="A886" s="11"/>
      <c r="D886" s="10"/>
      <c r="E886" s="12"/>
      <c r="G886" s="30" t="str">
        <f aca="false">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ustomFormat="false" ht="15" hidden="false" customHeight="false" outlineLevel="0" collapsed="false">
      <c r="A887" s="11"/>
      <c r="D887" s="10"/>
      <c r="E887" s="12"/>
      <c r="G887" s="30" t="str">
        <f aca="false">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ustomFormat="false" ht="15" hidden="false" customHeight="false" outlineLevel="0" collapsed="false">
      <c r="A888" s="11"/>
      <c r="D888" s="10"/>
      <c r="E888" s="12"/>
      <c r="G888" s="30" t="str">
        <f aca="false">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ustomFormat="false" ht="15" hidden="false" customHeight="false" outlineLevel="0" collapsed="false">
      <c r="A889" s="11"/>
      <c r="D889" s="10"/>
      <c r="E889" s="12"/>
      <c r="G889" s="30" t="str">
        <f aca="false">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ustomFormat="false" ht="15" hidden="false" customHeight="false" outlineLevel="0" collapsed="false">
      <c r="A890" s="11"/>
      <c r="D890" s="10"/>
      <c r="E890" s="12"/>
      <c r="G890" s="30" t="str">
        <f aca="false">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ustomFormat="false" ht="15" hidden="false" customHeight="false" outlineLevel="0" collapsed="false">
      <c r="A891" s="11"/>
      <c r="D891" s="10"/>
      <c r="E891" s="12"/>
      <c r="G891" s="30" t="str">
        <f aca="false">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ustomFormat="false" ht="15" hidden="false" customHeight="false" outlineLevel="0" collapsed="false">
      <c r="A892" s="11"/>
      <c r="D892" s="10"/>
      <c r="E892" s="12"/>
      <c r="G892" s="30" t="str">
        <f aca="false">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ustomFormat="false" ht="15" hidden="false" customHeight="false" outlineLevel="0" collapsed="false">
      <c r="A893" s="11"/>
      <c r="D893" s="10"/>
      <c r="E893" s="12"/>
      <c r="G893" s="30" t="str">
        <f aca="false">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ustomFormat="false" ht="15" hidden="false" customHeight="false" outlineLevel="0" collapsed="false">
      <c r="A894" s="11"/>
      <c r="D894" s="10"/>
      <c r="E894" s="12"/>
      <c r="G894" s="30" t="str">
        <f aca="false">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ustomFormat="false" ht="15" hidden="false" customHeight="false" outlineLevel="0" collapsed="false">
      <c r="A895" s="11"/>
      <c r="D895" s="10"/>
      <c r="E895" s="12"/>
      <c r="G895" s="30" t="str">
        <f aca="false">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ustomFormat="false" ht="15" hidden="false" customHeight="false" outlineLevel="0" collapsed="false">
      <c r="A896" s="11"/>
      <c r="D896" s="10"/>
      <c r="E896" s="12"/>
      <c r="G896" s="30" t="str">
        <f aca="false">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ustomFormat="false" ht="15" hidden="false" customHeight="false" outlineLevel="0" collapsed="false">
      <c r="A897" s="11"/>
      <c r="D897" s="10"/>
      <c r="E897" s="12"/>
      <c r="G897" s="30" t="str">
        <f aca="false">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ustomFormat="false" ht="15" hidden="false" customHeight="false" outlineLevel="0" collapsed="false">
      <c r="A898" s="11"/>
      <c r="D898" s="10"/>
      <c r="E898" s="12"/>
      <c r="G898" s="30" t="str">
        <f aca="false">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ustomFormat="false" ht="15" hidden="false" customHeight="false" outlineLevel="0" collapsed="false">
      <c r="A899" s="11"/>
      <c r="D899" s="10"/>
      <c r="E899" s="12"/>
      <c r="G899" s="30" t="str">
        <f aca="false">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ustomFormat="false" ht="15" hidden="false" customHeight="false" outlineLevel="0" collapsed="false">
      <c r="A900" s="11"/>
      <c r="D900" s="10"/>
      <c r="E900" s="12"/>
      <c r="G900" s="30" t="str">
        <f aca="false">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ustomFormat="false" ht="15" hidden="false" customHeight="false" outlineLevel="0" collapsed="false">
      <c r="A901" s="11"/>
      <c r="D901" s="10"/>
      <c r="E901" s="12"/>
      <c r="G901" s="30" t="str">
        <f aca="false">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ustomFormat="false" ht="15" hidden="false" customHeight="false" outlineLevel="0" collapsed="false">
      <c r="A902" s="11"/>
      <c r="D902" s="10"/>
      <c r="E902" s="12"/>
      <c r="G902" s="30" t="str">
        <f aca="false">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ustomFormat="false" ht="15" hidden="false" customHeight="false" outlineLevel="0" collapsed="false">
      <c r="A903" s="11"/>
      <c r="D903" s="10"/>
      <c r="E903" s="12"/>
      <c r="G903" s="30" t="str">
        <f aca="false">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ustomFormat="false" ht="15" hidden="false" customHeight="false" outlineLevel="0" collapsed="false">
      <c r="A904" s="11"/>
      <c r="D904" s="10"/>
      <c r="E904" s="12"/>
      <c r="G904" s="30" t="str">
        <f aca="false">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ustomFormat="false" ht="15" hidden="false" customHeight="false" outlineLevel="0" collapsed="false">
      <c r="A905" s="11"/>
      <c r="D905" s="10"/>
      <c r="E905" s="12"/>
      <c r="G905" s="30" t="str">
        <f aca="false">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ustomFormat="false" ht="15" hidden="false" customHeight="false" outlineLevel="0" collapsed="false">
      <c r="A906" s="11"/>
      <c r="D906" s="10"/>
      <c r="E906" s="12"/>
      <c r="G906" s="30" t="str">
        <f aca="false">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ustomFormat="false" ht="15" hidden="false" customHeight="false" outlineLevel="0" collapsed="false">
      <c r="A907" s="11"/>
      <c r="D907" s="10"/>
      <c r="E907" s="12"/>
      <c r="G907" s="30" t="str">
        <f aca="false">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ustomFormat="false" ht="15" hidden="false" customHeight="false" outlineLevel="0" collapsed="false">
      <c r="A908" s="11"/>
      <c r="D908" s="10"/>
      <c r="E908" s="12"/>
      <c r="G908" s="30" t="str">
        <f aca="false">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ustomFormat="false" ht="15" hidden="false" customHeight="false" outlineLevel="0" collapsed="false">
      <c r="A909" s="11"/>
      <c r="D909" s="10"/>
      <c r="E909" s="12"/>
      <c r="G909" s="30" t="str">
        <f aca="false">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ustomFormat="false" ht="15" hidden="false" customHeight="false" outlineLevel="0" collapsed="false">
      <c r="A910" s="11"/>
      <c r="D910" s="10"/>
      <c r="E910" s="12"/>
      <c r="G910" s="30" t="str">
        <f aca="false">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ustomFormat="false" ht="15" hidden="false" customHeight="false" outlineLevel="0" collapsed="false">
      <c r="A911" s="11"/>
      <c r="D911" s="10"/>
      <c r="E911" s="12"/>
      <c r="G911" s="30" t="str">
        <f aca="false">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ustomFormat="false" ht="15" hidden="false" customHeight="false" outlineLevel="0" collapsed="false">
      <c r="A912" s="11"/>
      <c r="D912" s="10"/>
      <c r="E912" s="12"/>
      <c r="G912" s="30" t="str">
        <f aca="false">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ustomFormat="false" ht="15" hidden="false" customHeight="false" outlineLevel="0" collapsed="false">
      <c r="A913" s="11"/>
      <c r="D913" s="10"/>
      <c r="E913" s="12"/>
      <c r="G913" s="30" t="str">
        <f aca="false">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ustomFormat="false" ht="15" hidden="false" customHeight="false" outlineLevel="0" collapsed="false">
      <c r="A914" s="11"/>
      <c r="D914" s="10"/>
      <c r="E914" s="12"/>
      <c r="G914" s="30" t="str">
        <f aca="false">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ustomFormat="false" ht="15" hidden="false" customHeight="false" outlineLevel="0" collapsed="false">
      <c r="A915" s="11"/>
      <c r="D915" s="10"/>
      <c r="E915" s="12"/>
      <c r="G915" s="30" t="str">
        <f aca="false">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ustomFormat="false" ht="15" hidden="false" customHeight="false" outlineLevel="0" collapsed="false">
      <c r="A916" s="11"/>
      <c r="D916" s="10"/>
      <c r="E916" s="12"/>
      <c r="G916" s="30" t="str">
        <f aca="false">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ustomFormat="false" ht="15" hidden="false" customHeight="false" outlineLevel="0" collapsed="false">
      <c r="A917" s="11"/>
      <c r="D917" s="10"/>
      <c r="E917" s="12"/>
      <c r="G917" s="30" t="str">
        <f aca="false">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ustomFormat="false" ht="15" hidden="false" customHeight="false" outlineLevel="0" collapsed="false">
      <c r="A918" s="11"/>
      <c r="D918" s="10"/>
      <c r="E918" s="12"/>
      <c r="G918" s="30" t="str">
        <f aca="false">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ustomFormat="false" ht="15" hidden="false" customHeight="false" outlineLevel="0" collapsed="false">
      <c r="A919" s="11"/>
      <c r="D919" s="10"/>
      <c r="E919" s="12"/>
      <c r="G919" s="30" t="str">
        <f aca="false">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ustomFormat="false" ht="15" hidden="false" customHeight="false" outlineLevel="0" collapsed="false">
      <c r="A920" s="11"/>
      <c r="D920" s="10"/>
      <c r="E920" s="12"/>
      <c r="G920" s="30" t="str">
        <f aca="false">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ustomFormat="false" ht="15" hidden="false" customHeight="false" outlineLevel="0" collapsed="false">
      <c r="A921" s="11"/>
      <c r="D921" s="10"/>
      <c r="E921" s="12"/>
      <c r="G921" s="30" t="str">
        <f aca="false">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ustomFormat="false" ht="15" hidden="false" customHeight="false" outlineLevel="0" collapsed="false">
      <c r="A922" s="11"/>
      <c r="D922" s="10"/>
      <c r="E922" s="12"/>
      <c r="G922" s="30" t="str">
        <f aca="false">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ustomFormat="false" ht="15" hidden="false" customHeight="false" outlineLevel="0" collapsed="false">
      <c r="A923" s="11"/>
      <c r="D923" s="10"/>
      <c r="E923" s="12"/>
      <c r="G923" s="30" t="str">
        <f aca="false">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ustomFormat="false" ht="15" hidden="false" customHeight="false" outlineLevel="0" collapsed="false">
      <c r="A924" s="11"/>
      <c r="D924" s="10"/>
      <c r="E924" s="12"/>
      <c r="G924" s="30" t="str">
        <f aca="false">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ustomFormat="false" ht="15" hidden="false" customHeight="false" outlineLevel="0" collapsed="false">
      <c r="A925" s="11"/>
      <c r="D925" s="10"/>
      <c r="E925" s="12"/>
      <c r="G925" s="30" t="str">
        <f aca="false">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ustomFormat="false" ht="15" hidden="false" customHeight="false" outlineLevel="0" collapsed="false">
      <c r="A926" s="11"/>
      <c r="D926" s="10"/>
      <c r="E926" s="12"/>
      <c r="G926" s="30" t="str">
        <f aca="false">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ustomFormat="false" ht="15" hidden="false" customHeight="false" outlineLevel="0" collapsed="false">
      <c r="A927" s="11"/>
      <c r="D927" s="10"/>
      <c r="E927" s="12"/>
      <c r="G927" s="30" t="str">
        <f aca="false">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ustomFormat="false" ht="15" hidden="false" customHeight="false" outlineLevel="0" collapsed="false">
      <c r="A928" s="11"/>
      <c r="D928" s="10"/>
      <c r="E928" s="12"/>
      <c r="G928" s="30" t="str">
        <f aca="false">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ustomFormat="false" ht="15" hidden="false" customHeight="false" outlineLevel="0" collapsed="false">
      <c r="A929" s="11"/>
      <c r="D929" s="10"/>
      <c r="E929" s="12"/>
      <c r="G929" s="30" t="str">
        <f aca="false">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ustomFormat="false" ht="15" hidden="false" customHeight="false" outlineLevel="0" collapsed="false">
      <c r="A930" s="11"/>
      <c r="D930" s="10"/>
      <c r="E930" s="12"/>
      <c r="G930" s="30" t="str">
        <f aca="false">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ustomFormat="false" ht="15" hidden="false" customHeight="false" outlineLevel="0" collapsed="false">
      <c r="A931" s="11"/>
      <c r="D931" s="10"/>
      <c r="E931" s="12"/>
      <c r="G931" s="30" t="str">
        <f aca="false">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ustomFormat="false" ht="15" hidden="false" customHeight="false" outlineLevel="0" collapsed="false">
      <c r="A932" s="11"/>
      <c r="D932" s="10"/>
      <c r="E932" s="12"/>
      <c r="G932" s="30" t="str">
        <f aca="false">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ustomFormat="false" ht="15" hidden="false" customHeight="false" outlineLevel="0" collapsed="false">
      <c r="A933" s="11"/>
      <c r="D933" s="10"/>
      <c r="E933" s="12"/>
      <c r="G933" s="30" t="str">
        <f aca="false">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ustomFormat="false" ht="15" hidden="false" customHeight="false" outlineLevel="0" collapsed="false">
      <c r="A934" s="11"/>
      <c r="D934" s="10"/>
      <c r="E934" s="12"/>
      <c r="G934" s="30" t="str">
        <f aca="false">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ustomFormat="false" ht="15" hidden="false" customHeight="false" outlineLevel="0" collapsed="false">
      <c r="A935" s="11"/>
      <c r="D935" s="10"/>
      <c r="E935" s="12"/>
      <c r="G935" s="30" t="str">
        <f aca="false">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ustomFormat="false" ht="15" hidden="false" customHeight="false" outlineLevel="0" collapsed="false">
      <c r="A936" s="11"/>
      <c r="D936" s="10"/>
      <c r="E936" s="12"/>
      <c r="G936" s="30" t="str">
        <f aca="false">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ustomFormat="false" ht="15" hidden="false" customHeight="false" outlineLevel="0" collapsed="false">
      <c r="A937" s="11"/>
      <c r="D937" s="10"/>
      <c r="E937" s="12"/>
      <c r="G937" s="30" t="str">
        <f aca="false">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ustomFormat="false" ht="15" hidden="false" customHeight="false" outlineLevel="0" collapsed="false">
      <c r="A938" s="11"/>
      <c r="D938" s="10"/>
      <c r="E938" s="12"/>
      <c r="G938" s="30" t="str">
        <f aca="false">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ustomFormat="false" ht="15" hidden="false" customHeight="false" outlineLevel="0" collapsed="false">
      <c r="A939" s="11"/>
      <c r="D939" s="10"/>
      <c r="E939" s="12"/>
      <c r="G939" s="30" t="str">
        <f aca="false">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ustomFormat="false" ht="15" hidden="false" customHeight="false" outlineLevel="0" collapsed="false">
      <c r="A940" s="11"/>
      <c r="D940" s="10"/>
      <c r="E940" s="12"/>
      <c r="G940" s="30" t="str">
        <f aca="false">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ustomFormat="false" ht="15" hidden="false" customHeight="false" outlineLevel="0" collapsed="false">
      <c r="A941" s="11"/>
      <c r="D941" s="10"/>
      <c r="E941" s="12"/>
      <c r="G941" s="30" t="str">
        <f aca="false">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ustomFormat="false" ht="15" hidden="false" customHeight="false" outlineLevel="0" collapsed="false">
      <c r="A942" s="11"/>
      <c r="D942" s="10"/>
      <c r="E942" s="12"/>
      <c r="G942" s="30" t="str">
        <f aca="false">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ustomFormat="false" ht="15" hidden="false" customHeight="false" outlineLevel="0" collapsed="false">
      <c r="A943" s="11"/>
      <c r="D943" s="10"/>
      <c r="E943" s="12"/>
      <c r="G943" s="30" t="str">
        <f aca="false">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ustomFormat="false" ht="15" hidden="false" customHeight="false" outlineLevel="0" collapsed="false">
      <c r="A944" s="11"/>
      <c r="D944" s="10"/>
      <c r="E944" s="12"/>
      <c r="G944" s="30" t="str">
        <f aca="false">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ustomFormat="false" ht="15" hidden="false" customHeight="false" outlineLevel="0" collapsed="false">
      <c r="A945" s="11"/>
      <c r="D945" s="10"/>
      <c r="E945" s="12"/>
      <c r="G945" s="30" t="str">
        <f aca="false">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ustomFormat="false" ht="15" hidden="false" customHeight="false" outlineLevel="0" collapsed="false">
      <c r="A946" s="11"/>
      <c r="D946" s="10"/>
      <c r="E946" s="12"/>
      <c r="G946" s="30" t="str">
        <f aca="false">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ustomFormat="false" ht="15" hidden="false" customHeight="false" outlineLevel="0" collapsed="false">
      <c r="A947" s="11"/>
      <c r="D947" s="10"/>
      <c r="E947" s="12"/>
      <c r="G947" s="30" t="str">
        <f aca="false">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ustomFormat="false" ht="15" hidden="false" customHeight="false" outlineLevel="0" collapsed="false">
      <c r="A948" s="11"/>
      <c r="D948" s="10"/>
      <c r="E948" s="12"/>
      <c r="G948" s="30" t="str">
        <f aca="false">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ustomFormat="false" ht="15" hidden="false" customHeight="false" outlineLevel="0" collapsed="false">
      <c r="A949" s="11"/>
      <c r="D949" s="10"/>
      <c r="E949" s="12"/>
      <c r="G949" s="30" t="str">
        <f aca="false">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ustomFormat="false" ht="15" hidden="false" customHeight="false" outlineLevel="0" collapsed="false">
      <c r="A950" s="11"/>
      <c r="D950" s="10"/>
      <c r="E950" s="12"/>
      <c r="G950" s="30" t="str">
        <f aca="false">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ustomFormat="false" ht="15" hidden="false" customHeight="false" outlineLevel="0" collapsed="false">
      <c r="A951" s="11"/>
      <c r="D951" s="10"/>
      <c r="E951" s="12"/>
      <c r="G951" s="30" t="str">
        <f aca="false">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ustomFormat="false" ht="15" hidden="false" customHeight="false" outlineLevel="0" collapsed="false">
      <c r="A952" s="11"/>
      <c r="D952" s="10"/>
      <c r="E952" s="12"/>
      <c r="G952" s="30" t="str">
        <f aca="false">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ustomFormat="false" ht="15" hidden="false" customHeight="false" outlineLevel="0" collapsed="false">
      <c r="A953" s="11"/>
      <c r="D953" s="10"/>
      <c r="E953" s="12"/>
      <c r="G953" s="30" t="str">
        <f aca="false">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ustomFormat="false" ht="15" hidden="false" customHeight="false" outlineLevel="0" collapsed="false">
      <c r="A954" s="11"/>
      <c r="D954" s="10"/>
      <c r="E954" s="12"/>
      <c r="G954" s="30" t="str">
        <f aca="false">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ustomFormat="false" ht="15" hidden="false" customHeight="false" outlineLevel="0" collapsed="false">
      <c r="A955" s="11"/>
      <c r="D955" s="10"/>
      <c r="E955" s="12"/>
      <c r="G955" s="30" t="str">
        <f aca="false">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ustomFormat="false" ht="15" hidden="false" customHeight="false" outlineLevel="0" collapsed="false">
      <c r="A956" s="11"/>
      <c r="D956" s="10"/>
      <c r="E956" s="12"/>
      <c r="G956" s="30" t="str">
        <f aca="false">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ustomFormat="false" ht="15" hidden="false" customHeight="false" outlineLevel="0" collapsed="false">
      <c r="A957" s="11"/>
      <c r="D957" s="10"/>
      <c r="E957" s="12"/>
      <c r="G957" s="30" t="str">
        <f aca="false">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ustomFormat="false" ht="15" hidden="false" customHeight="false" outlineLevel="0" collapsed="false">
      <c r="A958" s="11"/>
      <c r="D958" s="10"/>
      <c r="E958" s="12"/>
      <c r="G958" s="30" t="str">
        <f aca="false">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ustomFormat="false" ht="15" hidden="false" customHeight="false" outlineLevel="0" collapsed="false">
      <c r="A959" s="11"/>
      <c r="D959" s="10"/>
      <c r="E959" s="12"/>
      <c r="G959" s="30" t="str">
        <f aca="false">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ustomFormat="false" ht="15" hidden="false" customHeight="false" outlineLevel="0" collapsed="false">
      <c r="A960" s="11"/>
      <c r="D960" s="10"/>
      <c r="E960" s="12"/>
      <c r="G960" s="30" t="str">
        <f aca="false">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ustomFormat="false" ht="15" hidden="false" customHeight="false" outlineLevel="0" collapsed="false">
      <c r="A961" s="11"/>
      <c r="D961" s="10"/>
      <c r="E961" s="12"/>
      <c r="G961" s="30" t="str">
        <f aca="false">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ustomFormat="false" ht="15" hidden="false" customHeight="false" outlineLevel="0" collapsed="false">
      <c r="A962" s="11"/>
      <c r="D962" s="10"/>
      <c r="E962" s="12"/>
      <c r="G962" s="30" t="str">
        <f aca="false">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ustomFormat="false" ht="15" hidden="false" customHeight="false" outlineLevel="0" collapsed="false">
      <c r="A963" s="11"/>
      <c r="D963" s="10"/>
      <c r="E963" s="12"/>
      <c r="G963" s="30" t="str">
        <f aca="false">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ustomFormat="false" ht="15" hidden="false" customHeight="false" outlineLevel="0" collapsed="false">
      <c r="A964" s="11"/>
      <c r="D964" s="10"/>
      <c r="E964" s="12"/>
      <c r="G964" s="30" t="str">
        <f aca="false">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ustomFormat="false" ht="15" hidden="false" customHeight="false" outlineLevel="0" collapsed="false">
      <c r="A965" s="11"/>
      <c r="D965" s="10"/>
      <c r="E965" s="12"/>
      <c r="G965" s="30" t="str">
        <f aca="false">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ustomFormat="false" ht="15" hidden="false" customHeight="false" outlineLevel="0" collapsed="false">
      <c r="A966" s="11"/>
      <c r="D966" s="10"/>
      <c r="E966" s="12"/>
      <c r="G966" s="30" t="str">
        <f aca="false">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ustomFormat="false" ht="15" hidden="false" customHeight="false" outlineLevel="0" collapsed="false">
      <c r="A967" s="11"/>
      <c r="D967" s="10"/>
      <c r="E967" s="12"/>
      <c r="G967" s="30" t="str">
        <f aca="false">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ustomFormat="false" ht="15" hidden="false" customHeight="false" outlineLevel="0" collapsed="false">
      <c r="A968" s="11"/>
      <c r="D968" s="10"/>
      <c r="E968" s="12"/>
      <c r="G968" s="30" t="str">
        <f aca="false">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ustomFormat="false" ht="15" hidden="false" customHeight="false" outlineLevel="0" collapsed="false">
      <c r="A969" s="11"/>
      <c r="D969" s="10"/>
      <c r="E969" s="12"/>
      <c r="G969" s="30" t="str">
        <f aca="false">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ustomFormat="false" ht="15" hidden="false" customHeight="false" outlineLevel="0" collapsed="false">
      <c r="A970" s="11"/>
      <c r="D970" s="10"/>
      <c r="E970" s="12"/>
      <c r="G970" s="30" t="str">
        <f aca="false">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ustomFormat="false" ht="15" hidden="false" customHeight="false" outlineLevel="0" collapsed="false">
      <c r="A971" s="11"/>
      <c r="D971" s="10"/>
      <c r="E971" s="12"/>
      <c r="G971" s="30" t="str">
        <f aca="false">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ustomFormat="false" ht="15" hidden="false" customHeight="false" outlineLevel="0" collapsed="false">
      <c r="A972" s="11"/>
      <c r="D972" s="10"/>
      <c r="E972" s="12"/>
      <c r="G972" s="30" t="str">
        <f aca="false">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ustomFormat="false" ht="15" hidden="false" customHeight="false" outlineLevel="0" collapsed="false">
      <c r="A973" s="11"/>
      <c r="D973" s="10"/>
      <c r="E973" s="12"/>
      <c r="G973" s="30" t="str">
        <f aca="false">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ustomFormat="false" ht="15" hidden="false" customHeight="false" outlineLevel="0" collapsed="false">
      <c r="A974" s="11"/>
      <c r="D974" s="10"/>
      <c r="E974" s="12"/>
      <c r="G974" s="30" t="str">
        <f aca="false">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ustomFormat="false" ht="15" hidden="false" customHeight="false" outlineLevel="0" collapsed="false">
      <c r="A975" s="11"/>
      <c r="D975" s="10"/>
      <c r="E975" s="12"/>
      <c r="G975" s="30" t="str">
        <f aca="false">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ustomFormat="false" ht="15" hidden="false" customHeight="false" outlineLevel="0" collapsed="false">
      <c r="A976" s="11"/>
      <c r="D976" s="10"/>
      <c r="E976" s="12"/>
      <c r="G976" s="30" t="str">
        <f aca="false">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ustomFormat="false" ht="15" hidden="false" customHeight="false" outlineLevel="0" collapsed="false">
      <c r="A977" s="11"/>
      <c r="D977" s="10"/>
      <c r="E977" s="12"/>
      <c r="G977" s="30" t="str">
        <f aca="false">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ustomFormat="false" ht="15" hidden="false" customHeight="false" outlineLevel="0" collapsed="false">
      <c r="A978" s="11"/>
      <c r="D978" s="10"/>
      <c r="E978" s="12"/>
      <c r="G978" s="30" t="str">
        <f aca="false">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ustomFormat="false" ht="15" hidden="false" customHeight="false" outlineLevel="0" collapsed="false">
      <c r="A979" s="11"/>
      <c r="D979" s="10"/>
      <c r="E979" s="12"/>
      <c r="G979" s="30" t="str">
        <f aca="false">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ustomFormat="false" ht="15" hidden="false" customHeight="false" outlineLevel="0" collapsed="false">
      <c r="A980" s="11"/>
      <c r="D980" s="10"/>
      <c r="E980" s="12"/>
      <c r="G980" s="30" t="str">
        <f aca="false">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ustomFormat="false" ht="15" hidden="false" customHeight="false" outlineLevel="0" collapsed="false">
      <c r="A981" s="11"/>
      <c r="D981" s="10"/>
      <c r="E981" s="12"/>
      <c r="G981" s="30" t="str">
        <f aca="false">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ustomFormat="false" ht="15" hidden="false" customHeight="false" outlineLevel="0" collapsed="false">
      <c r="A982" s="11"/>
      <c r="D982" s="10"/>
      <c r="E982" s="12"/>
      <c r="G982" s="30" t="str">
        <f aca="false">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ustomFormat="false" ht="15" hidden="false" customHeight="false" outlineLevel="0" collapsed="false">
      <c r="A983" s="11"/>
      <c r="D983" s="10"/>
      <c r="E983" s="12"/>
      <c r="G983" s="30" t="str">
        <f aca="false">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ustomFormat="false" ht="15" hidden="false" customHeight="false" outlineLevel="0" collapsed="false">
      <c r="A984" s="11"/>
      <c r="D984" s="10"/>
      <c r="E984" s="12"/>
      <c r="G984" s="30" t="str">
        <f aca="false">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ustomFormat="false" ht="15" hidden="false" customHeight="false" outlineLevel="0" collapsed="false">
      <c r="A985" s="11"/>
      <c r="D985" s="10"/>
      <c r="E985" s="12"/>
      <c r="G985" s="30" t="str">
        <f aca="false">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ustomFormat="false" ht="15" hidden="false" customHeight="false" outlineLevel="0" collapsed="false">
      <c r="A986" s="11"/>
      <c r="D986" s="10"/>
      <c r="E986" s="12"/>
      <c r="G986" s="30" t="str">
        <f aca="false">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ustomFormat="false" ht="15" hidden="false" customHeight="false" outlineLevel="0" collapsed="false">
      <c r="A987" s="11"/>
      <c r="D987" s="10"/>
      <c r="E987" s="12"/>
      <c r="G987" s="30" t="str">
        <f aca="false">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ustomFormat="false" ht="15" hidden="false" customHeight="false" outlineLevel="0" collapsed="false">
      <c r="A988" s="11"/>
      <c r="D988" s="10"/>
      <c r="E988" s="12"/>
      <c r="G988" s="30" t="str">
        <f aca="false">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ustomFormat="false" ht="15" hidden="false" customHeight="false" outlineLevel="0" collapsed="false">
      <c r="A989" s="11"/>
      <c r="D989" s="10"/>
      <c r="E989" s="12"/>
      <c r="G989" s="30" t="str">
        <f aca="false">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ustomFormat="false" ht="15" hidden="false" customHeight="false" outlineLevel="0" collapsed="false">
      <c r="A990" s="11"/>
      <c r="D990" s="10"/>
      <c r="E990" s="12"/>
      <c r="G990" s="30" t="str">
        <f aca="false">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ustomFormat="false" ht="15" hidden="false" customHeight="false" outlineLevel="0" collapsed="false">
      <c r="A991" s="11"/>
      <c r="D991" s="10"/>
      <c r="E991" s="12"/>
      <c r="G991" s="30" t="str">
        <f aca="false">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ustomFormat="false" ht="15" hidden="false" customHeight="false" outlineLevel="0" collapsed="false">
      <c r="A992" s="11"/>
      <c r="D992" s="10"/>
      <c r="E992" s="12"/>
      <c r="G992" s="30" t="str">
        <f aca="false">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ustomFormat="false" ht="15" hidden="false" customHeight="false" outlineLevel="0" collapsed="false">
      <c r="A993" s="11"/>
      <c r="D993" s="10"/>
      <c r="E993" s="12"/>
      <c r="G993" s="30" t="str">
        <f aca="false">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ustomFormat="false" ht="15" hidden="false" customHeight="false" outlineLevel="0" collapsed="false">
      <c r="A994" s="11"/>
      <c r="D994" s="10"/>
      <c r="E994" s="12"/>
      <c r="G994" s="30" t="str">
        <f aca="false">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ustomFormat="false" ht="15" hidden="false" customHeight="false" outlineLevel="0" collapsed="false">
      <c r="A995" s="11"/>
      <c r="D995" s="10"/>
      <c r="E995" s="12"/>
      <c r="G995" s="30" t="str">
        <f aca="false">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ustomFormat="false" ht="15" hidden="false" customHeight="false" outlineLevel="0" collapsed="false">
      <c r="A996" s="11"/>
      <c r="D996" s="10"/>
      <c r="E996" s="12"/>
      <c r="G996" s="30" t="str">
        <f aca="false">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ustomFormat="false" ht="15" hidden="false" customHeight="false" outlineLevel="0" collapsed="false">
      <c r="A997" s="11"/>
      <c r="D997" s="10"/>
      <c r="E997" s="12"/>
      <c r="G997" s="30" t="str">
        <f aca="false">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ustomFormat="false" ht="15" hidden="false" customHeight="false" outlineLevel="0" collapsed="false">
      <c r="A998" s="11"/>
      <c r="D998" s="10"/>
      <c r="E998" s="12"/>
      <c r="G998" s="30" t="str">
        <f aca="false">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ustomFormat="false" ht="15" hidden="false" customHeight="false" outlineLevel="0" collapsed="false">
      <c r="A999" s="11"/>
      <c r="D999" s="10"/>
      <c r="E999" s="12"/>
      <c r="G999" s="30" t="str">
        <f aca="false">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ustomFormat="false" ht="15" hidden="false" customHeight="false" outlineLevel="0" collapsed="false">
      <c r="A1000" s="11"/>
      <c r="D1000" s="10"/>
      <c r="E1000" s="12"/>
      <c r="G1000" s="30" t="str">
        <f aca="false">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ustomFormat="false" ht="15" hidden="false" customHeight="false" outlineLevel="0" collapsed="false">
      <c r="A1001" s="11"/>
      <c r="D1001" s="10"/>
      <c r="E1001" s="12"/>
      <c r="G1001" s="30" t="str">
        <f aca="false">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ustomFormat="false" ht="15" hidden="false" customHeight="false" outlineLevel="0" collapsed="false">
      <c r="A1002" s="11"/>
      <c r="D1002" s="10"/>
      <c r="E1002" s="12"/>
      <c r="G1002" s="30" t="str">
        <f aca="false">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ustomFormat="false" ht="15" hidden="false" customHeight="false" outlineLevel="0" collapsed="false">
      <c r="A1003" s="11"/>
      <c r="D1003" s="10"/>
      <c r="E1003" s="12"/>
      <c r="G1003" s="30" t="str">
        <f aca="false">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ustomFormat="false" ht="15" hidden="false" customHeight="false" outlineLevel="0" collapsed="false">
      <c r="A1004" s="11"/>
      <c r="D1004" s="10"/>
      <c r="E1004" s="12"/>
      <c r="G1004" s="30" t="str">
        <f aca="false">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ustomFormat="false" ht="15" hidden="false" customHeight="false" outlineLevel="0" collapsed="false">
      <c r="A1005" s="11"/>
      <c r="D1005" s="10"/>
      <c r="E1005" s="12"/>
      <c r="G1005" s="30" t="str">
        <f aca="false">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ustomFormat="false" ht="15" hidden="false" customHeight="false" outlineLevel="0" collapsed="false">
      <c r="A1006" s="11"/>
      <c r="D1006" s="10"/>
      <c r="E1006" s="12"/>
      <c r="G1006" s="30" t="str">
        <f aca="false">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ustomFormat="false" ht="15" hidden="false" customHeight="false" outlineLevel="0" collapsed="false">
      <c r="A1007" s="11"/>
      <c r="D1007" s="10"/>
      <c r="E1007" s="12"/>
      <c r="G1007" s="30" t="str">
        <f aca="false">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ustomFormat="false" ht="15" hidden="false" customHeight="false" outlineLevel="0" collapsed="false">
      <c r="A1008" s="11"/>
      <c r="D1008" s="10"/>
      <c r="E1008" s="12"/>
      <c r="G1008" s="30" t="str">
        <f aca="false">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ustomFormat="false" ht="15" hidden="false" customHeight="false" outlineLevel="0" collapsed="false">
      <c r="A1009" s="11"/>
      <c r="D1009" s="10"/>
      <c r="E1009" s="12"/>
      <c r="G1009" s="30" t="str">
        <f aca="false">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ustomFormat="false" ht="15" hidden="false" customHeight="false" outlineLevel="0" collapsed="false">
      <c r="A1010" s="11"/>
      <c r="D1010" s="10"/>
      <c r="E1010" s="12"/>
      <c r="G1010" s="30" t="str">
        <f aca="false">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ustomFormat="false" ht="15" hidden="false" customHeight="false" outlineLevel="0" collapsed="false">
      <c r="A1011" s="11"/>
      <c r="D1011" s="10"/>
      <c r="E1011" s="12"/>
      <c r="G1011" s="30" t="str">
        <f aca="false">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ustomFormat="false" ht="15" hidden="false" customHeight="false" outlineLevel="0" collapsed="false">
      <c r="A1012" s="11"/>
      <c r="D1012" s="10"/>
      <c r="E1012" s="12"/>
      <c r="G1012" s="30" t="str">
        <f aca="false">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ustomFormat="false" ht="15" hidden="false" customHeight="false" outlineLevel="0" collapsed="false">
      <c r="A1013" s="11"/>
      <c r="D1013" s="10"/>
      <c r="E1013" s="12"/>
      <c r="G1013" s="30" t="str">
        <f aca="false">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ustomFormat="false" ht="15" hidden="false" customHeight="false" outlineLevel="0" collapsed="false">
      <c r="A1014" s="11"/>
      <c r="D1014" s="10"/>
      <c r="E1014" s="12"/>
      <c r="G1014" s="30" t="str">
        <f aca="false">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ustomFormat="false" ht="15" hidden="false" customHeight="false" outlineLevel="0" collapsed="false">
      <c r="A1015" s="11"/>
      <c r="D1015" s="10"/>
      <c r="E1015" s="12"/>
      <c r="G1015" s="30" t="str">
        <f aca="false">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ustomFormat="false" ht="15" hidden="false" customHeight="false" outlineLevel="0" collapsed="false">
      <c r="A1016" s="11"/>
      <c r="D1016" s="10"/>
      <c r="E1016" s="12"/>
      <c r="G1016" s="30" t="str">
        <f aca="false">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ustomFormat="false" ht="15" hidden="false" customHeight="false" outlineLevel="0" collapsed="false">
      <c r="A1017" s="11"/>
      <c r="D1017" s="10"/>
      <c r="E1017" s="12"/>
      <c r="G1017" s="30" t="str">
        <f aca="false">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ustomFormat="false" ht="15" hidden="false" customHeight="false" outlineLevel="0" collapsed="false">
      <c r="A1018" s="11"/>
      <c r="D1018" s="10"/>
      <c r="E1018" s="12"/>
      <c r="G1018" s="30" t="str">
        <f aca="false">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ustomFormat="false" ht="15" hidden="false" customHeight="false" outlineLevel="0" collapsed="false">
      <c r="A1019" s="11"/>
      <c r="D1019" s="10"/>
      <c r="E1019" s="12"/>
      <c r="G1019" s="30" t="str">
        <f aca="false">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ustomFormat="false" ht="15" hidden="false" customHeight="false" outlineLevel="0" collapsed="false">
      <c r="A1020" s="11"/>
      <c r="D1020" s="10"/>
      <c r="E1020" s="12"/>
      <c r="G1020" s="30" t="str">
        <f aca="false">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ustomFormat="false" ht="15" hidden="false" customHeight="false" outlineLevel="0" collapsed="false">
      <c r="A1021" s="11"/>
      <c r="D1021" s="10"/>
      <c r="E1021" s="12"/>
      <c r="G1021" s="30" t="str">
        <f aca="false">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ustomFormat="false" ht="15" hidden="false" customHeight="false" outlineLevel="0" collapsed="false">
      <c r="A1022" s="11"/>
      <c r="D1022" s="10"/>
      <c r="E1022" s="12"/>
      <c r="G1022" s="30" t="str">
        <f aca="false">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ustomFormat="false" ht="15" hidden="false" customHeight="false" outlineLevel="0" collapsed="false">
      <c r="A1023" s="11"/>
      <c r="D1023" s="10"/>
      <c r="E1023" s="12"/>
      <c r="G1023" s="30" t="str">
        <f aca="false">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ustomFormat="false" ht="15" hidden="false" customHeight="false" outlineLevel="0" collapsed="false">
      <c r="A1024" s="11"/>
      <c r="D1024" s="10"/>
      <c r="E1024" s="12"/>
      <c r="G1024" s="30" t="str">
        <f aca="false">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ustomFormat="false" ht="15" hidden="false" customHeight="false" outlineLevel="0" collapsed="false">
      <c r="A1025" s="11"/>
      <c r="D1025" s="10"/>
      <c r="E1025" s="12"/>
      <c r="G1025" s="30" t="str">
        <f aca="false">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ustomFormat="false" ht="15" hidden="false" customHeight="false" outlineLevel="0" collapsed="false">
      <c r="A1026" s="11"/>
      <c r="D1026" s="10"/>
      <c r="E1026" s="12"/>
      <c r="G1026" s="30" t="str">
        <f aca="false">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ustomFormat="false" ht="15" hidden="false" customHeight="false" outlineLevel="0" collapsed="false">
      <c r="A1027" s="11"/>
      <c r="D1027" s="10"/>
      <c r="E1027" s="12"/>
      <c r="G1027" s="30" t="str">
        <f aca="false">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ustomFormat="false" ht="15" hidden="false" customHeight="false" outlineLevel="0" collapsed="false">
      <c r="A1028" s="11"/>
      <c r="D1028" s="10"/>
      <c r="E1028" s="12"/>
      <c r="G1028" s="30" t="str">
        <f aca="false">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ustomFormat="false" ht="15" hidden="false" customHeight="false" outlineLevel="0" collapsed="false">
      <c r="A1029" s="11"/>
      <c r="D1029" s="10"/>
      <c r="E1029" s="12"/>
      <c r="G1029" s="30" t="str">
        <f aca="false">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ustomFormat="false" ht="15" hidden="false" customHeight="false" outlineLevel="0" collapsed="false">
      <c r="A1030" s="11"/>
      <c r="D1030" s="10"/>
      <c r="E1030" s="12"/>
      <c r="G1030" s="30" t="str">
        <f aca="false">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ustomFormat="false" ht="15" hidden="false" customHeight="false" outlineLevel="0" collapsed="false">
      <c r="A1031" s="11"/>
      <c r="D1031" s="10"/>
      <c r="E1031" s="12"/>
      <c r="G1031" s="30" t="str">
        <f aca="false">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ustomFormat="false" ht="15" hidden="false" customHeight="false" outlineLevel="0" collapsed="false">
      <c r="A1032" s="11"/>
      <c r="D1032" s="10"/>
      <c r="E1032" s="12"/>
      <c r="G1032" s="30" t="str">
        <f aca="false">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ustomFormat="false" ht="15" hidden="false" customHeight="false" outlineLevel="0" collapsed="false">
      <c r="A1033" s="11"/>
      <c r="D1033" s="10"/>
      <c r="E1033" s="12"/>
      <c r="G1033" s="30" t="str">
        <f aca="false">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ustomFormat="false" ht="15" hidden="false" customHeight="false" outlineLevel="0" collapsed="false">
      <c r="A1034" s="11"/>
      <c r="D1034" s="10"/>
      <c r="E1034" s="12"/>
      <c r="G1034" s="30" t="str">
        <f aca="false">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ustomFormat="false" ht="15" hidden="false" customHeight="false" outlineLevel="0" collapsed="false">
      <c r="A1035" s="11"/>
      <c r="D1035" s="10"/>
      <c r="E1035" s="12"/>
      <c r="G1035" s="30" t="str">
        <f aca="false">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ustomFormat="false" ht="15" hidden="false" customHeight="false" outlineLevel="0" collapsed="false">
      <c r="A1036" s="11"/>
      <c r="D1036" s="10"/>
      <c r="E1036" s="12"/>
      <c r="G1036" s="30" t="str">
        <f aca="false">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ustomFormat="false" ht="15" hidden="false" customHeight="false" outlineLevel="0" collapsed="false">
      <c r="A1037" s="11"/>
      <c r="D1037" s="10"/>
      <c r="E1037" s="12"/>
      <c r="G1037" s="30" t="str">
        <f aca="false">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ustomFormat="false" ht="15" hidden="false" customHeight="false" outlineLevel="0" collapsed="false">
      <c r="A1038" s="11"/>
      <c r="D1038" s="10"/>
      <c r="E1038" s="12"/>
      <c r="G1038" s="30" t="str">
        <f aca="false">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ustomFormat="false" ht="15" hidden="false" customHeight="false" outlineLevel="0" collapsed="false">
      <c r="A1039" s="11"/>
      <c r="D1039" s="10"/>
      <c r="E1039" s="12"/>
      <c r="G1039" s="30" t="str">
        <f aca="false">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ustomFormat="false" ht="15" hidden="false" customHeight="false" outlineLevel="0" collapsed="false">
      <c r="A1040" s="11"/>
      <c r="D1040" s="10"/>
      <c r="E1040" s="12"/>
      <c r="G1040" s="30" t="str">
        <f aca="false">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ustomFormat="false" ht="15" hidden="false" customHeight="false" outlineLevel="0" collapsed="false">
      <c r="A1041" s="11"/>
      <c r="D1041" s="10"/>
      <c r="E1041" s="12"/>
      <c r="G1041" s="30" t="str">
        <f aca="false">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ustomFormat="false" ht="15" hidden="false" customHeight="false" outlineLevel="0" collapsed="false">
      <c r="A1042" s="11"/>
      <c r="D1042" s="10"/>
      <c r="E1042" s="12"/>
      <c r="G1042" s="30" t="str">
        <f aca="false">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ustomFormat="false" ht="15" hidden="false" customHeight="false" outlineLevel="0" collapsed="false">
      <c r="A1043" s="11"/>
      <c r="D1043" s="10"/>
      <c r="E1043" s="12"/>
      <c r="G1043" s="30" t="str">
        <f aca="false">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ustomFormat="false" ht="15" hidden="false" customHeight="false" outlineLevel="0" collapsed="false">
      <c r="A1044" s="11"/>
      <c r="D1044" s="10"/>
      <c r="E1044" s="12"/>
      <c r="G1044" s="30" t="str">
        <f aca="false">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ustomFormat="false" ht="15" hidden="false" customHeight="false" outlineLevel="0" collapsed="false">
      <c r="A1045" s="11"/>
      <c r="D1045" s="10"/>
      <c r="E1045" s="12"/>
      <c r="G1045" s="30" t="str">
        <f aca="false">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ustomFormat="false" ht="15" hidden="false" customHeight="false" outlineLevel="0" collapsed="false">
      <c r="A1046" s="11"/>
      <c r="D1046" s="10"/>
      <c r="E1046" s="12"/>
      <c r="G1046" s="30" t="str">
        <f aca="false">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ustomFormat="false" ht="15" hidden="false" customHeight="false" outlineLevel="0" collapsed="false">
      <c r="A1047" s="11"/>
      <c r="D1047" s="10"/>
      <c r="E1047" s="12"/>
      <c r="G1047" s="30" t="str">
        <f aca="false">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ustomFormat="false" ht="15" hidden="false" customHeight="false" outlineLevel="0" collapsed="false">
      <c r="A1048" s="11"/>
      <c r="D1048" s="10"/>
      <c r="E1048" s="12"/>
      <c r="G1048" s="30" t="str">
        <f aca="false">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ustomFormat="false" ht="15" hidden="false" customHeight="false" outlineLevel="0" collapsed="false">
      <c r="A1049" s="11"/>
      <c r="D1049" s="10"/>
      <c r="E1049" s="12"/>
      <c r="G1049" s="30" t="str">
        <f aca="false">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ustomFormat="false" ht="15" hidden="false" customHeight="false" outlineLevel="0" collapsed="false">
      <c r="A1050" s="11"/>
      <c r="D1050" s="10"/>
      <c r="E1050" s="12"/>
      <c r="G1050" s="30" t="str">
        <f aca="false">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ustomFormat="false" ht="15" hidden="false" customHeight="false" outlineLevel="0" collapsed="false">
      <c r="A1051" s="11"/>
      <c r="D1051" s="10"/>
      <c r="E1051" s="12"/>
      <c r="G1051" s="30" t="str">
        <f aca="false">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ustomFormat="false" ht="15" hidden="false" customHeight="false" outlineLevel="0" collapsed="false">
      <c r="A1052" s="11"/>
      <c r="D1052" s="10"/>
      <c r="E1052" s="12"/>
      <c r="G1052" s="30" t="str">
        <f aca="false">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ustomFormat="false" ht="15" hidden="false" customHeight="false" outlineLevel="0" collapsed="false">
      <c r="A1053" s="11"/>
      <c r="D1053" s="10"/>
      <c r="E1053" s="12"/>
      <c r="G1053" s="30" t="str">
        <f aca="false">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ustomFormat="false" ht="15" hidden="false" customHeight="false" outlineLevel="0" collapsed="false">
      <c r="A1054" s="11"/>
      <c r="D1054" s="10"/>
      <c r="E1054" s="12"/>
      <c r="G1054" s="30" t="str">
        <f aca="false">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ustomFormat="false" ht="15" hidden="false" customHeight="false" outlineLevel="0" collapsed="false">
      <c r="A1055" s="11"/>
      <c r="D1055" s="10"/>
      <c r="E1055" s="12"/>
      <c r="G1055" s="30" t="str">
        <f aca="false">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ustomFormat="false" ht="15" hidden="false" customHeight="false" outlineLevel="0" collapsed="false">
      <c r="A1056" s="11"/>
      <c r="D1056" s="10"/>
      <c r="E1056" s="12"/>
      <c r="G1056" s="30" t="str">
        <f aca="false">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ustomFormat="false" ht="15" hidden="false" customHeight="false" outlineLevel="0" collapsed="false">
      <c r="A1057" s="11"/>
      <c r="D1057" s="10"/>
      <c r="E1057" s="12"/>
      <c r="G1057" s="30" t="str">
        <f aca="false">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ustomFormat="false" ht="15" hidden="false" customHeight="false" outlineLevel="0" collapsed="false">
      <c r="A1058" s="11"/>
      <c r="D1058" s="10"/>
      <c r="E1058" s="12"/>
      <c r="G1058" s="30" t="str">
        <f aca="false">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ustomFormat="false" ht="15" hidden="false" customHeight="false" outlineLevel="0" collapsed="false">
      <c r="A1059" s="11"/>
      <c r="D1059" s="10"/>
      <c r="E1059" s="12"/>
      <c r="G1059" s="30" t="str">
        <f aca="false">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ustomFormat="false" ht="15" hidden="false" customHeight="false" outlineLevel="0" collapsed="false">
      <c r="A1060" s="11"/>
      <c r="D1060" s="10"/>
      <c r="E1060" s="12"/>
      <c r="G1060" s="30" t="str">
        <f aca="false">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ustomFormat="false" ht="15" hidden="false" customHeight="false" outlineLevel="0" collapsed="false">
      <c r="A1061" s="11"/>
      <c r="D1061" s="10"/>
      <c r="E1061" s="12"/>
      <c r="G1061" s="30" t="str">
        <f aca="false">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ustomFormat="false" ht="15" hidden="false" customHeight="false" outlineLevel="0" collapsed="false">
      <c r="A1062" s="11"/>
      <c r="D1062" s="10"/>
      <c r="E1062" s="12"/>
      <c r="G1062" s="30" t="str">
        <f aca="false">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ustomFormat="false" ht="15" hidden="false" customHeight="false" outlineLevel="0" collapsed="false">
      <c r="A1063" s="11"/>
      <c r="D1063" s="10"/>
      <c r="E1063" s="12"/>
      <c r="G1063" s="30" t="str">
        <f aca="false">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ustomFormat="false" ht="15" hidden="false" customHeight="false" outlineLevel="0" collapsed="false">
      <c r="A1064" s="11"/>
      <c r="D1064" s="10"/>
      <c r="E1064" s="12"/>
      <c r="G1064" s="30" t="str">
        <f aca="false">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ustomFormat="false" ht="15" hidden="false" customHeight="false" outlineLevel="0" collapsed="false">
      <c r="A1065" s="11"/>
      <c r="D1065" s="10"/>
      <c r="E1065" s="12"/>
      <c r="G1065" s="30" t="str">
        <f aca="false">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ustomFormat="false" ht="15" hidden="false" customHeight="false" outlineLevel="0" collapsed="false">
      <c r="A1066" s="11"/>
      <c r="D1066" s="10"/>
      <c r="E1066" s="12"/>
      <c r="G1066" s="30" t="str">
        <f aca="false">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ustomFormat="false" ht="15" hidden="false" customHeight="false" outlineLevel="0" collapsed="false">
      <c r="A1067" s="11"/>
      <c r="D1067" s="10"/>
      <c r="E1067" s="12"/>
      <c r="G1067" s="30" t="str">
        <f aca="false">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ustomFormat="false" ht="15" hidden="false" customHeight="false" outlineLevel="0" collapsed="false">
      <c r="A1068" s="11"/>
      <c r="D1068" s="10"/>
      <c r="E1068" s="12"/>
      <c r="G1068" s="30" t="str">
        <f aca="false">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ustomFormat="false" ht="15" hidden="false" customHeight="false" outlineLevel="0" collapsed="false">
      <c r="A1069" s="11"/>
      <c r="D1069" s="10"/>
      <c r="E1069" s="12"/>
      <c r="G1069" s="30" t="str">
        <f aca="false">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ustomFormat="false" ht="15" hidden="false" customHeight="false" outlineLevel="0" collapsed="false">
      <c r="A1070" s="11"/>
      <c r="D1070" s="10"/>
      <c r="E1070" s="12"/>
      <c r="G1070" s="30" t="str">
        <f aca="false">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ustomFormat="false" ht="15" hidden="false" customHeight="false" outlineLevel="0" collapsed="false">
      <c r="A1071" s="11"/>
      <c r="D1071" s="10"/>
      <c r="E1071" s="12"/>
      <c r="G1071" s="30" t="str">
        <f aca="false">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ustomFormat="false" ht="15" hidden="false" customHeight="false" outlineLevel="0" collapsed="false">
      <c r="A1072" s="11"/>
      <c r="D1072" s="10"/>
      <c r="E1072" s="12"/>
      <c r="G1072" s="30" t="str">
        <f aca="false">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ustomFormat="false" ht="15" hidden="false" customHeight="false" outlineLevel="0" collapsed="false">
      <c r="A1073" s="11"/>
      <c r="D1073" s="10"/>
      <c r="E1073" s="12"/>
      <c r="G1073" s="30" t="str">
        <f aca="false">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ustomFormat="false" ht="15" hidden="false" customHeight="false" outlineLevel="0" collapsed="false">
      <c r="A1074" s="11"/>
      <c r="D1074" s="10"/>
      <c r="E1074" s="12"/>
      <c r="G1074" s="30" t="str">
        <f aca="false">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ustomFormat="false" ht="15" hidden="false" customHeight="false" outlineLevel="0" collapsed="false">
      <c r="A1075" s="11"/>
      <c r="D1075" s="10"/>
      <c r="E1075" s="12"/>
      <c r="G1075" s="30" t="str">
        <f aca="false">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ustomFormat="false" ht="15" hidden="false" customHeight="false" outlineLevel="0" collapsed="false">
      <c r="A1076" s="11"/>
      <c r="D1076" s="10"/>
      <c r="E1076" s="12"/>
      <c r="G1076" s="30" t="str">
        <f aca="false">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ustomFormat="false" ht="15" hidden="false" customHeight="false" outlineLevel="0" collapsed="false">
      <c r="A1077" s="11"/>
      <c r="D1077" s="10"/>
      <c r="E1077" s="12"/>
      <c r="G1077" s="30" t="str">
        <f aca="false">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ustomFormat="false" ht="15" hidden="false" customHeight="false" outlineLevel="0" collapsed="false">
      <c r="A1078" s="11"/>
      <c r="D1078" s="10"/>
      <c r="E1078" s="12"/>
      <c r="G1078" s="30" t="str">
        <f aca="false">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ustomFormat="false" ht="15" hidden="false" customHeight="false" outlineLevel="0" collapsed="false">
      <c r="A1079" s="11"/>
      <c r="D1079" s="10"/>
      <c r="E1079" s="12"/>
      <c r="G1079" s="30" t="str">
        <f aca="false">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ustomFormat="false" ht="15" hidden="false" customHeight="false" outlineLevel="0" collapsed="false">
      <c r="A1080" s="11"/>
      <c r="D1080" s="10"/>
      <c r="E1080" s="12"/>
      <c r="G1080" s="30" t="str">
        <f aca="false">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ustomFormat="false" ht="15" hidden="false" customHeight="false" outlineLevel="0" collapsed="false">
      <c r="A1081" s="11"/>
      <c r="D1081" s="10"/>
      <c r="E1081" s="12"/>
      <c r="G1081" s="30" t="str">
        <f aca="false">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ustomFormat="false" ht="15" hidden="false" customHeight="false" outlineLevel="0" collapsed="false">
      <c r="A1082" s="11"/>
      <c r="D1082" s="10"/>
      <c r="E1082" s="12"/>
      <c r="G1082" s="30" t="str">
        <f aca="false">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ustomFormat="false" ht="15" hidden="false" customHeight="false" outlineLevel="0" collapsed="false">
      <c r="A1083" s="11"/>
      <c r="D1083" s="10"/>
      <c r="E1083" s="12"/>
      <c r="G1083" s="30" t="str">
        <f aca="false">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ustomFormat="false" ht="15" hidden="false" customHeight="false" outlineLevel="0" collapsed="false">
      <c r="A1084" s="11"/>
      <c r="D1084" s="10"/>
      <c r="E1084" s="12"/>
      <c r="G1084" s="30" t="str">
        <f aca="false">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ustomFormat="false" ht="15" hidden="false" customHeight="false" outlineLevel="0" collapsed="false">
      <c r="A1085" s="11"/>
      <c r="D1085" s="10"/>
      <c r="E1085" s="12"/>
      <c r="G1085" s="30" t="str">
        <f aca="false">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ustomFormat="false" ht="15" hidden="false" customHeight="false" outlineLevel="0" collapsed="false">
      <c r="A1086" s="11"/>
      <c r="D1086" s="10"/>
      <c r="E1086" s="12"/>
      <c r="G1086" s="30" t="str">
        <f aca="false">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ustomFormat="false" ht="15" hidden="false" customHeight="false" outlineLevel="0" collapsed="false">
      <c r="A1087" s="11"/>
      <c r="D1087" s="10"/>
      <c r="E1087" s="12"/>
      <c r="G1087" s="30" t="str">
        <f aca="false">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ustomFormat="false" ht="15" hidden="false" customHeight="false" outlineLevel="0" collapsed="false">
      <c r="A1088" s="11"/>
      <c r="D1088" s="10"/>
      <c r="E1088" s="12"/>
      <c r="G1088" s="30" t="str">
        <f aca="false">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ustomFormat="false" ht="15" hidden="false" customHeight="false" outlineLevel="0" collapsed="false">
      <c r="A1089" s="11"/>
      <c r="D1089" s="10"/>
      <c r="E1089" s="12"/>
      <c r="G1089" s="30" t="str">
        <f aca="false">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ustomFormat="false" ht="15" hidden="false" customHeight="false" outlineLevel="0" collapsed="false">
      <c r="A1090" s="11"/>
      <c r="D1090" s="10"/>
      <c r="E1090" s="12"/>
      <c r="G1090" s="30" t="str">
        <f aca="false">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ustomFormat="false" ht="15" hidden="false" customHeight="false" outlineLevel="0" collapsed="false">
      <c r="A1091" s="11"/>
      <c r="D1091" s="10"/>
      <c r="E1091" s="12"/>
      <c r="G1091" s="30" t="str">
        <f aca="false">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ustomFormat="false" ht="15" hidden="false" customHeight="false" outlineLevel="0" collapsed="false">
      <c r="A1092" s="11"/>
      <c r="D1092" s="10"/>
      <c r="E1092" s="12"/>
      <c r="G1092" s="30" t="str">
        <f aca="false">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ustomFormat="false" ht="15" hidden="false" customHeight="false" outlineLevel="0" collapsed="false">
      <c r="A1093" s="11"/>
      <c r="D1093" s="10"/>
      <c r="E1093" s="12"/>
      <c r="G1093" s="30" t="str">
        <f aca="false">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ustomFormat="false" ht="15" hidden="false" customHeight="false" outlineLevel="0" collapsed="false">
      <c r="A1094" s="11"/>
      <c r="D1094" s="10"/>
      <c r="E1094" s="12"/>
      <c r="G1094" s="30" t="str">
        <f aca="false">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ustomFormat="false" ht="15" hidden="false" customHeight="false" outlineLevel="0" collapsed="false">
      <c r="A1095" s="11"/>
      <c r="D1095" s="10"/>
      <c r="E1095" s="12"/>
      <c r="G1095" s="30" t="str">
        <f aca="false">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ustomFormat="false" ht="15" hidden="false" customHeight="false" outlineLevel="0" collapsed="false">
      <c r="A1096" s="11"/>
      <c r="D1096" s="10"/>
      <c r="E1096" s="12"/>
      <c r="G1096" s="30" t="str">
        <f aca="false">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ustomFormat="false" ht="15" hidden="false" customHeight="false" outlineLevel="0" collapsed="false">
      <c r="A1097" s="11"/>
      <c r="D1097" s="10"/>
      <c r="E1097" s="12"/>
      <c r="G1097" s="30" t="str">
        <f aca="false">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ustomFormat="false" ht="15" hidden="false" customHeight="false" outlineLevel="0" collapsed="false">
      <c r="A1098" s="11"/>
      <c r="D1098" s="10"/>
      <c r="E1098" s="12"/>
      <c r="G1098" s="30" t="str">
        <f aca="false">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ustomFormat="false" ht="15" hidden="false" customHeight="false" outlineLevel="0" collapsed="false">
      <c r="A1099" s="11"/>
      <c r="D1099" s="10"/>
      <c r="E1099" s="12"/>
      <c r="G1099" s="30" t="str">
        <f aca="false">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ustomFormat="false" ht="15" hidden="false" customHeight="false" outlineLevel="0" collapsed="false">
      <c r="A1100" s="11"/>
      <c r="D1100" s="10"/>
      <c r="E1100" s="12"/>
      <c r="G1100" s="30" t="str">
        <f aca="false">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ustomFormat="false" ht="15" hidden="false" customHeight="false" outlineLevel="0" collapsed="false">
      <c r="A1101" s="11"/>
      <c r="D1101" s="10"/>
      <c r="E1101" s="12"/>
      <c r="G1101" s="30" t="str">
        <f aca="false">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ustomFormat="false" ht="15" hidden="false" customHeight="false" outlineLevel="0" collapsed="false">
      <c r="A1102" s="11"/>
      <c r="D1102" s="10"/>
      <c r="E1102" s="12"/>
      <c r="G1102" s="30" t="str">
        <f aca="false">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ustomFormat="false" ht="15" hidden="false" customHeight="false" outlineLevel="0" collapsed="false">
      <c r="A1103" s="11"/>
      <c r="D1103" s="10"/>
      <c r="E1103" s="12"/>
      <c r="G1103" s="30" t="str">
        <f aca="false">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ustomFormat="false" ht="15" hidden="false" customHeight="false" outlineLevel="0" collapsed="false">
      <c r="A1104" s="11"/>
      <c r="D1104" s="10"/>
      <c r="E1104" s="12"/>
      <c r="G1104" s="30" t="str">
        <f aca="false">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ustomFormat="false" ht="15" hidden="false" customHeight="false" outlineLevel="0" collapsed="false">
      <c r="A1105" s="11"/>
      <c r="D1105" s="10"/>
      <c r="E1105" s="12"/>
      <c r="G1105" s="30" t="str">
        <f aca="false">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ustomFormat="false" ht="15" hidden="false" customHeight="false" outlineLevel="0" collapsed="false">
      <c r="A1106" s="11"/>
      <c r="D1106" s="10"/>
      <c r="E1106" s="12"/>
      <c r="G1106" s="30" t="str">
        <f aca="false">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ustomFormat="false" ht="15" hidden="false" customHeight="false" outlineLevel="0" collapsed="false">
      <c r="A1107" s="11"/>
      <c r="D1107" s="10"/>
      <c r="E1107" s="12"/>
      <c r="G1107" s="30" t="str">
        <f aca="false">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ustomFormat="false" ht="15" hidden="false" customHeight="false" outlineLevel="0" collapsed="false">
      <c r="A1108" s="11"/>
      <c r="D1108" s="10"/>
      <c r="E1108" s="12"/>
      <c r="G1108" s="30" t="str">
        <f aca="false">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ustomFormat="false" ht="15" hidden="false" customHeight="false" outlineLevel="0" collapsed="false">
      <c r="A1109" s="11"/>
      <c r="D1109" s="10"/>
      <c r="E1109" s="12"/>
      <c r="G1109" s="30" t="str">
        <f aca="false">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ustomFormat="false" ht="15" hidden="false" customHeight="false" outlineLevel="0" collapsed="false">
      <c r="A1110" s="11"/>
      <c r="D1110" s="10"/>
      <c r="E1110" s="12"/>
      <c r="G1110" s="30" t="str">
        <f aca="false">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ustomFormat="false" ht="15" hidden="false" customHeight="false" outlineLevel="0" collapsed="false">
      <c r="A1111" s="11"/>
      <c r="D1111" s="10"/>
      <c r="E1111" s="12"/>
      <c r="G1111" s="30" t="str">
        <f aca="false">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ustomFormat="false" ht="15" hidden="false" customHeight="false" outlineLevel="0" collapsed="false">
      <c r="A1112" s="11"/>
      <c r="D1112" s="10"/>
      <c r="E1112" s="12"/>
      <c r="G1112" s="30" t="str">
        <f aca="false">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ustomFormat="false" ht="15" hidden="false" customHeight="false" outlineLevel="0" collapsed="false">
      <c r="A1113" s="11"/>
      <c r="D1113" s="10"/>
      <c r="E1113" s="12"/>
      <c r="G1113" s="30" t="str">
        <f aca="false">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ustomFormat="false" ht="15" hidden="false" customHeight="false" outlineLevel="0" collapsed="false">
      <c r="A1114" s="11"/>
      <c r="D1114" s="10"/>
      <c r="E1114" s="12"/>
      <c r="G1114" s="30" t="str">
        <f aca="false">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ustomFormat="false" ht="15" hidden="false" customHeight="false" outlineLevel="0" collapsed="false">
      <c r="A1115" s="11"/>
      <c r="D1115" s="10"/>
      <c r="E1115" s="12"/>
      <c r="G1115" s="30" t="str">
        <f aca="false">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ustomFormat="false" ht="15" hidden="false" customHeight="false" outlineLevel="0" collapsed="false">
      <c r="A1116" s="11"/>
      <c r="D1116" s="10"/>
      <c r="E1116" s="12"/>
      <c r="G1116" s="30" t="str">
        <f aca="false">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ustomFormat="false" ht="15" hidden="false" customHeight="false" outlineLevel="0" collapsed="false">
      <c r="A1117" s="11"/>
      <c r="D1117" s="10"/>
      <c r="E1117" s="12"/>
      <c r="G1117" s="30" t="str">
        <f aca="false">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ustomFormat="false" ht="15" hidden="false" customHeight="false" outlineLevel="0" collapsed="false">
      <c r="A1118" s="11"/>
      <c r="D1118" s="10"/>
      <c r="E1118" s="12"/>
      <c r="G1118" s="30" t="str">
        <f aca="false">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ustomFormat="false" ht="15" hidden="false" customHeight="false" outlineLevel="0" collapsed="false">
      <c r="A1119" s="11"/>
      <c r="D1119" s="10"/>
      <c r="E1119" s="12"/>
      <c r="G1119" s="30" t="str">
        <f aca="false">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ustomFormat="false" ht="15" hidden="false" customHeight="false" outlineLevel="0" collapsed="false">
      <c r="A1120" s="11"/>
      <c r="D1120" s="10"/>
      <c r="E1120" s="12"/>
      <c r="G1120" s="30" t="str">
        <f aca="false">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ustomFormat="false" ht="15" hidden="false" customHeight="false" outlineLevel="0" collapsed="false">
      <c r="A1121" s="11"/>
      <c r="D1121" s="10"/>
      <c r="E1121" s="12"/>
      <c r="G1121" s="30" t="str">
        <f aca="false">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ustomFormat="false" ht="15" hidden="false" customHeight="false" outlineLevel="0" collapsed="false">
      <c r="A1122" s="11"/>
      <c r="D1122" s="10"/>
      <c r="E1122" s="12"/>
      <c r="G1122" s="30" t="str">
        <f aca="false">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ustomFormat="false" ht="15" hidden="false" customHeight="false" outlineLevel="0" collapsed="false">
      <c r="A1123" s="11"/>
      <c r="D1123" s="10"/>
      <c r="E1123" s="12"/>
      <c r="G1123" s="30" t="str">
        <f aca="false">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ustomFormat="false" ht="15" hidden="false" customHeight="false" outlineLevel="0" collapsed="false">
      <c r="A1124" s="11"/>
      <c r="D1124" s="10"/>
      <c r="E1124" s="12"/>
      <c r="G1124" s="30" t="str">
        <f aca="false">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ustomFormat="false" ht="15" hidden="false" customHeight="false" outlineLevel="0" collapsed="false">
      <c r="A1125" s="11"/>
      <c r="D1125" s="10"/>
      <c r="E1125" s="12"/>
      <c r="G1125" s="30" t="str">
        <f aca="false">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ustomFormat="false" ht="15" hidden="false" customHeight="false" outlineLevel="0" collapsed="false">
      <c r="A1126" s="11"/>
      <c r="D1126" s="10"/>
      <c r="E1126" s="12"/>
      <c r="G1126" s="30" t="str">
        <f aca="false">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ustomFormat="false" ht="15" hidden="false" customHeight="false" outlineLevel="0" collapsed="false">
      <c r="A1127" s="11"/>
      <c r="D1127" s="10"/>
      <c r="E1127" s="12"/>
      <c r="G1127" s="30" t="str">
        <f aca="false">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ustomFormat="false" ht="15" hidden="false" customHeight="false" outlineLevel="0" collapsed="false">
      <c r="A1128" s="11"/>
      <c r="D1128" s="10"/>
      <c r="E1128" s="12"/>
      <c r="G1128" s="30" t="str">
        <f aca="false">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ustomFormat="false" ht="15" hidden="false" customHeight="false" outlineLevel="0" collapsed="false">
      <c r="A1129" s="11"/>
      <c r="D1129" s="10"/>
      <c r="E1129" s="12"/>
      <c r="G1129" s="30" t="str">
        <f aca="false">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ustomFormat="false" ht="15" hidden="false" customHeight="false" outlineLevel="0" collapsed="false">
      <c r="A1130" s="11"/>
      <c r="D1130" s="10"/>
      <c r="E1130" s="12"/>
      <c r="G1130" s="30" t="str">
        <f aca="false">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ustomFormat="false" ht="15" hidden="false" customHeight="false" outlineLevel="0" collapsed="false">
      <c r="A1131" s="11"/>
      <c r="D1131" s="10"/>
      <c r="E1131" s="12"/>
      <c r="G1131" s="30" t="str">
        <f aca="false">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ustomFormat="false" ht="15" hidden="false" customHeight="false" outlineLevel="0" collapsed="false">
      <c r="A1132" s="11"/>
      <c r="D1132" s="10"/>
      <c r="E1132" s="12"/>
      <c r="G1132" s="30" t="str">
        <f aca="false">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ustomFormat="false" ht="15" hidden="false" customHeight="false" outlineLevel="0" collapsed="false">
      <c r="A1133" s="11"/>
      <c r="D1133" s="10"/>
      <c r="E1133" s="12"/>
      <c r="G1133" s="30" t="str">
        <f aca="false">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ustomFormat="false" ht="15" hidden="false" customHeight="false" outlineLevel="0" collapsed="false">
      <c r="A1134" s="11"/>
      <c r="D1134" s="10"/>
      <c r="E1134" s="12"/>
      <c r="G1134" s="30" t="str">
        <f aca="false">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ustomFormat="false" ht="15" hidden="false" customHeight="false" outlineLevel="0" collapsed="false">
      <c r="A1135" s="11"/>
      <c r="D1135" s="10"/>
      <c r="E1135" s="12"/>
      <c r="G1135" s="30" t="str">
        <f aca="false">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ustomFormat="false" ht="15" hidden="false" customHeight="false" outlineLevel="0" collapsed="false">
      <c r="A1136" s="11"/>
      <c r="D1136" s="10"/>
      <c r="E1136" s="12"/>
      <c r="G1136" s="30" t="str">
        <f aca="false">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ustomFormat="false" ht="15" hidden="false" customHeight="false" outlineLevel="0" collapsed="false">
      <c r="A1137" s="11"/>
      <c r="D1137" s="10"/>
      <c r="E1137" s="12"/>
      <c r="G1137" s="30" t="str">
        <f aca="false">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ustomFormat="false" ht="15" hidden="false" customHeight="false" outlineLevel="0" collapsed="false">
      <c r="A1138" s="11"/>
      <c r="D1138" s="10"/>
      <c r="E1138" s="12"/>
      <c r="G1138" s="30" t="str">
        <f aca="false">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ustomFormat="false" ht="15" hidden="false" customHeight="false" outlineLevel="0" collapsed="false">
      <c r="A1139" s="11"/>
      <c r="D1139" s="10"/>
      <c r="E1139" s="12"/>
      <c r="G1139" s="30" t="str">
        <f aca="false">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ustomFormat="false" ht="15" hidden="false" customHeight="false" outlineLevel="0" collapsed="false">
      <c r="A1140" s="11"/>
      <c r="D1140" s="10"/>
      <c r="E1140" s="12"/>
      <c r="G1140" s="30" t="str">
        <f aca="false">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ustomFormat="false" ht="15" hidden="false" customHeight="false" outlineLevel="0" collapsed="false">
      <c r="A1141" s="11"/>
      <c r="D1141" s="10"/>
      <c r="E1141" s="12"/>
      <c r="G1141" s="30" t="str">
        <f aca="false">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ustomFormat="false" ht="15" hidden="false" customHeight="false" outlineLevel="0" collapsed="false">
      <c r="A1142" s="11"/>
      <c r="D1142" s="10"/>
      <c r="E1142" s="12"/>
      <c r="G1142" s="30" t="str">
        <f aca="false">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ustomFormat="false" ht="15" hidden="false" customHeight="false" outlineLevel="0" collapsed="false">
      <c r="A1143" s="11"/>
      <c r="D1143" s="10"/>
      <c r="E1143" s="12"/>
      <c r="G1143" s="30" t="str">
        <f aca="false">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ustomFormat="false" ht="15" hidden="false" customHeight="false" outlineLevel="0" collapsed="false">
      <c r="A1144" s="11"/>
      <c r="D1144" s="10"/>
      <c r="E1144" s="12"/>
      <c r="G1144" s="30" t="str">
        <f aca="false">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ustomFormat="false" ht="15" hidden="false" customHeight="false" outlineLevel="0" collapsed="false">
      <c r="A1145" s="11"/>
      <c r="D1145" s="10"/>
      <c r="E1145" s="12"/>
      <c r="G1145" s="30" t="str">
        <f aca="false">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ustomFormat="false" ht="15" hidden="false" customHeight="false" outlineLevel="0" collapsed="false">
      <c r="A1146" s="11"/>
      <c r="D1146" s="10"/>
      <c r="E1146" s="12"/>
      <c r="G1146" s="30" t="str">
        <f aca="false">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ustomFormat="false" ht="15" hidden="false" customHeight="false" outlineLevel="0" collapsed="false">
      <c r="A1147" s="11"/>
      <c r="D1147" s="10"/>
      <c r="E1147" s="12"/>
      <c r="G1147" s="30" t="str">
        <f aca="false">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ustomFormat="false" ht="15" hidden="false" customHeight="false" outlineLevel="0" collapsed="false">
      <c r="A1148" s="11"/>
      <c r="D1148" s="10"/>
      <c r="E1148" s="12"/>
      <c r="G1148" s="30" t="str">
        <f aca="false">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ustomFormat="false" ht="15" hidden="false" customHeight="false" outlineLevel="0" collapsed="false">
      <c r="A1149" s="11"/>
      <c r="D1149" s="10"/>
      <c r="E1149" s="12"/>
      <c r="G1149" s="30" t="str">
        <f aca="false">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ustomFormat="false" ht="15" hidden="false" customHeight="false" outlineLevel="0" collapsed="false">
      <c r="A1150" s="11"/>
      <c r="D1150" s="10"/>
      <c r="E1150" s="12"/>
      <c r="G1150" s="30" t="str">
        <f aca="false">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ustomFormat="false" ht="15" hidden="false" customHeight="false" outlineLevel="0" collapsed="false">
      <c r="A1151" s="11"/>
      <c r="D1151" s="10"/>
      <c r="E1151" s="12"/>
      <c r="G1151" s="30" t="str">
        <f aca="false">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ustomFormat="false" ht="15" hidden="false" customHeight="false" outlineLevel="0" collapsed="false">
      <c r="A1152" s="11"/>
      <c r="D1152" s="10"/>
      <c r="E1152" s="12"/>
      <c r="G1152" s="30" t="str">
        <f aca="false">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ustomFormat="false" ht="15" hidden="false" customHeight="false" outlineLevel="0" collapsed="false">
      <c r="A1153" s="11"/>
      <c r="D1153" s="10"/>
      <c r="E1153" s="12"/>
      <c r="G1153" s="30" t="str">
        <f aca="false">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ustomFormat="false" ht="15" hidden="false" customHeight="false" outlineLevel="0" collapsed="false">
      <c r="A1154" s="11"/>
      <c r="D1154" s="10"/>
      <c r="E1154" s="12"/>
      <c r="G1154" s="30" t="str">
        <f aca="false">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ustomFormat="false" ht="15" hidden="false" customHeight="false" outlineLevel="0" collapsed="false">
      <c r="A1155" s="11"/>
      <c r="D1155" s="10"/>
      <c r="E1155" s="12"/>
      <c r="G1155" s="30" t="str">
        <f aca="false">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ustomFormat="false" ht="15" hidden="false" customHeight="false" outlineLevel="0" collapsed="false">
      <c r="A1156" s="11"/>
      <c r="D1156" s="10"/>
      <c r="E1156" s="12"/>
      <c r="G1156" s="30" t="str">
        <f aca="false">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ustomFormat="false" ht="15" hidden="false" customHeight="false" outlineLevel="0" collapsed="false">
      <c r="A1157" s="11"/>
      <c r="D1157" s="10"/>
      <c r="E1157" s="12"/>
      <c r="G1157" s="30" t="str">
        <f aca="false">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ustomFormat="false" ht="15" hidden="false" customHeight="false" outlineLevel="0" collapsed="false">
      <c r="A1158" s="11"/>
      <c r="D1158" s="10"/>
      <c r="E1158" s="12"/>
      <c r="G1158" s="30" t="str">
        <f aca="false">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ustomFormat="false" ht="15" hidden="false" customHeight="false" outlineLevel="0" collapsed="false">
      <c r="A1159" s="11"/>
      <c r="D1159" s="10"/>
      <c r="E1159" s="12"/>
      <c r="G1159" s="30" t="str">
        <f aca="false">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ustomFormat="false" ht="15" hidden="false" customHeight="false" outlineLevel="0" collapsed="false">
      <c r="A1160" s="11"/>
      <c r="D1160" s="10"/>
      <c r="E1160" s="12"/>
      <c r="G1160" s="30" t="str">
        <f aca="false">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ustomFormat="false" ht="15" hidden="false" customHeight="false" outlineLevel="0" collapsed="false">
      <c r="A1161" s="11"/>
      <c r="D1161" s="10"/>
      <c r="E1161" s="12"/>
      <c r="G1161" s="30" t="str">
        <f aca="false">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ustomFormat="false" ht="15" hidden="false" customHeight="false" outlineLevel="0" collapsed="false">
      <c r="A1162" s="11"/>
      <c r="D1162" s="10"/>
      <c r="E1162" s="12"/>
      <c r="G1162" s="30" t="str">
        <f aca="false">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ustomFormat="false" ht="15" hidden="false" customHeight="false" outlineLevel="0" collapsed="false">
      <c r="A1163" s="11"/>
      <c r="D1163" s="10"/>
      <c r="E1163" s="12"/>
      <c r="G1163" s="30" t="str">
        <f aca="false">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ustomFormat="false" ht="15" hidden="false" customHeight="false" outlineLevel="0" collapsed="false">
      <c r="A1164" s="11"/>
      <c r="D1164" s="10"/>
      <c r="E1164" s="12"/>
      <c r="G1164" s="30" t="str">
        <f aca="false">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ustomFormat="false" ht="15" hidden="false" customHeight="false" outlineLevel="0" collapsed="false">
      <c r="A1165" s="11"/>
      <c r="D1165" s="10"/>
      <c r="E1165" s="12"/>
      <c r="G1165" s="30" t="str">
        <f aca="false">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ustomFormat="false" ht="15" hidden="false" customHeight="false" outlineLevel="0" collapsed="false">
      <c r="A1166" s="11"/>
      <c r="D1166" s="10"/>
      <c r="E1166" s="12"/>
      <c r="G1166" s="30" t="str">
        <f aca="false">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ustomFormat="false" ht="15" hidden="false" customHeight="false" outlineLevel="0" collapsed="false">
      <c r="A1167" s="11"/>
      <c r="D1167" s="10"/>
      <c r="E1167" s="12"/>
      <c r="G1167" s="30" t="str">
        <f aca="false">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ustomFormat="false" ht="15" hidden="false" customHeight="false" outlineLevel="0" collapsed="false">
      <c r="A1168" s="11"/>
      <c r="D1168" s="10"/>
      <c r="E1168" s="12"/>
      <c r="G1168" s="30" t="str">
        <f aca="false">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ustomFormat="false" ht="15" hidden="false" customHeight="false" outlineLevel="0" collapsed="false">
      <c r="A1169" s="11"/>
      <c r="D1169" s="10"/>
      <c r="E1169" s="12"/>
      <c r="G1169" s="30" t="str">
        <f aca="false">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ustomFormat="false" ht="15" hidden="false" customHeight="false" outlineLevel="0" collapsed="false">
      <c r="A1170" s="11"/>
      <c r="D1170" s="10"/>
      <c r="E1170" s="12"/>
      <c r="G1170" s="30" t="str">
        <f aca="false">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ustomFormat="false" ht="15" hidden="false" customHeight="false" outlineLevel="0" collapsed="false">
      <c r="A1171" s="11"/>
      <c r="D1171" s="10"/>
      <c r="E1171" s="12"/>
      <c r="G1171" s="30" t="str">
        <f aca="false">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ustomFormat="false" ht="15" hidden="false" customHeight="false" outlineLevel="0" collapsed="false">
      <c r="A1172" s="11"/>
      <c r="D1172" s="10"/>
      <c r="E1172" s="12"/>
      <c r="G1172" s="30" t="str">
        <f aca="false">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ustomFormat="false" ht="15" hidden="false" customHeight="false" outlineLevel="0" collapsed="false">
      <c r="A1173" s="11"/>
      <c r="D1173" s="10"/>
      <c r="E1173" s="12"/>
      <c r="G1173" s="30" t="str">
        <f aca="false">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ustomFormat="false" ht="15" hidden="false" customHeight="false" outlineLevel="0" collapsed="false">
      <c r="A1174" s="11"/>
      <c r="D1174" s="10"/>
      <c r="E1174" s="12"/>
      <c r="G1174" s="30" t="str">
        <f aca="false">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ustomFormat="false" ht="15" hidden="false" customHeight="false" outlineLevel="0" collapsed="false">
      <c r="A1175" s="11"/>
      <c r="D1175" s="10"/>
      <c r="E1175" s="12"/>
      <c r="G1175" s="30" t="str">
        <f aca="false">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ustomFormat="false" ht="15" hidden="false" customHeight="false" outlineLevel="0" collapsed="false">
      <c r="A1176" s="11"/>
      <c r="D1176" s="10"/>
      <c r="E1176" s="12"/>
      <c r="G1176" s="30" t="str">
        <f aca="false">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ustomFormat="false" ht="15" hidden="false" customHeight="false" outlineLevel="0" collapsed="false">
      <c r="A1177" s="11"/>
      <c r="D1177" s="10"/>
      <c r="E1177" s="12"/>
      <c r="G1177" s="30" t="str">
        <f aca="false">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ustomFormat="false" ht="15" hidden="false" customHeight="false" outlineLevel="0" collapsed="false">
      <c r="A1178" s="11"/>
      <c r="D1178" s="10"/>
      <c r="E1178" s="12"/>
      <c r="G1178" s="30" t="str">
        <f aca="false">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ustomFormat="false" ht="15" hidden="false" customHeight="false" outlineLevel="0" collapsed="false">
      <c r="A1179" s="11"/>
      <c r="D1179" s="10"/>
      <c r="E1179" s="12"/>
      <c r="G1179" s="30" t="str">
        <f aca="false">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ustomFormat="false" ht="15" hidden="false" customHeight="false" outlineLevel="0" collapsed="false">
      <c r="A1180" s="11"/>
      <c r="D1180" s="10"/>
      <c r="E1180" s="12"/>
      <c r="G1180" s="30" t="str">
        <f aca="false">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ustomFormat="false" ht="15" hidden="false" customHeight="false" outlineLevel="0" collapsed="false">
      <c r="A1181" s="11"/>
      <c r="D1181" s="10"/>
      <c r="E1181" s="12"/>
      <c r="G1181" s="30" t="str">
        <f aca="false">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ustomFormat="false" ht="15" hidden="false" customHeight="false" outlineLevel="0" collapsed="false">
      <c r="A1182" s="11"/>
      <c r="D1182" s="10"/>
      <c r="E1182" s="12"/>
      <c r="G1182" s="30" t="str">
        <f aca="false">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ustomFormat="false" ht="15" hidden="false" customHeight="false" outlineLevel="0" collapsed="false">
      <c r="A1183" s="11"/>
      <c r="D1183" s="10"/>
      <c r="E1183" s="12"/>
      <c r="G1183" s="30" t="str">
        <f aca="false">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ustomFormat="false" ht="15" hidden="false" customHeight="false" outlineLevel="0" collapsed="false">
      <c r="A1184" s="11"/>
      <c r="D1184" s="10"/>
      <c r="E1184" s="12"/>
      <c r="G1184" s="30" t="str">
        <f aca="false">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ustomFormat="false" ht="15" hidden="false" customHeight="false" outlineLevel="0" collapsed="false">
      <c r="A1185" s="11"/>
      <c r="D1185" s="10"/>
      <c r="E1185" s="12"/>
      <c r="G1185" s="30" t="str">
        <f aca="false">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ustomFormat="false" ht="15" hidden="false" customHeight="false" outlineLevel="0" collapsed="false">
      <c r="A1186" s="11"/>
      <c r="D1186" s="10"/>
      <c r="E1186" s="12"/>
      <c r="G1186" s="30" t="str">
        <f aca="false">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ustomFormat="false" ht="15" hidden="false" customHeight="false" outlineLevel="0" collapsed="false">
      <c r="A1187" s="11"/>
      <c r="D1187" s="10"/>
      <c r="E1187" s="12"/>
      <c r="G1187" s="30" t="str">
        <f aca="false">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ustomFormat="false" ht="15" hidden="false" customHeight="false" outlineLevel="0" collapsed="false">
      <c r="A1188" s="11"/>
      <c r="D1188" s="10"/>
      <c r="E1188" s="12"/>
      <c r="G1188" s="30" t="str">
        <f aca="false">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ustomFormat="false" ht="15" hidden="false" customHeight="false" outlineLevel="0" collapsed="false">
      <c r="A1189" s="11"/>
      <c r="D1189" s="10"/>
      <c r="E1189" s="12"/>
      <c r="G1189" s="30" t="str">
        <f aca="false">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ustomFormat="false" ht="15" hidden="false" customHeight="false" outlineLevel="0" collapsed="false">
      <c r="A1190" s="11"/>
      <c r="D1190" s="10"/>
      <c r="E1190" s="12"/>
      <c r="G1190" s="30" t="str">
        <f aca="false">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ustomFormat="false" ht="15" hidden="false" customHeight="false" outlineLevel="0" collapsed="false">
      <c r="A1191" s="11"/>
      <c r="D1191" s="10"/>
      <c r="E1191" s="12"/>
      <c r="G1191" s="30" t="str">
        <f aca="false">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ustomFormat="false" ht="15" hidden="false" customHeight="false" outlineLevel="0" collapsed="false">
      <c r="A1192" s="11"/>
      <c r="D1192" s="10"/>
      <c r="E1192" s="12"/>
      <c r="G1192" s="30" t="str">
        <f aca="false">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ustomFormat="false" ht="15" hidden="false" customHeight="false" outlineLevel="0" collapsed="false">
      <c r="A1193" s="11"/>
      <c r="D1193" s="10"/>
      <c r="E1193" s="12"/>
      <c r="G1193" s="30" t="str">
        <f aca="false">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ustomFormat="false" ht="15" hidden="false" customHeight="false" outlineLevel="0" collapsed="false">
      <c r="A1194" s="11"/>
      <c r="D1194" s="10"/>
      <c r="E1194" s="12"/>
      <c r="G1194" s="30" t="str">
        <f aca="false">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ustomFormat="false" ht="15" hidden="false" customHeight="false" outlineLevel="0" collapsed="false">
      <c r="A1195" s="11"/>
      <c r="D1195" s="10"/>
      <c r="E1195" s="12"/>
      <c r="G1195" s="30" t="str">
        <f aca="false">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ustomFormat="false" ht="15" hidden="false" customHeight="false" outlineLevel="0" collapsed="false">
      <c r="A1196" s="11"/>
      <c r="D1196" s="10"/>
      <c r="E1196" s="12"/>
      <c r="G1196" s="30" t="str">
        <f aca="false">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ustomFormat="false" ht="15" hidden="false" customHeight="false" outlineLevel="0" collapsed="false">
      <c r="A1197" s="11"/>
      <c r="D1197" s="10"/>
      <c r="E1197" s="12"/>
      <c r="G1197" s="30" t="str">
        <f aca="false">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ustomFormat="false" ht="15" hidden="false" customHeight="false" outlineLevel="0" collapsed="false">
      <c r="A1198" s="11"/>
      <c r="D1198" s="10"/>
      <c r="E1198" s="12"/>
      <c r="G1198" s="30" t="str">
        <f aca="false">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ustomFormat="false" ht="15" hidden="false" customHeight="false" outlineLevel="0" collapsed="false">
      <c r="A1199" s="11"/>
      <c r="D1199" s="10"/>
      <c r="E1199" s="12"/>
      <c r="G1199" s="30" t="str">
        <f aca="false">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ustomFormat="false" ht="15" hidden="false" customHeight="false" outlineLevel="0" collapsed="false">
      <c r="A1200" s="11"/>
      <c r="D1200" s="10"/>
      <c r="E1200" s="12"/>
      <c r="G1200" s="30" t="str">
        <f aca="false">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ustomFormat="false" ht="15" hidden="false" customHeight="false" outlineLevel="0" collapsed="false">
      <c r="A1201" s="11"/>
      <c r="D1201" s="10"/>
      <c r="E1201" s="12"/>
      <c r="G1201" s="30" t="str">
        <f aca="false">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ustomFormat="false" ht="15" hidden="false" customHeight="false" outlineLevel="0" collapsed="false">
      <c r="A1202" s="11"/>
      <c r="D1202" s="10"/>
      <c r="E1202" s="12"/>
      <c r="G1202" s="30" t="str">
        <f aca="false">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ustomFormat="false" ht="15" hidden="false" customHeight="false" outlineLevel="0" collapsed="false">
      <c r="A1203" s="11"/>
      <c r="D1203" s="10"/>
      <c r="E1203" s="12"/>
      <c r="G1203" s="30" t="str">
        <f aca="false">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ustomFormat="false" ht="15" hidden="false" customHeight="false" outlineLevel="0" collapsed="false">
      <c r="A1204" s="11"/>
      <c r="D1204" s="10"/>
      <c r="E1204" s="12"/>
      <c r="G1204" s="30" t="str">
        <f aca="false">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ustomFormat="false" ht="15" hidden="false" customHeight="false" outlineLevel="0" collapsed="false">
      <c r="A1205" s="11"/>
      <c r="D1205" s="10"/>
      <c r="E1205" s="12"/>
      <c r="G1205" s="30" t="str">
        <f aca="false">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ustomFormat="false" ht="15" hidden="false" customHeight="false" outlineLevel="0" collapsed="false">
      <c r="A1206" s="11"/>
      <c r="D1206" s="10"/>
      <c r="E1206" s="12"/>
      <c r="G1206" s="30" t="str">
        <f aca="false">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ustomFormat="false" ht="15" hidden="false" customHeight="false" outlineLevel="0" collapsed="false">
      <c r="A1207" s="11"/>
      <c r="D1207" s="10"/>
      <c r="E1207" s="12"/>
      <c r="G1207" s="30" t="str">
        <f aca="false">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ustomFormat="false" ht="15" hidden="false" customHeight="false" outlineLevel="0" collapsed="false">
      <c r="A1208" s="11"/>
      <c r="D1208" s="10"/>
      <c r="E1208" s="12"/>
      <c r="G1208" s="30" t="str">
        <f aca="false">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ustomFormat="false" ht="15" hidden="false" customHeight="false" outlineLevel="0" collapsed="false">
      <c r="A1209" s="11"/>
      <c r="D1209" s="10"/>
      <c r="E1209" s="12"/>
      <c r="G1209" s="30" t="str">
        <f aca="false">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ustomFormat="false" ht="15" hidden="false" customHeight="false" outlineLevel="0" collapsed="false">
      <c r="A1210" s="11"/>
      <c r="D1210" s="10"/>
      <c r="E1210" s="12"/>
      <c r="G1210" s="30" t="str">
        <f aca="false">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ustomFormat="false" ht="15" hidden="false" customHeight="false" outlineLevel="0" collapsed="false">
      <c r="A1211" s="11"/>
      <c r="D1211" s="10"/>
      <c r="E1211" s="12"/>
      <c r="G1211" s="30" t="str">
        <f aca="false">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ustomFormat="false" ht="15" hidden="false" customHeight="false" outlineLevel="0" collapsed="false">
      <c r="A1212" s="11"/>
      <c r="D1212" s="10"/>
      <c r="E1212" s="12"/>
      <c r="G1212" s="30" t="str">
        <f aca="false">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ustomFormat="false" ht="15" hidden="false" customHeight="false" outlineLevel="0" collapsed="false">
      <c r="A1213" s="11"/>
      <c r="D1213" s="10"/>
      <c r="E1213" s="12"/>
      <c r="G1213" s="30" t="str">
        <f aca="false">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ustomFormat="false" ht="15" hidden="false" customHeight="false" outlineLevel="0" collapsed="false">
      <c r="A1214" s="11"/>
      <c r="D1214" s="10"/>
      <c r="E1214" s="12"/>
      <c r="G1214" s="30" t="str">
        <f aca="false">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ustomFormat="false" ht="15" hidden="false" customHeight="false" outlineLevel="0" collapsed="false">
      <c r="A1215" s="11"/>
      <c r="D1215" s="10"/>
      <c r="E1215" s="12"/>
      <c r="G1215" s="30" t="str">
        <f aca="false">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ustomFormat="false" ht="15" hidden="false" customHeight="false" outlineLevel="0" collapsed="false">
      <c r="A1216" s="11"/>
      <c r="D1216" s="10"/>
      <c r="E1216" s="12"/>
      <c r="G1216" s="30" t="str">
        <f aca="false">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ustomFormat="false" ht="15" hidden="false" customHeight="false" outlineLevel="0" collapsed="false">
      <c r="A1217" s="11"/>
      <c r="D1217" s="10"/>
      <c r="E1217" s="12"/>
      <c r="G1217" s="30" t="str">
        <f aca="false">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ustomFormat="false" ht="15" hidden="false" customHeight="false" outlineLevel="0" collapsed="false">
      <c r="A1218" s="11"/>
      <c r="D1218" s="10"/>
      <c r="E1218" s="12"/>
      <c r="G1218" s="30" t="str">
        <f aca="false">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ustomFormat="false" ht="15" hidden="false" customHeight="false" outlineLevel="0" collapsed="false">
      <c r="A1219" s="11"/>
      <c r="D1219" s="10"/>
      <c r="E1219" s="12"/>
      <c r="G1219" s="30" t="str">
        <f aca="false">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ustomFormat="false" ht="15" hidden="false" customHeight="false" outlineLevel="0" collapsed="false">
      <c r="A1220" s="11"/>
      <c r="D1220" s="10"/>
      <c r="E1220" s="12"/>
      <c r="G1220" s="30" t="str">
        <f aca="false">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ustomFormat="false" ht="15" hidden="false" customHeight="false" outlineLevel="0" collapsed="false">
      <c r="A1221" s="11"/>
      <c r="D1221" s="10"/>
      <c r="E1221" s="12"/>
      <c r="G1221" s="30" t="str">
        <f aca="false">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ustomFormat="false" ht="15" hidden="false" customHeight="false" outlineLevel="0" collapsed="false">
      <c r="A1222" s="11"/>
      <c r="D1222" s="10"/>
      <c r="E1222" s="12"/>
      <c r="G1222" s="30" t="str">
        <f aca="false">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ustomFormat="false" ht="15" hidden="false" customHeight="false" outlineLevel="0" collapsed="false">
      <c r="A1223" s="11"/>
      <c r="D1223" s="10"/>
      <c r="E1223" s="12"/>
      <c r="G1223" s="30" t="str">
        <f aca="false">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ustomFormat="false" ht="15" hidden="false" customHeight="false" outlineLevel="0" collapsed="false">
      <c r="A1224" s="11"/>
      <c r="D1224" s="10"/>
      <c r="E1224" s="12"/>
      <c r="G1224" s="30" t="str">
        <f aca="false">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ustomFormat="false" ht="15" hidden="false" customHeight="false" outlineLevel="0" collapsed="false">
      <c r="A1225" s="11"/>
      <c r="D1225" s="10"/>
      <c r="E1225" s="12"/>
      <c r="G1225" s="30" t="str">
        <f aca="false">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ustomFormat="false" ht="15" hidden="false" customHeight="false" outlineLevel="0" collapsed="false">
      <c r="A1226" s="11"/>
      <c r="D1226" s="10"/>
      <c r="E1226" s="12"/>
      <c r="G1226" s="30" t="str">
        <f aca="false">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ustomFormat="false" ht="15" hidden="false" customHeight="false" outlineLevel="0" collapsed="false">
      <c r="A1227" s="11"/>
      <c r="D1227" s="10"/>
      <c r="E1227" s="12"/>
      <c r="G1227" s="30" t="str">
        <f aca="false">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ustomFormat="false" ht="15" hidden="false" customHeight="false" outlineLevel="0" collapsed="false">
      <c r="A1228" s="11"/>
      <c r="D1228" s="10"/>
      <c r="E1228" s="12"/>
      <c r="G1228" s="30" t="str">
        <f aca="false">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ustomFormat="false" ht="15" hidden="false" customHeight="false" outlineLevel="0" collapsed="false">
      <c r="A1229" s="11"/>
      <c r="D1229" s="10"/>
      <c r="E1229" s="12"/>
      <c r="G1229" s="30" t="str">
        <f aca="false">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ustomFormat="false" ht="15" hidden="false" customHeight="false" outlineLevel="0" collapsed="false">
      <c r="A1230" s="11"/>
      <c r="D1230" s="10"/>
      <c r="E1230" s="12"/>
      <c r="G1230" s="30" t="str">
        <f aca="false">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ustomFormat="false" ht="15" hidden="false" customHeight="false" outlineLevel="0" collapsed="false">
      <c r="A1231" s="11"/>
      <c r="D1231" s="10"/>
      <c r="E1231" s="12"/>
      <c r="G1231" s="30" t="str">
        <f aca="false">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ustomFormat="false" ht="15" hidden="false" customHeight="false" outlineLevel="0" collapsed="false">
      <c r="A1232" s="11"/>
      <c r="D1232" s="10"/>
      <c r="E1232" s="12"/>
      <c r="G1232" s="30" t="str">
        <f aca="false">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ustomFormat="false" ht="15" hidden="false" customHeight="false" outlineLevel="0" collapsed="false">
      <c r="A1233" s="11"/>
      <c r="D1233" s="10"/>
      <c r="E1233" s="12"/>
      <c r="G1233" s="30" t="str">
        <f aca="false">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ustomFormat="false" ht="15" hidden="false" customHeight="false" outlineLevel="0" collapsed="false">
      <c r="A1234" s="11"/>
      <c r="D1234" s="10"/>
      <c r="E1234" s="12"/>
      <c r="G1234" s="30" t="str">
        <f aca="false">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ustomFormat="false" ht="15" hidden="false" customHeight="false" outlineLevel="0" collapsed="false">
      <c r="A1235" s="11"/>
      <c r="D1235" s="10"/>
      <c r="E1235" s="12"/>
      <c r="G1235" s="30" t="str">
        <f aca="false">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ustomFormat="false" ht="15" hidden="false" customHeight="false" outlineLevel="0" collapsed="false">
      <c r="A1236" s="11"/>
      <c r="D1236" s="10"/>
      <c r="E1236" s="12"/>
      <c r="G1236" s="30" t="str">
        <f aca="false">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ustomFormat="false" ht="15" hidden="false" customHeight="false" outlineLevel="0" collapsed="false">
      <c r="A1237" s="11"/>
      <c r="D1237" s="10"/>
      <c r="E1237" s="12"/>
      <c r="G1237" s="30" t="str">
        <f aca="false">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ustomFormat="false" ht="15" hidden="false" customHeight="false" outlineLevel="0" collapsed="false">
      <c r="A1238" s="11"/>
      <c r="D1238" s="10"/>
      <c r="E1238" s="12"/>
      <c r="G1238" s="30" t="str">
        <f aca="false">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ustomFormat="false" ht="15" hidden="false" customHeight="false" outlineLevel="0" collapsed="false">
      <c r="A1239" s="11"/>
      <c r="D1239" s="10"/>
      <c r="E1239" s="12"/>
      <c r="G1239" s="30" t="str">
        <f aca="false">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ustomFormat="false" ht="15" hidden="false" customHeight="false" outlineLevel="0" collapsed="false">
      <c r="A1240" s="11"/>
      <c r="D1240" s="10"/>
      <c r="E1240" s="12"/>
      <c r="G1240" s="30" t="str">
        <f aca="false">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ustomFormat="false" ht="15" hidden="false" customHeight="false" outlineLevel="0" collapsed="false">
      <c r="A1241" s="11"/>
      <c r="D1241" s="10"/>
      <c r="E1241" s="12"/>
      <c r="G1241" s="30" t="str">
        <f aca="false">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ustomFormat="false" ht="15" hidden="false" customHeight="false" outlineLevel="0" collapsed="false">
      <c r="A1242" s="11"/>
      <c r="D1242" s="10"/>
      <c r="E1242" s="12"/>
      <c r="G1242" s="30" t="str">
        <f aca="false">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ustomFormat="false" ht="15" hidden="false" customHeight="false" outlineLevel="0" collapsed="false">
      <c r="A1243" s="11"/>
      <c r="D1243" s="10"/>
      <c r="E1243" s="12"/>
      <c r="G1243" s="30" t="str">
        <f aca="false">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ustomFormat="false" ht="15" hidden="false" customHeight="false" outlineLevel="0" collapsed="false">
      <c r="A1244" s="11"/>
      <c r="D1244" s="10"/>
      <c r="E1244" s="12"/>
      <c r="G1244" s="30" t="str">
        <f aca="false">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ustomFormat="false" ht="15" hidden="false" customHeight="false" outlineLevel="0" collapsed="false">
      <c r="A1245" s="11"/>
      <c r="D1245" s="10"/>
      <c r="E1245" s="12"/>
      <c r="G1245" s="30" t="str">
        <f aca="false">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ustomFormat="false" ht="15" hidden="false" customHeight="false" outlineLevel="0" collapsed="false">
      <c r="A1246" s="11"/>
      <c r="D1246" s="10"/>
      <c r="E1246" s="12"/>
      <c r="G1246" s="30" t="str">
        <f aca="false">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ustomFormat="false" ht="15" hidden="false" customHeight="false" outlineLevel="0" collapsed="false">
      <c r="A1247" s="11"/>
      <c r="D1247" s="10"/>
      <c r="E1247" s="12"/>
      <c r="G1247" s="30" t="str">
        <f aca="false">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ustomFormat="false" ht="15" hidden="false" customHeight="false" outlineLevel="0" collapsed="false">
      <c r="A1248" s="11"/>
      <c r="D1248" s="10"/>
      <c r="E1248" s="12"/>
      <c r="G1248" s="30" t="str">
        <f aca="false">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ustomFormat="false" ht="15" hidden="false" customHeight="false" outlineLevel="0" collapsed="false">
      <c r="A1249" s="11"/>
      <c r="D1249" s="10"/>
      <c r="E1249" s="12"/>
      <c r="G1249" s="30" t="str">
        <f aca="false">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ustomFormat="false" ht="15" hidden="false" customHeight="false" outlineLevel="0" collapsed="false">
      <c r="A1250" s="11"/>
      <c r="D1250" s="10"/>
      <c r="E1250" s="12"/>
      <c r="G1250" s="30" t="str">
        <f aca="false">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ustomFormat="false" ht="15" hidden="false" customHeight="false" outlineLevel="0" collapsed="false">
      <c r="A1251" s="11"/>
      <c r="D1251" s="10"/>
      <c r="E1251" s="12"/>
      <c r="G1251" s="30" t="str">
        <f aca="false">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ustomFormat="false" ht="15" hidden="false" customHeight="false" outlineLevel="0" collapsed="false">
      <c r="A1252" s="11"/>
      <c r="D1252" s="10"/>
      <c r="E1252" s="12"/>
      <c r="G1252" s="30" t="str">
        <f aca="false">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ustomFormat="false" ht="15" hidden="false" customHeight="false" outlineLevel="0" collapsed="false">
      <c r="A1253" s="11"/>
      <c r="D1253" s="10"/>
      <c r="E1253" s="12"/>
      <c r="G1253" s="30" t="str">
        <f aca="false">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ustomFormat="false" ht="15" hidden="false" customHeight="false" outlineLevel="0" collapsed="false">
      <c r="A1254" s="11"/>
      <c r="D1254" s="10"/>
      <c r="E1254" s="12"/>
      <c r="G1254" s="30" t="str">
        <f aca="false">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ustomFormat="false" ht="15" hidden="false" customHeight="false" outlineLevel="0" collapsed="false">
      <c r="A1255" s="11"/>
      <c r="D1255" s="10"/>
      <c r="E1255" s="12"/>
      <c r="G1255" s="30" t="str">
        <f aca="false">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ustomFormat="false" ht="15" hidden="false" customHeight="false" outlineLevel="0" collapsed="false">
      <c r="A1256" s="11"/>
      <c r="D1256" s="10"/>
      <c r="E1256" s="12"/>
      <c r="G1256" s="30" t="str">
        <f aca="false">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ustomFormat="false" ht="15" hidden="false" customHeight="false" outlineLevel="0" collapsed="false">
      <c r="A1257" s="11"/>
      <c r="D1257" s="10"/>
      <c r="E1257" s="12"/>
      <c r="G1257" s="30" t="str">
        <f aca="false">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ustomFormat="false" ht="15" hidden="false" customHeight="false" outlineLevel="0" collapsed="false">
      <c r="A1258" s="11"/>
      <c r="D1258" s="10"/>
      <c r="E1258" s="12"/>
      <c r="G1258" s="30" t="str">
        <f aca="false">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ustomFormat="false" ht="15" hidden="false" customHeight="false" outlineLevel="0" collapsed="false">
      <c r="A1259" s="11"/>
      <c r="D1259" s="10"/>
      <c r="E1259" s="12"/>
      <c r="G1259" s="30" t="str">
        <f aca="false">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ustomFormat="false" ht="15" hidden="false" customHeight="false" outlineLevel="0" collapsed="false">
      <c r="A1260" s="11"/>
      <c r="D1260" s="10"/>
      <c r="E1260" s="12"/>
      <c r="G1260" s="30" t="str">
        <f aca="false">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ustomFormat="false" ht="15" hidden="false" customHeight="false" outlineLevel="0" collapsed="false">
      <c r="A1261" s="11"/>
      <c r="D1261" s="10"/>
      <c r="E1261" s="12"/>
      <c r="G1261" s="30" t="str">
        <f aca="false">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ustomFormat="false" ht="15" hidden="false" customHeight="false" outlineLevel="0" collapsed="false">
      <c r="A1262" s="11"/>
      <c r="D1262" s="10"/>
      <c r="E1262" s="12"/>
      <c r="G1262" s="30" t="str">
        <f aca="false">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ustomFormat="false" ht="15" hidden="false" customHeight="false" outlineLevel="0" collapsed="false">
      <c r="A1263" s="11"/>
      <c r="D1263" s="10"/>
      <c r="E1263" s="12"/>
      <c r="G1263" s="30" t="str">
        <f aca="false">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ustomFormat="false" ht="15" hidden="false" customHeight="false" outlineLevel="0" collapsed="false">
      <c r="A1264" s="11"/>
      <c r="D1264" s="10"/>
      <c r="E1264" s="12"/>
      <c r="G1264" s="30" t="str">
        <f aca="false">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ustomFormat="false" ht="15" hidden="false" customHeight="false" outlineLevel="0" collapsed="false">
      <c r="A1265" s="11"/>
      <c r="D1265" s="10"/>
      <c r="E1265" s="12"/>
      <c r="G1265" s="30" t="str">
        <f aca="false">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ustomFormat="false" ht="15" hidden="false" customHeight="false" outlineLevel="0" collapsed="false">
      <c r="A1266" s="11"/>
      <c r="D1266" s="10"/>
      <c r="E1266" s="12"/>
      <c r="G1266" s="30" t="str">
        <f aca="false">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ustomFormat="false" ht="15" hidden="false" customHeight="false" outlineLevel="0" collapsed="false">
      <c r="A1267" s="11"/>
      <c r="D1267" s="10"/>
      <c r="E1267" s="12"/>
      <c r="G1267" s="30" t="str">
        <f aca="false">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ustomFormat="false" ht="15" hidden="false" customHeight="false" outlineLevel="0" collapsed="false">
      <c r="A1268" s="11"/>
      <c r="D1268" s="10"/>
      <c r="E1268" s="12"/>
      <c r="G1268" s="30" t="str">
        <f aca="false">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ustomFormat="false" ht="15" hidden="false" customHeight="false" outlineLevel="0" collapsed="false">
      <c r="A1269" s="11"/>
      <c r="D1269" s="10"/>
      <c r="E1269" s="12"/>
      <c r="G1269" s="30" t="str">
        <f aca="false">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ustomFormat="false" ht="15" hidden="false" customHeight="false" outlineLevel="0" collapsed="false">
      <c r="A1270" s="11"/>
      <c r="D1270" s="10"/>
      <c r="E1270" s="12"/>
      <c r="G1270" s="30" t="str">
        <f aca="false">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ustomFormat="false" ht="15" hidden="false" customHeight="false" outlineLevel="0" collapsed="false">
      <c r="A1271" s="11"/>
      <c r="D1271" s="10"/>
      <c r="E1271" s="12"/>
      <c r="G1271" s="30" t="str">
        <f aca="false">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ustomFormat="false" ht="15" hidden="false" customHeight="false" outlineLevel="0" collapsed="false">
      <c r="A1272" s="11"/>
      <c r="D1272" s="10"/>
      <c r="E1272" s="12"/>
      <c r="G1272" s="30" t="str">
        <f aca="false">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ustomFormat="false" ht="15" hidden="false" customHeight="false" outlineLevel="0" collapsed="false">
      <c r="A1273" s="11"/>
      <c r="D1273" s="10"/>
      <c r="E1273" s="12"/>
      <c r="G1273" s="30" t="str">
        <f aca="false">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ustomFormat="false" ht="15" hidden="false" customHeight="false" outlineLevel="0" collapsed="false">
      <c r="A1274" s="11"/>
      <c r="D1274" s="10"/>
      <c r="E1274" s="12"/>
      <c r="G1274" s="30" t="str">
        <f aca="false">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ustomFormat="false" ht="15" hidden="false" customHeight="false" outlineLevel="0" collapsed="false">
      <c r="A1275" s="11"/>
      <c r="D1275" s="10"/>
      <c r="E1275" s="12"/>
      <c r="G1275" s="30" t="str">
        <f aca="false">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ustomFormat="false" ht="15" hidden="false" customHeight="false" outlineLevel="0" collapsed="false">
      <c r="A1276" s="11"/>
      <c r="D1276" s="10"/>
      <c r="E1276" s="12"/>
      <c r="G1276" s="30" t="str">
        <f aca="false">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ustomFormat="false" ht="15" hidden="false" customHeight="false" outlineLevel="0" collapsed="false">
      <c r="A1277" s="11"/>
      <c r="D1277" s="10"/>
      <c r="E1277" s="12"/>
      <c r="G1277" s="30" t="str">
        <f aca="false">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ustomFormat="false" ht="15" hidden="false" customHeight="false" outlineLevel="0" collapsed="false">
      <c r="A1278" s="11"/>
      <c r="D1278" s="10"/>
      <c r="E1278" s="12"/>
      <c r="G1278" s="30" t="str">
        <f aca="false">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ustomFormat="false" ht="15" hidden="false" customHeight="false" outlineLevel="0" collapsed="false">
      <c r="A1279" s="11"/>
      <c r="D1279" s="10"/>
      <c r="E1279" s="12"/>
      <c r="G1279" s="30" t="str">
        <f aca="false">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ustomFormat="false" ht="15" hidden="false" customHeight="false" outlineLevel="0" collapsed="false">
      <c r="A1280" s="11"/>
      <c r="D1280" s="10"/>
      <c r="E1280" s="12"/>
      <c r="G1280" s="30" t="str">
        <f aca="false">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ustomFormat="false" ht="15" hidden="false" customHeight="false" outlineLevel="0" collapsed="false">
      <c r="A1281" s="11"/>
      <c r="D1281" s="10"/>
      <c r="E1281" s="12"/>
      <c r="G1281" s="30" t="str">
        <f aca="false">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ustomFormat="false" ht="15" hidden="false" customHeight="false" outlineLevel="0" collapsed="false">
      <c r="A1282" s="11"/>
      <c r="D1282" s="10"/>
      <c r="E1282" s="12"/>
      <c r="G1282" s="30" t="str">
        <f aca="false">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ustomFormat="false" ht="15" hidden="false" customHeight="false" outlineLevel="0" collapsed="false">
      <c r="A1283" s="11"/>
      <c r="D1283" s="10"/>
      <c r="E1283" s="12"/>
      <c r="G1283" s="30" t="str">
        <f aca="false">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ustomFormat="false" ht="15" hidden="false" customHeight="false" outlineLevel="0" collapsed="false">
      <c r="A1284" s="11"/>
      <c r="D1284" s="10"/>
      <c r="E1284" s="12"/>
      <c r="G1284" s="30" t="str">
        <f aca="false">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ustomFormat="false" ht="15" hidden="false" customHeight="false" outlineLevel="0" collapsed="false">
      <c r="A1285" s="11"/>
      <c r="D1285" s="10"/>
      <c r="E1285" s="12"/>
      <c r="G1285" s="30" t="str">
        <f aca="false">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ustomFormat="false" ht="15" hidden="false" customHeight="false" outlineLevel="0" collapsed="false">
      <c r="A1286" s="11"/>
      <c r="D1286" s="10"/>
      <c r="E1286" s="12"/>
      <c r="G1286" s="30" t="str">
        <f aca="false">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ustomFormat="false" ht="15" hidden="false" customHeight="false" outlineLevel="0" collapsed="false">
      <c r="A1287" s="11"/>
      <c r="D1287" s="10"/>
      <c r="E1287" s="12"/>
      <c r="G1287" s="30" t="str">
        <f aca="false">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ustomFormat="false" ht="15" hidden="false" customHeight="false" outlineLevel="0" collapsed="false">
      <c r="A1288" s="11"/>
      <c r="D1288" s="10"/>
      <c r="E1288" s="12"/>
      <c r="G1288" s="30" t="str">
        <f aca="false">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ustomFormat="false" ht="15" hidden="false" customHeight="false" outlineLevel="0" collapsed="false">
      <c r="A1289" s="11"/>
      <c r="D1289" s="10"/>
      <c r="E1289" s="12"/>
      <c r="G1289" s="30" t="str">
        <f aca="false">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ustomFormat="false" ht="15" hidden="false" customHeight="false" outlineLevel="0" collapsed="false">
      <c r="A1290" s="11"/>
      <c r="D1290" s="10"/>
      <c r="E1290" s="12"/>
      <c r="G1290" s="30" t="str">
        <f aca="false">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ustomFormat="false" ht="15" hidden="false" customHeight="false" outlineLevel="0" collapsed="false">
      <c r="A1291" s="11"/>
      <c r="D1291" s="10"/>
      <c r="E1291" s="12"/>
      <c r="G1291" s="30" t="str">
        <f aca="false">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ustomFormat="false" ht="15" hidden="false" customHeight="false" outlineLevel="0" collapsed="false">
      <c r="A1292" s="11"/>
      <c r="D1292" s="10"/>
      <c r="E1292" s="12"/>
      <c r="G1292" s="30" t="str">
        <f aca="false">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ustomFormat="false" ht="15" hidden="false" customHeight="false" outlineLevel="0" collapsed="false">
      <c r="A1293" s="11"/>
      <c r="D1293" s="10"/>
      <c r="E1293" s="12"/>
      <c r="G1293" s="30" t="str">
        <f aca="false">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ustomFormat="false" ht="15" hidden="false" customHeight="false" outlineLevel="0" collapsed="false">
      <c r="A1294" s="11"/>
      <c r="D1294" s="10"/>
      <c r="E1294" s="12"/>
      <c r="G1294" s="30" t="str">
        <f aca="false">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ustomFormat="false" ht="15" hidden="false" customHeight="false" outlineLevel="0" collapsed="false">
      <c r="A1295" s="11"/>
      <c r="D1295" s="10"/>
      <c r="E1295" s="12"/>
      <c r="G1295" s="30" t="str">
        <f aca="false">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ustomFormat="false" ht="15" hidden="false" customHeight="false" outlineLevel="0" collapsed="false">
      <c r="A1296" s="11"/>
      <c r="D1296" s="10"/>
      <c r="E1296" s="12"/>
      <c r="G1296" s="30" t="str">
        <f aca="false">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ustomFormat="false" ht="15" hidden="false" customHeight="false" outlineLevel="0" collapsed="false">
      <c r="A1297" s="11"/>
      <c r="D1297" s="10"/>
      <c r="E1297" s="12"/>
      <c r="G1297" s="30" t="str">
        <f aca="false">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ustomFormat="false" ht="15" hidden="false" customHeight="false" outlineLevel="0" collapsed="false">
      <c r="A1298" s="11"/>
      <c r="D1298" s="10"/>
      <c r="E1298" s="12"/>
      <c r="G1298" s="30" t="str">
        <f aca="false">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ustomFormat="false" ht="15" hidden="false" customHeight="false" outlineLevel="0" collapsed="false">
      <c r="A1299" s="11"/>
      <c r="D1299" s="10"/>
      <c r="E1299" s="12"/>
      <c r="G1299" s="30" t="str">
        <f aca="false">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ustomFormat="false" ht="15" hidden="false" customHeight="false" outlineLevel="0" collapsed="false">
      <c r="A1300" s="11"/>
      <c r="D1300" s="10"/>
      <c r="E1300" s="12"/>
      <c r="G1300" s="30" t="str">
        <f aca="false">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ustomFormat="false" ht="15" hidden="false" customHeight="false" outlineLevel="0" collapsed="false">
      <c r="A1301" s="11"/>
      <c r="D1301" s="10"/>
      <c r="E1301" s="12"/>
      <c r="G1301" s="30" t="str">
        <f aca="false">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ustomFormat="false" ht="15" hidden="false" customHeight="false" outlineLevel="0" collapsed="false">
      <c r="A1302" s="11"/>
      <c r="D1302" s="10"/>
      <c r="E1302" s="12"/>
      <c r="G1302" s="30" t="str">
        <f aca="false">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ustomFormat="false" ht="15" hidden="false" customHeight="false" outlineLevel="0" collapsed="false">
      <c r="A1303" s="11"/>
      <c r="D1303" s="10"/>
      <c r="E1303" s="12"/>
      <c r="G1303" s="30" t="str">
        <f aca="false">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ustomFormat="false" ht="15" hidden="false" customHeight="false" outlineLevel="0" collapsed="false">
      <c r="A1304" s="11"/>
      <c r="D1304" s="10"/>
      <c r="E1304" s="12"/>
      <c r="G1304" s="30" t="str">
        <f aca="false">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ustomFormat="false" ht="15" hidden="false" customHeight="false" outlineLevel="0" collapsed="false">
      <c r="A1305" s="11"/>
      <c r="D1305" s="10"/>
      <c r="E1305" s="12"/>
      <c r="G1305" s="30" t="str">
        <f aca="false">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ustomFormat="false" ht="15" hidden="false" customHeight="false" outlineLevel="0" collapsed="false">
      <c r="A1306" s="11"/>
      <c r="D1306" s="10"/>
      <c r="E1306" s="12"/>
      <c r="G1306" s="30" t="str">
        <f aca="false">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ustomFormat="false" ht="15" hidden="false" customHeight="false" outlineLevel="0" collapsed="false">
      <c r="A1307" s="11"/>
      <c r="D1307" s="10"/>
      <c r="E1307" s="12"/>
      <c r="G1307" s="30" t="str">
        <f aca="false">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ustomFormat="false" ht="15" hidden="false" customHeight="false" outlineLevel="0" collapsed="false">
      <c r="A1308" s="11"/>
      <c r="D1308" s="10"/>
      <c r="E1308" s="12"/>
      <c r="G1308" s="30" t="str">
        <f aca="false">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ustomFormat="false" ht="15" hidden="false" customHeight="false" outlineLevel="0" collapsed="false">
      <c r="A1309" s="11"/>
      <c r="D1309" s="10"/>
      <c r="E1309" s="12"/>
      <c r="G1309" s="30" t="str">
        <f aca="false">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ustomFormat="false" ht="15" hidden="false" customHeight="false" outlineLevel="0" collapsed="false">
      <c r="A1310" s="11"/>
      <c r="D1310" s="10"/>
      <c r="E1310" s="12"/>
      <c r="G1310" s="30" t="str">
        <f aca="false">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ustomFormat="false" ht="15" hidden="false" customHeight="false" outlineLevel="0" collapsed="false">
      <c r="A1311" s="11"/>
      <c r="D1311" s="10"/>
      <c r="E1311" s="12"/>
      <c r="G1311" s="30" t="str">
        <f aca="false">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ustomFormat="false" ht="15" hidden="false" customHeight="false" outlineLevel="0" collapsed="false">
      <c r="A1312" s="11"/>
      <c r="D1312" s="10"/>
      <c r="E1312" s="12"/>
      <c r="G1312" s="30" t="str">
        <f aca="false">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ustomFormat="false" ht="15" hidden="false" customHeight="false" outlineLevel="0" collapsed="false">
      <c r="A1313" s="11"/>
      <c r="D1313" s="10"/>
      <c r="E1313" s="12"/>
      <c r="G1313" s="30" t="str">
        <f aca="false">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ustomFormat="false" ht="15" hidden="false" customHeight="false" outlineLevel="0" collapsed="false">
      <c r="A1314" s="11"/>
      <c r="D1314" s="10"/>
      <c r="E1314" s="12"/>
      <c r="G1314" s="30" t="str">
        <f aca="false">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ustomFormat="false" ht="15" hidden="false" customHeight="false" outlineLevel="0" collapsed="false">
      <c r="A1315" s="11"/>
      <c r="D1315" s="10"/>
      <c r="E1315" s="12"/>
      <c r="G1315" s="30" t="str">
        <f aca="false">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ustomFormat="false" ht="15" hidden="false" customHeight="false" outlineLevel="0" collapsed="false">
      <c r="A1316" s="11"/>
      <c r="D1316" s="10"/>
      <c r="E1316" s="12"/>
      <c r="G1316" s="30" t="str">
        <f aca="false">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ustomFormat="false" ht="15" hidden="false" customHeight="false" outlineLevel="0" collapsed="false">
      <c r="A1317" s="11"/>
      <c r="D1317" s="10"/>
      <c r="E1317" s="12"/>
      <c r="G1317" s="30" t="str">
        <f aca="false">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ustomFormat="false" ht="15" hidden="false" customHeight="false" outlineLevel="0" collapsed="false">
      <c r="A1318" s="11"/>
      <c r="D1318" s="10"/>
      <c r="E1318" s="12"/>
      <c r="G1318" s="30" t="str">
        <f aca="false">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ustomFormat="false" ht="15" hidden="false" customHeight="false" outlineLevel="0" collapsed="false">
      <c r="A1319" s="11"/>
      <c r="D1319" s="10"/>
      <c r="E1319" s="12"/>
      <c r="G1319" s="30" t="str">
        <f aca="false">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ustomFormat="false" ht="15" hidden="false" customHeight="false" outlineLevel="0" collapsed="false">
      <c r="A1320" s="11"/>
      <c r="D1320" s="10"/>
      <c r="E1320" s="12"/>
      <c r="G1320" s="30" t="str">
        <f aca="false">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ustomFormat="false" ht="15" hidden="false" customHeight="false" outlineLevel="0" collapsed="false">
      <c r="A1321" s="11"/>
      <c r="D1321" s="10"/>
      <c r="E1321" s="12"/>
      <c r="G1321" s="30" t="str">
        <f aca="false">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ustomFormat="false" ht="15" hidden="false" customHeight="false" outlineLevel="0" collapsed="false">
      <c r="A1322" s="11"/>
      <c r="D1322" s="10"/>
      <c r="E1322" s="12"/>
      <c r="G1322" s="30" t="str">
        <f aca="false">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ustomFormat="false" ht="15" hidden="false" customHeight="false" outlineLevel="0" collapsed="false">
      <c r="A1323" s="11"/>
      <c r="D1323" s="10"/>
      <c r="E1323" s="12"/>
      <c r="G1323" s="30" t="str">
        <f aca="false">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ustomFormat="false" ht="15" hidden="false" customHeight="false" outlineLevel="0" collapsed="false">
      <c r="A1324" s="11"/>
      <c r="D1324" s="10"/>
      <c r="E1324" s="12"/>
      <c r="G1324" s="30" t="str">
        <f aca="false">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ustomFormat="false" ht="15" hidden="false" customHeight="false" outlineLevel="0" collapsed="false">
      <c r="A1325" s="11"/>
      <c r="D1325" s="10"/>
      <c r="E1325" s="12"/>
      <c r="G1325" s="30" t="str">
        <f aca="false">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ustomFormat="false" ht="15" hidden="false" customHeight="false" outlineLevel="0" collapsed="false">
      <c r="A1326" s="11"/>
      <c r="D1326" s="10"/>
      <c r="E1326" s="12"/>
      <c r="G1326" s="30" t="str">
        <f aca="false">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ustomFormat="false" ht="15" hidden="false" customHeight="false" outlineLevel="0" collapsed="false">
      <c r="A1327" s="11"/>
      <c r="D1327" s="10"/>
      <c r="E1327" s="12"/>
      <c r="G1327" s="30" t="str">
        <f aca="false">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ustomFormat="false" ht="15" hidden="false" customHeight="false" outlineLevel="0" collapsed="false">
      <c r="A1328" s="11"/>
      <c r="D1328" s="10"/>
      <c r="E1328" s="12"/>
      <c r="G1328" s="30" t="str">
        <f aca="false">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ustomFormat="false" ht="15" hidden="false" customHeight="false" outlineLevel="0" collapsed="false">
      <c r="A1329" s="11"/>
      <c r="D1329" s="10"/>
      <c r="E1329" s="12"/>
      <c r="G1329" s="30" t="str">
        <f aca="false">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ustomFormat="false" ht="15" hidden="false" customHeight="false" outlineLevel="0" collapsed="false">
      <c r="A1330" s="11"/>
      <c r="D1330" s="10"/>
      <c r="E1330" s="12"/>
      <c r="G1330" s="30" t="str">
        <f aca="false">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ustomFormat="false" ht="15" hidden="false" customHeight="false" outlineLevel="0" collapsed="false">
      <c r="A1331" s="11"/>
      <c r="D1331" s="10"/>
      <c r="E1331" s="12"/>
      <c r="G1331" s="30" t="str">
        <f aca="false">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ustomFormat="false" ht="15" hidden="false" customHeight="false" outlineLevel="0" collapsed="false">
      <c r="A1332" s="11"/>
      <c r="D1332" s="10"/>
      <c r="E1332" s="12"/>
      <c r="G1332" s="30" t="str">
        <f aca="false">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ustomFormat="false" ht="15" hidden="false" customHeight="false" outlineLevel="0" collapsed="false">
      <c r="A1333" s="11"/>
      <c r="D1333" s="10"/>
      <c r="E1333" s="12"/>
      <c r="G1333" s="30" t="str">
        <f aca="false">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ustomFormat="false" ht="15" hidden="false" customHeight="false" outlineLevel="0" collapsed="false">
      <c r="A1334" s="11"/>
      <c r="D1334" s="10"/>
      <c r="E1334" s="12"/>
      <c r="G1334" s="30" t="str">
        <f aca="false">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ustomFormat="false" ht="15" hidden="false" customHeight="false" outlineLevel="0" collapsed="false">
      <c r="A1335" s="11"/>
      <c r="D1335" s="10"/>
      <c r="E1335" s="12"/>
      <c r="G1335" s="30" t="str">
        <f aca="false">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ustomFormat="false" ht="15" hidden="false" customHeight="false" outlineLevel="0" collapsed="false">
      <c r="A1336" s="11"/>
      <c r="D1336" s="10"/>
      <c r="E1336" s="12"/>
      <c r="G1336" s="30" t="str">
        <f aca="false">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ustomFormat="false" ht="15" hidden="false" customHeight="false" outlineLevel="0" collapsed="false">
      <c r="A1337" s="11"/>
      <c r="D1337" s="10"/>
      <c r="E1337" s="12"/>
      <c r="G1337" s="30" t="str">
        <f aca="false">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ustomFormat="false" ht="15" hidden="false" customHeight="false" outlineLevel="0" collapsed="false">
      <c r="A1338" s="11"/>
      <c r="D1338" s="10"/>
      <c r="E1338" s="12"/>
      <c r="G1338" s="30" t="str">
        <f aca="false">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ustomFormat="false" ht="15" hidden="false" customHeight="false" outlineLevel="0" collapsed="false">
      <c r="A1339" s="11"/>
      <c r="D1339" s="10"/>
      <c r="E1339" s="12"/>
      <c r="G1339" s="30" t="str">
        <f aca="false">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ustomFormat="false" ht="15" hidden="false" customHeight="false" outlineLevel="0" collapsed="false">
      <c r="A1340" s="11"/>
      <c r="D1340" s="10"/>
      <c r="E1340" s="12"/>
      <c r="G1340" s="30" t="str">
        <f aca="false">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ustomFormat="false" ht="15" hidden="false" customHeight="false" outlineLevel="0" collapsed="false">
      <c r="A1341" s="11"/>
      <c r="D1341" s="10"/>
      <c r="E1341" s="12"/>
      <c r="G1341" s="30" t="str">
        <f aca="false">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ustomFormat="false" ht="15" hidden="false" customHeight="false" outlineLevel="0" collapsed="false">
      <c r="A1342" s="11"/>
      <c r="D1342" s="10"/>
      <c r="E1342" s="12"/>
      <c r="G1342" s="30" t="str">
        <f aca="false">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ustomFormat="false" ht="15" hidden="false" customHeight="false" outlineLevel="0" collapsed="false">
      <c r="A1343" s="11"/>
      <c r="D1343" s="10"/>
      <c r="E1343" s="12"/>
      <c r="G1343" s="30" t="str">
        <f aca="false">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ustomFormat="false" ht="15" hidden="false" customHeight="false" outlineLevel="0" collapsed="false">
      <c r="A1344" s="11"/>
      <c r="D1344" s="10"/>
      <c r="E1344" s="12"/>
      <c r="G1344" s="30" t="str">
        <f aca="false">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ustomFormat="false" ht="15" hidden="false" customHeight="false" outlineLevel="0" collapsed="false">
      <c r="A1345" s="11"/>
      <c r="D1345" s="10"/>
      <c r="E1345" s="12"/>
      <c r="G1345" s="30" t="str">
        <f aca="false">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ustomFormat="false" ht="15" hidden="false" customHeight="false" outlineLevel="0" collapsed="false">
      <c r="A1346" s="11"/>
      <c r="D1346" s="10"/>
      <c r="E1346" s="12"/>
      <c r="G1346" s="30" t="str">
        <f aca="false">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ustomFormat="false" ht="15" hidden="false" customHeight="false" outlineLevel="0" collapsed="false">
      <c r="A1347" s="11"/>
      <c r="D1347" s="10"/>
      <c r="E1347" s="12"/>
      <c r="G1347" s="30" t="str">
        <f aca="false">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ustomFormat="false" ht="15" hidden="false" customHeight="false" outlineLevel="0" collapsed="false">
      <c r="A1348" s="11"/>
      <c r="D1348" s="10"/>
      <c r="E1348" s="12"/>
      <c r="G1348" s="30" t="str">
        <f aca="false">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ustomFormat="false" ht="15" hidden="false" customHeight="false" outlineLevel="0" collapsed="false">
      <c r="A1349" s="11"/>
      <c r="D1349" s="10"/>
      <c r="E1349" s="12"/>
      <c r="G1349" s="30" t="str">
        <f aca="false">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ustomFormat="false" ht="15" hidden="false" customHeight="false" outlineLevel="0" collapsed="false">
      <c r="A1350" s="11"/>
      <c r="D1350" s="10"/>
      <c r="E1350" s="12"/>
      <c r="G1350" s="30" t="str">
        <f aca="false">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ustomFormat="false" ht="15" hidden="false" customHeight="false" outlineLevel="0" collapsed="false">
      <c r="A1351" s="11"/>
      <c r="D1351" s="10"/>
      <c r="E1351" s="12"/>
      <c r="G1351" s="30" t="str">
        <f aca="false">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ustomFormat="false" ht="15" hidden="false" customHeight="false" outlineLevel="0" collapsed="false">
      <c r="A1352" s="11"/>
      <c r="D1352" s="10"/>
      <c r="E1352" s="12"/>
      <c r="G1352" s="30" t="str">
        <f aca="false">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ustomFormat="false" ht="15" hidden="false" customHeight="false" outlineLevel="0" collapsed="false">
      <c r="A1353" s="11"/>
      <c r="D1353" s="10"/>
      <c r="E1353" s="12"/>
      <c r="G1353" s="30" t="str">
        <f aca="false">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ustomFormat="false" ht="15" hidden="false" customHeight="false" outlineLevel="0" collapsed="false">
      <c r="A1354" s="11"/>
      <c r="D1354" s="10"/>
      <c r="E1354" s="12"/>
      <c r="G1354" s="30" t="str">
        <f aca="false">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ustomFormat="false" ht="15" hidden="false" customHeight="false" outlineLevel="0" collapsed="false">
      <c r="A1355" s="11"/>
      <c r="D1355" s="10"/>
      <c r="E1355" s="12"/>
      <c r="G1355" s="30" t="str">
        <f aca="false">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ustomFormat="false" ht="15" hidden="false" customHeight="false" outlineLevel="0" collapsed="false">
      <c r="A1356" s="11"/>
      <c r="D1356" s="10"/>
      <c r="E1356" s="12"/>
      <c r="G1356" s="30" t="str">
        <f aca="false">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ustomFormat="false" ht="15" hidden="false" customHeight="false" outlineLevel="0" collapsed="false">
      <c r="A1357" s="11"/>
      <c r="D1357" s="10"/>
      <c r="E1357" s="12"/>
      <c r="G1357" s="30" t="str">
        <f aca="false">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ustomFormat="false" ht="15" hidden="false" customHeight="false" outlineLevel="0" collapsed="false">
      <c r="A1358" s="11"/>
      <c r="D1358" s="10"/>
      <c r="E1358" s="12"/>
      <c r="G1358" s="30" t="str">
        <f aca="false">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ustomFormat="false" ht="15" hidden="false" customHeight="false" outlineLevel="0" collapsed="false">
      <c r="A1359" s="11"/>
      <c r="D1359" s="10"/>
      <c r="E1359" s="12"/>
      <c r="G1359" s="30" t="str">
        <f aca="false">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ustomFormat="false" ht="15" hidden="false" customHeight="false" outlineLevel="0" collapsed="false">
      <c r="A1360" s="11"/>
      <c r="D1360" s="10"/>
      <c r="E1360" s="12"/>
      <c r="G1360" s="30" t="str">
        <f aca="false">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ustomFormat="false" ht="15" hidden="false" customHeight="false" outlineLevel="0" collapsed="false">
      <c r="A1361" s="11"/>
      <c r="D1361" s="10"/>
      <c r="E1361" s="12"/>
      <c r="G1361" s="30" t="str">
        <f aca="false">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ustomFormat="false" ht="15" hidden="false" customHeight="false" outlineLevel="0" collapsed="false">
      <c r="A1362" s="11"/>
      <c r="D1362" s="10"/>
      <c r="E1362" s="12"/>
      <c r="G1362" s="30" t="str">
        <f aca="false">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ustomFormat="false" ht="15" hidden="false" customHeight="false" outlineLevel="0" collapsed="false">
      <c r="A1363" s="11"/>
      <c r="D1363" s="10"/>
      <c r="E1363" s="12"/>
      <c r="G1363" s="30" t="str">
        <f aca="false">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ustomFormat="false" ht="15" hidden="false" customHeight="false" outlineLevel="0" collapsed="false">
      <c r="A1364" s="11"/>
      <c r="D1364" s="10"/>
      <c r="E1364" s="12"/>
      <c r="G1364" s="30" t="str">
        <f aca="false">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ustomFormat="false" ht="15" hidden="false" customHeight="false" outlineLevel="0" collapsed="false">
      <c r="A1365" s="11"/>
      <c r="D1365" s="10"/>
      <c r="E1365" s="12"/>
      <c r="G1365" s="30" t="str">
        <f aca="false">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ustomFormat="false" ht="15" hidden="false" customHeight="false" outlineLevel="0" collapsed="false">
      <c r="A1366" s="11"/>
      <c r="D1366" s="10"/>
      <c r="E1366" s="12"/>
      <c r="G1366" s="30" t="str">
        <f aca="false">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ustomFormat="false" ht="15" hidden="false" customHeight="false" outlineLevel="0" collapsed="false">
      <c r="A1367" s="11"/>
      <c r="D1367" s="10"/>
      <c r="E1367" s="12"/>
      <c r="G1367" s="30" t="str">
        <f aca="false">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ustomFormat="false" ht="15" hidden="false" customHeight="false" outlineLevel="0" collapsed="false">
      <c r="A1368" s="11"/>
      <c r="D1368" s="10"/>
      <c r="E1368" s="12"/>
      <c r="G1368" s="30" t="str">
        <f aca="false">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ustomFormat="false" ht="15" hidden="false" customHeight="false" outlineLevel="0" collapsed="false">
      <c r="A1369" s="11"/>
      <c r="D1369" s="10"/>
      <c r="E1369" s="12"/>
      <c r="G1369" s="30" t="str">
        <f aca="false">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ustomFormat="false" ht="15" hidden="false" customHeight="false" outlineLevel="0" collapsed="false">
      <c r="A1370" s="11"/>
      <c r="D1370" s="10"/>
      <c r="E1370" s="12"/>
      <c r="G1370" s="30" t="str">
        <f aca="false">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ustomFormat="false" ht="15" hidden="false" customHeight="false" outlineLevel="0" collapsed="false">
      <c r="A1371" s="11"/>
      <c r="D1371" s="10"/>
      <c r="E1371" s="12"/>
      <c r="G1371" s="30" t="str">
        <f aca="false">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ustomFormat="false" ht="15" hidden="false" customHeight="false" outlineLevel="0" collapsed="false">
      <c r="A1372" s="11"/>
      <c r="D1372" s="10"/>
      <c r="E1372" s="12"/>
      <c r="G1372" s="30" t="str">
        <f aca="false">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ustomFormat="false" ht="15" hidden="false" customHeight="false" outlineLevel="0" collapsed="false">
      <c r="A1373" s="11"/>
      <c r="D1373" s="10"/>
      <c r="E1373" s="12"/>
      <c r="G1373" s="30" t="str">
        <f aca="false">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ustomFormat="false" ht="15" hidden="false" customHeight="false" outlineLevel="0" collapsed="false">
      <c r="A1374" s="11"/>
      <c r="D1374" s="10"/>
      <c r="E1374" s="12"/>
      <c r="G1374" s="30" t="str">
        <f aca="false">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ustomFormat="false" ht="15" hidden="false" customHeight="false" outlineLevel="0" collapsed="false">
      <c r="A1375" s="11"/>
      <c r="D1375" s="10"/>
      <c r="E1375" s="12"/>
      <c r="G1375" s="30" t="str">
        <f aca="false">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ustomFormat="false" ht="15" hidden="false" customHeight="false" outlineLevel="0" collapsed="false">
      <c r="A1376" s="11"/>
      <c r="D1376" s="10"/>
      <c r="E1376" s="12"/>
      <c r="G1376" s="30" t="str">
        <f aca="false">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ustomFormat="false" ht="15" hidden="false" customHeight="false" outlineLevel="0" collapsed="false">
      <c r="A1377" s="11"/>
      <c r="D1377" s="10"/>
      <c r="E1377" s="12"/>
      <c r="G1377" s="30" t="str">
        <f aca="false">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ustomFormat="false" ht="15" hidden="false" customHeight="false" outlineLevel="0" collapsed="false">
      <c r="A1378" s="11"/>
      <c r="D1378" s="10"/>
      <c r="E1378" s="12"/>
      <c r="G1378" s="30" t="str">
        <f aca="false">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ustomFormat="false" ht="15" hidden="false" customHeight="false" outlineLevel="0" collapsed="false">
      <c r="A1379" s="11"/>
      <c r="D1379" s="10"/>
      <c r="E1379" s="12"/>
      <c r="G1379" s="30" t="str">
        <f aca="false">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ustomFormat="false" ht="15" hidden="false" customHeight="false" outlineLevel="0" collapsed="false">
      <c r="A1380" s="11"/>
      <c r="D1380" s="10"/>
      <c r="E1380" s="12"/>
      <c r="G1380" s="30" t="str">
        <f aca="false">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ustomFormat="false" ht="15" hidden="false" customHeight="false" outlineLevel="0" collapsed="false">
      <c r="A1381" s="11"/>
      <c r="D1381" s="10"/>
      <c r="E1381" s="12"/>
      <c r="G1381" s="30" t="str">
        <f aca="false">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ustomFormat="false" ht="15" hidden="false" customHeight="false" outlineLevel="0" collapsed="false">
      <c r="A1382" s="11"/>
      <c r="D1382" s="10"/>
      <c r="E1382" s="12"/>
      <c r="G1382" s="30" t="str">
        <f aca="false">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ustomFormat="false" ht="15" hidden="false" customHeight="false" outlineLevel="0" collapsed="false">
      <c r="A1383" s="11"/>
      <c r="D1383" s="10"/>
      <c r="E1383" s="12"/>
      <c r="G1383" s="30" t="str">
        <f aca="false">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ustomFormat="false" ht="15" hidden="false" customHeight="false" outlineLevel="0" collapsed="false">
      <c r="A1384" s="11"/>
      <c r="D1384" s="10"/>
      <c r="E1384" s="12"/>
      <c r="G1384" s="30" t="str">
        <f aca="false">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ustomFormat="false" ht="15" hidden="false" customHeight="false" outlineLevel="0" collapsed="false">
      <c r="A1385" s="11"/>
      <c r="D1385" s="10"/>
      <c r="E1385" s="12"/>
      <c r="G1385" s="30" t="str">
        <f aca="false">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ustomFormat="false" ht="15" hidden="false" customHeight="false" outlineLevel="0" collapsed="false">
      <c r="A1386" s="11"/>
      <c r="D1386" s="10"/>
      <c r="E1386" s="12"/>
      <c r="G1386" s="30" t="str">
        <f aca="false">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ustomFormat="false" ht="15" hidden="false" customHeight="false" outlineLevel="0" collapsed="false">
      <c r="A1387" s="11"/>
      <c r="D1387" s="10"/>
      <c r="E1387" s="12"/>
      <c r="G1387" s="30" t="str">
        <f aca="false">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ustomFormat="false" ht="15" hidden="false" customHeight="false" outlineLevel="0" collapsed="false">
      <c r="A1388" s="11"/>
      <c r="D1388" s="10"/>
      <c r="E1388" s="12"/>
      <c r="G1388" s="30" t="str">
        <f aca="false">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ustomFormat="false" ht="15" hidden="false" customHeight="false" outlineLevel="0" collapsed="false">
      <c r="A1389" s="11"/>
      <c r="D1389" s="10"/>
      <c r="E1389" s="12"/>
      <c r="G1389" s="30" t="str">
        <f aca="false">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ustomFormat="false" ht="15" hidden="false" customHeight="false" outlineLevel="0" collapsed="false">
      <c r="A1390" s="11"/>
      <c r="D1390" s="10"/>
      <c r="E1390" s="12"/>
      <c r="G1390" s="30" t="str">
        <f aca="false">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ustomFormat="false" ht="15" hidden="false" customHeight="false" outlineLevel="0" collapsed="false">
      <c r="A1391" s="11"/>
      <c r="D1391" s="10"/>
      <c r="E1391" s="12"/>
      <c r="G1391" s="30" t="str">
        <f aca="false">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ustomFormat="false" ht="15" hidden="false" customHeight="false" outlineLevel="0" collapsed="false">
      <c r="A1392" s="11"/>
      <c r="D1392" s="10"/>
      <c r="E1392" s="12"/>
      <c r="G1392" s="30" t="str">
        <f aca="false">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ustomFormat="false" ht="15" hidden="false" customHeight="false" outlineLevel="0" collapsed="false">
      <c r="A1393" s="11"/>
      <c r="D1393" s="10"/>
      <c r="E1393" s="12"/>
      <c r="G1393" s="30" t="str">
        <f aca="false">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ustomFormat="false" ht="15" hidden="false" customHeight="false" outlineLevel="0" collapsed="false">
      <c r="A1394" s="11"/>
      <c r="D1394" s="10"/>
      <c r="E1394" s="12"/>
      <c r="G1394" s="30" t="str">
        <f aca="false">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ustomFormat="false" ht="15" hidden="false" customHeight="false" outlineLevel="0" collapsed="false">
      <c r="A1395" s="11"/>
      <c r="D1395" s="10"/>
      <c r="E1395" s="12"/>
      <c r="G1395" s="30" t="str">
        <f aca="false">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ustomFormat="false" ht="15" hidden="false" customHeight="false" outlineLevel="0" collapsed="false">
      <c r="A1396" s="11"/>
      <c r="D1396" s="10"/>
      <c r="E1396" s="12"/>
      <c r="G1396" s="30" t="str">
        <f aca="false">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ustomFormat="false" ht="15" hidden="false" customHeight="false" outlineLevel="0" collapsed="false">
      <c r="A1397" s="11"/>
      <c r="D1397" s="10"/>
      <c r="E1397" s="12"/>
      <c r="G1397" s="30" t="str">
        <f aca="false">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ustomFormat="false" ht="15" hidden="false" customHeight="false" outlineLevel="0" collapsed="false">
      <c r="A1398" s="11"/>
      <c r="D1398" s="10"/>
      <c r="E1398" s="12"/>
      <c r="G1398" s="30" t="str">
        <f aca="false">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ustomFormat="false" ht="15" hidden="false" customHeight="false" outlineLevel="0" collapsed="false">
      <c r="A1399" s="11"/>
      <c r="D1399" s="10"/>
      <c r="E1399" s="12"/>
      <c r="G1399" s="30" t="str">
        <f aca="false">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ustomFormat="false" ht="15" hidden="false" customHeight="false" outlineLevel="0" collapsed="false">
      <c r="A1400" s="11"/>
      <c r="D1400" s="10"/>
      <c r="E1400" s="12"/>
      <c r="G1400" s="30" t="str">
        <f aca="false">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ustomFormat="false" ht="15" hidden="false" customHeight="false" outlineLevel="0" collapsed="false">
      <c r="A1401" s="11"/>
      <c r="D1401" s="10"/>
      <c r="E1401" s="12"/>
      <c r="G1401" s="30" t="str">
        <f aca="false">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ustomFormat="false" ht="15" hidden="false" customHeight="false" outlineLevel="0" collapsed="false">
      <c r="A1402" s="11"/>
      <c r="D1402" s="10"/>
      <c r="E1402" s="12"/>
      <c r="G1402" s="30" t="str">
        <f aca="false">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ustomFormat="false" ht="15" hidden="false" customHeight="false" outlineLevel="0" collapsed="false">
      <c r="A1403" s="11"/>
      <c r="D1403" s="10"/>
      <c r="E1403" s="12"/>
      <c r="G1403" s="30" t="str">
        <f aca="false">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ustomFormat="false" ht="15" hidden="false" customHeight="false" outlineLevel="0" collapsed="false">
      <c r="A1404" s="11"/>
      <c r="D1404" s="10"/>
      <c r="E1404" s="12"/>
      <c r="G1404" s="30" t="str">
        <f aca="false">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ustomFormat="false" ht="15" hidden="false" customHeight="false" outlineLevel="0" collapsed="false">
      <c r="A1405" s="11"/>
      <c r="D1405" s="10"/>
      <c r="E1405" s="12"/>
      <c r="G1405" s="30" t="str">
        <f aca="false">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ustomFormat="false" ht="15" hidden="false" customHeight="false" outlineLevel="0" collapsed="false">
      <c r="A1406" s="11"/>
      <c r="D1406" s="10"/>
      <c r="E1406" s="12"/>
      <c r="G1406" s="30" t="str">
        <f aca="false">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ustomFormat="false" ht="15" hidden="false" customHeight="false" outlineLevel="0" collapsed="false">
      <c r="A1407" s="11"/>
      <c r="D1407" s="10"/>
      <c r="E1407" s="12"/>
      <c r="G1407" s="30" t="str">
        <f aca="false">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ustomFormat="false" ht="15" hidden="false" customHeight="false" outlineLevel="0" collapsed="false">
      <c r="A1408" s="11"/>
      <c r="D1408" s="10"/>
      <c r="E1408" s="12"/>
      <c r="G1408" s="30" t="str">
        <f aca="false">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ustomFormat="false" ht="15" hidden="false" customHeight="false" outlineLevel="0" collapsed="false">
      <c r="A1409" s="11"/>
      <c r="D1409" s="10"/>
      <c r="E1409" s="12"/>
      <c r="G1409" s="30" t="str">
        <f aca="false">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ustomFormat="false" ht="15" hidden="false" customHeight="false" outlineLevel="0" collapsed="false">
      <c r="A1410" s="11"/>
      <c r="D1410" s="10"/>
      <c r="E1410" s="12"/>
      <c r="G1410" s="30" t="str">
        <f aca="false">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ustomFormat="false" ht="15" hidden="false" customHeight="false" outlineLevel="0" collapsed="false">
      <c r="A1411" s="11"/>
      <c r="D1411" s="10"/>
      <c r="E1411" s="12"/>
      <c r="G1411" s="30" t="str">
        <f aca="false">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ustomFormat="false" ht="15" hidden="false" customHeight="false" outlineLevel="0" collapsed="false">
      <c r="A1412" s="11"/>
      <c r="D1412" s="10"/>
      <c r="E1412" s="12"/>
      <c r="G1412" s="30" t="str">
        <f aca="false">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ustomFormat="false" ht="15" hidden="false" customHeight="false" outlineLevel="0" collapsed="false">
      <c r="A1413" s="11"/>
      <c r="D1413" s="10"/>
      <c r="E1413" s="12"/>
      <c r="G1413" s="30" t="str">
        <f aca="false">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ustomFormat="false" ht="15" hidden="false" customHeight="false" outlineLevel="0" collapsed="false">
      <c r="A1414" s="11"/>
      <c r="D1414" s="10"/>
      <c r="E1414" s="12"/>
      <c r="G1414" s="30" t="str">
        <f aca="false">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ustomFormat="false" ht="15" hidden="false" customHeight="false" outlineLevel="0" collapsed="false">
      <c r="A1415" s="11"/>
      <c r="D1415" s="10"/>
      <c r="E1415" s="12"/>
      <c r="G1415" s="30" t="str">
        <f aca="false">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ustomFormat="false" ht="15" hidden="false" customHeight="false" outlineLevel="0" collapsed="false">
      <c r="A1416" s="11"/>
      <c r="D1416" s="10"/>
      <c r="E1416" s="12"/>
      <c r="G1416" s="30" t="str">
        <f aca="false">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ustomFormat="false" ht="15" hidden="false" customHeight="false" outlineLevel="0" collapsed="false">
      <c r="A1417" s="11"/>
      <c r="D1417" s="10"/>
      <c r="E1417" s="12"/>
      <c r="G1417" s="30" t="str">
        <f aca="false">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ustomFormat="false" ht="15" hidden="false" customHeight="false" outlineLevel="0" collapsed="false">
      <c r="A1418" s="11"/>
      <c r="D1418" s="10"/>
      <c r="E1418" s="12"/>
      <c r="G1418" s="30" t="str">
        <f aca="false">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ustomFormat="false" ht="15" hidden="false" customHeight="false" outlineLevel="0" collapsed="false">
      <c r="A1419" s="11"/>
      <c r="D1419" s="10"/>
      <c r="E1419" s="12"/>
      <c r="G1419" s="30" t="str">
        <f aca="false">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ustomFormat="false" ht="15" hidden="false" customHeight="false" outlineLevel="0" collapsed="false">
      <c r="A1420" s="11"/>
      <c r="D1420" s="10"/>
      <c r="E1420" s="12"/>
      <c r="G1420" s="30" t="str">
        <f aca="false">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ustomFormat="false" ht="15" hidden="false" customHeight="false" outlineLevel="0" collapsed="false">
      <c r="A1421" s="11"/>
      <c r="D1421" s="10"/>
      <c r="E1421" s="12"/>
      <c r="G1421" s="30" t="str">
        <f aca="false">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ustomFormat="false" ht="15" hidden="false" customHeight="false" outlineLevel="0" collapsed="false">
      <c r="A1422" s="11"/>
      <c r="D1422" s="10"/>
      <c r="E1422" s="12"/>
      <c r="G1422" s="30" t="str">
        <f aca="false">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ustomFormat="false" ht="15" hidden="false" customHeight="false" outlineLevel="0" collapsed="false">
      <c r="A1423" s="11"/>
      <c r="D1423" s="10"/>
      <c r="E1423" s="12"/>
      <c r="G1423" s="30" t="str">
        <f aca="false">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ustomFormat="false" ht="15" hidden="false" customHeight="false" outlineLevel="0" collapsed="false">
      <c r="A1424" s="11"/>
      <c r="D1424" s="10"/>
      <c r="E1424" s="12"/>
      <c r="G1424" s="30" t="str">
        <f aca="false">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ustomFormat="false" ht="15" hidden="false" customHeight="false" outlineLevel="0" collapsed="false">
      <c r="A1425" s="11"/>
      <c r="D1425" s="10"/>
      <c r="E1425" s="12"/>
      <c r="G1425" s="30" t="str">
        <f aca="false">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ustomFormat="false" ht="15" hidden="false" customHeight="false" outlineLevel="0" collapsed="false">
      <c r="A1426" s="11"/>
      <c r="D1426" s="10"/>
      <c r="E1426" s="12"/>
      <c r="G1426" s="30" t="str">
        <f aca="false">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ustomFormat="false" ht="15" hidden="false" customHeight="false" outlineLevel="0" collapsed="false">
      <c r="A1427" s="11"/>
      <c r="D1427" s="10"/>
      <c r="E1427" s="12"/>
      <c r="G1427" s="30" t="str">
        <f aca="false">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ustomFormat="false" ht="15" hidden="false" customHeight="false" outlineLevel="0" collapsed="false">
      <c r="A1428" s="11"/>
      <c r="D1428" s="10"/>
      <c r="E1428" s="12"/>
      <c r="G1428" s="30" t="str">
        <f aca="false">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ustomFormat="false" ht="15" hidden="false" customHeight="false" outlineLevel="0" collapsed="false">
      <c r="A1429" s="11"/>
      <c r="D1429" s="10"/>
      <c r="E1429" s="12"/>
      <c r="G1429" s="30" t="str">
        <f aca="false">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ustomFormat="false" ht="15" hidden="false" customHeight="false" outlineLevel="0" collapsed="false">
      <c r="A1430" s="11"/>
      <c r="D1430" s="10"/>
      <c r="E1430" s="12"/>
      <c r="G1430" s="30" t="str">
        <f aca="false">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ustomFormat="false" ht="15" hidden="false" customHeight="false" outlineLevel="0" collapsed="false">
      <c r="A1431" s="11"/>
      <c r="D1431" s="10"/>
      <c r="E1431" s="12"/>
      <c r="G1431" s="30" t="str">
        <f aca="false">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ustomFormat="false" ht="15" hidden="false" customHeight="false" outlineLevel="0" collapsed="false">
      <c r="A1432" s="11"/>
      <c r="D1432" s="10"/>
      <c r="E1432" s="12"/>
      <c r="G1432" s="30" t="str">
        <f aca="false">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ustomFormat="false" ht="15" hidden="false" customHeight="false" outlineLevel="0" collapsed="false">
      <c r="A1433" s="11"/>
      <c r="D1433" s="10"/>
      <c r="E1433" s="12"/>
      <c r="G1433" s="30" t="str">
        <f aca="false">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ustomFormat="false" ht="15" hidden="false" customHeight="false" outlineLevel="0" collapsed="false">
      <c r="A1434" s="11"/>
      <c r="D1434" s="10"/>
      <c r="E1434" s="12"/>
      <c r="G1434" s="30" t="str">
        <f aca="false">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ustomFormat="false" ht="15" hidden="false" customHeight="false" outlineLevel="0" collapsed="false">
      <c r="A1435" s="11"/>
      <c r="D1435" s="10"/>
      <c r="E1435" s="12"/>
      <c r="G1435" s="30" t="str">
        <f aca="false">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ustomFormat="false" ht="15" hidden="false" customHeight="false" outlineLevel="0" collapsed="false">
      <c r="A1436" s="11"/>
      <c r="D1436" s="10"/>
      <c r="E1436" s="12"/>
      <c r="G1436" s="30" t="str">
        <f aca="false">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ustomFormat="false" ht="15" hidden="false" customHeight="false" outlineLevel="0" collapsed="false">
      <c r="A1437" s="11"/>
      <c r="D1437" s="10"/>
      <c r="E1437" s="12"/>
      <c r="G1437" s="30" t="str">
        <f aca="false">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ustomFormat="false" ht="15" hidden="false" customHeight="false" outlineLevel="0" collapsed="false">
      <c r="A1438" s="11"/>
      <c r="D1438" s="10"/>
      <c r="E1438" s="12"/>
      <c r="G1438" s="30" t="str">
        <f aca="false">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ustomFormat="false" ht="15" hidden="false" customHeight="false" outlineLevel="0" collapsed="false">
      <c r="A1439" s="11"/>
      <c r="D1439" s="10"/>
      <c r="E1439" s="12"/>
      <c r="G1439" s="30" t="str">
        <f aca="false">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ustomFormat="false" ht="15" hidden="false" customHeight="false" outlineLevel="0" collapsed="false">
      <c r="A1440" s="11"/>
      <c r="D1440" s="10"/>
      <c r="E1440" s="12"/>
      <c r="G1440" s="30" t="str">
        <f aca="false">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ustomFormat="false" ht="15" hidden="false" customHeight="false" outlineLevel="0" collapsed="false">
      <c r="A1441" s="11"/>
      <c r="D1441" s="10"/>
      <c r="E1441" s="12"/>
      <c r="G1441" s="30" t="str">
        <f aca="false">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ustomFormat="false" ht="15" hidden="false" customHeight="false" outlineLevel="0" collapsed="false">
      <c r="A1442" s="11"/>
      <c r="D1442" s="10"/>
      <c r="E1442" s="12"/>
      <c r="G1442" s="30" t="str">
        <f aca="false">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ustomFormat="false" ht="15" hidden="false" customHeight="false" outlineLevel="0" collapsed="false">
      <c r="A1443" s="11"/>
      <c r="D1443" s="10"/>
      <c r="E1443" s="12"/>
      <c r="G1443" s="30" t="str">
        <f aca="false">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ustomFormat="false" ht="15" hidden="false" customHeight="false" outlineLevel="0" collapsed="false">
      <c r="A1444" s="11"/>
      <c r="D1444" s="10"/>
      <c r="E1444" s="12"/>
      <c r="G1444" s="30" t="str">
        <f aca="false">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ustomFormat="false" ht="15" hidden="false" customHeight="false" outlineLevel="0" collapsed="false">
      <c r="A1445" s="11"/>
      <c r="D1445" s="10"/>
      <c r="E1445" s="12"/>
      <c r="G1445" s="30" t="str">
        <f aca="false">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ustomFormat="false" ht="15" hidden="false" customHeight="false" outlineLevel="0" collapsed="false">
      <c r="A1446" s="11"/>
      <c r="D1446" s="10"/>
      <c r="E1446" s="12"/>
      <c r="G1446" s="30" t="str">
        <f aca="false">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ustomFormat="false" ht="15" hidden="false" customHeight="false" outlineLevel="0" collapsed="false">
      <c r="A1447" s="11"/>
      <c r="D1447" s="10"/>
      <c r="E1447" s="12"/>
      <c r="G1447" s="30" t="str">
        <f aca="false">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ustomFormat="false" ht="15" hidden="false" customHeight="false" outlineLevel="0" collapsed="false">
      <c r="A1448" s="11"/>
      <c r="D1448" s="10"/>
      <c r="E1448" s="12"/>
      <c r="G1448" s="30" t="str">
        <f aca="false">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ustomFormat="false" ht="15" hidden="false" customHeight="false" outlineLevel="0" collapsed="false">
      <c r="A1449" s="11"/>
      <c r="D1449" s="10"/>
      <c r="E1449" s="12"/>
      <c r="G1449" s="30" t="str">
        <f aca="false">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ustomFormat="false" ht="15" hidden="false" customHeight="false" outlineLevel="0" collapsed="false">
      <c r="A1450" s="11"/>
      <c r="D1450" s="10"/>
      <c r="E1450" s="12"/>
      <c r="G1450" s="30" t="str">
        <f aca="false">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ustomFormat="false" ht="15" hidden="false" customHeight="false" outlineLevel="0" collapsed="false">
      <c r="A1451" s="11"/>
      <c r="D1451" s="10"/>
      <c r="E1451" s="12"/>
      <c r="G1451" s="30" t="str">
        <f aca="false">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ustomFormat="false" ht="15" hidden="false" customHeight="false" outlineLevel="0" collapsed="false">
      <c r="A1452" s="11"/>
      <c r="D1452" s="10"/>
      <c r="E1452" s="12"/>
      <c r="G1452" s="30" t="str">
        <f aca="false">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ustomFormat="false" ht="15" hidden="false" customHeight="false" outlineLevel="0" collapsed="false">
      <c r="A1453" s="11"/>
      <c r="D1453" s="10"/>
      <c r="E1453" s="12"/>
      <c r="G1453" s="30" t="str">
        <f aca="false">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ustomFormat="false" ht="15" hidden="false" customHeight="false" outlineLevel="0" collapsed="false">
      <c r="A1454" s="11"/>
      <c r="D1454" s="10"/>
      <c r="E1454" s="12"/>
      <c r="G1454" s="30" t="str">
        <f aca="false">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ustomFormat="false" ht="15" hidden="false" customHeight="false" outlineLevel="0" collapsed="false">
      <c r="A1455" s="11"/>
      <c r="D1455" s="10"/>
      <c r="E1455" s="12"/>
      <c r="G1455" s="30" t="str">
        <f aca="false">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ustomFormat="false" ht="15" hidden="false" customHeight="false" outlineLevel="0" collapsed="false">
      <c r="A1456" s="11"/>
      <c r="D1456" s="10"/>
      <c r="E1456" s="12"/>
      <c r="G1456" s="30" t="str">
        <f aca="false">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ustomFormat="false" ht="15" hidden="false" customHeight="false" outlineLevel="0" collapsed="false">
      <c r="A1457" s="11"/>
      <c r="D1457" s="10"/>
      <c r="E1457" s="12"/>
      <c r="G1457" s="30" t="str">
        <f aca="false">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ustomFormat="false" ht="15" hidden="false" customHeight="false" outlineLevel="0" collapsed="false">
      <c r="A1458" s="11"/>
      <c r="D1458" s="10"/>
      <c r="E1458" s="12"/>
      <c r="G1458" s="30" t="str">
        <f aca="false">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ustomFormat="false" ht="15" hidden="false" customHeight="false" outlineLevel="0" collapsed="false">
      <c r="A1459" s="11"/>
      <c r="D1459" s="10"/>
      <c r="E1459" s="12"/>
      <c r="G1459" s="30" t="str">
        <f aca="false">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ustomFormat="false" ht="15" hidden="false" customHeight="false" outlineLevel="0" collapsed="false">
      <c r="A1460" s="11"/>
      <c r="D1460" s="10"/>
      <c r="E1460" s="12"/>
      <c r="G1460" s="30" t="str">
        <f aca="false">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ustomFormat="false" ht="15" hidden="false" customHeight="false" outlineLevel="0" collapsed="false">
      <c r="A1461" s="11"/>
      <c r="D1461" s="10"/>
      <c r="E1461" s="12"/>
      <c r="G1461" s="30" t="str">
        <f aca="false">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ustomFormat="false" ht="15" hidden="false" customHeight="false" outlineLevel="0" collapsed="false">
      <c r="A1462" s="11"/>
      <c r="D1462" s="10"/>
      <c r="E1462" s="12"/>
      <c r="G1462" s="30" t="str">
        <f aca="false">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ustomFormat="false" ht="15" hidden="false" customHeight="false" outlineLevel="0" collapsed="false">
      <c r="A1463" s="11"/>
      <c r="D1463" s="10"/>
      <c r="E1463" s="12"/>
      <c r="G1463" s="30" t="str">
        <f aca="false">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ustomFormat="false" ht="15" hidden="false" customHeight="false" outlineLevel="0" collapsed="false">
      <c r="A1464" s="11"/>
      <c r="D1464" s="10"/>
      <c r="E1464" s="12"/>
      <c r="G1464" s="30" t="str">
        <f aca="false">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ustomFormat="false" ht="15" hidden="false" customHeight="false" outlineLevel="0" collapsed="false">
      <c r="A1465" s="11"/>
      <c r="D1465" s="10"/>
      <c r="E1465" s="12"/>
      <c r="G1465" s="30" t="str">
        <f aca="false">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ustomFormat="false" ht="15" hidden="false" customHeight="false" outlineLevel="0" collapsed="false">
      <c r="A1466" s="11"/>
      <c r="D1466" s="10"/>
      <c r="E1466" s="12"/>
      <c r="G1466" s="30" t="str">
        <f aca="false">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ustomFormat="false" ht="15" hidden="false" customHeight="false" outlineLevel="0" collapsed="false">
      <c r="A1467" s="11"/>
      <c r="D1467" s="10"/>
      <c r="E1467" s="12"/>
      <c r="G1467" s="30" t="str">
        <f aca="false">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ustomFormat="false" ht="15" hidden="false" customHeight="false" outlineLevel="0" collapsed="false">
      <c r="A1468" s="11"/>
      <c r="D1468" s="10"/>
      <c r="E1468" s="12"/>
      <c r="G1468" s="30" t="str">
        <f aca="false">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ustomFormat="false" ht="15" hidden="false" customHeight="false" outlineLevel="0" collapsed="false">
      <c r="A1469" s="11"/>
      <c r="D1469" s="10"/>
      <c r="E1469" s="12"/>
      <c r="G1469" s="30" t="str">
        <f aca="false">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ustomFormat="false" ht="15" hidden="false" customHeight="false" outlineLevel="0" collapsed="false">
      <c r="A1470" s="11"/>
      <c r="D1470" s="10"/>
      <c r="E1470" s="12"/>
      <c r="G1470" s="30" t="str">
        <f aca="false">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ustomFormat="false" ht="15" hidden="false" customHeight="false" outlineLevel="0" collapsed="false">
      <c r="A1471" s="11"/>
      <c r="D1471" s="10"/>
      <c r="E1471" s="12"/>
      <c r="G1471" s="30" t="str">
        <f aca="false">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ustomFormat="false" ht="15" hidden="false" customHeight="false" outlineLevel="0" collapsed="false">
      <c r="A1472" s="11"/>
      <c r="D1472" s="10"/>
      <c r="E1472" s="12"/>
      <c r="G1472" s="30" t="str">
        <f aca="false">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ustomFormat="false" ht="15" hidden="false" customHeight="false" outlineLevel="0" collapsed="false">
      <c r="A1473" s="11"/>
      <c r="D1473" s="10"/>
      <c r="E1473" s="12"/>
      <c r="G1473" s="30" t="str">
        <f aca="false">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ustomFormat="false" ht="15" hidden="false" customHeight="false" outlineLevel="0" collapsed="false">
      <c r="A1474" s="11"/>
      <c r="D1474" s="10"/>
      <c r="E1474" s="12"/>
      <c r="G1474" s="30" t="str">
        <f aca="false">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ustomFormat="false" ht="15" hidden="false" customHeight="false" outlineLevel="0" collapsed="false">
      <c r="A1475" s="11"/>
      <c r="D1475" s="10"/>
      <c r="E1475" s="12"/>
      <c r="G1475" s="30" t="str">
        <f aca="false">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ustomFormat="false" ht="15" hidden="false" customHeight="false" outlineLevel="0" collapsed="false">
      <c r="A1476" s="11"/>
      <c r="D1476" s="10"/>
      <c r="E1476" s="12"/>
      <c r="G1476" s="30" t="str">
        <f aca="false">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ustomFormat="false" ht="15" hidden="false" customHeight="false" outlineLevel="0" collapsed="false">
      <c r="A1477" s="11"/>
      <c r="D1477" s="10"/>
      <c r="E1477" s="12"/>
      <c r="G1477" s="30" t="str">
        <f aca="false">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ustomFormat="false" ht="15" hidden="false" customHeight="false" outlineLevel="0" collapsed="false">
      <c r="A1478" s="11"/>
      <c r="D1478" s="10"/>
      <c r="E1478" s="12"/>
      <c r="G1478" s="30" t="str">
        <f aca="false">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ustomFormat="false" ht="15" hidden="false" customHeight="false" outlineLevel="0" collapsed="false">
      <c r="A1479" s="11"/>
      <c r="D1479" s="10"/>
      <c r="E1479" s="12"/>
      <c r="G1479" s="30" t="str">
        <f aca="false">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ustomFormat="false" ht="15" hidden="false" customHeight="false" outlineLevel="0" collapsed="false">
      <c r="A1480" s="11"/>
      <c r="D1480" s="10"/>
      <c r="E1480" s="12"/>
      <c r="G1480" s="30" t="str">
        <f aca="false">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ustomFormat="false" ht="15" hidden="false" customHeight="false" outlineLevel="0" collapsed="false">
      <c r="A1481" s="11"/>
      <c r="D1481" s="10"/>
      <c r="E1481" s="12"/>
      <c r="G1481" s="30" t="str">
        <f aca="false">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ustomFormat="false" ht="15" hidden="false" customHeight="false" outlineLevel="0" collapsed="false">
      <c r="A1482" s="11"/>
      <c r="D1482" s="10"/>
      <c r="E1482" s="12"/>
      <c r="G1482" s="30" t="str">
        <f aca="false">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ustomFormat="false" ht="15" hidden="false" customHeight="false" outlineLevel="0" collapsed="false">
      <c r="A1483" s="11"/>
      <c r="D1483" s="10"/>
      <c r="E1483" s="12"/>
      <c r="G1483" s="30" t="str">
        <f aca="false">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ustomFormat="false" ht="15" hidden="false" customHeight="false" outlineLevel="0" collapsed="false">
      <c r="A1484" s="11"/>
      <c r="D1484" s="10"/>
      <c r="E1484" s="12"/>
      <c r="G1484" s="30" t="str">
        <f aca="false">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ustomFormat="false" ht="15" hidden="false" customHeight="false" outlineLevel="0" collapsed="false">
      <c r="A1485" s="11"/>
      <c r="D1485" s="10"/>
      <c r="E1485" s="12"/>
      <c r="G1485" s="30" t="str">
        <f aca="false">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ustomFormat="false" ht="15" hidden="false" customHeight="false" outlineLevel="0" collapsed="false">
      <c r="A1486" s="11"/>
      <c r="D1486" s="10"/>
      <c r="E1486" s="12"/>
      <c r="G1486" s="30" t="str">
        <f aca="false">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ustomFormat="false" ht="15" hidden="false" customHeight="false" outlineLevel="0" collapsed="false">
      <c r="A1487" s="11"/>
      <c r="D1487" s="10"/>
      <c r="E1487" s="12"/>
      <c r="G1487" s="30" t="str">
        <f aca="false">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ustomFormat="false" ht="15" hidden="false" customHeight="false" outlineLevel="0" collapsed="false">
      <c r="A1488" s="11"/>
      <c r="D1488" s="10"/>
      <c r="E1488" s="12"/>
      <c r="G1488" s="30" t="str">
        <f aca="false">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ustomFormat="false" ht="15" hidden="false" customHeight="false" outlineLevel="0" collapsed="false">
      <c r="A1489" s="11"/>
      <c r="D1489" s="10"/>
      <c r="E1489" s="12"/>
      <c r="G1489" s="30" t="str">
        <f aca="false">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ustomFormat="false" ht="15" hidden="false" customHeight="false" outlineLevel="0" collapsed="false">
      <c r="A1490" s="11"/>
      <c r="D1490" s="10"/>
      <c r="E1490" s="12"/>
      <c r="G1490" s="30" t="str">
        <f aca="false">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ustomFormat="false" ht="15" hidden="false" customHeight="false" outlineLevel="0" collapsed="false">
      <c r="A1491" s="11"/>
      <c r="D1491" s="10"/>
      <c r="E1491" s="12"/>
      <c r="G1491" s="30" t="str">
        <f aca="false">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ustomFormat="false" ht="15" hidden="false" customHeight="false" outlineLevel="0" collapsed="false">
      <c r="A1492" s="11"/>
      <c r="D1492" s="10"/>
      <c r="E1492" s="12"/>
      <c r="G1492" s="30" t="str">
        <f aca="false">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ustomFormat="false" ht="15" hidden="false" customHeight="false" outlineLevel="0" collapsed="false">
      <c r="A1493" s="11"/>
      <c r="D1493" s="10"/>
      <c r="E1493" s="12"/>
      <c r="G1493" s="30" t="str">
        <f aca="false">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ustomFormat="false" ht="15" hidden="false" customHeight="false" outlineLevel="0" collapsed="false">
      <c r="A1494" s="11"/>
      <c r="D1494" s="10"/>
      <c r="E1494" s="12"/>
      <c r="G1494" s="30" t="str">
        <f aca="false">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ustomFormat="false" ht="15" hidden="false" customHeight="false" outlineLevel="0" collapsed="false">
      <c r="A1495" s="11"/>
      <c r="D1495" s="10"/>
      <c r="E1495" s="12"/>
      <c r="G1495" s="30" t="str">
        <f aca="false">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ustomFormat="false" ht="15" hidden="false" customHeight="false" outlineLevel="0" collapsed="false">
      <c r="A1496" s="11"/>
      <c r="D1496" s="10"/>
      <c r="E1496" s="12"/>
      <c r="G1496" s="30" t="str">
        <f aca="false">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ustomFormat="false" ht="15" hidden="false" customHeight="false" outlineLevel="0" collapsed="false">
      <c r="A1497" s="11"/>
      <c r="D1497" s="10"/>
      <c r="E1497" s="12"/>
      <c r="G1497" s="30" t="str">
        <f aca="false">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ustomFormat="false" ht="15" hidden="false" customHeight="false" outlineLevel="0" collapsed="false">
      <c r="A1498" s="11"/>
      <c r="D1498" s="10"/>
      <c r="E1498" s="12"/>
      <c r="G1498" s="30" t="str">
        <f aca="false">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ustomFormat="false" ht="15" hidden="false" customHeight="false" outlineLevel="0" collapsed="false">
      <c r="A1499" s="11"/>
      <c r="D1499" s="10"/>
      <c r="E1499" s="12"/>
      <c r="G1499" s="30" t="str">
        <f aca="false">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ustomFormat="false" ht="15" hidden="false" customHeight="false" outlineLevel="0" collapsed="false">
      <c r="A1500" s="11"/>
      <c r="D1500" s="10"/>
      <c r="E1500" s="12"/>
      <c r="G1500" s="30" t="str">
        <f aca="false">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ustomFormat="false" ht="15" hidden="false" customHeight="false" outlineLevel="0" collapsed="false">
      <c r="A1501" s="11"/>
      <c r="D1501" s="10"/>
      <c r="E1501" s="12"/>
      <c r="G1501" s="30" t="str">
        <f aca="false">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2" aboveAverage="0" equalAverage="0" bottom="0" percent="0" rank="0" text="" dxfId="1">
      <formula>LEN(G2)&gt;0</formula>
    </cfRule>
  </conditionalFormatting>
  <dataValidations count="1">
    <dataValidation allowBlank="true" error="Pick a value from the list." errorStyle="stop" errorTitle="Not on the list" operator="between" showDropDown="false" showErrorMessage="true" showInputMessage="false" sqref="D2:D1501" type="list">
      <formula1>"brand_sales,office_coordination,receiving_kitting,drop_day,checks_pickup,reporting_debriefs,admin_invoicing"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I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 min="1" style="0" width="14"/>
    <col collapsed="false" customWidth="true" hidden="false" outlineLevel="0" max="6" min="6" style="0" width="16"/>
    <col collapsed="false" customWidth="true" hidden="false" outlineLevel="0" max="7" min="7" style="0" width="20"/>
    <col collapsed="false" customWidth="true" hidden="false" outlineLevel="0" max="9" min="8" style="0" width="24"/>
  </cols>
  <sheetData>
    <row r="1" customFormat="false" ht="15" hidden="false" customHeight="false" outlineLevel="0" collapsed="false">
      <c r="A1" s="28" t="s">
        <v>77</v>
      </c>
      <c r="B1" s="28" t="s">
        <v>299</v>
      </c>
      <c r="C1" s="28" t="s">
        <v>358</v>
      </c>
      <c r="D1" s="28" t="s">
        <v>1343</v>
      </c>
      <c r="E1" s="28" t="s">
        <v>1344</v>
      </c>
      <c r="F1" s="28" t="s">
        <v>1345</v>
      </c>
      <c r="G1" s="28" t="s">
        <v>1346</v>
      </c>
      <c r="H1" s="28" t="s">
        <v>178</v>
      </c>
      <c r="I1" s="29" t="s">
        <v>120</v>
      </c>
    </row>
    <row r="2" customFormat="false" ht="15" hidden="false" customHeight="false" outlineLevel="0" collapsed="false">
      <c r="A2" s="11" t="n">
        <v>46394</v>
      </c>
      <c r="B2" s="10" t="s">
        <v>337</v>
      </c>
      <c r="C2" s="10" t="s">
        <v>472</v>
      </c>
      <c r="D2" s="10" t="s">
        <v>1347</v>
      </c>
      <c r="E2" s="12" t="n">
        <v>40</v>
      </c>
      <c r="F2" s="10" t="s">
        <v>1348</v>
      </c>
      <c r="H2" s="10" t="s">
        <v>1349</v>
      </c>
      <c r="I2" s="30" t="str">
        <f aca="false">IF($A2="","",IF(COUNTIF(drops!$A$2:$A$21,$B2)=0,"drop_id not on drops; ","")&amp;IF(N($E2)&lt;=0,"amount?; ","")&amp;IF($D2="","cost type?; ",""))</f>
        <v/>
      </c>
    </row>
    <row r="3" customFormat="false" ht="15" hidden="false" customHeight="false" outlineLevel="0" collapsed="false">
      <c r="A3" s="11" t="n">
        <v>46394</v>
      </c>
      <c r="B3" s="10" t="s">
        <v>337</v>
      </c>
      <c r="C3" s="10" t="s">
        <v>498</v>
      </c>
      <c r="D3" s="10" t="s">
        <v>1347</v>
      </c>
      <c r="E3" s="12" t="n">
        <v>40</v>
      </c>
      <c r="F3" s="10" t="s">
        <v>1348</v>
      </c>
      <c r="H3" s="10" t="s">
        <v>1349</v>
      </c>
      <c r="I3" s="30" t="str">
        <f aca="false">IF($A3="","",IF(COUNTIF(drops!$A$2:$A$21,$B3)=0,"drop_id not on drops; ","")&amp;IF(N($E3)&lt;=0,"amount?; ","")&amp;IF($D3="","cost type?; ",""))</f>
        <v/>
      </c>
    </row>
    <row r="4" customFormat="false" ht="15" hidden="false" customHeight="false" outlineLevel="0" collapsed="false">
      <c r="A4" s="11" t="n">
        <v>46399</v>
      </c>
      <c r="B4" s="10" t="s">
        <v>337</v>
      </c>
      <c r="D4" s="10" t="s">
        <v>1350</v>
      </c>
      <c r="E4" s="12" t="n">
        <v>34</v>
      </c>
      <c r="F4" s="10" t="s">
        <v>1351</v>
      </c>
      <c r="H4" s="10" t="s">
        <v>1352</v>
      </c>
      <c r="I4" s="30" t="str">
        <f aca="false">IF($A4="","",IF(COUNTIF(drops!$A$2:$A$21,$B4)=0,"drop_id not on drops; ","")&amp;IF(N($E4)&lt;=0,"amount?; ","")&amp;IF($D4="","cost type?; ",""))</f>
        <v/>
      </c>
    </row>
    <row r="5" customFormat="false" ht="15" hidden="false" customHeight="false" outlineLevel="0" collapsed="false">
      <c r="A5" s="11" t="n">
        <v>46399</v>
      </c>
      <c r="B5" s="10" t="s">
        <v>337</v>
      </c>
      <c r="D5" s="10" t="s">
        <v>1350</v>
      </c>
      <c r="E5" s="12" t="n">
        <v>29</v>
      </c>
      <c r="F5" s="10" t="s">
        <v>1351</v>
      </c>
      <c r="H5" s="10" t="s">
        <v>1353</v>
      </c>
      <c r="I5" s="30" t="str">
        <f aca="false">IF($A5="","",IF(COUNTIF(drops!$A$2:$A$21,$B5)=0,"drop_id not on drops; ","")&amp;IF(N($E5)&lt;=0,"amount?; ","")&amp;IF($D5="","cost type?; ",""))</f>
        <v/>
      </c>
    </row>
    <row r="6" customFormat="false" ht="15" hidden="false" customHeight="false" outlineLevel="0" collapsed="false">
      <c r="A6" s="11" t="n">
        <v>46394</v>
      </c>
      <c r="B6" s="10" t="s">
        <v>337</v>
      </c>
      <c r="D6" s="10" t="s">
        <v>1354</v>
      </c>
      <c r="E6" s="12" t="n">
        <v>9</v>
      </c>
      <c r="F6" s="10" t="s">
        <v>1355</v>
      </c>
      <c r="H6" s="10" t="s">
        <v>1356</v>
      </c>
      <c r="I6" s="30" t="str">
        <f aca="false">IF($A6="","",IF(COUNTIF(drops!$A$2:$A$21,$B6)=0,"drop_id not on drops; ","")&amp;IF(N($E6)&lt;=0,"amount?; ","")&amp;IF($D6="","cost type?; ",""))</f>
        <v/>
      </c>
    </row>
    <row r="7" customFormat="false" ht="15" hidden="false" customHeight="false" outlineLevel="0" collapsed="false">
      <c r="A7" s="11" t="n">
        <v>46422</v>
      </c>
      <c r="B7" s="10" t="s">
        <v>344</v>
      </c>
      <c r="C7" s="10" t="s">
        <v>516</v>
      </c>
      <c r="D7" s="10" t="s">
        <v>1347</v>
      </c>
      <c r="E7" s="12" t="n">
        <v>80</v>
      </c>
      <c r="F7" s="10" t="s">
        <v>1348</v>
      </c>
      <c r="I7" s="30" t="str">
        <f aca="false">IF($A7="","",IF(COUNTIF(drops!$A$2:$A$21,$B7)=0,"drop_id not on drops; ","")&amp;IF(N($E7)&lt;=0,"amount?; ","")&amp;IF($D7="","cost type?; ",""))</f>
        <v/>
      </c>
    </row>
    <row r="8" customFormat="false" ht="15" hidden="false" customHeight="false" outlineLevel="0" collapsed="false">
      <c r="A8" s="11" t="n">
        <v>46422</v>
      </c>
      <c r="B8" s="10" t="s">
        <v>344</v>
      </c>
      <c r="C8" s="10" t="s">
        <v>532</v>
      </c>
      <c r="D8" s="10" t="s">
        <v>1347</v>
      </c>
      <c r="E8" s="12" t="n">
        <v>72</v>
      </c>
      <c r="F8" s="10" t="s">
        <v>1348</v>
      </c>
      <c r="I8" s="30" t="str">
        <f aca="false">IF($A8="","",IF(COUNTIF(drops!$A$2:$A$21,$B8)=0,"drop_id not on drops; ","")&amp;IF(N($E8)&lt;=0,"amount?; ","")&amp;IF($D8="","cost type?; ",""))</f>
        <v/>
      </c>
    </row>
    <row r="9" customFormat="false" ht="15" hidden="false" customHeight="false" outlineLevel="0" collapsed="false">
      <c r="A9" s="11" t="n">
        <v>46422</v>
      </c>
      <c r="B9" s="10" t="s">
        <v>344</v>
      </c>
      <c r="C9" s="10" t="s">
        <v>549</v>
      </c>
      <c r="D9" s="10" t="s">
        <v>1347</v>
      </c>
      <c r="E9" s="12" t="n">
        <v>80</v>
      </c>
      <c r="F9" s="10" t="s">
        <v>1348</v>
      </c>
      <c r="I9" s="30" t="str">
        <f aca="false">IF($A9="","",IF(COUNTIF(drops!$A$2:$A$21,$B9)=0,"drop_id not on drops; ","")&amp;IF(N($E9)&lt;=0,"amount?; ","")&amp;IF($D9="","cost type?; ",""))</f>
        <v/>
      </c>
    </row>
    <row r="10" customFormat="false" ht="15" hidden="false" customHeight="false" outlineLevel="0" collapsed="false">
      <c r="A10" s="11" t="n">
        <v>46427</v>
      </c>
      <c r="B10" s="10" t="s">
        <v>344</v>
      </c>
      <c r="D10" s="10" t="s">
        <v>1350</v>
      </c>
      <c r="E10" s="12" t="n">
        <v>320</v>
      </c>
      <c r="F10" s="10" t="s">
        <v>1357</v>
      </c>
      <c r="H10" s="10" t="s">
        <v>1358</v>
      </c>
      <c r="I10" s="30" t="str">
        <f aca="false">IF($A10="","",IF(COUNTIF(drops!$A$2:$A$21,$B10)=0,"drop_id not on drops; ","")&amp;IF(N($E10)&lt;=0,"amount?; ","")&amp;IF($D10="","cost type?; ",""))</f>
        <v/>
      </c>
    </row>
    <row r="11" customFormat="false" ht="15" hidden="false" customHeight="false" outlineLevel="0" collapsed="false">
      <c r="A11" s="11" t="n">
        <v>46427</v>
      </c>
      <c r="B11" s="10" t="s">
        <v>344</v>
      </c>
      <c r="D11" s="10" t="s">
        <v>1350</v>
      </c>
      <c r="E11" s="12" t="n">
        <v>38</v>
      </c>
      <c r="F11" s="10" t="s">
        <v>1351</v>
      </c>
      <c r="H11" s="10" t="s">
        <v>1359</v>
      </c>
      <c r="I11" s="30" t="str">
        <f aca="false">IF($A11="","",IF(COUNTIF(drops!$A$2:$A$21,$B11)=0,"drop_id not on drops; ","")&amp;IF(N($E11)&lt;=0,"amount?; ","")&amp;IF($D11="","cost type?; ",""))</f>
        <v/>
      </c>
    </row>
    <row r="12" customFormat="false" ht="15" hidden="false" customHeight="false" outlineLevel="0" collapsed="false">
      <c r="A12" s="11" t="n">
        <v>46436</v>
      </c>
      <c r="B12" s="10" t="s">
        <v>349</v>
      </c>
      <c r="C12" s="10" t="s">
        <v>563</v>
      </c>
      <c r="D12" s="10" t="s">
        <v>1347</v>
      </c>
      <c r="E12" s="12" t="n">
        <v>80</v>
      </c>
      <c r="F12" s="10" t="s">
        <v>1348</v>
      </c>
      <c r="I12" s="30" t="str">
        <f aca="false">IF($A12="","",IF(COUNTIF(drops!$A$2:$A$21,$B12)=0,"drop_id not on drops; ","")&amp;IF(N($E12)&lt;=0,"amount?; ","")&amp;IF($D12="","cost type?; ",""))</f>
        <v/>
      </c>
    </row>
    <row r="13" customFormat="false" ht="15" hidden="false" customHeight="false" outlineLevel="0" collapsed="false">
      <c r="A13" s="11" t="n">
        <v>46441</v>
      </c>
      <c r="B13" s="10" t="s">
        <v>349</v>
      </c>
      <c r="D13" s="10" t="s">
        <v>1350</v>
      </c>
      <c r="E13" s="12" t="n">
        <v>300</v>
      </c>
      <c r="F13" s="10" t="s">
        <v>1357</v>
      </c>
      <c r="H13" s="10" t="s">
        <v>1360</v>
      </c>
      <c r="I13" s="30" t="str">
        <f aca="false">IF($A13="","",IF(COUNTIF(drops!$A$2:$A$21,$B13)=0,"drop_id not on drops; ","")&amp;IF(N($E13)&lt;=0,"amount?; ","")&amp;IF($D13="","cost type?; ",""))</f>
        <v/>
      </c>
    </row>
    <row r="14" customFormat="false" ht="15" hidden="false" customHeight="false" outlineLevel="0" collapsed="false">
      <c r="A14" s="11" t="n">
        <v>46464</v>
      </c>
      <c r="B14" s="10" t="s">
        <v>353</v>
      </c>
      <c r="C14" s="10" t="s">
        <v>576</v>
      </c>
      <c r="D14" s="10" t="s">
        <v>1347</v>
      </c>
      <c r="E14" s="12" t="n">
        <v>80</v>
      </c>
      <c r="F14" s="10" t="s">
        <v>1348</v>
      </c>
      <c r="I14" s="30" t="str">
        <f aca="false">IF($A14="","",IF(COUNTIF(drops!$A$2:$A$21,$B14)=0,"drop_id not on drops; ","")&amp;IF(N($E14)&lt;=0,"amount?; ","")&amp;IF($D14="","cost type?; ",""))</f>
        <v/>
      </c>
    </row>
    <row r="15" customFormat="false" ht="15" hidden="false" customHeight="false" outlineLevel="0" collapsed="false">
      <c r="A15" s="11" t="n">
        <v>46464</v>
      </c>
      <c r="B15" s="10" t="s">
        <v>353</v>
      </c>
      <c r="C15" s="10" t="s">
        <v>584</v>
      </c>
      <c r="D15" s="10" t="s">
        <v>1347</v>
      </c>
      <c r="E15" s="12" t="n">
        <v>80</v>
      </c>
      <c r="F15" s="10" t="s">
        <v>1348</v>
      </c>
      <c r="I15" s="30" t="str">
        <f aca="false">IF($A15="","",IF(COUNTIF(drops!$A$2:$A$21,$B15)=0,"drop_id not on drops; ","")&amp;IF(N($E15)&lt;=0,"amount?; ","")&amp;IF($D15="","cost type?; ",""))</f>
        <v/>
      </c>
    </row>
    <row r="16" customFormat="false" ht="15" hidden="false" customHeight="false" outlineLevel="0" collapsed="false">
      <c r="A16" s="11" t="n">
        <v>46464</v>
      </c>
      <c r="B16" s="10" t="s">
        <v>353</v>
      </c>
      <c r="D16" s="10" t="s">
        <v>1354</v>
      </c>
      <c r="E16" s="12" t="n">
        <v>45</v>
      </c>
      <c r="F16" s="10" t="s">
        <v>1361</v>
      </c>
      <c r="H16" s="10" t="s">
        <v>1362</v>
      </c>
      <c r="I16" s="30" t="str">
        <f aca="false">IF($A16="","",IF(COUNTIF(drops!$A$2:$A$21,$B16)=0,"drop_id not on drops; ","")&amp;IF(N($E16)&lt;=0,"amount?; ","")&amp;IF($D16="","cost type?; ",""))</f>
        <v/>
      </c>
    </row>
    <row r="17" customFormat="false" ht="15" hidden="false" customHeight="false" outlineLevel="0" collapsed="false">
      <c r="A17" s="11"/>
      <c r="D17" s="10"/>
      <c r="E17" s="12"/>
      <c r="I17" s="30" t="str">
        <f aca="false">IF($A17="","",IF(COUNTIF(drops!$A$2:$A$21,$B17)=0,"drop_id not on drops; ","")&amp;IF(N($E17)&lt;=0,"amount?; ","")&amp;IF($D17="","cost type?; ",""))</f>
        <v/>
      </c>
    </row>
    <row r="18" customFormat="false" ht="15" hidden="false" customHeight="false" outlineLevel="0" collapsed="false">
      <c r="A18" s="11"/>
      <c r="D18" s="10"/>
      <c r="E18" s="12"/>
      <c r="I18" s="30" t="str">
        <f aca="false">IF($A18="","",IF(COUNTIF(drops!$A$2:$A$21,$B18)=0,"drop_id not on drops; ","")&amp;IF(N($E18)&lt;=0,"amount?; ","")&amp;IF($D18="","cost type?; ",""))</f>
        <v/>
      </c>
    </row>
    <row r="19" customFormat="false" ht="15" hidden="false" customHeight="false" outlineLevel="0" collapsed="false">
      <c r="A19" s="11"/>
      <c r="D19" s="10"/>
      <c r="E19" s="12"/>
      <c r="I19" s="30" t="str">
        <f aca="false">IF($A19="","",IF(COUNTIF(drops!$A$2:$A$21,$B19)=0,"drop_id not on drops; ","")&amp;IF(N($E19)&lt;=0,"amount?; ","")&amp;IF($D19="","cost type?; ",""))</f>
        <v/>
      </c>
    </row>
    <row r="20" customFormat="false" ht="15" hidden="false" customHeight="false" outlineLevel="0" collapsed="false">
      <c r="A20" s="11"/>
      <c r="D20" s="10"/>
      <c r="E20" s="12"/>
      <c r="I20" s="30" t="str">
        <f aca="false">IF($A20="","",IF(COUNTIF(drops!$A$2:$A$21,$B20)=0,"drop_id not on drops; ","")&amp;IF(N($E20)&lt;=0,"amount?; ","")&amp;IF($D20="","cost type?; ",""))</f>
        <v/>
      </c>
    </row>
    <row r="21" customFormat="false" ht="15" hidden="false" customHeight="false" outlineLevel="0" collapsed="false">
      <c r="A21" s="11"/>
      <c r="D21" s="10"/>
      <c r="E21" s="12"/>
      <c r="I21" s="30" t="str">
        <f aca="false">IF($A21="","",IF(COUNTIF(drops!$A$2:$A$21,$B21)=0,"drop_id not on drops; ","")&amp;IF(N($E21)&lt;=0,"amount?; ","")&amp;IF($D21="","cost type?; ",""))</f>
        <v/>
      </c>
    </row>
    <row r="22" customFormat="false" ht="15" hidden="false" customHeight="false" outlineLevel="0" collapsed="false">
      <c r="A22" s="11"/>
      <c r="D22" s="10"/>
      <c r="E22" s="12"/>
      <c r="I22" s="30" t="str">
        <f aca="false">IF($A22="","",IF(COUNTIF(drops!$A$2:$A$21,$B22)=0,"drop_id not on drops; ","")&amp;IF(N($E22)&lt;=0,"amount?; ","")&amp;IF($D22="","cost type?; ",""))</f>
        <v/>
      </c>
    </row>
    <row r="23" customFormat="false" ht="15" hidden="false" customHeight="false" outlineLevel="0" collapsed="false">
      <c r="A23" s="11"/>
      <c r="D23" s="10"/>
      <c r="E23" s="12"/>
      <c r="I23" s="30" t="str">
        <f aca="false">IF($A23="","",IF(COUNTIF(drops!$A$2:$A$21,$B23)=0,"drop_id not on drops; ","")&amp;IF(N($E23)&lt;=0,"amount?; ","")&amp;IF($D23="","cost type?; ",""))</f>
        <v/>
      </c>
    </row>
    <row r="24" customFormat="false" ht="15" hidden="false" customHeight="false" outlineLevel="0" collapsed="false">
      <c r="A24" s="11"/>
      <c r="D24" s="10"/>
      <c r="E24" s="12"/>
      <c r="I24" s="30" t="str">
        <f aca="false">IF($A24="","",IF(COUNTIF(drops!$A$2:$A$21,$B24)=0,"drop_id not on drops; ","")&amp;IF(N($E24)&lt;=0,"amount?; ","")&amp;IF($D24="","cost type?; ",""))</f>
        <v/>
      </c>
    </row>
    <row r="25" customFormat="false" ht="15" hidden="false" customHeight="false" outlineLevel="0" collapsed="false">
      <c r="A25" s="11"/>
      <c r="D25" s="10"/>
      <c r="E25" s="12"/>
      <c r="I25" s="30" t="str">
        <f aca="false">IF($A25="","",IF(COUNTIF(drops!$A$2:$A$21,$B25)=0,"drop_id not on drops; ","")&amp;IF(N($E25)&lt;=0,"amount?; ","")&amp;IF($D25="","cost type?; ",""))</f>
        <v/>
      </c>
    </row>
    <row r="26" customFormat="false" ht="15" hidden="false" customHeight="false" outlineLevel="0" collapsed="false">
      <c r="A26" s="11"/>
      <c r="D26" s="10"/>
      <c r="E26" s="12"/>
      <c r="I26" s="30" t="str">
        <f aca="false">IF($A26="","",IF(COUNTIF(drops!$A$2:$A$21,$B26)=0,"drop_id not on drops; ","")&amp;IF(N($E26)&lt;=0,"amount?; ","")&amp;IF($D26="","cost type?; ",""))</f>
        <v/>
      </c>
    </row>
    <row r="27" customFormat="false" ht="15" hidden="false" customHeight="false" outlineLevel="0" collapsed="false">
      <c r="A27" s="11"/>
      <c r="D27" s="10"/>
      <c r="E27" s="12"/>
      <c r="I27" s="30" t="str">
        <f aca="false">IF($A27="","",IF(COUNTIF(drops!$A$2:$A$21,$B27)=0,"drop_id not on drops; ","")&amp;IF(N($E27)&lt;=0,"amount?; ","")&amp;IF($D27="","cost type?; ",""))</f>
        <v/>
      </c>
    </row>
    <row r="28" customFormat="false" ht="15" hidden="false" customHeight="false" outlineLevel="0" collapsed="false">
      <c r="A28" s="11"/>
      <c r="D28" s="10"/>
      <c r="E28" s="12"/>
      <c r="I28" s="30" t="str">
        <f aca="false">IF($A28="","",IF(COUNTIF(drops!$A$2:$A$21,$B28)=0,"drop_id not on drops; ","")&amp;IF(N($E28)&lt;=0,"amount?; ","")&amp;IF($D28="","cost type?; ",""))</f>
        <v/>
      </c>
    </row>
    <row r="29" customFormat="false" ht="15" hidden="false" customHeight="false" outlineLevel="0" collapsed="false">
      <c r="A29" s="11"/>
      <c r="D29" s="10"/>
      <c r="E29" s="12"/>
      <c r="I29" s="30" t="str">
        <f aca="false">IF($A29="","",IF(COUNTIF(drops!$A$2:$A$21,$B29)=0,"drop_id not on drops; ","")&amp;IF(N($E29)&lt;=0,"amount?; ","")&amp;IF($D29="","cost type?; ",""))</f>
        <v/>
      </c>
    </row>
    <row r="30" customFormat="false" ht="15" hidden="false" customHeight="false" outlineLevel="0" collapsed="false">
      <c r="A30" s="11"/>
      <c r="D30" s="10"/>
      <c r="E30" s="12"/>
      <c r="I30" s="30" t="str">
        <f aca="false">IF($A30="","",IF(COUNTIF(drops!$A$2:$A$21,$B30)=0,"drop_id not on drops; ","")&amp;IF(N($E30)&lt;=0,"amount?; ","")&amp;IF($D30="","cost type?; ",""))</f>
        <v/>
      </c>
    </row>
    <row r="31" customFormat="false" ht="15" hidden="false" customHeight="false" outlineLevel="0" collapsed="false">
      <c r="A31" s="11"/>
      <c r="D31" s="10"/>
      <c r="E31" s="12"/>
      <c r="I31" s="30" t="str">
        <f aca="false">IF($A31="","",IF(COUNTIF(drops!$A$2:$A$21,$B31)=0,"drop_id not on drops; ","")&amp;IF(N($E31)&lt;=0,"amount?; ","")&amp;IF($D31="","cost type?; ",""))</f>
        <v/>
      </c>
    </row>
    <row r="32" customFormat="false" ht="15" hidden="false" customHeight="false" outlineLevel="0" collapsed="false">
      <c r="A32" s="11"/>
      <c r="D32" s="10"/>
      <c r="E32" s="12"/>
      <c r="I32" s="30" t="str">
        <f aca="false">IF($A32="","",IF(COUNTIF(drops!$A$2:$A$21,$B32)=0,"drop_id not on drops; ","")&amp;IF(N($E32)&lt;=0,"amount?; ","")&amp;IF($D32="","cost type?; ",""))</f>
        <v/>
      </c>
    </row>
    <row r="33" customFormat="false" ht="15" hidden="false" customHeight="false" outlineLevel="0" collapsed="false">
      <c r="A33" s="11"/>
      <c r="D33" s="10"/>
      <c r="E33" s="12"/>
      <c r="I33" s="30" t="str">
        <f aca="false">IF($A33="","",IF(COUNTIF(drops!$A$2:$A$21,$B33)=0,"drop_id not on drops; ","")&amp;IF(N($E33)&lt;=0,"amount?; ","")&amp;IF($D33="","cost type?; ",""))</f>
        <v/>
      </c>
    </row>
    <row r="34" customFormat="false" ht="15" hidden="false" customHeight="false" outlineLevel="0" collapsed="false">
      <c r="A34" s="11"/>
      <c r="D34" s="10"/>
      <c r="E34" s="12"/>
      <c r="I34" s="30" t="str">
        <f aca="false">IF($A34="","",IF(COUNTIF(drops!$A$2:$A$21,$B34)=0,"drop_id not on drops; ","")&amp;IF(N($E34)&lt;=0,"amount?; ","")&amp;IF($D34="","cost type?; ",""))</f>
        <v/>
      </c>
    </row>
    <row r="35" customFormat="false" ht="15" hidden="false" customHeight="false" outlineLevel="0" collapsed="false">
      <c r="A35" s="11"/>
      <c r="D35" s="10"/>
      <c r="E35" s="12"/>
      <c r="I35" s="30" t="str">
        <f aca="false">IF($A35="","",IF(COUNTIF(drops!$A$2:$A$21,$B35)=0,"drop_id not on drops; ","")&amp;IF(N($E35)&lt;=0,"amount?; ","")&amp;IF($D35="","cost type?; ",""))</f>
        <v/>
      </c>
    </row>
    <row r="36" customFormat="false" ht="15" hidden="false" customHeight="false" outlineLevel="0" collapsed="false">
      <c r="A36" s="11"/>
      <c r="D36" s="10"/>
      <c r="E36" s="12"/>
      <c r="I36" s="30" t="str">
        <f aca="false">IF($A36="","",IF(COUNTIF(drops!$A$2:$A$21,$B36)=0,"drop_id not on drops; ","")&amp;IF(N($E36)&lt;=0,"amount?; ","")&amp;IF($D36="","cost type?; ",""))</f>
        <v/>
      </c>
    </row>
    <row r="37" customFormat="false" ht="15" hidden="false" customHeight="false" outlineLevel="0" collapsed="false">
      <c r="A37" s="11"/>
      <c r="D37" s="10"/>
      <c r="E37" s="12"/>
      <c r="I37" s="30" t="str">
        <f aca="false">IF($A37="","",IF(COUNTIF(drops!$A$2:$A$21,$B37)=0,"drop_id not on drops; ","")&amp;IF(N($E37)&lt;=0,"amount?; ","")&amp;IF($D37="","cost type?; ",""))</f>
        <v/>
      </c>
    </row>
    <row r="38" customFormat="false" ht="15" hidden="false" customHeight="false" outlineLevel="0" collapsed="false">
      <c r="A38" s="11"/>
      <c r="D38" s="10"/>
      <c r="E38" s="12"/>
      <c r="I38" s="30" t="str">
        <f aca="false">IF($A38="","",IF(COUNTIF(drops!$A$2:$A$21,$B38)=0,"drop_id not on drops; ","")&amp;IF(N($E38)&lt;=0,"amount?; ","")&amp;IF($D38="","cost type?; ",""))</f>
        <v/>
      </c>
    </row>
    <row r="39" customFormat="false" ht="15" hidden="false" customHeight="false" outlineLevel="0" collapsed="false">
      <c r="A39" s="11"/>
      <c r="D39" s="10"/>
      <c r="E39" s="12"/>
      <c r="I39" s="30" t="str">
        <f aca="false">IF($A39="","",IF(COUNTIF(drops!$A$2:$A$21,$B39)=0,"drop_id not on drops; ","")&amp;IF(N($E39)&lt;=0,"amount?; ","")&amp;IF($D39="","cost type?; ",""))</f>
        <v/>
      </c>
    </row>
    <row r="40" customFormat="false" ht="15" hidden="false" customHeight="false" outlineLevel="0" collapsed="false">
      <c r="A40" s="11"/>
      <c r="D40" s="10"/>
      <c r="E40" s="12"/>
      <c r="I40" s="30" t="str">
        <f aca="false">IF($A40="","",IF(COUNTIF(drops!$A$2:$A$21,$B40)=0,"drop_id not on drops; ","")&amp;IF(N($E40)&lt;=0,"amount?; ","")&amp;IF($D40="","cost type?; ",""))</f>
        <v/>
      </c>
    </row>
    <row r="41" customFormat="false" ht="15" hidden="false" customHeight="false" outlineLevel="0" collapsed="false">
      <c r="A41" s="11"/>
      <c r="D41" s="10"/>
      <c r="E41" s="12"/>
      <c r="I41" s="30" t="str">
        <f aca="false">IF($A41="","",IF(COUNTIF(drops!$A$2:$A$21,$B41)=0,"drop_id not on drops; ","")&amp;IF(N($E41)&lt;=0,"amount?; ","")&amp;IF($D41="","cost type?; ",""))</f>
        <v/>
      </c>
    </row>
    <row r="42" customFormat="false" ht="15" hidden="false" customHeight="false" outlineLevel="0" collapsed="false">
      <c r="A42" s="11"/>
      <c r="D42" s="10"/>
      <c r="E42" s="12"/>
      <c r="I42" s="30" t="str">
        <f aca="false">IF($A42="","",IF(COUNTIF(drops!$A$2:$A$21,$B42)=0,"drop_id not on drops; ","")&amp;IF(N($E42)&lt;=0,"amount?; ","")&amp;IF($D42="","cost type?; ",""))</f>
        <v/>
      </c>
    </row>
    <row r="43" customFormat="false" ht="15" hidden="false" customHeight="false" outlineLevel="0" collapsed="false">
      <c r="A43" s="11"/>
      <c r="D43" s="10"/>
      <c r="E43" s="12"/>
      <c r="I43" s="30" t="str">
        <f aca="false">IF($A43="","",IF(COUNTIF(drops!$A$2:$A$21,$B43)=0,"drop_id not on drops; ","")&amp;IF(N($E43)&lt;=0,"amount?; ","")&amp;IF($D43="","cost type?; ",""))</f>
        <v/>
      </c>
    </row>
    <row r="44" customFormat="false" ht="15" hidden="false" customHeight="false" outlineLevel="0" collapsed="false">
      <c r="A44" s="11"/>
      <c r="D44" s="10"/>
      <c r="E44" s="12"/>
      <c r="I44" s="30" t="str">
        <f aca="false">IF($A44="","",IF(COUNTIF(drops!$A$2:$A$21,$B44)=0,"drop_id not on drops; ","")&amp;IF(N($E44)&lt;=0,"amount?; ","")&amp;IF($D44="","cost type?; ",""))</f>
        <v/>
      </c>
    </row>
    <row r="45" customFormat="false" ht="15" hidden="false" customHeight="false" outlineLevel="0" collapsed="false">
      <c r="A45" s="11"/>
      <c r="D45" s="10"/>
      <c r="E45" s="12"/>
      <c r="I45" s="30" t="str">
        <f aca="false">IF($A45="","",IF(COUNTIF(drops!$A$2:$A$21,$B45)=0,"drop_id not on drops; ","")&amp;IF(N($E45)&lt;=0,"amount?; ","")&amp;IF($D45="","cost type?; ",""))</f>
        <v/>
      </c>
    </row>
    <row r="46" customFormat="false" ht="15" hidden="false" customHeight="false" outlineLevel="0" collapsed="false">
      <c r="A46" s="11"/>
      <c r="D46" s="10"/>
      <c r="E46" s="12"/>
      <c r="I46" s="30" t="str">
        <f aca="false">IF($A46="","",IF(COUNTIF(drops!$A$2:$A$21,$B46)=0,"drop_id not on drops; ","")&amp;IF(N($E46)&lt;=0,"amount?; ","")&amp;IF($D46="","cost type?; ",""))</f>
        <v/>
      </c>
    </row>
    <row r="47" customFormat="false" ht="15" hidden="false" customHeight="false" outlineLevel="0" collapsed="false">
      <c r="A47" s="11"/>
      <c r="D47" s="10"/>
      <c r="E47" s="12"/>
      <c r="I47" s="30" t="str">
        <f aca="false">IF($A47="","",IF(COUNTIF(drops!$A$2:$A$21,$B47)=0,"drop_id not on drops; ","")&amp;IF(N($E47)&lt;=0,"amount?; ","")&amp;IF($D47="","cost type?; ",""))</f>
        <v/>
      </c>
    </row>
    <row r="48" customFormat="false" ht="15" hidden="false" customHeight="false" outlineLevel="0" collapsed="false">
      <c r="A48" s="11"/>
      <c r="D48" s="10"/>
      <c r="E48" s="12"/>
      <c r="I48" s="30" t="str">
        <f aca="false">IF($A48="","",IF(COUNTIF(drops!$A$2:$A$21,$B48)=0,"drop_id not on drops; ","")&amp;IF(N($E48)&lt;=0,"amount?; ","")&amp;IF($D48="","cost type?; ",""))</f>
        <v/>
      </c>
    </row>
    <row r="49" customFormat="false" ht="15" hidden="false" customHeight="false" outlineLevel="0" collapsed="false">
      <c r="A49" s="11"/>
      <c r="D49" s="10"/>
      <c r="E49" s="12"/>
      <c r="I49" s="30" t="str">
        <f aca="false">IF($A49="","",IF(COUNTIF(drops!$A$2:$A$21,$B49)=0,"drop_id not on drops; ","")&amp;IF(N($E49)&lt;=0,"amount?; ","")&amp;IF($D49="","cost type?; ",""))</f>
        <v/>
      </c>
    </row>
    <row r="50" customFormat="false" ht="15" hidden="false" customHeight="false" outlineLevel="0" collapsed="false">
      <c r="A50" s="11"/>
      <c r="D50" s="10"/>
      <c r="E50" s="12"/>
      <c r="I50" s="30" t="str">
        <f aca="false">IF($A50="","",IF(COUNTIF(drops!$A$2:$A$21,$B50)=0,"drop_id not on drops; ","")&amp;IF(N($E50)&lt;=0,"amount?; ","")&amp;IF($D50="","cost type?; ",""))</f>
        <v/>
      </c>
    </row>
    <row r="51" customFormat="false" ht="15" hidden="false" customHeight="false" outlineLevel="0" collapsed="false">
      <c r="A51" s="11"/>
      <c r="D51" s="10"/>
      <c r="E51" s="12"/>
      <c r="I51" s="30" t="str">
        <f aca="false">IF($A51="","",IF(COUNTIF(drops!$A$2:$A$21,$B51)=0,"drop_id not on drops; ","")&amp;IF(N($E51)&lt;=0,"amount?; ","")&amp;IF($D51="","cost type?; ",""))</f>
        <v/>
      </c>
    </row>
    <row r="52" customFormat="false" ht="15" hidden="false" customHeight="false" outlineLevel="0" collapsed="false">
      <c r="A52" s="11"/>
      <c r="D52" s="10"/>
      <c r="E52" s="12"/>
      <c r="I52" s="30" t="str">
        <f aca="false">IF($A52="","",IF(COUNTIF(drops!$A$2:$A$21,$B52)=0,"drop_id not on drops; ","")&amp;IF(N($E52)&lt;=0,"amount?; ","")&amp;IF($D52="","cost type?; ",""))</f>
        <v/>
      </c>
    </row>
    <row r="53" customFormat="false" ht="15" hidden="false" customHeight="false" outlineLevel="0" collapsed="false">
      <c r="A53" s="11"/>
      <c r="D53" s="10"/>
      <c r="E53" s="12"/>
      <c r="I53" s="30" t="str">
        <f aca="false">IF($A53="","",IF(COUNTIF(drops!$A$2:$A$21,$B53)=0,"drop_id not on drops; ","")&amp;IF(N($E53)&lt;=0,"amount?; ","")&amp;IF($D53="","cost type?; ",""))</f>
        <v/>
      </c>
    </row>
    <row r="54" customFormat="false" ht="15" hidden="false" customHeight="false" outlineLevel="0" collapsed="false">
      <c r="A54" s="11"/>
      <c r="D54" s="10"/>
      <c r="E54" s="12"/>
      <c r="I54" s="30" t="str">
        <f aca="false">IF($A54="","",IF(COUNTIF(drops!$A$2:$A$21,$B54)=0,"drop_id not on drops; ","")&amp;IF(N($E54)&lt;=0,"amount?; ","")&amp;IF($D54="","cost type?; ",""))</f>
        <v/>
      </c>
    </row>
    <row r="55" customFormat="false" ht="15" hidden="false" customHeight="false" outlineLevel="0" collapsed="false">
      <c r="A55" s="11"/>
      <c r="D55" s="10"/>
      <c r="E55" s="12"/>
      <c r="I55" s="30" t="str">
        <f aca="false">IF($A55="","",IF(COUNTIF(drops!$A$2:$A$21,$B55)=0,"drop_id not on drops; ","")&amp;IF(N($E55)&lt;=0,"amount?; ","")&amp;IF($D55="","cost type?; ",""))</f>
        <v/>
      </c>
    </row>
    <row r="56" customFormat="false" ht="15" hidden="false" customHeight="false" outlineLevel="0" collapsed="false">
      <c r="A56" s="11"/>
      <c r="D56" s="10"/>
      <c r="E56" s="12"/>
      <c r="I56" s="30" t="str">
        <f aca="false">IF($A56="","",IF(COUNTIF(drops!$A$2:$A$21,$B56)=0,"drop_id not on drops; ","")&amp;IF(N($E56)&lt;=0,"amount?; ","")&amp;IF($D56="","cost type?; ",""))</f>
        <v/>
      </c>
    </row>
    <row r="57" customFormat="false" ht="15" hidden="false" customHeight="false" outlineLevel="0" collapsed="false">
      <c r="A57" s="11"/>
      <c r="D57" s="10"/>
      <c r="E57" s="12"/>
      <c r="I57" s="30" t="str">
        <f aca="false">IF($A57="","",IF(COUNTIF(drops!$A$2:$A$21,$B57)=0,"drop_id not on drops; ","")&amp;IF(N($E57)&lt;=0,"amount?; ","")&amp;IF($D57="","cost type?; ",""))</f>
        <v/>
      </c>
    </row>
    <row r="58" customFormat="false" ht="15" hidden="false" customHeight="false" outlineLevel="0" collapsed="false">
      <c r="A58" s="11"/>
      <c r="D58" s="10"/>
      <c r="E58" s="12"/>
      <c r="I58" s="30" t="str">
        <f aca="false">IF($A58="","",IF(COUNTIF(drops!$A$2:$A$21,$B58)=0,"drop_id not on drops; ","")&amp;IF(N($E58)&lt;=0,"amount?; ","")&amp;IF($D58="","cost type?; ",""))</f>
        <v/>
      </c>
    </row>
    <row r="59" customFormat="false" ht="15" hidden="false" customHeight="false" outlineLevel="0" collapsed="false">
      <c r="A59" s="11"/>
      <c r="D59" s="10"/>
      <c r="E59" s="12"/>
      <c r="I59" s="30" t="str">
        <f aca="false">IF($A59="","",IF(COUNTIF(drops!$A$2:$A$21,$B59)=0,"drop_id not on drops; ","")&amp;IF(N($E59)&lt;=0,"amount?; ","")&amp;IF($D59="","cost type?; ",""))</f>
        <v/>
      </c>
    </row>
    <row r="60" customFormat="false" ht="15" hidden="false" customHeight="false" outlineLevel="0" collapsed="false">
      <c r="A60" s="11"/>
      <c r="D60" s="10"/>
      <c r="E60" s="12"/>
      <c r="I60" s="30" t="str">
        <f aca="false">IF($A60="","",IF(COUNTIF(drops!$A$2:$A$21,$B60)=0,"drop_id not on drops; ","")&amp;IF(N($E60)&lt;=0,"amount?; ","")&amp;IF($D60="","cost type?; ",""))</f>
        <v/>
      </c>
    </row>
    <row r="61" customFormat="false" ht="15" hidden="false" customHeight="false" outlineLevel="0" collapsed="false">
      <c r="A61" s="11"/>
      <c r="D61" s="10"/>
      <c r="E61" s="12"/>
      <c r="I61" s="30" t="str">
        <f aca="false">IF($A61="","",IF(COUNTIF(drops!$A$2:$A$21,$B61)=0,"drop_id not on drops; ","")&amp;IF(N($E61)&lt;=0,"amount?; ","")&amp;IF($D61="","cost type?; ",""))</f>
        <v/>
      </c>
    </row>
    <row r="62" customFormat="false" ht="15" hidden="false" customHeight="false" outlineLevel="0" collapsed="false">
      <c r="A62" s="11"/>
      <c r="D62" s="10"/>
      <c r="E62" s="12"/>
      <c r="I62" s="30" t="str">
        <f aca="false">IF($A62="","",IF(COUNTIF(drops!$A$2:$A$21,$B62)=0,"drop_id not on drops; ","")&amp;IF(N($E62)&lt;=0,"amount?; ","")&amp;IF($D62="","cost type?; ",""))</f>
        <v/>
      </c>
    </row>
    <row r="63" customFormat="false" ht="15" hidden="false" customHeight="false" outlineLevel="0" collapsed="false">
      <c r="A63" s="11"/>
      <c r="D63" s="10"/>
      <c r="E63" s="12"/>
      <c r="I63" s="30" t="str">
        <f aca="false">IF($A63="","",IF(COUNTIF(drops!$A$2:$A$21,$B63)=0,"drop_id not on drops; ","")&amp;IF(N($E63)&lt;=0,"amount?; ","")&amp;IF($D63="","cost type?; ",""))</f>
        <v/>
      </c>
    </row>
    <row r="64" customFormat="false" ht="15" hidden="false" customHeight="false" outlineLevel="0" collapsed="false">
      <c r="A64" s="11"/>
      <c r="D64" s="10"/>
      <c r="E64" s="12"/>
      <c r="I64" s="30" t="str">
        <f aca="false">IF($A64="","",IF(COUNTIF(drops!$A$2:$A$21,$B64)=0,"drop_id not on drops; ","")&amp;IF(N($E64)&lt;=0,"amount?; ","")&amp;IF($D64="","cost type?; ",""))</f>
        <v/>
      </c>
    </row>
    <row r="65" customFormat="false" ht="15" hidden="false" customHeight="false" outlineLevel="0" collapsed="false">
      <c r="A65" s="11"/>
      <c r="D65" s="10"/>
      <c r="E65" s="12"/>
      <c r="I65" s="30" t="str">
        <f aca="false">IF($A65="","",IF(COUNTIF(drops!$A$2:$A$21,$B65)=0,"drop_id not on drops; ","")&amp;IF(N($E65)&lt;=0,"amount?; ","")&amp;IF($D65="","cost type?; ",""))</f>
        <v/>
      </c>
    </row>
    <row r="66" customFormat="false" ht="15" hidden="false" customHeight="false" outlineLevel="0" collapsed="false">
      <c r="A66" s="11"/>
      <c r="D66" s="10"/>
      <c r="E66" s="12"/>
      <c r="I66" s="30" t="str">
        <f aca="false">IF($A66="","",IF(COUNTIF(drops!$A$2:$A$21,$B66)=0,"drop_id not on drops; ","")&amp;IF(N($E66)&lt;=0,"amount?; ","")&amp;IF($D66="","cost type?; ",""))</f>
        <v/>
      </c>
    </row>
    <row r="67" customFormat="false" ht="15" hidden="false" customHeight="false" outlineLevel="0" collapsed="false">
      <c r="A67" s="11"/>
      <c r="D67" s="10"/>
      <c r="E67" s="12"/>
      <c r="I67" s="30" t="str">
        <f aca="false">IF($A67="","",IF(COUNTIF(drops!$A$2:$A$21,$B67)=0,"drop_id not on drops; ","")&amp;IF(N($E67)&lt;=0,"amount?; ","")&amp;IF($D67="","cost type?; ",""))</f>
        <v/>
      </c>
    </row>
    <row r="68" customFormat="false" ht="15" hidden="false" customHeight="false" outlineLevel="0" collapsed="false">
      <c r="A68" s="11"/>
      <c r="D68" s="10"/>
      <c r="E68" s="12"/>
      <c r="I68" s="30" t="str">
        <f aca="false">IF($A68="","",IF(COUNTIF(drops!$A$2:$A$21,$B68)=0,"drop_id not on drops; ","")&amp;IF(N($E68)&lt;=0,"amount?; ","")&amp;IF($D68="","cost type?; ",""))</f>
        <v/>
      </c>
    </row>
    <row r="69" customFormat="false" ht="15" hidden="false" customHeight="false" outlineLevel="0" collapsed="false">
      <c r="A69" s="11"/>
      <c r="D69" s="10"/>
      <c r="E69" s="12"/>
      <c r="I69" s="30" t="str">
        <f aca="false">IF($A69="","",IF(COUNTIF(drops!$A$2:$A$21,$B69)=0,"drop_id not on drops; ","")&amp;IF(N($E69)&lt;=0,"amount?; ","")&amp;IF($D69="","cost type?; ",""))</f>
        <v/>
      </c>
    </row>
    <row r="70" customFormat="false" ht="15" hidden="false" customHeight="false" outlineLevel="0" collapsed="false">
      <c r="A70" s="11"/>
      <c r="D70" s="10"/>
      <c r="E70" s="12"/>
      <c r="I70" s="30" t="str">
        <f aca="false">IF($A70="","",IF(COUNTIF(drops!$A$2:$A$21,$B70)=0,"drop_id not on drops; ","")&amp;IF(N($E70)&lt;=0,"amount?; ","")&amp;IF($D70="","cost type?; ",""))</f>
        <v/>
      </c>
    </row>
    <row r="71" customFormat="false" ht="15" hidden="false" customHeight="false" outlineLevel="0" collapsed="false">
      <c r="A71" s="11"/>
      <c r="D71" s="10"/>
      <c r="E71" s="12"/>
      <c r="I71" s="30" t="str">
        <f aca="false">IF($A71="","",IF(COUNTIF(drops!$A$2:$A$21,$B71)=0,"drop_id not on drops; ","")&amp;IF(N($E71)&lt;=0,"amount?; ","")&amp;IF($D71="","cost type?; ",""))</f>
        <v/>
      </c>
    </row>
    <row r="72" customFormat="false" ht="15" hidden="false" customHeight="false" outlineLevel="0" collapsed="false">
      <c r="A72" s="11"/>
      <c r="D72" s="10"/>
      <c r="E72" s="12"/>
      <c r="I72" s="30" t="str">
        <f aca="false">IF($A72="","",IF(COUNTIF(drops!$A$2:$A$21,$B72)=0,"drop_id not on drops; ","")&amp;IF(N($E72)&lt;=0,"amount?; ","")&amp;IF($D72="","cost type?; ",""))</f>
        <v/>
      </c>
    </row>
    <row r="73" customFormat="false" ht="15" hidden="false" customHeight="false" outlineLevel="0" collapsed="false">
      <c r="A73" s="11"/>
      <c r="D73" s="10"/>
      <c r="E73" s="12"/>
      <c r="I73" s="30" t="str">
        <f aca="false">IF($A73="","",IF(COUNTIF(drops!$A$2:$A$21,$B73)=0,"drop_id not on drops; ","")&amp;IF(N($E73)&lt;=0,"amount?; ","")&amp;IF($D73="","cost type?; ",""))</f>
        <v/>
      </c>
    </row>
    <row r="74" customFormat="false" ht="15" hidden="false" customHeight="false" outlineLevel="0" collapsed="false">
      <c r="A74" s="11"/>
      <c r="D74" s="10"/>
      <c r="E74" s="12"/>
      <c r="I74" s="30" t="str">
        <f aca="false">IF($A74="","",IF(COUNTIF(drops!$A$2:$A$21,$B74)=0,"drop_id not on drops; ","")&amp;IF(N($E74)&lt;=0,"amount?; ","")&amp;IF($D74="","cost type?; ",""))</f>
        <v/>
      </c>
    </row>
    <row r="75" customFormat="false" ht="15" hidden="false" customHeight="false" outlineLevel="0" collapsed="false">
      <c r="A75" s="11"/>
      <c r="D75" s="10"/>
      <c r="E75" s="12"/>
      <c r="I75" s="30" t="str">
        <f aca="false">IF($A75="","",IF(COUNTIF(drops!$A$2:$A$21,$B75)=0,"drop_id not on drops; ","")&amp;IF(N($E75)&lt;=0,"amount?; ","")&amp;IF($D75="","cost type?; ",""))</f>
        <v/>
      </c>
    </row>
    <row r="76" customFormat="false" ht="15" hidden="false" customHeight="false" outlineLevel="0" collapsed="false">
      <c r="A76" s="11"/>
      <c r="D76" s="10"/>
      <c r="E76" s="12"/>
      <c r="I76" s="30" t="str">
        <f aca="false">IF($A76="","",IF(COUNTIF(drops!$A$2:$A$21,$B76)=0,"drop_id not on drops; ","")&amp;IF(N($E76)&lt;=0,"amount?; ","")&amp;IF($D76="","cost type?; ",""))</f>
        <v/>
      </c>
    </row>
    <row r="77" customFormat="false" ht="15" hidden="false" customHeight="false" outlineLevel="0" collapsed="false">
      <c r="A77" s="11"/>
      <c r="D77" s="10"/>
      <c r="E77" s="12"/>
      <c r="I77" s="30" t="str">
        <f aca="false">IF($A77="","",IF(COUNTIF(drops!$A$2:$A$21,$B77)=0,"drop_id not on drops; ","")&amp;IF(N($E77)&lt;=0,"amount?; ","")&amp;IF($D77="","cost type?; ",""))</f>
        <v/>
      </c>
    </row>
    <row r="78" customFormat="false" ht="15" hidden="false" customHeight="false" outlineLevel="0" collapsed="false">
      <c r="A78" s="11"/>
      <c r="D78" s="10"/>
      <c r="E78" s="12"/>
      <c r="I78" s="30" t="str">
        <f aca="false">IF($A78="","",IF(COUNTIF(drops!$A$2:$A$21,$B78)=0,"drop_id not on drops; ","")&amp;IF(N($E78)&lt;=0,"amount?; ","")&amp;IF($D78="","cost type?; ",""))</f>
        <v/>
      </c>
    </row>
    <row r="79" customFormat="false" ht="15" hidden="false" customHeight="false" outlineLevel="0" collapsed="false">
      <c r="A79" s="11"/>
      <c r="D79" s="10"/>
      <c r="E79" s="12"/>
      <c r="I79" s="30" t="str">
        <f aca="false">IF($A79="","",IF(COUNTIF(drops!$A$2:$A$21,$B79)=0,"drop_id not on drops; ","")&amp;IF(N($E79)&lt;=0,"amount?; ","")&amp;IF($D79="","cost type?; ",""))</f>
        <v/>
      </c>
    </row>
    <row r="80" customFormat="false" ht="15" hidden="false" customHeight="false" outlineLevel="0" collapsed="false">
      <c r="A80" s="11"/>
      <c r="D80" s="10"/>
      <c r="E80" s="12"/>
      <c r="I80" s="30" t="str">
        <f aca="false">IF($A80="","",IF(COUNTIF(drops!$A$2:$A$21,$B80)=0,"drop_id not on drops; ","")&amp;IF(N($E80)&lt;=0,"amount?; ","")&amp;IF($D80="","cost type?; ",""))</f>
        <v/>
      </c>
    </row>
    <row r="81" customFormat="false" ht="15" hidden="false" customHeight="false" outlineLevel="0" collapsed="false">
      <c r="A81" s="11"/>
      <c r="D81" s="10"/>
      <c r="E81" s="12"/>
      <c r="I81" s="30" t="str">
        <f aca="false">IF($A81="","",IF(COUNTIF(drops!$A$2:$A$21,$B81)=0,"drop_id not on drops; ","")&amp;IF(N($E81)&lt;=0,"amount?; ","")&amp;IF($D81="","cost type?; ",""))</f>
        <v/>
      </c>
    </row>
    <row r="82" customFormat="false" ht="15" hidden="false" customHeight="false" outlineLevel="0" collapsed="false">
      <c r="A82" s="11"/>
      <c r="D82" s="10"/>
      <c r="E82" s="12"/>
      <c r="I82" s="30" t="str">
        <f aca="false">IF($A82="","",IF(COUNTIF(drops!$A$2:$A$21,$B82)=0,"drop_id not on drops; ","")&amp;IF(N($E82)&lt;=0,"amount?; ","")&amp;IF($D82="","cost type?; ",""))</f>
        <v/>
      </c>
    </row>
    <row r="83" customFormat="false" ht="15" hidden="false" customHeight="false" outlineLevel="0" collapsed="false">
      <c r="A83" s="11"/>
      <c r="D83" s="10"/>
      <c r="E83" s="12"/>
      <c r="I83" s="30" t="str">
        <f aca="false">IF($A83="","",IF(COUNTIF(drops!$A$2:$A$21,$B83)=0,"drop_id not on drops; ","")&amp;IF(N($E83)&lt;=0,"amount?; ","")&amp;IF($D83="","cost type?; ",""))</f>
        <v/>
      </c>
    </row>
    <row r="84" customFormat="false" ht="15" hidden="false" customHeight="false" outlineLevel="0" collapsed="false">
      <c r="A84" s="11"/>
      <c r="D84" s="10"/>
      <c r="E84" s="12"/>
      <c r="I84" s="30" t="str">
        <f aca="false">IF($A84="","",IF(COUNTIF(drops!$A$2:$A$21,$B84)=0,"drop_id not on drops; ","")&amp;IF(N($E84)&lt;=0,"amount?; ","")&amp;IF($D84="","cost type?; ",""))</f>
        <v/>
      </c>
    </row>
    <row r="85" customFormat="false" ht="15" hidden="false" customHeight="false" outlineLevel="0" collapsed="false">
      <c r="A85" s="11"/>
      <c r="D85" s="10"/>
      <c r="E85" s="12"/>
      <c r="I85" s="30" t="str">
        <f aca="false">IF($A85="","",IF(COUNTIF(drops!$A$2:$A$21,$B85)=0,"drop_id not on drops; ","")&amp;IF(N($E85)&lt;=0,"amount?; ","")&amp;IF($D85="","cost type?; ",""))</f>
        <v/>
      </c>
    </row>
    <row r="86" customFormat="false" ht="15" hidden="false" customHeight="false" outlineLevel="0" collapsed="false">
      <c r="A86" s="11"/>
      <c r="D86" s="10"/>
      <c r="E86" s="12"/>
      <c r="I86" s="30" t="str">
        <f aca="false">IF($A86="","",IF(COUNTIF(drops!$A$2:$A$21,$B86)=0,"drop_id not on drops; ","")&amp;IF(N($E86)&lt;=0,"amount?; ","")&amp;IF($D86="","cost type?; ",""))</f>
        <v/>
      </c>
    </row>
    <row r="87" customFormat="false" ht="15" hidden="false" customHeight="false" outlineLevel="0" collapsed="false">
      <c r="A87" s="11"/>
      <c r="D87" s="10"/>
      <c r="E87" s="12"/>
      <c r="I87" s="30" t="str">
        <f aca="false">IF($A87="","",IF(COUNTIF(drops!$A$2:$A$21,$B87)=0,"drop_id not on drops; ","")&amp;IF(N($E87)&lt;=0,"amount?; ","")&amp;IF($D87="","cost type?; ",""))</f>
        <v/>
      </c>
    </row>
    <row r="88" customFormat="false" ht="15" hidden="false" customHeight="false" outlineLevel="0" collapsed="false">
      <c r="A88" s="11"/>
      <c r="D88" s="10"/>
      <c r="E88" s="12"/>
      <c r="I88" s="30" t="str">
        <f aca="false">IF($A88="","",IF(COUNTIF(drops!$A$2:$A$21,$B88)=0,"drop_id not on drops; ","")&amp;IF(N($E88)&lt;=0,"amount?; ","")&amp;IF($D88="","cost type?; ",""))</f>
        <v/>
      </c>
    </row>
    <row r="89" customFormat="false" ht="15" hidden="false" customHeight="false" outlineLevel="0" collapsed="false">
      <c r="A89" s="11"/>
      <c r="D89" s="10"/>
      <c r="E89" s="12"/>
      <c r="I89" s="30" t="str">
        <f aca="false">IF($A89="","",IF(COUNTIF(drops!$A$2:$A$21,$B89)=0,"drop_id not on drops; ","")&amp;IF(N($E89)&lt;=0,"amount?; ","")&amp;IF($D89="","cost type?; ",""))</f>
        <v/>
      </c>
    </row>
    <row r="90" customFormat="false" ht="15" hidden="false" customHeight="false" outlineLevel="0" collapsed="false">
      <c r="A90" s="11"/>
      <c r="D90" s="10"/>
      <c r="E90" s="12"/>
      <c r="I90" s="30" t="str">
        <f aca="false">IF($A90="","",IF(COUNTIF(drops!$A$2:$A$21,$B90)=0,"drop_id not on drops; ","")&amp;IF(N($E90)&lt;=0,"amount?; ","")&amp;IF($D90="","cost type?; ",""))</f>
        <v/>
      </c>
    </row>
    <row r="91" customFormat="false" ht="15" hidden="false" customHeight="false" outlineLevel="0" collapsed="false">
      <c r="A91" s="11"/>
      <c r="D91" s="10"/>
      <c r="E91" s="12"/>
      <c r="I91" s="30" t="str">
        <f aca="false">IF($A91="","",IF(COUNTIF(drops!$A$2:$A$21,$B91)=0,"drop_id not on drops; ","")&amp;IF(N($E91)&lt;=0,"amount?; ","")&amp;IF($D91="","cost type?; ",""))</f>
        <v/>
      </c>
    </row>
    <row r="92" customFormat="false" ht="15" hidden="false" customHeight="false" outlineLevel="0" collapsed="false">
      <c r="A92" s="11"/>
      <c r="D92" s="10"/>
      <c r="E92" s="12"/>
      <c r="I92" s="30" t="str">
        <f aca="false">IF($A92="","",IF(COUNTIF(drops!$A$2:$A$21,$B92)=0,"drop_id not on drops; ","")&amp;IF(N($E92)&lt;=0,"amount?; ","")&amp;IF($D92="","cost type?; ",""))</f>
        <v/>
      </c>
    </row>
    <row r="93" customFormat="false" ht="15" hidden="false" customHeight="false" outlineLevel="0" collapsed="false">
      <c r="A93" s="11"/>
      <c r="D93" s="10"/>
      <c r="E93" s="12"/>
      <c r="I93" s="30" t="str">
        <f aca="false">IF($A93="","",IF(COUNTIF(drops!$A$2:$A$21,$B93)=0,"drop_id not on drops; ","")&amp;IF(N($E93)&lt;=0,"amount?; ","")&amp;IF($D93="","cost type?; ",""))</f>
        <v/>
      </c>
    </row>
    <row r="94" customFormat="false" ht="15" hidden="false" customHeight="false" outlineLevel="0" collapsed="false">
      <c r="A94" s="11"/>
      <c r="D94" s="10"/>
      <c r="E94" s="12"/>
      <c r="I94" s="30" t="str">
        <f aca="false">IF($A94="","",IF(COUNTIF(drops!$A$2:$A$21,$B94)=0,"drop_id not on drops; ","")&amp;IF(N($E94)&lt;=0,"amount?; ","")&amp;IF($D94="","cost type?; ",""))</f>
        <v/>
      </c>
    </row>
    <row r="95" customFormat="false" ht="15" hidden="false" customHeight="false" outlineLevel="0" collapsed="false">
      <c r="A95" s="11"/>
      <c r="D95" s="10"/>
      <c r="E95" s="12"/>
      <c r="I95" s="30" t="str">
        <f aca="false">IF($A95="","",IF(COUNTIF(drops!$A$2:$A$21,$B95)=0,"drop_id not on drops; ","")&amp;IF(N($E95)&lt;=0,"amount?; ","")&amp;IF($D95="","cost type?; ",""))</f>
        <v/>
      </c>
    </row>
    <row r="96" customFormat="false" ht="15" hidden="false" customHeight="false" outlineLevel="0" collapsed="false">
      <c r="A96" s="11"/>
      <c r="D96" s="10"/>
      <c r="E96" s="12"/>
      <c r="I96" s="30" t="str">
        <f aca="false">IF($A96="","",IF(COUNTIF(drops!$A$2:$A$21,$B96)=0,"drop_id not on drops; ","")&amp;IF(N($E96)&lt;=0,"amount?; ","")&amp;IF($D96="","cost type?; ",""))</f>
        <v/>
      </c>
    </row>
    <row r="97" customFormat="false" ht="15" hidden="false" customHeight="false" outlineLevel="0" collapsed="false">
      <c r="A97" s="11"/>
      <c r="D97" s="10"/>
      <c r="E97" s="12"/>
      <c r="I97" s="30" t="str">
        <f aca="false">IF($A97="","",IF(COUNTIF(drops!$A$2:$A$21,$B97)=0,"drop_id not on drops; ","")&amp;IF(N($E97)&lt;=0,"amount?; ","")&amp;IF($D97="","cost type?; ",""))</f>
        <v/>
      </c>
    </row>
    <row r="98" customFormat="false" ht="15" hidden="false" customHeight="false" outlineLevel="0" collapsed="false">
      <c r="A98" s="11"/>
      <c r="D98" s="10"/>
      <c r="E98" s="12"/>
      <c r="I98" s="30" t="str">
        <f aca="false">IF($A98="","",IF(COUNTIF(drops!$A$2:$A$21,$B98)=0,"drop_id not on drops; ","")&amp;IF(N($E98)&lt;=0,"amount?; ","")&amp;IF($D98="","cost type?; ",""))</f>
        <v/>
      </c>
    </row>
    <row r="99" customFormat="false" ht="15" hidden="false" customHeight="false" outlineLevel="0" collapsed="false">
      <c r="A99" s="11"/>
      <c r="D99" s="10"/>
      <c r="E99" s="12"/>
      <c r="I99" s="30" t="str">
        <f aca="false">IF($A99="","",IF(COUNTIF(drops!$A$2:$A$21,$B99)=0,"drop_id not on drops; ","")&amp;IF(N($E99)&lt;=0,"amount?; ","")&amp;IF($D99="","cost type?; ",""))</f>
        <v/>
      </c>
    </row>
    <row r="100" customFormat="false" ht="15" hidden="false" customHeight="false" outlineLevel="0" collapsed="false">
      <c r="A100" s="11"/>
      <c r="D100" s="10"/>
      <c r="E100" s="12"/>
      <c r="I100" s="30" t="str">
        <f aca="false">IF($A100="","",IF(COUNTIF(drops!$A$2:$A$21,$B100)=0,"drop_id not on drops; ","")&amp;IF(N($E100)&lt;=0,"amount?; ","")&amp;IF($D100="","cost type?; ",""))</f>
        <v/>
      </c>
    </row>
    <row r="101" customFormat="false" ht="15" hidden="false" customHeight="false" outlineLevel="0" collapsed="false">
      <c r="A101" s="11"/>
      <c r="D101" s="10"/>
      <c r="E101" s="12"/>
      <c r="I101" s="30" t="str">
        <f aca="false">IF($A101="","",IF(COUNTIF(drops!$A$2:$A$21,$B101)=0,"drop_id not on drops; ","")&amp;IF(N($E101)&lt;=0,"amount?; ","")&amp;IF($D101="","cost type?; ",""))</f>
        <v/>
      </c>
    </row>
    <row r="102" customFormat="false" ht="15" hidden="false" customHeight="false" outlineLevel="0" collapsed="false">
      <c r="A102" s="11"/>
      <c r="D102" s="10"/>
      <c r="E102" s="12"/>
      <c r="I102" s="30" t="str">
        <f aca="false">IF($A102="","",IF(COUNTIF(drops!$A$2:$A$21,$B102)=0,"drop_id not on drops; ","")&amp;IF(N($E102)&lt;=0,"amount?; ","")&amp;IF($D102="","cost type?; ",""))</f>
        <v/>
      </c>
    </row>
    <row r="103" customFormat="false" ht="15" hidden="false" customHeight="false" outlineLevel="0" collapsed="false">
      <c r="A103" s="11"/>
      <c r="D103" s="10"/>
      <c r="E103" s="12"/>
      <c r="I103" s="30" t="str">
        <f aca="false">IF($A103="","",IF(COUNTIF(drops!$A$2:$A$21,$B103)=0,"drop_id not on drops; ","")&amp;IF(N($E103)&lt;=0,"amount?; ","")&amp;IF($D103="","cost type?; ",""))</f>
        <v/>
      </c>
    </row>
    <row r="104" customFormat="false" ht="15" hidden="false" customHeight="false" outlineLevel="0" collapsed="false">
      <c r="A104" s="11"/>
      <c r="D104" s="10"/>
      <c r="E104" s="12"/>
      <c r="I104" s="30" t="str">
        <f aca="false">IF($A104="","",IF(COUNTIF(drops!$A$2:$A$21,$B104)=0,"drop_id not on drops; ","")&amp;IF(N($E104)&lt;=0,"amount?; ","")&amp;IF($D104="","cost type?; ",""))</f>
        <v/>
      </c>
    </row>
    <row r="105" customFormat="false" ht="15" hidden="false" customHeight="false" outlineLevel="0" collapsed="false">
      <c r="A105" s="11"/>
      <c r="D105" s="10"/>
      <c r="E105" s="12"/>
      <c r="I105" s="30" t="str">
        <f aca="false">IF($A105="","",IF(COUNTIF(drops!$A$2:$A$21,$B105)=0,"drop_id not on drops; ","")&amp;IF(N($E105)&lt;=0,"amount?; ","")&amp;IF($D105="","cost type?; ",""))</f>
        <v/>
      </c>
    </row>
    <row r="106" customFormat="false" ht="15" hidden="false" customHeight="false" outlineLevel="0" collapsed="false">
      <c r="A106" s="11"/>
      <c r="D106" s="10"/>
      <c r="E106" s="12"/>
      <c r="I106" s="30" t="str">
        <f aca="false">IF($A106="","",IF(COUNTIF(drops!$A$2:$A$21,$B106)=0,"drop_id not on drops; ","")&amp;IF(N($E106)&lt;=0,"amount?; ","")&amp;IF($D106="","cost type?; ",""))</f>
        <v/>
      </c>
    </row>
    <row r="107" customFormat="false" ht="15" hidden="false" customHeight="false" outlineLevel="0" collapsed="false">
      <c r="A107" s="11"/>
      <c r="D107" s="10"/>
      <c r="E107" s="12"/>
      <c r="I107" s="30" t="str">
        <f aca="false">IF($A107="","",IF(COUNTIF(drops!$A$2:$A$21,$B107)=0,"drop_id not on drops; ","")&amp;IF(N($E107)&lt;=0,"amount?; ","")&amp;IF($D107="","cost type?; ",""))</f>
        <v/>
      </c>
    </row>
    <row r="108" customFormat="false" ht="15" hidden="false" customHeight="false" outlineLevel="0" collapsed="false">
      <c r="A108" s="11"/>
      <c r="D108" s="10"/>
      <c r="E108" s="12"/>
      <c r="I108" s="30" t="str">
        <f aca="false">IF($A108="","",IF(COUNTIF(drops!$A$2:$A$21,$B108)=0,"drop_id not on drops; ","")&amp;IF(N($E108)&lt;=0,"amount?; ","")&amp;IF($D108="","cost type?; ",""))</f>
        <v/>
      </c>
    </row>
    <row r="109" customFormat="false" ht="15" hidden="false" customHeight="false" outlineLevel="0" collapsed="false">
      <c r="A109" s="11"/>
      <c r="D109" s="10"/>
      <c r="E109" s="12"/>
      <c r="I109" s="30" t="str">
        <f aca="false">IF($A109="","",IF(COUNTIF(drops!$A$2:$A$21,$B109)=0,"drop_id not on drops; ","")&amp;IF(N($E109)&lt;=0,"amount?; ","")&amp;IF($D109="","cost type?; ",""))</f>
        <v/>
      </c>
    </row>
    <row r="110" customFormat="false" ht="15" hidden="false" customHeight="false" outlineLevel="0" collapsed="false">
      <c r="A110" s="11"/>
      <c r="D110" s="10"/>
      <c r="E110" s="12"/>
      <c r="I110" s="30" t="str">
        <f aca="false">IF($A110="","",IF(COUNTIF(drops!$A$2:$A$21,$B110)=0,"drop_id not on drops; ","")&amp;IF(N($E110)&lt;=0,"amount?; ","")&amp;IF($D110="","cost type?; ",""))</f>
        <v/>
      </c>
    </row>
    <row r="111" customFormat="false" ht="15" hidden="false" customHeight="false" outlineLevel="0" collapsed="false">
      <c r="A111" s="11"/>
      <c r="D111" s="10"/>
      <c r="E111" s="12"/>
      <c r="I111" s="30" t="str">
        <f aca="false">IF($A111="","",IF(COUNTIF(drops!$A$2:$A$21,$B111)=0,"drop_id not on drops; ","")&amp;IF(N($E111)&lt;=0,"amount?; ","")&amp;IF($D111="","cost type?; ",""))</f>
        <v/>
      </c>
    </row>
    <row r="112" customFormat="false" ht="15" hidden="false" customHeight="false" outlineLevel="0" collapsed="false">
      <c r="A112" s="11"/>
      <c r="D112" s="10"/>
      <c r="E112" s="12"/>
      <c r="I112" s="30" t="str">
        <f aca="false">IF($A112="","",IF(COUNTIF(drops!$A$2:$A$21,$B112)=0,"drop_id not on drops; ","")&amp;IF(N($E112)&lt;=0,"amount?; ","")&amp;IF($D112="","cost type?; ",""))</f>
        <v/>
      </c>
    </row>
    <row r="113" customFormat="false" ht="15" hidden="false" customHeight="false" outlineLevel="0" collapsed="false">
      <c r="A113" s="11"/>
      <c r="D113" s="10"/>
      <c r="E113" s="12"/>
      <c r="I113" s="30" t="str">
        <f aca="false">IF($A113="","",IF(COUNTIF(drops!$A$2:$A$21,$B113)=0,"drop_id not on drops; ","")&amp;IF(N($E113)&lt;=0,"amount?; ","")&amp;IF($D113="","cost type?; ",""))</f>
        <v/>
      </c>
    </row>
    <row r="114" customFormat="false" ht="15" hidden="false" customHeight="false" outlineLevel="0" collapsed="false">
      <c r="A114" s="11"/>
      <c r="D114" s="10"/>
      <c r="E114" s="12"/>
      <c r="I114" s="30" t="str">
        <f aca="false">IF($A114="","",IF(COUNTIF(drops!$A$2:$A$21,$B114)=0,"drop_id not on drops; ","")&amp;IF(N($E114)&lt;=0,"amount?; ","")&amp;IF($D114="","cost type?; ",""))</f>
        <v/>
      </c>
    </row>
    <row r="115" customFormat="false" ht="15" hidden="false" customHeight="false" outlineLevel="0" collapsed="false">
      <c r="A115" s="11"/>
      <c r="D115" s="10"/>
      <c r="E115" s="12"/>
      <c r="I115" s="30" t="str">
        <f aca="false">IF($A115="","",IF(COUNTIF(drops!$A$2:$A$21,$B115)=0,"drop_id not on drops; ","")&amp;IF(N($E115)&lt;=0,"amount?; ","")&amp;IF($D115="","cost type?; ",""))</f>
        <v/>
      </c>
    </row>
    <row r="116" customFormat="false" ht="15" hidden="false" customHeight="false" outlineLevel="0" collapsed="false">
      <c r="A116" s="11"/>
      <c r="D116" s="10"/>
      <c r="E116" s="12"/>
      <c r="I116" s="30" t="str">
        <f aca="false">IF($A116="","",IF(COUNTIF(drops!$A$2:$A$21,$B116)=0,"drop_id not on drops; ","")&amp;IF(N($E116)&lt;=0,"amount?; ","")&amp;IF($D116="","cost type?; ",""))</f>
        <v/>
      </c>
    </row>
    <row r="117" customFormat="false" ht="15" hidden="false" customHeight="false" outlineLevel="0" collapsed="false">
      <c r="A117" s="11"/>
      <c r="D117" s="10"/>
      <c r="E117" s="12"/>
      <c r="I117" s="30" t="str">
        <f aca="false">IF($A117="","",IF(COUNTIF(drops!$A$2:$A$21,$B117)=0,"drop_id not on drops; ","")&amp;IF(N($E117)&lt;=0,"amount?; ","")&amp;IF($D117="","cost type?; ",""))</f>
        <v/>
      </c>
    </row>
    <row r="118" customFormat="false" ht="15" hidden="false" customHeight="false" outlineLevel="0" collapsed="false">
      <c r="A118" s="11"/>
      <c r="D118" s="10"/>
      <c r="E118" s="12"/>
      <c r="I118" s="30" t="str">
        <f aca="false">IF($A118="","",IF(COUNTIF(drops!$A$2:$A$21,$B118)=0,"drop_id not on drops; ","")&amp;IF(N($E118)&lt;=0,"amount?; ","")&amp;IF($D118="","cost type?; ",""))</f>
        <v/>
      </c>
    </row>
    <row r="119" customFormat="false" ht="15" hidden="false" customHeight="false" outlineLevel="0" collapsed="false">
      <c r="A119" s="11"/>
      <c r="D119" s="10"/>
      <c r="E119" s="12"/>
      <c r="I119" s="30" t="str">
        <f aca="false">IF($A119="","",IF(COUNTIF(drops!$A$2:$A$21,$B119)=0,"drop_id not on drops; ","")&amp;IF(N($E119)&lt;=0,"amount?; ","")&amp;IF($D119="","cost type?; ",""))</f>
        <v/>
      </c>
    </row>
    <row r="120" customFormat="false" ht="15" hidden="false" customHeight="false" outlineLevel="0" collapsed="false">
      <c r="A120" s="11"/>
      <c r="D120" s="10"/>
      <c r="E120" s="12"/>
      <c r="I120" s="30" t="str">
        <f aca="false">IF($A120="","",IF(COUNTIF(drops!$A$2:$A$21,$B120)=0,"drop_id not on drops; ","")&amp;IF(N($E120)&lt;=0,"amount?; ","")&amp;IF($D120="","cost type?; ",""))</f>
        <v/>
      </c>
    </row>
    <row r="121" customFormat="false" ht="15" hidden="false" customHeight="false" outlineLevel="0" collapsed="false">
      <c r="A121" s="11"/>
      <c r="D121" s="10"/>
      <c r="E121" s="12"/>
      <c r="I121" s="30" t="str">
        <f aca="false">IF($A121="","",IF(COUNTIF(drops!$A$2:$A$21,$B121)=0,"drop_id not on drops; ","")&amp;IF(N($E121)&lt;=0,"amount?; ","")&amp;IF($D121="","cost type?; ",""))</f>
        <v/>
      </c>
    </row>
    <row r="122" customFormat="false" ht="15" hidden="false" customHeight="false" outlineLevel="0" collapsed="false">
      <c r="A122" s="11"/>
      <c r="D122" s="10"/>
      <c r="E122" s="12"/>
      <c r="I122" s="30" t="str">
        <f aca="false">IF($A122="","",IF(COUNTIF(drops!$A$2:$A$21,$B122)=0,"drop_id not on drops; ","")&amp;IF(N($E122)&lt;=0,"amount?; ","")&amp;IF($D122="","cost type?; ",""))</f>
        <v/>
      </c>
    </row>
    <row r="123" customFormat="false" ht="15" hidden="false" customHeight="false" outlineLevel="0" collapsed="false">
      <c r="A123" s="11"/>
      <c r="D123" s="10"/>
      <c r="E123" s="12"/>
      <c r="I123" s="30" t="str">
        <f aca="false">IF($A123="","",IF(COUNTIF(drops!$A$2:$A$21,$B123)=0,"drop_id not on drops; ","")&amp;IF(N($E123)&lt;=0,"amount?; ","")&amp;IF($D123="","cost type?; ",""))</f>
        <v/>
      </c>
    </row>
    <row r="124" customFormat="false" ht="15" hidden="false" customHeight="false" outlineLevel="0" collapsed="false">
      <c r="A124" s="11"/>
      <c r="D124" s="10"/>
      <c r="E124" s="12"/>
      <c r="I124" s="30" t="str">
        <f aca="false">IF($A124="","",IF(COUNTIF(drops!$A$2:$A$21,$B124)=0,"drop_id not on drops; ","")&amp;IF(N($E124)&lt;=0,"amount?; ","")&amp;IF($D124="","cost type?; ",""))</f>
        <v/>
      </c>
    </row>
    <row r="125" customFormat="false" ht="15" hidden="false" customHeight="false" outlineLevel="0" collapsed="false">
      <c r="A125" s="11"/>
      <c r="D125" s="10"/>
      <c r="E125" s="12"/>
      <c r="I125" s="30" t="str">
        <f aca="false">IF($A125="","",IF(COUNTIF(drops!$A$2:$A$21,$B125)=0,"drop_id not on drops; ","")&amp;IF(N($E125)&lt;=0,"amount?; ","")&amp;IF($D125="","cost type?; ",""))</f>
        <v/>
      </c>
    </row>
    <row r="126" customFormat="false" ht="15" hidden="false" customHeight="false" outlineLevel="0" collapsed="false">
      <c r="A126" s="11"/>
      <c r="D126" s="10"/>
      <c r="E126" s="12"/>
      <c r="I126" s="30" t="str">
        <f aca="false">IF($A126="","",IF(COUNTIF(drops!$A$2:$A$21,$B126)=0,"drop_id not on drops; ","")&amp;IF(N($E126)&lt;=0,"amount?; ","")&amp;IF($D126="","cost type?; ",""))</f>
        <v/>
      </c>
    </row>
    <row r="127" customFormat="false" ht="15" hidden="false" customHeight="false" outlineLevel="0" collapsed="false">
      <c r="A127" s="11"/>
      <c r="D127" s="10"/>
      <c r="E127" s="12"/>
      <c r="I127" s="30" t="str">
        <f aca="false">IF($A127="","",IF(COUNTIF(drops!$A$2:$A$21,$B127)=0,"drop_id not on drops; ","")&amp;IF(N($E127)&lt;=0,"amount?; ","")&amp;IF($D127="","cost type?; ",""))</f>
        <v/>
      </c>
    </row>
    <row r="128" customFormat="false" ht="15" hidden="false" customHeight="false" outlineLevel="0" collapsed="false">
      <c r="A128" s="11"/>
      <c r="D128" s="10"/>
      <c r="E128" s="12"/>
      <c r="I128" s="30" t="str">
        <f aca="false">IF($A128="","",IF(COUNTIF(drops!$A$2:$A$21,$B128)=0,"drop_id not on drops; ","")&amp;IF(N($E128)&lt;=0,"amount?; ","")&amp;IF($D128="","cost type?; ",""))</f>
        <v/>
      </c>
    </row>
    <row r="129" customFormat="false" ht="15" hidden="false" customHeight="false" outlineLevel="0" collapsed="false">
      <c r="A129" s="11"/>
      <c r="D129" s="10"/>
      <c r="E129" s="12"/>
      <c r="I129" s="30" t="str">
        <f aca="false">IF($A129="","",IF(COUNTIF(drops!$A$2:$A$21,$B129)=0,"drop_id not on drops; ","")&amp;IF(N($E129)&lt;=0,"amount?; ","")&amp;IF($D129="","cost type?; ",""))</f>
        <v/>
      </c>
    </row>
    <row r="130" customFormat="false" ht="15" hidden="false" customHeight="false" outlineLevel="0" collapsed="false">
      <c r="A130" s="11"/>
      <c r="D130" s="10"/>
      <c r="E130" s="12"/>
      <c r="I130" s="30" t="str">
        <f aca="false">IF($A130="","",IF(COUNTIF(drops!$A$2:$A$21,$B130)=0,"drop_id not on drops; ","")&amp;IF(N($E130)&lt;=0,"amount?; ","")&amp;IF($D130="","cost type?; ",""))</f>
        <v/>
      </c>
    </row>
    <row r="131" customFormat="false" ht="15" hidden="false" customHeight="false" outlineLevel="0" collapsed="false">
      <c r="A131" s="11"/>
      <c r="D131" s="10"/>
      <c r="E131" s="12"/>
      <c r="I131" s="30" t="str">
        <f aca="false">IF($A131="","",IF(COUNTIF(drops!$A$2:$A$21,$B131)=0,"drop_id not on drops; ","")&amp;IF(N($E131)&lt;=0,"amount?; ","")&amp;IF($D131="","cost type?; ",""))</f>
        <v/>
      </c>
    </row>
    <row r="132" customFormat="false" ht="15" hidden="false" customHeight="false" outlineLevel="0" collapsed="false">
      <c r="A132" s="11"/>
      <c r="D132" s="10"/>
      <c r="E132" s="12"/>
      <c r="I132" s="30" t="str">
        <f aca="false">IF($A132="","",IF(COUNTIF(drops!$A$2:$A$21,$B132)=0,"drop_id not on drops; ","")&amp;IF(N($E132)&lt;=0,"amount?; ","")&amp;IF($D132="","cost type?; ",""))</f>
        <v/>
      </c>
    </row>
    <row r="133" customFormat="false" ht="15" hidden="false" customHeight="false" outlineLevel="0" collapsed="false">
      <c r="A133" s="11"/>
      <c r="D133" s="10"/>
      <c r="E133" s="12"/>
      <c r="I133" s="30" t="str">
        <f aca="false">IF($A133="","",IF(COUNTIF(drops!$A$2:$A$21,$B133)=0,"drop_id not on drops; ","")&amp;IF(N($E133)&lt;=0,"amount?; ","")&amp;IF($D133="","cost type?; ",""))</f>
        <v/>
      </c>
    </row>
    <row r="134" customFormat="false" ht="15" hidden="false" customHeight="false" outlineLevel="0" collapsed="false">
      <c r="A134" s="11"/>
      <c r="D134" s="10"/>
      <c r="E134" s="12"/>
      <c r="I134" s="30" t="str">
        <f aca="false">IF($A134="","",IF(COUNTIF(drops!$A$2:$A$21,$B134)=0,"drop_id not on drops; ","")&amp;IF(N($E134)&lt;=0,"amount?; ","")&amp;IF($D134="","cost type?; ",""))</f>
        <v/>
      </c>
    </row>
    <row r="135" customFormat="false" ht="15" hidden="false" customHeight="false" outlineLevel="0" collapsed="false">
      <c r="A135" s="11"/>
      <c r="D135" s="10"/>
      <c r="E135" s="12"/>
      <c r="I135" s="30" t="str">
        <f aca="false">IF($A135="","",IF(COUNTIF(drops!$A$2:$A$21,$B135)=0,"drop_id not on drops; ","")&amp;IF(N($E135)&lt;=0,"amount?; ","")&amp;IF($D135="","cost type?; ",""))</f>
        <v/>
      </c>
    </row>
    <row r="136" customFormat="false" ht="15" hidden="false" customHeight="false" outlineLevel="0" collapsed="false">
      <c r="A136" s="11"/>
      <c r="D136" s="10"/>
      <c r="E136" s="12"/>
      <c r="I136" s="30" t="str">
        <f aca="false">IF($A136="","",IF(COUNTIF(drops!$A$2:$A$21,$B136)=0,"drop_id not on drops; ","")&amp;IF(N($E136)&lt;=0,"amount?; ","")&amp;IF($D136="","cost type?; ",""))</f>
        <v/>
      </c>
    </row>
    <row r="137" customFormat="false" ht="15" hidden="false" customHeight="false" outlineLevel="0" collapsed="false">
      <c r="A137" s="11"/>
      <c r="D137" s="10"/>
      <c r="E137" s="12"/>
      <c r="I137" s="30" t="str">
        <f aca="false">IF($A137="","",IF(COUNTIF(drops!$A$2:$A$21,$B137)=0,"drop_id not on drops; ","")&amp;IF(N($E137)&lt;=0,"amount?; ","")&amp;IF($D137="","cost type?; ",""))</f>
        <v/>
      </c>
    </row>
    <row r="138" customFormat="false" ht="15" hidden="false" customHeight="false" outlineLevel="0" collapsed="false">
      <c r="A138" s="11"/>
      <c r="D138" s="10"/>
      <c r="E138" s="12"/>
      <c r="I138" s="30" t="str">
        <f aca="false">IF($A138="","",IF(COUNTIF(drops!$A$2:$A$21,$B138)=0,"drop_id not on drops; ","")&amp;IF(N($E138)&lt;=0,"amount?; ","")&amp;IF($D138="","cost type?; ",""))</f>
        <v/>
      </c>
    </row>
    <row r="139" customFormat="false" ht="15" hidden="false" customHeight="false" outlineLevel="0" collapsed="false">
      <c r="A139" s="11"/>
      <c r="D139" s="10"/>
      <c r="E139" s="12"/>
      <c r="I139" s="30" t="str">
        <f aca="false">IF($A139="","",IF(COUNTIF(drops!$A$2:$A$21,$B139)=0,"drop_id not on drops; ","")&amp;IF(N($E139)&lt;=0,"amount?; ","")&amp;IF($D139="","cost type?; ",""))</f>
        <v/>
      </c>
    </row>
    <row r="140" customFormat="false" ht="15" hidden="false" customHeight="false" outlineLevel="0" collapsed="false">
      <c r="A140" s="11"/>
      <c r="D140" s="10"/>
      <c r="E140" s="12"/>
      <c r="I140" s="30" t="str">
        <f aca="false">IF($A140="","",IF(COUNTIF(drops!$A$2:$A$21,$B140)=0,"drop_id not on drops; ","")&amp;IF(N($E140)&lt;=0,"amount?; ","")&amp;IF($D140="","cost type?; ",""))</f>
        <v/>
      </c>
    </row>
    <row r="141" customFormat="false" ht="15" hidden="false" customHeight="false" outlineLevel="0" collapsed="false">
      <c r="A141" s="11"/>
      <c r="D141" s="10"/>
      <c r="E141" s="12"/>
      <c r="I141" s="30" t="str">
        <f aca="false">IF($A141="","",IF(COUNTIF(drops!$A$2:$A$21,$B141)=0,"drop_id not on drops; ","")&amp;IF(N($E141)&lt;=0,"amount?; ","")&amp;IF($D141="","cost type?; ",""))</f>
        <v/>
      </c>
    </row>
    <row r="142" customFormat="false" ht="15" hidden="false" customHeight="false" outlineLevel="0" collapsed="false">
      <c r="A142" s="11"/>
      <c r="D142" s="10"/>
      <c r="E142" s="12"/>
      <c r="I142" s="30" t="str">
        <f aca="false">IF($A142="","",IF(COUNTIF(drops!$A$2:$A$21,$B142)=0,"drop_id not on drops; ","")&amp;IF(N($E142)&lt;=0,"amount?; ","")&amp;IF($D142="","cost type?; ",""))</f>
        <v/>
      </c>
    </row>
    <row r="143" customFormat="false" ht="15" hidden="false" customHeight="false" outlineLevel="0" collapsed="false">
      <c r="A143" s="11"/>
      <c r="D143" s="10"/>
      <c r="E143" s="12"/>
      <c r="I143" s="30" t="str">
        <f aca="false">IF($A143="","",IF(COUNTIF(drops!$A$2:$A$21,$B143)=0,"drop_id not on drops; ","")&amp;IF(N($E143)&lt;=0,"amount?; ","")&amp;IF($D143="","cost type?; ",""))</f>
        <v/>
      </c>
    </row>
    <row r="144" customFormat="false" ht="15" hidden="false" customHeight="false" outlineLevel="0" collapsed="false">
      <c r="A144" s="11"/>
      <c r="D144" s="10"/>
      <c r="E144" s="12"/>
      <c r="I144" s="30" t="str">
        <f aca="false">IF($A144="","",IF(COUNTIF(drops!$A$2:$A$21,$B144)=0,"drop_id not on drops; ","")&amp;IF(N($E144)&lt;=0,"amount?; ","")&amp;IF($D144="","cost type?; ",""))</f>
        <v/>
      </c>
    </row>
    <row r="145" customFormat="false" ht="15" hidden="false" customHeight="false" outlineLevel="0" collapsed="false">
      <c r="A145" s="11"/>
      <c r="D145" s="10"/>
      <c r="E145" s="12"/>
      <c r="I145" s="30" t="str">
        <f aca="false">IF($A145="","",IF(COUNTIF(drops!$A$2:$A$21,$B145)=0,"drop_id not on drops; ","")&amp;IF(N($E145)&lt;=0,"amount?; ","")&amp;IF($D145="","cost type?; ",""))</f>
        <v/>
      </c>
    </row>
    <row r="146" customFormat="false" ht="15" hidden="false" customHeight="false" outlineLevel="0" collapsed="false">
      <c r="A146" s="11"/>
      <c r="D146" s="10"/>
      <c r="E146" s="12"/>
      <c r="I146" s="30" t="str">
        <f aca="false">IF($A146="","",IF(COUNTIF(drops!$A$2:$A$21,$B146)=0,"drop_id not on drops; ","")&amp;IF(N($E146)&lt;=0,"amount?; ","")&amp;IF($D146="","cost type?; ",""))</f>
        <v/>
      </c>
    </row>
    <row r="147" customFormat="false" ht="15" hidden="false" customHeight="false" outlineLevel="0" collapsed="false">
      <c r="A147" s="11"/>
      <c r="D147" s="10"/>
      <c r="E147" s="12"/>
      <c r="I147" s="30" t="str">
        <f aca="false">IF($A147="","",IF(COUNTIF(drops!$A$2:$A$21,$B147)=0,"drop_id not on drops; ","")&amp;IF(N($E147)&lt;=0,"amount?; ","")&amp;IF($D147="","cost type?; ",""))</f>
        <v/>
      </c>
    </row>
    <row r="148" customFormat="false" ht="15" hidden="false" customHeight="false" outlineLevel="0" collapsed="false">
      <c r="A148" s="11"/>
      <c r="D148" s="10"/>
      <c r="E148" s="12"/>
      <c r="I148" s="30" t="str">
        <f aca="false">IF($A148="","",IF(COUNTIF(drops!$A$2:$A$21,$B148)=0,"drop_id not on drops; ","")&amp;IF(N($E148)&lt;=0,"amount?; ","")&amp;IF($D148="","cost type?; ",""))</f>
        <v/>
      </c>
    </row>
    <row r="149" customFormat="false" ht="15" hidden="false" customHeight="false" outlineLevel="0" collapsed="false">
      <c r="A149" s="11"/>
      <c r="D149" s="10"/>
      <c r="E149" s="12"/>
      <c r="I149" s="30" t="str">
        <f aca="false">IF($A149="","",IF(COUNTIF(drops!$A$2:$A$21,$B149)=0,"drop_id not on drops; ","")&amp;IF(N($E149)&lt;=0,"amount?; ","")&amp;IF($D149="","cost type?; ",""))</f>
        <v/>
      </c>
    </row>
    <row r="150" customFormat="false" ht="15" hidden="false" customHeight="false" outlineLevel="0" collapsed="false">
      <c r="A150" s="11"/>
      <c r="D150" s="10"/>
      <c r="E150" s="12"/>
      <c r="I150" s="30" t="str">
        <f aca="false">IF($A150="","",IF(COUNTIF(drops!$A$2:$A$21,$B150)=0,"drop_id not on drops; ","")&amp;IF(N($E150)&lt;=0,"amount?; ","")&amp;IF($D150="","cost type?; ",""))</f>
        <v/>
      </c>
    </row>
    <row r="151" customFormat="false" ht="15" hidden="false" customHeight="false" outlineLevel="0" collapsed="false">
      <c r="A151" s="11"/>
      <c r="D151" s="10"/>
      <c r="E151" s="12"/>
      <c r="I151" s="30" t="str">
        <f aca="false">IF($A151="","",IF(COUNTIF(drops!$A$2:$A$21,$B151)=0,"drop_id not on drops; ","")&amp;IF(N($E151)&lt;=0,"amount?; ","")&amp;IF($D151="","cost type?; ",""))</f>
        <v/>
      </c>
    </row>
    <row r="152" customFormat="false" ht="15" hidden="false" customHeight="false" outlineLevel="0" collapsed="false">
      <c r="A152" s="11"/>
      <c r="D152" s="10"/>
      <c r="E152" s="12"/>
      <c r="I152" s="30" t="str">
        <f aca="false">IF($A152="","",IF(COUNTIF(drops!$A$2:$A$21,$B152)=0,"drop_id not on drops; ","")&amp;IF(N($E152)&lt;=0,"amount?; ","")&amp;IF($D152="","cost type?; ",""))</f>
        <v/>
      </c>
    </row>
    <row r="153" customFormat="false" ht="15" hidden="false" customHeight="false" outlineLevel="0" collapsed="false">
      <c r="A153" s="11"/>
      <c r="D153" s="10"/>
      <c r="E153" s="12"/>
      <c r="I153" s="30" t="str">
        <f aca="false">IF($A153="","",IF(COUNTIF(drops!$A$2:$A$21,$B153)=0,"drop_id not on drops; ","")&amp;IF(N($E153)&lt;=0,"amount?; ","")&amp;IF($D153="","cost type?; ",""))</f>
        <v/>
      </c>
    </row>
    <row r="154" customFormat="false" ht="15" hidden="false" customHeight="false" outlineLevel="0" collapsed="false">
      <c r="A154" s="11"/>
      <c r="D154" s="10"/>
      <c r="E154" s="12"/>
      <c r="I154" s="30" t="str">
        <f aca="false">IF($A154="","",IF(COUNTIF(drops!$A$2:$A$21,$B154)=0,"drop_id not on drops; ","")&amp;IF(N($E154)&lt;=0,"amount?; ","")&amp;IF($D154="","cost type?; ",""))</f>
        <v/>
      </c>
    </row>
    <row r="155" customFormat="false" ht="15" hidden="false" customHeight="false" outlineLevel="0" collapsed="false">
      <c r="A155" s="11"/>
      <c r="D155" s="10"/>
      <c r="E155" s="12"/>
      <c r="I155" s="30" t="str">
        <f aca="false">IF($A155="","",IF(COUNTIF(drops!$A$2:$A$21,$B155)=0,"drop_id not on drops; ","")&amp;IF(N($E155)&lt;=0,"amount?; ","")&amp;IF($D155="","cost type?; ",""))</f>
        <v/>
      </c>
    </row>
    <row r="156" customFormat="false" ht="15" hidden="false" customHeight="false" outlineLevel="0" collapsed="false">
      <c r="A156" s="11"/>
      <c r="D156" s="10"/>
      <c r="E156" s="12"/>
      <c r="I156" s="30" t="str">
        <f aca="false">IF($A156="","",IF(COUNTIF(drops!$A$2:$A$21,$B156)=0,"drop_id not on drops; ","")&amp;IF(N($E156)&lt;=0,"amount?; ","")&amp;IF($D156="","cost type?; ",""))</f>
        <v/>
      </c>
    </row>
    <row r="157" customFormat="false" ht="15" hidden="false" customHeight="false" outlineLevel="0" collapsed="false">
      <c r="A157" s="11"/>
      <c r="D157" s="10"/>
      <c r="E157" s="12"/>
      <c r="I157" s="30" t="str">
        <f aca="false">IF($A157="","",IF(COUNTIF(drops!$A$2:$A$21,$B157)=0,"drop_id not on drops; ","")&amp;IF(N($E157)&lt;=0,"amount?; ","")&amp;IF($D157="","cost type?; ",""))</f>
        <v/>
      </c>
    </row>
    <row r="158" customFormat="false" ht="15" hidden="false" customHeight="false" outlineLevel="0" collapsed="false">
      <c r="A158" s="11"/>
      <c r="D158" s="10"/>
      <c r="E158" s="12"/>
      <c r="I158" s="30" t="str">
        <f aca="false">IF($A158="","",IF(COUNTIF(drops!$A$2:$A$21,$B158)=0,"drop_id not on drops; ","")&amp;IF(N($E158)&lt;=0,"amount?; ","")&amp;IF($D158="","cost type?; ",""))</f>
        <v/>
      </c>
    </row>
    <row r="159" customFormat="false" ht="15" hidden="false" customHeight="false" outlineLevel="0" collapsed="false">
      <c r="A159" s="11"/>
      <c r="D159" s="10"/>
      <c r="E159" s="12"/>
      <c r="I159" s="30" t="str">
        <f aca="false">IF($A159="","",IF(COUNTIF(drops!$A$2:$A$21,$B159)=0,"drop_id not on drops; ","")&amp;IF(N($E159)&lt;=0,"amount?; ","")&amp;IF($D159="","cost type?; ",""))</f>
        <v/>
      </c>
    </row>
    <row r="160" customFormat="false" ht="15" hidden="false" customHeight="false" outlineLevel="0" collapsed="false">
      <c r="A160" s="11"/>
      <c r="D160" s="10"/>
      <c r="E160" s="12"/>
      <c r="I160" s="30" t="str">
        <f aca="false">IF($A160="","",IF(COUNTIF(drops!$A$2:$A$21,$B160)=0,"drop_id not on drops; ","")&amp;IF(N($E160)&lt;=0,"amount?; ","")&amp;IF($D160="","cost type?; ",""))</f>
        <v/>
      </c>
    </row>
    <row r="161" customFormat="false" ht="15" hidden="false" customHeight="false" outlineLevel="0" collapsed="false">
      <c r="A161" s="11"/>
      <c r="D161" s="10"/>
      <c r="E161" s="12"/>
      <c r="I161" s="30" t="str">
        <f aca="false">IF($A161="","",IF(COUNTIF(drops!$A$2:$A$21,$B161)=0,"drop_id not on drops; ","")&amp;IF(N($E161)&lt;=0,"amount?; ","")&amp;IF($D161="","cost type?; ",""))</f>
        <v/>
      </c>
    </row>
    <row r="162" customFormat="false" ht="15" hidden="false" customHeight="false" outlineLevel="0" collapsed="false">
      <c r="A162" s="11"/>
      <c r="D162" s="10"/>
      <c r="E162" s="12"/>
      <c r="I162" s="30" t="str">
        <f aca="false">IF($A162="","",IF(COUNTIF(drops!$A$2:$A$21,$B162)=0,"drop_id not on drops; ","")&amp;IF(N($E162)&lt;=0,"amount?; ","")&amp;IF($D162="","cost type?; ",""))</f>
        <v/>
      </c>
    </row>
    <row r="163" customFormat="false" ht="15" hidden="false" customHeight="false" outlineLevel="0" collapsed="false">
      <c r="A163" s="11"/>
      <c r="D163" s="10"/>
      <c r="E163" s="12"/>
      <c r="I163" s="30" t="str">
        <f aca="false">IF($A163="","",IF(COUNTIF(drops!$A$2:$A$21,$B163)=0,"drop_id not on drops; ","")&amp;IF(N($E163)&lt;=0,"amount?; ","")&amp;IF($D163="","cost type?; ",""))</f>
        <v/>
      </c>
    </row>
    <row r="164" customFormat="false" ht="15" hidden="false" customHeight="false" outlineLevel="0" collapsed="false">
      <c r="A164" s="11"/>
      <c r="D164" s="10"/>
      <c r="E164" s="12"/>
      <c r="I164" s="30" t="str">
        <f aca="false">IF($A164="","",IF(COUNTIF(drops!$A$2:$A$21,$B164)=0,"drop_id not on drops; ","")&amp;IF(N($E164)&lt;=0,"amount?; ","")&amp;IF($D164="","cost type?; ",""))</f>
        <v/>
      </c>
    </row>
    <row r="165" customFormat="false" ht="15" hidden="false" customHeight="false" outlineLevel="0" collapsed="false">
      <c r="A165" s="11"/>
      <c r="D165" s="10"/>
      <c r="E165" s="12"/>
      <c r="I165" s="30" t="str">
        <f aca="false">IF($A165="","",IF(COUNTIF(drops!$A$2:$A$21,$B165)=0,"drop_id not on drops; ","")&amp;IF(N($E165)&lt;=0,"amount?; ","")&amp;IF($D165="","cost type?; ",""))</f>
        <v/>
      </c>
    </row>
    <row r="166" customFormat="false" ht="15" hidden="false" customHeight="false" outlineLevel="0" collapsed="false">
      <c r="A166" s="11"/>
      <c r="D166" s="10"/>
      <c r="E166" s="12"/>
      <c r="I166" s="30" t="str">
        <f aca="false">IF($A166="","",IF(COUNTIF(drops!$A$2:$A$21,$B166)=0,"drop_id not on drops; ","")&amp;IF(N($E166)&lt;=0,"amount?; ","")&amp;IF($D166="","cost type?; ",""))</f>
        <v/>
      </c>
    </row>
    <row r="167" customFormat="false" ht="15" hidden="false" customHeight="false" outlineLevel="0" collapsed="false">
      <c r="A167" s="11"/>
      <c r="D167" s="10"/>
      <c r="E167" s="12"/>
      <c r="I167" s="30" t="str">
        <f aca="false">IF($A167="","",IF(COUNTIF(drops!$A$2:$A$21,$B167)=0,"drop_id not on drops; ","")&amp;IF(N($E167)&lt;=0,"amount?; ","")&amp;IF($D167="","cost type?; ",""))</f>
        <v/>
      </c>
    </row>
    <row r="168" customFormat="false" ht="15" hidden="false" customHeight="false" outlineLevel="0" collapsed="false">
      <c r="A168" s="11"/>
      <c r="D168" s="10"/>
      <c r="E168" s="12"/>
      <c r="I168" s="30" t="str">
        <f aca="false">IF($A168="","",IF(COUNTIF(drops!$A$2:$A$21,$B168)=0,"drop_id not on drops; ","")&amp;IF(N($E168)&lt;=0,"amount?; ","")&amp;IF($D168="","cost type?; ",""))</f>
        <v/>
      </c>
    </row>
    <row r="169" customFormat="false" ht="15" hidden="false" customHeight="false" outlineLevel="0" collapsed="false">
      <c r="A169" s="11"/>
      <c r="D169" s="10"/>
      <c r="E169" s="12"/>
      <c r="I169" s="30" t="str">
        <f aca="false">IF($A169="","",IF(COUNTIF(drops!$A$2:$A$21,$B169)=0,"drop_id not on drops; ","")&amp;IF(N($E169)&lt;=0,"amount?; ","")&amp;IF($D169="","cost type?; ",""))</f>
        <v/>
      </c>
    </row>
    <row r="170" customFormat="false" ht="15" hidden="false" customHeight="false" outlineLevel="0" collapsed="false">
      <c r="A170" s="11"/>
      <c r="D170" s="10"/>
      <c r="E170" s="12"/>
      <c r="I170" s="30" t="str">
        <f aca="false">IF($A170="","",IF(COUNTIF(drops!$A$2:$A$21,$B170)=0,"drop_id not on drops; ","")&amp;IF(N($E170)&lt;=0,"amount?; ","")&amp;IF($D170="","cost type?; ",""))</f>
        <v/>
      </c>
    </row>
    <row r="171" customFormat="false" ht="15" hidden="false" customHeight="false" outlineLevel="0" collapsed="false">
      <c r="A171" s="11"/>
      <c r="D171" s="10"/>
      <c r="E171" s="12"/>
      <c r="I171" s="30" t="str">
        <f aca="false">IF($A171="","",IF(COUNTIF(drops!$A$2:$A$21,$B171)=0,"drop_id not on drops; ","")&amp;IF(N($E171)&lt;=0,"amount?; ","")&amp;IF($D171="","cost type?; ",""))</f>
        <v/>
      </c>
    </row>
    <row r="172" customFormat="false" ht="15" hidden="false" customHeight="false" outlineLevel="0" collapsed="false">
      <c r="A172" s="11"/>
      <c r="D172" s="10"/>
      <c r="E172" s="12"/>
      <c r="I172" s="30" t="str">
        <f aca="false">IF($A172="","",IF(COUNTIF(drops!$A$2:$A$21,$B172)=0,"drop_id not on drops; ","")&amp;IF(N($E172)&lt;=0,"amount?; ","")&amp;IF($D172="","cost type?; ",""))</f>
        <v/>
      </c>
    </row>
    <row r="173" customFormat="false" ht="15" hidden="false" customHeight="false" outlineLevel="0" collapsed="false">
      <c r="A173" s="11"/>
      <c r="D173" s="10"/>
      <c r="E173" s="12"/>
      <c r="I173" s="30" t="str">
        <f aca="false">IF($A173="","",IF(COUNTIF(drops!$A$2:$A$21,$B173)=0,"drop_id not on drops; ","")&amp;IF(N($E173)&lt;=0,"amount?; ","")&amp;IF($D173="","cost type?; ",""))</f>
        <v/>
      </c>
    </row>
    <row r="174" customFormat="false" ht="15" hidden="false" customHeight="false" outlineLevel="0" collapsed="false">
      <c r="A174" s="11"/>
      <c r="D174" s="10"/>
      <c r="E174" s="12"/>
      <c r="I174" s="30" t="str">
        <f aca="false">IF($A174="","",IF(COUNTIF(drops!$A$2:$A$21,$B174)=0,"drop_id not on drops; ","")&amp;IF(N($E174)&lt;=0,"amount?; ","")&amp;IF($D174="","cost type?; ",""))</f>
        <v/>
      </c>
    </row>
    <row r="175" customFormat="false" ht="15" hidden="false" customHeight="false" outlineLevel="0" collapsed="false">
      <c r="A175" s="11"/>
      <c r="D175" s="10"/>
      <c r="E175" s="12"/>
      <c r="I175" s="30" t="str">
        <f aca="false">IF($A175="","",IF(COUNTIF(drops!$A$2:$A$21,$B175)=0,"drop_id not on drops; ","")&amp;IF(N($E175)&lt;=0,"amount?; ","")&amp;IF($D175="","cost type?; ",""))</f>
        <v/>
      </c>
    </row>
    <row r="176" customFormat="false" ht="15" hidden="false" customHeight="false" outlineLevel="0" collapsed="false">
      <c r="A176" s="11"/>
      <c r="D176" s="10"/>
      <c r="E176" s="12"/>
      <c r="I176" s="30" t="str">
        <f aca="false">IF($A176="","",IF(COUNTIF(drops!$A$2:$A$21,$B176)=0,"drop_id not on drops; ","")&amp;IF(N($E176)&lt;=0,"amount?; ","")&amp;IF($D176="","cost type?; ",""))</f>
        <v/>
      </c>
    </row>
    <row r="177" customFormat="false" ht="15" hidden="false" customHeight="false" outlineLevel="0" collapsed="false">
      <c r="A177" s="11"/>
      <c r="D177" s="10"/>
      <c r="E177" s="12"/>
      <c r="I177" s="30" t="str">
        <f aca="false">IF($A177="","",IF(COUNTIF(drops!$A$2:$A$21,$B177)=0,"drop_id not on drops; ","")&amp;IF(N($E177)&lt;=0,"amount?; ","")&amp;IF($D177="","cost type?; ",""))</f>
        <v/>
      </c>
    </row>
    <row r="178" customFormat="false" ht="15" hidden="false" customHeight="false" outlineLevel="0" collapsed="false">
      <c r="A178" s="11"/>
      <c r="D178" s="10"/>
      <c r="E178" s="12"/>
      <c r="I178" s="30" t="str">
        <f aca="false">IF($A178="","",IF(COUNTIF(drops!$A$2:$A$21,$B178)=0,"drop_id not on drops; ","")&amp;IF(N($E178)&lt;=0,"amount?; ","")&amp;IF($D178="","cost type?; ",""))</f>
        <v/>
      </c>
    </row>
    <row r="179" customFormat="false" ht="15" hidden="false" customHeight="false" outlineLevel="0" collapsed="false">
      <c r="A179" s="11"/>
      <c r="D179" s="10"/>
      <c r="E179" s="12"/>
      <c r="I179" s="30" t="str">
        <f aca="false">IF($A179="","",IF(COUNTIF(drops!$A$2:$A$21,$B179)=0,"drop_id not on drops; ","")&amp;IF(N($E179)&lt;=0,"amount?; ","")&amp;IF($D179="","cost type?; ",""))</f>
        <v/>
      </c>
    </row>
    <row r="180" customFormat="false" ht="15" hidden="false" customHeight="false" outlineLevel="0" collapsed="false">
      <c r="A180" s="11"/>
      <c r="D180" s="10"/>
      <c r="E180" s="12"/>
      <c r="I180" s="30" t="str">
        <f aca="false">IF($A180="","",IF(COUNTIF(drops!$A$2:$A$21,$B180)=0,"drop_id not on drops; ","")&amp;IF(N($E180)&lt;=0,"amount?; ","")&amp;IF($D180="","cost type?; ",""))</f>
        <v/>
      </c>
    </row>
    <row r="181" customFormat="false" ht="15" hidden="false" customHeight="false" outlineLevel="0" collapsed="false">
      <c r="A181" s="11"/>
      <c r="D181" s="10"/>
      <c r="E181" s="12"/>
      <c r="I181" s="30" t="str">
        <f aca="false">IF($A181="","",IF(COUNTIF(drops!$A$2:$A$21,$B181)=0,"drop_id not on drops; ","")&amp;IF(N($E181)&lt;=0,"amount?; ","")&amp;IF($D181="","cost type?; ",""))</f>
        <v/>
      </c>
    </row>
    <row r="182" customFormat="false" ht="15" hidden="false" customHeight="false" outlineLevel="0" collapsed="false">
      <c r="A182" s="11"/>
      <c r="D182" s="10"/>
      <c r="E182" s="12"/>
      <c r="I182" s="30" t="str">
        <f aca="false">IF($A182="","",IF(COUNTIF(drops!$A$2:$A$21,$B182)=0,"drop_id not on drops; ","")&amp;IF(N($E182)&lt;=0,"amount?; ","")&amp;IF($D182="","cost type?; ",""))</f>
        <v/>
      </c>
    </row>
    <row r="183" customFormat="false" ht="15" hidden="false" customHeight="false" outlineLevel="0" collapsed="false">
      <c r="A183" s="11"/>
      <c r="D183" s="10"/>
      <c r="E183" s="12"/>
      <c r="I183" s="30" t="str">
        <f aca="false">IF($A183="","",IF(COUNTIF(drops!$A$2:$A$21,$B183)=0,"drop_id not on drops; ","")&amp;IF(N($E183)&lt;=0,"amount?; ","")&amp;IF($D183="","cost type?; ",""))</f>
        <v/>
      </c>
    </row>
    <row r="184" customFormat="false" ht="15" hidden="false" customHeight="false" outlineLevel="0" collapsed="false">
      <c r="A184" s="11"/>
      <c r="D184" s="10"/>
      <c r="E184" s="12"/>
      <c r="I184" s="30" t="str">
        <f aca="false">IF($A184="","",IF(COUNTIF(drops!$A$2:$A$21,$B184)=0,"drop_id not on drops; ","")&amp;IF(N($E184)&lt;=0,"amount?; ","")&amp;IF($D184="","cost type?; ",""))</f>
        <v/>
      </c>
    </row>
    <row r="185" customFormat="false" ht="15" hidden="false" customHeight="false" outlineLevel="0" collapsed="false">
      <c r="A185" s="11"/>
      <c r="D185" s="10"/>
      <c r="E185" s="12"/>
      <c r="I185" s="30" t="str">
        <f aca="false">IF($A185="","",IF(COUNTIF(drops!$A$2:$A$21,$B185)=0,"drop_id not on drops; ","")&amp;IF(N($E185)&lt;=0,"amount?; ","")&amp;IF($D185="","cost type?; ",""))</f>
        <v/>
      </c>
    </row>
    <row r="186" customFormat="false" ht="15" hidden="false" customHeight="false" outlineLevel="0" collapsed="false">
      <c r="A186" s="11"/>
      <c r="D186" s="10"/>
      <c r="E186" s="12"/>
      <c r="I186" s="30" t="str">
        <f aca="false">IF($A186="","",IF(COUNTIF(drops!$A$2:$A$21,$B186)=0,"drop_id not on drops; ","")&amp;IF(N($E186)&lt;=0,"amount?; ","")&amp;IF($D186="","cost type?; ",""))</f>
        <v/>
      </c>
    </row>
    <row r="187" customFormat="false" ht="15" hidden="false" customHeight="false" outlineLevel="0" collapsed="false">
      <c r="A187" s="11"/>
      <c r="D187" s="10"/>
      <c r="E187" s="12"/>
      <c r="I187" s="30" t="str">
        <f aca="false">IF($A187="","",IF(COUNTIF(drops!$A$2:$A$21,$B187)=0,"drop_id not on drops; ","")&amp;IF(N($E187)&lt;=0,"amount?; ","")&amp;IF($D187="","cost type?; ",""))</f>
        <v/>
      </c>
    </row>
    <row r="188" customFormat="false" ht="15" hidden="false" customHeight="false" outlineLevel="0" collapsed="false">
      <c r="A188" s="11"/>
      <c r="D188" s="10"/>
      <c r="E188" s="12"/>
      <c r="I188" s="30" t="str">
        <f aca="false">IF($A188="","",IF(COUNTIF(drops!$A$2:$A$21,$B188)=0,"drop_id not on drops; ","")&amp;IF(N($E188)&lt;=0,"amount?; ","")&amp;IF($D188="","cost type?; ",""))</f>
        <v/>
      </c>
    </row>
    <row r="189" customFormat="false" ht="15" hidden="false" customHeight="false" outlineLevel="0" collapsed="false">
      <c r="A189" s="11"/>
      <c r="D189" s="10"/>
      <c r="E189" s="12"/>
      <c r="I189" s="30" t="str">
        <f aca="false">IF($A189="","",IF(COUNTIF(drops!$A$2:$A$21,$B189)=0,"drop_id not on drops; ","")&amp;IF(N($E189)&lt;=0,"amount?; ","")&amp;IF($D189="","cost type?; ",""))</f>
        <v/>
      </c>
    </row>
    <row r="190" customFormat="false" ht="15" hidden="false" customHeight="false" outlineLevel="0" collapsed="false">
      <c r="A190" s="11"/>
      <c r="D190" s="10"/>
      <c r="E190" s="12"/>
      <c r="I190" s="30" t="str">
        <f aca="false">IF($A190="","",IF(COUNTIF(drops!$A$2:$A$21,$B190)=0,"drop_id not on drops; ","")&amp;IF(N($E190)&lt;=0,"amount?; ","")&amp;IF($D190="","cost type?; ",""))</f>
        <v/>
      </c>
    </row>
    <row r="191" customFormat="false" ht="15" hidden="false" customHeight="false" outlineLevel="0" collapsed="false">
      <c r="A191" s="11"/>
      <c r="D191" s="10"/>
      <c r="E191" s="12"/>
      <c r="I191" s="30" t="str">
        <f aca="false">IF($A191="","",IF(COUNTIF(drops!$A$2:$A$21,$B191)=0,"drop_id not on drops; ","")&amp;IF(N($E191)&lt;=0,"amount?; ","")&amp;IF($D191="","cost type?; ",""))</f>
        <v/>
      </c>
    </row>
    <row r="192" customFormat="false" ht="15" hidden="false" customHeight="false" outlineLevel="0" collapsed="false">
      <c r="A192" s="11"/>
      <c r="D192" s="10"/>
      <c r="E192" s="12"/>
      <c r="I192" s="30" t="str">
        <f aca="false">IF($A192="","",IF(COUNTIF(drops!$A$2:$A$21,$B192)=0,"drop_id not on drops; ","")&amp;IF(N($E192)&lt;=0,"amount?; ","")&amp;IF($D192="","cost type?; ",""))</f>
        <v/>
      </c>
    </row>
    <row r="193" customFormat="false" ht="15" hidden="false" customHeight="false" outlineLevel="0" collapsed="false">
      <c r="A193" s="11"/>
      <c r="D193" s="10"/>
      <c r="E193" s="12"/>
      <c r="I193" s="30" t="str">
        <f aca="false">IF($A193="","",IF(COUNTIF(drops!$A$2:$A$21,$B193)=0,"drop_id not on drops; ","")&amp;IF(N($E193)&lt;=0,"amount?; ","")&amp;IF($D193="","cost type?; ",""))</f>
        <v/>
      </c>
    </row>
    <row r="194" customFormat="false" ht="15" hidden="false" customHeight="false" outlineLevel="0" collapsed="false">
      <c r="A194" s="11"/>
      <c r="D194" s="10"/>
      <c r="E194" s="12"/>
      <c r="I194" s="30" t="str">
        <f aca="false">IF($A194="","",IF(COUNTIF(drops!$A$2:$A$21,$B194)=0,"drop_id not on drops; ","")&amp;IF(N($E194)&lt;=0,"amount?; ","")&amp;IF($D194="","cost type?; ",""))</f>
        <v/>
      </c>
    </row>
    <row r="195" customFormat="false" ht="15" hidden="false" customHeight="false" outlineLevel="0" collapsed="false">
      <c r="A195" s="11"/>
      <c r="D195" s="10"/>
      <c r="E195" s="12"/>
      <c r="I195" s="30" t="str">
        <f aca="false">IF($A195="","",IF(COUNTIF(drops!$A$2:$A$21,$B195)=0,"drop_id not on drops; ","")&amp;IF(N($E195)&lt;=0,"amount?; ","")&amp;IF($D195="","cost type?; ",""))</f>
        <v/>
      </c>
    </row>
    <row r="196" customFormat="false" ht="15" hidden="false" customHeight="false" outlineLevel="0" collapsed="false">
      <c r="A196" s="11"/>
      <c r="D196" s="10"/>
      <c r="E196" s="12"/>
      <c r="I196" s="30" t="str">
        <f aca="false">IF($A196="","",IF(COUNTIF(drops!$A$2:$A$21,$B196)=0,"drop_id not on drops; ","")&amp;IF(N($E196)&lt;=0,"amount?; ","")&amp;IF($D196="","cost type?; ",""))</f>
        <v/>
      </c>
    </row>
    <row r="197" customFormat="false" ht="15" hidden="false" customHeight="false" outlineLevel="0" collapsed="false">
      <c r="A197" s="11"/>
      <c r="D197" s="10"/>
      <c r="E197" s="12"/>
      <c r="I197" s="30" t="str">
        <f aca="false">IF($A197="","",IF(COUNTIF(drops!$A$2:$A$21,$B197)=0,"drop_id not on drops; ","")&amp;IF(N($E197)&lt;=0,"amount?; ","")&amp;IF($D197="","cost type?; ",""))</f>
        <v/>
      </c>
    </row>
    <row r="198" customFormat="false" ht="15" hidden="false" customHeight="false" outlineLevel="0" collapsed="false">
      <c r="A198" s="11"/>
      <c r="D198" s="10"/>
      <c r="E198" s="12"/>
      <c r="I198" s="30" t="str">
        <f aca="false">IF($A198="","",IF(COUNTIF(drops!$A$2:$A$21,$B198)=0,"drop_id not on drops; ","")&amp;IF(N($E198)&lt;=0,"amount?; ","")&amp;IF($D198="","cost type?; ",""))</f>
        <v/>
      </c>
    </row>
    <row r="199" customFormat="false" ht="15" hidden="false" customHeight="false" outlineLevel="0" collapsed="false">
      <c r="A199" s="11"/>
      <c r="D199" s="10"/>
      <c r="E199" s="12"/>
      <c r="I199" s="30" t="str">
        <f aca="false">IF($A199="","",IF(COUNTIF(drops!$A$2:$A$21,$B199)=0,"drop_id not on drops; ","")&amp;IF(N($E199)&lt;=0,"amount?; ","")&amp;IF($D199="","cost type?; ",""))</f>
        <v/>
      </c>
    </row>
    <row r="200" customFormat="false" ht="15" hidden="false" customHeight="false" outlineLevel="0" collapsed="false">
      <c r="A200" s="11"/>
      <c r="D200" s="10"/>
      <c r="E200" s="12"/>
      <c r="I200" s="30" t="str">
        <f aca="false">IF($A200="","",IF(COUNTIF(drops!$A$2:$A$21,$B200)=0,"drop_id not on drops; ","")&amp;IF(N($E200)&lt;=0,"amount?; ","")&amp;IF($D200="","cost type?; ",""))</f>
        <v/>
      </c>
    </row>
    <row r="201" customFormat="false" ht="15" hidden="false" customHeight="false" outlineLevel="0" collapsed="false">
      <c r="A201" s="11"/>
      <c r="D201" s="10"/>
      <c r="E201" s="12"/>
      <c r="I201" s="30" t="str">
        <f aca="false">IF($A201="","",IF(COUNTIF(drops!$A$2:$A$21,$B201)=0,"drop_id not on drops; ","")&amp;IF(N($E201)&lt;=0,"amount?; ","")&amp;IF($D201="","cost type?; ",""))</f>
        <v/>
      </c>
    </row>
    <row r="202" customFormat="false" ht="15" hidden="false" customHeight="false" outlineLevel="0" collapsed="false">
      <c r="A202" s="11"/>
      <c r="D202" s="10"/>
      <c r="E202" s="12"/>
      <c r="I202" s="30" t="str">
        <f aca="false">IF($A202="","",IF(COUNTIF(drops!$A$2:$A$21,$B202)=0,"drop_id not on drops; ","")&amp;IF(N($E202)&lt;=0,"amount?; ","")&amp;IF($D202="","cost type?; ",""))</f>
        <v/>
      </c>
    </row>
    <row r="203" customFormat="false" ht="15" hidden="false" customHeight="false" outlineLevel="0" collapsed="false">
      <c r="A203" s="11"/>
      <c r="D203" s="10"/>
      <c r="E203" s="12"/>
      <c r="I203" s="30" t="str">
        <f aca="false">IF($A203="","",IF(COUNTIF(drops!$A$2:$A$21,$B203)=0,"drop_id not on drops; ","")&amp;IF(N($E203)&lt;=0,"amount?; ","")&amp;IF($D203="","cost type?; ",""))</f>
        <v/>
      </c>
    </row>
    <row r="204" customFormat="false" ht="15" hidden="false" customHeight="false" outlineLevel="0" collapsed="false">
      <c r="A204" s="11"/>
      <c r="D204" s="10"/>
      <c r="E204" s="12"/>
      <c r="I204" s="30" t="str">
        <f aca="false">IF($A204="","",IF(COUNTIF(drops!$A$2:$A$21,$B204)=0,"drop_id not on drops; ","")&amp;IF(N($E204)&lt;=0,"amount?; ","")&amp;IF($D204="","cost type?; ",""))</f>
        <v/>
      </c>
    </row>
    <row r="205" customFormat="false" ht="15" hidden="false" customHeight="false" outlineLevel="0" collapsed="false">
      <c r="A205" s="11"/>
      <c r="D205" s="10"/>
      <c r="E205" s="12"/>
      <c r="I205" s="30" t="str">
        <f aca="false">IF($A205="","",IF(COUNTIF(drops!$A$2:$A$21,$B205)=0,"drop_id not on drops; ","")&amp;IF(N($E205)&lt;=0,"amount?; ","")&amp;IF($D205="","cost type?; ",""))</f>
        <v/>
      </c>
    </row>
    <row r="206" customFormat="false" ht="15" hidden="false" customHeight="false" outlineLevel="0" collapsed="false">
      <c r="A206" s="11"/>
      <c r="D206" s="10"/>
      <c r="E206" s="12"/>
      <c r="I206" s="30" t="str">
        <f aca="false">IF($A206="","",IF(COUNTIF(drops!$A$2:$A$21,$B206)=0,"drop_id not on drops; ","")&amp;IF(N($E206)&lt;=0,"amount?; ","")&amp;IF($D206="","cost type?; ",""))</f>
        <v/>
      </c>
    </row>
    <row r="207" customFormat="false" ht="15" hidden="false" customHeight="false" outlineLevel="0" collapsed="false">
      <c r="A207" s="11"/>
      <c r="D207" s="10"/>
      <c r="E207" s="12"/>
      <c r="I207" s="30" t="str">
        <f aca="false">IF($A207="","",IF(COUNTIF(drops!$A$2:$A$21,$B207)=0,"drop_id not on drops; ","")&amp;IF(N($E207)&lt;=0,"amount?; ","")&amp;IF($D207="","cost type?; ",""))</f>
        <v/>
      </c>
    </row>
    <row r="208" customFormat="false" ht="15" hidden="false" customHeight="false" outlineLevel="0" collapsed="false">
      <c r="A208" s="11"/>
      <c r="D208" s="10"/>
      <c r="E208" s="12"/>
      <c r="I208" s="30" t="str">
        <f aca="false">IF($A208="","",IF(COUNTIF(drops!$A$2:$A$21,$B208)=0,"drop_id not on drops; ","")&amp;IF(N($E208)&lt;=0,"amount?; ","")&amp;IF($D208="","cost type?; ",""))</f>
        <v/>
      </c>
    </row>
    <row r="209" customFormat="false" ht="15" hidden="false" customHeight="false" outlineLevel="0" collapsed="false">
      <c r="A209" s="11"/>
      <c r="D209" s="10"/>
      <c r="E209" s="12"/>
      <c r="I209" s="30" t="str">
        <f aca="false">IF($A209="","",IF(COUNTIF(drops!$A$2:$A$21,$B209)=0,"drop_id not on drops; ","")&amp;IF(N($E209)&lt;=0,"amount?; ","")&amp;IF($D209="","cost type?; ",""))</f>
        <v/>
      </c>
    </row>
    <row r="210" customFormat="false" ht="15" hidden="false" customHeight="false" outlineLevel="0" collapsed="false">
      <c r="A210" s="11"/>
      <c r="D210" s="10"/>
      <c r="E210" s="12"/>
      <c r="I210" s="30" t="str">
        <f aca="false">IF($A210="","",IF(COUNTIF(drops!$A$2:$A$21,$B210)=0,"drop_id not on drops; ","")&amp;IF(N($E210)&lt;=0,"amount?; ","")&amp;IF($D210="","cost type?; ",""))</f>
        <v/>
      </c>
    </row>
    <row r="211" customFormat="false" ht="15" hidden="false" customHeight="false" outlineLevel="0" collapsed="false">
      <c r="A211" s="11"/>
      <c r="D211" s="10"/>
      <c r="E211" s="12"/>
      <c r="I211" s="30" t="str">
        <f aca="false">IF($A211="","",IF(COUNTIF(drops!$A$2:$A$21,$B211)=0,"drop_id not on drops; ","")&amp;IF(N($E211)&lt;=0,"amount?; ","")&amp;IF($D211="","cost type?; ",""))</f>
        <v/>
      </c>
    </row>
    <row r="212" customFormat="false" ht="15" hidden="false" customHeight="false" outlineLevel="0" collapsed="false">
      <c r="A212" s="11"/>
      <c r="D212" s="10"/>
      <c r="E212" s="12"/>
      <c r="I212" s="30" t="str">
        <f aca="false">IF($A212="","",IF(COUNTIF(drops!$A$2:$A$21,$B212)=0,"drop_id not on drops; ","")&amp;IF(N($E212)&lt;=0,"amount?; ","")&amp;IF($D212="","cost type?; ",""))</f>
        <v/>
      </c>
    </row>
    <row r="213" customFormat="false" ht="15" hidden="false" customHeight="false" outlineLevel="0" collapsed="false">
      <c r="A213" s="11"/>
      <c r="D213" s="10"/>
      <c r="E213" s="12"/>
      <c r="I213" s="30" t="str">
        <f aca="false">IF($A213="","",IF(COUNTIF(drops!$A$2:$A$21,$B213)=0,"drop_id not on drops; ","")&amp;IF(N($E213)&lt;=0,"amount?; ","")&amp;IF($D213="","cost type?; ",""))</f>
        <v/>
      </c>
    </row>
    <row r="214" customFormat="false" ht="15" hidden="false" customHeight="false" outlineLevel="0" collapsed="false">
      <c r="A214" s="11"/>
      <c r="D214" s="10"/>
      <c r="E214" s="12"/>
      <c r="I214" s="30" t="str">
        <f aca="false">IF($A214="","",IF(COUNTIF(drops!$A$2:$A$21,$B214)=0,"drop_id not on drops; ","")&amp;IF(N($E214)&lt;=0,"amount?; ","")&amp;IF($D214="","cost type?; ",""))</f>
        <v/>
      </c>
    </row>
    <row r="215" customFormat="false" ht="15" hidden="false" customHeight="false" outlineLevel="0" collapsed="false">
      <c r="A215" s="11"/>
      <c r="D215" s="10"/>
      <c r="E215" s="12"/>
      <c r="I215" s="30" t="str">
        <f aca="false">IF($A215="","",IF(COUNTIF(drops!$A$2:$A$21,$B215)=0,"drop_id not on drops; ","")&amp;IF(N($E215)&lt;=0,"amount?; ","")&amp;IF($D215="","cost type?; ",""))</f>
        <v/>
      </c>
    </row>
    <row r="216" customFormat="false" ht="15" hidden="false" customHeight="false" outlineLevel="0" collapsed="false">
      <c r="A216" s="11"/>
      <c r="D216" s="10"/>
      <c r="E216" s="12"/>
      <c r="I216" s="30" t="str">
        <f aca="false">IF($A216="","",IF(COUNTIF(drops!$A$2:$A$21,$B216)=0,"drop_id not on drops; ","")&amp;IF(N($E216)&lt;=0,"amount?; ","")&amp;IF($D216="","cost type?; ",""))</f>
        <v/>
      </c>
    </row>
    <row r="217" customFormat="false" ht="15" hidden="false" customHeight="false" outlineLevel="0" collapsed="false">
      <c r="A217" s="11"/>
      <c r="D217" s="10"/>
      <c r="E217" s="12"/>
      <c r="I217" s="30" t="str">
        <f aca="false">IF($A217="","",IF(COUNTIF(drops!$A$2:$A$21,$B217)=0,"drop_id not on drops; ","")&amp;IF(N($E217)&lt;=0,"amount?; ","")&amp;IF($D217="","cost type?; ",""))</f>
        <v/>
      </c>
    </row>
    <row r="218" customFormat="false" ht="15" hidden="false" customHeight="false" outlineLevel="0" collapsed="false">
      <c r="A218" s="11"/>
      <c r="D218" s="10"/>
      <c r="E218" s="12"/>
      <c r="I218" s="30" t="str">
        <f aca="false">IF($A218="","",IF(COUNTIF(drops!$A$2:$A$21,$B218)=0,"drop_id not on drops; ","")&amp;IF(N($E218)&lt;=0,"amount?; ","")&amp;IF($D218="","cost type?; ",""))</f>
        <v/>
      </c>
    </row>
    <row r="219" customFormat="false" ht="15" hidden="false" customHeight="false" outlineLevel="0" collapsed="false">
      <c r="A219" s="11"/>
      <c r="D219" s="10"/>
      <c r="E219" s="12"/>
      <c r="I219" s="30" t="str">
        <f aca="false">IF($A219="","",IF(COUNTIF(drops!$A$2:$A$21,$B219)=0,"drop_id not on drops; ","")&amp;IF(N($E219)&lt;=0,"amount?; ","")&amp;IF($D219="","cost type?; ",""))</f>
        <v/>
      </c>
    </row>
    <row r="220" customFormat="false" ht="15" hidden="false" customHeight="false" outlineLevel="0" collapsed="false">
      <c r="A220" s="11"/>
      <c r="D220" s="10"/>
      <c r="E220" s="12"/>
      <c r="I220" s="30" t="str">
        <f aca="false">IF($A220="","",IF(COUNTIF(drops!$A$2:$A$21,$B220)=0,"drop_id not on drops; ","")&amp;IF(N($E220)&lt;=0,"amount?; ","")&amp;IF($D220="","cost type?; ",""))</f>
        <v/>
      </c>
    </row>
    <row r="221" customFormat="false" ht="15" hidden="false" customHeight="false" outlineLevel="0" collapsed="false">
      <c r="A221" s="11"/>
      <c r="D221" s="10"/>
      <c r="E221" s="12"/>
      <c r="I221" s="30" t="str">
        <f aca="false">IF($A221="","",IF(COUNTIF(drops!$A$2:$A$21,$B221)=0,"drop_id not on drops; ","")&amp;IF(N($E221)&lt;=0,"amount?; ","")&amp;IF($D221="","cost type?; ",""))</f>
        <v/>
      </c>
    </row>
    <row r="222" customFormat="false" ht="15" hidden="false" customHeight="false" outlineLevel="0" collapsed="false">
      <c r="A222" s="11"/>
      <c r="D222" s="10"/>
      <c r="E222" s="12"/>
      <c r="I222" s="30" t="str">
        <f aca="false">IF($A222="","",IF(COUNTIF(drops!$A$2:$A$21,$B222)=0,"drop_id not on drops; ","")&amp;IF(N($E222)&lt;=0,"amount?; ","")&amp;IF($D222="","cost type?; ",""))</f>
        <v/>
      </c>
    </row>
    <row r="223" customFormat="false" ht="15" hidden="false" customHeight="false" outlineLevel="0" collapsed="false">
      <c r="A223" s="11"/>
      <c r="D223" s="10"/>
      <c r="E223" s="12"/>
      <c r="I223" s="30" t="str">
        <f aca="false">IF($A223="","",IF(COUNTIF(drops!$A$2:$A$21,$B223)=0,"drop_id not on drops; ","")&amp;IF(N($E223)&lt;=0,"amount?; ","")&amp;IF($D223="","cost type?; ",""))</f>
        <v/>
      </c>
    </row>
    <row r="224" customFormat="false" ht="15" hidden="false" customHeight="false" outlineLevel="0" collapsed="false">
      <c r="A224" s="11"/>
      <c r="D224" s="10"/>
      <c r="E224" s="12"/>
      <c r="I224" s="30" t="str">
        <f aca="false">IF($A224="","",IF(COUNTIF(drops!$A$2:$A$21,$B224)=0,"drop_id not on drops; ","")&amp;IF(N($E224)&lt;=0,"amount?; ","")&amp;IF($D224="","cost type?; ",""))</f>
        <v/>
      </c>
    </row>
    <row r="225" customFormat="false" ht="15" hidden="false" customHeight="false" outlineLevel="0" collapsed="false">
      <c r="A225" s="11"/>
      <c r="D225" s="10"/>
      <c r="E225" s="12"/>
      <c r="I225" s="30" t="str">
        <f aca="false">IF($A225="","",IF(COUNTIF(drops!$A$2:$A$21,$B225)=0,"drop_id not on drops; ","")&amp;IF(N($E225)&lt;=0,"amount?; ","")&amp;IF($D225="","cost type?; ",""))</f>
        <v/>
      </c>
    </row>
    <row r="226" customFormat="false" ht="15" hidden="false" customHeight="false" outlineLevel="0" collapsed="false">
      <c r="A226" s="11"/>
      <c r="D226" s="10"/>
      <c r="E226" s="12"/>
      <c r="I226" s="30" t="str">
        <f aca="false">IF($A226="","",IF(COUNTIF(drops!$A$2:$A$21,$B226)=0,"drop_id not on drops; ","")&amp;IF(N($E226)&lt;=0,"amount?; ","")&amp;IF($D226="","cost type?; ",""))</f>
        <v/>
      </c>
    </row>
    <row r="227" customFormat="false" ht="15" hidden="false" customHeight="false" outlineLevel="0" collapsed="false">
      <c r="A227" s="11"/>
      <c r="D227" s="10"/>
      <c r="E227" s="12"/>
      <c r="I227" s="30" t="str">
        <f aca="false">IF($A227="","",IF(COUNTIF(drops!$A$2:$A$21,$B227)=0,"drop_id not on drops; ","")&amp;IF(N($E227)&lt;=0,"amount?; ","")&amp;IF($D227="","cost type?; ",""))</f>
        <v/>
      </c>
    </row>
    <row r="228" customFormat="false" ht="15" hidden="false" customHeight="false" outlineLevel="0" collapsed="false">
      <c r="A228" s="11"/>
      <c r="D228" s="10"/>
      <c r="E228" s="12"/>
      <c r="I228" s="30" t="str">
        <f aca="false">IF($A228="","",IF(COUNTIF(drops!$A$2:$A$21,$B228)=0,"drop_id not on drops; ","")&amp;IF(N($E228)&lt;=0,"amount?; ","")&amp;IF($D228="","cost type?; ",""))</f>
        <v/>
      </c>
    </row>
    <row r="229" customFormat="false" ht="15" hidden="false" customHeight="false" outlineLevel="0" collapsed="false">
      <c r="A229" s="11"/>
      <c r="D229" s="10"/>
      <c r="E229" s="12"/>
      <c r="I229" s="30" t="str">
        <f aca="false">IF($A229="","",IF(COUNTIF(drops!$A$2:$A$21,$B229)=0,"drop_id not on drops; ","")&amp;IF(N($E229)&lt;=0,"amount?; ","")&amp;IF($D229="","cost type?; ",""))</f>
        <v/>
      </c>
    </row>
    <row r="230" customFormat="false" ht="15" hidden="false" customHeight="false" outlineLevel="0" collapsed="false">
      <c r="A230" s="11"/>
      <c r="D230" s="10"/>
      <c r="E230" s="12"/>
      <c r="I230" s="30" t="str">
        <f aca="false">IF($A230="","",IF(COUNTIF(drops!$A$2:$A$21,$B230)=0,"drop_id not on drops; ","")&amp;IF(N($E230)&lt;=0,"amount?; ","")&amp;IF($D230="","cost type?; ",""))</f>
        <v/>
      </c>
    </row>
    <row r="231" customFormat="false" ht="15" hidden="false" customHeight="false" outlineLevel="0" collapsed="false">
      <c r="A231" s="11"/>
      <c r="D231" s="10"/>
      <c r="E231" s="12"/>
      <c r="I231" s="30" t="str">
        <f aca="false">IF($A231="","",IF(COUNTIF(drops!$A$2:$A$21,$B231)=0,"drop_id not on drops; ","")&amp;IF(N($E231)&lt;=0,"amount?; ","")&amp;IF($D231="","cost type?; ",""))</f>
        <v/>
      </c>
    </row>
    <row r="232" customFormat="false" ht="15" hidden="false" customHeight="false" outlineLevel="0" collapsed="false">
      <c r="A232" s="11"/>
      <c r="D232" s="10"/>
      <c r="E232" s="12"/>
      <c r="I232" s="30" t="str">
        <f aca="false">IF($A232="","",IF(COUNTIF(drops!$A$2:$A$21,$B232)=0,"drop_id not on drops; ","")&amp;IF(N($E232)&lt;=0,"amount?; ","")&amp;IF($D232="","cost type?; ",""))</f>
        <v/>
      </c>
    </row>
    <row r="233" customFormat="false" ht="15" hidden="false" customHeight="false" outlineLevel="0" collapsed="false">
      <c r="A233" s="11"/>
      <c r="D233" s="10"/>
      <c r="E233" s="12"/>
      <c r="I233" s="30" t="str">
        <f aca="false">IF($A233="","",IF(COUNTIF(drops!$A$2:$A$21,$B233)=0,"drop_id not on drops; ","")&amp;IF(N($E233)&lt;=0,"amount?; ","")&amp;IF($D233="","cost type?; ",""))</f>
        <v/>
      </c>
    </row>
    <row r="234" customFormat="false" ht="15" hidden="false" customHeight="false" outlineLevel="0" collapsed="false">
      <c r="A234" s="11"/>
      <c r="D234" s="10"/>
      <c r="E234" s="12"/>
      <c r="I234" s="30" t="str">
        <f aca="false">IF($A234="","",IF(COUNTIF(drops!$A$2:$A$21,$B234)=0,"drop_id not on drops; ","")&amp;IF(N($E234)&lt;=0,"amount?; ","")&amp;IF($D234="","cost type?; ",""))</f>
        <v/>
      </c>
    </row>
    <row r="235" customFormat="false" ht="15" hidden="false" customHeight="false" outlineLevel="0" collapsed="false">
      <c r="A235" s="11"/>
      <c r="D235" s="10"/>
      <c r="E235" s="12"/>
      <c r="I235" s="30" t="str">
        <f aca="false">IF($A235="","",IF(COUNTIF(drops!$A$2:$A$21,$B235)=0,"drop_id not on drops; ","")&amp;IF(N($E235)&lt;=0,"amount?; ","")&amp;IF($D235="","cost type?; ",""))</f>
        <v/>
      </c>
    </row>
    <row r="236" customFormat="false" ht="15" hidden="false" customHeight="false" outlineLevel="0" collapsed="false">
      <c r="A236" s="11"/>
      <c r="D236" s="10"/>
      <c r="E236" s="12"/>
      <c r="I236" s="30" t="str">
        <f aca="false">IF($A236="","",IF(COUNTIF(drops!$A$2:$A$21,$B236)=0,"drop_id not on drops; ","")&amp;IF(N($E236)&lt;=0,"amount?; ","")&amp;IF($D236="","cost type?; ",""))</f>
        <v/>
      </c>
    </row>
    <row r="237" customFormat="false" ht="15" hidden="false" customHeight="false" outlineLevel="0" collapsed="false">
      <c r="A237" s="11"/>
      <c r="D237" s="10"/>
      <c r="E237" s="12"/>
      <c r="I237" s="30" t="str">
        <f aca="false">IF($A237="","",IF(COUNTIF(drops!$A$2:$A$21,$B237)=0,"drop_id not on drops; ","")&amp;IF(N($E237)&lt;=0,"amount?; ","")&amp;IF($D237="","cost type?; ",""))</f>
        <v/>
      </c>
    </row>
    <row r="238" customFormat="false" ht="15" hidden="false" customHeight="false" outlineLevel="0" collapsed="false">
      <c r="A238" s="11"/>
      <c r="D238" s="10"/>
      <c r="E238" s="12"/>
      <c r="I238" s="30" t="str">
        <f aca="false">IF($A238="","",IF(COUNTIF(drops!$A$2:$A$21,$B238)=0,"drop_id not on drops; ","")&amp;IF(N($E238)&lt;=0,"amount?; ","")&amp;IF($D238="","cost type?; ",""))</f>
        <v/>
      </c>
    </row>
    <row r="239" customFormat="false" ht="15" hidden="false" customHeight="false" outlineLevel="0" collapsed="false">
      <c r="A239" s="11"/>
      <c r="D239" s="10"/>
      <c r="E239" s="12"/>
      <c r="I239" s="30" t="str">
        <f aca="false">IF($A239="","",IF(COUNTIF(drops!$A$2:$A$21,$B239)=0,"drop_id not on drops; ","")&amp;IF(N($E239)&lt;=0,"amount?; ","")&amp;IF($D239="","cost type?; ",""))</f>
        <v/>
      </c>
    </row>
    <row r="240" customFormat="false" ht="15" hidden="false" customHeight="false" outlineLevel="0" collapsed="false">
      <c r="A240" s="11"/>
      <c r="D240" s="10"/>
      <c r="E240" s="12"/>
      <c r="I240" s="30" t="str">
        <f aca="false">IF($A240="","",IF(COUNTIF(drops!$A$2:$A$21,$B240)=0,"drop_id not on drops; ","")&amp;IF(N($E240)&lt;=0,"amount?; ","")&amp;IF($D240="","cost type?; ",""))</f>
        <v/>
      </c>
    </row>
    <row r="241" customFormat="false" ht="15" hidden="false" customHeight="false" outlineLevel="0" collapsed="false">
      <c r="A241" s="11"/>
      <c r="D241" s="10"/>
      <c r="E241" s="12"/>
      <c r="I241" s="30" t="str">
        <f aca="false">IF($A241="","",IF(COUNTIF(drops!$A$2:$A$21,$B241)=0,"drop_id not on drops; ","")&amp;IF(N($E241)&lt;=0,"amount?; ","")&amp;IF($D241="","cost type?; ",""))</f>
        <v/>
      </c>
    </row>
    <row r="242" customFormat="false" ht="15" hidden="false" customHeight="false" outlineLevel="0" collapsed="false">
      <c r="A242" s="11"/>
      <c r="D242" s="10"/>
      <c r="E242" s="12"/>
      <c r="I242" s="30" t="str">
        <f aca="false">IF($A242="","",IF(COUNTIF(drops!$A$2:$A$21,$B242)=0,"drop_id not on drops; ","")&amp;IF(N($E242)&lt;=0,"amount?; ","")&amp;IF($D242="","cost type?; ",""))</f>
        <v/>
      </c>
    </row>
    <row r="243" customFormat="false" ht="15" hidden="false" customHeight="false" outlineLevel="0" collapsed="false">
      <c r="A243" s="11"/>
      <c r="D243" s="10"/>
      <c r="E243" s="12"/>
      <c r="I243" s="30" t="str">
        <f aca="false">IF($A243="","",IF(COUNTIF(drops!$A$2:$A$21,$B243)=0,"drop_id not on drops; ","")&amp;IF(N($E243)&lt;=0,"amount?; ","")&amp;IF($D243="","cost type?; ",""))</f>
        <v/>
      </c>
    </row>
    <row r="244" customFormat="false" ht="15" hidden="false" customHeight="false" outlineLevel="0" collapsed="false">
      <c r="A244" s="11"/>
      <c r="D244" s="10"/>
      <c r="E244" s="12"/>
      <c r="I244" s="30" t="str">
        <f aca="false">IF($A244="","",IF(COUNTIF(drops!$A$2:$A$21,$B244)=0,"drop_id not on drops; ","")&amp;IF(N($E244)&lt;=0,"amount?; ","")&amp;IF($D244="","cost type?; ",""))</f>
        <v/>
      </c>
    </row>
    <row r="245" customFormat="false" ht="15" hidden="false" customHeight="false" outlineLevel="0" collapsed="false">
      <c r="A245" s="11"/>
      <c r="D245" s="10"/>
      <c r="E245" s="12"/>
      <c r="I245" s="30" t="str">
        <f aca="false">IF($A245="","",IF(COUNTIF(drops!$A$2:$A$21,$B245)=0,"drop_id not on drops; ","")&amp;IF(N($E245)&lt;=0,"amount?; ","")&amp;IF($D245="","cost type?; ",""))</f>
        <v/>
      </c>
    </row>
    <row r="246" customFormat="false" ht="15" hidden="false" customHeight="false" outlineLevel="0" collapsed="false">
      <c r="A246" s="11"/>
      <c r="D246" s="10"/>
      <c r="E246" s="12"/>
      <c r="I246" s="30" t="str">
        <f aca="false">IF($A246="","",IF(COUNTIF(drops!$A$2:$A$21,$B246)=0,"drop_id not on drops; ","")&amp;IF(N($E246)&lt;=0,"amount?; ","")&amp;IF($D246="","cost type?; ",""))</f>
        <v/>
      </c>
    </row>
    <row r="247" customFormat="false" ht="15" hidden="false" customHeight="false" outlineLevel="0" collapsed="false">
      <c r="A247" s="11"/>
      <c r="D247" s="10"/>
      <c r="E247" s="12"/>
      <c r="I247" s="30" t="str">
        <f aca="false">IF($A247="","",IF(COUNTIF(drops!$A$2:$A$21,$B247)=0,"drop_id not on drops; ","")&amp;IF(N($E247)&lt;=0,"amount?; ","")&amp;IF($D247="","cost type?; ",""))</f>
        <v/>
      </c>
    </row>
    <row r="248" customFormat="false" ht="15" hidden="false" customHeight="false" outlineLevel="0" collapsed="false">
      <c r="A248" s="11"/>
      <c r="D248" s="10"/>
      <c r="E248" s="12"/>
      <c r="I248" s="30" t="str">
        <f aca="false">IF($A248="","",IF(COUNTIF(drops!$A$2:$A$21,$B248)=0,"drop_id not on drops; ","")&amp;IF(N($E248)&lt;=0,"amount?; ","")&amp;IF($D248="","cost type?; ",""))</f>
        <v/>
      </c>
    </row>
    <row r="249" customFormat="false" ht="15" hidden="false" customHeight="false" outlineLevel="0" collapsed="false">
      <c r="A249" s="11"/>
      <c r="D249" s="10"/>
      <c r="E249" s="12"/>
      <c r="I249" s="30" t="str">
        <f aca="false">IF($A249="","",IF(COUNTIF(drops!$A$2:$A$21,$B249)=0,"drop_id not on drops; ","")&amp;IF(N($E249)&lt;=0,"amount?; ","")&amp;IF($D249="","cost type?; ",""))</f>
        <v/>
      </c>
    </row>
    <row r="250" customFormat="false" ht="15" hidden="false" customHeight="false" outlineLevel="0" collapsed="false">
      <c r="A250" s="11"/>
      <c r="D250" s="10"/>
      <c r="E250" s="12"/>
      <c r="I250" s="30" t="str">
        <f aca="false">IF($A250="","",IF(COUNTIF(drops!$A$2:$A$21,$B250)=0,"drop_id not on drops; ","")&amp;IF(N($E250)&lt;=0,"amount?; ","")&amp;IF($D250="","cost type?; ",""))</f>
        <v/>
      </c>
    </row>
    <row r="251" customFormat="false" ht="15" hidden="false" customHeight="false" outlineLevel="0" collapsed="false">
      <c r="A251" s="11"/>
      <c r="D251" s="10"/>
      <c r="E251" s="12"/>
      <c r="I251" s="30" t="str">
        <f aca="false">IF($A251="","",IF(COUNTIF(drops!$A$2:$A$21,$B251)=0,"drop_id not on drops; ","")&amp;IF(N($E251)&lt;=0,"amount?; ","")&amp;IF($D251="","cost type?; ",""))</f>
        <v/>
      </c>
    </row>
    <row r="252" customFormat="false" ht="15" hidden="false" customHeight="false" outlineLevel="0" collapsed="false">
      <c r="A252" s="11"/>
      <c r="D252" s="10"/>
      <c r="E252" s="12"/>
      <c r="I252" s="30" t="str">
        <f aca="false">IF($A252="","",IF(COUNTIF(drops!$A$2:$A$21,$B252)=0,"drop_id not on drops; ","")&amp;IF(N($E252)&lt;=0,"amount?; ","")&amp;IF($D252="","cost type?; ",""))</f>
        <v/>
      </c>
    </row>
    <row r="253" customFormat="false" ht="15" hidden="false" customHeight="false" outlineLevel="0" collapsed="false">
      <c r="A253" s="11"/>
      <c r="D253" s="10"/>
      <c r="E253" s="12"/>
      <c r="I253" s="30" t="str">
        <f aca="false">IF($A253="","",IF(COUNTIF(drops!$A$2:$A$21,$B253)=0,"drop_id not on drops; ","")&amp;IF(N($E253)&lt;=0,"amount?; ","")&amp;IF($D253="","cost type?; ",""))</f>
        <v/>
      </c>
    </row>
    <row r="254" customFormat="false" ht="15" hidden="false" customHeight="false" outlineLevel="0" collapsed="false">
      <c r="A254" s="11"/>
      <c r="D254" s="10"/>
      <c r="E254" s="12"/>
      <c r="I254" s="30" t="str">
        <f aca="false">IF($A254="","",IF(COUNTIF(drops!$A$2:$A$21,$B254)=0,"drop_id not on drops; ","")&amp;IF(N($E254)&lt;=0,"amount?; ","")&amp;IF($D254="","cost type?; ",""))</f>
        <v/>
      </c>
    </row>
    <row r="255" customFormat="false" ht="15" hidden="false" customHeight="false" outlineLevel="0" collapsed="false">
      <c r="A255" s="11"/>
      <c r="D255" s="10"/>
      <c r="E255" s="12"/>
      <c r="I255" s="30" t="str">
        <f aca="false">IF($A255="","",IF(COUNTIF(drops!$A$2:$A$21,$B255)=0,"drop_id not on drops; ","")&amp;IF(N($E255)&lt;=0,"amount?; ","")&amp;IF($D255="","cost type?; ",""))</f>
        <v/>
      </c>
    </row>
    <row r="256" customFormat="false" ht="15" hidden="false" customHeight="false" outlineLevel="0" collapsed="false">
      <c r="A256" s="11"/>
      <c r="D256" s="10"/>
      <c r="E256" s="12"/>
      <c r="I256" s="30" t="str">
        <f aca="false">IF($A256="","",IF(COUNTIF(drops!$A$2:$A$21,$B256)=0,"drop_id not on drops; ","")&amp;IF(N($E256)&lt;=0,"amount?; ","")&amp;IF($D256="","cost type?; ",""))</f>
        <v/>
      </c>
    </row>
    <row r="257" customFormat="false" ht="15" hidden="false" customHeight="false" outlineLevel="0" collapsed="false">
      <c r="A257" s="11"/>
      <c r="D257" s="10"/>
      <c r="E257" s="12"/>
      <c r="I257" s="30" t="str">
        <f aca="false">IF($A257="","",IF(COUNTIF(drops!$A$2:$A$21,$B257)=0,"drop_id not on drops; ","")&amp;IF(N($E257)&lt;=0,"amount?; ","")&amp;IF($D257="","cost type?; ",""))</f>
        <v/>
      </c>
    </row>
    <row r="258" customFormat="false" ht="15" hidden="false" customHeight="false" outlineLevel="0" collapsed="false">
      <c r="A258" s="11"/>
      <c r="D258" s="10"/>
      <c r="E258" s="12"/>
      <c r="I258" s="30" t="str">
        <f aca="false">IF($A258="","",IF(COUNTIF(drops!$A$2:$A$21,$B258)=0,"drop_id not on drops; ","")&amp;IF(N($E258)&lt;=0,"amount?; ","")&amp;IF($D258="","cost type?; ",""))</f>
        <v/>
      </c>
    </row>
    <row r="259" customFormat="false" ht="15" hidden="false" customHeight="false" outlineLevel="0" collapsed="false">
      <c r="A259" s="11"/>
      <c r="D259" s="10"/>
      <c r="E259" s="12"/>
      <c r="I259" s="30" t="str">
        <f aca="false">IF($A259="","",IF(COUNTIF(drops!$A$2:$A$21,$B259)=0,"drop_id not on drops; ","")&amp;IF(N($E259)&lt;=0,"amount?; ","")&amp;IF($D259="","cost type?; ",""))</f>
        <v/>
      </c>
    </row>
    <row r="260" customFormat="false" ht="15" hidden="false" customHeight="false" outlineLevel="0" collapsed="false">
      <c r="A260" s="11"/>
      <c r="D260" s="10"/>
      <c r="E260" s="12"/>
      <c r="I260" s="30" t="str">
        <f aca="false">IF($A260="","",IF(COUNTIF(drops!$A$2:$A$21,$B260)=0,"drop_id not on drops; ","")&amp;IF(N($E260)&lt;=0,"amount?; ","")&amp;IF($D260="","cost type?; ",""))</f>
        <v/>
      </c>
    </row>
    <row r="261" customFormat="false" ht="15" hidden="false" customHeight="false" outlineLevel="0" collapsed="false">
      <c r="A261" s="11"/>
      <c r="D261" s="10"/>
      <c r="E261" s="12"/>
      <c r="I261" s="30" t="str">
        <f aca="false">IF($A261="","",IF(COUNTIF(drops!$A$2:$A$21,$B261)=0,"drop_id not on drops; ","")&amp;IF(N($E261)&lt;=0,"amount?; ","")&amp;IF($D261="","cost type?; ",""))</f>
        <v/>
      </c>
    </row>
    <row r="262" customFormat="false" ht="15" hidden="false" customHeight="false" outlineLevel="0" collapsed="false">
      <c r="A262" s="11"/>
      <c r="D262" s="10"/>
      <c r="E262" s="12"/>
      <c r="I262" s="30" t="str">
        <f aca="false">IF($A262="","",IF(COUNTIF(drops!$A$2:$A$21,$B262)=0,"drop_id not on drops; ","")&amp;IF(N($E262)&lt;=0,"amount?; ","")&amp;IF($D262="","cost type?; ",""))</f>
        <v/>
      </c>
    </row>
    <row r="263" customFormat="false" ht="15" hidden="false" customHeight="false" outlineLevel="0" collapsed="false">
      <c r="A263" s="11"/>
      <c r="D263" s="10"/>
      <c r="E263" s="12"/>
      <c r="I263" s="30" t="str">
        <f aca="false">IF($A263="","",IF(COUNTIF(drops!$A$2:$A$21,$B263)=0,"drop_id not on drops; ","")&amp;IF(N($E263)&lt;=0,"amount?; ","")&amp;IF($D263="","cost type?; ",""))</f>
        <v/>
      </c>
    </row>
    <row r="264" customFormat="false" ht="15" hidden="false" customHeight="false" outlineLevel="0" collapsed="false">
      <c r="A264" s="11"/>
      <c r="D264" s="10"/>
      <c r="E264" s="12"/>
      <c r="I264" s="30" t="str">
        <f aca="false">IF($A264="","",IF(COUNTIF(drops!$A$2:$A$21,$B264)=0,"drop_id not on drops; ","")&amp;IF(N($E264)&lt;=0,"amount?; ","")&amp;IF($D264="","cost type?; ",""))</f>
        <v/>
      </c>
    </row>
    <row r="265" customFormat="false" ht="15" hidden="false" customHeight="false" outlineLevel="0" collapsed="false">
      <c r="A265" s="11"/>
      <c r="D265" s="10"/>
      <c r="E265" s="12"/>
      <c r="I265" s="30" t="str">
        <f aca="false">IF($A265="","",IF(COUNTIF(drops!$A$2:$A$21,$B265)=0,"drop_id not on drops; ","")&amp;IF(N($E265)&lt;=0,"amount?; ","")&amp;IF($D265="","cost type?; ",""))</f>
        <v/>
      </c>
    </row>
    <row r="266" customFormat="false" ht="15" hidden="false" customHeight="false" outlineLevel="0" collapsed="false">
      <c r="A266" s="11"/>
      <c r="D266" s="10"/>
      <c r="E266" s="12"/>
      <c r="I266" s="30" t="str">
        <f aca="false">IF($A266="","",IF(COUNTIF(drops!$A$2:$A$21,$B266)=0,"drop_id not on drops; ","")&amp;IF(N($E266)&lt;=0,"amount?; ","")&amp;IF($D266="","cost type?; ",""))</f>
        <v/>
      </c>
    </row>
    <row r="267" customFormat="false" ht="15" hidden="false" customHeight="false" outlineLevel="0" collapsed="false">
      <c r="A267" s="11"/>
      <c r="D267" s="10"/>
      <c r="E267" s="12"/>
      <c r="I267" s="30" t="str">
        <f aca="false">IF($A267="","",IF(COUNTIF(drops!$A$2:$A$21,$B267)=0,"drop_id not on drops; ","")&amp;IF(N($E267)&lt;=0,"amount?; ","")&amp;IF($D267="","cost type?; ",""))</f>
        <v/>
      </c>
    </row>
    <row r="268" customFormat="false" ht="15" hidden="false" customHeight="false" outlineLevel="0" collapsed="false">
      <c r="A268" s="11"/>
      <c r="D268" s="10"/>
      <c r="E268" s="12"/>
      <c r="I268" s="30" t="str">
        <f aca="false">IF($A268="","",IF(COUNTIF(drops!$A$2:$A$21,$B268)=0,"drop_id not on drops; ","")&amp;IF(N($E268)&lt;=0,"amount?; ","")&amp;IF($D268="","cost type?; ",""))</f>
        <v/>
      </c>
    </row>
    <row r="269" customFormat="false" ht="15" hidden="false" customHeight="false" outlineLevel="0" collapsed="false">
      <c r="A269" s="11"/>
      <c r="D269" s="10"/>
      <c r="E269" s="12"/>
      <c r="I269" s="30" t="str">
        <f aca="false">IF($A269="","",IF(COUNTIF(drops!$A$2:$A$21,$B269)=0,"drop_id not on drops; ","")&amp;IF(N($E269)&lt;=0,"amount?; ","")&amp;IF($D269="","cost type?; ",""))</f>
        <v/>
      </c>
    </row>
    <row r="270" customFormat="false" ht="15" hidden="false" customHeight="false" outlineLevel="0" collapsed="false">
      <c r="A270" s="11"/>
      <c r="D270" s="10"/>
      <c r="E270" s="12"/>
      <c r="I270" s="30" t="str">
        <f aca="false">IF($A270="","",IF(COUNTIF(drops!$A$2:$A$21,$B270)=0,"drop_id not on drops; ","")&amp;IF(N($E270)&lt;=0,"amount?; ","")&amp;IF($D270="","cost type?; ",""))</f>
        <v/>
      </c>
    </row>
    <row r="271" customFormat="false" ht="15" hidden="false" customHeight="false" outlineLevel="0" collapsed="false">
      <c r="A271" s="11"/>
      <c r="D271" s="10"/>
      <c r="E271" s="12"/>
      <c r="I271" s="30" t="str">
        <f aca="false">IF($A271="","",IF(COUNTIF(drops!$A$2:$A$21,$B271)=0,"drop_id not on drops; ","")&amp;IF(N($E271)&lt;=0,"amount?; ","")&amp;IF($D271="","cost type?; ",""))</f>
        <v/>
      </c>
    </row>
    <row r="272" customFormat="false" ht="15" hidden="false" customHeight="false" outlineLevel="0" collapsed="false">
      <c r="A272" s="11"/>
      <c r="D272" s="10"/>
      <c r="E272" s="12"/>
      <c r="I272" s="30" t="str">
        <f aca="false">IF($A272="","",IF(COUNTIF(drops!$A$2:$A$21,$B272)=0,"drop_id not on drops; ","")&amp;IF(N($E272)&lt;=0,"amount?; ","")&amp;IF($D272="","cost type?; ",""))</f>
        <v/>
      </c>
    </row>
    <row r="273" customFormat="false" ht="15" hidden="false" customHeight="false" outlineLevel="0" collapsed="false">
      <c r="A273" s="11"/>
      <c r="D273" s="10"/>
      <c r="E273" s="12"/>
      <c r="I273" s="30" t="str">
        <f aca="false">IF($A273="","",IF(COUNTIF(drops!$A$2:$A$21,$B273)=0,"drop_id not on drops; ","")&amp;IF(N($E273)&lt;=0,"amount?; ","")&amp;IF($D273="","cost type?; ",""))</f>
        <v/>
      </c>
    </row>
    <row r="274" customFormat="false" ht="15" hidden="false" customHeight="false" outlineLevel="0" collapsed="false">
      <c r="A274" s="11"/>
      <c r="D274" s="10"/>
      <c r="E274" s="12"/>
      <c r="I274" s="30" t="str">
        <f aca="false">IF($A274="","",IF(COUNTIF(drops!$A$2:$A$21,$B274)=0,"drop_id not on drops; ","")&amp;IF(N($E274)&lt;=0,"amount?; ","")&amp;IF($D274="","cost type?; ",""))</f>
        <v/>
      </c>
    </row>
    <row r="275" customFormat="false" ht="15" hidden="false" customHeight="false" outlineLevel="0" collapsed="false">
      <c r="A275" s="11"/>
      <c r="D275" s="10"/>
      <c r="E275" s="12"/>
      <c r="I275" s="30" t="str">
        <f aca="false">IF($A275="","",IF(COUNTIF(drops!$A$2:$A$21,$B275)=0,"drop_id not on drops; ","")&amp;IF(N($E275)&lt;=0,"amount?; ","")&amp;IF($D275="","cost type?; ",""))</f>
        <v/>
      </c>
    </row>
    <row r="276" customFormat="false" ht="15" hidden="false" customHeight="false" outlineLevel="0" collapsed="false">
      <c r="A276" s="11"/>
      <c r="D276" s="10"/>
      <c r="E276" s="12"/>
      <c r="I276" s="30" t="str">
        <f aca="false">IF($A276="","",IF(COUNTIF(drops!$A$2:$A$21,$B276)=0,"drop_id not on drops; ","")&amp;IF(N($E276)&lt;=0,"amount?; ","")&amp;IF($D276="","cost type?; ",""))</f>
        <v/>
      </c>
    </row>
    <row r="277" customFormat="false" ht="15" hidden="false" customHeight="false" outlineLevel="0" collapsed="false">
      <c r="A277" s="11"/>
      <c r="D277" s="10"/>
      <c r="E277" s="12"/>
      <c r="I277" s="30" t="str">
        <f aca="false">IF($A277="","",IF(COUNTIF(drops!$A$2:$A$21,$B277)=0,"drop_id not on drops; ","")&amp;IF(N($E277)&lt;=0,"amount?; ","")&amp;IF($D277="","cost type?; ",""))</f>
        <v/>
      </c>
    </row>
    <row r="278" customFormat="false" ht="15" hidden="false" customHeight="false" outlineLevel="0" collapsed="false">
      <c r="A278" s="11"/>
      <c r="D278" s="10"/>
      <c r="E278" s="12"/>
      <c r="I278" s="30" t="str">
        <f aca="false">IF($A278="","",IF(COUNTIF(drops!$A$2:$A$21,$B278)=0,"drop_id not on drops; ","")&amp;IF(N($E278)&lt;=0,"amount?; ","")&amp;IF($D278="","cost type?; ",""))</f>
        <v/>
      </c>
    </row>
    <row r="279" customFormat="false" ht="15" hidden="false" customHeight="false" outlineLevel="0" collapsed="false">
      <c r="A279" s="11"/>
      <c r="D279" s="10"/>
      <c r="E279" s="12"/>
      <c r="I279" s="30" t="str">
        <f aca="false">IF($A279="","",IF(COUNTIF(drops!$A$2:$A$21,$B279)=0,"drop_id not on drops; ","")&amp;IF(N($E279)&lt;=0,"amount?; ","")&amp;IF($D279="","cost type?; ",""))</f>
        <v/>
      </c>
    </row>
    <row r="280" customFormat="false" ht="15" hidden="false" customHeight="false" outlineLevel="0" collapsed="false">
      <c r="A280" s="11"/>
      <c r="D280" s="10"/>
      <c r="E280" s="12"/>
      <c r="I280" s="30" t="str">
        <f aca="false">IF($A280="","",IF(COUNTIF(drops!$A$2:$A$21,$B280)=0,"drop_id not on drops; ","")&amp;IF(N($E280)&lt;=0,"amount?; ","")&amp;IF($D280="","cost type?; ",""))</f>
        <v/>
      </c>
    </row>
    <row r="281" customFormat="false" ht="15" hidden="false" customHeight="false" outlineLevel="0" collapsed="false">
      <c r="A281" s="11"/>
      <c r="D281" s="10"/>
      <c r="E281" s="12"/>
      <c r="I281" s="30" t="str">
        <f aca="false">IF($A281="","",IF(COUNTIF(drops!$A$2:$A$21,$B281)=0,"drop_id not on drops; ","")&amp;IF(N($E281)&lt;=0,"amount?; ","")&amp;IF($D281="","cost type?; ",""))</f>
        <v/>
      </c>
    </row>
    <row r="282" customFormat="false" ht="15" hidden="false" customHeight="false" outlineLevel="0" collapsed="false">
      <c r="A282" s="11"/>
      <c r="D282" s="10"/>
      <c r="E282" s="12"/>
      <c r="I282" s="30" t="str">
        <f aca="false">IF($A282="","",IF(COUNTIF(drops!$A$2:$A$21,$B282)=0,"drop_id not on drops; ","")&amp;IF(N($E282)&lt;=0,"amount?; ","")&amp;IF($D282="","cost type?; ",""))</f>
        <v/>
      </c>
    </row>
    <row r="283" customFormat="false" ht="15" hidden="false" customHeight="false" outlineLevel="0" collapsed="false">
      <c r="A283" s="11"/>
      <c r="D283" s="10"/>
      <c r="E283" s="12"/>
      <c r="I283" s="30" t="str">
        <f aca="false">IF($A283="","",IF(COUNTIF(drops!$A$2:$A$21,$B283)=0,"drop_id not on drops; ","")&amp;IF(N($E283)&lt;=0,"amount?; ","")&amp;IF($D283="","cost type?; ",""))</f>
        <v/>
      </c>
    </row>
    <row r="284" customFormat="false" ht="15" hidden="false" customHeight="false" outlineLevel="0" collapsed="false">
      <c r="A284" s="11"/>
      <c r="D284" s="10"/>
      <c r="E284" s="12"/>
      <c r="I284" s="30" t="str">
        <f aca="false">IF($A284="","",IF(COUNTIF(drops!$A$2:$A$21,$B284)=0,"drop_id not on drops; ","")&amp;IF(N($E284)&lt;=0,"amount?; ","")&amp;IF($D284="","cost type?; ",""))</f>
        <v/>
      </c>
    </row>
    <row r="285" customFormat="false" ht="15" hidden="false" customHeight="false" outlineLevel="0" collapsed="false">
      <c r="A285" s="11"/>
      <c r="D285" s="10"/>
      <c r="E285" s="12"/>
      <c r="I285" s="30" t="str">
        <f aca="false">IF($A285="","",IF(COUNTIF(drops!$A$2:$A$21,$B285)=0,"drop_id not on drops; ","")&amp;IF(N($E285)&lt;=0,"amount?; ","")&amp;IF($D285="","cost type?; ",""))</f>
        <v/>
      </c>
    </row>
    <row r="286" customFormat="false" ht="15" hidden="false" customHeight="false" outlineLevel="0" collapsed="false">
      <c r="A286" s="11"/>
      <c r="D286" s="10"/>
      <c r="E286" s="12"/>
      <c r="I286" s="30" t="str">
        <f aca="false">IF($A286="","",IF(COUNTIF(drops!$A$2:$A$21,$B286)=0,"drop_id not on drops; ","")&amp;IF(N($E286)&lt;=0,"amount?; ","")&amp;IF($D286="","cost type?; ",""))</f>
        <v/>
      </c>
    </row>
    <row r="287" customFormat="false" ht="15" hidden="false" customHeight="false" outlineLevel="0" collapsed="false">
      <c r="A287" s="11"/>
      <c r="D287" s="10"/>
      <c r="E287" s="12"/>
      <c r="I287" s="30" t="str">
        <f aca="false">IF($A287="","",IF(COUNTIF(drops!$A$2:$A$21,$B287)=0,"drop_id not on drops; ","")&amp;IF(N($E287)&lt;=0,"amount?; ","")&amp;IF($D287="","cost type?; ",""))</f>
        <v/>
      </c>
    </row>
    <row r="288" customFormat="false" ht="15" hidden="false" customHeight="false" outlineLevel="0" collapsed="false">
      <c r="A288" s="11"/>
      <c r="D288" s="10"/>
      <c r="E288" s="12"/>
      <c r="I288" s="30" t="str">
        <f aca="false">IF($A288="","",IF(COUNTIF(drops!$A$2:$A$21,$B288)=0,"drop_id not on drops; ","")&amp;IF(N($E288)&lt;=0,"amount?; ","")&amp;IF($D288="","cost type?; ",""))</f>
        <v/>
      </c>
    </row>
    <row r="289" customFormat="false" ht="15" hidden="false" customHeight="false" outlineLevel="0" collapsed="false">
      <c r="A289" s="11"/>
      <c r="D289" s="10"/>
      <c r="E289" s="12"/>
      <c r="I289" s="30" t="str">
        <f aca="false">IF($A289="","",IF(COUNTIF(drops!$A$2:$A$21,$B289)=0,"drop_id not on drops; ","")&amp;IF(N($E289)&lt;=0,"amount?; ","")&amp;IF($D289="","cost type?; ",""))</f>
        <v/>
      </c>
    </row>
    <row r="290" customFormat="false" ht="15" hidden="false" customHeight="false" outlineLevel="0" collapsed="false">
      <c r="A290" s="11"/>
      <c r="D290" s="10"/>
      <c r="E290" s="12"/>
      <c r="I290" s="30" t="str">
        <f aca="false">IF($A290="","",IF(COUNTIF(drops!$A$2:$A$21,$B290)=0,"drop_id not on drops; ","")&amp;IF(N($E290)&lt;=0,"amount?; ","")&amp;IF($D290="","cost type?; ",""))</f>
        <v/>
      </c>
    </row>
    <row r="291" customFormat="false" ht="15" hidden="false" customHeight="false" outlineLevel="0" collapsed="false">
      <c r="A291" s="11"/>
      <c r="D291" s="10"/>
      <c r="E291" s="12"/>
      <c r="I291" s="30" t="str">
        <f aca="false">IF($A291="","",IF(COUNTIF(drops!$A$2:$A$21,$B291)=0,"drop_id not on drops; ","")&amp;IF(N($E291)&lt;=0,"amount?; ","")&amp;IF($D291="","cost type?; ",""))</f>
        <v/>
      </c>
    </row>
    <row r="292" customFormat="false" ht="15" hidden="false" customHeight="false" outlineLevel="0" collapsed="false">
      <c r="A292" s="11"/>
      <c r="D292" s="10"/>
      <c r="E292" s="12"/>
      <c r="I292" s="30" t="str">
        <f aca="false">IF($A292="","",IF(COUNTIF(drops!$A$2:$A$21,$B292)=0,"drop_id not on drops; ","")&amp;IF(N($E292)&lt;=0,"amount?; ","")&amp;IF($D292="","cost type?; ",""))</f>
        <v/>
      </c>
    </row>
    <row r="293" customFormat="false" ht="15" hidden="false" customHeight="false" outlineLevel="0" collapsed="false">
      <c r="A293" s="11"/>
      <c r="D293" s="10"/>
      <c r="E293" s="12"/>
      <c r="I293" s="30" t="str">
        <f aca="false">IF($A293="","",IF(COUNTIF(drops!$A$2:$A$21,$B293)=0,"drop_id not on drops; ","")&amp;IF(N($E293)&lt;=0,"amount?; ","")&amp;IF($D293="","cost type?; ",""))</f>
        <v/>
      </c>
    </row>
    <row r="294" customFormat="false" ht="15" hidden="false" customHeight="false" outlineLevel="0" collapsed="false">
      <c r="A294" s="11"/>
      <c r="D294" s="10"/>
      <c r="E294" s="12"/>
      <c r="I294" s="30" t="str">
        <f aca="false">IF($A294="","",IF(COUNTIF(drops!$A$2:$A$21,$B294)=0,"drop_id not on drops; ","")&amp;IF(N($E294)&lt;=0,"amount?; ","")&amp;IF($D294="","cost type?; ",""))</f>
        <v/>
      </c>
    </row>
    <row r="295" customFormat="false" ht="15" hidden="false" customHeight="false" outlineLevel="0" collapsed="false">
      <c r="A295" s="11"/>
      <c r="D295" s="10"/>
      <c r="E295" s="12"/>
      <c r="I295" s="30" t="str">
        <f aca="false">IF($A295="","",IF(COUNTIF(drops!$A$2:$A$21,$B295)=0,"drop_id not on drops; ","")&amp;IF(N($E295)&lt;=0,"amount?; ","")&amp;IF($D295="","cost type?; ",""))</f>
        <v/>
      </c>
    </row>
    <row r="296" customFormat="false" ht="15" hidden="false" customHeight="false" outlineLevel="0" collapsed="false">
      <c r="A296" s="11"/>
      <c r="D296" s="10"/>
      <c r="E296" s="12"/>
      <c r="I296" s="30" t="str">
        <f aca="false">IF($A296="","",IF(COUNTIF(drops!$A$2:$A$21,$B296)=0,"drop_id not on drops; ","")&amp;IF(N($E296)&lt;=0,"amount?; ","")&amp;IF($D296="","cost type?; ",""))</f>
        <v/>
      </c>
    </row>
    <row r="297" customFormat="false" ht="15" hidden="false" customHeight="false" outlineLevel="0" collapsed="false">
      <c r="A297" s="11"/>
      <c r="D297" s="10"/>
      <c r="E297" s="12"/>
      <c r="I297" s="30" t="str">
        <f aca="false">IF($A297="","",IF(COUNTIF(drops!$A$2:$A$21,$B297)=0,"drop_id not on drops; ","")&amp;IF(N($E297)&lt;=0,"amount?; ","")&amp;IF($D297="","cost type?; ",""))</f>
        <v/>
      </c>
    </row>
    <row r="298" customFormat="false" ht="15" hidden="false" customHeight="false" outlineLevel="0" collapsed="false">
      <c r="A298" s="11"/>
      <c r="D298" s="10"/>
      <c r="E298" s="12"/>
      <c r="I298" s="30" t="str">
        <f aca="false">IF($A298="","",IF(COUNTIF(drops!$A$2:$A$21,$B298)=0,"drop_id not on drops; ","")&amp;IF(N($E298)&lt;=0,"amount?; ","")&amp;IF($D298="","cost type?; ",""))</f>
        <v/>
      </c>
    </row>
    <row r="299" customFormat="false" ht="15" hidden="false" customHeight="false" outlineLevel="0" collapsed="false">
      <c r="A299" s="11"/>
      <c r="D299" s="10"/>
      <c r="E299" s="12"/>
      <c r="I299" s="30" t="str">
        <f aca="false">IF($A299="","",IF(COUNTIF(drops!$A$2:$A$21,$B299)=0,"drop_id not on drops; ","")&amp;IF(N($E299)&lt;=0,"amount?; ","")&amp;IF($D299="","cost type?; ",""))</f>
        <v/>
      </c>
    </row>
    <row r="300" customFormat="false" ht="15" hidden="false" customHeight="false" outlineLevel="0" collapsed="false">
      <c r="A300" s="11"/>
      <c r="D300" s="10"/>
      <c r="E300" s="12"/>
      <c r="I300" s="30" t="str">
        <f aca="false">IF($A300="","",IF(COUNTIF(drops!$A$2:$A$21,$B300)=0,"drop_id not on drops; ","")&amp;IF(N($E300)&lt;=0,"amount?; ","")&amp;IF($D300="","cost type?; ",""))</f>
        <v/>
      </c>
    </row>
    <row r="301" customFormat="false" ht="15" hidden="false" customHeight="false" outlineLevel="0" collapsed="false">
      <c r="A301" s="11"/>
      <c r="D301" s="10"/>
      <c r="E301" s="12"/>
      <c r="I301" s="30" t="str">
        <f aca="false">IF($A301="","",IF(COUNTIF(drops!$A$2:$A$21,$B301)=0,"drop_id not on drops; ","")&amp;IF(N($E301)&lt;=0,"amount?; ","")&amp;IF($D301="","cost type?; ",""))</f>
        <v/>
      </c>
    </row>
  </sheetData>
  <conditionalFormatting sqref="I2:I301">
    <cfRule type="expression" priority="2" aboveAverage="0" equalAverage="0" bottom="0" percent="0" rank="0" text="" dxfId="1">
      <formula>LEN(I2)&gt;0</formula>
    </cfRule>
  </conditionalFormatting>
  <dataValidations count="1">
    <dataValidation allowBlank="true" error="Pick a value from the list." errorStyle="stop" errorTitle="Not on the list" operator="between" showDropDown="false" showErrorMessage="true" showInputMessage="false" sqref="D2:D301" type="list">
      <formula1>"kit,transport,other_direct"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2CC"/>
    <pageSetUpPr fitToPage="false"/>
  </sheetPr>
  <dimension ref="A1:S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20"/>
    <col collapsed="false" customWidth="true" hidden="false" outlineLevel="0" max="10" min="8" style="0" width="14"/>
    <col collapsed="false" customWidth="true" hidden="false" outlineLevel="0" max="11" min="11" style="0" width="16"/>
    <col collapsed="false" customWidth="true" hidden="false" outlineLevel="0" max="12" min="12" style="0" width="14"/>
    <col collapsed="false" customWidth="true" hidden="false" outlineLevel="0" max="13" min="13" style="0" width="20"/>
    <col collapsed="false" customWidth="true" hidden="false" outlineLevel="0" max="14" min="14" style="0" width="16"/>
    <col collapsed="false" customWidth="true" hidden="false" outlineLevel="0" max="16" min="15" style="0" width="14"/>
    <col collapsed="false" customWidth="true" hidden="false" outlineLevel="0" max="17" min="17" style="0" width="10"/>
    <col collapsed="false" customWidth="true" hidden="false" outlineLevel="0" max="18" min="18" style="0" width="7"/>
    <col collapsed="false" customWidth="true" hidden="false" outlineLevel="0" max="19" min="19" style="0" width="30"/>
  </cols>
  <sheetData>
    <row r="1" customFormat="false" ht="15" hidden="false" customHeight="false" outlineLevel="0" collapsed="false">
      <c r="A1" s="28" t="s">
        <v>1363</v>
      </c>
      <c r="B1" s="28" t="s">
        <v>358</v>
      </c>
      <c r="C1" s="28" t="s">
        <v>1364</v>
      </c>
      <c r="D1" s="28" t="s">
        <v>1365</v>
      </c>
      <c r="E1" s="28" t="s">
        <v>1344</v>
      </c>
      <c r="F1" s="28" t="s">
        <v>1366</v>
      </c>
      <c r="G1" s="28" t="s">
        <v>1367</v>
      </c>
      <c r="H1" s="28" t="s">
        <v>1368</v>
      </c>
      <c r="I1" s="28" t="s">
        <v>1369</v>
      </c>
      <c r="J1" s="28" t="s">
        <v>1370</v>
      </c>
      <c r="K1" s="28" t="s">
        <v>1371</v>
      </c>
      <c r="L1" s="28" t="s">
        <v>460</v>
      </c>
      <c r="M1" s="28" t="s">
        <v>178</v>
      </c>
      <c r="N1" s="29" t="s">
        <v>411</v>
      </c>
      <c r="O1" s="29" t="s">
        <v>1372</v>
      </c>
      <c r="P1" s="29" t="s">
        <v>1373</v>
      </c>
      <c r="Q1" s="29" t="s">
        <v>79</v>
      </c>
      <c r="R1" s="29" t="s">
        <v>1374</v>
      </c>
      <c r="S1" s="29" t="s">
        <v>120</v>
      </c>
    </row>
    <row r="2" customFormat="false" ht="15" hidden="false" customHeight="false" outlineLevel="0" collapsed="false">
      <c r="A2" s="0" t="s">
        <v>1375</v>
      </c>
      <c r="B2" s="0" t="s">
        <v>472</v>
      </c>
      <c r="C2" s="10" t="s">
        <v>1376</v>
      </c>
      <c r="D2" s="11" t="n">
        <v>46363</v>
      </c>
      <c r="E2" s="12" t="n">
        <v>600</v>
      </c>
      <c r="F2" s="12" t="n">
        <v>0</v>
      </c>
      <c r="G2" s="10" t="s">
        <v>624</v>
      </c>
      <c r="H2" s="11" t="n">
        <v>46366</v>
      </c>
      <c r="I2" s="12" t="n">
        <v>600</v>
      </c>
      <c r="J2" s="10" t="s">
        <v>1377</v>
      </c>
      <c r="K2" s="10" t="s">
        <v>1378</v>
      </c>
      <c r="L2" s="12" t="n">
        <v>0</v>
      </c>
      <c r="N2" s="30" t="str">
        <f aca="false">IF($B2="","",IFERROR(IF(INDEX(campaigns!$BE$2:$BE$51,MATCH($B2,campaigns!$A$2:$A$51,0))="","",INDEX(campaigns!$BE$2:$BE$51,MATCH($B2,campaigns!$A$2:$A$51,0))),""))</f>
        <v>SAMPLE Brightside</v>
      </c>
      <c r="O2" s="31" t="n">
        <f aca="false">IF(OR($A2="",$D2=""),"",IF($C2="founding_full",WORKDAY($D2,config!$B$27,calendar!$A$2:$A$80),$D2))</f>
        <v>46370</v>
      </c>
      <c r="P2" s="32" t="n">
        <f aca="false">IF($A2="","",N($E2)+N($F2))</f>
        <v>600</v>
      </c>
      <c r="Q2" s="30" t="str">
        <f aca="true">IF($A2="","",IF($C2="credit_note",IF($H2&lt;&gt;"","refunded","credit applied"),IF($H2&lt;&gt;"",IF(N($I2)&gt;=$P2-0.005,"paid",IF(AND($C2="standard_balance",N($I2)+(-SUMPRODUCT((invoices!$B$2:$B$151=$B2)*(invoices!$C$2:$C$151="credit_note")*(LEN(invoices!$H$2:$H$151)=0)*invoices!$E$2:$E$151))&gt;=$P2-0.005),"paid (less credit)","part paid")),IF($D2="","draft",IF(IF(config!$B$37&lt;&gt;"",config!$B$37,TODAY())&gt;$O2,"overdue","sent")))))</f>
        <v>paid</v>
      </c>
      <c r="R2" s="30" t="str">
        <f aca="false">IF($A2="","",IF(OR($C2="founding_full",$C2="standard_deposit"),"Y","N"))</f>
        <v>Y</v>
      </c>
      <c r="S2" s="30" t="str">
        <f aca="false">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ustomFormat="false" ht="15" hidden="false" customHeight="false" outlineLevel="0" collapsed="false">
      <c r="A3" s="0" t="s">
        <v>1379</v>
      </c>
      <c r="B3" s="0" t="s">
        <v>498</v>
      </c>
      <c r="C3" s="10" t="s">
        <v>1376</v>
      </c>
      <c r="D3" s="11" t="n">
        <v>46364</v>
      </c>
      <c r="E3" s="12" t="n">
        <v>600</v>
      </c>
      <c r="F3" s="12" t="n">
        <v>0</v>
      </c>
      <c r="G3" s="10" t="s">
        <v>629</v>
      </c>
      <c r="H3" s="11" t="n">
        <v>46367</v>
      </c>
      <c r="I3" s="12" t="n">
        <v>600</v>
      </c>
      <c r="J3" s="10" t="s">
        <v>1377</v>
      </c>
      <c r="K3" s="10" t="s">
        <v>1380</v>
      </c>
      <c r="L3" s="12" t="n">
        <v>0</v>
      </c>
      <c r="N3" s="30" t="str">
        <f aca="false">IF($B3="","",IFERROR(IF(INDEX(campaigns!$BE$2:$BE$51,MATCH($B3,campaigns!$A$2:$A$51,0))="","",INDEX(campaigns!$BE$2:$BE$51,MATCH($B3,campaigns!$A$2:$A$51,0))),""))</f>
        <v>SAMPLE Northbound</v>
      </c>
      <c r="O3" s="31" t="n">
        <f aca="false">IF(OR($A3="",$D3=""),"",IF($C3="founding_full",WORKDAY($D3,config!$B$27,calendar!$A$2:$A$80),$D3))</f>
        <v>46371</v>
      </c>
      <c r="P3" s="32" t="n">
        <f aca="false">IF($A3="","",N($E3)+N($F3))</f>
        <v>600</v>
      </c>
      <c r="Q3" s="30" t="str">
        <f aca="true">IF($A3="","",IF($C3="credit_note",IF($H3&lt;&gt;"","refunded","credit applied"),IF($H3&lt;&gt;"",IF(N($I3)&gt;=$P3-0.005,"paid",IF(AND($C3="standard_balance",N($I3)+(-SUMPRODUCT((invoices!$B$2:$B$151=$B3)*(invoices!$C$2:$C$151="credit_note")*(LEN(invoices!$H$2:$H$151)=0)*invoices!$E$2:$E$151))&gt;=$P3-0.005),"paid (less credit)","part paid")),IF($D3="","draft",IF(IF(config!$B$37&lt;&gt;"",config!$B$37,TODAY())&gt;$O3,"overdue","sent")))))</f>
        <v>paid</v>
      </c>
      <c r="R3" s="30" t="str">
        <f aca="false">IF($A3="","",IF(OR($C3="founding_full",$C3="standard_deposit"),"Y","N"))</f>
        <v>Y</v>
      </c>
      <c r="S3" s="30" t="str">
        <f aca="false">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ustomFormat="false" ht="15" hidden="false" customHeight="false" outlineLevel="0" collapsed="false">
      <c r="A4" s="0" t="s">
        <v>1381</v>
      </c>
      <c r="B4" s="0" t="s">
        <v>472</v>
      </c>
      <c r="C4" s="10" t="s">
        <v>1382</v>
      </c>
      <c r="D4" s="11" t="n">
        <v>46400</v>
      </c>
      <c r="E4" s="12" t="n">
        <v>-120</v>
      </c>
      <c r="F4" s="12" t="n">
        <v>0</v>
      </c>
      <c r="G4" s="10" t="s">
        <v>624</v>
      </c>
      <c r="H4" s="11" t="n">
        <v>46402</v>
      </c>
      <c r="I4" s="12" t="n">
        <v>-120</v>
      </c>
      <c r="J4" s="10" t="s">
        <v>1377</v>
      </c>
      <c r="K4" s="10" t="s">
        <v>1383</v>
      </c>
      <c r="L4" s="12" t="n">
        <v>0</v>
      </c>
      <c r="M4" s="10" t="s">
        <v>1384</v>
      </c>
      <c r="N4" s="30" t="str">
        <f aca="false">IF($B4="","",IFERROR(IF(INDEX(campaigns!$BE$2:$BE$51,MATCH($B4,campaigns!$A$2:$A$51,0))="","",INDEX(campaigns!$BE$2:$BE$51,MATCH($B4,campaigns!$A$2:$A$51,0))),""))</f>
        <v>SAMPLE Brightside</v>
      </c>
      <c r="O4" s="31" t="n">
        <f aca="false">IF(OR($A4="",$D4=""),"",IF($C4="founding_full",WORKDAY($D4,config!$B$27,calendar!$A$2:$A$80),$D4))</f>
        <v>46400</v>
      </c>
      <c r="P4" s="32" t="n">
        <f aca="false">IF($A4="","",N($E4)+N($F4))</f>
        <v>-120</v>
      </c>
      <c r="Q4" s="30" t="str">
        <f aca="true">IF($A4="","",IF($C4="credit_note",IF($H4&lt;&gt;"","refunded","credit applied"),IF($H4&lt;&gt;"",IF(N($I4)&gt;=$P4-0.005,"paid",IF(AND($C4="standard_balance",N($I4)+(-SUMPRODUCT((invoices!$B$2:$B$151=$B4)*(invoices!$C$2:$C$151="credit_note")*(LEN(invoices!$H$2:$H$151)=0)*invoices!$E$2:$E$151))&gt;=$P4-0.005),"paid (less credit)","part paid")),IF($D4="","draft",IF(IF(config!$B$37&lt;&gt;"",config!$B$37,TODAY())&gt;$O4,"overdue","sent")))))</f>
        <v>refunded</v>
      </c>
      <c r="R4" s="30" t="str">
        <f aca="false">IF($A4="","",IF(OR($C4="founding_full",$C4="standard_deposit"),"Y","N"))</f>
        <v>N</v>
      </c>
      <c r="S4" s="30" t="str">
        <f aca="false">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ustomFormat="false" ht="15" hidden="false" customHeight="false" outlineLevel="0" collapsed="false">
      <c r="A5" s="0" t="s">
        <v>1385</v>
      </c>
      <c r="B5" s="0" t="s">
        <v>516</v>
      </c>
      <c r="C5" s="10" t="s">
        <v>1386</v>
      </c>
      <c r="D5" s="11" t="n">
        <v>46391</v>
      </c>
      <c r="E5" s="12" t="n">
        <v>750</v>
      </c>
      <c r="F5" s="12" t="n">
        <v>0</v>
      </c>
      <c r="G5" s="10" t="s">
        <v>1387</v>
      </c>
      <c r="H5" s="11" t="n">
        <v>46394</v>
      </c>
      <c r="I5" s="12" t="n">
        <v>750</v>
      </c>
      <c r="J5" s="10" t="s">
        <v>1377</v>
      </c>
      <c r="K5" s="10" t="s">
        <v>1388</v>
      </c>
      <c r="L5" s="12" t="n">
        <v>0</v>
      </c>
      <c r="N5" s="30" t="str">
        <f aca="false">IF($B5="","",IFERROR(IF(INDEX(campaigns!$BE$2:$BE$51,MATCH($B5,campaigns!$A$2:$A$51,0))="","",INDEX(campaigns!$BE$2:$BE$51,MATCH($B5,campaigns!$A$2:$A$51,0))),""))</f>
        <v>SAMPLE Tallgrass</v>
      </c>
      <c r="O5" s="31" t="n">
        <f aca="false">IF(OR($A5="",$D5=""),"",IF($C5="founding_full",WORKDAY($D5,config!$B$27,calendar!$A$2:$A$80),$D5))</f>
        <v>46391</v>
      </c>
      <c r="P5" s="32" t="n">
        <f aca="false">IF($A5="","",N($E5)+N($F5))</f>
        <v>750</v>
      </c>
      <c r="Q5" s="30" t="str">
        <f aca="true">IF($A5="","",IF($C5="credit_note",IF($H5&lt;&gt;"","refunded","credit applied"),IF($H5&lt;&gt;"",IF(N($I5)&gt;=$P5-0.005,"paid",IF(AND($C5="standard_balance",N($I5)+(-SUMPRODUCT((invoices!$B$2:$B$151=$B5)*(invoices!$C$2:$C$151="credit_note")*(LEN(invoices!$H$2:$H$151)=0)*invoices!$E$2:$E$151))&gt;=$P5-0.005),"paid (less credit)","part paid")),IF($D5="","draft",IF(IF(config!$B$37&lt;&gt;"",config!$B$37,TODAY())&gt;$O5,"overdue","sent")))))</f>
        <v>paid</v>
      </c>
      <c r="R5" s="30" t="str">
        <f aca="false">IF($A5="","",IF(OR($C5="founding_full",$C5="standard_deposit"),"Y","N"))</f>
        <v>Y</v>
      </c>
      <c r="S5" s="30" t="str">
        <f aca="false">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ustomFormat="false" ht="15" hidden="false" customHeight="false" outlineLevel="0" collapsed="false">
      <c r="A6" s="0" t="s">
        <v>1389</v>
      </c>
      <c r="B6" s="0" t="s">
        <v>516</v>
      </c>
      <c r="C6" s="10" t="s">
        <v>1390</v>
      </c>
      <c r="D6" s="11" t="n">
        <v>46428</v>
      </c>
      <c r="E6" s="12" t="n">
        <v>750</v>
      </c>
      <c r="F6" s="12" t="n">
        <v>0</v>
      </c>
      <c r="G6" s="10" t="s">
        <v>1387</v>
      </c>
      <c r="H6" s="11" t="n">
        <v>46434</v>
      </c>
      <c r="I6" s="12" t="n">
        <v>750</v>
      </c>
      <c r="J6" s="10" t="s">
        <v>1377</v>
      </c>
      <c r="K6" s="10" t="s">
        <v>1391</v>
      </c>
      <c r="L6" s="12" t="n">
        <v>0</v>
      </c>
      <c r="N6" s="30" t="str">
        <f aca="false">IF($B6="","",IFERROR(IF(INDEX(campaigns!$BE$2:$BE$51,MATCH($B6,campaigns!$A$2:$A$51,0))="","",INDEX(campaigns!$BE$2:$BE$51,MATCH($B6,campaigns!$A$2:$A$51,0))),""))</f>
        <v>SAMPLE Tallgrass</v>
      </c>
      <c r="O6" s="31" t="n">
        <f aca="false">IF(OR($A6="",$D6=""),"",IF($C6="founding_full",WORKDAY($D6,config!$B$27,calendar!$A$2:$A$80),$D6))</f>
        <v>46428</v>
      </c>
      <c r="P6" s="32" t="n">
        <f aca="false">IF($A6="","",N($E6)+N($F6))</f>
        <v>750</v>
      </c>
      <c r="Q6" s="30" t="str">
        <f aca="true">IF($A6="","",IF($C6="credit_note",IF($H6&lt;&gt;"","refunded","credit applied"),IF($H6&lt;&gt;"",IF(N($I6)&gt;=$P6-0.005,"paid",IF(AND($C6="standard_balance",N($I6)+(-SUMPRODUCT((invoices!$B$2:$B$151=$B6)*(invoices!$C$2:$C$151="credit_note")*(LEN(invoices!$H$2:$H$151)=0)*invoices!$E$2:$E$151))&gt;=$P6-0.005),"paid (less credit)","part paid")),IF($D6="","draft",IF(IF(config!$B$37&lt;&gt;"",config!$B$37,TODAY())&gt;$O6,"overdue","sent")))))</f>
        <v>paid</v>
      </c>
      <c r="R6" s="30" t="str">
        <f aca="false">IF($A6="","",IF(OR($C6="founding_full",$C6="standard_deposit"),"Y","N"))</f>
        <v>N</v>
      </c>
      <c r="S6" s="30" t="str">
        <f aca="false">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ustomFormat="false" ht="15" hidden="false" customHeight="false" outlineLevel="0" collapsed="false">
      <c r="A7" s="0" t="s">
        <v>1392</v>
      </c>
      <c r="B7" s="0" t="s">
        <v>532</v>
      </c>
      <c r="C7" s="10" t="s">
        <v>1386</v>
      </c>
      <c r="D7" s="11" t="n">
        <v>46393</v>
      </c>
      <c r="E7" s="12" t="n">
        <v>750</v>
      </c>
      <c r="F7" s="12" t="n">
        <v>0</v>
      </c>
      <c r="G7" s="10" t="s">
        <v>1387</v>
      </c>
      <c r="H7" s="11" t="n">
        <v>46398</v>
      </c>
      <c r="I7" s="12" t="n">
        <v>750</v>
      </c>
      <c r="J7" s="10" t="s">
        <v>1377</v>
      </c>
      <c r="K7" s="10" t="s">
        <v>1393</v>
      </c>
      <c r="L7" s="12" t="n">
        <v>0</v>
      </c>
      <c r="N7" s="30" t="str">
        <f aca="false">IF($B7="","",IFERROR(IF(INDEX(campaigns!$BE$2:$BE$51,MATCH($B7,campaigns!$A$2:$A$51,0))="","",INDEX(campaigns!$BE$2:$BE$51,MATCH($B7,campaigns!$A$2:$A$51,0))),""))</f>
        <v>SAMPLE Orchard Row</v>
      </c>
      <c r="O7" s="31" t="n">
        <f aca="false">IF(OR($A7="",$D7=""),"",IF($C7="founding_full",WORKDAY($D7,config!$B$27,calendar!$A$2:$A$80),$D7))</f>
        <v>46393</v>
      </c>
      <c r="P7" s="32" t="n">
        <f aca="false">IF($A7="","",N($E7)+N($F7))</f>
        <v>750</v>
      </c>
      <c r="Q7" s="30" t="str">
        <f aca="true">IF($A7="","",IF($C7="credit_note",IF($H7&lt;&gt;"","refunded","credit applied"),IF($H7&lt;&gt;"",IF(N($I7)&gt;=$P7-0.005,"paid",IF(AND($C7="standard_balance",N($I7)+(-SUMPRODUCT((invoices!$B$2:$B$151=$B7)*(invoices!$C$2:$C$151="credit_note")*(LEN(invoices!$H$2:$H$151)=0)*invoices!$E$2:$E$151))&gt;=$P7-0.005),"paid (less credit)","part paid")),IF($D7="","draft",IF(IF(config!$B$37&lt;&gt;"",config!$B$37,TODAY())&gt;$O7,"overdue","sent")))))</f>
        <v>paid</v>
      </c>
      <c r="R7" s="30" t="str">
        <f aca="false">IF($A7="","",IF(OR($C7="founding_full",$C7="standard_deposit"),"Y","N"))</f>
        <v>Y</v>
      </c>
      <c r="S7" s="30" t="str">
        <f aca="false">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ustomFormat="false" ht="15" hidden="false" customHeight="false" outlineLevel="0" collapsed="false">
      <c r="A8" s="0" t="s">
        <v>1394</v>
      </c>
      <c r="B8" s="0" t="s">
        <v>532</v>
      </c>
      <c r="C8" s="10" t="s">
        <v>1390</v>
      </c>
      <c r="D8" s="11" t="n">
        <v>46428</v>
      </c>
      <c r="E8" s="12" t="n">
        <v>750</v>
      </c>
      <c r="F8" s="12" t="n">
        <v>0</v>
      </c>
      <c r="G8" s="10" t="s">
        <v>1387</v>
      </c>
      <c r="H8" s="11" t="n">
        <v>46435</v>
      </c>
      <c r="I8" s="12" t="n">
        <v>600</v>
      </c>
      <c r="J8" s="10" t="s">
        <v>1377</v>
      </c>
      <c r="K8" s="10" t="s">
        <v>1395</v>
      </c>
      <c r="L8" s="12" t="n">
        <v>0</v>
      </c>
      <c r="N8" s="30" t="str">
        <f aca="false">IF($B8="","",IFERROR(IF(INDEX(campaigns!$BE$2:$BE$51,MATCH($B8,campaigns!$A$2:$A$51,0))="","",INDEX(campaigns!$BE$2:$BE$51,MATCH($B8,campaigns!$A$2:$A$51,0))),""))</f>
        <v>SAMPLE Orchard Row</v>
      </c>
      <c r="O8" s="31" t="n">
        <f aca="false">IF(OR($A8="",$D8=""),"",IF($C8="founding_full",WORKDAY($D8,config!$B$27,calendar!$A$2:$A$80),$D8))</f>
        <v>46428</v>
      </c>
      <c r="P8" s="32" t="n">
        <f aca="false">IF($A8="","",N($E8)+N($F8))</f>
        <v>750</v>
      </c>
      <c r="Q8" s="30" t="str">
        <f aca="true">IF($A8="","",IF($C8="credit_note",IF($H8&lt;&gt;"","refunded","credit applied"),IF($H8&lt;&gt;"",IF(N($I8)&gt;=$P8-0.005,"paid",IF(AND($C8="standard_balance",N($I8)+(-SUMPRODUCT((invoices!$B$2:$B$151=$B8)*(invoices!$C$2:$C$151="credit_note")*(LEN(invoices!$H$2:$H$151)=0)*invoices!$E$2:$E$151))&gt;=$P8-0.005),"paid (less credit)","part paid")),IF($D8="","draft",IF(IF(config!$B$37&lt;&gt;"",config!$B$37,TODAY())&gt;$O8,"overdue","sent")))))</f>
        <v>paid (less credit)</v>
      </c>
      <c r="R8" s="30" t="str">
        <f aca="false">IF($A8="","",IF(OR($C8="founding_full",$C8="standard_deposit"),"Y","N"))</f>
        <v>N</v>
      </c>
      <c r="S8" s="30" t="str">
        <f aca="false">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ustomFormat="false" ht="15" hidden="false" customHeight="false" outlineLevel="0" collapsed="false">
      <c r="A9" s="0" t="s">
        <v>1396</v>
      </c>
      <c r="B9" s="0" t="s">
        <v>532</v>
      </c>
      <c r="C9" s="10" t="s">
        <v>1382</v>
      </c>
      <c r="D9" s="11" t="n">
        <v>46428</v>
      </c>
      <c r="E9" s="12" t="n">
        <v>-150</v>
      </c>
      <c r="F9" s="12" t="n">
        <v>0</v>
      </c>
      <c r="G9" s="10" t="s">
        <v>1387</v>
      </c>
      <c r="H9" s="11"/>
      <c r="I9" s="12"/>
      <c r="J9" s="10"/>
      <c r="L9" s="12"/>
      <c r="M9" s="10" t="s">
        <v>1397</v>
      </c>
      <c r="N9" s="30" t="str">
        <f aca="false">IF($B9="","",IFERROR(IF(INDEX(campaigns!$BE$2:$BE$51,MATCH($B9,campaigns!$A$2:$A$51,0))="","",INDEX(campaigns!$BE$2:$BE$51,MATCH($B9,campaigns!$A$2:$A$51,0))),""))</f>
        <v>SAMPLE Orchard Row</v>
      </c>
      <c r="O9" s="31" t="n">
        <f aca="false">IF(OR($A9="",$D9=""),"",IF($C9="founding_full",WORKDAY($D9,config!$B$27,calendar!$A$2:$A$80),$D9))</f>
        <v>46428</v>
      </c>
      <c r="P9" s="32" t="n">
        <f aca="false">IF($A9="","",N($E9)+N($F9))</f>
        <v>-150</v>
      </c>
      <c r="Q9" s="30" t="str">
        <f aca="true">IF($A9="","",IF($C9="credit_note",IF($H9&lt;&gt;"","refunded","credit applied"),IF($H9&lt;&gt;"",IF(N($I9)&gt;=$P9-0.005,"paid",IF(AND($C9="standard_balance",N($I9)+(-SUMPRODUCT((invoices!$B$2:$B$151=$B9)*(invoices!$C$2:$C$151="credit_note")*(LEN(invoices!$H$2:$H$151)=0)*invoices!$E$2:$E$151))&gt;=$P9-0.005),"paid (less credit)","part paid")),IF($D9="","draft",IF(IF(config!$B$37&lt;&gt;"",config!$B$37,TODAY())&gt;$O9,"overdue","sent")))))</f>
        <v>credit applied</v>
      </c>
      <c r="R9" s="30" t="str">
        <f aca="false">IF($A9="","",IF(OR($C9="founding_full",$C9="standard_deposit"),"Y","N"))</f>
        <v>N</v>
      </c>
      <c r="S9" s="30" t="str">
        <f aca="false">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ustomFormat="false" ht="15" hidden="false" customHeight="false" outlineLevel="0" collapsed="false">
      <c r="A10" s="0" t="s">
        <v>1398</v>
      </c>
      <c r="B10" s="0" t="s">
        <v>549</v>
      </c>
      <c r="C10" s="10" t="s">
        <v>1386</v>
      </c>
      <c r="D10" s="11" t="n">
        <v>46395</v>
      </c>
      <c r="E10" s="12" t="n">
        <v>750</v>
      </c>
      <c r="F10" s="12" t="n">
        <v>0</v>
      </c>
      <c r="G10" s="10" t="s">
        <v>1387</v>
      </c>
      <c r="H10" s="11" t="n">
        <v>46399</v>
      </c>
      <c r="I10" s="12" t="n">
        <v>750</v>
      </c>
      <c r="J10" s="10" t="s">
        <v>1377</v>
      </c>
      <c r="K10" s="10" t="s">
        <v>1399</v>
      </c>
      <c r="L10" s="12" t="n">
        <v>0</v>
      </c>
      <c r="N10" s="30" t="str">
        <f aca="false">IF($B10="","",IFERROR(IF(INDEX(campaigns!$BE$2:$BE$51,MATCH($B10,campaigns!$A$2:$A$51,0))="","",INDEX(campaigns!$BE$2:$BE$51,MATCH($B10,campaigns!$A$2:$A$51,0))),""))</f>
        <v>SAMPLE Kettle Ridge</v>
      </c>
      <c r="O10" s="31" t="n">
        <f aca="false">IF(OR($A10="",$D10=""),"",IF($C10="founding_full",WORKDAY($D10,config!$B$27,calendar!$A$2:$A$80),$D10))</f>
        <v>46395</v>
      </c>
      <c r="P10" s="32" t="n">
        <f aca="false">IF($A10="","",N($E10)+N($F10))</f>
        <v>750</v>
      </c>
      <c r="Q10" s="30" t="str">
        <f aca="true">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paid</v>
      </c>
      <c r="R10" s="30" t="str">
        <f aca="false">IF($A10="","",IF(OR($C10="founding_full",$C10="standard_deposit"),"Y","N"))</f>
        <v>Y</v>
      </c>
      <c r="S10" s="30" t="str">
        <f aca="false">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ustomFormat="false" ht="15" hidden="false" customHeight="false" outlineLevel="0" collapsed="false">
      <c r="A11" s="0" t="s">
        <v>1400</v>
      </c>
      <c r="B11" s="0" t="s">
        <v>549</v>
      </c>
      <c r="C11" s="10" t="s">
        <v>1390</v>
      </c>
      <c r="D11" s="11" t="n">
        <v>46428</v>
      </c>
      <c r="E11" s="12" t="n">
        <v>750</v>
      </c>
      <c r="F11" s="12" t="n">
        <v>0</v>
      </c>
      <c r="G11" s="10" t="s">
        <v>1387</v>
      </c>
      <c r="H11" s="11" t="n">
        <v>46430</v>
      </c>
      <c r="I11" s="12" t="n">
        <v>750</v>
      </c>
      <c r="J11" s="10" t="s">
        <v>1377</v>
      </c>
      <c r="K11" s="10" t="s">
        <v>1401</v>
      </c>
      <c r="L11" s="12" t="n">
        <v>0</v>
      </c>
      <c r="N11" s="30" t="str">
        <f aca="false">IF($B11="","",IFERROR(IF(INDEX(campaigns!$BE$2:$BE$51,MATCH($B11,campaigns!$A$2:$A$51,0))="","",INDEX(campaigns!$BE$2:$BE$51,MATCH($B11,campaigns!$A$2:$A$51,0))),""))</f>
        <v>SAMPLE Kettle Ridge</v>
      </c>
      <c r="O11" s="31" t="n">
        <f aca="false">IF(OR($A11="",$D11=""),"",IF($C11="founding_full",WORKDAY($D11,config!$B$27,calendar!$A$2:$A$80),$D11))</f>
        <v>46428</v>
      </c>
      <c r="P11" s="32" t="n">
        <f aca="false">IF($A11="","",N($E11)+N($F11))</f>
        <v>750</v>
      </c>
      <c r="Q11" s="30" t="str">
        <f aca="true">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paid</v>
      </c>
      <c r="R11" s="30" t="str">
        <f aca="false">IF($A11="","",IF(OR($C11="founding_full",$C11="standard_deposit"),"Y","N"))</f>
        <v>N</v>
      </c>
      <c r="S11" s="30" t="str">
        <f aca="false">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ustomFormat="false" ht="15" hidden="false" customHeight="false" outlineLevel="0" collapsed="false">
      <c r="A12" s="0" t="s">
        <v>1402</v>
      </c>
      <c r="B12" s="0" t="s">
        <v>563</v>
      </c>
      <c r="C12" s="10" t="s">
        <v>1386</v>
      </c>
      <c r="D12" s="11" t="n">
        <v>46412</v>
      </c>
      <c r="E12" s="12" t="n">
        <v>750</v>
      </c>
      <c r="F12" s="12" t="n">
        <v>0</v>
      </c>
      <c r="G12" s="10" t="s">
        <v>641</v>
      </c>
      <c r="H12" s="11" t="n">
        <v>46415</v>
      </c>
      <c r="I12" s="12" t="n">
        <v>750</v>
      </c>
      <c r="J12" s="10" t="s">
        <v>1377</v>
      </c>
      <c r="K12" s="10" t="s">
        <v>1403</v>
      </c>
      <c r="L12" s="12" t="n">
        <v>0</v>
      </c>
      <c r="N12" s="30" t="str">
        <f aca="false">IF($B12="","",IFERROR(IF(INDEX(campaigns!$BE$2:$BE$51,MATCH($B12,campaigns!$A$2:$A$51,0))="","",INDEX(campaigns!$BE$2:$BE$51,MATCH($B12,campaigns!$A$2:$A$51,0))),""))</f>
        <v>SAMPLE Saltmarsh</v>
      </c>
      <c r="O12" s="31" t="n">
        <f aca="false">IF(OR($A12="",$D12=""),"",IF($C12="founding_full",WORKDAY($D12,config!$B$27,calendar!$A$2:$A$80),$D12))</f>
        <v>46412</v>
      </c>
      <c r="P12" s="32" t="n">
        <f aca="false">IF($A12="","",N($E12)+N($F12))</f>
        <v>750</v>
      </c>
      <c r="Q12" s="30" t="str">
        <f aca="true">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paid</v>
      </c>
      <c r="R12" s="30" t="str">
        <f aca="false">IF($A12="","",IF(OR($C12="founding_full",$C12="standard_deposit"),"Y","N"))</f>
        <v>Y</v>
      </c>
      <c r="S12" s="30" t="str">
        <f aca="false">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ustomFormat="false" ht="15" hidden="false" customHeight="false" outlineLevel="0" collapsed="false">
      <c r="A13" s="0" t="s">
        <v>1404</v>
      </c>
      <c r="B13" s="0" t="s">
        <v>563</v>
      </c>
      <c r="C13" s="10" t="s">
        <v>1390</v>
      </c>
      <c r="D13" s="11" t="n">
        <v>46442</v>
      </c>
      <c r="E13" s="12" t="n">
        <v>750</v>
      </c>
      <c r="F13" s="12" t="n">
        <v>0</v>
      </c>
      <c r="G13" s="10" t="s">
        <v>641</v>
      </c>
      <c r="H13" s="11" t="n">
        <v>46444</v>
      </c>
      <c r="I13" s="12" t="n">
        <v>600</v>
      </c>
      <c r="J13" s="10" t="s">
        <v>1377</v>
      </c>
      <c r="K13" s="10" t="s">
        <v>1405</v>
      </c>
      <c r="L13" s="12" t="n">
        <v>0</v>
      </c>
      <c r="N13" s="30" t="str">
        <f aca="false">IF($B13="","",IFERROR(IF(INDEX(campaigns!$BE$2:$BE$51,MATCH($B13,campaigns!$A$2:$A$51,0))="","",INDEX(campaigns!$BE$2:$BE$51,MATCH($B13,campaigns!$A$2:$A$51,0))),""))</f>
        <v>SAMPLE Saltmarsh</v>
      </c>
      <c r="O13" s="31" t="n">
        <f aca="false">IF(OR($A13="",$D13=""),"",IF($C13="founding_full",WORKDAY($D13,config!$B$27,calendar!$A$2:$A$80),$D13))</f>
        <v>46442</v>
      </c>
      <c r="P13" s="32" t="n">
        <f aca="false">IF($A13="","",N($E13)+N($F13))</f>
        <v>750</v>
      </c>
      <c r="Q13" s="30" t="str">
        <f aca="true">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paid (less credit)</v>
      </c>
      <c r="R13" s="30" t="str">
        <f aca="false">IF($A13="","",IF(OR($C13="founding_full",$C13="standard_deposit"),"Y","N"))</f>
        <v>N</v>
      </c>
      <c r="S13" s="30" t="str">
        <f aca="false">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ustomFormat="false" ht="15" hidden="false" customHeight="false" outlineLevel="0" collapsed="false">
      <c r="A14" s="0" t="s">
        <v>1406</v>
      </c>
      <c r="B14" s="0" t="s">
        <v>563</v>
      </c>
      <c r="C14" s="10" t="s">
        <v>1382</v>
      </c>
      <c r="D14" s="11" t="n">
        <v>46442</v>
      </c>
      <c r="E14" s="12" t="n">
        <v>-150</v>
      </c>
      <c r="F14" s="12" t="n">
        <v>0</v>
      </c>
      <c r="G14" s="10" t="s">
        <v>641</v>
      </c>
      <c r="H14" s="11"/>
      <c r="I14" s="12"/>
      <c r="J14" s="10"/>
      <c r="L14" s="12"/>
      <c r="M14" s="10" t="s">
        <v>1407</v>
      </c>
      <c r="N14" s="30" t="str">
        <f aca="false">IF($B14="","",IFERROR(IF(INDEX(campaigns!$BE$2:$BE$51,MATCH($B14,campaigns!$A$2:$A$51,0))="","",INDEX(campaigns!$BE$2:$BE$51,MATCH($B14,campaigns!$A$2:$A$51,0))),""))</f>
        <v>SAMPLE Saltmarsh</v>
      </c>
      <c r="O14" s="31" t="n">
        <f aca="false">IF(OR($A14="",$D14=""),"",IF($C14="founding_full",WORKDAY($D14,config!$B$27,calendar!$A$2:$A$80),$D14))</f>
        <v>46442</v>
      </c>
      <c r="P14" s="32" t="n">
        <f aca="false">IF($A14="","",N($E14)+N($F14))</f>
        <v>-150</v>
      </c>
      <c r="Q14" s="30" t="str">
        <f aca="true">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credit applied</v>
      </c>
      <c r="R14" s="30" t="str">
        <f aca="false">IF($A14="","",IF(OR($C14="founding_full",$C14="standard_deposit"),"Y","N"))</f>
        <v>N</v>
      </c>
      <c r="S14" s="30" t="str">
        <f aca="false">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ustomFormat="false" ht="15" hidden="false" customHeight="false" outlineLevel="0" collapsed="false">
      <c r="A15" s="0" t="s">
        <v>1408</v>
      </c>
      <c r="B15" s="0" t="s">
        <v>576</v>
      </c>
      <c r="C15" s="10" t="s">
        <v>1376</v>
      </c>
      <c r="D15" s="11" t="n">
        <v>46442</v>
      </c>
      <c r="E15" s="12" t="n">
        <v>1200</v>
      </c>
      <c r="F15" s="12" t="n">
        <v>0</v>
      </c>
      <c r="G15" s="10" t="s">
        <v>624</v>
      </c>
      <c r="H15" s="11" t="n">
        <v>46447</v>
      </c>
      <c r="I15" s="12" t="n">
        <v>1200</v>
      </c>
      <c r="J15" s="10" t="s">
        <v>1377</v>
      </c>
      <c r="K15" s="10" t="s">
        <v>1409</v>
      </c>
      <c r="L15" s="12" t="n">
        <v>0</v>
      </c>
      <c r="N15" s="30" t="str">
        <f aca="false">IF($B15="","",IFERROR(IF(INDEX(campaigns!$BE$2:$BE$51,MATCH($B15,campaigns!$A$2:$A$51,0))="","",INDEX(campaigns!$BE$2:$BE$51,MATCH($B15,campaigns!$A$2:$A$51,0))),""))</f>
        <v>SAMPLE Brightside</v>
      </c>
      <c r="O15" s="31" t="n">
        <f aca="false">IF(OR($A15="",$D15=""),"",IF($C15="founding_full",WORKDAY($D15,config!$B$27,calendar!$A$2:$A$80),$D15))</f>
        <v>46449</v>
      </c>
      <c r="P15" s="32" t="n">
        <f aca="false">IF($A15="","",N($E15)+N($F15))</f>
        <v>1200</v>
      </c>
      <c r="Q15" s="30" t="str">
        <f aca="true">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paid</v>
      </c>
      <c r="R15" s="30" t="str">
        <f aca="false">IF($A15="","",IF(OR($C15="founding_full",$C15="standard_deposit"),"Y","N"))</f>
        <v>Y</v>
      </c>
      <c r="S15" s="30" t="str">
        <f aca="false">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ustomFormat="false" ht="15" hidden="false" customHeight="false" outlineLevel="0" collapsed="false">
      <c r="A16" s="0" t="s">
        <v>1410</v>
      </c>
      <c r="B16" s="0" t="s">
        <v>584</v>
      </c>
      <c r="C16" s="10" t="s">
        <v>1386</v>
      </c>
      <c r="D16" s="11" t="n">
        <v>46442</v>
      </c>
      <c r="E16" s="12" t="n">
        <v>750</v>
      </c>
      <c r="F16" s="12" t="n">
        <v>0</v>
      </c>
      <c r="G16" s="10" t="s">
        <v>632</v>
      </c>
      <c r="H16" s="11" t="n">
        <v>46444</v>
      </c>
      <c r="I16" s="12" t="n">
        <v>750</v>
      </c>
      <c r="J16" s="10" t="s">
        <v>1377</v>
      </c>
      <c r="K16" s="10" t="s">
        <v>1411</v>
      </c>
      <c r="L16" s="12" t="n">
        <v>0</v>
      </c>
      <c r="N16" s="30" t="str">
        <f aca="false">IF($B16="","",IFERROR(IF(INDEX(campaigns!$BE$2:$BE$51,MATCH($B16,campaigns!$A$2:$A$51,0))="","",INDEX(campaigns!$BE$2:$BE$51,MATCH($B16,campaigns!$A$2:$A$51,0))),""))</f>
        <v>SAMPLE Tallgrass</v>
      </c>
      <c r="O16" s="31" t="n">
        <f aca="false">IF(OR($A16="",$D16=""),"",IF($C16="founding_full",WORKDAY($D16,config!$B$27,calendar!$A$2:$A$80),$D16))</f>
        <v>46442</v>
      </c>
      <c r="P16" s="32" t="n">
        <f aca="false">IF($A16="","",N($E16)+N($F16))</f>
        <v>750</v>
      </c>
      <c r="Q16" s="30" t="str">
        <f aca="true">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paid</v>
      </c>
      <c r="R16" s="30" t="str">
        <f aca="false">IF($A16="","",IF(OR($C16="founding_full",$C16="standard_deposit"),"Y","N"))</f>
        <v>Y</v>
      </c>
      <c r="S16" s="30" t="str">
        <f aca="false">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ustomFormat="false" ht="15" hidden="false" customHeight="false" outlineLevel="0" collapsed="false">
      <c r="A17" s="0" t="s">
        <v>1412</v>
      </c>
      <c r="B17" s="0" t="s">
        <v>584</v>
      </c>
      <c r="C17" s="10" t="s">
        <v>1390</v>
      </c>
      <c r="D17" s="11" t="n">
        <v>46470</v>
      </c>
      <c r="E17" s="12" t="n">
        <v>750</v>
      </c>
      <c r="F17" s="12" t="n">
        <v>0</v>
      </c>
      <c r="G17" s="10" t="s">
        <v>632</v>
      </c>
      <c r="H17" s="11" t="n">
        <v>46475</v>
      </c>
      <c r="I17" s="12" t="n">
        <v>600</v>
      </c>
      <c r="J17" s="10" t="s">
        <v>1377</v>
      </c>
      <c r="K17" s="10" t="s">
        <v>1413</v>
      </c>
      <c r="L17" s="12" t="n">
        <v>0</v>
      </c>
      <c r="N17" s="30" t="str">
        <f aca="false">IF($B17="","",IFERROR(IF(INDEX(campaigns!$BE$2:$BE$51,MATCH($B17,campaigns!$A$2:$A$51,0))="","",INDEX(campaigns!$BE$2:$BE$51,MATCH($B17,campaigns!$A$2:$A$51,0))),""))</f>
        <v>SAMPLE Tallgrass</v>
      </c>
      <c r="O17" s="31" t="n">
        <f aca="false">IF(OR($A17="",$D17=""),"",IF($C17="founding_full",WORKDAY($D17,config!$B$27,calendar!$A$2:$A$80),$D17))</f>
        <v>46470</v>
      </c>
      <c r="P17" s="32" t="n">
        <f aca="false">IF($A17="","",N($E17)+N($F17))</f>
        <v>750</v>
      </c>
      <c r="Q17" s="30" t="str">
        <f aca="true">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paid (less credit)</v>
      </c>
      <c r="R17" s="30" t="str">
        <f aca="false">IF($A17="","",IF(OR($C17="founding_full",$C17="standard_deposit"),"Y","N"))</f>
        <v>N</v>
      </c>
      <c r="S17" s="30" t="str">
        <f aca="false">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ustomFormat="false" ht="15" hidden="false" customHeight="false" outlineLevel="0" collapsed="false">
      <c r="A18" s="0" t="s">
        <v>1414</v>
      </c>
      <c r="B18" s="0" t="s">
        <v>584</v>
      </c>
      <c r="C18" s="10" t="s">
        <v>1382</v>
      </c>
      <c r="D18" s="11" t="n">
        <v>46470</v>
      </c>
      <c r="E18" s="12" t="n">
        <v>-150</v>
      </c>
      <c r="F18" s="12" t="n">
        <v>0</v>
      </c>
      <c r="G18" s="10" t="s">
        <v>632</v>
      </c>
      <c r="H18" s="11"/>
      <c r="I18" s="12"/>
      <c r="J18" s="10"/>
      <c r="L18" s="12"/>
      <c r="M18" s="10" t="s">
        <v>1415</v>
      </c>
      <c r="N18" s="30" t="str">
        <f aca="false">IF($B18="","",IFERROR(IF(INDEX(campaigns!$BE$2:$BE$51,MATCH($B18,campaigns!$A$2:$A$51,0))="","",INDEX(campaigns!$BE$2:$BE$51,MATCH($B18,campaigns!$A$2:$A$51,0))),""))</f>
        <v>SAMPLE Tallgrass</v>
      </c>
      <c r="O18" s="31" t="n">
        <f aca="false">IF(OR($A18="",$D18=""),"",IF($C18="founding_full",WORKDAY($D18,config!$B$27,calendar!$A$2:$A$80),$D18))</f>
        <v>46470</v>
      </c>
      <c r="P18" s="32" t="n">
        <f aca="false">IF($A18="","",N($E18)+N($F18))</f>
        <v>-150</v>
      </c>
      <c r="Q18" s="30" t="str">
        <f aca="true">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credit applied</v>
      </c>
      <c r="R18" s="30" t="str">
        <f aca="false">IF($A18="","",IF(OR($C18="founding_full",$C18="standard_deposit"),"Y","N"))</f>
        <v>N</v>
      </c>
      <c r="S18" s="30" t="str">
        <f aca="false">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ustomFormat="false" ht="15" hidden="false" customHeight="false" outlineLevel="0" collapsed="false">
      <c r="C19" s="10"/>
      <c r="D19" s="11"/>
      <c r="E19" s="12"/>
      <c r="F19" s="12"/>
      <c r="H19" s="11"/>
      <c r="I19" s="12"/>
      <c r="J19" s="10"/>
      <c r="L19" s="12"/>
      <c r="N19" s="30" t="str">
        <f aca="false">IF($B19="","",IFERROR(IF(INDEX(campaigns!$BE$2:$BE$51,MATCH($B19,campaigns!$A$2:$A$51,0))="","",INDEX(campaigns!$BE$2:$BE$51,MATCH($B19,campaigns!$A$2:$A$51,0))),""))</f>
        <v/>
      </c>
      <c r="O19" s="31" t="str">
        <f aca="false">IF(OR($A19="",$D19=""),"",IF($C19="founding_full",WORKDAY($D19,config!$B$27,calendar!$A$2:$A$80),$D19))</f>
        <v/>
      </c>
      <c r="P19" s="32" t="str">
        <f aca="false">IF($A19="","",N($E19)+N($F19))</f>
        <v/>
      </c>
      <c r="Q19" s="30" t="str">
        <f aca="true">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30" t="str">
        <f aca="false">IF($A19="","",IF(OR($C19="founding_full",$C19="standard_deposit"),"Y","N"))</f>
        <v/>
      </c>
      <c r="S19" s="30" t="str">
        <f aca="false">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ustomFormat="false" ht="15" hidden="false" customHeight="false" outlineLevel="0" collapsed="false">
      <c r="C20" s="10"/>
      <c r="D20" s="11"/>
      <c r="E20" s="12"/>
      <c r="F20" s="12"/>
      <c r="H20" s="11"/>
      <c r="I20" s="12"/>
      <c r="J20" s="10"/>
      <c r="L20" s="12"/>
      <c r="N20" s="30" t="str">
        <f aca="false">IF($B20="","",IFERROR(IF(INDEX(campaigns!$BE$2:$BE$51,MATCH($B20,campaigns!$A$2:$A$51,0))="","",INDEX(campaigns!$BE$2:$BE$51,MATCH($B20,campaigns!$A$2:$A$51,0))),""))</f>
        <v/>
      </c>
      <c r="O20" s="31" t="str">
        <f aca="false">IF(OR($A20="",$D20=""),"",IF($C20="founding_full",WORKDAY($D20,config!$B$27,calendar!$A$2:$A$80),$D20))</f>
        <v/>
      </c>
      <c r="P20" s="32" t="str">
        <f aca="false">IF($A20="","",N($E20)+N($F20))</f>
        <v/>
      </c>
      <c r="Q20" s="30" t="str">
        <f aca="true">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30" t="str">
        <f aca="false">IF($A20="","",IF(OR($C20="founding_full",$C20="standard_deposit"),"Y","N"))</f>
        <v/>
      </c>
      <c r="S20" s="30" t="str">
        <f aca="false">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ustomFormat="false" ht="15" hidden="false" customHeight="false" outlineLevel="0" collapsed="false">
      <c r="C21" s="10"/>
      <c r="D21" s="11"/>
      <c r="E21" s="12"/>
      <c r="F21" s="12"/>
      <c r="H21" s="11"/>
      <c r="I21" s="12"/>
      <c r="J21" s="10"/>
      <c r="L21" s="12"/>
      <c r="N21" s="30" t="str">
        <f aca="false">IF($B21="","",IFERROR(IF(INDEX(campaigns!$BE$2:$BE$51,MATCH($B21,campaigns!$A$2:$A$51,0))="","",INDEX(campaigns!$BE$2:$BE$51,MATCH($B21,campaigns!$A$2:$A$51,0))),""))</f>
        <v/>
      </c>
      <c r="O21" s="31" t="str">
        <f aca="false">IF(OR($A21="",$D21=""),"",IF($C21="founding_full",WORKDAY($D21,config!$B$27,calendar!$A$2:$A$80),$D21))</f>
        <v/>
      </c>
      <c r="P21" s="32" t="str">
        <f aca="false">IF($A21="","",N($E21)+N($F21))</f>
        <v/>
      </c>
      <c r="Q21" s="30" t="str">
        <f aca="true">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30" t="str">
        <f aca="false">IF($A21="","",IF(OR($C21="founding_full",$C21="standard_deposit"),"Y","N"))</f>
        <v/>
      </c>
      <c r="S21" s="30" t="str">
        <f aca="false">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ustomFormat="false" ht="15" hidden="false" customHeight="false" outlineLevel="0" collapsed="false">
      <c r="C22" s="10"/>
      <c r="D22" s="11"/>
      <c r="E22" s="12"/>
      <c r="F22" s="12"/>
      <c r="H22" s="11"/>
      <c r="I22" s="12"/>
      <c r="J22" s="10"/>
      <c r="L22" s="12"/>
      <c r="N22" s="30" t="str">
        <f aca="false">IF($B22="","",IFERROR(IF(INDEX(campaigns!$BE$2:$BE$51,MATCH($B22,campaigns!$A$2:$A$51,0))="","",INDEX(campaigns!$BE$2:$BE$51,MATCH($B22,campaigns!$A$2:$A$51,0))),""))</f>
        <v/>
      </c>
      <c r="O22" s="31" t="str">
        <f aca="false">IF(OR($A22="",$D22=""),"",IF($C22="founding_full",WORKDAY($D22,config!$B$27,calendar!$A$2:$A$80),$D22))</f>
        <v/>
      </c>
      <c r="P22" s="32" t="str">
        <f aca="false">IF($A22="","",N($E22)+N($F22))</f>
        <v/>
      </c>
      <c r="Q22" s="30" t="str">
        <f aca="true">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30" t="str">
        <f aca="false">IF($A22="","",IF(OR($C22="founding_full",$C22="standard_deposit"),"Y","N"))</f>
        <v/>
      </c>
      <c r="S22" s="30" t="str">
        <f aca="false">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ustomFormat="false" ht="15" hidden="false" customHeight="false" outlineLevel="0" collapsed="false">
      <c r="C23" s="10"/>
      <c r="D23" s="11"/>
      <c r="E23" s="12"/>
      <c r="F23" s="12"/>
      <c r="H23" s="11"/>
      <c r="I23" s="12"/>
      <c r="J23" s="10"/>
      <c r="L23" s="12"/>
      <c r="N23" s="30" t="str">
        <f aca="false">IF($B23="","",IFERROR(IF(INDEX(campaigns!$BE$2:$BE$51,MATCH($B23,campaigns!$A$2:$A$51,0))="","",INDEX(campaigns!$BE$2:$BE$51,MATCH($B23,campaigns!$A$2:$A$51,0))),""))</f>
        <v/>
      </c>
      <c r="O23" s="31" t="str">
        <f aca="false">IF(OR($A23="",$D23=""),"",IF($C23="founding_full",WORKDAY($D23,config!$B$27,calendar!$A$2:$A$80),$D23))</f>
        <v/>
      </c>
      <c r="P23" s="32" t="str">
        <f aca="false">IF($A23="","",N($E23)+N($F23))</f>
        <v/>
      </c>
      <c r="Q23" s="30" t="str">
        <f aca="true">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30" t="str">
        <f aca="false">IF($A23="","",IF(OR($C23="founding_full",$C23="standard_deposit"),"Y","N"))</f>
        <v/>
      </c>
      <c r="S23" s="30" t="str">
        <f aca="false">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ustomFormat="false" ht="15" hidden="false" customHeight="false" outlineLevel="0" collapsed="false">
      <c r="C24" s="10"/>
      <c r="D24" s="11"/>
      <c r="E24" s="12"/>
      <c r="F24" s="12"/>
      <c r="H24" s="11"/>
      <c r="I24" s="12"/>
      <c r="J24" s="10"/>
      <c r="L24" s="12"/>
      <c r="N24" s="30" t="str">
        <f aca="false">IF($B24="","",IFERROR(IF(INDEX(campaigns!$BE$2:$BE$51,MATCH($B24,campaigns!$A$2:$A$51,0))="","",INDEX(campaigns!$BE$2:$BE$51,MATCH($B24,campaigns!$A$2:$A$51,0))),""))</f>
        <v/>
      </c>
      <c r="O24" s="31" t="str">
        <f aca="false">IF(OR($A24="",$D24=""),"",IF($C24="founding_full",WORKDAY($D24,config!$B$27,calendar!$A$2:$A$80),$D24))</f>
        <v/>
      </c>
      <c r="P24" s="32" t="str">
        <f aca="false">IF($A24="","",N($E24)+N($F24))</f>
        <v/>
      </c>
      <c r="Q24" s="30" t="str">
        <f aca="true">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30" t="str">
        <f aca="false">IF($A24="","",IF(OR($C24="founding_full",$C24="standard_deposit"),"Y","N"))</f>
        <v/>
      </c>
      <c r="S24" s="30" t="str">
        <f aca="false">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ustomFormat="false" ht="15" hidden="false" customHeight="false" outlineLevel="0" collapsed="false">
      <c r="C25" s="10"/>
      <c r="D25" s="11"/>
      <c r="E25" s="12"/>
      <c r="F25" s="12"/>
      <c r="H25" s="11"/>
      <c r="I25" s="12"/>
      <c r="J25" s="10"/>
      <c r="L25" s="12"/>
      <c r="N25" s="30" t="str">
        <f aca="false">IF($B25="","",IFERROR(IF(INDEX(campaigns!$BE$2:$BE$51,MATCH($B25,campaigns!$A$2:$A$51,0))="","",INDEX(campaigns!$BE$2:$BE$51,MATCH($B25,campaigns!$A$2:$A$51,0))),""))</f>
        <v/>
      </c>
      <c r="O25" s="31" t="str">
        <f aca="false">IF(OR($A25="",$D25=""),"",IF($C25="founding_full",WORKDAY($D25,config!$B$27,calendar!$A$2:$A$80),$D25))</f>
        <v/>
      </c>
      <c r="P25" s="32" t="str">
        <f aca="false">IF($A25="","",N($E25)+N($F25))</f>
        <v/>
      </c>
      <c r="Q25" s="30" t="str">
        <f aca="true">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30" t="str">
        <f aca="false">IF($A25="","",IF(OR($C25="founding_full",$C25="standard_deposit"),"Y","N"))</f>
        <v/>
      </c>
      <c r="S25" s="30" t="str">
        <f aca="false">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ustomFormat="false" ht="15" hidden="false" customHeight="false" outlineLevel="0" collapsed="false">
      <c r="C26" s="10"/>
      <c r="D26" s="11"/>
      <c r="E26" s="12"/>
      <c r="F26" s="12"/>
      <c r="H26" s="11"/>
      <c r="I26" s="12"/>
      <c r="J26" s="10"/>
      <c r="L26" s="12"/>
      <c r="N26" s="30" t="str">
        <f aca="false">IF($B26="","",IFERROR(IF(INDEX(campaigns!$BE$2:$BE$51,MATCH($B26,campaigns!$A$2:$A$51,0))="","",INDEX(campaigns!$BE$2:$BE$51,MATCH($B26,campaigns!$A$2:$A$51,0))),""))</f>
        <v/>
      </c>
      <c r="O26" s="31" t="str">
        <f aca="false">IF(OR($A26="",$D26=""),"",IF($C26="founding_full",WORKDAY($D26,config!$B$27,calendar!$A$2:$A$80),$D26))</f>
        <v/>
      </c>
      <c r="P26" s="32" t="str">
        <f aca="false">IF($A26="","",N($E26)+N($F26))</f>
        <v/>
      </c>
      <c r="Q26" s="30" t="str">
        <f aca="true">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30" t="str">
        <f aca="false">IF($A26="","",IF(OR($C26="founding_full",$C26="standard_deposit"),"Y","N"))</f>
        <v/>
      </c>
      <c r="S26" s="30" t="str">
        <f aca="false">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ustomFormat="false" ht="15" hidden="false" customHeight="false" outlineLevel="0" collapsed="false">
      <c r="C27" s="10"/>
      <c r="D27" s="11"/>
      <c r="E27" s="12"/>
      <c r="F27" s="12"/>
      <c r="H27" s="11"/>
      <c r="I27" s="12"/>
      <c r="J27" s="10"/>
      <c r="L27" s="12"/>
      <c r="N27" s="30" t="str">
        <f aca="false">IF($B27="","",IFERROR(IF(INDEX(campaigns!$BE$2:$BE$51,MATCH($B27,campaigns!$A$2:$A$51,0))="","",INDEX(campaigns!$BE$2:$BE$51,MATCH($B27,campaigns!$A$2:$A$51,0))),""))</f>
        <v/>
      </c>
      <c r="O27" s="31" t="str">
        <f aca="false">IF(OR($A27="",$D27=""),"",IF($C27="founding_full",WORKDAY($D27,config!$B$27,calendar!$A$2:$A$80),$D27))</f>
        <v/>
      </c>
      <c r="P27" s="32" t="str">
        <f aca="false">IF($A27="","",N($E27)+N($F27))</f>
        <v/>
      </c>
      <c r="Q27" s="30" t="str">
        <f aca="true">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30" t="str">
        <f aca="false">IF($A27="","",IF(OR($C27="founding_full",$C27="standard_deposit"),"Y","N"))</f>
        <v/>
      </c>
      <c r="S27" s="30" t="str">
        <f aca="false">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ustomFormat="false" ht="15" hidden="false" customHeight="false" outlineLevel="0" collapsed="false">
      <c r="C28" s="10"/>
      <c r="D28" s="11"/>
      <c r="E28" s="12"/>
      <c r="F28" s="12"/>
      <c r="H28" s="11"/>
      <c r="I28" s="12"/>
      <c r="J28" s="10"/>
      <c r="L28" s="12"/>
      <c r="N28" s="30" t="str">
        <f aca="false">IF($B28="","",IFERROR(IF(INDEX(campaigns!$BE$2:$BE$51,MATCH($B28,campaigns!$A$2:$A$51,0))="","",INDEX(campaigns!$BE$2:$BE$51,MATCH($B28,campaigns!$A$2:$A$51,0))),""))</f>
        <v/>
      </c>
      <c r="O28" s="31" t="str">
        <f aca="false">IF(OR($A28="",$D28=""),"",IF($C28="founding_full",WORKDAY($D28,config!$B$27,calendar!$A$2:$A$80),$D28))</f>
        <v/>
      </c>
      <c r="P28" s="32" t="str">
        <f aca="false">IF($A28="","",N($E28)+N($F28))</f>
        <v/>
      </c>
      <c r="Q28" s="30" t="str">
        <f aca="true">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30" t="str">
        <f aca="false">IF($A28="","",IF(OR($C28="founding_full",$C28="standard_deposit"),"Y","N"))</f>
        <v/>
      </c>
      <c r="S28" s="30" t="str">
        <f aca="false">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ustomFormat="false" ht="15" hidden="false" customHeight="false" outlineLevel="0" collapsed="false">
      <c r="C29" s="10"/>
      <c r="D29" s="11"/>
      <c r="E29" s="12"/>
      <c r="F29" s="12"/>
      <c r="H29" s="11"/>
      <c r="I29" s="12"/>
      <c r="J29" s="10"/>
      <c r="L29" s="12"/>
      <c r="N29" s="30" t="str">
        <f aca="false">IF($B29="","",IFERROR(IF(INDEX(campaigns!$BE$2:$BE$51,MATCH($B29,campaigns!$A$2:$A$51,0))="","",INDEX(campaigns!$BE$2:$BE$51,MATCH($B29,campaigns!$A$2:$A$51,0))),""))</f>
        <v/>
      </c>
      <c r="O29" s="31" t="str">
        <f aca="false">IF(OR($A29="",$D29=""),"",IF($C29="founding_full",WORKDAY($D29,config!$B$27,calendar!$A$2:$A$80),$D29))</f>
        <v/>
      </c>
      <c r="P29" s="32" t="str">
        <f aca="false">IF($A29="","",N($E29)+N($F29))</f>
        <v/>
      </c>
      <c r="Q29" s="30" t="str">
        <f aca="true">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30" t="str">
        <f aca="false">IF($A29="","",IF(OR($C29="founding_full",$C29="standard_deposit"),"Y","N"))</f>
        <v/>
      </c>
      <c r="S29" s="30" t="str">
        <f aca="false">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ustomFormat="false" ht="15" hidden="false" customHeight="false" outlineLevel="0" collapsed="false">
      <c r="C30" s="10"/>
      <c r="D30" s="11"/>
      <c r="E30" s="12"/>
      <c r="F30" s="12"/>
      <c r="H30" s="11"/>
      <c r="I30" s="12"/>
      <c r="J30" s="10"/>
      <c r="L30" s="12"/>
      <c r="N30" s="30" t="str">
        <f aca="false">IF($B30="","",IFERROR(IF(INDEX(campaigns!$BE$2:$BE$51,MATCH($B30,campaigns!$A$2:$A$51,0))="","",INDEX(campaigns!$BE$2:$BE$51,MATCH($B30,campaigns!$A$2:$A$51,0))),""))</f>
        <v/>
      </c>
      <c r="O30" s="31" t="str">
        <f aca="false">IF(OR($A30="",$D30=""),"",IF($C30="founding_full",WORKDAY($D30,config!$B$27,calendar!$A$2:$A$80),$D30))</f>
        <v/>
      </c>
      <c r="P30" s="32" t="str">
        <f aca="false">IF($A30="","",N($E30)+N($F30))</f>
        <v/>
      </c>
      <c r="Q30" s="30" t="str">
        <f aca="true">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30" t="str">
        <f aca="false">IF($A30="","",IF(OR($C30="founding_full",$C30="standard_deposit"),"Y","N"))</f>
        <v/>
      </c>
      <c r="S30" s="30" t="str">
        <f aca="false">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ustomFormat="false" ht="15" hidden="false" customHeight="false" outlineLevel="0" collapsed="false">
      <c r="C31" s="10"/>
      <c r="D31" s="11"/>
      <c r="E31" s="12"/>
      <c r="F31" s="12"/>
      <c r="H31" s="11"/>
      <c r="I31" s="12"/>
      <c r="J31" s="10"/>
      <c r="L31" s="12"/>
      <c r="N31" s="30" t="str">
        <f aca="false">IF($B31="","",IFERROR(IF(INDEX(campaigns!$BE$2:$BE$51,MATCH($B31,campaigns!$A$2:$A$51,0))="","",INDEX(campaigns!$BE$2:$BE$51,MATCH($B31,campaigns!$A$2:$A$51,0))),""))</f>
        <v/>
      </c>
      <c r="O31" s="31" t="str">
        <f aca="false">IF(OR($A31="",$D31=""),"",IF($C31="founding_full",WORKDAY($D31,config!$B$27,calendar!$A$2:$A$80),$D31))</f>
        <v/>
      </c>
      <c r="P31" s="32" t="str">
        <f aca="false">IF($A31="","",N($E31)+N($F31))</f>
        <v/>
      </c>
      <c r="Q31" s="30" t="str">
        <f aca="true">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30" t="str">
        <f aca="false">IF($A31="","",IF(OR($C31="founding_full",$C31="standard_deposit"),"Y","N"))</f>
        <v/>
      </c>
      <c r="S31" s="30" t="str">
        <f aca="false">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ustomFormat="false" ht="15" hidden="false" customHeight="false" outlineLevel="0" collapsed="false">
      <c r="C32" s="10"/>
      <c r="D32" s="11"/>
      <c r="E32" s="12"/>
      <c r="F32" s="12"/>
      <c r="H32" s="11"/>
      <c r="I32" s="12"/>
      <c r="J32" s="10"/>
      <c r="L32" s="12"/>
      <c r="N32" s="30" t="str">
        <f aca="false">IF($B32="","",IFERROR(IF(INDEX(campaigns!$BE$2:$BE$51,MATCH($B32,campaigns!$A$2:$A$51,0))="","",INDEX(campaigns!$BE$2:$BE$51,MATCH($B32,campaigns!$A$2:$A$51,0))),""))</f>
        <v/>
      </c>
      <c r="O32" s="31" t="str">
        <f aca="false">IF(OR($A32="",$D32=""),"",IF($C32="founding_full",WORKDAY($D32,config!$B$27,calendar!$A$2:$A$80),$D32))</f>
        <v/>
      </c>
      <c r="P32" s="32" t="str">
        <f aca="false">IF($A32="","",N($E32)+N($F32))</f>
        <v/>
      </c>
      <c r="Q32" s="30" t="str">
        <f aca="true">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30" t="str">
        <f aca="false">IF($A32="","",IF(OR($C32="founding_full",$C32="standard_deposit"),"Y","N"))</f>
        <v/>
      </c>
      <c r="S32" s="30" t="str">
        <f aca="false">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ustomFormat="false" ht="15" hidden="false" customHeight="false" outlineLevel="0" collapsed="false">
      <c r="C33" s="10"/>
      <c r="D33" s="11"/>
      <c r="E33" s="12"/>
      <c r="F33" s="12"/>
      <c r="H33" s="11"/>
      <c r="I33" s="12"/>
      <c r="J33" s="10"/>
      <c r="L33" s="12"/>
      <c r="N33" s="30" t="str">
        <f aca="false">IF($B33="","",IFERROR(IF(INDEX(campaigns!$BE$2:$BE$51,MATCH($B33,campaigns!$A$2:$A$51,0))="","",INDEX(campaigns!$BE$2:$BE$51,MATCH($B33,campaigns!$A$2:$A$51,0))),""))</f>
        <v/>
      </c>
      <c r="O33" s="31" t="str">
        <f aca="false">IF(OR($A33="",$D33=""),"",IF($C33="founding_full",WORKDAY($D33,config!$B$27,calendar!$A$2:$A$80),$D33))</f>
        <v/>
      </c>
      <c r="P33" s="32" t="str">
        <f aca="false">IF($A33="","",N($E33)+N($F33))</f>
        <v/>
      </c>
      <c r="Q33" s="30" t="str">
        <f aca="true">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30" t="str">
        <f aca="false">IF($A33="","",IF(OR($C33="founding_full",$C33="standard_deposit"),"Y","N"))</f>
        <v/>
      </c>
      <c r="S33" s="30" t="str">
        <f aca="false">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ustomFormat="false" ht="15" hidden="false" customHeight="false" outlineLevel="0" collapsed="false">
      <c r="C34" s="10"/>
      <c r="D34" s="11"/>
      <c r="E34" s="12"/>
      <c r="F34" s="12"/>
      <c r="H34" s="11"/>
      <c r="I34" s="12"/>
      <c r="J34" s="10"/>
      <c r="L34" s="12"/>
      <c r="N34" s="30" t="str">
        <f aca="false">IF($B34="","",IFERROR(IF(INDEX(campaigns!$BE$2:$BE$51,MATCH($B34,campaigns!$A$2:$A$51,0))="","",INDEX(campaigns!$BE$2:$BE$51,MATCH($B34,campaigns!$A$2:$A$51,0))),""))</f>
        <v/>
      </c>
      <c r="O34" s="31" t="str">
        <f aca="false">IF(OR($A34="",$D34=""),"",IF($C34="founding_full",WORKDAY($D34,config!$B$27,calendar!$A$2:$A$80),$D34))</f>
        <v/>
      </c>
      <c r="P34" s="32" t="str">
        <f aca="false">IF($A34="","",N($E34)+N($F34))</f>
        <v/>
      </c>
      <c r="Q34" s="30" t="str">
        <f aca="true">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30" t="str">
        <f aca="false">IF($A34="","",IF(OR($C34="founding_full",$C34="standard_deposit"),"Y","N"))</f>
        <v/>
      </c>
      <c r="S34" s="30" t="str">
        <f aca="false">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ustomFormat="false" ht="15" hidden="false" customHeight="false" outlineLevel="0" collapsed="false">
      <c r="C35" s="10"/>
      <c r="D35" s="11"/>
      <c r="E35" s="12"/>
      <c r="F35" s="12"/>
      <c r="H35" s="11"/>
      <c r="I35" s="12"/>
      <c r="J35" s="10"/>
      <c r="L35" s="12"/>
      <c r="N35" s="30" t="str">
        <f aca="false">IF($B35="","",IFERROR(IF(INDEX(campaigns!$BE$2:$BE$51,MATCH($B35,campaigns!$A$2:$A$51,0))="","",INDEX(campaigns!$BE$2:$BE$51,MATCH($B35,campaigns!$A$2:$A$51,0))),""))</f>
        <v/>
      </c>
      <c r="O35" s="31" t="str">
        <f aca="false">IF(OR($A35="",$D35=""),"",IF($C35="founding_full",WORKDAY($D35,config!$B$27,calendar!$A$2:$A$80),$D35))</f>
        <v/>
      </c>
      <c r="P35" s="32" t="str">
        <f aca="false">IF($A35="","",N($E35)+N($F35))</f>
        <v/>
      </c>
      <c r="Q35" s="30" t="str">
        <f aca="true">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30" t="str">
        <f aca="false">IF($A35="","",IF(OR($C35="founding_full",$C35="standard_deposit"),"Y","N"))</f>
        <v/>
      </c>
      <c r="S35" s="30" t="str">
        <f aca="false">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ustomFormat="false" ht="15" hidden="false" customHeight="false" outlineLevel="0" collapsed="false">
      <c r="C36" s="10"/>
      <c r="D36" s="11"/>
      <c r="E36" s="12"/>
      <c r="F36" s="12"/>
      <c r="H36" s="11"/>
      <c r="I36" s="12"/>
      <c r="J36" s="10"/>
      <c r="L36" s="12"/>
      <c r="N36" s="30" t="str">
        <f aca="false">IF($B36="","",IFERROR(IF(INDEX(campaigns!$BE$2:$BE$51,MATCH($B36,campaigns!$A$2:$A$51,0))="","",INDEX(campaigns!$BE$2:$BE$51,MATCH($B36,campaigns!$A$2:$A$51,0))),""))</f>
        <v/>
      </c>
      <c r="O36" s="31" t="str">
        <f aca="false">IF(OR($A36="",$D36=""),"",IF($C36="founding_full",WORKDAY($D36,config!$B$27,calendar!$A$2:$A$80),$D36))</f>
        <v/>
      </c>
      <c r="P36" s="32" t="str">
        <f aca="false">IF($A36="","",N($E36)+N($F36))</f>
        <v/>
      </c>
      <c r="Q36" s="30" t="str">
        <f aca="true">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30" t="str">
        <f aca="false">IF($A36="","",IF(OR($C36="founding_full",$C36="standard_deposit"),"Y","N"))</f>
        <v/>
      </c>
      <c r="S36" s="30" t="str">
        <f aca="false">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ustomFormat="false" ht="15" hidden="false" customHeight="false" outlineLevel="0" collapsed="false">
      <c r="C37" s="10"/>
      <c r="D37" s="11"/>
      <c r="E37" s="12"/>
      <c r="F37" s="12"/>
      <c r="H37" s="11"/>
      <c r="I37" s="12"/>
      <c r="J37" s="10"/>
      <c r="L37" s="12"/>
      <c r="N37" s="30" t="str">
        <f aca="false">IF($B37="","",IFERROR(IF(INDEX(campaigns!$BE$2:$BE$51,MATCH($B37,campaigns!$A$2:$A$51,0))="","",INDEX(campaigns!$BE$2:$BE$51,MATCH($B37,campaigns!$A$2:$A$51,0))),""))</f>
        <v/>
      </c>
      <c r="O37" s="31" t="str">
        <f aca="false">IF(OR($A37="",$D37=""),"",IF($C37="founding_full",WORKDAY($D37,config!$B$27,calendar!$A$2:$A$80),$D37))</f>
        <v/>
      </c>
      <c r="P37" s="32" t="str">
        <f aca="false">IF($A37="","",N($E37)+N($F37))</f>
        <v/>
      </c>
      <c r="Q37" s="30" t="str">
        <f aca="true">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30" t="str">
        <f aca="false">IF($A37="","",IF(OR($C37="founding_full",$C37="standard_deposit"),"Y","N"))</f>
        <v/>
      </c>
      <c r="S37" s="30" t="str">
        <f aca="false">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ustomFormat="false" ht="15" hidden="false" customHeight="false" outlineLevel="0" collapsed="false">
      <c r="C38" s="10"/>
      <c r="D38" s="11"/>
      <c r="E38" s="12"/>
      <c r="F38" s="12"/>
      <c r="H38" s="11"/>
      <c r="I38" s="12"/>
      <c r="J38" s="10"/>
      <c r="L38" s="12"/>
      <c r="N38" s="30" t="str">
        <f aca="false">IF($B38="","",IFERROR(IF(INDEX(campaigns!$BE$2:$BE$51,MATCH($B38,campaigns!$A$2:$A$51,0))="","",INDEX(campaigns!$BE$2:$BE$51,MATCH($B38,campaigns!$A$2:$A$51,0))),""))</f>
        <v/>
      </c>
      <c r="O38" s="31" t="str">
        <f aca="false">IF(OR($A38="",$D38=""),"",IF($C38="founding_full",WORKDAY($D38,config!$B$27,calendar!$A$2:$A$80),$D38))</f>
        <v/>
      </c>
      <c r="P38" s="32" t="str">
        <f aca="false">IF($A38="","",N($E38)+N($F38))</f>
        <v/>
      </c>
      <c r="Q38" s="30" t="str">
        <f aca="true">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30" t="str">
        <f aca="false">IF($A38="","",IF(OR($C38="founding_full",$C38="standard_deposit"),"Y","N"))</f>
        <v/>
      </c>
      <c r="S38" s="30" t="str">
        <f aca="false">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ustomFormat="false" ht="15" hidden="false" customHeight="false" outlineLevel="0" collapsed="false">
      <c r="C39" s="10"/>
      <c r="D39" s="11"/>
      <c r="E39" s="12"/>
      <c r="F39" s="12"/>
      <c r="H39" s="11"/>
      <c r="I39" s="12"/>
      <c r="J39" s="10"/>
      <c r="L39" s="12"/>
      <c r="N39" s="30" t="str">
        <f aca="false">IF($B39="","",IFERROR(IF(INDEX(campaigns!$BE$2:$BE$51,MATCH($B39,campaigns!$A$2:$A$51,0))="","",INDEX(campaigns!$BE$2:$BE$51,MATCH($B39,campaigns!$A$2:$A$51,0))),""))</f>
        <v/>
      </c>
      <c r="O39" s="31" t="str">
        <f aca="false">IF(OR($A39="",$D39=""),"",IF($C39="founding_full",WORKDAY($D39,config!$B$27,calendar!$A$2:$A$80),$D39))</f>
        <v/>
      </c>
      <c r="P39" s="32" t="str">
        <f aca="false">IF($A39="","",N($E39)+N($F39))</f>
        <v/>
      </c>
      <c r="Q39" s="30" t="str">
        <f aca="true">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30" t="str">
        <f aca="false">IF($A39="","",IF(OR($C39="founding_full",$C39="standard_deposit"),"Y","N"))</f>
        <v/>
      </c>
      <c r="S39" s="30" t="str">
        <f aca="false">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ustomFormat="false" ht="15" hidden="false" customHeight="false" outlineLevel="0" collapsed="false">
      <c r="C40" s="10"/>
      <c r="D40" s="11"/>
      <c r="E40" s="12"/>
      <c r="F40" s="12"/>
      <c r="H40" s="11"/>
      <c r="I40" s="12"/>
      <c r="J40" s="10"/>
      <c r="L40" s="12"/>
      <c r="N40" s="30" t="str">
        <f aca="false">IF($B40="","",IFERROR(IF(INDEX(campaigns!$BE$2:$BE$51,MATCH($B40,campaigns!$A$2:$A$51,0))="","",INDEX(campaigns!$BE$2:$BE$51,MATCH($B40,campaigns!$A$2:$A$51,0))),""))</f>
        <v/>
      </c>
      <c r="O40" s="31" t="str">
        <f aca="false">IF(OR($A40="",$D40=""),"",IF($C40="founding_full",WORKDAY($D40,config!$B$27,calendar!$A$2:$A$80),$D40))</f>
        <v/>
      </c>
      <c r="P40" s="32" t="str">
        <f aca="false">IF($A40="","",N($E40)+N($F40))</f>
        <v/>
      </c>
      <c r="Q40" s="30" t="str">
        <f aca="true">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30" t="str">
        <f aca="false">IF($A40="","",IF(OR($C40="founding_full",$C40="standard_deposit"),"Y","N"))</f>
        <v/>
      </c>
      <c r="S40" s="30" t="str">
        <f aca="false">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ustomFormat="false" ht="15" hidden="false" customHeight="false" outlineLevel="0" collapsed="false">
      <c r="C41" s="10"/>
      <c r="D41" s="11"/>
      <c r="E41" s="12"/>
      <c r="F41" s="12"/>
      <c r="H41" s="11"/>
      <c r="I41" s="12"/>
      <c r="J41" s="10"/>
      <c r="L41" s="12"/>
      <c r="N41" s="30" t="str">
        <f aca="false">IF($B41="","",IFERROR(IF(INDEX(campaigns!$BE$2:$BE$51,MATCH($B41,campaigns!$A$2:$A$51,0))="","",INDEX(campaigns!$BE$2:$BE$51,MATCH($B41,campaigns!$A$2:$A$51,0))),""))</f>
        <v/>
      </c>
      <c r="O41" s="31" t="str">
        <f aca="false">IF(OR($A41="",$D41=""),"",IF($C41="founding_full",WORKDAY($D41,config!$B$27,calendar!$A$2:$A$80),$D41))</f>
        <v/>
      </c>
      <c r="P41" s="32" t="str">
        <f aca="false">IF($A41="","",N($E41)+N($F41))</f>
        <v/>
      </c>
      <c r="Q41" s="30" t="str">
        <f aca="true">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30" t="str">
        <f aca="false">IF($A41="","",IF(OR($C41="founding_full",$C41="standard_deposit"),"Y","N"))</f>
        <v/>
      </c>
      <c r="S41" s="30" t="str">
        <f aca="false">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ustomFormat="false" ht="15" hidden="false" customHeight="false" outlineLevel="0" collapsed="false">
      <c r="C42" s="10"/>
      <c r="D42" s="11"/>
      <c r="E42" s="12"/>
      <c r="F42" s="12"/>
      <c r="H42" s="11"/>
      <c r="I42" s="12"/>
      <c r="J42" s="10"/>
      <c r="L42" s="12"/>
      <c r="N42" s="30" t="str">
        <f aca="false">IF($B42="","",IFERROR(IF(INDEX(campaigns!$BE$2:$BE$51,MATCH($B42,campaigns!$A$2:$A$51,0))="","",INDEX(campaigns!$BE$2:$BE$51,MATCH($B42,campaigns!$A$2:$A$51,0))),""))</f>
        <v/>
      </c>
      <c r="O42" s="31" t="str">
        <f aca="false">IF(OR($A42="",$D42=""),"",IF($C42="founding_full",WORKDAY($D42,config!$B$27,calendar!$A$2:$A$80),$D42))</f>
        <v/>
      </c>
      <c r="P42" s="32" t="str">
        <f aca="false">IF($A42="","",N($E42)+N($F42))</f>
        <v/>
      </c>
      <c r="Q42" s="30" t="str">
        <f aca="true">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30" t="str">
        <f aca="false">IF($A42="","",IF(OR($C42="founding_full",$C42="standard_deposit"),"Y","N"))</f>
        <v/>
      </c>
      <c r="S42" s="30" t="str">
        <f aca="false">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ustomFormat="false" ht="15" hidden="false" customHeight="false" outlineLevel="0" collapsed="false">
      <c r="C43" s="10"/>
      <c r="D43" s="11"/>
      <c r="E43" s="12"/>
      <c r="F43" s="12"/>
      <c r="H43" s="11"/>
      <c r="I43" s="12"/>
      <c r="J43" s="10"/>
      <c r="L43" s="12"/>
      <c r="N43" s="30" t="str">
        <f aca="false">IF($B43="","",IFERROR(IF(INDEX(campaigns!$BE$2:$BE$51,MATCH($B43,campaigns!$A$2:$A$51,0))="","",INDEX(campaigns!$BE$2:$BE$51,MATCH($B43,campaigns!$A$2:$A$51,0))),""))</f>
        <v/>
      </c>
      <c r="O43" s="31" t="str">
        <f aca="false">IF(OR($A43="",$D43=""),"",IF($C43="founding_full",WORKDAY($D43,config!$B$27,calendar!$A$2:$A$80),$D43))</f>
        <v/>
      </c>
      <c r="P43" s="32" t="str">
        <f aca="false">IF($A43="","",N($E43)+N($F43))</f>
        <v/>
      </c>
      <c r="Q43" s="30" t="str">
        <f aca="true">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30" t="str">
        <f aca="false">IF($A43="","",IF(OR($C43="founding_full",$C43="standard_deposit"),"Y","N"))</f>
        <v/>
      </c>
      <c r="S43" s="30" t="str">
        <f aca="false">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ustomFormat="false" ht="15" hidden="false" customHeight="false" outlineLevel="0" collapsed="false">
      <c r="C44" s="10"/>
      <c r="D44" s="11"/>
      <c r="E44" s="12"/>
      <c r="F44" s="12"/>
      <c r="H44" s="11"/>
      <c r="I44" s="12"/>
      <c r="J44" s="10"/>
      <c r="L44" s="12"/>
      <c r="N44" s="30" t="str">
        <f aca="false">IF($B44="","",IFERROR(IF(INDEX(campaigns!$BE$2:$BE$51,MATCH($B44,campaigns!$A$2:$A$51,0))="","",INDEX(campaigns!$BE$2:$BE$51,MATCH($B44,campaigns!$A$2:$A$51,0))),""))</f>
        <v/>
      </c>
      <c r="O44" s="31" t="str">
        <f aca="false">IF(OR($A44="",$D44=""),"",IF($C44="founding_full",WORKDAY($D44,config!$B$27,calendar!$A$2:$A$80),$D44))</f>
        <v/>
      </c>
      <c r="P44" s="32" t="str">
        <f aca="false">IF($A44="","",N($E44)+N($F44))</f>
        <v/>
      </c>
      <c r="Q44" s="30" t="str">
        <f aca="true">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30" t="str">
        <f aca="false">IF($A44="","",IF(OR($C44="founding_full",$C44="standard_deposit"),"Y","N"))</f>
        <v/>
      </c>
      <c r="S44" s="30" t="str">
        <f aca="false">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ustomFormat="false" ht="15" hidden="false" customHeight="false" outlineLevel="0" collapsed="false">
      <c r="C45" s="10"/>
      <c r="D45" s="11"/>
      <c r="E45" s="12"/>
      <c r="F45" s="12"/>
      <c r="H45" s="11"/>
      <c r="I45" s="12"/>
      <c r="J45" s="10"/>
      <c r="L45" s="12"/>
      <c r="N45" s="30" t="str">
        <f aca="false">IF($B45="","",IFERROR(IF(INDEX(campaigns!$BE$2:$BE$51,MATCH($B45,campaigns!$A$2:$A$51,0))="","",INDEX(campaigns!$BE$2:$BE$51,MATCH($B45,campaigns!$A$2:$A$51,0))),""))</f>
        <v/>
      </c>
      <c r="O45" s="31" t="str">
        <f aca="false">IF(OR($A45="",$D45=""),"",IF($C45="founding_full",WORKDAY($D45,config!$B$27,calendar!$A$2:$A$80),$D45))</f>
        <v/>
      </c>
      <c r="P45" s="32" t="str">
        <f aca="false">IF($A45="","",N($E45)+N($F45))</f>
        <v/>
      </c>
      <c r="Q45" s="30" t="str">
        <f aca="true">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30" t="str">
        <f aca="false">IF($A45="","",IF(OR($C45="founding_full",$C45="standard_deposit"),"Y","N"))</f>
        <v/>
      </c>
      <c r="S45" s="30" t="str">
        <f aca="false">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ustomFormat="false" ht="15" hidden="false" customHeight="false" outlineLevel="0" collapsed="false">
      <c r="C46" s="10"/>
      <c r="D46" s="11"/>
      <c r="E46" s="12"/>
      <c r="F46" s="12"/>
      <c r="H46" s="11"/>
      <c r="I46" s="12"/>
      <c r="J46" s="10"/>
      <c r="L46" s="12"/>
      <c r="N46" s="30" t="str">
        <f aca="false">IF($B46="","",IFERROR(IF(INDEX(campaigns!$BE$2:$BE$51,MATCH($B46,campaigns!$A$2:$A$51,0))="","",INDEX(campaigns!$BE$2:$BE$51,MATCH($B46,campaigns!$A$2:$A$51,0))),""))</f>
        <v/>
      </c>
      <c r="O46" s="31" t="str">
        <f aca="false">IF(OR($A46="",$D46=""),"",IF($C46="founding_full",WORKDAY($D46,config!$B$27,calendar!$A$2:$A$80),$D46))</f>
        <v/>
      </c>
      <c r="P46" s="32" t="str">
        <f aca="false">IF($A46="","",N($E46)+N($F46))</f>
        <v/>
      </c>
      <c r="Q46" s="30" t="str">
        <f aca="true">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30" t="str">
        <f aca="false">IF($A46="","",IF(OR($C46="founding_full",$C46="standard_deposit"),"Y","N"))</f>
        <v/>
      </c>
      <c r="S46" s="30" t="str">
        <f aca="false">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ustomFormat="false" ht="15" hidden="false" customHeight="false" outlineLevel="0" collapsed="false">
      <c r="C47" s="10"/>
      <c r="D47" s="11"/>
      <c r="E47" s="12"/>
      <c r="F47" s="12"/>
      <c r="H47" s="11"/>
      <c r="I47" s="12"/>
      <c r="J47" s="10"/>
      <c r="L47" s="12"/>
      <c r="N47" s="30" t="str">
        <f aca="false">IF($B47="","",IFERROR(IF(INDEX(campaigns!$BE$2:$BE$51,MATCH($B47,campaigns!$A$2:$A$51,0))="","",INDEX(campaigns!$BE$2:$BE$51,MATCH($B47,campaigns!$A$2:$A$51,0))),""))</f>
        <v/>
      </c>
      <c r="O47" s="31" t="str">
        <f aca="false">IF(OR($A47="",$D47=""),"",IF($C47="founding_full",WORKDAY($D47,config!$B$27,calendar!$A$2:$A$80),$D47))</f>
        <v/>
      </c>
      <c r="P47" s="32" t="str">
        <f aca="false">IF($A47="","",N($E47)+N($F47))</f>
        <v/>
      </c>
      <c r="Q47" s="30" t="str">
        <f aca="true">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30" t="str">
        <f aca="false">IF($A47="","",IF(OR($C47="founding_full",$C47="standard_deposit"),"Y","N"))</f>
        <v/>
      </c>
      <c r="S47" s="30" t="str">
        <f aca="false">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ustomFormat="false" ht="15" hidden="false" customHeight="false" outlineLevel="0" collapsed="false">
      <c r="C48" s="10"/>
      <c r="D48" s="11"/>
      <c r="E48" s="12"/>
      <c r="F48" s="12"/>
      <c r="H48" s="11"/>
      <c r="I48" s="12"/>
      <c r="J48" s="10"/>
      <c r="L48" s="12"/>
      <c r="N48" s="30" t="str">
        <f aca="false">IF($B48="","",IFERROR(IF(INDEX(campaigns!$BE$2:$BE$51,MATCH($B48,campaigns!$A$2:$A$51,0))="","",INDEX(campaigns!$BE$2:$BE$51,MATCH($B48,campaigns!$A$2:$A$51,0))),""))</f>
        <v/>
      </c>
      <c r="O48" s="31" t="str">
        <f aca="false">IF(OR($A48="",$D48=""),"",IF($C48="founding_full",WORKDAY($D48,config!$B$27,calendar!$A$2:$A$80),$D48))</f>
        <v/>
      </c>
      <c r="P48" s="32" t="str">
        <f aca="false">IF($A48="","",N($E48)+N($F48))</f>
        <v/>
      </c>
      <c r="Q48" s="30" t="str">
        <f aca="true">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30" t="str">
        <f aca="false">IF($A48="","",IF(OR($C48="founding_full",$C48="standard_deposit"),"Y","N"))</f>
        <v/>
      </c>
      <c r="S48" s="30" t="str">
        <f aca="false">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ustomFormat="false" ht="15" hidden="false" customHeight="false" outlineLevel="0" collapsed="false">
      <c r="C49" s="10"/>
      <c r="D49" s="11"/>
      <c r="E49" s="12"/>
      <c r="F49" s="12"/>
      <c r="H49" s="11"/>
      <c r="I49" s="12"/>
      <c r="J49" s="10"/>
      <c r="L49" s="12"/>
      <c r="N49" s="30" t="str">
        <f aca="false">IF($B49="","",IFERROR(IF(INDEX(campaigns!$BE$2:$BE$51,MATCH($B49,campaigns!$A$2:$A$51,0))="","",INDEX(campaigns!$BE$2:$BE$51,MATCH($B49,campaigns!$A$2:$A$51,0))),""))</f>
        <v/>
      </c>
      <c r="O49" s="31" t="str">
        <f aca="false">IF(OR($A49="",$D49=""),"",IF($C49="founding_full",WORKDAY($D49,config!$B$27,calendar!$A$2:$A$80),$D49))</f>
        <v/>
      </c>
      <c r="P49" s="32" t="str">
        <f aca="false">IF($A49="","",N($E49)+N($F49))</f>
        <v/>
      </c>
      <c r="Q49" s="30" t="str">
        <f aca="true">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30" t="str">
        <f aca="false">IF($A49="","",IF(OR($C49="founding_full",$C49="standard_deposit"),"Y","N"))</f>
        <v/>
      </c>
      <c r="S49" s="30" t="str">
        <f aca="false">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ustomFormat="false" ht="15" hidden="false" customHeight="false" outlineLevel="0" collapsed="false">
      <c r="C50" s="10"/>
      <c r="D50" s="11"/>
      <c r="E50" s="12"/>
      <c r="F50" s="12"/>
      <c r="H50" s="11"/>
      <c r="I50" s="12"/>
      <c r="J50" s="10"/>
      <c r="L50" s="12"/>
      <c r="N50" s="30" t="str">
        <f aca="false">IF($B50="","",IFERROR(IF(INDEX(campaigns!$BE$2:$BE$51,MATCH($B50,campaigns!$A$2:$A$51,0))="","",INDEX(campaigns!$BE$2:$BE$51,MATCH($B50,campaigns!$A$2:$A$51,0))),""))</f>
        <v/>
      </c>
      <c r="O50" s="31" t="str">
        <f aca="false">IF(OR($A50="",$D50=""),"",IF($C50="founding_full",WORKDAY($D50,config!$B$27,calendar!$A$2:$A$80),$D50))</f>
        <v/>
      </c>
      <c r="P50" s="32" t="str">
        <f aca="false">IF($A50="","",N($E50)+N($F50))</f>
        <v/>
      </c>
      <c r="Q50" s="30" t="str">
        <f aca="true">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30" t="str">
        <f aca="false">IF($A50="","",IF(OR($C50="founding_full",$C50="standard_deposit"),"Y","N"))</f>
        <v/>
      </c>
      <c r="S50" s="30" t="str">
        <f aca="false">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ustomFormat="false" ht="15" hidden="false" customHeight="false" outlineLevel="0" collapsed="false">
      <c r="C51" s="10"/>
      <c r="D51" s="11"/>
      <c r="E51" s="12"/>
      <c r="F51" s="12"/>
      <c r="H51" s="11"/>
      <c r="I51" s="12"/>
      <c r="J51" s="10"/>
      <c r="L51" s="12"/>
      <c r="N51" s="30" t="str">
        <f aca="false">IF($B51="","",IFERROR(IF(INDEX(campaigns!$BE$2:$BE$51,MATCH($B51,campaigns!$A$2:$A$51,0))="","",INDEX(campaigns!$BE$2:$BE$51,MATCH($B51,campaigns!$A$2:$A$51,0))),""))</f>
        <v/>
      </c>
      <c r="O51" s="31" t="str">
        <f aca="false">IF(OR($A51="",$D51=""),"",IF($C51="founding_full",WORKDAY($D51,config!$B$27,calendar!$A$2:$A$80),$D51))</f>
        <v/>
      </c>
      <c r="P51" s="32" t="str">
        <f aca="false">IF($A51="","",N($E51)+N($F51))</f>
        <v/>
      </c>
      <c r="Q51" s="30" t="str">
        <f aca="true">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30" t="str">
        <f aca="false">IF($A51="","",IF(OR($C51="founding_full",$C51="standard_deposit"),"Y","N"))</f>
        <v/>
      </c>
      <c r="S51" s="30" t="str">
        <f aca="false">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ustomFormat="false" ht="15" hidden="false" customHeight="false" outlineLevel="0" collapsed="false">
      <c r="C52" s="10"/>
      <c r="D52" s="11"/>
      <c r="E52" s="12"/>
      <c r="F52" s="12"/>
      <c r="H52" s="11"/>
      <c r="I52" s="12"/>
      <c r="J52" s="10"/>
      <c r="L52" s="12"/>
      <c r="N52" s="30" t="str">
        <f aca="false">IF($B52="","",IFERROR(IF(INDEX(campaigns!$BE$2:$BE$51,MATCH($B52,campaigns!$A$2:$A$51,0))="","",INDEX(campaigns!$BE$2:$BE$51,MATCH($B52,campaigns!$A$2:$A$51,0))),""))</f>
        <v/>
      </c>
      <c r="O52" s="31" t="str">
        <f aca="false">IF(OR($A52="",$D52=""),"",IF($C52="founding_full",WORKDAY($D52,config!$B$27,calendar!$A$2:$A$80),$D52))</f>
        <v/>
      </c>
      <c r="P52" s="32" t="str">
        <f aca="false">IF($A52="","",N($E52)+N($F52))</f>
        <v/>
      </c>
      <c r="Q52" s="30" t="str">
        <f aca="true">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30" t="str">
        <f aca="false">IF($A52="","",IF(OR($C52="founding_full",$C52="standard_deposit"),"Y","N"))</f>
        <v/>
      </c>
      <c r="S52" s="30" t="str">
        <f aca="false">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ustomFormat="false" ht="15" hidden="false" customHeight="false" outlineLevel="0" collapsed="false">
      <c r="C53" s="10"/>
      <c r="D53" s="11"/>
      <c r="E53" s="12"/>
      <c r="F53" s="12"/>
      <c r="H53" s="11"/>
      <c r="I53" s="12"/>
      <c r="J53" s="10"/>
      <c r="L53" s="12"/>
      <c r="N53" s="30" t="str">
        <f aca="false">IF($B53="","",IFERROR(IF(INDEX(campaigns!$BE$2:$BE$51,MATCH($B53,campaigns!$A$2:$A$51,0))="","",INDEX(campaigns!$BE$2:$BE$51,MATCH($B53,campaigns!$A$2:$A$51,0))),""))</f>
        <v/>
      </c>
      <c r="O53" s="31" t="str">
        <f aca="false">IF(OR($A53="",$D53=""),"",IF($C53="founding_full",WORKDAY($D53,config!$B$27,calendar!$A$2:$A$80),$D53))</f>
        <v/>
      </c>
      <c r="P53" s="32" t="str">
        <f aca="false">IF($A53="","",N($E53)+N($F53))</f>
        <v/>
      </c>
      <c r="Q53" s="30" t="str">
        <f aca="true">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30" t="str">
        <f aca="false">IF($A53="","",IF(OR($C53="founding_full",$C53="standard_deposit"),"Y","N"))</f>
        <v/>
      </c>
      <c r="S53" s="30" t="str">
        <f aca="false">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ustomFormat="false" ht="15" hidden="false" customHeight="false" outlineLevel="0" collapsed="false">
      <c r="C54" s="10"/>
      <c r="D54" s="11"/>
      <c r="E54" s="12"/>
      <c r="F54" s="12"/>
      <c r="H54" s="11"/>
      <c r="I54" s="12"/>
      <c r="J54" s="10"/>
      <c r="L54" s="12"/>
      <c r="N54" s="30" t="str">
        <f aca="false">IF($B54="","",IFERROR(IF(INDEX(campaigns!$BE$2:$BE$51,MATCH($B54,campaigns!$A$2:$A$51,0))="","",INDEX(campaigns!$BE$2:$BE$51,MATCH($B54,campaigns!$A$2:$A$51,0))),""))</f>
        <v/>
      </c>
      <c r="O54" s="31" t="str">
        <f aca="false">IF(OR($A54="",$D54=""),"",IF($C54="founding_full",WORKDAY($D54,config!$B$27,calendar!$A$2:$A$80),$D54))</f>
        <v/>
      </c>
      <c r="P54" s="32" t="str">
        <f aca="false">IF($A54="","",N($E54)+N($F54))</f>
        <v/>
      </c>
      <c r="Q54" s="30" t="str">
        <f aca="true">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30" t="str">
        <f aca="false">IF($A54="","",IF(OR($C54="founding_full",$C54="standard_deposit"),"Y","N"))</f>
        <v/>
      </c>
      <c r="S54" s="30" t="str">
        <f aca="false">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ustomFormat="false" ht="15" hidden="false" customHeight="false" outlineLevel="0" collapsed="false">
      <c r="C55" s="10"/>
      <c r="D55" s="11"/>
      <c r="E55" s="12"/>
      <c r="F55" s="12"/>
      <c r="H55" s="11"/>
      <c r="I55" s="12"/>
      <c r="J55" s="10"/>
      <c r="L55" s="12"/>
      <c r="N55" s="30" t="str">
        <f aca="false">IF($B55="","",IFERROR(IF(INDEX(campaigns!$BE$2:$BE$51,MATCH($B55,campaigns!$A$2:$A$51,0))="","",INDEX(campaigns!$BE$2:$BE$51,MATCH($B55,campaigns!$A$2:$A$51,0))),""))</f>
        <v/>
      </c>
      <c r="O55" s="31" t="str">
        <f aca="false">IF(OR($A55="",$D55=""),"",IF($C55="founding_full",WORKDAY($D55,config!$B$27,calendar!$A$2:$A$80),$D55))</f>
        <v/>
      </c>
      <c r="P55" s="32" t="str">
        <f aca="false">IF($A55="","",N($E55)+N($F55))</f>
        <v/>
      </c>
      <c r="Q55" s="30" t="str">
        <f aca="true">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30" t="str">
        <f aca="false">IF($A55="","",IF(OR($C55="founding_full",$C55="standard_deposit"),"Y","N"))</f>
        <v/>
      </c>
      <c r="S55" s="30" t="str">
        <f aca="false">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ustomFormat="false" ht="15" hidden="false" customHeight="false" outlineLevel="0" collapsed="false">
      <c r="C56" s="10"/>
      <c r="D56" s="11"/>
      <c r="E56" s="12"/>
      <c r="F56" s="12"/>
      <c r="H56" s="11"/>
      <c r="I56" s="12"/>
      <c r="J56" s="10"/>
      <c r="L56" s="12"/>
      <c r="N56" s="30" t="str">
        <f aca="false">IF($B56="","",IFERROR(IF(INDEX(campaigns!$BE$2:$BE$51,MATCH($B56,campaigns!$A$2:$A$51,0))="","",INDEX(campaigns!$BE$2:$BE$51,MATCH($B56,campaigns!$A$2:$A$51,0))),""))</f>
        <v/>
      </c>
      <c r="O56" s="31" t="str">
        <f aca="false">IF(OR($A56="",$D56=""),"",IF($C56="founding_full",WORKDAY($D56,config!$B$27,calendar!$A$2:$A$80),$D56))</f>
        <v/>
      </c>
      <c r="P56" s="32" t="str">
        <f aca="false">IF($A56="","",N($E56)+N($F56))</f>
        <v/>
      </c>
      <c r="Q56" s="30" t="str">
        <f aca="true">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30" t="str">
        <f aca="false">IF($A56="","",IF(OR($C56="founding_full",$C56="standard_deposit"),"Y","N"))</f>
        <v/>
      </c>
      <c r="S56" s="30" t="str">
        <f aca="false">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ustomFormat="false" ht="15" hidden="false" customHeight="false" outlineLevel="0" collapsed="false">
      <c r="C57" s="10"/>
      <c r="D57" s="11"/>
      <c r="E57" s="12"/>
      <c r="F57" s="12"/>
      <c r="H57" s="11"/>
      <c r="I57" s="12"/>
      <c r="J57" s="10"/>
      <c r="L57" s="12"/>
      <c r="N57" s="30" t="str">
        <f aca="false">IF($B57="","",IFERROR(IF(INDEX(campaigns!$BE$2:$BE$51,MATCH($B57,campaigns!$A$2:$A$51,0))="","",INDEX(campaigns!$BE$2:$BE$51,MATCH($B57,campaigns!$A$2:$A$51,0))),""))</f>
        <v/>
      </c>
      <c r="O57" s="31" t="str">
        <f aca="false">IF(OR($A57="",$D57=""),"",IF($C57="founding_full",WORKDAY($D57,config!$B$27,calendar!$A$2:$A$80),$D57))</f>
        <v/>
      </c>
      <c r="P57" s="32" t="str">
        <f aca="false">IF($A57="","",N($E57)+N($F57))</f>
        <v/>
      </c>
      <c r="Q57" s="30" t="str">
        <f aca="true">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30" t="str">
        <f aca="false">IF($A57="","",IF(OR($C57="founding_full",$C57="standard_deposit"),"Y","N"))</f>
        <v/>
      </c>
      <c r="S57" s="30" t="str">
        <f aca="false">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ustomFormat="false" ht="15" hidden="false" customHeight="false" outlineLevel="0" collapsed="false">
      <c r="C58" s="10"/>
      <c r="D58" s="11"/>
      <c r="E58" s="12"/>
      <c r="F58" s="12"/>
      <c r="H58" s="11"/>
      <c r="I58" s="12"/>
      <c r="J58" s="10"/>
      <c r="L58" s="12"/>
      <c r="N58" s="30" t="str">
        <f aca="false">IF($B58="","",IFERROR(IF(INDEX(campaigns!$BE$2:$BE$51,MATCH($B58,campaigns!$A$2:$A$51,0))="","",INDEX(campaigns!$BE$2:$BE$51,MATCH($B58,campaigns!$A$2:$A$51,0))),""))</f>
        <v/>
      </c>
      <c r="O58" s="31" t="str">
        <f aca="false">IF(OR($A58="",$D58=""),"",IF($C58="founding_full",WORKDAY($D58,config!$B$27,calendar!$A$2:$A$80),$D58))</f>
        <v/>
      </c>
      <c r="P58" s="32" t="str">
        <f aca="false">IF($A58="","",N($E58)+N($F58))</f>
        <v/>
      </c>
      <c r="Q58" s="30" t="str">
        <f aca="true">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30" t="str">
        <f aca="false">IF($A58="","",IF(OR($C58="founding_full",$C58="standard_deposit"),"Y","N"))</f>
        <v/>
      </c>
      <c r="S58" s="30" t="str">
        <f aca="false">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ustomFormat="false" ht="15" hidden="false" customHeight="false" outlineLevel="0" collapsed="false">
      <c r="C59" s="10"/>
      <c r="D59" s="11"/>
      <c r="E59" s="12"/>
      <c r="F59" s="12"/>
      <c r="H59" s="11"/>
      <c r="I59" s="12"/>
      <c r="J59" s="10"/>
      <c r="L59" s="12"/>
      <c r="N59" s="30" t="str">
        <f aca="false">IF($B59="","",IFERROR(IF(INDEX(campaigns!$BE$2:$BE$51,MATCH($B59,campaigns!$A$2:$A$51,0))="","",INDEX(campaigns!$BE$2:$BE$51,MATCH($B59,campaigns!$A$2:$A$51,0))),""))</f>
        <v/>
      </c>
      <c r="O59" s="31" t="str">
        <f aca="false">IF(OR($A59="",$D59=""),"",IF($C59="founding_full",WORKDAY($D59,config!$B$27,calendar!$A$2:$A$80),$D59))</f>
        <v/>
      </c>
      <c r="P59" s="32" t="str">
        <f aca="false">IF($A59="","",N($E59)+N($F59))</f>
        <v/>
      </c>
      <c r="Q59" s="30" t="str">
        <f aca="true">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30" t="str">
        <f aca="false">IF($A59="","",IF(OR($C59="founding_full",$C59="standard_deposit"),"Y","N"))</f>
        <v/>
      </c>
      <c r="S59" s="30" t="str">
        <f aca="false">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ustomFormat="false" ht="15" hidden="false" customHeight="false" outlineLevel="0" collapsed="false">
      <c r="C60" s="10"/>
      <c r="D60" s="11"/>
      <c r="E60" s="12"/>
      <c r="F60" s="12"/>
      <c r="H60" s="11"/>
      <c r="I60" s="12"/>
      <c r="J60" s="10"/>
      <c r="L60" s="12"/>
      <c r="N60" s="30" t="str">
        <f aca="false">IF($B60="","",IFERROR(IF(INDEX(campaigns!$BE$2:$BE$51,MATCH($B60,campaigns!$A$2:$A$51,0))="","",INDEX(campaigns!$BE$2:$BE$51,MATCH($B60,campaigns!$A$2:$A$51,0))),""))</f>
        <v/>
      </c>
      <c r="O60" s="31" t="str">
        <f aca="false">IF(OR($A60="",$D60=""),"",IF($C60="founding_full",WORKDAY($D60,config!$B$27,calendar!$A$2:$A$80),$D60))</f>
        <v/>
      </c>
      <c r="P60" s="32" t="str">
        <f aca="false">IF($A60="","",N($E60)+N($F60))</f>
        <v/>
      </c>
      <c r="Q60" s="30" t="str">
        <f aca="true">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30" t="str">
        <f aca="false">IF($A60="","",IF(OR($C60="founding_full",$C60="standard_deposit"),"Y","N"))</f>
        <v/>
      </c>
      <c r="S60" s="30" t="str">
        <f aca="false">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ustomFormat="false" ht="15" hidden="false" customHeight="false" outlineLevel="0" collapsed="false">
      <c r="C61" s="10"/>
      <c r="D61" s="11"/>
      <c r="E61" s="12"/>
      <c r="F61" s="12"/>
      <c r="H61" s="11"/>
      <c r="I61" s="12"/>
      <c r="J61" s="10"/>
      <c r="L61" s="12"/>
      <c r="N61" s="30" t="str">
        <f aca="false">IF($B61="","",IFERROR(IF(INDEX(campaigns!$BE$2:$BE$51,MATCH($B61,campaigns!$A$2:$A$51,0))="","",INDEX(campaigns!$BE$2:$BE$51,MATCH($B61,campaigns!$A$2:$A$51,0))),""))</f>
        <v/>
      </c>
      <c r="O61" s="31" t="str">
        <f aca="false">IF(OR($A61="",$D61=""),"",IF($C61="founding_full",WORKDAY($D61,config!$B$27,calendar!$A$2:$A$80),$D61))</f>
        <v/>
      </c>
      <c r="P61" s="32" t="str">
        <f aca="false">IF($A61="","",N($E61)+N($F61))</f>
        <v/>
      </c>
      <c r="Q61" s="30" t="str">
        <f aca="true">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30" t="str">
        <f aca="false">IF($A61="","",IF(OR($C61="founding_full",$C61="standard_deposit"),"Y","N"))</f>
        <v/>
      </c>
      <c r="S61" s="30" t="str">
        <f aca="false">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ustomFormat="false" ht="15" hidden="false" customHeight="false" outlineLevel="0" collapsed="false">
      <c r="C62" s="10"/>
      <c r="D62" s="11"/>
      <c r="E62" s="12"/>
      <c r="F62" s="12"/>
      <c r="H62" s="11"/>
      <c r="I62" s="12"/>
      <c r="J62" s="10"/>
      <c r="L62" s="12"/>
      <c r="N62" s="30" t="str">
        <f aca="false">IF($B62="","",IFERROR(IF(INDEX(campaigns!$BE$2:$BE$51,MATCH($B62,campaigns!$A$2:$A$51,0))="","",INDEX(campaigns!$BE$2:$BE$51,MATCH($B62,campaigns!$A$2:$A$51,0))),""))</f>
        <v/>
      </c>
      <c r="O62" s="31" t="str">
        <f aca="false">IF(OR($A62="",$D62=""),"",IF($C62="founding_full",WORKDAY($D62,config!$B$27,calendar!$A$2:$A$80),$D62))</f>
        <v/>
      </c>
      <c r="P62" s="32" t="str">
        <f aca="false">IF($A62="","",N($E62)+N($F62))</f>
        <v/>
      </c>
      <c r="Q62" s="30" t="str">
        <f aca="true">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30" t="str">
        <f aca="false">IF($A62="","",IF(OR($C62="founding_full",$C62="standard_deposit"),"Y","N"))</f>
        <v/>
      </c>
      <c r="S62" s="30" t="str">
        <f aca="false">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ustomFormat="false" ht="15" hidden="false" customHeight="false" outlineLevel="0" collapsed="false">
      <c r="C63" s="10"/>
      <c r="D63" s="11"/>
      <c r="E63" s="12"/>
      <c r="F63" s="12"/>
      <c r="H63" s="11"/>
      <c r="I63" s="12"/>
      <c r="J63" s="10"/>
      <c r="L63" s="12"/>
      <c r="N63" s="30" t="str">
        <f aca="false">IF($B63="","",IFERROR(IF(INDEX(campaigns!$BE$2:$BE$51,MATCH($B63,campaigns!$A$2:$A$51,0))="","",INDEX(campaigns!$BE$2:$BE$51,MATCH($B63,campaigns!$A$2:$A$51,0))),""))</f>
        <v/>
      </c>
      <c r="O63" s="31" t="str">
        <f aca="false">IF(OR($A63="",$D63=""),"",IF($C63="founding_full",WORKDAY($D63,config!$B$27,calendar!$A$2:$A$80),$D63))</f>
        <v/>
      </c>
      <c r="P63" s="32" t="str">
        <f aca="false">IF($A63="","",N($E63)+N($F63))</f>
        <v/>
      </c>
      <c r="Q63" s="30" t="str">
        <f aca="true">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30" t="str">
        <f aca="false">IF($A63="","",IF(OR($C63="founding_full",$C63="standard_deposit"),"Y","N"))</f>
        <v/>
      </c>
      <c r="S63" s="30" t="str">
        <f aca="false">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ustomFormat="false" ht="15" hidden="false" customHeight="false" outlineLevel="0" collapsed="false">
      <c r="C64" s="10"/>
      <c r="D64" s="11"/>
      <c r="E64" s="12"/>
      <c r="F64" s="12"/>
      <c r="H64" s="11"/>
      <c r="I64" s="12"/>
      <c r="J64" s="10"/>
      <c r="L64" s="12"/>
      <c r="N64" s="30" t="str">
        <f aca="false">IF($B64="","",IFERROR(IF(INDEX(campaigns!$BE$2:$BE$51,MATCH($B64,campaigns!$A$2:$A$51,0))="","",INDEX(campaigns!$BE$2:$BE$51,MATCH($B64,campaigns!$A$2:$A$51,0))),""))</f>
        <v/>
      </c>
      <c r="O64" s="31" t="str">
        <f aca="false">IF(OR($A64="",$D64=""),"",IF($C64="founding_full",WORKDAY($D64,config!$B$27,calendar!$A$2:$A$80),$D64))</f>
        <v/>
      </c>
      <c r="P64" s="32" t="str">
        <f aca="false">IF($A64="","",N($E64)+N($F64))</f>
        <v/>
      </c>
      <c r="Q64" s="30" t="str">
        <f aca="true">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30" t="str">
        <f aca="false">IF($A64="","",IF(OR($C64="founding_full",$C64="standard_deposit"),"Y","N"))</f>
        <v/>
      </c>
      <c r="S64" s="30" t="str">
        <f aca="false">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ustomFormat="false" ht="15" hidden="false" customHeight="false" outlineLevel="0" collapsed="false">
      <c r="C65" s="10"/>
      <c r="D65" s="11"/>
      <c r="E65" s="12"/>
      <c r="F65" s="12"/>
      <c r="H65" s="11"/>
      <c r="I65" s="12"/>
      <c r="J65" s="10"/>
      <c r="L65" s="12"/>
      <c r="N65" s="30" t="str">
        <f aca="false">IF($B65="","",IFERROR(IF(INDEX(campaigns!$BE$2:$BE$51,MATCH($B65,campaigns!$A$2:$A$51,0))="","",INDEX(campaigns!$BE$2:$BE$51,MATCH($B65,campaigns!$A$2:$A$51,0))),""))</f>
        <v/>
      </c>
      <c r="O65" s="31" t="str">
        <f aca="false">IF(OR($A65="",$D65=""),"",IF($C65="founding_full",WORKDAY($D65,config!$B$27,calendar!$A$2:$A$80),$D65))</f>
        <v/>
      </c>
      <c r="P65" s="32" t="str">
        <f aca="false">IF($A65="","",N($E65)+N($F65))</f>
        <v/>
      </c>
      <c r="Q65" s="30" t="str">
        <f aca="true">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30" t="str">
        <f aca="false">IF($A65="","",IF(OR($C65="founding_full",$C65="standard_deposit"),"Y","N"))</f>
        <v/>
      </c>
      <c r="S65" s="30" t="str">
        <f aca="false">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ustomFormat="false" ht="15" hidden="false" customHeight="false" outlineLevel="0" collapsed="false">
      <c r="C66" s="10"/>
      <c r="D66" s="11"/>
      <c r="E66" s="12"/>
      <c r="F66" s="12"/>
      <c r="H66" s="11"/>
      <c r="I66" s="12"/>
      <c r="J66" s="10"/>
      <c r="L66" s="12"/>
      <c r="N66" s="30" t="str">
        <f aca="false">IF($B66="","",IFERROR(IF(INDEX(campaigns!$BE$2:$BE$51,MATCH($B66,campaigns!$A$2:$A$51,0))="","",INDEX(campaigns!$BE$2:$BE$51,MATCH($B66,campaigns!$A$2:$A$51,0))),""))</f>
        <v/>
      </c>
      <c r="O66" s="31" t="str">
        <f aca="false">IF(OR($A66="",$D66=""),"",IF($C66="founding_full",WORKDAY($D66,config!$B$27,calendar!$A$2:$A$80),$D66))</f>
        <v/>
      </c>
      <c r="P66" s="32" t="str">
        <f aca="false">IF($A66="","",N($E66)+N($F66))</f>
        <v/>
      </c>
      <c r="Q66" s="30" t="str">
        <f aca="true">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30" t="str">
        <f aca="false">IF($A66="","",IF(OR($C66="founding_full",$C66="standard_deposit"),"Y","N"))</f>
        <v/>
      </c>
      <c r="S66" s="30" t="str">
        <f aca="false">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ustomFormat="false" ht="15" hidden="false" customHeight="false" outlineLevel="0" collapsed="false">
      <c r="C67" s="10"/>
      <c r="D67" s="11"/>
      <c r="E67" s="12"/>
      <c r="F67" s="12"/>
      <c r="H67" s="11"/>
      <c r="I67" s="12"/>
      <c r="J67" s="10"/>
      <c r="L67" s="12"/>
      <c r="N67" s="30" t="str">
        <f aca="false">IF($B67="","",IFERROR(IF(INDEX(campaigns!$BE$2:$BE$51,MATCH($B67,campaigns!$A$2:$A$51,0))="","",INDEX(campaigns!$BE$2:$BE$51,MATCH($B67,campaigns!$A$2:$A$51,0))),""))</f>
        <v/>
      </c>
      <c r="O67" s="31" t="str">
        <f aca="false">IF(OR($A67="",$D67=""),"",IF($C67="founding_full",WORKDAY($D67,config!$B$27,calendar!$A$2:$A$80),$D67))</f>
        <v/>
      </c>
      <c r="P67" s="32" t="str">
        <f aca="false">IF($A67="","",N($E67)+N($F67))</f>
        <v/>
      </c>
      <c r="Q67" s="30" t="str">
        <f aca="true">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30" t="str">
        <f aca="false">IF($A67="","",IF(OR($C67="founding_full",$C67="standard_deposit"),"Y","N"))</f>
        <v/>
      </c>
      <c r="S67" s="30" t="str">
        <f aca="false">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ustomFormat="false" ht="15" hidden="false" customHeight="false" outlineLevel="0" collapsed="false">
      <c r="C68" s="10"/>
      <c r="D68" s="11"/>
      <c r="E68" s="12"/>
      <c r="F68" s="12"/>
      <c r="H68" s="11"/>
      <c r="I68" s="12"/>
      <c r="J68" s="10"/>
      <c r="L68" s="12"/>
      <c r="N68" s="30" t="str">
        <f aca="false">IF($B68="","",IFERROR(IF(INDEX(campaigns!$BE$2:$BE$51,MATCH($B68,campaigns!$A$2:$A$51,0))="","",INDEX(campaigns!$BE$2:$BE$51,MATCH($B68,campaigns!$A$2:$A$51,0))),""))</f>
        <v/>
      </c>
      <c r="O68" s="31" t="str">
        <f aca="false">IF(OR($A68="",$D68=""),"",IF($C68="founding_full",WORKDAY($D68,config!$B$27,calendar!$A$2:$A$80),$D68))</f>
        <v/>
      </c>
      <c r="P68" s="32" t="str">
        <f aca="false">IF($A68="","",N($E68)+N($F68))</f>
        <v/>
      </c>
      <c r="Q68" s="30" t="str">
        <f aca="true">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30" t="str">
        <f aca="false">IF($A68="","",IF(OR($C68="founding_full",$C68="standard_deposit"),"Y","N"))</f>
        <v/>
      </c>
      <c r="S68" s="30" t="str">
        <f aca="false">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ustomFormat="false" ht="15" hidden="false" customHeight="false" outlineLevel="0" collapsed="false">
      <c r="C69" s="10"/>
      <c r="D69" s="11"/>
      <c r="E69" s="12"/>
      <c r="F69" s="12"/>
      <c r="H69" s="11"/>
      <c r="I69" s="12"/>
      <c r="J69" s="10"/>
      <c r="L69" s="12"/>
      <c r="N69" s="30" t="str">
        <f aca="false">IF($B69="","",IFERROR(IF(INDEX(campaigns!$BE$2:$BE$51,MATCH($B69,campaigns!$A$2:$A$51,0))="","",INDEX(campaigns!$BE$2:$BE$51,MATCH($B69,campaigns!$A$2:$A$51,0))),""))</f>
        <v/>
      </c>
      <c r="O69" s="31" t="str">
        <f aca="false">IF(OR($A69="",$D69=""),"",IF($C69="founding_full",WORKDAY($D69,config!$B$27,calendar!$A$2:$A$80),$D69))</f>
        <v/>
      </c>
      <c r="P69" s="32" t="str">
        <f aca="false">IF($A69="","",N($E69)+N($F69))</f>
        <v/>
      </c>
      <c r="Q69" s="30" t="str">
        <f aca="true">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30" t="str">
        <f aca="false">IF($A69="","",IF(OR($C69="founding_full",$C69="standard_deposit"),"Y","N"))</f>
        <v/>
      </c>
      <c r="S69" s="30" t="str">
        <f aca="false">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ustomFormat="false" ht="15" hidden="false" customHeight="false" outlineLevel="0" collapsed="false">
      <c r="C70" s="10"/>
      <c r="D70" s="11"/>
      <c r="E70" s="12"/>
      <c r="F70" s="12"/>
      <c r="H70" s="11"/>
      <c r="I70" s="12"/>
      <c r="J70" s="10"/>
      <c r="L70" s="12"/>
      <c r="N70" s="30" t="str">
        <f aca="false">IF($B70="","",IFERROR(IF(INDEX(campaigns!$BE$2:$BE$51,MATCH($B70,campaigns!$A$2:$A$51,0))="","",INDEX(campaigns!$BE$2:$BE$51,MATCH($B70,campaigns!$A$2:$A$51,0))),""))</f>
        <v/>
      </c>
      <c r="O70" s="31" t="str">
        <f aca="false">IF(OR($A70="",$D70=""),"",IF($C70="founding_full",WORKDAY($D70,config!$B$27,calendar!$A$2:$A$80),$D70))</f>
        <v/>
      </c>
      <c r="P70" s="32" t="str">
        <f aca="false">IF($A70="","",N($E70)+N($F70))</f>
        <v/>
      </c>
      <c r="Q70" s="30" t="str">
        <f aca="true">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30" t="str">
        <f aca="false">IF($A70="","",IF(OR($C70="founding_full",$C70="standard_deposit"),"Y","N"))</f>
        <v/>
      </c>
      <c r="S70" s="30" t="str">
        <f aca="false">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ustomFormat="false" ht="15" hidden="false" customHeight="false" outlineLevel="0" collapsed="false">
      <c r="C71" s="10"/>
      <c r="D71" s="11"/>
      <c r="E71" s="12"/>
      <c r="F71" s="12"/>
      <c r="H71" s="11"/>
      <c r="I71" s="12"/>
      <c r="J71" s="10"/>
      <c r="L71" s="12"/>
      <c r="N71" s="30" t="str">
        <f aca="false">IF($B71="","",IFERROR(IF(INDEX(campaigns!$BE$2:$BE$51,MATCH($B71,campaigns!$A$2:$A$51,0))="","",INDEX(campaigns!$BE$2:$BE$51,MATCH($B71,campaigns!$A$2:$A$51,0))),""))</f>
        <v/>
      </c>
      <c r="O71" s="31" t="str">
        <f aca="false">IF(OR($A71="",$D71=""),"",IF($C71="founding_full",WORKDAY($D71,config!$B$27,calendar!$A$2:$A$80),$D71))</f>
        <v/>
      </c>
      <c r="P71" s="32" t="str">
        <f aca="false">IF($A71="","",N($E71)+N($F71))</f>
        <v/>
      </c>
      <c r="Q71" s="30" t="str">
        <f aca="true">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30" t="str">
        <f aca="false">IF($A71="","",IF(OR($C71="founding_full",$C71="standard_deposit"),"Y","N"))</f>
        <v/>
      </c>
      <c r="S71" s="30" t="str">
        <f aca="false">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ustomFormat="false" ht="15" hidden="false" customHeight="false" outlineLevel="0" collapsed="false">
      <c r="C72" s="10"/>
      <c r="D72" s="11"/>
      <c r="E72" s="12"/>
      <c r="F72" s="12"/>
      <c r="H72" s="11"/>
      <c r="I72" s="12"/>
      <c r="J72" s="10"/>
      <c r="L72" s="12"/>
      <c r="N72" s="30" t="str">
        <f aca="false">IF($B72="","",IFERROR(IF(INDEX(campaigns!$BE$2:$BE$51,MATCH($B72,campaigns!$A$2:$A$51,0))="","",INDEX(campaigns!$BE$2:$BE$51,MATCH($B72,campaigns!$A$2:$A$51,0))),""))</f>
        <v/>
      </c>
      <c r="O72" s="31" t="str">
        <f aca="false">IF(OR($A72="",$D72=""),"",IF($C72="founding_full",WORKDAY($D72,config!$B$27,calendar!$A$2:$A$80),$D72))</f>
        <v/>
      </c>
      <c r="P72" s="32" t="str">
        <f aca="false">IF($A72="","",N($E72)+N($F72))</f>
        <v/>
      </c>
      <c r="Q72" s="30" t="str">
        <f aca="true">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30" t="str">
        <f aca="false">IF($A72="","",IF(OR($C72="founding_full",$C72="standard_deposit"),"Y","N"))</f>
        <v/>
      </c>
      <c r="S72" s="30" t="str">
        <f aca="false">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ustomFormat="false" ht="15" hidden="false" customHeight="false" outlineLevel="0" collapsed="false">
      <c r="C73" s="10"/>
      <c r="D73" s="11"/>
      <c r="E73" s="12"/>
      <c r="F73" s="12"/>
      <c r="H73" s="11"/>
      <c r="I73" s="12"/>
      <c r="J73" s="10"/>
      <c r="L73" s="12"/>
      <c r="N73" s="30" t="str">
        <f aca="false">IF($B73="","",IFERROR(IF(INDEX(campaigns!$BE$2:$BE$51,MATCH($B73,campaigns!$A$2:$A$51,0))="","",INDEX(campaigns!$BE$2:$BE$51,MATCH($B73,campaigns!$A$2:$A$51,0))),""))</f>
        <v/>
      </c>
      <c r="O73" s="31" t="str">
        <f aca="false">IF(OR($A73="",$D73=""),"",IF($C73="founding_full",WORKDAY($D73,config!$B$27,calendar!$A$2:$A$80),$D73))</f>
        <v/>
      </c>
      <c r="P73" s="32" t="str">
        <f aca="false">IF($A73="","",N($E73)+N($F73))</f>
        <v/>
      </c>
      <c r="Q73" s="30" t="str">
        <f aca="true">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30" t="str">
        <f aca="false">IF($A73="","",IF(OR($C73="founding_full",$C73="standard_deposit"),"Y","N"))</f>
        <v/>
      </c>
      <c r="S73" s="30" t="str">
        <f aca="false">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ustomFormat="false" ht="15" hidden="false" customHeight="false" outlineLevel="0" collapsed="false">
      <c r="C74" s="10"/>
      <c r="D74" s="11"/>
      <c r="E74" s="12"/>
      <c r="F74" s="12"/>
      <c r="H74" s="11"/>
      <c r="I74" s="12"/>
      <c r="J74" s="10"/>
      <c r="L74" s="12"/>
      <c r="N74" s="30" t="str">
        <f aca="false">IF($B74="","",IFERROR(IF(INDEX(campaigns!$BE$2:$BE$51,MATCH($B74,campaigns!$A$2:$A$51,0))="","",INDEX(campaigns!$BE$2:$BE$51,MATCH($B74,campaigns!$A$2:$A$51,0))),""))</f>
        <v/>
      </c>
      <c r="O74" s="31" t="str">
        <f aca="false">IF(OR($A74="",$D74=""),"",IF($C74="founding_full",WORKDAY($D74,config!$B$27,calendar!$A$2:$A$80),$D74))</f>
        <v/>
      </c>
      <c r="P74" s="32" t="str">
        <f aca="false">IF($A74="","",N($E74)+N($F74))</f>
        <v/>
      </c>
      <c r="Q74" s="30" t="str">
        <f aca="true">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30" t="str">
        <f aca="false">IF($A74="","",IF(OR($C74="founding_full",$C74="standard_deposit"),"Y","N"))</f>
        <v/>
      </c>
      <c r="S74" s="30" t="str">
        <f aca="false">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ustomFormat="false" ht="15" hidden="false" customHeight="false" outlineLevel="0" collapsed="false">
      <c r="C75" s="10"/>
      <c r="D75" s="11"/>
      <c r="E75" s="12"/>
      <c r="F75" s="12"/>
      <c r="H75" s="11"/>
      <c r="I75" s="12"/>
      <c r="J75" s="10"/>
      <c r="L75" s="12"/>
      <c r="N75" s="30" t="str">
        <f aca="false">IF($B75="","",IFERROR(IF(INDEX(campaigns!$BE$2:$BE$51,MATCH($B75,campaigns!$A$2:$A$51,0))="","",INDEX(campaigns!$BE$2:$BE$51,MATCH($B75,campaigns!$A$2:$A$51,0))),""))</f>
        <v/>
      </c>
      <c r="O75" s="31" t="str">
        <f aca="false">IF(OR($A75="",$D75=""),"",IF($C75="founding_full",WORKDAY($D75,config!$B$27,calendar!$A$2:$A$80),$D75))</f>
        <v/>
      </c>
      <c r="P75" s="32" t="str">
        <f aca="false">IF($A75="","",N($E75)+N($F75))</f>
        <v/>
      </c>
      <c r="Q75" s="30" t="str">
        <f aca="true">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30" t="str">
        <f aca="false">IF($A75="","",IF(OR($C75="founding_full",$C75="standard_deposit"),"Y","N"))</f>
        <v/>
      </c>
      <c r="S75" s="30" t="str">
        <f aca="false">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ustomFormat="false" ht="15" hidden="false" customHeight="false" outlineLevel="0" collapsed="false">
      <c r="C76" s="10"/>
      <c r="D76" s="11"/>
      <c r="E76" s="12"/>
      <c r="F76" s="12"/>
      <c r="H76" s="11"/>
      <c r="I76" s="12"/>
      <c r="J76" s="10"/>
      <c r="L76" s="12"/>
      <c r="N76" s="30" t="str">
        <f aca="false">IF($B76="","",IFERROR(IF(INDEX(campaigns!$BE$2:$BE$51,MATCH($B76,campaigns!$A$2:$A$51,0))="","",INDEX(campaigns!$BE$2:$BE$51,MATCH($B76,campaigns!$A$2:$A$51,0))),""))</f>
        <v/>
      </c>
      <c r="O76" s="31" t="str">
        <f aca="false">IF(OR($A76="",$D76=""),"",IF($C76="founding_full",WORKDAY($D76,config!$B$27,calendar!$A$2:$A$80),$D76))</f>
        <v/>
      </c>
      <c r="P76" s="32" t="str">
        <f aca="false">IF($A76="","",N($E76)+N($F76))</f>
        <v/>
      </c>
      <c r="Q76" s="30" t="str">
        <f aca="true">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30" t="str">
        <f aca="false">IF($A76="","",IF(OR($C76="founding_full",$C76="standard_deposit"),"Y","N"))</f>
        <v/>
      </c>
      <c r="S76" s="30" t="str">
        <f aca="false">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ustomFormat="false" ht="15" hidden="false" customHeight="false" outlineLevel="0" collapsed="false">
      <c r="C77" s="10"/>
      <c r="D77" s="11"/>
      <c r="E77" s="12"/>
      <c r="F77" s="12"/>
      <c r="H77" s="11"/>
      <c r="I77" s="12"/>
      <c r="J77" s="10"/>
      <c r="L77" s="12"/>
      <c r="N77" s="30" t="str">
        <f aca="false">IF($B77="","",IFERROR(IF(INDEX(campaigns!$BE$2:$BE$51,MATCH($B77,campaigns!$A$2:$A$51,0))="","",INDEX(campaigns!$BE$2:$BE$51,MATCH($B77,campaigns!$A$2:$A$51,0))),""))</f>
        <v/>
      </c>
      <c r="O77" s="31" t="str">
        <f aca="false">IF(OR($A77="",$D77=""),"",IF($C77="founding_full",WORKDAY($D77,config!$B$27,calendar!$A$2:$A$80),$D77))</f>
        <v/>
      </c>
      <c r="P77" s="32" t="str">
        <f aca="false">IF($A77="","",N($E77)+N($F77))</f>
        <v/>
      </c>
      <c r="Q77" s="30" t="str">
        <f aca="true">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30" t="str">
        <f aca="false">IF($A77="","",IF(OR($C77="founding_full",$C77="standard_deposit"),"Y","N"))</f>
        <v/>
      </c>
      <c r="S77" s="30" t="str">
        <f aca="false">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ustomFormat="false" ht="15" hidden="false" customHeight="false" outlineLevel="0" collapsed="false">
      <c r="C78" s="10"/>
      <c r="D78" s="11"/>
      <c r="E78" s="12"/>
      <c r="F78" s="12"/>
      <c r="H78" s="11"/>
      <c r="I78" s="12"/>
      <c r="J78" s="10"/>
      <c r="L78" s="12"/>
      <c r="N78" s="30" t="str">
        <f aca="false">IF($B78="","",IFERROR(IF(INDEX(campaigns!$BE$2:$BE$51,MATCH($B78,campaigns!$A$2:$A$51,0))="","",INDEX(campaigns!$BE$2:$BE$51,MATCH($B78,campaigns!$A$2:$A$51,0))),""))</f>
        <v/>
      </c>
      <c r="O78" s="31" t="str">
        <f aca="false">IF(OR($A78="",$D78=""),"",IF($C78="founding_full",WORKDAY($D78,config!$B$27,calendar!$A$2:$A$80),$D78))</f>
        <v/>
      </c>
      <c r="P78" s="32" t="str">
        <f aca="false">IF($A78="","",N($E78)+N($F78))</f>
        <v/>
      </c>
      <c r="Q78" s="30" t="str">
        <f aca="true">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30" t="str">
        <f aca="false">IF($A78="","",IF(OR($C78="founding_full",$C78="standard_deposit"),"Y","N"))</f>
        <v/>
      </c>
      <c r="S78" s="30" t="str">
        <f aca="false">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ustomFormat="false" ht="15" hidden="false" customHeight="false" outlineLevel="0" collapsed="false">
      <c r="C79" s="10"/>
      <c r="D79" s="11"/>
      <c r="E79" s="12"/>
      <c r="F79" s="12"/>
      <c r="H79" s="11"/>
      <c r="I79" s="12"/>
      <c r="J79" s="10"/>
      <c r="L79" s="12"/>
      <c r="N79" s="30" t="str">
        <f aca="false">IF($B79="","",IFERROR(IF(INDEX(campaigns!$BE$2:$BE$51,MATCH($B79,campaigns!$A$2:$A$51,0))="","",INDEX(campaigns!$BE$2:$BE$51,MATCH($B79,campaigns!$A$2:$A$51,0))),""))</f>
        <v/>
      </c>
      <c r="O79" s="31" t="str">
        <f aca="false">IF(OR($A79="",$D79=""),"",IF($C79="founding_full",WORKDAY($D79,config!$B$27,calendar!$A$2:$A$80),$D79))</f>
        <v/>
      </c>
      <c r="P79" s="32" t="str">
        <f aca="false">IF($A79="","",N($E79)+N($F79))</f>
        <v/>
      </c>
      <c r="Q79" s="30" t="str">
        <f aca="true">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30" t="str">
        <f aca="false">IF($A79="","",IF(OR($C79="founding_full",$C79="standard_deposit"),"Y","N"))</f>
        <v/>
      </c>
      <c r="S79" s="30" t="str">
        <f aca="false">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ustomFormat="false" ht="15" hidden="false" customHeight="false" outlineLevel="0" collapsed="false">
      <c r="C80" s="10"/>
      <c r="D80" s="11"/>
      <c r="E80" s="12"/>
      <c r="F80" s="12"/>
      <c r="H80" s="11"/>
      <c r="I80" s="12"/>
      <c r="J80" s="10"/>
      <c r="L80" s="12"/>
      <c r="N80" s="30" t="str">
        <f aca="false">IF($B80="","",IFERROR(IF(INDEX(campaigns!$BE$2:$BE$51,MATCH($B80,campaigns!$A$2:$A$51,0))="","",INDEX(campaigns!$BE$2:$BE$51,MATCH($B80,campaigns!$A$2:$A$51,0))),""))</f>
        <v/>
      </c>
      <c r="O80" s="31" t="str">
        <f aca="false">IF(OR($A80="",$D80=""),"",IF($C80="founding_full",WORKDAY($D80,config!$B$27,calendar!$A$2:$A$80),$D80))</f>
        <v/>
      </c>
      <c r="P80" s="32" t="str">
        <f aca="false">IF($A80="","",N($E80)+N($F80))</f>
        <v/>
      </c>
      <c r="Q80" s="30" t="str">
        <f aca="true">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30" t="str">
        <f aca="false">IF($A80="","",IF(OR($C80="founding_full",$C80="standard_deposit"),"Y","N"))</f>
        <v/>
      </c>
      <c r="S80" s="30" t="str">
        <f aca="false">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ustomFormat="false" ht="15" hidden="false" customHeight="false" outlineLevel="0" collapsed="false">
      <c r="C81" s="10"/>
      <c r="D81" s="11"/>
      <c r="E81" s="12"/>
      <c r="F81" s="12"/>
      <c r="H81" s="11"/>
      <c r="I81" s="12"/>
      <c r="J81" s="10"/>
      <c r="L81" s="12"/>
      <c r="N81" s="30" t="str">
        <f aca="false">IF($B81="","",IFERROR(IF(INDEX(campaigns!$BE$2:$BE$51,MATCH($B81,campaigns!$A$2:$A$51,0))="","",INDEX(campaigns!$BE$2:$BE$51,MATCH($B81,campaigns!$A$2:$A$51,0))),""))</f>
        <v/>
      </c>
      <c r="O81" s="31" t="str">
        <f aca="false">IF(OR($A81="",$D81=""),"",IF($C81="founding_full",WORKDAY($D81,config!$B$27,calendar!$A$2:$A$80),$D81))</f>
        <v/>
      </c>
      <c r="P81" s="32" t="str">
        <f aca="false">IF($A81="","",N($E81)+N($F81))</f>
        <v/>
      </c>
      <c r="Q81" s="30" t="str">
        <f aca="true">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30" t="str">
        <f aca="false">IF($A81="","",IF(OR($C81="founding_full",$C81="standard_deposit"),"Y","N"))</f>
        <v/>
      </c>
      <c r="S81" s="30" t="str">
        <f aca="false">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ustomFormat="false" ht="15" hidden="false" customHeight="false" outlineLevel="0" collapsed="false">
      <c r="C82" s="10"/>
      <c r="D82" s="11"/>
      <c r="E82" s="12"/>
      <c r="F82" s="12"/>
      <c r="H82" s="11"/>
      <c r="I82" s="12"/>
      <c r="J82" s="10"/>
      <c r="L82" s="12"/>
      <c r="N82" s="30" t="str">
        <f aca="false">IF($B82="","",IFERROR(IF(INDEX(campaigns!$BE$2:$BE$51,MATCH($B82,campaigns!$A$2:$A$51,0))="","",INDEX(campaigns!$BE$2:$BE$51,MATCH($B82,campaigns!$A$2:$A$51,0))),""))</f>
        <v/>
      </c>
      <c r="O82" s="31" t="str">
        <f aca="false">IF(OR($A82="",$D82=""),"",IF($C82="founding_full",WORKDAY($D82,config!$B$27,calendar!$A$2:$A$80),$D82))</f>
        <v/>
      </c>
      <c r="P82" s="32" t="str">
        <f aca="false">IF($A82="","",N($E82)+N($F82))</f>
        <v/>
      </c>
      <c r="Q82" s="30" t="str">
        <f aca="true">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30" t="str">
        <f aca="false">IF($A82="","",IF(OR($C82="founding_full",$C82="standard_deposit"),"Y","N"))</f>
        <v/>
      </c>
      <c r="S82" s="30" t="str">
        <f aca="false">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ustomFormat="false" ht="15" hidden="false" customHeight="false" outlineLevel="0" collapsed="false">
      <c r="C83" s="10"/>
      <c r="D83" s="11"/>
      <c r="E83" s="12"/>
      <c r="F83" s="12"/>
      <c r="H83" s="11"/>
      <c r="I83" s="12"/>
      <c r="J83" s="10"/>
      <c r="L83" s="12"/>
      <c r="N83" s="30" t="str">
        <f aca="false">IF($B83="","",IFERROR(IF(INDEX(campaigns!$BE$2:$BE$51,MATCH($B83,campaigns!$A$2:$A$51,0))="","",INDEX(campaigns!$BE$2:$BE$51,MATCH($B83,campaigns!$A$2:$A$51,0))),""))</f>
        <v/>
      </c>
      <c r="O83" s="31" t="str">
        <f aca="false">IF(OR($A83="",$D83=""),"",IF($C83="founding_full",WORKDAY($D83,config!$B$27,calendar!$A$2:$A$80),$D83))</f>
        <v/>
      </c>
      <c r="P83" s="32" t="str">
        <f aca="false">IF($A83="","",N($E83)+N($F83))</f>
        <v/>
      </c>
      <c r="Q83" s="30" t="str">
        <f aca="true">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30" t="str">
        <f aca="false">IF($A83="","",IF(OR($C83="founding_full",$C83="standard_deposit"),"Y","N"))</f>
        <v/>
      </c>
      <c r="S83" s="30" t="str">
        <f aca="false">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ustomFormat="false" ht="15" hidden="false" customHeight="false" outlineLevel="0" collapsed="false">
      <c r="C84" s="10"/>
      <c r="D84" s="11"/>
      <c r="E84" s="12"/>
      <c r="F84" s="12"/>
      <c r="H84" s="11"/>
      <c r="I84" s="12"/>
      <c r="J84" s="10"/>
      <c r="L84" s="12"/>
      <c r="N84" s="30" t="str">
        <f aca="false">IF($B84="","",IFERROR(IF(INDEX(campaigns!$BE$2:$BE$51,MATCH($B84,campaigns!$A$2:$A$51,0))="","",INDEX(campaigns!$BE$2:$BE$51,MATCH($B84,campaigns!$A$2:$A$51,0))),""))</f>
        <v/>
      </c>
      <c r="O84" s="31" t="str">
        <f aca="false">IF(OR($A84="",$D84=""),"",IF($C84="founding_full",WORKDAY($D84,config!$B$27,calendar!$A$2:$A$80),$D84))</f>
        <v/>
      </c>
      <c r="P84" s="32" t="str">
        <f aca="false">IF($A84="","",N($E84)+N($F84))</f>
        <v/>
      </c>
      <c r="Q84" s="30" t="str">
        <f aca="true">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30" t="str">
        <f aca="false">IF($A84="","",IF(OR($C84="founding_full",$C84="standard_deposit"),"Y","N"))</f>
        <v/>
      </c>
      <c r="S84" s="30" t="str">
        <f aca="false">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ustomFormat="false" ht="15" hidden="false" customHeight="false" outlineLevel="0" collapsed="false">
      <c r="C85" s="10"/>
      <c r="D85" s="11"/>
      <c r="E85" s="12"/>
      <c r="F85" s="12"/>
      <c r="H85" s="11"/>
      <c r="I85" s="12"/>
      <c r="J85" s="10"/>
      <c r="L85" s="12"/>
      <c r="N85" s="30" t="str">
        <f aca="false">IF($B85="","",IFERROR(IF(INDEX(campaigns!$BE$2:$BE$51,MATCH($B85,campaigns!$A$2:$A$51,0))="","",INDEX(campaigns!$BE$2:$BE$51,MATCH($B85,campaigns!$A$2:$A$51,0))),""))</f>
        <v/>
      </c>
      <c r="O85" s="31" t="str">
        <f aca="false">IF(OR($A85="",$D85=""),"",IF($C85="founding_full",WORKDAY($D85,config!$B$27,calendar!$A$2:$A$80),$D85))</f>
        <v/>
      </c>
      <c r="P85" s="32" t="str">
        <f aca="false">IF($A85="","",N($E85)+N($F85))</f>
        <v/>
      </c>
      <c r="Q85" s="30" t="str">
        <f aca="true">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30" t="str">
        <f aca="false">IF($A85="","",IF(OR($C85="founding_full",$C85="standard_deposit"),"Y","N"))</f>
        <v/>
      </c>
      <c r="S85" s="30" t="str">
        <f aca="false">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ustomFormat="false" ht="15" hidden="false" customHeight="false" outlineLevel="0" collapsed="false">
      <c r="C86" s="10"/>
      <c r="D86" s="11"/>
      <c r="E86" s="12"/>
      <c r="F86" s="12"/>
      <c r="H86" s="11"/>
      <c r="I86" s="12"/>
      <c r="J86" s="10"/>
      <c r="L86" s="12"/>
      <c r="N86" s="30" t="str">
        <f aca="false">IF($B86="","",IFERROR(IF(INDEX(campaigns!$BE$2:$BE$51,MATCH($B86,campaigns!$A$2:$A$51,0))="","",INDEX(campaigns!$BE$2:$BE$51,MATCH($B86,campaigns!$A$2:$A$51,0))),""))</f>
        <v/>
      </c>
      <c r="O86" s="31" t="str">
        <f aca="false">IF(OR($A86="",$D86=""),"",IF($C86="founding_full",WORKDAY($D86,config!$B$27,calendar!$A$2:$A$80),$D86))</f>
        <v/>
      </c>
      <c r="P86" s="32" t="str">
        <f aca="false">IF($A86="","",N($E86)+N($F86))</f>
        <v/>
      </c>
      <c r="Q86" s="30" t="str">
        <f aca="true">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30" t="str">
        <f aca="false">IF($A86="","",IF(OR($C86="founding_full",$C86="standard_deposit"),"Y","N"))</f>
        <v/>
      </c>
      <c r="S86" s="30" t="str">
        <f aca="false">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ustomFormat="false" ht="15" hidden="false" customHeight="false" outlineLevel="0" collapsed="false">
      <c r="C87" s="10"/>
      <c r="D87" s="11"/>
      <c r="E87" s="12"/>
      <c r="F87" s="12"/>
      <c r="H87" s="11"/>
      <c r="I87" s="12"/>
      <c r="J87" s="10"/>
      <c r="L87" s="12"/>
      <c r="N87" s="30" t="str">
        <f aca="false">IF($B87="","",IFERROR(IF(INDEX(campaigns!$BE$2:$BE$51,MATCH($B87,campaigns!$A$2:$A$51,0))="","",INDEX(campaigns!$BE$2:$BE$51,MATCH($B87,campaigns!$A$2:$A$51,0))),""))</f>
        <v/>
      </c>
      <c r="O87" s="31" t="str">
        <f aca="false">IF(OR($A87="",$D87=""),"",IF($C87="founding_full",WORKDAY($D87,config!$B$27,calendar!$A$2:$A$80),$D87))</f>
        <v/>
      </c>
      <c r="P87" s="32" t="str">
        <f aca="false">IF($A87="","",N($E87)+N($F87))</f>
        <v/>
      </c>
      <c r="Q87" s="30" t="str">
        <f aca="true">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30" t="str">
        <f aca="false">IF($A87="","",IF(OR($C87="founding_full",$C87="standard_deposit"),"Y","N"))</f>
        <v/>
      </c>
      <c r="S87" s="30" t="str">
        <f aca="false">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ustomFormat="false" ht="15" hidden="false" customHeight="false" outlineLevel="0" collapsed="false">
      <c r="C88" s="10"/>
      <c r="D88" s="11"/>
      <c r="E88" s="12"/>
      <c r="F88" s="12"/>
      <c r="H88" s="11"/>
      <c r="I88" s="12"/>
      <c r="J88" s="10"/>
      <c r="L88" s="12"/>
      <c r="N88" s="30" t="str">
        <f aca="false">IF($B88="","",IFERROR(IF(INDEX(campaigns!$BE$2:$BE$51,MATCH($B88,campaigns!$A$2:$A$51,0))="","",INDEX(campaigns!$BE$2:$BE$51,MATCH($B88,campaigns!$A$2:$A$51,0))),""))</f>
        <v/>
      </c>
      <c r="O88" s="31" t="str">
        <f aca="false">IF(OR($A88="",$D88=""),"",IF($C88="founding_full",WORKDAY($D88,config!$B$27,calendar!$A$2:$A$80),$D88))</f>
        <v/>
      </c>
      <c r="P88" s="32" t="str">
        <f aca="false">IF($A88="","",N($E88)+N($F88))</f>
        <v/>
      </c>
      <c r="Q88" s="30" t="str">
        <f aca="true">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30" t="str">
        <f aca="false">IF($A88="","",IF(OR($C88="founding_full",$C88="standard_deposit"),"Y","N"))</f>
        <v/>
      </c>
      <c r="S88" s="30" t="str">
        <f aca="false">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ustomFormat="false" ht="15" hidden="false" customHeight="false" outlineLevel="0" collapsed="false">
      <c r="C89" s="10"/>
      <c r="D89" s="11"/>
      <c r="E89" s="12"/>
      <c r="F89" s="12"/>
      <c r="H89" s="11"/>
      <c r="I89" s="12"/>
      <c r="J89" s="10"/>
      <c r="L89" s="12"/>
      <c r="N89" s="30" t="str">
        <f aca="false">IF($B89="","",IFERROR(IF(INDEX(campaigns!$BE$2:$BE$51,MATCH($B89,campaigns!$A$2:$A$51,0))="","",INDEX(campaigns!$BE$2:$BE$51,MATCH($B89,campaigns!$A$2:$A$51,0))),""))</f>
        <v/>
      </c>
      <c r="O89" s="31" t="str">
        <f aca="false">IF(OR($A89="",$D89=""),"",IF($C89="founding_full",WORKDAY($D89,config!$B$27,calendar!$A$2:$A$80),$D89))</f>
        <v/>
      </c>
      <c r="P89" s="32" t="str">
        <f aca="false">IF($A89="","",N($E89)+N($F89))</f>
        <v/>
      </c>
      <c r="Q89" s="30" t="str">
        <f aca="true">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30" t="str">
        <f aca="false">IF($A89="","",IF(OR($C89="founding_full",$C89="standard_deposit"),"Y","N"))</f>
        <v/>
      </c>
      <c r="S89" s="30" t="str">
        <f aca="false">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ustomFormat="false" ht="15" hidden="false" customHeight="false" outlineLevel="0" collapsed="false">
      <c r="C90" s="10"/>
      <c r="D90" s="11"/>
      <c r="E90" s="12"/>
      <c r="F90" s="12"/>
      <c r="H90" s="11"/>
      <c r="I90" s="12"/>
      <c r="J90" s="10"/>
      <c r="L90" s="12"/>
      <c r="N90" s="30" t="str">
        <f aca="false">IF($B90="","",IFERROR(IF(INDEX(campaigns!$BE$2:$BE$51,MATCH($B90,campaigns!$A$2:$A$51,0))="","",INDEX(campaigns!$BE$2:$BE$51,MATCH($B90,campaigns!$A$2:$A$51,0))),""))</f>
        <v/>
      </c>
      <c r="O90" s="31" t="str">
        <f aca="false">IF(OR($A90="",$D90=""),"",IF($C90="founding_full",WORKDAY($D90,config!$B$27,calendar!$A$2:$A$80),$D90))</f>
        <v/>
      </c>
      <c r="P90" s="32" t="str">
        <f aca="false">IF($A90="","",N($E90)+N($F90))</f>
        <v/>
      </c>
      <c r="Q90" s="30" t="str">
        <f aca="true">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30" t="str">
        <f aca="false">IF($A90="","",IF(OR($C90="founding_full",$C90="standard_deposit"),"Y","N"))</f>
        <v/>
      </c>
      <c r="S90" s="30" t="str">
        <f aca="false">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ustomFormat="false" ht="15" hidden="false" customHeight="false" outlineLevel="0" collapsed="false">
      <c r="C91" s="10"/>
      <c r="D91" s="11"/>
      <c r="E91" s="12"/>
      <c r="F91" s="12"/>
      <c r="H91" s="11"/>
      <c r="I91" s="12"/>
      <c r="J91" s="10"/>
      <c r="L91" s="12"/>
      <c r="N91" s="30" t="str">
        <f aca="false">IF($B91="","",IFERROR(IF(INDEX(campaigns!$BE$2:$BE$51,MATCH($B91,campaigns!$A$2:$A$51,0))="","",INDEX(campaigns!$BE$2:$BE$51,MATCH($B91,campaigns!$A$2:$A$51,0))),""))</f>
        <v/>
      </c>
      <c r="O91" s="31" t="str">
        <f aca="false">IF(OR($A91="",$D91=""),"",IF($C91="founding_full",WORKDAY($D91,config!$B$27,calendar!$A$2:$A$80),$D91))</f>
        <v/>
      </c>
      <c r="P91" s="32" t="str">
        <f aca="false">IF($A91="","",N($E91)+N($F91))</f>
        <v/>
      </c>
      <c r="Q91" s="30" t="str">
        <f aca="true">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30" t="str">
        <f aca="false">IF($A91="","",IF(OR($C91="founding_full",$C91="standard_deposit"),"Y","N"))</f>
        <v/>
      </c>
      <c r="S91" s="30" t="str">
        <f aca="false">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ustomFormat="false" ht="15" hidden="false" customHeight="false" outlineLevel="0" collapsed="false">
      <c r="C92" s="10"/>
      <c r="D92" s="11"/>
      <c r="E92" s="12"/>
      <c r="F92" s="12"/>
      <c r="H92" s="11"/>
      <c r="I92" s="12"/>
      <c r="J92" s="10"/>
      <c r="L92" s="12"/>
      <c r="N92" s="30" t="str">
        <f aca="false">IF($B92="","",IFERROR(IF(INDEX(campaigns!$BE$2:$BE$51,MATCH($B92,campaigns!$A$2:$A$51,0))="","",INDEX(campaigns!$BE$2:$BE$51,MATCH($B92,campaigns!$A$2:$A$51,0))),""))</f>
        <v/>
      </c>
      <c r="O92" s="31" t="str">
        <f aca="false">IF(OR($A92="",$D92=""),"",IF($C92="founding_full",WORKDAY($D92,config!$B$27,calendar!$A$2:$A$80),$D92))</f>
        <v/>
      </c>
      <c r="P92" s="32" t="str">
        <f aca="false">IF($A92="","",N($E92)+N($F92))</f>
        <v/>
      </c>
      <c r="Q92" s="30" t="str">
        <f aca="true">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30" t="str">
        <f aca="false">IF($A92="","",IF(OR($C92="founding_full",$C92="standard_deposit"),"Y","N"))</f>
        <v/>
      </c>
      <c r="S92" s="30" t="str">
        <f aca="false">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ustomFormat="false" ht="15" hidden="false" customHeight="false" outlineLevel="0" collapsed="false">
      <c r="C93" s="10"/>
      <c r="D93" s="11"/>
      <c r="E93" s="12"/>
      <c r="F93" s="12"/>
      <c r="H93" s="11"/>
      <c r="I93" s="12"/>
      <c r="J93" s="10"/>
      <c r="L93" s="12"/>
      <c r="N93" s="30" t="str">
        <f aca="false">IF($B93="","",IFERROR(IF(INDEX(campaigns!$BE$2:$BE$51,MATCH($B93,campaigns!$A$2:$A$51,0))="","",INDEX(campaigns!$BE$2:$BE$51,MATCH($B93,campaigns!$A$2:$A$51,0))),""))</f>
        <v/>
      </c>
      <c r="O93" s="31" t="str">
        <f aca="false">IF(OR($A93="",$D93=""),"",IF($C93="founding_full",WORKDAY($D93,config!$B$27,calendar!$A$2:$A$80),$D93))</f>
        <v/>
      </c>
      <c r="P93" s="32" t="str">
        <f aca="false">IF($A93="","",N($E93)+N($F93))</f>
        <v/>
      </c>
      <c r="Q93" s="30" t="str">
        <f aca="true">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30" t="str">
        <f aca="false">IF($A93="","",IF(OR($C93="founding_full",$C93="standard_deposit"),"Y","N"))</f>
        <v/>
      </c>
      <c r="S93" s="30" t="str">
        <f aca="false">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ustomFormat="false" ht="15" hidden="false" customHeight="false" outlineLevel="0" collapsed="false">
      <c r="C94" s="10"/>
      <c r="D94" s="11"/>
      <c r="E94" s="12"/>
      <c r="F94" s="12"/>
      <c r="H94" s="11"/>
      <c r="I94" s="12"/>
      <c r="J94" s="10"/>
      <c r="L94" s="12"/>
      <c r="N94" s="30" t="str">
        <f aca="false">IF($B94="","",IFERROR(IF(INDEX(campaigns!$BE$2:$BE$51,MATCH($B94,campaigns!$A$2:$A$51,0))="","",INDEX(campaigns!$BE$2:$BE$51,MATCH($B94,campaigns!$A$2:$A$51,0))),""))</f>
        <v/>
      </c>
      <c r="O94" s="31" t="str">
        <f aca="false">IF(OR($A94="",$D94=""),"",IF($C94="founding_full",WORKDAY($D94,config!$B$27,calendar!$A$2:$A$80),$D94))</f>
        <v/>
      </c>
      <c r="P94" s="32" t="str">
        <f aca="false">IF($A94="","",N($E94)+N($F94))</f>
        <v/>
      </c>
      <c r="Q94" s="30" t="str">
        <f aca="true">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30" t="str">
        <f aca="false">IF($A94="","",IF(OR($C94="founding_full",$C94="standard_deposit"),"Y","N"))</f>
        <v/>
      </c>
      <c r="S94" s="30" t="str">
        <f aca="false">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ustomFormat="false" ht="15" hidden="false" customHeight="false" outlineLevel="0" collapsed="false">
      <c r="C95" s="10"/>
      <c r="D95" s="11"/>
      <c r="E95" s="12"/>
      <c r="F95" s="12"/>
      <c r="H95" s="11"/>
      <c r="I95" s="12"/>
      <c r="J95" s="10"/>
      <c r="L95" s="12"/>
      <c r="N95" s="30" t="str">
        <f aca="false">IF($B95="","",IFERROR(IF(INDEX(campaigns!$BE$2:$BE$51,MATCH($B95,campaigns!$A$2:$A$51,0))="","",INDEX(campaigns!$BE$2:$BE$51,MATCH($B95,campaigns!$A$2:$A$51,0))),""))</f>
        <v/>
      </c>
      <c r="O95" s="31" t="str">
        <f aca="false">IF(OR($A95="",$D95=""),"",IF($C95="founding_full",WORKDAY($D95,config!$B$27,calendar!$A$2:$A$80),$D95))</f>
        <v/>
      </c>
      <c r="P95" s="32" t="str">
        <f aca="false">IF($A95="","",N($E95)+N($F95))</f>
        <v/>
      </c>
      <c r="Q95" s="30" t="str">
        <f aca="true">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30" t="str">
        <f aca="false">IF($A95="","",IF(OR($C95="founding_full",$C95="standard_deposit"),"Y","N"))</f>
        <v/>
      </c>
      <c r="S95" s="30" t="str">
        <f aca="false">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ustomFormat="false" ht="15" hidden="false" customHeight="false" outlineLevel="0" collapsed="false">
      <c r="C96" s="10"/>
      <c r="D96" s="11"/>
      <c r="E96" s="12"/>
      <c r="F96" s="12"/>
      <c r="H96" s="11"/>
      <c r="I96" s="12"/>
      <c r="J96" s="10"/>
      <c r="L96" s="12"/>
      <c r="N96" s="30" t="str">
        <f aca="false">IF($B96="","",IFERROR(IF(INDEX(campaigns!$BE$2:$BE$51,MATCH($B96,campaigns!$A$2:$A$51,0))="","",INDEX(campaigns!$BE$2:$BE$51,MATCH($B96,campaigns!$A$2:$A$51,0))),""))</f>
        <v/>
      </c>
      <c r="O96" s="31" t="str">
        <f aca="false">IF(OR($A96="",$D96=""),"",IF($C96="founding_full",WORKDAY($D96,config!$B$27,calendar!$A$2:$A$80),$D96))</f>
        <v/>
      </c>
      <c r="P96" s="32" t="str">
        <f aca="false">IF($A96="","",N($E96)+N($F96))</f>
        <v/>
      </c>
      <c r="Q96" s="30" t="str">
        <f aca="true">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30" t="str">
        <f aca="false">IF($A96="","",IF(OR($C96="founding_full",$C96="standard_deposit"),"Y","N"))</f>
        <v/>
      </c>
      <c r="S96" s="30" t="str">
        <f aca="false">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ustomFormat="false" ht="15" hidden="false" customHeight="false" outlineLevel="0" collapsed="false">
      <c r="C97" s="10"/>
      <c r="D97" s="11"/>
      <c r="E97" s="12"/>
      <c r="F97" s="12"/>
      <c r="H97" s="11"/>
      <c r="I97" s="12"/>
      <c r="J97" s="10"/>
      <c r="L97" s="12"/>
      <c r="N97" s="30" t="str">
        <f aca="false">IF($B97="","",IFERROR(IF(INDEX(campaigns!$BE$2:$BE$51,MATCH($B97,campaigns!$A$2:$A$51,0))="","",INDEX(campaigns!$BE$2:$BE$51,MATCH($B97,campaigns!$A$2:$A$51,0))),""))</f>
        <v/>
      </c>
      <c r="O97" s="31" t="str">
        <f aca="false">IF(OR($A97="",$D97=""),"",IF($C97="founding_full",WORKDAY($D97,config!$B$27,calendar!$A$2:$A$80),$D97))</f>
        <v/>
      </c>
      <c r="P97" s="32" t="str">
        <f aca="false">IF($A97="","",N($E97)+N($F97))</f>
        <v/>
      </c>
      <c r="Q97" s="30" t="str">
        <f aca="true">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30" t="str">
        <f aca="false">IF($A97="","",IF(OR($C97="founding_full",$C97="standard_deposit"),"Y","N"))</f>
        <v/>
      </c>
      <c r="S97" s="30" t="str">
        <f aca="false">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ustomFormat="false" ht="15" hidden="false" customHeight="false" outlineLevel="0" collapsed="false">
      <c r="C98" s="10"/>
      <c r="D98" s="11"/>
      <c r="E98" s="12"/>
      <c r="F98" s="12"/>
      <c r="H98" s="11"/>
      <c r="I98" s="12"/>
      <c r="J98" s="10"/>
      <c r="L98" s="12"/>
      <c r="N98" s="30" t="str">
        <f aca="false">IF($B98="","",IFERROR(IF(INDEX(campaigns!$BE$2:$BE$51,MATCH($B98,campaigns!$A$2:$A$51,0))="","",INDEX(campaigns!$BE$2:$BE$51,MATCH($B98,campaigns!$A$2:$A$51,0))),""))</f>
        <v/>
      </c>
      <c r="O98" s="31" t="str">
        <f aca="false">IF(OR($A98="",$D98=""),"",IF($C98="founding_full",WORKDAY($D98,config!$B$27,calendar!$A$2:$A$80),$D98))</f>
        <v/>
      </c>
      <c r="P98" s="32" t="str">
        <f aca="false">IF($A98="","",N($E98)+N($F98))</f>
        <v/>
      </c>
      <c r="Q98" s="30" t="str">
        <f aca="true">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30" t="str">
        <f aca="false">IF($A98="","",IF(OR($C98="founding_full",$C98="standard_deposit"),"Y","N"))</f>
        <v/>
      </c>
      <c r="S98" s="30" t="str">
        <f aca="false">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ustomFormat="false" ht="15" hidden="false" customHeight="false" outlineLevel="0" collapsed="false">
      <c r="C99" s="10"/>
      <c r="D99" s="11"/>
      <c r="E99" s="12"/>
      <c r="F99" s="12"/>
      <c r="H99" s="11"/>
      <c r="I99" s="12"/>
      <c r="J99" s="10"/>
      <c r="L99" s="12"/>
      <c r="N99" s="30" t="str">
        <f aca="false">IF($B99="","",IFERROR(IF(INDEX(campaigns!$BE$2:$BE$51,MATCH($B99,campaigns!$A$2:$A$51,0))="","",INDEX(campaigns!$BE$2:$BE$51,MATCH($B99,campaigns!$A$2:$A$51,0))),""))</f>
        <v/>
      </c>
      <c r="O99" s="31" t="str">
        <f aca="false">IF(OR($A99="",$D99=""),"",IF($C99="founding_full",WORKDAY($D99,config!$B$27,calendar!$A$2:$A$80),$D99))</f>
        <v/>
      </c>
      <c r="P99" s="32" t="str">
        <f aca="false">IF($A99="","",N($E99)+N($F99))</f>
        <v/>
      </c>
      <c r="Q99" s="30" t="str">
        <f aca="true">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30" t="str">
        <f aca="false">IF($A99="","",IF(OR($C99="founding_full",$C99="standard_deposit"),"Y","N"))</f>
        <v/>
      </c>
      <c r="S99" s="30" t="str">
        <f aca="false">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ustomFormat="false" ht="15" hidden="false" customHeight="false" outlineLevel="0" collapsed="false">
      <c r="C100" s="10"/>
      <c r="D100" s="11"/>
      <c r="E100" s="12"/>
      <c r="F100" s="12"/>
      <c r="H100" s="11"/>
      <c r="I100" s="12"/>
      <c r="J100" s="10"/>
      <c r="L100" s="12"/>
      <c r="N100" s="30" t="str">
        <f aca="false">IF($B100="","",IFERROR(IF(INDEX(campaigns!$BE$2:$BE$51,MATCH($B100,campaigns!$A$2:$A$51,0))="","",INDEX(campaigns!$BE$2:$BE$51,MATCH($B100,campaigns!$A$2:$A$51,0))),""))</f>
        <v/>
      </c>
      <c r="O100" s="31" t="str">
        <f aca="false">IF(OR($A100="",$D100=""),"",IF($C100="founding_full",WORKDAY($D100,config!$B$27,calendar!$A$2:$A$80),$D100))</f>
        <v/>
      </c>
      <c r="P100" s="32" t="str">
        <f aca="false">IF($A100="","",N($E100)+N($F100))</f>
        <v/>
      </c>
      <c r="Q100" s="30" t="str">
        <f aca="true">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30" t="str">
        <f aca="false">IF($A100="","",IF(OR($C100="founding_full",$C100="standard_deposit"),"Y","N"))</f>
        <v/>
      </c>
      <c r="S100" s="30" t="str">
        <f aca="false">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ustomFormat="false" ht="15" hidden="false" customHeight="false" outlineLevel="0" collapsed="false">
      <c r="C101" s="10"/>
      <c r="D101" s="11"/>
      <c r="E101" s="12"/>
      <c r="F101" s="12"/>
      <c r="H101" s="11"/>
      <c r="I101" s="12"/>
      <c r="J101" s="10"/>
      <c r="L101" s="12"/>
      <c r="N101" s="30" t="str">
        <f aca="false">IF($B101="","",IFERROR(IF(INDEX(campaigns!$BE$2:$BE$51,MATCH($B101,campaigns!$A$2:$A$51,0))="","",INDEX(campaigns!$BE$2:$BE$51,MATCH($B101,campaigns!$A$2:$A$51,0))),""))</f>
        <v/>
      </c>
      <c r="O101" s="31" t="str">
        <f aca="false">IF(OR($A101="",$D101=""),"",IF($C101="founding_full",WORKDAY($D101,config!$B$27,calendar!$A$2:$A$80),$D101))</f>
        <v/>
      </c>
      <c r="P101" s="32" t="str">
        <f aca="false">IF($A101="","",N($E101)+N($F101))</f>
        <v/>
      </c>
      <c r="Q101" s="30" t="str">
        <f aca="true">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30" t="str">
        <f aca="false">IF($A101="","",IF(OR($C101="founding_full",$C101="standard_deposit"),"Y","N"))</f>
        <v/>
      </c>
      <c r="S101" s="30" t="str">
        <f aca="false">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ustomFormat="false" ht="15" hidden="false" customHeight="false" outlineLevel="0" collapsed="false">
      <c r="C102" s="10"/>
      <c r="D102" s="11"/>
      <c r="E102" s="12"/>
      <c r="F102" s="12"/>
      <c r="H102" s="11"/>
      <c r="I102" s="12"/>
      <c r="J102" s="10"/>
      <c r="L102" s="12"/>
      <c r="N102" s="30" t="str">
        <f aca="false">IF($B102="","",IFERROR(IF(INDEX(campaigns!$BE$2:$BE$51,MATCH($B102,campaigns!$A$2:$A$51,0))="","",INDEX(campaigns!$BE$2:$BE$51,MATCH($B102,campaigns!$A$2:$A$51,0))),""))</f>
        <v/>
      </c>
      <c r="O102" s="31" t="str">
        <f aca="false">IF(OR($A102="",$D102=""),"",IF($C102="founding_full",WORKDAY($D102,config!$B$27,calendar!$A$2:$A$80),$D102))</f>
        <v/>
      </c>
      <c r="P102" s="32" t="str">
        <f aca="false">IF($A102="","",N($E102)+N($F102))</f>
        <v/>
      </c>
      <c r="Q102" s="30" t="str">
        <f aca="true">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30" t="str">
        <f aca="false">IF($A102="","",IF(OR($C102="founding_full",$C102="standard_deposit"),"Y","N"))</f>
        <v/>
      </c>
      <c r="S102" s="30" t="str">
        <f aca="false">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ustomFormat="false" ht="15" hidden="false" customHeight="false" outlineLevel="0" collapsed="false">
      <c r="C103" s="10"/>
      <c r="D103" s="11"/>
      <c r="E103" s="12"/>
      <c r="F103" s="12"/>
      <c r="H103" s="11"/>
      <c r="I103" s="12"/>
      <c r="J103" s="10"/>
      <c r="L103" s="12"/>
      <c r="N103" s="30" t="str">
        <f aca="false">IF($B103="","",IFERROR(IF(INDEX(campaigns!$BE$2:$BE$51,MATCH($B103,campaigns!$A$2:$A$51,0))="","",INDEX(campaigns!$BE$2:$BE$51,MATCH($B103,campaigns!$A$2:$A$51,0))),""))</f>
        <v/>
      </c>
      <c r="O103" s="31" t="str">
        <f aca="false">IF(OR($A103="",$D103=""),"",IF($C103="founding_full",WORKDAY($D103,config!$B$27,calendar!$A$2:$A$80),$D103))</f>
        <v/>
      </c>
      <c r="P103" s="32" t="str">
        <f aca="false">IF($A103="","",N($E103)+N($F103))</f>
        <v/>
      </c>
      <c r="Q103" s="30" t="str">
        <f aca="true">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30" t="str">
        <f aca="false">IF($A103="","",IF(OR($C103="founding_full",$C103="standard_deposit"),"Y","N"))</f>
        <v/>
      </c>
      <c r="S103" s="30" t="str">
        <f aca="false">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ustomFormat="false" ht="15" hidden="false" customHeight="false" outlineLevel="0" collapsed="false">
      <c r="C104" s="10"/>
      <c r="D104" s="11"/>
      <c r="E104" s="12"/>
      <c r="F104" s="12"/>
      <c r="H104" s="11"/>
      <c r="I104" s="12"/>
      <c r="J104" s="10"/>
      <c r="L104" s="12"/>
      <c r="N104" s="30" t="str">
        <f aca="false">IF($B104="","",IFERROR(IF(INDEX(campaigns!$BE$2:$BE$51,MATCH($B104,campaigns!$A$2:$A$51,0))="","",INDEX(campaigns!$BE$2:$BE$51,MATCH($B104,campaigns!$A$2:$A$51,0))),""))</f>
        <v/>
      </c>
      <c r="O104" s="31" t="str">
        <f aca="false">IF(OR($A104="",$D104=""),"",IF($C104="founding_full",WORKDAY($D104,config!$B$27,calendar!$A$2:$A$80),$D104))</f>
        <v/>
      </c>
      <c r="P104" s="32" t="str">
        <f aca="false">IF($A104="","",N($E104)+N($F104))</f>
        <v/>
      </c>
      <c r="Q104" s="30" t="str">
        <f aca="true">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30" t="str">
        <f aca="false">IF($A104="","",IF(OR($C104="founding_full",$C104="standard_deposit"),"Y","N"))</f>
        <v/>
      </c>
      <c r="S104" s="30" t="str">
        <f aca="false">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ustomFormat="false" ht="15" hidden="false" customHeight="false" outlineLevel="0" collapsed="false">
      <c r="C105" s="10"/>
      <c r="D105" s="11"/>
      <c r="E105" s="12"/>
      <c r="F105" s="12"/>
      <c r="H105" s="11"/>
      <c r="I105" s="12"/>
      <c r="J105" s="10"/>
      <c r="L105" s="12"/>
      <c r="N105" s="30" t="str">
        <f aca="false">IF($B105="","",IFERROR(IF(INDEX(campaigns!$BE$2:$BE$51,MATCH($B105,campaigns!$A$2:$A$51,0))="","",INDEX(campaigns!$BE$2:$BE$51,MATCH($B105,campaigns!$A$2:$A$51,0))),""))</f>
        <v/>
      </c>
      <c r="O105" s="31" t="str">
        <f aca="false">IF(OR($A105="",$D105=""),"",IF($C105="founding_full",WORKDAY($D105,config!$B$27,calendar!$A$2:$A$80),$D105))</f>
        <v/>
      </c>
      <c r="P105" s="32" t="str">
        <f aca="false">IF($A105="","",N($E105)+N($F105))</f>
        <v/>
      </c>
      <c r="Q105" s="30" t="str">
        <f aca="true">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30" t="str">
        <f aca="false">IF($A105="","",IF(OR($C105="founding_full",$C105="standard_deposit"),"Y","N"))</f>
        <v/>
      </c>
      <c r="S105" s="30" t="str">
        <f aca="false">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ustomFormat="false" ht="15" hidden="false" customHeight="false" outlineLevel="0" collapsed="false">
      <c r="C106" s="10"/>
      <c r="D106" s="11"/>
      <c r="E106" s="12"/>
      <c r="F106" s="12"/>
      <c r="H106" s="11"/>
      <c r="I106" s="12"/>
      <c r="J106" s="10"/>
      <c r="L106" s="12"/>
      <c r="N106" s="30" t="str">
        <f aca="false">IF($B106="","",IFERROR(IF(INDEX(campaigns!$BE$2:$BE$51,MATCH($B106,campaigns!$A$2:$A$51,0))="","",INDEX(campaigns!$BE$2:$BE$51,MATCH($B106,campaigns!$A$2:$A$51,0))),""))</f>
        <v/>
      </c>
      <c r="O106" s="31" t="str">
        <f aca="false">IF(OR($A106="",$D106=""),"",IF($C106="founding_full",WORKDAY($D106,config!$B$27,calendar!$A$2:$A$80),$D106))</f>
        <v/>
      </c>
      <c r="P106" s="32" t="str">
        <f aca="false">IF($A106="","",N($E106)+N($F106))</f>
        <v/>
      </c>
      <c r="Q106" s="30" t="str">
        <f aca="true">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30" t="str">
        <f aca="false">IF($A106="","",IF(OR($C106="founding_full",$C106="standard_deposit"),"Y","N"))</f>
        <v/>
      </c>
      <c r="S106" s="30" t="str">
        <f aca="false">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ustomFormat="false" ht="15" hidden="false" customHeight="false" outlineLevel="0" collapsed="false">
      <c r="C107" s="10"/>
      <c r="D107" s="11"/>
      <c r="E107" s="12"/>
      <c r="F107" s="12"/>
      <c r="H107" s="11"/>
      <c r="I107" s="12"/>
      <c r="J107" s="10"/>
      <c r="L107" s="12"/>
      <c r="N107" s="30" t="str">
        <f aca="false">IF($B107="","",IFERROR(IF(INDEX(campaigns!$BE$2:$BE$51,MATCH($B107,campaigns!$A$2:$A$51,0))="","",INDEX(campaigns!$BE$2:$BE$51,MATCH($B107,campaigns!$A$2:$A$51,0))),""))</f>
        <v/>
      </c>
      <c r="O107" s="31" t="str">
        <f aca="false">IF(OR($A107="",$D107=""),"",IF($C107="founding_full",WORKDAY($D107,config!$B$27,calendar!$A$2:$A$80),$D107))</f>
        <v/>
      </c>
      <c r="P107" s="32" t="str">
        <f aca="false">IF($A107="","",N($E107)+N($F107))</f>
        <v/>
      </c>
      <c r="Q107" s="30" t="str">
        <f aca="true">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30" t="str">
        <f aca="false">IF($A107="","",IF(OR($C107="founding_full",$C107="standard_deposit"),"Y","N"))</f>
        <v/>
      </c>
      <c r="S107" s="30" t="str">
        <f aca="false">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ustomFormat="false" ht="15" hidden="false" customHeight="false" outlineLevel="0" collapsed="false">
      <c r="C108" s="10"/>
      <c r="D108" s="11"/>
      <c r="E108" s="12"/>
      <c r="F108" s="12"/>
      <c r="H108" s="11"/>
      <c r="I108" s="12"/>
      <c r="J108" s="10"/>
      <c r="L108" s="12"/>
      <c r="N108" s="30" t="str">
        <f aca="false">IF($B108="","",IFERROR(IF(INDEX(campaigns!$BE$2:$BE$51,MATCH($B108,campaigns!$A$2:$A$51,0))="","",INDEX(campaigns!$BE$2:$BE$51,MATCH($B108,campaigns!$A$2:$A$51,0))),""))</f>
        <v/>
      </c>
      <c r="O108" s="31" t="str">
        <f aca="false">IF(OR($A108="",$D108=""),"",IF($C108="founding_full",WORKDAY($D108,config!$B$27,calendar!$A$2:$A$80),$D108))</f>
        <v/>
      </c>
      <c r="P108" s="32" t="str">
        <f aca="false">IF($A108="","",N($E108)+N($F108))</f>
        <v/>
      </c>
      <c r="Q108" s="30" t="str">
        <f aca="true">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30" t="str">
        <f aca="false">IF($A108="","",IF(OR($C108="founding_full",$C108="standard_deposit"),"Y","N"))</f>
        <v/>
      </c>
      <c r="S108" s="30" t="str">
        <f aca="false">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ustomFormat="false" ht="15" hidden="false" customHeight="false" outlineLevel="0" collapsed="false">
      <c r="C109" s="10"/>
      <c r="D109" s="11"/>
      <c r="E109" s="12"/>
      <c r="F109" s="12"/>
      <c r="H109" s="11"/>
      <c r="I109" s="12"/>
      <c r="J109" s="10"/>
      <c r="L109" s="12"/>
      <c r="N109" s="30" t="str">
        <f aca="false">IF($B109="","",IFERROR(IF(INDEX(campaigns!$BE$2:$BE$51,MATCH($B109,campaigns!$A$2:$A$51,0))="","",INDEX(campaigns!$BE$2:$BE$51,MATCH($B109,campaigns!$A$2:$A$51,0))),""))</f>
        <v/>
      </c>
      <c r="O109" s="31" t="str">
        <f aca="false">IF(OR($A109="",$D109=""),"",IF($C109="founding_full",WORKDAY($D109,config!$B$27,calendar!$A$2:$A$80),$D109))</f>
        <v/>
      </c>
      <c r="P109" s="32" t="str">
        <f aca="false">IF($A109="","",N($E109)+N($F109))</f>
        <v/>
      </c>
      <c r="Q109" s="30" t="str">
        <f aca="true">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30" t="str">
        <f aca="false">IF($A109="","",IF(OR($C109="founding_full",$C109="standard_deposit"),"Y","N"))</f>
        <v/>
      </c>
      <c r="S109" s="30" t="str">
        <f aca="false">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ustomFormat="false" ht="15" hidden="false" customHeight="false" outlineLevel="0" collapsed="false">
      <c r="C110" s="10"/>
      <c r="D110" s="11"/>
      <c r="E110" s="12"/>
      <c r="F110" s="12"/>
      <c r="H110" s="11"/>
      <c r="I110" s="12"/>
      <c r="J110" s="10"/>
      <c r="L110" s="12"/>
      <c r="N110" s="30" t="str">
        <f aca="false">IF($B110="","",IFERROR(IF(INDEX(campaigns!$BE$2:$BE$51,MATCH($B110,campaigns!$A$2:$A$51,0))="","",INDEX(campaigns!$BE$2:$BE$51,MATCH($B110,campaigns!$A$2:$A$51,0))),""))</f>
        <v/>
      </c>
      <c r="O110" s="31" t="str">
        <f aca="false">IF(OR($A110="",$D110=""),"",IF($C110="founding_full",WORKDAY($D110,config!$B$27,calendar!$A$2:$A$80),$D110))</f>
        <v/>
      </c>
      <c r="P110" s="32" t="str">
        <f aca="false">IF($A110="","",N($E110)+N($F110))</f>
        <v/>
      </c>
      <c r="Q110" s="30" t="str">
        <f aca="true">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30" t="str">
        <f aca="false">IF($A110="","",IF(OR($C110="founding_full",$C110="standard_deposit"),"Y","N"))</f>
        <v/>
      </c>
      <c r="S110" s="30" t="str">
        <f aca="false">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ustomFormat="false" ht="15" hidden="false" customHeight="false" outlineLevel="0" collapsed="false">
      <c r="C111" s="10"/>
      <c r="D111" s="11"/>
      <c r="E111" s="12"/>
      <c r="F111" s="12"/>
      <c r="H111" s="11"/>
      <c r="I111" s="12"/>
      <c r="J111" s="10"/>
      <c r="L111" s="12"/>
      <c r="N111" s="30" t="str">
        <f aca="false">IF($B111="","",IFERROR(IF(INDEX(campaigns!$BE$2:$BE$51,MATCH($B111,campaigns!$A$2:$A$51,0))="","",INDEX(campaigns!$BE$2:$BE$51,MATCH($B111,campaigns!$A$2:$A$51,0))),""))</f>
        <v/>
      </c>
      <c r="O111" s="31" t="str">
        <f aca="false">IF(OR($A111="",$D111=""),"",IF($C111="founding_full",WORKDAY($D111,config!$B$27,calendar!$A$2:$A$80),$D111))</f>
        <v/>
      </c>
      <c r="P111" s="32" t="str">
        <f aca="false">IF($A111="","",N($E111)+N($F111))</f>
        <v/>
      </c>
      <c r="Q111" s="30" t="str">
        <f aca="true">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30" t="str">
        <f aca="false">IF($A111="","",IF(OR($C111="founding_full",$C111="standard_deposit"),"Y","N"))</f>
        <v/>
      </c>
      <c r="S111" s="30" t="str">
        <f aca="false">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ustomFormat="false" ht="15" hidden="false" customHeight="false" outlineLevel="0" collapsed="false">
      <c r="C112" s="10"/>
      <c r="D112" s="11"/>
      <c r="E112" s="12"/>
      <c r="F112" s="12"/>
      <c r="H112" s="11"/>
      <c r="I112" s="12"/>
      <c r="J112" s="10"/>
      <c r="L112" s="12"/>
      <c r="N112" s="30" t="str">
        <f aca="false">IF($B112="","",IFERROR(IF(INDEX(campaigns!$BE$2:$BE$51,MATCH($B112,campaigns!$A$2:$A$51,0))="","",INDEX(campaigns!$BE$2:$BE$51,MATCH($B112,campaigns!$A$2:$A$51,0))),""))</f>
        <v/>
      </c>
      <c r="O112" s="31" t="str">
        <f aca="false">IF(OR($A112="",$D112=""),"",IF($C112="founding_full",WORKDAY($D112,config!$B$27,calendar!$A$2:$A$80),$D112))</f>
        <v/>
      </c>
      <c r="P112" s="32" t="str">
        <f aca="false">IF($A112="","",N($E112)+N($F112))</f>
        <v/>
      </c>
      <c r="Q112" s="30" t="str">
        <f aca="true">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30" t="str">
        <f aca="false">IF($A112="","",IF(OR($C112="founding_full",$C112="standard_deposit"),"Y","N"))</f>
        <v/>
      </c>
      <c r="S112" s="30" t="str">
        <f aca="false">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ustomFormat="false" ht="15" hidden="false" customHeight="false" outlineLevel="0" collapsed="false">
      <c r="C113" s="10"/>
      <c r="D113" s="11"/>
      <c r="E113" s="12"/>
      <c r="F113" s="12"/>
      <c r="H113" s="11"/>
      <c r="I113" s="12"/>
      <c r="J113" s="10"/>
      <c r="L113" s="12"/>
      <c r="N113" s="30" t="str">
        <f aca="false">IF($B113="","",IFERROR(IF(INDEX(campaigns!$BE$2:$BE$51,MATCH($B113,campaigns!$A$2:$A$51,0))="","",INDEX(campaigns!$BE$2:$BE$51,MATCH($B113,campaigns!$A$2:$A$51,0))),""))</f>
        <v/>
      </c>
      <c r="O113" s="31" t="str">
        <f aca="false">IF(OR($A113="",$D113=""),"",IF($C113="founding_full",WORKDAY($D113,config!$B$27,calendar!$A$2:$A$80),$D113))</f>
        <v/>
      </c>
      <c r="P113" s="32" t="str">
        <f aca="false">IF($A113="","",N($E113)+N($F113))</f>
        <v/>
      </c>
      <c r="Q113" s="30" t="str">
        <f aca="true">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30" t="str">
        <f aca="false">IF($A113="","",IF(OR($C113="founding_full",$C113="standard_deposit"),"Y","N"))</f>
        <v/>
      </c>
      <c r="S113" s="30" t="str">
        <f aca="false">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ustomFormat="false" ht="15" hidden="false" customHeight="false" outlineLevel="0" collapsed="false">
      <c r="C114" s="10"/>
      <c r="D114" s="11"/>
      <c r="E114" s="12"/>
      <c r="F114" s="12"/>
      <c r="H114" s="11"/>
      <c r="I114" s="12"/>
      <c r="J114" s="10"/>
      <c r="L114" s="12"/>
      <c r="N114" s="30" t="str">
        <f aca="false">IF($B114="","",IFERROR(IF(INDEX(campaigns!$BE$2:$BE$51,MATCH($B114,campaigns!$A$2:$A$51,0))="","",INDEX(campaigns!$BE$2:$BE$51,MATCH($B114,campaigns!$A$2:$A$51,0))),""))</f>
        <v/>
      </c>
      <c r="O114" s="31" t="str">
        <f aca="false">IF(OR($A114="",$D114=""),"",IF($C114="founding_full",WORKDAY($D114,config!$B$27,calendar!$A$2:$A$80),$D114))</f>
        <v/>
      </c>
      <c r="P114" s="32" t="str">
        <f aca="false">IF($A114="","",N($E114)+N($F114))</f>
        <v/>
      </c>
      <c r="Q114" s="30" t="str">
        <f aca="true">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30" t="str">
        <f aca="false">IF($A114="","",IF(OR($C114="founding_full",$C114="standard_deposit"),"Y","N"))</f>
        <v/>
      </c>
      <c r="S114" s="30" t="str">
        <f aca="false">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ustomFormat="false" ht="15" hidden="false" customHeight="false" outlineLevel="0" collapsed="false">
      <c r="C115" s="10"/>
      <c r="D115" s="11"/>
      <c r="E115" s="12"/>
      <c r="F115" s="12"/>
      <c r="H115" s="11"/>
      <c r="I115" s="12"/>
      <c r="J115" s="10"/>
      <c r="L115" s="12"/>
      <c r="N115" s="30" t="str">
        <f aca="false">IF($B115="","",IFERROR(IF(INDEX(campaigns!$BE$2:$BE$51,MATCH($B115,campaigns!$A$2:$A$51,0))="","",INDEX(campaigns!$BE$2:$BE$51,MATCH($B115,campaigns!$A$2:$A$51,0))),""))</f>
        <v/>
      </c>
      <c r="O115" s="31" t="str">
        <f aca="false">IF(OR($A115="",$D115=""),"",IF($C115="founding_full",WORKDAY($D115,config!$B$27,calendar!$A$2:$A$80),$D115))</f>
        <v/>
      </c>
      <c r="P115" s="32" t="str">
        <f aca="false">IF($A115="","",N($E115)+N($F115))</f>
        <v/>
      </c>
      <c r="Q115" s="30" t="str">
        <f aca="true">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30" t="str">
        <f aca="false">IF($A115="","",IF(OR($C115="founding_full",$C115="standard_deposit"),"Y","N"))</f>
        <v/>
      </c>
      <c r="S115" s="30" t="str">
        <f aca="false">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ustomFormat="false" ht="15" hidden="false" customHeight="false" outlineLevel="0" collapsed="false">
      <c r="C116" s="10"/>
      <c r="D116" s="11"/>
      <c r="E116" s="12"/>
      <c r="F116" s="12"/>
      <c r="H116" s="11"/>
      <c r="I116" s="12"/>
      <c r="J116" s="10"/>
      <c r="L116" s="12"/>
      <c r="N116" s="30" t="str">
        <f aca="false">IF($B116="","",IFERROR(IF(INDEX(campaigns!$BE$2:$BE$51,MATCH($B116,campaigns!$A$2:$A$51,0))="","",INDEX(campaigns!$BE$2:$BE$51,MATCH($B116,campaigns!$A$2:$A$51,0))),""))</f>
        <v/>
      </c>
      <c r="O116" s="31" t="str">
        <f aca="false">IF(OR($A116="",$D116=""),"",IF($C116="founding_full",WORKDAY($D116,config!$B$27,calendar!$A$2:$A$80),$D116))</f>
        <v/>
      </c>
      <c r="P116" s="32" t="str">
        <f aca="false">IF($A116="","",N($E116)+N($F116))</f>
        <v/>
      </c>
      <c r="Q116" s="30" t="str">
        <f aca="true">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30" t="str">
        <f aca="false">IF($A116="","",IF(OR($C116="founding_full",$C116="standard_deposit"),"Y","N"))</f>
        <v/>
      </c>
      <c r="S116" s="30" t="str">
        <f aca="false">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ustomFormat="false" ht="15" hidden="false" customHeight="false" outlineLevel="0" collapsed="false">
      <c r="C117" s="10"/>
      <c r="D117" s="11"/>
      <c r="E117" s="12"/>
      <c r="F117" s="12"/>
      <c r="H117" s="11"/>
      <c r="I117" s="12"/>
      <c r="J117" s="10"/>
      <c r="L117" s="12"/>
      <c r="N117" s="30" t="str">
        <f aca="false">IF($B117="","",IFERROR(IF(INDEX(campaigns!$BE$2:$BE$51,MATCH($B117,campaigns!$A$2:$A$51,0))="","",INDEX(campaigns!$BE$2:$BE$51,MATCH($B117,campaigns!$A$2:$A$51,0))),""))</f>
        <v/>
      </c>
      <c r="O117" s="31" t="str">
        <f aca="false">IF(OR($A117="",$D117=""),"",IF($C117="founding_full",WORKDAY($D117,config!$B$27,calendar!$A$2:$A$80),$D117))</f>
        <v/>
      </c>
      <c r="P117" s="32" t="str">
        <f aca="false">IF($A117="","",N($E117)+N($F117))</f>
        <v/>
      </c>
      <c r="Q117" s="30" t="str">
        <f aca="true">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30" t="str">
        <f aca="false">IF($A117="","",IF(OR($C117="founding_full",$C117="standard_deposit"),"Y","N"))</f>
        <v/>
      </c>
      <c r="S117" s="30" t="str">
        <f aca="false">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ustomFormat="false" ht="15" hidden="false" customHeight="false" outlineLevel="0" collapsed="false">
      <c r="C118" s="10"/>
      <c r="D118" s="11"/>
      <c r="E118" s="12"/>
      <c r="F118" s="12"/>
      <c r="H118" s="11"/>
      <c r="I118" s="12"/>
      <c r="J118" s="10"/>
      <c r="L118" s="12"/>
      <c r="N118" s="30" t="str">
        <f aca="false">IF($B118="","",IFERROR(IF(INDEX(campaigns!$BE$2:$BE$51,MATCH($B118,campaigns!$A$2:$A$51,0))="","",INDEX(campaigns!$BE$2:$BE$51,MATCH($B118,campaigns!$A$2:$A$51,0))),""))</f>
        <v/>
      </c>
      <c r="O118" s="31" t="str">
        <f aca="false">IF(OR($A118="",$D118=""),"",IF($C118="founding_full",WORKDAY($D118,config!$B$27,calendar!$A$2:$A$80),$D118))</f>
        <v/>
      </c>
      <c r="P118" s="32" t="str">
        <f aca="false">IF($A118="","",N($E118)+N($F118))</f>
        <v/>
      </c>
      <c r="Q118" s="30" t="str">
        <f aca="true">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30" t="str">
        <f aca="false">IF($A118="","",IF(OR($C118="founding_full",$C118="standard_deposit"),"Y","N"))</f>
        <v/>
      </c>
      <c r="S118" s="30" t="str">
        <f aca="false">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ustomFormat="false" ht="15" hidden="false" customHeight="false" outlineLevel="0" collapsed="false">
      <c r="C119" s="10"/>
      <c r="D119" s="11"/>
      <c r="E119" s="12"/>
      <c r="F119" s="12"/>
      <c r="H119" s="11"/>
      <c r="I119" s="12"/>
      <c r="J119" s="10"/>
      <c r="L119" s="12"/>
      <c r="N119" s="30" t="str">
        <f aca="false">IF($B119="","",IFERROR(IF(INDEX(campaigns!$BE$2:$BE$51,MATCH($B119,campaigns!$A$2:$A$51,0))="","",INDEX(campaigns!$BE$2:$BE$51,MATCH($B119,campaigns!$A$2:$A$51,0))),""))</f>
        <v/>
      </c>
      <c r="O119" s="31" t="str">
        <f aca="false">IF(OR($A119="",$D119=""),"",IF($C119="founding_full",WORKDAY($D119,config!$B$27,calendar!$A$2:$A$80),$D119))</f>
        <v/>
      </c>
      <c r="P119" s="32" t="str">
        <f aca="false">IF($A119="","",N($E119)+N($F119))</f>
        <v/>
      </c>
      <c r="Q119" s="30" t="str">
        <f aca="true">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30" t="str">
        <f aca="false">IF($A119="","",IF(OR($C119="founding_full",$C119="standard_deposit"),"Y","N"))</f>
        <v/>
      </c>
      <c r="S119" s="30" t="str">
        <f aca="false">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ustomFormat="false" ht="15" hidden="false" customHeight="false" outlineLevel="0" collapsed="false">
      <c r="C120" s="10"/>
      <c r="D120" s="11"/>
      <c r="E120" s="12"/>
      <c r="F120" s="12"/>
      <c r="H120" s="11"/>
      <c r="I120" s="12"/>
      <c r="J120" s="10"/>
      <c r="L120" s="12"/>
      <c r="N120" s="30" t="str">
        <f aca="false">IF($B120="","",IFERROR(IF(INDEX(campaigns!$BE$2:$BE$51,MATCH($B120,campaigns!$A$2:$A$51,0))="","",INDEX(campaigns!$BE$2:$BE$51,MATCH($B120,campaigns!$A$2:$A$51,0))),""))</f>
        <v/>
      </c>
      <c r="O120" s="31" t="str">
        <f aca="false">IF(OR($A120="",$D120=""),"",IF($C120="founding_full",WORKDAY($D120,config!$B$27,calendar!$A$2:$A$80),$D120))</f>
        <v/>
      </c>
      <c r="P120" s="32" t="str">
        <f aca="false">IF($A120="","",N($E120)+N($F120))</f>
        <v/>
      </c>
      <c r="Q120" s="30" t="str">
        <f aca="true">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30" t="str">
        <f aca="false">IF($A120="","",IF(OR($C120="founding_full",$C120="standard_deposit"),"Y","N"))</f>
        <v/>
      </c>
      <c r="S120" s="30" t="str">
        <f aca="false">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ustomFormat="false" ht="15" hidden="false" customHeight="false" outlineLevel="0" collapsed="false">
      <c r="C121" s="10"/>
      <c r="D121" s="11"/>
      <c r="E121" s="12"/>
      <c r="F121" s="12"/>
      <c r="H121" s="11"/>
      <c r="I121" s="12"/>
      <c r="J121" s="10"/>
      <c r="L121" s="12"/>
      <c r="N121" s="30" t="str">
        <f aca="false">IF($B121="","",IFERROR(IF(INDEX(campaigns!$BE$2:$BE$51,MATCH($B121,campaigns!$A$2:$A$51,0))="","",INDEX(campaigns!$BE$2:$BE$51,MATCH($B121,campaigns!$A$2:$A$51,0))),""))</f>
        <v/>
      </c>
      <c r="O121" s="31" t="str">
        <f aca="false">IF(OR($A121="",$D121=""),"",IF($C121="founding_full",WORKDAY($D121,config!$B$27,calendar!$A$2:$A$80),$D121))</f>
        <v/>
      </c>
      <c r="P121" s="32" t="str">
        <f aca="false">IF($A121="","",N($E121)+N($F121))</f>
        <v/>
      </c>
      <c r="Q121" s="30" t="str">
        <f aca="true">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30" t="str">
        <f aca="false">IF($A121="","",IF(OR($C121="founding_full",$C121="standard_deposit"),"Y","N"))</f>
        <v/>
      </c>
      <c r="S121" s="30" t="str">
        <f aca="false">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ustomFormat="false" ht="15" hidden="false" customHeight="false" outlineLevel="0" collapsed="false">
      <c r="C122" s="10"/>
      <c r="D122" s="11"/>
      <c r="E122" s="12"/>
      <c r="F122" s="12"/>
      <c r="H122" s="11"/>
      <c r="I122" s="12"/>
      <c r="J122" s="10"/>
      <c r="L122" s="12"/>
      <c r="N122" s="30" t="str">
        <f aca="false">IF($B122="","",IFERROR(IF(INDEX(campaigns!$BE$2:$BE$51,MATCH($B122,campaigns!$A$2:$A$51,0))="","",INDEX(campaigns!$BE$2:$BE$51,MATCH($B122,campaigns!$A$2:$A$51,0))),""))</f>
        <v/>
      </c>
      <c r="O122" s="31" t="str">
        <f aca="false">IF(OR($A122="",$D122=""),"",IF($C122="founding_full",WORKDAY($D122,config!$B$27,calendar!$A$2:$A$80),$D122))</f>
        <v/>
      </c>
      <c r="P122" s="32" t="str">
        <f aca="false">IF($A122="","",N($E122)+N($F122))</f>
        <v/>
      </c>
      <c r="Q122" s="30" t="str">
        <f aca="true">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30" t="str">
        <f aca="false">IF($A122="","",IF(OR($C122="founding_full",$C122="standard_deposit"),"Y","N"))</f>
        <v/>
      </c>
      <c r="S122" s="30" t="str">
        <f aca="false">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ustomFormat="false" ht="15" hidden="false" customHeight="false" outlineLevel="0" collapsed="false">
      <c r="C123" s="10"/>
      <c r="D123" s="11"/>
      <c r="E123" s="12"/>
      <c r="F123" s="12"/>
      <c r="H123" s="11"/>
      <c r="I123" s="12"/>
      <c r="J123" s="10"/>
      <c r="L123" s="12"/>
      <c r="N123" s="30" t="str">
        <f aca="false">IF($B123="","",IFERROR(IF(INDEX(campaigns!$BE$2:$BE$51,MATCH($B123,campaigns!$A$2:$A$51,0))="","",INDEX(campaigns!$BE$2:$BE$51,MATCH($B123,campaigns!$A$2:$A$51,0))),""))</f>
        <v/>
      </c>
      <c r="O123" s="31" t="str">
        <f aca="false">IF(OR($A123="",$D123=""),"",IF($C123="founding_full",WORKDAY($D123,config!$B$27,calendar!$A$2:$A$80),$D123))</f>
        <v/>
      </c>
      <c r="P123" s="32" t="str">
        <f aca="false">IF($A123="","",N($E123)+N($F123))</f>
        <v/>
      </c>
      <c r="Q123" s="30" t="str">
        <f aca="true">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30" t="str">
        <f aca="false">IF($A123="","",IF(OR($C123="founding_full",$C123="standard_deposit"),"Y","N"))</f>
        <v/>
      </c>
      <c r="S123" s="30" t="str">
        <f aca="false">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ustomFormat="false" ht="15" hidden="false" customHeight="false" outlineLevel="0" collapsed="false">
      <c r="C124" s="10"/>
      <c r="D124" s="11"/>
      <c r="E124" s="12"/>
      <c r="F124" s="12"/>
      <c r="H124" s="11"/>
      <c r="I124" s="12"/>
      <c r="J124" s="10"/>
      <c r="L124" s="12"/>
      <c r="N124" s="30" t="str">
        <f aca="false">IF($B124="","",IFERROR(IF(INDEX(campaigns!$BE$2:$BE$51,MATCH($B124,campaigns!$A$2:$A$51,0))="","",INDEX(campaigns!$BE$2:$BE$51,MATCH($B124,campaigns!$A$2:$A$51,0))),""))</f>
        <v/>
      </c>
      <c r="O124" s="31" t="str">
        <f aca="false">IF(OR($A124="",$D124=""),"",IF($C124="founding_full",WORKDAY($D124,config!$B$27,calendar!$A$2:$A$80),$D124))</f>
        <v/>
      </c>
      <c r="P124" s="32" t="str">
        <f aca="false">IF($A124="","",N($E124)+N($F124))</f>
        <v/>
      </c>
      <c r="Q124" s="30" t="str">
        <f aca="true">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30" t="str">
        <f aca="false">IF($A124="","",IF(OR($C124="founding_full",$C124="standard_deposit"),"Y","N"))</f>
        <v/>
      </c>
      <c r="S124" s="30" t="str">
        <f aca="false">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ustomFormat="false" ht="15" hidden="false" customHeight="false" outlineLevel="0" collapsed="false">
      <c r="C125" s="10"/>
      <c r="D125" s="11"/>
      <c r="E125" s="12"/>
      <c r="F125" s="12"/>
      <c r="H125" s="11"/>
      <c r="I125" s="12"/>
      <c r="J125" s="10"/>
      <c r="L125" s="12"/>
      <c r="N125" s="30" t="str">
        <f aca="false">IF($B125="","",IFERROR(IF(INDEX(campaigns!$BE$2:$BE$51,MATCH($B125,campaigns!$A$2:$A$51,0))="","",INDEX(campaigns!$BE$2:$BE$51,MATCH($B125,campaigns!$A$2:$A$51,0))),""))</f>
        <v/>
      </c>
      <c r="O125" s="31" t="str">
        <f aca="false">IF(OR($A125="",$D125=""),"",IF($C125="founding_full",WORKDAY($D125,config!$B$27,calendar!$A$2:$A$80),$D125))</f>
        <v/>
      </c>
      <c r="P125" s="32" t="str">
        <f aca="false">IF($A125="","",N($E125)+N($F125))</f>
        <v/>
      </c>
      <c r="Q125" s="30" t="str">
        <f aca="true">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30" t="str">
        <f aca="false">IF($A125="","",IF(OR($C125="founding_full",$C125="standard_deposit"),"Y","N"))</f>
        <v/>
      </c>
      <c r="S125" s="30" t="str">
        <f aca="false">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ustomFormat="false" ht="15" hidden="false" customHeight="false" outlineLevel="0" collapsed="false">
      <c r="C126" s="10"/>
      <c r="D126" s="11"/>
      <c r="E126" s="12"/>
      <c r="F126" s="12"/>
      <c r="H126" s="11"/>
      <c r="I126" s="12"/>
      <c r="J126" s="10"/>
      <c r="L126" s="12"/>
      <c r="N126" s="30" t="str">
        <f aca="false">IF($B126="","",IFERROR(IF(INDEX(campaigns!$BE$2:$BE$51,MATCH($B126,campaigns!$A$2:$A$51,0))="","",INDEX(campaigns!$BE$2:$BE$51,MATCH($B126,campaigns!$A$2:$A$51,0))),""))</f>
        <v/>
      </c>
      <c r="O126" s="31" t="str">
        <f aca="false">IF(OR($A126="",$D126=""),"",IF($C126="founding_full",WORKDAY($D126,config!$B$27,calendar!$A$2:$A$80),$D126))</f>
        <v/>
      </c>
      <c r="P126" s="32" t="str">
        <f aca="false">IF($A126="","",N($E126)+N($F126))</f>
        <v/>
      </c>
      <c r="Q126" s="30" t="str">
        <f aca="true">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30" t="str">
        <f aca="false">IF($A126="","",IF(OR($C126="founding_full",$C126="standard_deposit"),"Y","N"))</f>
        <v/>
      </c>
      <c r="S126" s="30" t="str">
        <f aca="false">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ustomFormat="false" ht="15" hidden="false" customHeight="false" outlineLevel="0" collapsed="false">
      <c r="C127" s="10"/>
      <c r="D127" s="11"/>
      <c r="E127" s="12"/>
      <c r="F127" s="12"/>
      <c r="H127" s="11"/>
      <c r="I127" s="12"/>
      <c r="J127" s="10"/>
      <c r="L127" s="12"/>
      <c r="N127" s="30" t="str">
        <f aca="false">IF($B127="","",IFERROR(IF(INDEX(campaigns!$BE$2:$BE$51,MATCH($B127,campaigns!$A$2:$A$51,0))="","",INDEX(campaigns!$BE$2:$BE$51,MATCH($B127,campaigns!$A$2:$A$51,0))),""))</f>
        <v/>
      </c>
      <c r="O127" s="31" t="str">
        <f aca="false">IF(OR($A127="",$D127=""),"",IF($C127="founding_full",WORKDAY($D127,config!$B$27,calendar!$A$2:$A$80),$D127))</f>
        <v/>
      </c>
      <c r="P127" s="32" t="str">
        <f aca="false">IF($A127="","",N($E127)+N($F127))</f>
        <v/>
      </c>
      <c r="Q127" s="30" t="str">
        <f aca="true">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30" t="str">
        <f aca="false">IF($A127="","",IF(OR($C127="founding_full",$C127="standard_deposit"),"Y","N"))</f>
        <v/>
      </c>
      <c r="S127" s="30" t="str">
        <f aca="false">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ustomFormat="false" ht="15" hidden="false" customHeight="false" outlineLevel="0" collapsed="false">
      <c r="C128" s="10"/>
      <c r="D128" s="11"/>
      <c r="E128" s="12"/>
      <c r="F128" s="12"/>
      <c r="H128" s="11"/>
      <c r="I128" s="12"/>
      <c r="J128" s="10"/>
      <c r="L128" s="12"/>
      <c r="N128" s="30" t="str">
        <f aca="false">IF($B128="","",IFERROR(IF(INDEX(campaigns!$BE$2:$BE$51,MATCH($B128,campaigns!$A$2:$A$51,0))="","",INDEX(campaigns!$BE$2:$BE$51,MATCH($B128,campaigns!$A$2:$A$51,0))),""))</f>
        <v/>
      </c>
      <c r="O128" s="31" t="str">
        <f aca="false">IF(OR($A128="",$D128=""),"",IF($C128="founding_full",WORKDAY($D128,config!$B$27,calendar!$A$2:$A$80),$D128))</f>
        <v/>
      </c>
      <c r="P128" s="32" t="str">
        <f aca="false">IF($A128="","",N($E128)+N($F128))</f>
        <v/>
      </c>
      <c r="Q128" s="30" t="str">
        <f aca="true">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30" t="str">
        <f aca="false">IF($A128="","",IF(OR($C128="founding_full",$C128="standard_deposit"),"Y","N"))</f>
        <v/>
      </c>
      <c r="S128" s="30" t="str">
        <f aca="false">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ustomFormat="false" ht="15" hidden="false" customHeight="false" outlineLevel="0" collapsed="false">
      <c r="C129" s="10"/>
      <c r="D129" s="11"/>
      <c r="E129" s="12"/>
      <c r="F129" s="12"/>
      <c r="H129" s="11"/>
      <c r="I129" s="12"/>
      <c r="J129" s="10"/>
      <c r="L129" s="12"/>
      <c r="N129" s="30" t="str">
        <f aca="false">IF($B129="","",IFERROR(IF(INDEX(campaigns!$BE$2:$BE$51,MATCH($B129,campaigns!$A$2:$A$51,0))="","",INDEX(campaigns!$BE$2:$BE$51,MATCH($B129,campaigns!$A$2:$A$51,0))),""))</f>
        <v/>
      </c>
      <c r="O129" s="31" t="str">
        <f aca="false">IF(OR($A129="",$D129=""),"",IF($C129="founding_full",WORKDAY($D129,config!$B$27,calendar!$A$2:$A$80),$D129))</f>
        <v/>
      </c>
      <c r="P129" s="32" t="str">
        <f aca="false">IF($A129="","",N($E129)+N($F129))</f>
        <v/>
      </c>
      <c r="Q129" s="30" t="str">
        <f aca="true">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30" t="str">
        <f aca="false">IF($A129="","",IF(OR($C129="founding_full",$C129="standard_deposit"),"Y","N"))</f>
        <v/>
      </c>
      <c r="S129" s="30" t="str">
        <f aca="false">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ustomFormat="false" ht="15" hidden="false" customHeight="false" outlineLevel="0" collapsed="false">
      <c r="C130" s="10"/>
      <c r="D130" s="11"/>
      <c r="E130" s="12"/>
      <c r="F130" s="12"/>
      <c r="H130" s="11"/>
      <c r="I130" s="12"/>
      <c r="J130" s="10"/>
      <c r="L130" s="12"/>
      <c r="N130" s="30" t="str">
        <f aca="false">IF($B130="","",IFERROR(IF(INDEX(campaigns!$BE$2:$BE$51,MATCH($B130,campaigns!$A$2:$A$51,0))="","",INDEX(campaigns!$BE$2:$BE$51,MATCH($B130,campaigns!$A$2:$A$51,0))),""))</f>
        <v/>
      </c>
      <c r="O130" s="31" t="str">
        <f aca="false">IF(OR($A130="",$D130=""),"",IF($C130="founding_full",WORKDAY($D130,config!$B$27,calendar!$A$2:$A$80),$D130))</f>
        <v/>
      </c>
      <c r="P130" s="32" t="str">
        <f aca="false">IF($A130="","",N($E130)+N($F130))</f>
        <v/>
      </c>
      <c r="Q130" s="30" t="str">
        <f aca="true">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30" t="str">
        <f aca="false">IF($A130="","",IF(OR($C130="founding_full",$C130="standard_deposit"),"Y","N"))</f>
        <v/>
      </c>
      <c r="S130" s="30" t="str">
        <f aca="false">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ustomFormat="false" ht="15" hidden="false" customHeight="false" outlineLevel="0" collapsed="false">
      <c r="C131" s="10"/>
      <c r="D131" s="11"/>
      <c r="E131" s="12"/>
      <c r="F131" s="12"/>
      <c r="H131" s="11"/>
      <c r="I131" s="12"/>
      <c r="J131" s="10"/>
      <c r="L131" s="12"/>
      <c r="N131" s="30" t="str">
        <f aca="false">IF($B131="","",IFERROR(IF(INDEX(campaigns!$BE$2:$BE$51,MATCH($B131,campaigns!$A$2:$A$51,0))="","",INDEX(campaigns!$BE$2:$BE$51,MATCH($B131,campaigns!$A$2:$A$51,0))),""))</f>
        <v/>
      </c>
      <c r="O131" s="31" t="str">
        <f aca="false">IF(OR($A131="",$D131=""),"",IF($C131="founding_full",WORKDAY($D131,config!$B$27,calendar!$A$2:$A$80),$D131))</f>
        <v/>
      </c>
      <c r="P131" s="32" t="str">
        <f aca="false">IF($A131="","",N($E131)+N($F131))</f>
        <v/>
      </c>
      <c r="Q131" s="30" t="str">
        <f aca="true">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30" t="str">
        <f aca="false">IF($A131="","",IF(OR($C131="founding_full",$C131="standard_deposit"),"Y","N"))</f>
        <v/>
      </c>
      <c r="S131" s="30" t="str">
        <f aca="false">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ustomFormat="false" ht="15" hidden="false" customHeight="false" outlineLevel="0" collapsed="false">
      <c r="C132" s="10"/>
      <c r="D132" s="11"/>
      <c r="E132" s="12"/>
      <c r="F132" s="12"/>
      <c r="H132" s="11"/>
      <c r="I132" s="12"/>
      <c r="J132" s="10"/>
      <c r="L132" s="12"/>
      <c r="N132" s="30" t="str">
        <f aca="false">IF($B132="","",IFERROR(IF(INDEX(campaigns!$BE$2:$BE$51,MATCH($B132,campaigns!$A$2:$A$51,0))="","",INDEX(campaigns!$BE$2:$BE$51,MATCH($B132,campaigns!$A$2:$A$51,0))),""))</f>
        <v/>
      </c>
      <c r="O132" s="31" t="str">
        <f aca="false">IF(OR($A132="",$D132=""),"",IF($C132="founding_full",WORKDAY($D132,config!$B$27,calendar!$A$2:$A$80),$D132))</f>
        <v/>
      </c>
      <c r="P132" s="32" t="str">
        <f aca="false">IF($A132="","",N($E132)+N($F132))</f>
        <v/>
      </c>
      <c r="Q132" s="30" t="str">
        <f aca="true">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30" t="str">
        <f aca="false">IF($A132="","",IF(OR($C132="founding_full",$C132="standard_deposit"),"Y","N"))</f>
        <v/>
      </c>
      <c r="S132" s="30" t="str">
        <f aca="false">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ustomFormat="false" ht="15" hidden="false" customHeight="false" outlineLevel="0" collapsed="false">
      <c r="C133" s="10"/>
      <c r="D133" s="11"/>
      <c r="E133" s="12"/>
      <c r="F133" s="12"/>
      <c r="H133" s="11"/>
      <c r="I133" s="12"/>
      <c r="J133" s="10"/>
      <c r="L133" s="12"/>
      <c r="N133" s="30" t="str">
        <f aca="false">IF($B133="","",IFERROR(IF(INDEX(campaigns!$BE$2:$BE$51,MATCH($B133,campaigns!$A$2:$A$51,0))="","",INDEX(campaigns!$BE$2:$BE$51,MATCH($B133,campaigns!$A$2:$A$51,0))),""))</f>
        <v/>
      </c>
      <c r="O133" s="31" t="str">
        <f aca="false">IF(OR($A133="",$D133=""),"",IF($C133="founding_full",WORKDAY($D133,config!$B$27,calendar!$A$2:$A$80),$D133))</f>
        <v/>
      </c>
      <c r="P133" s="32" t="str">
        <f aca="false">IF($A133="","",N($E133)+N($F133))</f>
        <v/>
      </c>
      <c r="Q133" s="30" t="str">
        <f aca="true">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30" t="str">
        <f aca="false">IF($A133="","",IF(OR($C133="founding_full",$C133="standard_deposit"),"Y","N"))</f>
        <v/>
      </c>
      <c r="S133" s="30" t="str">
        <f aca="false">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ustomFormat="false" ht="15" hidden="false" customHeight="false" outlineLevel="0" collapsed="false">
      <c r="C134" s="10"/>
      <c r="D134" s="11"/>
      <c r="E134" s="12"/>
      <c r="F134" s="12"/>
      <c r="H134" s="11"/>
      <c r="I134" s="12"/>
      <c r="J134" s="10"/>
      <c r="L134" s="12"/>
      <c r="N134" s="30" t="str">
        <f aca="false">IF($B134="","",IFERROR(IF(INDEX(campaigns!$BE$2:$BE$51,MATCH($B134,campaigns!$A$2:$A$51,0))="","",INDEX(campaigns!$BE$2:$BE$51,MATCH($B134,campaigns!$A$2:$A$51,0))),""))</f>
        <v/>
      </c>
      <c r="O134" s="31" t="str">
        <f aca="false">IF(OR($A134="",$D134=""),"",IF($C134="founding_full",WORKDAY($D134,config!$B$27,calendar!$A$2:$A$80),$D134))</f>
        <v/>
      </c>
      <c r="P134" s="32" t="str">
        <f aca="false">IF($A134="","",N($E134)+N($F134))</f>
        <v/>
      </c>
      <c r="Q134" s="30" t="str">
        <f aca="true">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30" t="str">
        <f aca="false">IF($A134="","",IF(OR($C134="founding_full",$C134="standard_deposit"),"Y","N"))</f>
        <v/>
      </c>
      <c r="S134" s="30" t="str">
        <f aca="false">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ustomFormat="false" ht="15" hidden="false" customHeight="false" outlineLevel="0" collapsed="false">
      <c r="C135" s="10"/>
      <c r="D135" s="11"/>
      <c r="E135" s="12"/>
      <c r="F135" s="12"/>
      <c r="H135" s="11"/>
      <c r="I135" s="12"/>
      <c r="J135" s="10"/>
      <c r="L135" s="12"/>
      <c r="N135" s="30" t="str">
        <f aca="false">IF($B135="","",IFERROR(IF(INDEX(campaigns!$BE$2:$BE$51,MATCH($B135,campaigns!$A$2:$A$51,0))="","",INDEX(campaigns!$BE$2:$BE$51,MATCH($B135,campaigns!$A$2:$A$51,0))),""))</f>
        <v/>
      </c>
      <c r="O135" s="31" t="str">
        <f aca="false">IF(OR($A135="",$D135=""),"",IF($C135="founding_full",WORKDAY($D135,config!$B$27,calendar!$A$2:$A$80),$D135))</f>
        <v/>
      </c>
      <c r="P135" s="32" t="str">
        <f aca="false">IF($A135="","",N($E135)+N($F135))</f>
        <v/>
      </c>
      <c r="Q135" s="30" t="str">
        <f aca="true">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30" t="str">
        <f aca="false">IF($A135="","",IF(OR($C135="founding_full",$C135="standard_deposit"),"Y","N"))</f>
        <v/>
      </c>
      <c r="S135" s="30" t="str">
        <f aca="false">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ustomFormat="false" ht="15" hidden="false" customHeight="false" outlineLevel="0" collapsed="false">
      <c r="C136" s="10"/>
      <c r="D136" s="11"/>
      <c r="E136" s="12"/>
      <c r="F136" s="12"/>
      <c r="H136" s="11"/>
      <c r="I136" s="12"/>
      <c r="J136" s="10"/>
      <c r="L136" s="12"/>
      <c r="N136" s="30" t="str">
        <f aca="false">IF($B136="","",IFERROR(IF(INDEX(campaigns!$BE$2:$BE$51,MATCH($B136,campaigns!$A$2:$A$51,0))="","",INDEX(campaigns!$BE$2:$BE$51,MATCH($B136,campaigns!$A$2:$A$51,0))),""))</f>
        <v/>
      </c>
      <c r="O136" s="31" t="str">
        <f aca="false">IF(OR($A136="",$D136=""),"",IF($C136="founding_full",WORKDAY($D136,config!$B$27,calendar!$A$2:$A$80),$D136))</f>
        <v/>
      </c>
      <c r="P136" s="32" t="str">
        <f aca="false">IF($A136="","",N($E136)+N($F136))</f>
        <v/>
      </c>
      <c r="Q136" s="30" t="str">
        <f aca="true">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30" t="str">
        <f aca="false">IF($A136="","",IF(OR($C136="founding_full",$C136="standard_deposit"),"Y","N"))</f>
        <v/>
      </c>
      <c r="S136" s="30" t="str">
        <f aca="false">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ustomFormat="false" ht="15" hidden="false" customHeight="false" outlineLevel="0" collapsed="false">
      <c r="C137" s="10"/>
      <c r="D137" s="11"/>
      <c r="E137" s="12"/>
      <c r="F137" s="12"/>
      <c r="H137" s="11"/>
      <c r="I137" s="12"/>
      <c r="J137" s="10"/>
      <c r="L137" s="12"/>
      <c r="N137" s="30" t="str">
        <f aca="false">IF($B137="","",IFERROR(IF(INDEX(campaigns!$BE$2:$BE$51,MATCH($B137,campaigns!$A$2:$A$51,0))="","",INDEX(campaigns!$BE$2:$BE$51,MATCH($B137,campaigns!$A$2:$A$51,0))),""))</f>
        <v/>
      </c>
      <c r="O137" s="31" t="str">
        <f aca="false">IF(OR($A137="",$D137=""),"",IF($C137="founding_full",WORKDAY($D137,config!$B$27,calendar!$A$2:$A$80),$D137))</f>
        <v/>
      </c>
      <c r="P137" s="32" t="str">
        <f aca="false">IF($A137="","",N($E137)+N($F137))</f>
        <v/>
      </c>
      <c r="Q137" s="30" t="str">
        <f aca="true">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30" t="str">
        <f aca="false">IF($A137="","",IF(OR($C137="founding_full",$C137="standard_deposit"),"Y","N"))</f>
        <v/>
      </c>
      <c r="S137" s="30" t="str">
        <f aca="false">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ustomFormat="false" ht="15" hidden="false" customHeight="false" outlineLevel="0" collapsed="false">
      <c r="C138" s="10"/>
      <c r="D138" s="11"/>
      <c r="E138" s="12"/>
      <c r="F138" s="12"/>
      <c r="H138" s="11"/>
      <c r="I138" s="12"/>
      <c r="J138" s="10"/>
      <c r="L138" s="12"/>
      <c r="N138" s="30" t="str">
        <f aca="false">IF($B138="","",IFERROR(IF(INDEX(campaigns!$BE$2:$BE$51,MATCH($B138,campaigns!$A$2:$A$51,0))="","",INDEX(campaigns!$BE$2:$BE$51,MATCH($B138,campaigns!$A$2:$A$51,0))),""))</f>
        <v/>
      </c>
      <c r="O138" s="31" t="str">
        <f aca="false">IF(OR($A138="",$D138=""),"",IF($C138="founding_full",WORKDAY($D138,config!$B$27,calendar!$A$2:$A$80),$D138))</f>
        <v/>
      </c>
      <c r="P138" s="32" t="str">
        <f aca="false">IF($A138="","",N($E138)+N($F138))</f>
        <v/>
      </c>
      <c r="Q138" s="30" t="str">
        <f aca="true">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30" t="str">
        <f aca="false">IF($A138="","",IF(OR($C138="founding_full",$C138="standard_deposit"),"Y","N"))</f>
        <v/>
      </c>
      <c r="S138" s="30" t="str">
        <f aca="false">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ustomFormat="false" ht="15" hidden="false" customHeight="false" outlineLevel="0" collapsed="false">
      <c r="C139" s="10"/>
      <c r="D139" s="11"/>
      <c r="E139" s="12"/>
      <c r="F139" s="12"/>
      <c r="H139" s="11"/>
      <c r="I139" s="12"/>
      <c r="J139" s="10"/>
      <c r="L139" s="12"/>
      <c r="N139" s="30" t="str">
        <f aca="false">IF($B139="","",IFERROR(IF(INDEX(campaigns!$BE$2:$BE$51,MATCH($B139,campaigns!$A$2:$A$51,0))="","",INDEX(campaigns!$BE$2:$BE$51,MATCH($B139,campaigns!$A$2:$A$51,0))),""))</f>
        <v/>
      </c>
      <c r="O139" s="31" t="str">
        <f aca="false">IF(OR($A139="",$D139=""),"",IF($C139="founding_full",WORKDAY($D139,config!$B$27,calendar!$A$2:$A$80),$D139))</f>
        <v/>
      </c>
      <c r="P139" s="32" t="str">
        <f aca="false">IF($A139="","",N($E139)+N($F139))</f>
        <v/>
      </c>
      <c r="Q139" s="30" t="str">
        <f aca="true">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30" t="str">
        <f aca="false">IF($A139="","",IF(OR($C139="founding_full",$C139="standard_deposit"),"Y","N"))</f>
        <v/>
      </c>
      <c r="S139" s="30" t="str">
        <f aca="false">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ustomFormat="false" ht="15" hidden="false" customHeight="false" outlineLevel="0" collapsed="false">
      <c r="C140" s="10"/>
      <c r="D140" s="11"/>
      <c r="E140" s="12"/>
      <c r="F140" s="12"/>
      <c r="H140" s="11"/>
      <c r="I140" s="12"/>
      <c r="J140" s="10"/>
      <c r="L140" s="12"/>
      <c r="N140" s="30" t="str">
        <f aca="false">IF($B140="","",IFERROR(IF(INDEX(campaigns!$BE$2:$BE$51,MATCH($B140,campaigns!$A$2:$A$51,0))="","",INDEX(campaigns!$BE$2:$BE$51,MATCH($B140,campaigns!$A$2:$A$51,0))),""))</f>
        <v/>
      </c>
      <c r="O140" s="31" t="str">
        <f aca="false">IF(OR($A140="",$D140=""),"",IF($C140="founding_full",WORKDAY($D140,config!$B$27,calendar!$A$2:$A$80),$D140))</f>
        <v/>
      </c>
      <c r="P140" s="32" t="str">
        <f aca="false">IF($A140="","",N($E140)+N($F140))</f>
        <v/>
      </c>
      <c r="Q140" s="30" t="str">
        <f aca="true">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30" t="str">
        <f aca="false">IF($A140="","",IF(OR($C140="founding_full",$C140="standard_deposit"),"Y","N"))</f>
        <v/>
      </c>
      <c r="S140" s="30" t="str">
        <f aca="false">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ustomFormat="false" ht="15" hidden="false" customHeight="false" outlineLevel="0" collapsed="false">
      <c r="C141" s="10"/>
      <c r="D141" s="11"/>
      <c r="E141" s="12"/>
      <c r="F141" s="12"/>
      <c r="H141" s="11"/>
      <c r="I141" s="12"/>
      <c r="J141" s="10"/>
      <c r="L141" s="12"/>
      <c r="N141" s="30" t="str">
        <f aca="false">IF($B141="","",IFERROR(IF(INDEX(campaigns!$BE$2:$BE$51,MATCH($B141,campaigns!$A$2:$A$51,0))="","",INDEX(campaigns!$BE$2:$BE$51,MATCH($B141,campaigns!$A$2:$A$51,0))),""))</f>
        <v/>
      </c>
      <c r="O141" s="31" t="str">
        <f aca="false">IF(OR($A141="",$D141=""),"",IF($C141="founding_full",WORKDAY($D141,config!$B$27,calendar!$A$2:$A$80),$D141))</f>
        <v/>
      </c>
      <c r="P141" s="32" t="str">
        <f aca="false">IF($A141="","",N($E141)+N($F141))</f>
        <v/>
      </c>
      <c r="Q141" s="30" t="str">
        <f aca="true">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30" t="str">
        <f aca="false">IF($A141="","",IF(OR($C141="founding_full",$C141="standard_deposit"),"Y","N"))</f>
        <v/>
      </c>
      <c r="S141" s="30" t="str">
        <f aca="false">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ustomFormat="false" ht="15" hidden="false" customHeight="false" outlineLevel="0" collapsed="false">
      <c r="C142" s="10"/>
      <c r="D142" s="11"/>
      <c r="E142" s="12"/>
      <c r="F142" s="12"/>
      <c r="H142" s="11"/>
      <c r="I142" s="12"/>
      <c r="J142" s="10"/>
      <c r="L142" s="12"/>
      <c r="N142" s="30" t="str">
        <f aca="false">IF($B142="","",IFERROR(IF(INDEX(campaigns!$BE$2:$BE$51,MATCH($B142,campaigns!$A$2:$A$51,0))="","",INDEX(campaigns!$BE$2:$BE$51,MATCH($B142,campaigns!$A$2:$A$51,0))),""))</f>
        <v/>
      </c>
      <c r="O142" s="31" t="str">
        <f aca="false">IF(OR($A142="",$D142=""),"",IF($C142="founding_full",WORKDAY($D142,config!$B$27,calendar!$A$2:$A$80),$D142))</f>
        <v/>
      </c>
      <c r="P142" s="32" t="str">
        <f aca="false">IF($A142="","",N($E142)+N($F142))</f>
        <v/>
      </c>
      <c r="Q142" s="30" t="str">
        <f aca="true">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30" t="str">
        <f aca="false">IF($A142="","",IF(OR($C142="founding_full",$C142="standard_deposit"),"Y","N"))</f>
        <v/>
      </c>
      <c r="S142" s="30" t="str">
        <f aca="false">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ustomFormat="false" ht="15" hidden="false" customHeight="false" outlineLevel="0" collapsed="false">
      <c r="C143" s="10"/>
      <c r="D143" s="11"/>
      <c r="E143" s="12"/>
      <c r="F143" s="12"/>
      <c r="H143" s="11"/>
      <c r="I143" s="12"/>
      <c r="J143" s="10"/>
      <c r="L143" s="12"/>
      <c r="N143" s="30" t="str">
        <f aca="false">IF($B143="","",IFERROR(IF(INDEX(campaigns!$BE$2:$BE$51,MATCH($B143,campaigns!$A$2:$A$51,0))="","",INDEX(campaigns!$BE$2:$BE$51,MATCH($B143,campaigns!$A$2:$A$51,0))),""))</f>
        <v/>
      </c>
      <c r="O143" s="31" t="str">
        <f aca="false">IF(OR($A143="",$D143=""),"",IF($C143="founding_full",WORKDAY($D143,config!$B$27,calendar!$A$2:$A$80),$D143))</f>
        <v/>
      </c>
      <c r="P143" s="32" t="str">
        <f aca="false">IF($A143="","",N($E143)+N($F143))</f>
        <v/>
      </c>
      <c r="Q143" s="30" t="str">
        <f aca="true">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30" t="str">
        <f aca="false">IF($A143="","",IF(OR($C143="founding_full",$C143="standard_deposit"),"Y","N"))</f>
        <v/>
      </c>
      <c r="S143" s="30" t="str">
        <f aca="false">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ustomFormat="false" ht="15" hidden="false" customHeight="false" outlineLevel="0" collapsed="false">
      <c r="C144" s="10"/>
      <c r="D144" s="11"/>
      <c r="E144" s="12"/>
      <c r="F144" s="12"/>
      <c r="H144" s="11"/>
      <c r="I144" s="12"/>
      <c r="J144" s="10"/>
      <c r="L144" s="12"/>
      <c r="N144" s="30" t="str">
        <f aca="false">IF($B144="","",IFERROR(IF(INDEX(campaigns!$BE$2:$BE$51,MATCH($B144,campaigns!$A$2:$A$51,0))="","",INDEX(campaigns!$BE$2:$BE$51,MATCH($B144,campaigns!$A$2:$A$51,0))),""))</f>
        <v/>
      </c>
      <c r="O144" s="31" t="str">
        <f aca="false">IF(OR($A144="",$D144=""),"",IF($C144="founding_full",WORKDAY($D144,config!$B$27,calendar!$A$2:$A$80),$D144))</f>
        <v/>
      </c>
      <c r="P144" s="32" t="str">
        <f aca="false">IF($A144="","",N($E144)+N($F144))</f>
        <v/>
      </c>
      <c r="Q144" s="30" t="str">
        <f aca="true">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30" t="str">
        <f aca="false">IF($A144="","",IF(OR($C144="founding_full",$C144="standard_deposit"),"Y","N"))</f>
        <v/>
      </c>
      <c r="S144" s="30" t="str">
        <f aca="false">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ustomFormat="false" ht="15" hidden="false" customHeight="false" outlineLevel="0" collapsed="false">
      <c r="C145" s="10"/>
      <c r="D145" s="11"/>
      <c r="E145" s="12"/>
      <c r="F145" s="12"/>
      <c r="H145" s="11"/>
      <c r="I145" s="12"/>
      <c r="J145" s="10"/>
      <c r="L145" s="12"/>
      <c r="N145" s="30" t="str">
        <f aca="false">IF($B145="","",IFERROR(IF(INDEX(campaigns!$BE$2:$BE$51,MATCH($B145,campaigns!$A$2:$A$51,0))="","",INDEX(campaigns!$BE$2:$BE$51,MATCH($B145,campaigns!$A$2:$A$51,0))),""))</f>
        <v/>
      </c>
      <c r="O145" s="31" t="str">
        <f aca="false">IF(OR($A145="",$D145=""),"",IF($C145="founding_full",WORKDAY($D145,config!$B$27,calendar!$A$2:$A$80),$D145))</f>
        <v/>
      </c>
      <c r="P145" s="32" t="str">
        <f aca="false">IF($A145="","",N($E145)+N($F145))</f>
        <v/>
      </c>
      <c r="Q145" s="30" t="str">
        <f aca="true">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30" t="str">
        <f aca="false">IF($A145="","",IF(OR($C145="founding_full",$C145="standard_deposit"),"Y","N"))</f>
        <v/>
      </c>
      <c r="S145" s="30" t="str">
        <f aca="false">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ustomFormat="false" ht="15" hidden="false" customHeight="false" outlineLevel="0" collapsed="false">
      <c r="C146" s="10"/>
      <c r="D146" s="11"/>
      <c r="E146" s="12"/>
      <c r="F146" s="12"/>
      <c r="H146" s="11"/>
      <c r="I146" s="12"/>
      <c r="J146" s="10"/>
      <c r="L146" s="12"/>
      <c r="N146" s="30" t="str">
        <f aca="false">IF($B146="","",IFERROR(IF(INDEX(campaigns!$BE$2:$BE$51,MATCH($B146,campaigns!$A$2:$A$51,0))="","",INDEX(campaigns!$BE$2:$BE$51,MATCH($B146,campaigns!$A$2:$A$51,0))),""))</f>
        <v/>
      </c>
      <c r="O146" s="31" t="str">
        <f aca="false">IF(OR($A146="",$D146=""),"",IF($C146="founding_full",WORKDAY($D146,config!$B$27,calendar!$A$2:$A$80),$D146))</f>
        <v/>
      </c>
      <c r="P146" s="32" t="str">
        <f aca="false">IF($A146="","",N($E146)+N($F146))</f>
        <v/>
      </c>
      <c r="Q146" s="30" t="str">
        <f aca="true">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30" t="str">
        <f aca="false">IF($A146="","",IF(OR($C146="founding_full",$C146="standard_deposit"),"Y","N"))</f>
        <v/>
      </c>
      <c r="S146" s="30" t="str">
        <f aca="false">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ustomFormat="false" ht="15" hidden="false" customHeight="false" outlineLevel="0" collapsed="false">
      <c r="C147" s="10"/>
      <c r="D147" s="11"/>
      <c r="E147" s="12"/>
      <c r="F147" s="12"/>
      <c r="H147" s="11"/>
      <c r="I147" s="12"/>
      <c r="J147" s="10"/>
      <c r="L147" s="12"/>
      <c r="N147" s="30" t="str">
        <f aca="false">IF($B147="","",IFERROR(IF(INDEX(campaigns!$BE$2:$BE$51,MATCH($B147,campaigns!$A$2:$A$51,0))="","",INDEX(campaigns!$BE$2:$BE$51,MATCH($B147,campaigns!$A$2:$A$51,0))),""))</f>
        <v/>
      </c>
      <c r="O147" s="31" t="str">
        <f aca="false">IF(OR($A147="",$D147=""),"",IF($C147="founding_full",WORKDAY($D147,config!$B$27,calendar!$A$2:$A$80),$D147))</f>
        <v/>
      </c>
      <c r="P147" s="32" t="str">
        <f aca="false">IF($A147="","",N($E147)+N($F147))</f>
        <v/>
      </c>
      <c r="Q147" s="30" t="str">
        <f aca="true">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30" t="str">
        <f aca="false">IF($A147="","",IF(OR($C147="founding_full",$C147="standard_deposit"),"Y","N"))</f>
        <v/>
      </c>
      <c r="S147" s="30" t="str">
        <f aca="false">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ustomFormat="false" ht="15" hidden="false" customHeight="false" outlineLevel="0" collapsed="false">
      <c r="C148" s="10"/>
      <c r="D148" s="11"/>
      <c r="E148" s="12"/>
      <c r="F148" s="12"/>
      <c r="H148" s="11"/>
      <c r="I148" s="12"/>
      <c r="J148" s="10"/>
      <c r="L148" s="12"/>
      <c r="N148" s="30" t="str">
        <f aca="false">IF($B148="","",IFERROR(IF(INDEX(campaigns!$BE$2:$BE$51,MATCH($B148,campaigns!$A$2:$A$51,0))="","",INDEX(campaigns!$BE$2:$BE$51,MATCH($B148,campaigns!$A$2:$A$51,0))),""))</f>
        <v/>
      </c>
      <c r="O148" s="31" t="str">
        <f aca="false">IF(OR($A148="",$D148=""),"",IF($C148="founding_full",WORKDAY($D148,config!$B$27,calendar!$A$2:$A$80),$D148))</f>
        <v/>
      </c>
      <c r="P148" s="32" t="str">
        <f aca="false">IF($A148="","",N($E148)+N($F148))</f>
        <v/>
      </c>
      <c r="Q148" s="30" t="str">
        <f aca="true">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30" t="str">
        <f aca="false">IF($A148="","",IF(OR($C148="founding_full",$C148="standard_deposit"),"Y","N"))</f>
        <v/>
      </c>
      <c r="S148" s="30" t="str">
        <f aca="false">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ustomFormat="false" ht="15" hidden="false" customHeight="false" outlineLevel="0" collapsed="false">
      <c r="C149" s="10"/>
      <c r="D149" s="11"/>
      <c r="E149" s="12"/>
      <c r="F149" s="12"/>
      <c r="H149" s="11"/>
      <c r="I149" s="12"/>
      <c r="J149" s="10"/>
      <c r="L149" s="12"/>
      <c r="N149" s="30" t="str">
        <f aca="false">IF($B149="","",IFERROR(IF(INDEX(campaigns!$BE$2:$BE$51,MATCH($B149,campaigns!$A$2:$A$51,0))="","",INDEX(campaigns!$BE$2:$BE$51,MATCH($B149,campaigns!$A$2:$A$51,0))),""))</f>
        <v/>
      </c>
      <c r="O149" s="31" t="str">
        <f aca="false">IF(OR($A149="",$D149=""),"",IF($C149="founding_full",WORKDAY($D149,config!$B$27,calendar!$A$2:$A$80),$D149))</f>
        <v/>
      </c>
      <c r="P149" s="32" t="str">
        <f aca="false">IF($A149="","",N($E149)+N($F149))</f>
        <v/>
      </c>
      <c r="Q149" s="30" t="str">
        <f aca="true">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30" t="str">
        <f aca="false">IF($A149="","",IF(OR($C149="founding_full",$C149="standard_deposit"),"Y","N"))</f>
        <v/>
      </c>
      <c r="S149" s="30" t="str">
        <f aca="false">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ustomFormat="false" ht="15" hidden="false" customHeight="false" outlineLevel="0" collapsed="false">
      <c r="C150" s="10"/>
      <c r="D150" s="11"/>
      <c r="E150" s="12"/>
      <c r="F150" s="12"/>
      <c r="H150" s="11"/>
      <c r="I150" s="12"/>
      <c r="J150" s="10"/>
      <c r="L150" s="12"/>
      <c r="N150" s="30" t="str">
        <f aca="false">IF($B150="","",IFERROR(IF(INDEX(campaigns!$BE$2:$BE$51,MATCH($B150,campaigns!$A$2:$A$51,0))="","",INDEX(campaigns!$BE$2:$BE$51,MATCH($B150,campaigns!$A$2:$A$51,0))),""))</f>
        <v/>
      </c>
      <c r="O150" s="31" t="str">
        <f aca="false">IF(OR($A150="",$D150=""),"",IF($C150="founding_full",WORKDAY($D150,config!$B$27,calendar!$A$2:$A$80),$D150))</f>
        <v/>
      </c>
      <c r="P150" s="32" t="str">
        <f aca="false">IF($A150="","",N($E150)+N($F150))</f>
        <v/>
      </c>
      <c r="Q150" s="30" t="str">
        <f aca="true">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30" t="str">
        <f aca="false">IF($A150="","",IF(OR($C150="founding_full",$C150="standard_deposit"),"Y","N"))</f>
        <v/>
      </c>
      <c r="S150" s="30" t="str">
        <f aca="false">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ustomFormat="false" ht="15" hidden="false" customHeight="false" outlineLevel="0" collapsed="false">
      <c r="C151" s="10"/>
      <c r="D151" s="11"/>
      <c r="E151" s="12"/>
      <c r="F151" s="12"/>
      <c r="H151" s="11"/>
      <c r="I151" s="12"/>
      <c r="J151" s="10"/>
      <c r="L151" s="12"/>
      <c r="N151" s="30" t="str">
        <f aca="false">IF($B151="","",IFERROR(IF(INDEX(campaigns!$BE$2:$BE$51,MATCH($B151,campaigns!$A$2:$A$51,0))="","",INDEX(campaigns!$BE$2:$BE$51,MATCH($B151,campaigns!$A$2:$A$51,0))),""))</f>
        <v/>
      </c>
      <c r="O151" s="31" t="str">
        <f aca="false">IF(OR($A151="",$D151=""),"",IF($C151="founding_full",WORKDAY($D151,config!$B$27,calendar!$A$2:$A$80),$D151))</f>
        <v/>
      </c>
      <c r="P151" s="32" t="str">
        <f aca="false">IF($A151="","",N($E151)+N($F151))</f>
        <v/>
      </c>
      <c r="Q151" s="30" t="str">
        <f aca="true">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30" t="str">
        <f aca="false">IF($A151="","",IF(OR($C151="founding_full",$C151="standard_deposit"),"Y","N"))</f>
        <v/>
      </c>
      <c r="S151" s="30" t="str">
        <f aca="false">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2" aboveAverage="0" equalAverage="0" bottom="0" percent="0" rank="0" text="" dxfId="1">
      <formula>LEN(S2)&gt;0</formula>
    </cfRule>
  </conditionalFormatting>
  <dataValidations count="2">
    <dataValidation allowBlank="true" error="Pick a value from the list." errorStyle="stop" errorTitle="Not on the list" operator="between" showDropDown="false" showErrorMessage="true" showInputMessage="false" sqref="C2:C151" type="list">
      <formula1>"founding_full,standard_deposit,standard_balance,credit_note"</formula1>
      <formula2>0</formula2>
    </dataValidation>
    <dataValidation allowBlank="true" error="Pick a value from the list." errorStyle="stop" errorTitle="Not on the list" operator="between" showDropDown="false" showErrorMessage="true" showInputMessage="false" sqref="J2:J151" type="list">
      <formula1>"bank_transfer,card,check"</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40" t="s">
        <v>1416</v>
      </c>
      <c r="B1" s="40" t="s">
        <v>1417</v>
      </c>
      <c r="C1" s="40" t="s">
        <v>138</v>
      </c>
      <c r="D1" s="40" t="s">
        <v>601</v>
      </c>
      <c r="E1" s="40" t="s">
        <v>602</v>
      </c>
      <c r="F1" s="40" t="s">
        <v>603</v>
      </c>
      <c r="G1" s="40" t="s">
        <v>604</v>
      </c>
      <c r="H1" s="40" t="s">
        <v>654</v>
      </c>
      <c r="I1" s="40" t="s">
        <v>655</v>
      </c>
      <c r="J1" s="40" t="s">
        <v>656</v>
      </c>
      <c r="K1" s="40" t="s">
        <v>657</v>
      </c>
      <c r="L1" s="40" t="s">
        <v>658</v>
      </c>
      <c r="M1" s="40" t="s">
        <v>659</v>
      </c>
      <c r="N1" s="40" t="s">
        <v>660</v>
      </c>
      <c r="O1" s="40" t="s">
        <v>661</v>
      </c>
      <c r="P1" s="40" t="s">
        <v>662</v>
      </c>
      <c r="Q1" s="40" t="s">
        <v>663</v>
      </c>
      <c r="R1" s="40" t="s">
        <v>664</v>
      </c>
      <c r="S1" s="40" t="s">
        <v>665</v>
      </c>
      <c r="T1" s="40" t="s">
        <v>305</v>
      </c>
      <c r="U1" s="40" t="s">
        <v>823</v>
      </c>
    </row>
    <row r="2" customFormat="false" ht="15" hidden="false" customHeight="false" outlineLevel="0" collapsed="false">
      <c r="A2" s="0" t="s">
        <v>1418</v>
      </c>
      <c r="B2" s="0" t="s">
        <v>1419</v>
      </c>
      <c r="C2" s="0" t="s">
        <v>1420</v>
      </c>
      <c r="D2" s="0" t="s">
        <v>1421</v>
      </c>
      <c r="E2" s="0" t="s">
        <v>1422</v>
      </c>
      <c r="F2" s="0" t="s">
        <v>1423</v>
      </c>
      <c r="G2" s="0" t="s">
        <v>1424</v>
      </c>
      <c r="H2" s="0" t="s">
        <v>1425</v>
      </c>
      <c r="I2" s="0" t="s">
        <v>1426</v>
      </c>
      <c r="J2" s="0" t="n">
        <v>52</v>
      </c>
      <c r="K2" s="0" t="s">
        <v>1421</v>
      </c>
      <c r="L2" s="0" t="s">
        <v>1422</v>
      </c>
      <c r="M2" s="0" t="s">
        <v>486</v>
      </c>
      <c r="N2" s="0" t="s">
        <v>1427</v>
      </c>
      <c r="O2" s="0" t="s">
        <v>1428</v>
      </c>
      <c r="P2" s="0" t="s">
        <v>146</v>
      </c>
      <c r="Q2" s="0" t="s">
        <v>1429</v>
      </c>
      <c r="R2" s="0" t="s">
        <v>1430</v>
      </c>
      <c r="T2" s="0" t="s">
        <v>1431</v>
      </c>
      <c r="U2" s="0" t="s">
        <v>599</v>
      </c>
    </row>
    <row r="3" customFormat="false" ht="15" hidden="false" customHeight="false" outlineLevel="0" collapsed="false">
      <c r="A3" s="0" t="s">
        <v>1432</v>
      </c>
      <c r="B3" s="0" t="s">
        <v>1419</v>
      </c>
      <c r="C3" s="0" t="s">
        <v>1433</v>
      </c>
      <c r="D3" s="0" t="s">
        <v>1434</v>
      </c>
      <c r="E3" s="0" t="s">
        <v>1422</v>
      </c>
      <c r="F3" s="0" t="s">
        <v>1435</v>
      </c>
      <c r="G3" s="0" t="s">
        <v>1436</v>
      </c>
      <c r="H3" s="0" t="s">
        <v>1437</v>
      </c>
      <c r="I3" s="0" t="s">
        <v>1438</v>
      </c>
      <c r="J3" s="0" t="n">
        <v>95</v>
      </c>
      <c r="K3" s="0" t="s">
        <v>1434</v>
      </c>
      <c r="L3" s="0" t="s">
        <v>1422</v>
      </c>
      <c r="M3" s="0" t="s">
        <v>486</v>
      </c>
      <c r="N3" s="0" t="s">
        <v>1427</v>
      </c>
      <c r="O3" s="0" t="s">
        <v>1439</v>
      </c>
      <c r="P3" s="0" t="s">
        <v>1440</v>
      </c>
      <c r="Q3" s="0" t="s">
        <v>1429</v>
      </c>
      <c r="R3" s="0" t="s">
        <v>1441</v>
      </c>
      <c r="T3" s="0" t="s">
        <v>1431</v>
      </c>
      <c r="U3" s="0" t="s">
        <v>599</v>
      </c>
    </row>
    <row r="4" customFormat="false" ht="15" hidden="false" customHeight="false" outlineLevel="0" collapsed="false">
      <c r="A4" s="0" t="s">
        <v>1442</v>
      </c>
      <c r="B4" s="0" t="s">
        <v>1419</v>
      </c>
      <c r="C4" s="0" t="s">
        <v>1443</v>
      </c>
      <c r="D4" s="0" t="s">
        <v>1444</v>
      </c>
      <c r="E4" s="0" t="s">
        <v>1422</v>
      </c>
      <c r="F4" s="0" t="s">
        <v>1445</v>
      </c>
      <c r="G4" s="0" t="s">
        <v>1446</v>
      </c>
      <c r="H4" s="0" t="s">
        <v>1447</v>
      </c>
      <c r="I4" s="0" t="s">
        <v>1448</v>
      </c>
      <c r="J4" s="0" t="n">
        <v>190</v>
      </c>
      <c r="K4" s="0" t="s">
        <v>1444</v>
      </c>
      <c r="L4" s="0" t="s">
        <v>1422</v>
      </c>
      <c r="M4" s="0" t="s">
        <v>486</v>
      </c>
      <c r="N4" s="0" t="s">
        <v>758</v>
      </c>
      <c r="O4" s="0" t="s">
        <v>1449</v>
      </c>
      <c r="P4" s="0" t="s">
        <v>496</v>
      </c>
      <c r="Q4" s="0" t="s">
        <v>1429</v>
      </c>
      <c r="R4" s="0" t="s">
        <v>1450</v>
      </c>
      <c r="T4" s="0" t="s">
        <v>1431</v>
      </c>
      <c r="U4" s="0" t="s">
        <v>599</v>
      </c>
    </row>
    <row r="5" customFormat="false" ht="15" hidden="false" customHeight="false" outlineLevel="0" collapsed="false">
      <c r="A5" s="0" t="s">
        <v>1451</v>
      </c>
      <c r="B5" s="0" t="s">
        <v>1419</v>
      </c>
      <c r="C5" s="0" t="s">
        <v>1452</v>
      </c>
      <c r="D5" s="0" t="s">
        <v>1453</v>
      </c>
      <c r="E5" s="0" t="s">
        <v>1422</v>
      </c>
      <c r="F5" s="0" t="s">
        <v>1454</v>
      </c>
      <c r="G5" s="0" t="s">
        <v>1455</v>
      </c>
      <c r="H5" s="0" t="s">
        <v>1456</v>
      </c>
      <c r="I5" s="0" t="s">
        <v>1457</v>
      </c>
      <c r="J5" s="0" t="n">
        <v>65</v>
      </c>
      <c r="K5" s="0" t="s">
        <v>1453</v>
      </c>
      <c r="L5" s="0" t="s">
        <v>1422</v>
      </c>
      <c r="M5" s="0" t="s">
        <v>486</v>
      </c>
      <c r="N5" s="0" t="s">
        <v>1427</v>
      </c>
      <c r="O5" s="0" t="s">
        <v>1428</v>
      </c>
      <c r="P5" s="0" t="s">
        <v>146</v>
      </c>
      <c r="Q5" s="0" t="s">
        <v>1429</v>
      </c>
      <c r="R5" s="0" t="s">
        <v>1458</v>
      </c>
      <c r="T5" s="0" t="s">
        <v>1431</v>
      </c>
      <c r="U5" s="0" t="s">
        <v>599</v>
      </c>
    </row>
    <row r="6" customFormat="false" ht="15" hidden="false" customHeight="false" outlineLevel="0" collapsed="false">
      <c r="A6" s="0" t="s">
        <v>1459</v>
      </c>
      <c r="B6" s="0" t="s">
        <v>1419</v>
      </c>
      <c r="C6" s="0" t="s">
        <v>1460</v>
      </c>
      <c r="D6" s="0" t="s">
        <v>1461</v>
      </c>
      <c r="E6" s="0" t="s">
        <v>1422</v>
      </c>
      <c r="F6" s="0" t="s">
        <v>1462</v>
      </c>
      <c r="G6" s="0" t="s">
        <v>1463</v>
      </c>
      <c r="H6" s="0" t="s">
        <v>1464</v>
      </c>
      <c r="I6" s="0" t="s">
        <v>1465</v>
      </c>
      <c r="J6" s="0" t="n">
        <v>140</v>
      </c>
      <c r="K6" s="0" t="s">
        <v>1461</v>
      </c>
      <c r="L6" s="0" t="s">
        <v>1422</v>
      </c>
      <c r="M6" s="0" t="s">
        <v>486</v>
      </c>
      <c r="N6" s="0" t="s">
        <v>758</v>
      </c>
      <c r="O6" s="0" t="s">
        <v>1439</v>
      </c>
      <c r="P6" s="0" t="s">
        <v>146</v>
      </c>
      <c r="Q6" s="0" t="s">
        <v>1429</v>
      </c>
      <c r="R6" s="0" t="s">
        <v>1466</v>
      </c>
      <c r="S6" s="0" t="s">
        <v>1467</v>
      </c>
      <c r="T6" s="0" t="s">
        <v>1431</v>
      </c>
      <c r="U6" s="0" t="s">
        <v>599</v>
      </c>
    </row>
    <row r="7" customFormat="false" ht="15" hidden="false" customHeight="false" outlineLevel="0" collapsed="false">
      <c r="A7" s="0" t="s">
        <v>1468</v>
      </c>
      <c r="B7" s="0" t="s">
        <v>1419</v>
      </c>
      <c r="C7" s="0" t="s">
        <v>1469</v>
      </c>
      <c r="D7" s="0" t="s">
        <v>1470</v>
      </c>
      <c r="E7" s="0" t="s">
        <v>1422</v>
      </c>
      <c r="F7" s="0" t="s">
        <v>1471</v>
      </c>
      <c r="G7" s="0" t="s">
        <v>1472</v>
      </c>
      <c r="H7" s="0" t="s">
        <v>1473</v>
      </c>
      <c r="I7" s="0" t="s">
        <v>1474</v>
      </c>
      <c r="J7" s="0" t="n">
        <v>220</v>
      </c>
      <c r="K7" s="0" t="s">
        <v>1470</v>
      </c>
      <c r="L7" s="0" t="s">
        <v>1422</v>
      </c>
      <c r="M7" s="0" t="s">
        <v>486</v>
      </c>
      <c r="N7" s="0" t="s">
        <v>758</v>
      </c>
      <c r="O7" s="0" t="s">
        <v>1449</v>
      </c>
      <c r="P7" s="0" t="s">
        <v>146</v>
      </c>
      <c r="Q7" s="0" t="s">
        <v>1429</v>
      </c>
      <c r="R7" s="0" t="s">
        <v>1475</v>
      </c>
      <c r="T7" s="0" t="s">
        <v>1431</v>
      </c>
      <c r="U7" s="0" t="s">
        <v>599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40" t="s">
        <v>1416</v>
      </c>
      <c r="B1" s="40" t="s">
        <v>1417</v>
      </c>
      <c r="C1" s="40" t="s">
        <v>411</v>
      </c>
      <c r="D1" s="40" t="s">
        <v>599</v>
      </c>
      <c r="E1" s="40" t="s">
        <v>601</v>
      </c>
      <c r="F1" s="40" t="s">
        <v>602</v>
      </c>
      <c r="G1" s="40" t="s">
        <v>603</v>
      </c>
      <c r="H1" s="40" t="s">
        <v>604</v>
      </c>
      <c r="I1" s="40" t="s">
        <v>365</v>
      </c>
      <c r="J1" s="40" t="s">
        <v>412</v>
      </c>
      <c r="K1" s="40" t="s">
        <v>600</v>
      </c>
      <c r="L1" s="40" t="s">
        <v>606</v>
      </c>
      <c r="M1" s="40" t="s">
        <v>605</v>
      </c>
      <c r="N1" s="40" t="s">
        <v>607</v>
      </c>
      <c r="O1" s="40" t="s">
        <v>1476</v>
      </c>
      <c r="P1" s="40" t="s">
        <v>1477</v>
      </c>
      <c r="Q1" s="40" t="s">
        <v>608</v>
      </c>
      <c r="R1" s="40" t="s">
        <v>609</v>
      </c>
      <c r="S1" s="40" t="s">
        <v>610</v>
      </c>
      <c r="T1" s="40" t="s">
        <v>611</v>
      </c>
      <c r="U1" s="40" t="s">
        <v>612</v>
      </c>
      <c r="V1" s="40" t="s">
        <v>613</v>
      </c>
      <c r="W1" s="40" t="s">
        <v>614</v>
      </c>
      <c r="X1" s="40" t="s">
        <v>615</v>
      </c>
      <c r="Y1" s="40" t="s">
        <v>616</v>
      </c>
      <c r="Z1" s="40" t="s">
        <v>305</v>
      </c>
      <c r="AA1" s="40" t="s">
        <v>823</v>
      </c>
    </row>
    <row r="2" customFormat="false" ht="15" hidden="false" customHeight="false" outlineLevel="0" collapsed="false">
      <c r="A2" s="0" t="s">
        <v>621</v>
      </c>
      <c r="B2" s="0" t="s">
        <v>1478</v>
      </c>
      <c r="C2" s="0" t="s">
        <v>1479</v>
      </c>
      <c r="D2" s="0" t="s">
        <v>1480</v>
      </c>
      <c r="E2" s="0" t="s">
        <v>1481</v>
      </c>
      <c r="F2" s="0" t="s">
        <v>1482</v>
      </c>
      <c r="G2" s="0" t="s">
        <v>1483</v>
      </c>
      <c r="H2" s="0" t="s">
        <v>1484</v>
      </c>
      <c r="I2" s="0" t="s">
        <v>476</v>
      </c>
      <c r="J2" s="0" t="s">
        <v>1485</v>
      </c>
      <c r="K2" s="0" t="s">
        <v>1486</v>
      </c>
      <c r="L2" s="0" t="s">
        <v>481</v>
      </c>
      <c r="M2" s="0" t="s">
        <v>1487</v>
      </c>
      <c r="N2" s="0" t="s">
        <v>486</v>
      </c>
      <c r="O2" s="0" t="s">
        <v>1488</v>
      </c>
      <c r="P2" s="0" t="s">
        <v>486</v>
      </c>
      <c r="Q2" s="0" t="s">
        <v>1489</v>
      </c>
      <c r="R2" s="0" t="s">
        <v>486</v>
      </c>
      <c r="S2" s="0" t="s">
        <v>486</v>
      </c>
      <c r="T2" s="0" t="s">
        <v>486</v>
      </c>
      <c r="U2" s="0" t="s">
        <v>486</v>
      </c>
      <c r="V2" s="0" t="s">
        <v>486</v>
      </c>
      <c r="W2" s="0" t="s">
        <v>486</v>
      </c>
      <c r="X2" s="0" t="s">
        <v>1490</v>
      </c>
      <c r="Y2" s="0" t="s">
        <v>486</v>
      </c>
      <c r="AA2" s="0" t="s">
        <v>599</v>
      </c>
    </row>
    <row r="3" customFormat="false" ht="15" hidden="false" customHeight="false" outlineLevel="0" collapsed="false">
      <c r="A3" s="0" t="s">
        <v>630</v>
      </c>
      <c r="B3" s="0" t="s">
        <v>1491</v>
      </c>
      <c r="C3" s="0" t="s">
        <v>1492</v>
      </c>
      <c r="D3" s="0" t="s">
        <v>1493</v>
      </c>
      <c r="E3" s="0" t="s">
        <v>1494</v>
      </c>
      <c r="F3" s="0" t="s">
        <v>1482</v>
      </c>
      <c r="G3" s="0" t="s">
        <v>1495</v>
      </c>
      <c r="H3" s="0" t="s">
        <v>1496</v>
      </c>
      <c r="I3" s="0" t="s">
        <v>519</v>
      </c>
      <c r="J3" s="0" t="s">
        <v>1497</v>
      </c>
      <c r="K3" s="0" t="s">
        <v>1498</v>
      </c>
      <c r="L3" s="0" t="s">
        <v>481</v>
      </c>
      <c r="M3" s="0" t="s">
        <v>1499</v>
      </c>
      <c r="N3" s="0" t="s">
        <v>486</v>
      </c>
      <c r="O3" s="0" t="s">
        <v>1488</v>
      </c>
      <c r="P3" s="0" t="s">
        <v>486</v>
      </c>
      <c r="Q3" s="0" t="s">
        <v>1500</v>
      </c>
      <c r="R3" s="0" t="s">
        <v>486</v>
      </c>
      <c r="S3" s="0" t="s">
        <v>486</v>
      </c>
      <c r="T3" s="0" t="s">
        <v>486</v>
      </c>
      <c r="U3" s="0" t="s">
        <v>486</v>
      </c>
      <c r="V3" s="0" t="s">
        <v>486</v>
      </c>
      <c r="W3" s="0" t="s">
        <v>486</v>
      </c>
      <c r="X3" s="0" t="s">
        <v>1490</v>
      </c>
      <c r="Y3" s="0" t="s">
        <v>486</v>
      </c>
      <c r="AA3" s="0" t="s">
        <v>599</v>
      </c>
    </row>
    <row r="4" customFormat="false" ht="15" hidden="false" customHeight="false" outlineLevel="0" collapsed="false">
      <c r="A4" s="0" t="s">
        <v>633</v>
      </c>
      <c r="B4" s="0" t="s">
        <v>1491</v>
      </c>
      <c r="C4" s="0" t="s">
        <v>1501</v>
      </c>
      <c r="D4" s="0" t="s">
        <v>1502</v>
      </c>
      <c r="E4" s="0" t="s">
        <v>1503</v>
      </c>
      <c r="F4" s="0" t="s">
        <v>1482</v>
      </c>
      <c r="G4" s="0" t="s">
        <v>1504</v>
      </c>
      <c r="H4" s="0" t="s">
        <v>1505</v>
      </c>
      <c r="I4" s="0" t="s">
        <v>534</v>
      </c>
      <c r="J4" s="0" t="s">
        <v>1506</v>
      </c>
      <c r="K4" s="0" t="s">
        <v>1507</v>
      </c>
      <c r="L4" s="0" t="s">
        <v>481</v>
      </c>
      <c r="M4" s="0" t="s">
        <v>1508</v>
      </c>
      <c r="N4" s="0" t="s">
        <v>486</v>
      </c>
      <c r="O4" s="0" t="s">
        <v>1488</v>
      </c>
      <c r="P4" s="0" t="s">
        <v>486</v>
      </c>
      <c r="Q4" s="0" t="s">
        <v>1509</v>
      </c>
      <c r="R4" s="0" t="s">
        <v>486</v>
      </c>
      <c r="S4" s="0" t="s">
        <v>486</v>
      </c>
      <c r="T4" s="0" t="s">
        <v>486</v>
      </c>
      <c r="U4" s="0" t="s">
        <v>486</v>
      </c>
      <c r="V4" s="0" t="s">
        <v>486</v>
      </c>
      <c r="W4" s="0" t="s">
        <v>486</v>
      </c>
      <c r="X4" s="0" t="s">
        <v>1490</v>
      </c>
      <c r="Y4" s="0" t="s">
        <v>486</v>
      </c>
      <c r="AA4" s="0" t="s">
        <v>599</v>
      </c>
    </row>
    <row r="5" customFormat="false" ht="15" hidden="false" customHeight="false" outlineLevel="0" collapsed="false">
      <c r="A5" s="0" t="s">
        <v>636</v>
      </c>
      <c r="B5" s="0" t="s">
        <v>1491</v>
      </c>
      <c r="C5" s="0" t="s">
        <v>1510</v>
      </c>
      <c r="D5" s="0" t="s">
        <v>1511</v>
      </c>
      <c r="E5" s="0" t="s">
        <v>1512</v>
      </c>
      <c r="F5" s="0" t="s">
        <v>1482</v>
      </c>
      <c r="G5" s="0" t="s">
        <v>1513</v>
      </c>
      <c r="H5" s="0" t="s">
        <v>1514</v>
      </c>
      <c r="I5" s="0" t="s">
        <v>551</v>
      </c>
      <c r="J5" s="0" t="s">
        <v>1485</v>
      </c>
      <c r="K5" s="0" t="s">
        <v>1515</v>
      </c>
      <c r="L5" s="0" t="s">
        <v>481</v>
      </c>
      <c r="M5" s="0" t="s">
        <v>1516</v>
      </c>
      <c r="N5" s="0" t="s">
        <v>486</v>
      </c>
      <c r="O5" s="0" t="s">
        <v>1488</v>
      </c>
      <c r="P5" s="0" t="s">
        <v>486</v>
      </c>
      <c r="Q5" s="0" t="s">
        <v>1517</v>
      </c>
      <c r="R5" s="0" t="s">
        <v>486</v>
      </c>
      <c r="S5" s="0" t="s">
        <v>486</v>
      </c>
      <c r="T5" s="0" t="s">
        <v>486</v>
      </c>
      <c r="U5" s="0" t="s">
        <v>486</v>
      </c>
      <c r="V5" s="0" t="s">
        <v>486</v>
      </c>
      <c r="W5" s="0" t="s">
        <v>486</v>
      </c>
      <c r="X5" s="0" t="s">
        <v>1490</v>
      </c>
      <c r="Y5" s="0" t="s">
        <v>486</v>
      </c>
      <c r="AA5" s="0" t="s">
        <v>599</v>
      </c>
    </row>
    <row r="6" customFormat="false" ht="15" hidden="false" customHeight="false" outlineLevel="0" collapsed="false">
      <c r="A6" s="0" t="s">
        <v>639</v>
      </c>
      <c r="B6" s="0" t="s">
        <v>1491</v>
      </c>
      <c r="C6" s="0" t="s">
        <v>1518</v>
      </c>
      <c r="D6" s="0" t="s">
        <v>1519</v>
      </c>
      <c r="E6" s="0" t="s">
        <v>1520</v>
      </c>
      <c r="F6" s="0" t="s">
        <v>1482</v>
      </c>
      <c r="G6" s="0" t="s">
        <v>1521</v>
      </c>
      <c r="H6" s="0" t="s">
        <v>1522</v>
      </c>
      <c r="I6" s="0" t="s">
        <v>565</v>
      </c>
      <c r="J6" s="0" t="s">
        <v>1485</v>
      </c>
      <c r="K6" s="0" t="s">
        <v>1523</v>
      </c>
      <c r="L6" s="0" t="s">
        <v>481</v>
      </c>
      <c r="M6" s="0" t="s">
        <v>1524</v>
      </c>
      <c r="N6" s="0" t="s">
        <v>486</v>
      </c>
      <c r="O6" s="0" t="s">
        <v>1488</v>
      </c>
      <c r="P6" s="0" t="s">
        <v>486</v>
      </c>
      <c r="Q6" s="0" t="s">
        <v>1525</v>
      </c>
      <c r="R6" s="0" t="s">
        <v>486</v>
      </c>
      <c r="S6" s="0" t="s">
        <v>486</v>
      </c>
      <c r="T6" s="0" t="s">
        <v>486</v>
      </c>
      <c r="U6" s="0" t="s">
        <v>486</v>
      </c>
      <c r="V6" s="0" t="s">
        <v>486</v>
      </c>
      <c r="W6" s="0" t="s">
        <v>486</v>
      </c>
      <c r="X6" s="0" t="s">
        <v>1490</v>
      </c>
      <c r="Y6" s="0" t="s">
        <v>486</v>
      </c>
      <c r="AA6" s="0" t="s">
        <v>599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19" min="2" style="0" width="18"/>
    <col collapsed="false" customWidth="true" hidden="false" outlineLevel="0" max="21" min="21" style="0" width="70"/>
  </cols>
  <sheetData>
    <row r="1" customFormat="false" ht="41.75" hidden="false" customHeight="false" outlineLevel="0" collapsed="false">
      <c r="A1" s="41" t="s">
        <v>1526</v>
      </c>
      <c r="B1" s="41" t="s">
        <v>1527</v>
      </c>
      <c r="C1" s="41" t="s">
        <v>1528</v>
      </c>
      <c r="D1" s="41" t="s">
        <v>1529</v>
      </c>
      <c r="E1" s="41" t="s">
        <v>1530</v>
      </c>
      <c r="F1" s="41" t="s">
        <v>1531</v>
      </c>
      <c r="G1" s="41" t="s">
        <v>1532</v>
      </c>
      <c r="H1" s="41" t="s">
        <v>1533</v>
      </c>
      <c r="I1" s="41" t="s">
        <v>1534</v>
      </c>
      <c r="J1" s="41" t="s">
        <v>1535</v>
      </c>
      <c r="K1" s="41" t="s">
        <v>1536</v>
      </c>
      <c r="L1" s="41" t="s">
        <v>1537</v>
      </c>
      <c r="M1" s="41" t="s">
        <v>1538</v>
      </c>
      <c r="N1" s="41" t="s">
        <v>1539</v>
      </c>
      <c r="O1" s="41" t="s">
        <v>1540</v>
      </c>
      <c r="P1" s="41" t="s">
        <v>1541</v>
      </c>
      <c r="Q1" s="41" t="s">
        <v>1542</v>
      </c>
      <c r="R1" s="41" t="s">
        <v>1543</v>
      </c>
      <c r="S1" s="41" t="s">
        <v>1544</v>
      </c>
      <c r="U1" s="23" t="s">
        <v>1545</v>
      </c>
    </row>
    <row r="2" customFormat="false" ht="15" hidden="false" customHeight="false" outlineLevel="0" collapsed="false">
      <c r="A2" s="42" t="n">
        <v>46338.5847222222</v>
      </c>
      <c r="B2" s="10" t="s">
        <v>1546</v>
      </c>
      <c r="C2" s="10" t="s">
        <v>1547</v>
      </c>
      <c r="D2" s="10" t="s">
        <v>1422</v>
      </c>
      <c r="E2" s="10" t="s">
        <v>1548</v>
      </c>
      <c r="F2" s="10" t="s">
        <v>1549</v>
      </c>
      <c r="G2" s="10" t="s">
        <v>1550</v>
      </c>
      <c r="H2" s="10" t="s">
        <v>1551</v>
      </c>
      <c r="I2" s="0" t="n">
        <v>48</v>
      </c>
      <c r="J2" s="10" t="s">
        <v>1552</v>
      </c>
      <c r="M2" s="10" t="s">
        <v>1553</v>
      </c>
      <c r="N2" s="10" t="s">
        <v>1439</v>
      </c>
      <c r="O2" s="10" t="s">
        <v>1554</v>
      </c>
      <c r="P2" s="10" t="s">
        <v>1555</v>
      </c>
      <c r="Q2" s="10" t="s">
        <v>1556</v>
      </c>
      <c r="S2" s="10" t="s">
        <v>1431</v>
      </c>
    </row>
    <row r="3" customFormat="false" ht="15" hidden="false" customHeight="false" outlineLevel="0" collapsed="false">
      <c r="A3" s="42" t="n">
        <v>46351.5861111111</v>
      </c>
      <c r="B3" s="10" t="s">
        <v>1557</v>
      </c>
      <c r="C3" s="10" t="s">
        <v>1558</v>
      </c>
      <c r="D3" s="10" t="s">
        <v>1422</v>
      </c>
      <c r="E3" s="10" t="s">
        <v>1559</v>
      </c>
      <c r="F3" s="10" t="s">
        <v>1560</v>
      </c>
      <c r="G3" s="10" t="s">
        <v>1561</v>
      </c>
      <c r="H3" s="10" t="s">
        <v>1562</v>
      </c>
      <c r="I3" s="0" t="n">
        <v>110</v>
      </c>
      <c r="J3" s="10" t="s">
        <v>1552</v>
      </c>
      <c r="M3" s="10" t="s">
        <v>1563</v>
      </c>
      <c r="N3" s="10" t="s">
        <v>1449</v>
      </c>
      <c r="O3" s="10" t="s">
        <v>1554</v>
      </c>
      <c r="P3" s="10" t="s">
        <v>1555</v>
      </c>
      <c r="Q3" s="10" t="s">
        <v>1564</v>
      </c>
      <c r="S3" s="10" t="s">
        <v>1431</v>
      </c>
    </row>
    <row r="4" customFormat="false" ht="15" hidden="false" customHeight="false" outlineLevel="0" collapsed="false">
      <c r="A4" s="42" t="n">
        <v>46388.5888888889</v>
      </c>
      <c r="B4" s="10" t="s">
        <v>1565</v>
      </c>
      <c r="C4" s="10" t="s">
        <v>1566</v>
      </c>
      <c r="D4" s="10" t="s">
        <v>1422</v>
      </c>
      <c r="E4" s="10" t="s">
        <v>1567</v>
      </c>
      <c r="F4" s="10" t="s">
        <v>1568</v>
      </c>
      <c r="G4" s="10" t="s">
        <v>1569</v>
      </c>
      <c r="H4" s="10" t="s">
        <v>1570</v>
      </c>
      <c r="I4" s="0" t="n">
        <v>80</v>
      </c>
      <c r="J4" s="10" t="s">
        <v>1552</v>
      </c>
      <c r="M4" s="10" t="s">
        <v>1553</v>
      </c>
      <c r="N4" s="10" t="s">
        <v>1439</v>
      </c>
      <c r="O4" s="10" t="s">
        <v>1571</v>
      </c>
      <c r="P4" s="10" t="s">
        <v>1555</v>
      </c>
      <c r="Q4" s="10" t="s">
        <v>1572</v>
      </c>
      <c r="S4" s="10" t="s">
        <v>1431</v>
      </c>
    </row>
    <row r="5" customFormat="false" ht="15" hidden="false" customHeight="false" outlineLevel="0" collapsed="false">
      <c r="A5" s="42" t="n">
        <v>46394.5902777778</v>
      </c>
      <c r="B5" s="10" t="s">
        <v>1573</v>
      </c>
      <c r="C5" s="10" t="s">
        <v>1574</v>
      </c>
      <c r="D5" s="10" t="s">
        <v>1422</v>
      </c>
      <c r="E5" s="10" t="s">
        <v>1575</v>
      </c>
      <c r="F5" s="10" t="s">
        <v>1576</v>
      </c>
      <c r="G5" s="10" t="s">
        <v>1577</v>
      </c>
      <c r="H5" s="10" t="s">
        <v>1426</v>
      </c>
      <c r="I5" s="0" t="n">
        <v>45</v>
      </c>
      <c r="J5" s="10" t="s">
        <v>1552</v>
      </c>
      <c r="M5" s="10" t="s">
        <v>1578</v>
      </c>
      <c r="N5" s="10" t="s">
        <v>1428</v>
      </c>
      <c r="O5" s="10" t="s">
        <v>1554</v>
      </c>
      <c r="P5" s="10" t="s">
        <v>1555</v>
      </c>
      <c r="Q5" s="10" t="s">
        <v>1579</v>
      </c>
      <c r="S5" s="10" t="s">
        <v>1431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A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5" min="2" style="0" width="18"/>
    <col collapsed="false" customWidth="true" hidden="false" outlineLevel="0" max="27" min="27" style="0" width="70"/>
  </cols>
  <sheetData>
    <row r="1" customFormat="false" ht="28.35" hidden="false" customHeight="false" outlineLevel="0" collapsed="false">
      <c r="A1" s="41" t="s">
        <v>1526</v>
      </c>
      <c r="B1" s="41" t="s">
        <v>1580</v>
      </c>
      <c r="C1" s="41" t="s">
        <v>1581</v>
      </c>
      <c r="D1" s="41" t="s">
        <v>1582</v>
      </c>
      <c r="E1" s="41" t="s">
        <v>1583</v>
      </c>
      <c r="F1" s="41" t="s">
        <v>1584</v>
      </c>
      <c r="G1" s="41" t="s">
        <v>1528</v>
      </c>
      <c r="H1" s="41" t="s">
        <v>1585</v>
      </c>
      <c r="I1" s="41" t="s">
        <v>1530</v>
      </c>
      <c r="J1" s="41" t="s">
        <v>1531</v>
      </c>
      <c r="K1" s="41" t="s">
        <v>1586</v>
      </c>
      <c r="L1" s="41" t="s">
        <v>1587</v>
      </c>
      <c r="M1" s="41" t="s">
        <v>1588</v>
      </c>
      <c r="N1" s="41" t="s">
        <v>1589</v>
      </c>
      <c r="O1" s="41" t="s">
        <v>1590</v>
      </c>
      <c r="P1" s="41" t="s">
        <v>1591</v>
      </c>
      <c r="Q1" s="41" t="s">
        <v>1592</v>
      </c>
      <c r="R1" s="41" t="s">
        <v>1593</v>
      </c>
      <c r="S1" s="41" t="s">
        <v>1594</v>
      </c>
      <c r="T1" s="41" t="s">
        <v>1595</v>
      </c>
      <c r="U1" s="41" t="s">
        <v>1596</v>
      </c>
      <c r="V1" s="41" t="s">
        <v>1597</v>
      </c>
      <c r="W1" s="41" t="s">
        <v>1598</v>
      </c>
      <c r="X1" s="41" t="s">
        <v>1599</v>
      </c>
      <c r="Y1" s="41" t="s">
        <v>1600</v>
      </c>
      <c r="AA1" s="23" t="s">
        <v>1601</v>
      </c>
    </row>
    <row r="2" customFormat="false" ht="15" hidden="false" customHeight="false" outlineLevel="0" collapsed="false">
      <c r="A2" s="42" t="n">
        <v>46345.5868055556</v>
      </c>
      <c r="B2" s="10" t="s">
        <v>1602</v>
      </c>
      <c r="C2" s="10" t="s">
        <v>1603</v>
      </c>
      <c r="D2" s="10" t="s">
        <v>500</v>
      </c>
      <c r="E2" s="10" t="s">
        <v>1604</v>
      </c>
      <c r="F2" s="10" t="s">
        <v>1605</v>
      </c>
      <c r="G2" s="10" t="s">
        <v>1606</v>
      </c>
      <c r="H2" s="10" t="s">
        <v>1482</v>
      </c>
      <c r="I2" s="10" t="s">
        <v>1607</v>
      </c>
      <c r="J2" s="10" t="s">
        <v>1608</v>
      </c>
      <c r="K2" s="10" t="s">
        <v>1609</v>
      </c>
      <c r="M2" s="10" t="s">
        <v>481</v>
      </c>
      <c r="N2" s="10" t="s">
        <v>1610</v>
      </c>
      <c r="O2" s="10" t="s">
        <v>1571</v>
      </c>
      <c r="P2" s="10" t="s">
        <v>1488</v>
      </c>
      <c r="Q2" s="10" t="s">
        <v>1571</v>
      </c>
      <c r="R2" s="10" t="s">
        <v>1571</v>
      </c>
      <c r="S2" s="10" t="s">
        <v>1571</v>
      </c>
      <c r="T2" s="10" t="s">
        <v>1571</v>
      </c>
      <c r="U2" s="10" t="s">
        <v>1571</v>
      </c>
      <c r="V2" s="10" t="s">
        <v>1571</v>
      </c>
      <c r="W2" s="10" t="s">
        <v>1490</v>
      </c>
      <c r="X2" s="10" t="s">
        <v>1611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U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s>
  <sheetData>
    <row r="1" customFormat="false" ht="15" hidden="false" customHeight="false" outlineLevel="0" collapsed="false">
      <c r="A1" s="29" t="s">
        <v>1416</v>
      </c>
      <c r="B1" s="29" t="s">
        <v>1417</v>
      </c>
      <c r="C1" s="29" t="s">
        <v>138</v>
      </c>
      <c r="D1" s="29" t="s">
        <v>601</v>
      </c>
      <c r="E1" s="29" t="s">
        <v>602</v>
      </c>
      <c r="F1" s="29" t="s">
        <v>603</v>
      </c>
      <c r="G1" s="29" t="s">
        <v>604</v>
      </c>
      <c r="H1" s="29" t="s">
        <v>654</v>
      </c>
      <c r="I1" s="29" t="s">
        <v>655</v>
      </c>
      <c r="J1" s="29" t="s">
        <v>656</v>
      </c>
      <c r="K1" s="29" t="s">
        <v>657</v>
      </c>
      <c r="L1" s="29" t="s">
        <v>658</v>
      </c>
      <c r="M1" s="29" t="s">
        <v>659</v>
      </c>
      <c r="N1" s="29" t="s">
        <v>660</v>
      </c>
      <c r="O1" s="29" t="s">
        <v>661</v>
      </c>
      <c r="P1" s="29" t="s">
        <v>662</v>
      </c>
      <c r="Q1" s="29" t="s">
        <v>663</v>
      </c>
      <c r="R1" s="29" t="s">
        <v>664</v>
      </c>
      <c r="S1" s="29" t="s">
        <v>665</v>
      </c>
      <c r="T1" s="29" t="s">
        <v>305</v>
      </c>
      <c r="U1" s="29" t="s">
        <v>823</v>
      </c>
    </row>
    <row r="2" customFormat="false" ht="15" hidden="false" customHeight="false" outlineLevel="0" collapsed="false">
      <c r="A2" s="30" t="str">
        <f aca="true">IF(INDIRECT("office_form!A"&amp;ROW())="","",TEXT(INDIRECT("office_form!A"&amp;ROW()),"yyyy-mm-dd""T""hh:mm:ss"))</f>
        <v>2026-11-12T14:02:00</v>
      </c>
      <c r="B2" s="30" t="str">
        <f aca="true">IF(INDIRECT("office_form!A"&amp;ROW())="","",config!$B$36)</f>
        <v>office-gform-1.0</v>
      </c>
      <c r="C2" s="30" t="str">
        <f aca="true">IF(INDIRECT("office_form!A"&amp;ROW())="","",IF(INDIRECT("office_form!B"&amp;ROW())="","",INDIRECT("office_form!B"&amp;ROW())))</f>
        <v>SAMPLE Ferro Architecture</v>
      </c>
      <c r="D2" s="30" t="str">
        <f aca="true">IF(INDIRECT("office_form!A"&amp;ROW())="","",IF(INDIRECT("office_form!C"&amp;ROW())="","",INDIRECT("office_form!C"&amp;ROW())))</f>
        <v>SAMPLE Owner 002</v>
      </c>
      <c r="E2" s="30" t="str">
        <f aca="true">IF(INDIRECT("office_form!A"&amp;ROW())="","",IF(INDIRECT("office_form!D"&amp;ROW())="","",INDIRECT("office_form!D"&amp;ROW())))</f>
        <v>SAMPLE Office Manager</v>
      </c>
      <c r="F2" s="30" t="str">
        <f aca="true">IF(INDIRECT("office_form!A"&amp;ROW())="","",IF(INDIRECT("office_form!E"&amp;ROW())="","",INDIRECT("office_form!E"&amp;ROW())))</f>
        <v>SAMPLE-owner-002@example.com</v>
      </c>
      <c r="G2" s="30" t="str">
        <f aca="true">IF(INDIRECT("office_form!A"&amp;ROW())="","",IF(INDIRECT("office_form!F"&amp;ROW())="","",INDIRECT("office_form!F"&amp;ROW())))</f>
        <v>SAMPLE (212) 555-0102</v>
      </c>
      <c r="H2" s="30" t="str">
        <f aca="true">IF(INDIRECT("office_form!A"&amp;ROW())="","",IF(INDIRECT("office_form!G"&amp;ROW())="","",INDIRECT("office_form!G"&amp;ROW())))</f>
        <v>SAMPLE 120 Example Avenue</v>
      </c>
      <c r="I2" s="30" t="str">
        <f aca="true">IF(INDIRECT("office_form!A"&amp;ROW())="","",IF(INDIRECT("office_form!H"&amp;ROW())="","",INDIRECT("office_form!H"&amp;ROW())))</f>
        <v>SAMPLE Floor 4</v>
      </c>
      <c r="J2" s="30" t="n">
        <f aca="true">IF(INDIRECT("office_form!A"&amp;ROW())="","",IF(INDIRECT("office_form!I"&amp;ROW())="","",INDIRECT("office_form!I"&amp;ROW())))</f>
        <v>48</v>
      </c>
      <c r="K2" s="30" t="str">
        <f aca="true">IF(INDIRECT("office_form!A"&amp;ROW())="","",IF($M2="Y",$D2,IF(INDIRECT("office_form!K"&amp;ROW())="","",INDIRECT("office_form!K"&amp;ROW()))))</f>
        <v>SAMPLE Owner 002</v>
      </c>
      <c r="L2" s="30" t="str">
        <f aca="true">IF(INDIRECT("office_form!A"&amp;ROW())="","",IF($M2="Y",$E2,IF(INDIRECT("office_form!L"&amp;ROW())="","",INDIRECT("office_form!L"&amp;ROW()))))</f>
        <v>SAMPLE Office Manager</v>
      </c>
      <c r="M2" s="30" t="str">
        <f aca="true">IF(INDIRECT("office_form!A"&amp;ROW())="","",IF(IF(INDIRECT("office_form!J"&amp;ROW())="","",INDIRECT("office_form!J"&amp;ROW()))="Yes, me","Y",IF(IF(INDIRECT("office_form!J"&amp;ROW())="","",INDIRECT("office_form!J"&amp;ROW()))="Someone else","N","")))</f>
        <v>Y</v>
      </c>
      <c r="N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2" s="30" t="str">
        <f aca="true">IF(INDIRECT("office_form!A"&amp;ROW())="","",IF(INDIRECT("office_form!N"&amp;ROW())="","",INDIRECT("office_form!N"&amp;ROW())))</f>
        <v>9 to 11 am</v>
      </c>
      <c r="P2" s="30" t="str">
        <f aca="true">IF(INDIRECT("office_form!A"&amp;ROW())="","",IF(IF(INDIRECT("office_form!O"&amp;ROW())="","",INDIRECT("office_form!O"&amp;ROW()))="Yes","yes",IF(IF(INDIRECT("office_form!O"&amp;ROW())="","",INDIRECT("office_form!O"&amp;ROW()))="No","no",IF(IF(INDIRECT("office_form!O"&amp;ROW())="","",INDIRECT("office_form!O"&amp;ROW()))="Not sure","unsure",""))))</f>
        <v>no</v>
      </c>
      <c r="Q2" s="30" t="str">
        <f aca="true">IF(INDIRECT("office_form!A"&amp;ROW())="","",IF(IF(INDIRECT("office_form!P"&amp;ROW())="","",INDIRECT("office_form!P"&amp;ROW()))="Slack","slack",IF(IF(INDIRECT("office_form!P"&amp;ROW())="","",INDIRECT("office_form!P"&amp;ROW()))="Email","email",IF(IF(INDIRECT("office_form!P"&amp;ROW())="","",INDIRECT("office_form!P"&amp;ROW()))="Other","other",""))))</f>
        <v>email</v>
      </c>
      <c r="R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chips-crisps;crackers-pretzels;bars;sparkling-soda</v>
      </c>
      <c r="S2" s="30" t="str">
        <f aca="true">IF(INDIRECT("office_form!A"&amp;ROW())="","",IF(INDIRECT("office_form!R"&amp;ROW())="","",INDIRECT("office_form!R"&amp;ROW())))</f>
        <v/>
      </c>
      <c r="T2" s="30" t="str">
        <f aca="true">IF(INDIRECT("office_form!A"&amp;ROW())="","",IF(INDIRECT("office_form!S"&amp;ROW())="","",INDIRECT("office_form!S"&amp;ROW())))</f>
        <v>SAMPLE intake note</v>
      </c>
      <c r="U2" s="30" t="str">
        <f aca="true">IF(INDIRECT("office_form!A"&amp;ROW())="","","founder")</f>
        <v>founder</v>
      </c>
    </row>
    <row r="3" customFormat="false" ht="15" hidden="false" customHeight="false" outlineLevel="0" collapsed="false">
      <c r="A3" s="30" t="str">
        <f aca="true">IF(INDIRECT("office_form!A"&amp;ROW())="","",TEXT(INDIRECT("office_form!A"&amp;ROW()),"yyyy-mm-dd""T""hh:mm:ss"))</f>
        <v>2026-11-25T14:04:00</v>
      </c>
      <c r="B3" s="30" t="str">
        <f aca="true">IF(INDIRECT("office_form!A"&amp;ROW())="","",config!$B$36)</f>
        <v>office-gform-1.0</v>
      </c>
      <c r="C3" s="30" t="str">
        <f aca="true">IF(INDIRECT("office_form!A"&amp;ROW())="","",IF(INDIRECT("office_form!B"&amp;ROW())="","",INDIRECT("office_form!B"&amp;ROW())))</f>
        <v>SAMPLE Union Food Fund</v>
      </c>
      <c r="D3" s="30" t="str">
        <f aca="true">IF(INDIRECT("office_form!A"&amp;ROW())="","",IF(INDIRECT("office_form!C"&amp;ROW())="","",INDIRECT("office_form!C"&amp;ROW())))</f>
        <v>SAMPLE Owner 004</v>
      </c>
      <c r="E3" s="30" t="str">
        <f aca="true">IF(INDIRECT("office_form!A"&amp;ROW())="","",IF(INDIRECT("office_form!D"&amp;ROW())="","",INDIRECT("office_form!D"&amp;ROW())))</f>
        <v>SAMPLE Office Manager</v>
      </c>
      <c r="F3" s="30" t="str">
        <f aca="true">IF(INDIRECT("office_form!A"&amp;ROW())="","",IF(INDIRECT("office_form!E"&amp;ROW())="","",INDIRECT("office_form!E"&amp;ROW())))</f>
        <v>SAMPLE-owner-004@example.com</v>
      </c>
      <c r="G3" s="30" t="str">
        <f aca="true">IF(INDIRECT("office_form!A"&amp;ROW())="","",IF(INDIRECT("office_form!F"&amp;ROW())="","",INDIRECT("office_form!F"&amp;ROW())))</f>
        <v>SAMPLE (212) 555-0104</v>
      </c>
      <c r="H3" s="30" t="str">
        <f aca="true">IF(INDIRECT("office_form!A"&amp;ROW())="","",IF(INDIRECT("office_form!G"&amp;ROW())="","",INDIRECT("office_form!G"&amp;ROW())))</f>
        <v>SAMPLE 140 Example Avenue</v>
      </c>
      <c r="I3" s="30" t="str">
        <f aca="true">IF(INDIRECT("office_form!A"&amp;ROW())="","",IF(INDIRECT("office_form!H"&amp;ROW())="","",INDIRECT("office_form!H"&amp;ROW())))</f>
        <v>SAMPLE Floor 6</v>
      </c>
      <c r="J3" s="30" t="n">
        <f aca="true">IF(INDIRECT("office_form!A"&amp;ROW())="","",IF(INDIRECT("office_form!I"&amp;ROW())="","",INDIRECT("office_form!I"&amp;ROW())))</f>
        <v>110</v>
      </c>
      <c r="K3" s="30" t="str">
        <f aca="true">IF(INDIRECT("office_form!A"&amp;ROW())="","",IF($M3="Y",$D3,IF(INDIRECT("office_form!K"&amp;ROW())="","",INDIRECT("office_form!K"&amp;ROW()))))</f>
        <v>SAMPLE Owner 004</v>
      </c>
      <c r="L3" s="30" t="str">
        <f aca="true">IF(INDIRECT("office_form!A"&amp;ROW())="","",IF($M3="Y",$E3,IF(INDIRECT("office_form!L"&amp;ROW())="","",INDIRECT("office_form!L"&amp;ROW()))))</f>
        <v>SAMPLE Office Manager</v>
      </c>
      <c r="M3" s="30" t="str">
        <f aca="true">IF(INDIRECT("office_form!A"&amp;ROW())="","",IF(IF(INDIRECT("office_form!J"&amp;ROW())="","",INDIRECT("office_form!J"&amp;ROW()))="Yes, me","Y",IF(IF(INDIRECT("office_form!J"&amp;ROW())="","",INDIRECT("office_form!J"&amp;ROW()))="Someone else","N","")))</f>
        <v>Y</v>
      </c>
      <c r="N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loading dock</v>
      </c>
      <c r="O3" s="30" t="str">
        <f aca="true">IF(INDIRECT("office_form!A"&amp;ROW())="","",IF(INDIRECT("office_form!N"&amp;ROW())="","",INDIRECT("office_form!N"&amp;ROW())))</f>
        <v>10 am to noon</v>
      </c>
      <c r="P3" s="30" t="str">
        <f aca="true">IF(INDIRECT("office_form!A"&amp;ROW())="","",IF(IF(INDIRECT("office_form!O"&amp;ROW())="","",INDIRECT("office_form!O"&amp;ROW()))="Yes","yes",IF(IF(INDIRECT("office_form!O"&amp;ROW())="","",INDIRECT("office_form!O"&amp;ROW()))="No","no",IF(IF(INDIRECT("office_form!O"&amp;ROW())="","",INDIRECT("office_form!O"&amp;ROW()))="Not sure","unsure",""))))</f>
        <v>no</v>
      </c>
      <c r="Q3" s="30" t="str">
        <f aca="true">IF(INDIRECT("office_form!A"&amp;ROW())="","",IF(IF(INDIRECT("office_form!P"&amp;ROW())="","",INDIRECT("office_form!P"&amp;ROW()))="Slack","slack",IF(IF(INDIRECT("office_form!P"&amp;ROW())="","",INDIRECT("office_form!P"&amp;ROW()))="Email","email",IF(IF(INDIRECT("office_form!P"&amp;ROW())="","",INDIRECT("office_form!P"&amp;ROW()))="Other","other",""))))</f>
        <v>email</v>
      </c>
      <c r="R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chips-crisps;bars;fruit-snacks;sparkling-soda</v>
      </c>
      <c r="S3" s="30" t="str">
        <f aca="true">IF(INDIRECT("office_form!A"&amp;ROW())="","",IF(INDIRECT("office_form!R"&amp;ROW())="","",INDIRECT("office_form!R"&amp;ROW())))</f>
        <v/>
      </c>
      <c r="T3" s="30" t="str">
        <f aca="true">IF(INDIRECT("office_form!A"&amp;ROW())="","",IF(INDIRECT("office_form!S"&amp;ROW())="","",INDIRECT("office_form!S"&amp;ROW())))</f>
        <v>SAMPLE intake note</v>
      </c>
      <c r="U3" s="30" t="str">
        <f aca="true">IF(INDIRECT("office_form!A"&amp;ROW())="","","founder")</f>
        <v>founder</v>
      </c>
    </row>
    <row r="4" customFormat="false" ht="15" hidden="false" customHeight="false" outlineLevel="0" collapsed="false">
      <c r="A4" s="30" t="str">
        <f aca="true">IF(INDIRECT("office_form!A"&amp;ROW())="","",TEXT(INDIRECT("office_form!A"&amp;ROW()),"yyyy-mm-dd""T""hh:mm:ss"))</f>
        <v>2027-01-01T14:08:00</v>
      </c>
      <c r="B4" s="30" t="str">
        <f aca="true">IF(INDIRECT("office_form!A"&amp;ROW())="","",config!$B$36)</f>
        <v>office-gform-1.0</v>
      </c>
      <c r="C4" s="30" t="str">
        <f aca="true">IF(INDIRECT("office_form!A"&amp;ROW())="","",IF(INDIRECT("office_form!B"&amp;ROW())="","",INDIRECT("office_form!B"&amp;ROW())))</f>
        <v>SAMPLE Larch Legal</v>
      </c>
      <c r="D4" s="30" t="str">
        <f aca="true">IF(INDIRECT("office_form!A"&amp;ROW())="","",IF(INDIRECT("office_form!C"&amp;ROW())="","",INDIRECT("office_form!C"&amp;ROW())))</f>
        <v>SAMPLE Owner 008</v>
      </c>
      <c r="E4" s="30" t="str">
        <f aca="true">IF(INDIRECT("office_form!A"&amp;ROW())="","",IF(INDIRECT("office_form!D"&amp;ROW())="","",INDIRECT("office_form!D"&amp;ROW())))</f>
        <v>SAMPLE Office Manager</v>
      </c>
      <c r="F4" s="30" t="str">
        <f aca="true">IF(INDIRECT("office_form!A"&amp;ROW())="","",IF(INDIRECT("office_form!E"&amp;ROW())="","",INDIRECT("office_form!E"&amp;ROW())))</f>
        <v>SAMPLE-owner-008@example.com</v>
      </c>
      <c r="G4" s="30" t="str">
        <f aca="true">IF(INDIRECT("office_form!A"&amp;ROW())="","",IF(INDIRECT("office_form!F"&amp;ROW())="","",INDIRECT("office_form!F"&amp;ROW())))</f>
        <v>SAMPLE (212) 555-0108</v>
      </c>
      <c r="H4" s="30" t="str">
        <f aca="true">IF(INDIRECT("office_form!A"&amp;ROW())="","",IF(INDIRECT("office_form!G"&amp;ROW())="","",INDIRECT("office_form!G"&amp;ROW())))</f>
        <v>SAMPLE 180 Example Avenue</v>
      </c>
      <c r="I4" s="30" t="str">
        <f aca="true">IF(INDIRECT("office_form!A"&amp;ROW())="","",IF(INDIRECT("office_form!H"&amp;ROW())="","",INDIRECT("office_form!H"&amp;ROW())))</f>
        <v>SAMPLE Floor 10</v>
      </c>
      <c r="J4" s="30" t="n">
        <f aca="true">IF(INDIRECT("office_form!A"&amp;ROW())="","",IF(INDIRECT("office_form!I"&amp;ROW())="","",INDIRECT("office_form!I"&amp;ROW())))</f>
        <v>80</v>
      </c>
      <c r="K4" s="30" t="str">
        <f aca="true">IF(INDIRECT("office_form!A"&amp;ROW())="","",IF($M4="Y",$D4,IF(INDIRECT("office_form!K"&amp;ROW())="","",INDIRECT("office_form!K"&amp;ROW()))))</f>
        <v>SAMPLE Owner 008</v>
      </c>
      <c r="L4" s="30" t="str">
        <f aca="true">IF(INDIRECT("office_form!A"&amp;ROW())="","",IF($M4="Y",$E4,IF(INDIRECT("office_form!L"&amp;ROW())="","",INDIRECT("office_form!L"&amp;ROW()))))</f>
        <v>SAMPLE Office Manager</v>
      </c>
      <c r="M4" s="30" t="str">
        <f aca="true">IF(INDIRECT("office_form!A"&amp;ROW())="","",IF(IF(INDIRECT("office_form!J"&amp;ROW())="","",INDIRECT("office_form!J"&amp;ROW()))="Yes, me","Y",IF(IF(INDIRECT("office_form!J"&amp;ROW())="","",INDIRECT("office_form!J"&amp;ROW()))="Someone else","N","")))</f>
        <v>Y</v>
      </c>
      <c r="N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front desk</v>
      </c>
      <c r="O4" s="30" t="str">
        <f aca="true">IF(INDIRECT("office_form!A"&amp;ROW())="","",IF(INDIRECT("office_form!N"&amp;ROW())="","",INDIRECT("office_form!N"&amp;ROW())))</f>
        <v>9 to 11 am</v>
      </c>
      <c r="P4" s="30" t="str">
        <f aca="true">IF(INDIRECT("office_form!A"&amp;ROW())="","",IF(IF(INDIRECT("office_form!O"&amp;ROW())="","",INDIRECT("office_form!O"&amp;ROW()))="Yes","yes",IF(IF(INDIRECT("office_form!O"&amp;ROW())="","",INDIRECT("office_form!O"&amp;ROW()))="No","no",IF(IF(INDIRECT("office_form!O"&amp;ROW())="","",INDIRECT("office_form!O"&amp;ROW()))="Not sure","unsure",""))))</f>
        <v>yes</v>
      </c>
      <c r="Q4" s="30" t="str">
        <f aca="true">IF(INDIRECT("office_form!A"&amp;ROW())="","",IF(IF(INDIRECT("office_form!P"&amp;ROW())="","",INDIRECT("office_form!P"&amp;ROW()))="Slack","slack",IF(IF(INDIRECT("office_form!P"&amp;ROW())="","",INDIRECT("office_form!P"&amp;ROW()))="Email","email",IF(IF(INDIRECT("office_form!P"&amp;ROW())="","",INDIRECT("office_form!P"&amp;ROW()))="Other","other",""))))</f>
        <v>email</v>
      </c>
      <c r="R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chips-crisps;bars;nuts-seeds-trail;fruit-snacks</v>
      </c>
      <c r="S4" s="30" t="str">
        <f aca="true">IF(INDIRECT("office_form!A"&amp;ROW())="","",IF(INDIRECT("office_form!R"&amp;ROW())="","",INDIRECT("office_form!R"&amp;ROW())))</f>
        <v/>
      </c>
      <c r="T4" s="30" t="str">
        <f aca="true">IF(INDIRECT("office_form!A"&amp;ROW())="","",IF(INDIRECT("office_form!S"&amp;ROW())="","",INDIRECT("office_form!S"&amp;ROW())))</f>
        <v>SAMPLE intake note</v>
      </c>
      <c r="U4" s="30" t="str">
        <f aca="true">IF(INDIRECT("office_form!A"&amp;ROW())="","","founder")</f>
        <v>founder</v>
      </c>
    </row>
    <row r="5" customFormat="false" ht="15" hidden="false" customHeight="false" outlineLevel="0" collapsed="false">
      <c r="A5" s="30" t="str">
        <f aca="true">IF(INDIRECT("office_form!A"&amp;ROW())="","",TEXT(INDIRECT("office_form!A"&amp;ROW()),"yyyy-mm-dd""T""hh:mm:ss"))</f>
        <v>2027-01-07T14:10:00</v>
      </c>
      <c r="B5" s="30" t="str">
        <f aca="true">IF(INDIRECT("office_form!A"&amp;ROW())="","",config!$B$36)</f>
        <v>office-gform-1.0</v>
      </c>
      <c r="C5" s="30" t="str">
        <f aca="true">IF(INDIRECT("office_form!A"&amp;ROW())="","",IF(INDIRECT("office_form!B"&amp;ROW())="","",INDIRECT("office_form!B"&amp;ROW())))</f>
        <v>SAMPLE Quill Nonprofit Press</v>
      </c>
      <c r="D5" s="30" t="str">
        <f aca="true">IF(INDIRECT("office_form!A"&amp;ROW())="","",IF(INDIRECT("office_form!C"&amp;ROW())="","",INDIRECT("office_form!C"&amp;ROW())))</f>
        <v>SAMPLE Owner 010</v>
      </c>
      <c r="E5" s="30" t="str">
        <f aca="true">IF(INDIRECT("office_form!A"&amp;ROW())="","",IF(INDIRECT("office_form!D"&amp;ROW())="","",INDIRECT("office_form!D"&amp;ROW())))</f>
        <v>SAMPLE Office Manager</v>
      </c>
      <c r="F5" s="30" t="str">
        <f aca="true">IF(INDIRECT("office_form!A"&amp;ROW())="","",IF(INDIRECT("office_form!E"&amp;ROW())="","",INDIRECT("office_form!E"&amp;ROW())))</f>
        <v>SAMPLE-owner-010@example.com</v>
      </c>
      <c r="G5" s="30" t="str">
        <f aca="true">IF(INDIRECT("office_form!A"&amp;ROW())="","",IF(INDIRECT("office_form!F"&amp;ROW())="","",INDIRECT("office_form!F"&amp;ROW())))</f>
        <v>SAMPLE (212) 555-0110</v>
      </c>
      <c r="H5" s="30" t="str">
        <f aca="true">IF(INDIRECT("office_form!A"&amp;ROW())="","",IF(INDIRECT("office_form!G"&amp;ROW())="","",INDIRECT("office_form!G"&amp;ROW())))</f>
        <v>SAMPLE 200 Example Avenue</v>
      </c>
      <c r="I5" s="30" t="str">
        <f aca="true">IF(INDIRECT("office_form!A"&amp;ROW())="","",IF(INDIRECT("office_form!H"&amp;ROW())="","",INDIRECT("office_form!H"&amp;ROW())))</f>
        <v>SAMPLE Floor 3</v>
      </c>
      <c r="J5" s="30" t="n">
        <f aca="true">IF(INDIRECT("office_form!A"&amp;ROW())="","",IF(INDIRECT("office_form!I"&amp;ROW())="","",INDIRECT("office_form!I"&amp;ROW())))</f>
        <v>45</v>
      </c>
      <c r="K5" s="30" t="str">
        <f aca="true">IF(INDIRECT("office_form!A"&amp;ROW())="","",IF($M5="Y",$D5,IF(INDIRECT("office_form!K"&amp;ROW())="","",INDIRECT("office_form!K"&amp;ROW()))))</f>
        <v>SAMPLE Owner 010</v>
      </c>
      <c r="L5" s="30" t="str">
        <f aca="true">IF(INDIRECT("office_form!A"&amp;ROW())="","",IF($M5="Y",$E5,IF(INDIRECT("office_form!L"&amp;ROW())="","",INDIRECT("office_form!L"&amp;ROW()))))</f>
        <v>SAMPLE Office Manager</v>
      </c>
      <c r="M5" s="30" t="str">
        <f aca="true">IF(INDIRECT("office_form!A"&amp;ROW())="","",IF(IF(INDIRECT("office_form!J"&amp;ROW())="","",INDIRECT("office_form!J"&amp;ROW()))="Yes, me","Y",IF(IF(INDIRECT("office_form!J"&amp;ROW())="","",INDIRECT("office_form!J"&amp;ROW()))="Someone else","N","")))</f>
        <v>Y</v>
      </c>
      <c r="N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walk-up</v>
      </c>
      <c r="O5" s="30" t="str">
        <f aca="true">IF(INDIRECT("office_form!A"&amp;ROW())="","",IF(INDIRECT("office_form!N"&amp;ROW())="","",INDIRECT("office_form!N"&amp;ROW())))</f>
        <v>8 to 10 am</v>
      </c>
      <c r="P5" s="30" t="str">
        <f aca="true">IF(INDIRECT("office_form!A"&amp;ROW())="","",IF(IF(INDIRECT("office_form!O"&amp;ROW())="","",INDIRECT("office_form!O"&amp;ROW()))="Yes","yes",IF(IF(INDIRECT("office_form!O"&amp;ROW())="","",INDIRECT("office_form!O"&amp;ROW()))="No","no",IF(IF(INDIRECT("office_form!O"&amp;ROW())="","",INDIRECT("office_form!O"&amp;ROW()))="Not sure","unsure",""))))</f>
        <v>no</v>
      </c>
      <c r="Q5" s="30" t="str">
        <f aca="true">IF(INDIRECT("office_form!A"&amp;ROW())="","",IF(IF(INDIRECT("office_form!P"&amp;ROW())="","",INDIRECT("office_form!P"&amp;ROW()))="Slack","slack",IF(IF(INDIRECT("office_form!P"&amp;ROW())="","",INDIRECT("office_form!P"&amp;ROW()))="Email","email",IF(IF(INDIRECT("office_form!P"&amp;ROW())="","",INDIRECT("office_form!P"&amp;ROW()))="Other","other",""))))</f>
        <v>email</v>
      </c>
      <c r="R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chips-crisps;bars;fruit-snacks;tea-juice</v>
      </c>
      <c r="S5" s="30" t="str">
        <f aca="true">IF(INDIRECT("office_form!A"&amp;ROW())="","",IF(INDIRECT("office_form!R"&amp;ROW())="","",INDIRECT("office_form!R"&amp;ROW())))</f>
        <v/>
      </c>
      <c r="T5" s="30" t="str">
        <f aca="true">IF(INDIRECT("office_form!A"&amp;ROW())="","",IF(INDIRECT("office_form!S"&amp;ROW())="","",INDIRECT("office_form!S"&amp;ROW())))</f>
        <v>SAMPLE intake note</v>
      </c>
      <c r="U5" s="30" t="str">
        <f aca="true">IF(INDIRECT("office_form!A"&amp;ROW())="","","founder")</f>
        <v>founder</v>
      </c>
    </row>
    <row r="6" customFormat="false" ht="15" hidden="false" customHeight="false" outlineLevel="0" collapsed="false">
      <c r="A6" s="30" t="str">
        <f aca="true">IF(INDIRECT("office_form!A"&amp;ROW())="","",TEXT(INDIRECT("office_form!A"&amp;ROW()),"yyyy-mm-dd""T""hh:mm:ss"))</f>
        <v/>
      </c>
      <c r="B6" s="30" t="str">
        <f aca="true">IF(INDIRECT("office_form!A"&amp;ROW())="","",config!$B$36)</f>
        <v/>
      </c>
      <c r="C6" s="30" t="str">
        <f aca="true">IF(INDIRECT("office_form!A"&amp;ROW())="","",IF(INDIRECT("office_form!B"&amp;ROW())="","",INDIRECT("office_form!B"&amp;ROW())))</f>
        <v/>
      </c>
      <c r="D6" s="30" t="str">
        <f aca="true">IF(INDIRECT("office_form!A"&amp;ROW())="","",IF(INDIRECT("office_form!C"&amp;ROW())="","",INDIRECT("office_form!C"&amp;ROW())))</f>
        <v/>
      </c>
      <c r="E6" s="30" t="str">
        <f aca="true">IF(INDIRECT("office_form!A"&amp;ROW())="","",IF(INDIRECT("office_form!D"&amp;ROW())="","",INDIRECT("office_form!D"&amp;ROW())))</f>
        <v/>
      </c>
      <c r="F6" s="30" t="str">
        <f aca="true">IF(INDIRECT("office_form!A"&amp;ROW())="","",IF(INDIRECT("office_form!E"&amp;ROW())="","",INDIRECT("office_form!E"&amp;ROW())))</f>
        <v/>
      </c>
      <c r="G6" s="30" t="str">
        <f aca="true">IF(INDIRECT("office_form!A"&amp;ROW())="","",IF(INDIRECT("office_form!F"&amp;ROW())="","",INDIRECT("office_form!F"&amp;ROW())))</f>
        <v/>
      </c>
      <c r="H6" s="30" t="str">
        <f aca="true">IF(INDIRECT("office_form!A"&amp;ROW())="","",IF(INDIRECT("office_form!G"&amp;ROW())="","",INDIRECT("office_form!G"&amp;ROW())))</f>
        <v/>
      </c>
      <c r="I6" s="30" t="str">
        <f aca="true">IF(INDIRECT("office_form!A"&amp;ROW())="","",IF(INDIRECT("office_form!H"&amp;ROW())="","",INDIRECT("office_form!H"&amp;ROW())))</f>
        <v/>
      </c>
      <c r="J6" s="30" t="str">
        <f aca="true">IF(INDIRECT("office_form!A"&amp;ROW())="","",IF(INDIRECT("office_form!I"&amp;ROW())="","",INDIRECT("office_form!I"&amp;ROW())))</f>
        <v/>
      </c>
      <c r="K6" s="30" t="str">
        <f aca="true">IF(INDIRECT("office_form!A"&amp;ROW())="","",IF($M6="Y",$D6,IF(INDIRECT("office_form!K"&amp;ROW())="","",INDIRECT("office_form!K"&amp;ROW()))))</f>
        <v/>
      </c>
      <c r="L6" s="30" t="str">
        <f aca="true">IF(INDIRECT("office_form!A"&amp;ROW())="","",IF($M6="Y",$E6,IF(INDIRECT("office_form!L"&amp;ROW())="","",INDIRECT("office_form!L"&amp;ROW()))))</f>
        <v/>
      </c>
      <c r="M6" s="30" t="str">
        <f aca="true">IF(INDIRECT("office_form!A"&amp;ROW())="","",IF(IF(INDIRECT("office_form!J"&amp;ROW())="","",INDIRECT("office_form!J"&amp;ROW()))="Yes, me","Y",IF(IF(INDIRECT("office_form!J"&amp;ROW())="","",INDIRECT("office_form!J"&amp;ROW()))="Someone else","N","")))</f>
        <v/>
      </c>
      <c r="N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30" t="str">
        <f aca="true">IF(INDIRECT("office_form!A"&amp;ROW())="","",IF(INDIRECT("office_form!N"&amp;ROW())="","",INDIRECT("office_form!N"&amp;ROW())))</f>
        <v/>
      </c>
      <c r="P6" s="30" t="str">
        <f aca="true">IF(INDIRECT("office_form!A"&amp;ROW())="","",IF(IF(INDIRECT("office_form!O"&amp;ROW())="","",INDIRECT("office_form!O"&amp;ROW()))="Yes","yes",IF(IF(INDIRECT("office_form!O"&amp;ROW())="","",INDIRECT("office_form!O"&amp;ROW()))="No","no",IF(IF(INDIRECT("office_form!O"&amp;ROW())="","",INDIRECT("office_form!O"&amp;ROW()))="Not sure","unsure",""))))</f>
        <v/>
      </c>
      <c r="Q6" s="30" t="str">
        <f aca="true">IF(INDIRECT("office_form!A"&amp;ROW())="","",IF(IF(INDIRECT("office_form!P"&amp;ROW())="","",INDIRECT("office_form!P"&amp;ROW()))="Slack","slack",IF(IF(INDIRECT("office_form!P"&amp;ROW())="","",INDIRECT("office_form!P"&amp;ROW()))="Email","email",IF(IF(INDIRECT("office_form!P"&amp;ROW())="","",INDIRECT("office_form!P"&amp;ROW()))="Other","other",""))))</f>
        <v/>
      </c>
      <c r="R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30" t="str">
        <f aca="true">IF(INDIRECT("office_form!A"&amp;ROW())="","",IF(INDIRECT("office_form!R"&amp;ROW())="","",INDIRECT("office_form!R"&amp;ROW())))</f>
        <v/>
      </c>
      <c r="T6" s="30" t="str">
        <f aca="true">IF(INDIRECT("office_form!A"&amp;ROW())="","",IF(INDIRECT("office_form!S"&amp;ROW())="","",INDIRECT("office_form!S"&amp;ROW())))</f>
        <v/>
      </c>
      <c r="U6" s="30" t="str">
        <f aca="true">IF(INDIRECT("office_form!A"&amp;ROW())="","","founder")</f>
        <v/>
      </c>
    </row>
    <row r="7" customFormat="false" ht="15" hidden="false" customHeight="false" outlineLevel="0" collapsed="false">
      <c r="A7" s="30" t="str">
        <f aca="true">IF(INDIRECT("office_form!A"&amp;ROW())="","",TEXT(INDIRECT("office_form!A"&amp;ROW()),"yyyy-mm-dd""T""hh:mm:ss"))</f>
        <v/>
      </c>
      <c r="B7" s="30" t="str">
        <f aca="true">IF(INDIRECT("office_form!A"&amp;ROW())="","",config!$B$36)</f>
        <v/>
      </c>
      <c r="C7" s="30" t="str">
        <f aca="true">IF(INDIRECT("office_form!A"&amp;ROW())="","",IF(INDIRECT("office_form!B"&amp;ROW())="","",INDIRECT("office_form!B"&amp;ROW())))</f>
        <v/>
      </c>
      <c r="D7" s="30" t="str">
        <f aca="true">IF(INDIRECT("office_form!A"&amp;ROW())="","",IF(INDIRECT("office_form!C"&amp;ROW())="","",INDIRECT("office_form!C"&amp;ROW())))</f>
        <v/>
      </c>
      <c r="E7" s="30" t="str">
        <f aca="true">IF(INDIRECT("office_form!A"&amp;ROW())="","",IF(INDIRECT("office_form!D"&amp;ROW())="","",INDIRECT("office_form!D"&amp;ROW())))</f>
        <v/>
      </c>
      <c r="F7" s="30" t="str">
        <f aca="true">IF(INDIRECT("office_form!A"&amp;ROW())="","",IF(INDIRECT("office_form!E"&amp;ROW())="","",INDIRECT("office_form!E"&amp;ROW())))</f>
        <v/>
      </c>
      <c r="G7" s="30" t="str">
        <f aca="true">IF(INDIRECT("office_form!A"&amp;ROW())="","",IF(INDIRECT("office_form!F"&amp;ROW())="","",INDIRECT("office_form!F"&amp;ROW())))</f>
        <v/>
      </c>
      <c r="H7" s="30" t="str">
        <f aca="true">IF(INDIRECT("office_form!A"&amp;ROW())="","",IF(INDIRECT("office_form!G"&amp;ROW())="","",INDIRECT("office_form!G"&amp;ROW())))</f>
        <v/>
      </c>
      <c r="I7" s="30" t="str">
        <f aca="true">IF(INDIRECT("office_form!A"&amp;ROW())="","",IF(INDIRECT("office_form!H"&amp;ROW())="","",INDIRECT("office_form!H"&amp;ROW())))</f>
        <v/>
      </c>
      <c r="J7" s="30" t="str">
        <f aca="true">IF(INDIRECT("office_form!A"&amp;ROW())="","",IF(INDIRECT("office_form!I"&amp;ROW())="","",INDIRECT("office_form!I"&amp;ROW())))</f>
        <v/>
      </c>
      <c r="K7" s="30" t="str">
        <f aca="true">IF(INDIRECT("office_form!A"&amp;ROW())="","",IF($M7="Y",$D7,IF(INDIRECT("office_form!K"&amp;ROW())="","",INDIRECT("office_form!K"&amp;ROW()))))</f>
        <v/>
      </c>
      <c r="L7" s="30" t="str">
        <f aca="true">IF(INDIRECT("office_form!A"&amp;ROW())="","",IF($M7="Y",$E7,IF(INDIRECT("office_form!L"&amp;ROW())="","",INDIRECT("office_form!L"&amp;ROW()))))</f>
        <v/>
      </c>
      <c r="M7" s="30" t="str">
        <f aca="true">IF(INDIRECT("office_form!A"&amp;ROW())="","",IF(IF(INDIRECT("office_form!J"&amp;ROW())="","",INDIRECT("office_form!J"&amp;ROW()))="Yes, me","Y",IF(IF(INDIRECT("office_form!J"&amp;ROW())="","",INDIRECT("office_form!J"&amp;ROW()))="Someone else","N","")))</f>
        <v/>
      </c>
      <c r="N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30" t="str">
        <f aca="true">IF(INDIRECT("office_form!A"&amp;ROW())="","",IF(INDIRECT("office_form!N"&amp;ROW())="","",INDIRECT("office_form!N"&amp;ROW())))</f>
        <v/>
      </c>
      <c r="P7" s="30" t="str">
        <f aca="true">IF(INDIRECT("office_form!A"&amp;ROW())="","",IF(IF(INDIRECT("office_form!O"&amp;ROW())="","",INDIRECT("office_form!O"&amp;ROW()))="Yes","yes",IF(IF(INDIRECT("office_form!O"&amp;ROW())="","",INDIRECT("office_form!O"&amp;ROW()))="No","no",IF(IF(INDIRECT("office_form!O"&amp;ROW())="","",INDIRECT("office_form!O"&amp;ROW()))="Not sure","unsure",""))))</f>
        <v/>
      </c>
      <c r="Q7" s="30" t="str">
        <f aca="true">IF(INDIRECT("office_form!A"&amp;ROW())="","",IF(IF(INDIRECT("office_form!P"&amp;ROW())="","",INDIRECT("office_form!P"&amp;ROW()))="Slack","slack",IF(IF(INDIRECT("office_form!P"&amp;ROW())="","",INDIRECT("office_form!P"&amp;ROW()))="Email","email",IF(IF(INDIRECT("office_form!P"&amp;ROW())="","",INDIRECT("office_form!P"&amp;ROW()))="Other","other",""))))</f>
        <v/>
      </c>
      <c r="R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30" t="str">
        <f aca="true">IF(INDIRECT("office_form!A"&amp;ROW())="","",IF(INDIRECT("office_form!R"&amp;ROW())="","",INDIRECT("office_form!R"&amp;ROW())))</f>
        <v/>
      </c>
      <c r="T7" s="30" t="str">
        <f aca="true">IF(INDIRECT("office_form!A"&amp;ROW())="","",IF(INDIRECT("office_form!S"&amp;ROW())="","",INDIRECT("office_form!S"&amp;ROW())))</f>
        <v/>
      </c>
      <c r="U7" s="30" t="str">
        <f aca="true">IF(INDIRECT("office_form!A"&amp;ROW())="","","founder")</f>
        <v/>
      </c>
    </row>
    <row r="8" customFormat="false" ht="15" hidden="false" customHeight="false" outlineLevel="0" collapsed="false">
      <c r="A8" s="30" t="str">
        <f aca="true">IF(INDIRECT("office_form!A"&amp;ROW())="","",TEXT(INDIRECT("office_form!A"&amp;ROW()),"yyyy-mm-dd""T""hh:mm:ss"))</f>
        <v/>
      </c>
      <c r="B8" s="30" t="str">
        <f aca="true">IF(INDIRECT("office_form!A"&amp;ROW())="","",config!$B$36)</f>
        <v/>
      </c>
      <c r="C8" s="30" t="str">
        <f aca="true">IF(INDIRECT("office_form!A"&amp;ROW())="","",IF(INDIRECT("office_form!B"&amp;ROW())="","",INDIRECT("office_form!B"&amp;ROW())))</f>
        <v/>
      </c>
      <c r="D8" s="30" t="str">
        <f aca="true">IF(INDIRECT("office_form!A"&amp;ROW())="","",IF(INDIRECT("office_form!C"&amp;ROW())="","",INDIRECT("office_form!C"&amp;ROW())))</f>
        <v/>
      </c>
      <c r="E8" s="30" t="str">
        <f aca="true">IF(INDIRECT("office_form!A"&amp;ROW())="","",IF(INDIRECT("office_form!D"&amp;ROW())="","",INDIRECT("office_form!D"&amp;ROW())))</f>
        <v/>
      </c>
      <c r="F8" s="30" t="str">
        <f aca="true">IF(INDIRECT("office_form!A"&amp;ROW())="","",IF(INDIRECT("office_form!E"&amp;ROW())="","",INDIRECT("office_form!E"&amp;ROW())))</f>
        <v/>
      </c>
      <c r="G8" s="30" t="str">
        <f aca="true">IF(INDIRECT("office_form!A"&amp;ROW())="","",IF(INDIRECT("office_form!F"&amp;ROW())="","",INDIRECT("office_form!F"&amp;ROW())))</f>
        <v/>
      </c>
      <c r="H8" s="30" t="str">
        <f aca="true">IF(INDIRECT("office_form!A"&amp;ROW())="","",IF(INDIRECT("office_form!G"&amp;ROW())="","",INDIRECT("office_form!G"&amp;ROW())))</f>
        <v/>
      </c>
      <c r="I8" s="30" t="str">
        <f aca="true">IF(INDIRECT("office_form!A"&amp;ROW())="","",IF(INDIRECT("office_form!H"&amp;ROW())="","",INDIRECT("office_form!H"&amp;ROW())))</f>
        <v/>
      </c>
      <c r="J8" s="30" t="str">
        <f aca="true">IF(INDIRECT("office_form!A"&amp;ROW())="","",IF(INDIRECT("office_form!I"&amp;ROW())="","",INDIRECT("office_form!I"&amp;ROW())))</f>
        <v/>
      </c>
      <c r="K8" s="30" t="str">
        <f aca="true">IF(INDIRECT("office_form!A"&amp;ROW())="","",IF($M8="Y",$D8,IF(INDIRECT("office_form!K"&amp;ROW())="","",INDIRECT("office_form!K"&amp;ROW()))))</f>
        <v/>
      </c>
      <c r="L8" s="30" t="str">
        <f aca="true">IF(INDIRECT("office_form!A"&amp;ROW())="","",IF($M8="Y",$E8,IF(INDIRECT("office_form!L"&amp;ROW())="","",INDIRECT("office_form!L"&amp;ROW()))))</f>
        <v/>
      </c>
      <c r="M8" s="30" t="str">
        <f aca="true">IF(INDIRECT("office_form!A"&amp;ROW())="","",IF(IF(INDIRECT("office_form!J"&amp;ROW())="","",INDIRECT("office_form!J"&amp;ROW()))="Yes, me","Y",IF(IF(INDIRECT("office_form!J"&amp;ROW())="","",INDIRECT("office_form!J"&amp;ROW()))="Someone else","N","")))</f>
        <v/>
      </c>
      <c r="N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30" t="str">
        <f aca="true">IF(INDIRECT("office_form!A"&amp;ROW())="","",IF(INDIRECT("office_form!N"&amp;ROW())="","",INDIRECT("office_form!N"&amp;ROW())))</f>
        <v/>
      </c>
      <c r="P8" s="30" t="str">
        <f aca="true">IF(INDIRECT("office_form!A"&amp;ROW())="","",IF(IF(INDIRECT("office_form!O"&amp;ROW())="","",INDIRECT("office_form!O"&amp;ROW()))="Yes","yes",IF(IF(INDIRECT("office_form!O"&amp;ROW())="","",INDIRECT("office_form!O"&amp;ROW()))="No","no",IF(IF(INDIRECT("office_form!O"&amp;ROW())="","",INDIRECT("office_form!O"&amp;ROW()))="Not sure","unsure",""))))</f>
        <v/>
      </c>
      <c r="Q8" s="30" t="str">
        <f aca="true">IF(INDIRECT("office_form!A"&amp;ROW())="","",IF(IF(INDIRECT("office_form!P"&amp;ROW())="","",INDIRECT("office_form!P"&amp;ROW()))="Slack","slack",IF(IF(INDIRECT("office_form!P"&amp;ROW())="","",INDIRECT("office_form!P"&amp;ROW()))="Email","email",IF(IF(INDIRECT("office_form!P"&amp;ROW())="","",INDIRECT("office_form!P"&amp;ROW()))="Other","other",""))))</f>
        <v/>
      </c>
      <c r="R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30" t="str">
        <f aca="true">IF(INDIRECT("office_form!A"&amp;ROW())="","",IF(INDIRECT("office_form!R"&amp;ROW())="","",INDIRECT("office_form!R"&amp;ROW())))</f>
        <v/>
      </c>
      <c r="T8" s="30" t="str">
        <f aca="true">IF(INDIRECT("office_form!A"&amp;ROW())="","",IF(INDIRECT("office_form!S"&amp;ROW())="","",INDIRECT("office_form!S"&amp;ROW())))</f>
        <v/>
      </c>
      <c r="U8" s="30" t="str">
        <f aca="true">IF(INDIRECT("office_form!A"&amp;ROW())="","","founder")</f>
        <v/>
      </c>
    </row>
    <row r="9" customFormat="false" ht="15" hidden="false" customHeight="false" outlineLevel="0" collapsed="false">
      <c r="A9" s="30" t="str">
        <f aca="true">IF(INDIRECT("office_form!A"&amp;ROW())="","",TEXT(INDIRECT("office_form!A"&amp;ROW()),"yyyy-mm-dd""T""hh:mm:ss"))</f>
        <v/>
      </c>
      <c r="B9" s="30" t="str">
        <f aca="true">IF(INDIRECT("office_form!A"&amp;ROW())="","",config!$B$36)</f>
        <v/>
      </c>
      <c r="C9" s="30" t="str">
        <f aca="true">IF(INDIRECT("office_form!A"&amp;ROW())="","",IF(INDIRECT("office_form!B"&amp;ROW())="","",INDIRECT("office_form!B"&amp;ROW())))</f>
        <v/>
      </c>
      <c r="D9" s="30" t="str">
        <f aca="true">IF(INDIRECT("office_form!A"&amp;ROW())="","",IF(INDIRECT("office_form!C"&amp;ROW())="","",INDIRECT("office_form!C"&amp;ROW())))</f>
        <v/>
      </c>
      <c r="E9" s="30" t="str">
        <f aca="true">IF(INDIRECT("office_form!A"&amp;ROW())="","",IF(INDIRECT("office_form!D"&amp;ROW())="","",INDIRECT("office_form!D"&amp;ROW())))</f>
        <v/>
      </c>
      <c r="F9" s="30" t="str">
        <f aca="true">IF(INDIRECT("office_form!A"&amp;ROW())="","",IF(INDIRECT("office_form!E"&amp;ROW())="","",INDIRECT("office_form!E"&amp;ROW())))</f>
        <v/>
      </c>
      <c r="G9" s="30" t="str">
        <f aca="true">IF(INDIRECT("office_form!A"&amp;ROW())="","",IF(INDIRECT("office_form!F"&amp;ROW())="","",INDIRECT("office_form!F"&amp;ROW())))</f>
        <v/>
      </c>
      <c r="H9" s="30" t="str">
        <f aca="true">IF(INDIRECT("office_form!A"&amp;ROW())="","",IF(INDIRECT("office_form!G"&amp;ROW())="","",INDIRECT("office_form!G"&amp;ROW())))</f>
        <v/>
      </c>
      <c r="I9" s="30" t="str">
        <f aca="true">IF(INDIRECT("office_form!A"&amp;ROW())="","",IF(INDIRECT("office_form!H"&amp;ROW())="","",INDIRECT("office_form!H"&amp;ROW())))</f>
        <v/>
      </c>
      <c r="J9" s="30" t="str">
        <f aca="true">IF(INDIRECT("office_form!A"&amp;ROW())="","",IF(INDIRECT("office_form!I"&amp;ROW())="","",INDIRECT("office_form!I"&amp;ROW())))</f>
        <v/>
      </c>
      <c r="K9" s="30" t="str">
        <f aca="true">IF(INDIRECT("office_form!A"&amp;ROW())="","",IF($M9="Y",$D9,IF(INDIRECT("office_form!K"&amp;ROW())="","",INDIRECT("office_form!K"&amp;ROW()))))</f>
        <v/>
      </c>
      <c r="L9" s="30" t="str">
        <f aca="true">IF(INDIRECT("office_form!A"&amp;ROW())="","",IF($M9="Y",$E9,IF(INDIRECT("office_form!L"&amp;ROW())="","",INDIRECT("office_form!L"&amp;ROW()))))</f>
        <v/>
      </c>
      <c r="M9" s="30" t="str">
        <f aca="true">IF(INDIRECT("office_form!A"&amp;ROW())="","",IF(IF(INDIRECT("office_form!J"&amp;ROW())="","",INDIRECT("office_form!J"&amp;ROW()))="Yes, me","Y",IF(IF(INDIRECT("office_form!J"&amp;ROW())="","",INDIRECT("office_form!J"&amp;ROW()))="Someone else","N","")))</f>
        <v/>
      </c>
      <c r="N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30" t="str">
        <f aca="true">IF(INDIRECT("office_form!A"&amp;ROW())="","",IF(INDIRECT("office_form!N"&amp;ROW())="","",INDIRECT("office_form!N"&amp;ROW())))</f>
        <v/>
      </c>
      <c r="P9" s="30" t="str">
        <f aca="true">IF(INDIRECT("office_form!A"&amp;ROW())="","",IF(IF(INDIRECT("office_form!O"&amp;ROW())="","",INDIRECT("office_form!O"&amp;ROW()))="Yes","yes",IF(IF(INDIRECT("office_form!O"&amp;ROW())="","",INDIRECT("office_form!O"&amp;ROW()))="No","no",IF(IF(INDIRECT("office_form!O"&amp;ROW())="","",INDIRECT("office_form!O"&amp;ROW()))="Not sure","unsure",""))))</f>
        <v/>
      </c>
      <c r="Q9" s="30" t="str">
        <f aca="true">IF(INDIRECT("office_form!A"&amp;ROW())="","",IF(IF(INDIRECT("office_form!P"&amp;ROW())="","",INDIRECT("office_form!P"&amp;ROW()))="Slack","slack",IF(IF(INDIRECT("office_form!P"&amp;ROW())="","",INDIRECT("office_form!P"&amp;ROW()))="Email","email",IF(IF(INDIRECT("office_form!P"&amp;ROW())="","",INDIRECT("office_form!P"&amp;ROW()))="Other","other",""))))</f>
        <v/>
      </c>
      <c r="R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30" t="str">
        <f aca="true">IF(INDIRECT("office_form!A"&amp;ROW())="","",IF(INDIRECT("office_form!R"&amp;ROW())="","",INDIRECT("office_form!R"&amp;ROW())))</f>
        <v/>
      </c>
      <c r="T9" s="30" t="str">
        <f aca="true">IF(INDIRECT("office_form!A"&amp;ROW())="","",IF(INDIRECT("office_form!S"&amp;ROW())="","",INDIRECT("office_form!S"&amp;ROW())))</f>
        <v/>
      </c>
      <c r="U9" s="30" t="str">
        <f aca="true">IF(INDIRECT("office_form!A"&amp;ROW())="","","founder")</f>
        <v/>
      </c>
    </row>
    <row r="10" customFormat="false" ht="15" hidden="false" customHeight="false" outlineLevel="0" collapsed="false">
      <c r="A10" s="30" t="str">
        <f aca="true">IF(INDIRECT("office_form!A"&amp;ROW())="","",TEXT(INDIRECT("office_form!A"&amp;ROW()),"yyyy-mm-dd""T""hh:mm:ss"))</f>
        <v/>
      </c>
      <c r="B10" s="30" t="str">
        <f aca="true">IF(INDIRECT("office_form!A"&amp;ROW())="","",config!$B$36)</f>
        <v/>
      </c>
      <c r="C10" s="30" t="str">
        <f aca="true">IF(INDIRECT("office_form!A"&amp;ROW())="","",IF(INDIRECT("office_form!B"&amp;ROW())="","",INDIRECT("office_form!B"&amp;ROW())))</f>
        <v/>
      </c>
      <c r="D10" s="30" t="str">
        <f aca="true">IF(INDIRECT("office_form!A"&amp;ROW())="","",IF(INDIRECT("office_form!C"&amp;ROW())="","",INDIRECT("office_form!C"&amp;ROW())))</f>
        <v/>
      </c>
      <c r="E10" s="30" t="str">
        <f aca="true">IF(INDIRECT("office_form!A"&amp;ROW())="","",IF(INDIRECT("office_form!D"&amp;ROW())="","",INDIRECT("office_form!D"&amp;ROW())))</f>
        <v/>
      </c>
      <c r="F10" s="30" t="str">
        <f aca="true">IF(INDIRECT("office_form!A"&amp;ROW())="","",IF(INDIRECT("office_form!E"&amp;ROW())="","",INDIRECT("office_form!E"&amp;ROW())))</f>
        <v/>
      </c>
      <c r="G10" s="30" t="str">
        <f aca="true">IF(INDIRECT("office_form!A"&amp;ROW())="","",IF(INDIRECT("office_form!F"&amp;ROW())="","",INDIRECT("office_form!F"&amp;ROW())))</f>
        <v/>
      </c>
      <c r="H10" s="30" t="str">
        <f aca="true">IF(INDIRECT("office_form!A"&amp;ROW())="","",IF(INDIRECT("office_form!G"&amp;ROW())="","",INDIRECT("office_form!G"&amp;ROW())))</f>
        <v/>
      </c>
      <c r="I10" s="30" t="str">
        <f aca="true">IF(INDIRECT("office_form!A"&amp;ROW())="","",IF(INDIRECT("office_form!H"&amp;ROW())="","",INDIRECT("office_form!H"&amp;ROW())))</f>
        <v/>
      </c>
      <c r="J10" s="30" t="str">
        <f aca="true">IF(INDIRECT("office_form!A"&amp;ROW())="","",IF(INDIRECT("office_form!I"&amp;ROW())="","",INDIRECT("office_form!I"&amp;ROW())))</f>
        <v/>
      </c>
      <c r="K10" s="30" t="str">
        <f aca="true">IF(INDIRECT("office_form!A"&amp;ROW())="","",IF($M10="Y",$D10,IF(INDIRECT("office_form!K"&amp;ROW())="","",INDIRECT("office_form!K"&amp;ROW()))))</f>
        <v/>
      </c>
      <c r="L10" s="30" t="str">
        <f aca="true">IF(INDIRECT("office_form!A"&amp;ROW())="","",IF($M10="Y",$E10,IF(INDIRECT("office_form!L"&amp;ROW())="","",INDIRECT("office_form!L"&amp;ROW()))))</f>
        <v/>
      </c>
      <c r="M10" s="30" t="str">
        <f aca="true">IF(INDIRECT("office_form!A"&amp;ROW())="","",IF(IF(INDIRECT("office_form!J"&amp;ROW())="","",INDIRECT("office_form!J"&amp;ROW()))="Yes, me","Y",IF(IF(INDIRECT("office_form!J"&amp;ROW())="","",INDIRECT("office_form!J"&amp;ROW()))="Someone else","N","")))</f>
        <v/>
      </c>
      <c r="N1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30" t="str">
        <f aca="true">IF(INDIRECT("office_form!A"&amp;ROW())="","",IF(INDIRECT("office_form!N"&amp;ROW())="","",INDIRECT("office_form!N"&amp;ROW())))</f>
        <v/>
      </c>
      <c r="P10" s="30" t="str">
        <f aca="true">IF(INDIRECT("office_form!A"&amp;ROW())="","",IF(IF(INDIRECT("office_form!O"&amp;ROW())="","",INDIRECT("office_form!O"&amp;ROW()))="Yes","yes",IF(IF(INDIRECT("office_form!O"&amp;ROW())="","",INDIRECT("office_form!O"&amp;ROW()))="No","no",IF(IF(INDIRECT("office_form!O"&amp;ROW())="","",INDIRECT("office_form!O"&amp;ROW()))="Not sure","unsure",""))))</f>
        <v/>
      </c>
      <c r="Q10" s="30" t="str">
        <f aca="true">IF(INDIRECT("office_form!A"&amp;ROW())="","",IF(IF(INDIRECT("office_form!P"&amp;ROW())="","",INDIRECT("office_form!P"&amp;ROW()))="Slack","slack",IF(IF(INDIRECT("office_form!P"&amp;ROW())="","",INDIRECT("office_form!P"&amp;ROW()))="Email","email",IF(IF(INDIRECT("office_form!P"&amp;ROW())="","",INDIRECT("office_form!P"&amp;ROW()))="Other","other",""))))</f>
        <v/>
      </c>
      <c r="R1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30" t="str">
        <f aca="true">IF(INDIRECT("office_form!A"&amp;ROW())="","",IF(INDIRECT("office_form!R"&amp;ROW())="","",INDIRECT("office_form!R"&amp;ROW())))</f>
        <v/>
      </c>
      <c r="T10" s="30" t="str">
        <f aca="true">IF(INDIRECT("office_form!A"&amp;ROW())="","",IF(INDIRECT("office_form!S"&amp;ROW())="","",INDIRECT("office_form!S"&amp;ROW())))</f>
        <v/>
      </c>
      <c r="U10" s="30" t="str">
        <f aca="true">IF(INDIRECT("office_form!A"&amp;ROW())="","","founder")</f>
        <v/>
      </c>
    </row>
    <row r="11" customFormat="false" ht="15" hidden="false" customHeight="false" outlineLevel="0" collapsed="false">
      <c r="A11" s="30" t="str">
        <f aca="true">IF(INDIRECT("office_form!A"&amp;ROW())="","",TEXT(INDIRECT("office_form!A"&amp;ROW()),"yyyy-mm-dd""T""hh:mm:ss"))</f>
        <v/>
      </c>
      <c r="B11" s="30" t="str">
        <f aca="true">IF(INDIRECT("office_form!A"&amp;ROW())="","",config!$B$36)</f>
        <v/>
      </c>
      <c r="C11" s="30" t="str">
        <f aca="true">IF(INDIRECT("office_form!A"&amp;ROW())="","",IF(INDIRECT("office_form!B"&amp;ROW())="","",INDIRECT("office_form!B"&amp;ROW())))</f>
        <v/>
      </c>
      <c r="D11" s="30" t="str">
        <f aca="true">IF(INDIRECT("office_form!A"&amp;ROW())="","",IF(INDIRECT("office_form!C"&amp;ROW())="","",INDIRECT("office_form!C"&amp;ROW())))</f>
        <v/>
      </c>
      <c r="E11" s="30" t="str">
        <f aca="true">IF(INDIRECT("office_form!A"&amp;ROW())="","",IF(INDIRECT("office_form!D"&amp;ROW())="","",INDIRECT("office_form!D"&amp;ROW())))</f>
        <v/>
      </c>
      <c r="F11" s="30" t="str">
        <f aca="true">IF(INDIRECT("office_form!A"&amp;ROW())="","",IF(INDIRECT("office_form!E"&amp;ROW())="","",INDIRECT("office_form!E"&amp;ROW())))</f>
        <v/>
      </c>
      <c r="G11" s="30" t="str">
        <f aca="true">IF(INDIRECT("office_form!A"&amp;ROW())="","",IF(INDIRECT("office_form!F"&amp;ROW())="","",INDIRECT("office_form!F"&amp;ROW())))</f>
        <v/>
      </c>
      <c r="H11" s="30" t="str">
        <f aca="true">IF(INDIRECT("office_form!A"&amp;ROW())="","",IF(INDIRECT("office_form!G"&amp;ROW())="","",INDIRECT("office_form!G"&amp;ROW())))</f>
        <v/>
      </c>
      <c r="I11" s="30" t="str">
        <f aca="true">IF(INDIRECT("office_form!A"&amp;ROW())="","",IF(INDIRECT("office_form!H"&amp;ROW())="","",INDIRECT("office_form!H"&amp;ROW())))</f>
        <v/>
      </c>
      <c r="J11" s="30" t="str">
        <f aca="true">IF(INDIRECT("office_form!A"&amp;ROW())="","",IF(INDIRECT("office_form!I"&amp;ROW())="","",INDIRECT("office_form!I"&amp;ROW())))</f>
        <v/>
      </c>
      <c r="K11" s="30" t="str">
        <f aca="true">IF(INDIRECT("office_form!A"&amp;ROW())="","",IF($M11="Y",$D11,IF(INDIRECT("office_form!K"&amp;ROW())="","",INDIRECT("office_form!K"&amp;ROW()))))</f>
        <v/>
      </c>
      <c r="L11" s="30" t="str">
        <f aca="true">IF(INDIRECT("office_form!A"&amp;ROW())="","",IF($M11="Y",$E11,IF(INDIRECT("office_form!L"&amp;ROW())="","",INDIRECT("office_form!L"&amp;ROW()))))</f>
        <v/>
      </c>
      <c r="M11" s="30" t="str">
        <f aca="true">IF(INDIRECT("office_form!A"&amp;ROW())="","",IF(IF(INDIRECT("office_form!J"&amp;ROW())="","",INDIRECT("office_form!J"&amp;ROW()))="Yes, me","Y",IF(IF(INDIRECT("office_form!J"&amp;ROW())="","",INDIRECT("office_form!J"&amp;ROW()))="Someone else","N","")))</f>
        <v/>
      </c>
      <c r="N1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30" t="str">
        <f aca="true">IF(INDIRECT("office_form!A"&amp;ROW())="","",IF(INDIRECT("office_form!N"&amp;ROW())="","",INDIRECT("office_form!N"&amp;ROW())))</f>
        <v/>
      </c>
      <c r="P11" s="30" t="str">
        <f aca="true">IF(INDIRECT("office_form!A"&amp;ROW())="","",IF(IF(INDIRECT("office_form!O"&amp;ROW())="","",INDIRECT("office_form!O"&amp;ROW()))="Yes","yes",IF(IF(INDIRECT("office_form!O"&amp;ROW())="","",INDIRECT("office_form!O"&amp;ROW()))="No","no",IF(IF(INDIRECT("office_form!O"&amp;ROW())="","",INDIRECT("office_form!O"&amp;ROW()))="Not sure","unsure",""))))</f>
        <v/>
      </c>
      <c r="Q11" s="30" t="str">
        <f aca="true">IF(INDIRECT("office_form!A"&amp;ROW())="","",IF(IF(INDIRECT("office_form!P"&amp;ROW())="","",INDIRECT("office_form!P"&amp;ROW()))="Slack","slack",IF(IF(INDIRECT("office_form!P"&amp;ROW())="","",INDIRECT("office_form!P"&amp;ROW()))="Email","email",IF(IF(INDIRECT("office_form!P"&amp;ROW())="","",INDIRECT("office_form!P"&amp;ROW()))="Other","other",""))))</f>
        <v/>
      </c>
      <c r="R1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30" t="str">
        <f aca="true">IF(INDIRECT("office_form!A"&amp;ROW())="","",IF(INDIRECT("office_form!R"&amp;ROW())="","",INDIRECT("office_form!R"&amp;ROW())))</f>
        <v/>
      </c>
      <c r="T11" s="30" t="str">
        <f aca="true">IF(INDIRECT("office_form!A"&amp;ROW())="","",IF(INDIRECT("office_form!S"&amp;ROW())="","",INDIRECT("office_form!S"&amp;ROW())))</f>
        <v/>
      </c>
      <c r="U11" s="30" t="str">
        <f aca="true">IF(INDIRECT("office_form!A"&amp;ROW())="","","founder")</f>
        <v/>
      </c>
    </row>
    <row r="12" customFormat="false" ht="15" hidden="false" customHeight="false" outlineLevel="0" collapsed="false">
      <c r="A12" s="30" t="str">
        <f aca="true">IF(INDIRECT("office_form!A"&amp;ROW())="","",TEXT(INDIRECT("office_form!A"&amp;ROW()),"yyyy-mm-dd""T""hh:mm:ss"))</f>
        <v/>
      </c>
      <c r="B12" s="30" t="str">
        <f aca="true">IF(INDIRECT("office_form!A"&amp;ROW())="","",config!$B$36)</f>
        <v/>
      </c>
      <c r="C12" s="30" t="str">
        <f aca="true">IF(INDIRECT("office_form!A"&amp;ROW())="","",IF(INDIRECT("office_form!B"&amp;ROW())="","",INDIRECT("office_form!B"&amp;ROW())))</f>
        <v/>
      </c>
      <c r="D12" s="30" t="str">
        <f aca="true">IF(INDIRECT("office_form!A"&amp;ROW())="","",IF(INDIRECT("office_form!C"&amp;ROW())="","",INDIRECT("office_form!C"&amp;ROW())))</f>
        <v/>
      </c>
      <c r="E12" s="30" t="str">
        <f aca="true">IF(INDIRECT("office_form!A"&amp;ROW())="","",IF(INDIRECT("office_form!D"&amp;ROW())="","",INDIRECT("office_form!D"&amp;ROW())))</f>
        <v/>
      </c>
      <c r="F12" s="30" t="str">
        <f aca="true">IF(INDIRECT("office_form!A"&amp;ROW())="","",IF(INDIRECT("office_form!E"&amp;ROW())="","",INDIRECT("office_form!E"&amp;ROW())))</f>
        <v/>
      </c>
      <c r="G12" s="30" t="str">
        <f aca="true">IF(INDIRECT("office_form!A"&amp;ROW())="","",IF(INDIRECT("office_form!F"&amp;ROW())="","",INDIRECT("office_form!F"&amp;ROW())))</f>
        <v/>
      </c>
      <c r="H12" s="30" t="str">
        <f aca="true">IF(INDIRECT("office_form!A"&amp;ROW())="","",IF(INDIRECT("office_form!G"&amp;ROW())="","",INDIRECT("office_form!G"&amp;ROW())))</f>
        <v/>
      </c>
      <c r="I12" s="30" t="str">
        <f aca="true">IF(INDIRECT("office_form!A"&amp;ROW())="","",IF(INDIRECT("office_form!H"&amp;ROW())="","",INDIRECT("office_form!H"&amp;ROW())))</f>
        <v/>
      </c>
      <c r="J12" s="30" t="str">
        <f aca="true">IF(INDIRECT("office_form!A"&amp;ROW())="","",IF(INDIRECT("office_form!I"&amp;ROW())="","",INDIRECT("office_form!I"&amp;ROW())))</f>
        <v/>
      </c>
      <c r="K12" s="30" t="str">
        <f aca="true">IF(INDIRECT("office_form!A"&amp;ROW())="","",IF($M12="Y",$D12,IF(INDIRECT("office_form!K"&amp;ROW())="","",INDIRECT("office_form!K"&amp;ROW()))))</f>
        <v/>
      </c>
      <c r="L12" s="30" t="str">
        <f aca="true">IF(INDIRECT("office_form!A"&amp;ROW())="","",IF($M12="Y",$E12,IF(INDIRECT("office_form!L"&amp;ROW())="","",INDIRECT("office_form!L"&amp;ROW()))))</f>
        <v/>
      </c>
      <c r="M12" s="30" t="str">
        <f aca="true">IF(INDIRECT("office_form!A"&amp;ROW())="","",IF(IF(INDIRECT("office_form!J"&amp;ROW())="","",INDIRECT("office_form!J"&amp;ROW()))="Yes, me","Y",IF(IF(INDIRECT("office_form!J"&amp;ROW())="","",INDIRECT("office_form!J"&amp;ROW()))="Someone else","N","")))</f>
        <v/>
      </c>
      <c r="N1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30" t="str">
        <f aca="true">IF(INDIRECT("office_form!A"&amp;ROW())="","",IF(INDIRECT("office_form!N"&amp;ROW())="","",INDIRECT("office_form!N"&amp;ROW())))</f>
        <v/>
      </c>
      <c r="P12" s="30" t="str">
        <f aca="true">IF(INDIRECT("office_form!A"&amp;ROW())="","",IF(IF(INDIRECT("office_form!O"&amp;ROW())="","",INDIRECT("office_form!O"&amp;ROW()))="Yes","yes",IF(IF(INDIRECT("office_form!O"&amp;ROW())="","",INDIRECT("office_form!O"&amp;ROW()))="No","no",IF(IF(INDIRECT("office_form!O"&amp;ROW())="","",INDIRECT("office_form!O"&amp;ROW()))="Not sure","unsure",""))))</f>
        <v/>
      </c>
      <c r="Q12" s="30" t="str">
        <f aca="true">IF(INDIRECT("office_form!A"&amp;ROW())="","",IF(IF(INDIRECT("office_form!P"&amp;ROW())="","",INDIRECT("office_form!P"&amp;ROW()))="Slack","slack",IF(IF(INDIRECT("office_form!P"&amp;ROW())="","",INDIRECT("office_form!P"&amp;ROW()))="Email","email",IF(IF(INDIRECT("office_form!P"&amp;ROW())="","",INDIRECT("office_form!P"&amp;ROW()))="Other","other",""))))</f>
        <v/>
      </c>
      <c r="R1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30" t="str">
        <f aca="true">IF(INDIRECT("office_form!A"&amp;ROW())="","",IF(INDIRECT("office_form!R"&amp;ROW())="","",INDIRECT("office_form!R"&amp;ROW())))</f>
        <v/>
      </c>
      <c r="T12" s="30" t="str">
        <f aca="true">IF(INDIRECT("office_form!A"&amp;ROW())="","",IF(INDIRECT("office_form!S"&amp;ROW())="","",INDIRECT("office_form!S"&amp;ROW())))</f>
        <v/>
      </c>
      <c r="U12" s="30" t="str">
        <f aca="true">IF(INDIRECT("office_form!A"&amp;ROW())="","","founder")</f>
        <v/>
      </c>
    </row>
    <row r="13" customFormat="false" ht="15" hidden="false" customHeight="false" outlineLevel="0" collapsed="false">
      <c r="A13" s="30" t="str">
        <f aca="true">IF(INDIRECT("office_form!A"&amp;ROW())="","",TEXT(INDIRECT("office_form!A"&amp;ROW()),"yyyy-mm-dd""T""hh:mm:ss"))</f>
        <v/>
      </c>
      <c r="B13" s="30" t="str">
        <f aca="true">IF(INDIRECT("office_form!A"&amp;ROW())="","",config!$B$36)</f>
        <v/>
      </c>
      <c r="C13" s="30" t="str">
        <f aca="true">IF(INDIRECT("office_form!A"&amp;ROW())="","",IF(INDIRECT("office_form!B"&amp;ROW())="","",INDIRECT("office_form!B"&amp;ROW())))</f>
        <v/>
      </c>
      <c r="D13" s="30" t="str">
        <f aca="true">IF(INDIRECT("office_form!A"&amp;ROW())="","",IF(INDIRECT("office_form!C"&amp;ROW())="","",INDIRECT("office_form!C"&amp;ROW())))</f>
        <v/>
      </c>
      <c r="E13" s="30" t="str">
        <f aca="true">IF(INDIRECT("office_form!A"&amp;ROW())="","",IF(INDIRECT("office_form!D"&amp;ROW())="","",INDIRECT("office_form!D"&amp;ROW())))</f>
        <v/>
      </c>
      <c r="F13" s="30" t="str">
        <f aca="true">IF(INDIRECT("office_form!A"&amp;ROW())="","",IF(INDIRECT("office_form!E"&amp;ROW())="","",INDIRECT("office_form!E"&amp;ROW())))</f>
        <v/>
      </c>
      <c r="G13" s="30" t="str">
        <f aca="true">IF(INDIRECT("office_form!A"&amp;ROW())="","",IF(INDIRECT("office_form!F"&amp;ROW())="","",INDIRECT("office_form!F"&amp;ROW())))</f>
        <v/>
      </c>
      <c r="H13" s="30" t="str">
        <f aca="true">IF(INDIRECT("office_form!A"&amp;ROW())="","",IF(INDIRECT("office_form!G"&amp;ROW())="","",INDIRECT("office_form!G"&amp;ROW())))</f>
        <v/>
      </c>
      <c r="I13" s="30" t="str">
        <f aca="true">IF(INDIRECT("office_form!A"&amp;ROW())="","",IF(INDIRECT("office_form!H"&amp;ROW())="","",INDIRECT("office_form!H"&amp;ROW())))</f>
        <v/>
      </c>
      <c r="J13" s="30" t="str">
        <f aca="true">IF(INDIRECT("office_form!A"&amp;ROW())="","",IF(INDIRECT("office_form!I"&amp;ROW())="","",INDIRECT("office_form!I"&amp;ROW())))</f>
        <v/>
      </c>
      <c r="K13" s="30" t="str">
        <f aca="true">IF(INDIRECT("office_form!A"&amp;ROW())="","",IF($M13="Y",$D13,IF(INDIRECT("office_form!K"&amp;ROW())="","",INDIRECT("office_form!K"&amp;ROW()))))</f>
        <v/>
      </c>
      <c r="L13" s="30" t="str">
        <f aca="true">IF(INDIRECT("office_form!A"&amp;ROW())="","",IF($M13="Y",$E13,IF(INDIRECT("office_form!L"&amp;ROW())="","",INDIRECT("office_form!L"&amp;ROW()))))</f>
        <v/>
      </c>
      <c r="M13" s="30" t="str">
        <f aca="true">IF(INDIRECT("office_form!A"&amp;ROW())="","",IF(IF(INDIRECT("office_form!J"&amp;ROW())="","",INDIRECT("office_form!J"&amp;ROW()))="Yes, me","Y",IF(IF(INDIRECT("office_form!J"&amp;ROW())="","",INDIRECT("office_form!J"&amp;ROW()))="Someone else","N","")))</f>
        <v/>
      </c>
      <c r="N1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30" t="str">
        <f aca="true">IF(INDIRECT("office_form!A"&amp;ROW())="","",IF(INDIRECT("office_form!N"&amp;ROW())="","",INDIRECT("office_form!N"&amp;ROW())))</f>
        <v/>
      </c>
      <c r="P13" s="30" t="str">
        <f aca="true">IF(INDIRECT("office_form!A"&amp;ROW())="","",IF(IF(INDIRECT("office_form!O"&amp;ROW())="","",INDIRECT("office_form!O"&amp;ROW()))="Yes","yes",IF(IF(INDIRECT("office_form!O"&amp;ROW())="","",INDIRECT("office_form!O"&amp;ROW()))="No","no",IF(IF(INDIRECT("office_form!O"&amp;ROW())="","",INDIRECT("office_form!O"&amp;ROW()))="Not sure","unsure",""))))</f>
        <v/>
      </c>
      <c r="Q13" s="30" t="str">
        <f aca="true">IF(INDIRECT("office_form!A"&amp;ROW())="","",IF(IF(INDIRECT("office_form!P"&amp;ROW())="","",INDIRECT("office_form!P"&amp;ROW()))="Slack","slack",IF(IF(INDIRECT("office_form!P"&amp;ROW())="","",INDIRECT("office_form!P"&amp;ROW()))="Email","email",IF(IF(INDIRECT("office_form!P"&amp;ROW())="","",INDIRECT("office_form!P"&amp;ROW()))="Other","other",""))))</f>
        <v/>
      </c>
      <c r="R1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30" t="str">
        <f aca="true">IF(INDIRECT("office_form!A"&amp;ROW())="","",IF(INDIRECT("office_form!R"&amp;ROW())="","",INDIRECT("office_form!R"&amp;ROW())))</f>
        <v/>
      </c>
      <c r="T13" s="30" t="str">
        <f aca="true">IF(INDIRECT("office_form!A"&amp;ROW())="","",IF(INDIRECT("office_form!S"&amp;ROW())="","",INDIRECT("office_form!S"&amp;ROW())))</f>
        <v/>
      </c>
      <c r="U13" s="30" t="str">
        <f aca="true">IF(INDIRECT("office_form!A"&amp;ROW())="","","founder")</f>
        <v/>
      </c>
    </row>
    <row r="14" customFormat="false" ht="15" hidden="false" customHeight="false" outlineLevel="0" collapsed="false">
      <c r="A14" s="30" t="str">
        <f aca="true">IF(INDIRECT("office_form!A"&amp;ROW())="","",TEXT(INDIRECT("office_form!A"&amp;ROW()),"yyyy-mm-dd""T""hh:mm:ss"))</f>
        <v/>
      </c>
      <c r="B14" s="30" t="str">
        <f aca="true">IF(INDIRECT("office_form!A"&amp;ROW())="","",config!$B$36)</f>
        <v/>
      </c>
      <c r="C14" s="30" t="str">
        <f aca="true">IF(INDIRECT("office_form!A"&amp;ROW())="","",IF(INDIRECT("office_form!B"&amp;ROW())="","",INDIRECT("office_form!B"&amp;ROW())))</f>
        <v/>
      </c>
      <c r="D14" s="30" t="str">
        <f aca="true">IF(INDIRECT("office_form!A"&amp;ROW())="","",IF(INDIRECT("office_form!C"&amp;ROW())="","",INDIRECT("office_form!C"&amp;ROW())))</f>
        <v/>
      </c>
      <c r="E14" s="30" t="str">
        <f aca="true">IF(INDIRECT("office_form!A"&amp;ROW())="","",IF(INDIRECT("office_form!D"&amp;ROW())="","",INDIRECT("office_form!D"&amp;ROW())))</f>
        <v/>
      </c>
      <c r="F14" s="30" t="str">
        <f aca="true">IF(INDIRECT("office_form!A"&amp;ROW())="","",IF(INDIRECT("office_form!E"&amp;ROW())="","",INDIRECT("office_form!E"&amp;ROW())))</f>
        <v/>
      </c>
      <c r="G14" s="30" t="str">
        <f aca="true">IF(INDIRECT("office_form!A"&amp;ROW())="","",IF(INDIRECT("office_form!F"&amp;ROW())="","",INDIRECT("office_form!F"&amp;ROW())))</f>
        <v/>
      </c>
      <c r="H14" s="30" t="str">
        <f aca="true">IF(INDIRECT("office_form!A"&amp;ROW())="","",IF(INDIRECT("office_form!G"&amp;ROW())="","",INDIRECT("office_form!G"&amp;ROW())))</f>
        <v/>
      </c>
      <c r="I14" s="30" t="str">
        <f aca="true">IF(INDIRECT("office_form!A"&amp;ROW())="","",IF(INDIRECT("office_form!H"&amp;ROW())="","",INDIRECT("office_form!H"&amp;ROW())))</f>
        <v/>
      </c>
      <c r="J14" s="30" t="str">
        <f aca="true">IF(INDIRECT("office_form!A"&amp;ROW())="","",IF(INDIRECT("office_form!I"&amp;ROW())="","",INDIRECT("office_form!I"&amp;ROW())))</f>
        <v/>
      </c>
      <c r="K14" s="30" t="str">
        <f aca="true">IF(INDIRECT("office_form!A"&amp;ROW())="","",IF($M14="Y",$D14,IF(INDIRECT("office_form!K"&amp;ROW())="","",INDIRECT("office_form!K"&amp;ROW()))))</f>
        <v/>
      </c>
      <c r="L14" s="30" t="str">
        <f aca="true">IF(INDIRECT("office_form!A"&amp;ROW())="","",IF($M14="Y",$E14,IF(INDIRECT("office_form!L"&amp;ROW())="","",INDIRECT("office_form!L"&amp;ROW()))))</f>
        <v/>
      </c>
      <c r="M14" s="30" t="str">
        <f aca="true">IF(INDIRECT("office_form!A"&amp;ROW())="","",IF(IF(INDIRECT("office_form!J"&amp;ROW())="","",INDIRECT("office_form!J"&amp;ROW()))="Yes, me","Y",IF(IF(INDIRECT("office_form!J"&amp;ROW())="","",INDIRECT("office_form!J"&amp;ROW()))="Someone else","N","")))</f>
        <v/>
      </c>
      <c r="N1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30" t="str">
        <f aca="true">IF(INDIRECT("office_form!A"&amp;ROW())="","",IF(INDIRECT("office_form!N"&amp;ROW())="","",INDIRECT("office_form!N"&amp;ROW())))</f>
        <v/>
      </c>
      <c r="P14" s="30" t="str">
        <f aca="true">IF(INDIRECT("office_form!A"&amp;ROW())="","",IF(IF(INDIRECT("office_form!O"&amp;ROW())="","",INDIRECT("office_form!O"&amp;ROW()))="Yes","yes",IF(IF(INDIRECT("office_form!O"&amp;ROW())="","",INDIRECT("office_form!O"&amp;ROW()))="No","no",IF(IF(INDIRECT("office_form!O"&amp;ROW())="","",INDIRECT("office_form!O"&amp;ROW()))="Not sure","unsure",""))))</f>
        <v/>
      </c>
      <c r="Q14" s="30" t="str">
        <f aca="true">IF(INDIRECT("office_form!A"&amp;ROW())="","",IF(IF(INDIRECT("office_form!P"&amp;ROW())="","",INDIRECT("office_form!P"&amp;ROW()))="Slack","slack",IF(IF(INDIRECT("office_form!P"&amp;ROW())="","",INDIRECT("office_form!P"&amp;ROW()))="Email","email",IF(IF(INDIRECT("office_form!P"&amp;ROW())="","",INDIRECT("office_form!P"&amp;ROW()))="Other","other",""))))</f>
        <v/>
      </c>
      <c r="R1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30" t="str">
        <f aca="true">IF(INDIRECT("office_form!A"&amp;ROW())="","",IF(INDIRECT("office_form!R"&amp;ROW())="","",INDIRECT("office_form!R"&amp;ROW())))</f>
        <v/>
      </c>
      <c r="T14" s="30" t="str">
        <f aca="true">IF(INDIRECT("office_form!A"&amp;ROW())="","",IF(INDIRECT("office_form!S"&amp;ROW())="","",INDIRECT("office_form!S"&amp;ROW())))</f>
        <v/>
      </c>
      <c r="U14" s="30" t="str">
        <f aca="true">IF(INDIRECT("office_form!A"&amp;ROW())="","","founder")</f>
        <v/>
      </c>
    </row>
    <row r="15" customFormat="false" ht="15" hidden="false" customHeight="false" outlineLevel="0" collapsed="false">
      <c r="A15" s="30" t="str">
        <f aca="true">IF(INDIRECT("office_form!A"&amp;ROW())="","",TEXT(INDIRECT("office_form!A"&amp;ROW()),"yyyy-mm-dd""T""hh:mm:ss"))</f>
        <v/>
      </c>
      <c r="B15" s="30" t="str">
        <f aca="true">IF(INDIRECT("office_form!A"&amp;ROW())="","",config!$B$36)</f>
        <v/>
      </c>
      <c r="C15" s="30" t="str">
        <f aca="true">IF(INDIRECT("office_form!A"&amp;ROW())="","",IF(INDIRECT("office_form!B"&amp;ROW())="","",INDIRECT("office_form!B"&amp;ROW())))</f>
        <v/>
      </c>
      <c r="D15" s="30" t="str">
        <f aca="true">IF(INDIRECT("office_form!A"&amp;ROW())="","",IF(INDIRECT("office_form!C"&amp;ROW())="","",INDIRECT("office_form!C"&amp;ROW())))</f>
        <v/>
      </c>
      <c r="E15" s="30" t="str">
        <f aca="true">IF(INDIRECT("office_form!A"&amp;ROW())="","",IF(INDIRECT("office_form!D"&amp;ROW())="","",INDIRECT("office_form!D"&amp;ROW())))</f>
        <v/>
      </c>
      <c r="F15" s="30" t="str">
        <f aca="true">IF(INDIRECT("office_form!A"&amp;ROW())="","",IF(INDIRECT("office_form!E"&amp;ROW())="","",INDIRECT("office_form!E"&amp;ROW())))</f>
        <v/>
      </c>
      <c r="G15" s="30" t="str">
        <f aca="true">IF(INDIRECT("office_form!A"&amp;ROW())="","",IF(INDIRECT("office_form!F"&amp;ROW())="","",INDIRECT("office_form!F"&amp;ROW())))</f>
        <v/>
      </c>
      <c r="H15" s="30" t="str">
        <f aca="true">IF(INDIRECT("office_form!A"&amp;ROW())="","",IF(INDIRECT("office_form!G"&amp;ROW())="","",INDIRECT("office_form!G"&amp;ROW())))</f>
        <v/>
      </c>
      <c r="I15" s="30" t="str">
        <f aca="true">IF(INDIRECT("office_form!A"&amp;ROW())="","",IF(INDIRECT("office_form!H"&amp;ROW())="","",INDIRECT("office_form!H"&amp;ROW())))</f>
        <v/>
      </c>
      <c r="J15" s="30" t="str">
        <f aca="true">IF(INDIRECT("office_form!A"&amp;ROW())="","",IF(INDIRECT("office_form!I"&amp;ROW())="","",INDIRECT("office_form!I"&amp;ROW())))</f>
        <v/>
      </c>
      <c r="K15" s="30" t="str">
        <f aca="true">IF(INDIRECT("office_form!A"&amp;ROW())="","",IF($M15="Y",$D15,IF(INDIRECT("office_form!K"&amp;ROW())="","",INDIRECT("office_form!K"&amp;ROW()))))</f>
        <v/>
      </c>
      <c r="L15" s="30" t="str">
        <f aca="true">IF(INDIRECT("office_form!A"&amp;ROW())="","",IF($M15="Y",$E15,IF(INDIRECT("office_form!L"&amp;ROW())="","",INDIRECT("office_form!L"&amp;ROW()))))</f>
        <v/>
      </c>
      <c r="M15" s="30" t="str">
        <f aca="true">IF(INDIRECT("office_form!A"&amp;ROW())="","",IF(IF(INDIRECT("office_form!J"&amp;ROW())="","",INDIRECT("office_form!J"&amp;ROW()))="Yes, me","Y",IF(IF(INDIRECT("office_form!J"&amp;ROW())="","",INDIRECT("office_form!J"&amp;ROW()))="Someone else","N","")))</f>
        <v/>
      </c>
      <c r="N1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30" t="str">
        <f aca="true">IF(INDIRECT("office_form!A"&amp;ROW())="","",IF(INDIRECT("office_form!N"&amp;ROW())="","",INDIRECT("office_form!N"&amp;ROW())))</f>
        <v/>
      </c>
      <c r="P15" s="30" t="str">
        <f aca="true">IF(INDIRECT("office_form!A"&amp;ROW())="","",IF(IF(INDIRECT("office_form!O"&amp;ROW())="","",INDIRECT("office_form!O"&amp;ROW()))="Yes","yes",IF(IF(INDIRECT("office_form!O"&amp;ROW())="","",INDIRECT("office_form!O"&amp;ROW()))="No","no",IF(IF(INDIRECT("office_form!O"&amp;ROW())="","",INDIRECT("office_form!O"&amp;ROW()))="Not sure","unsure",""))))</f>
        <v/>
      </c>
      <c r="Q15" s="30" t="str">
        <f aca="true">IF(INDIRECT("office_form!A"&amp;ROW())="","",IF(IF(INDIRECT("office_form!P"&amp;ROW())="","",INDIRECT("office_form!P"&amp;ROW()))="Slack","slack",IF(IF(INDIRECT("office_form!P"&amp;ROW())="","",INDIRECT("office_form!P"&amp;ROW()))="Email","email",IF(IF(INDIRECT("office_form!P"&amp;ROW())="","",INDIRECT("office_form!P"&amp;ROW()))="Other","other",""))))</f>
        <v/>
      </c>
      <c r="R1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30" t="str">
        <f aca="true">IF(INDIRECT("office_form!A"&amp;ROW())="","",IF(INDIRECT("office_form!R"&amp;ROW())="","",INDIRECT("office_form!R"&amp;ROW())))</f>
        <v/>
      </c>
      <c r="T15" s="30" t="str">
        <f aca="true">IF(INDIRECT("office_form!A"&amp;ROW())="","",IF(INDIRECT("office_form!S"&amp;ROW())="","",INDIRECT("office_form!S"&amp;ROW())))</f>
        <v/>
      </c>
      <c r="U15" s="30" t="str">
        <f aca="true">IF(INDIRECT("office_form!A"&amp;ROW())="","","founder")</f>
        <v/>
      </c>
    </row>
    <row r="16" customFormat="false" ht="15" hidden="false" customHeight="false" outlineLevel="0" collapsed="false">
      <c r="A16" s="30" t="str">
        <f aca="true">IF(INDIRECT("office_form!A"&amp;ROW())="","",TEXT(INDIRECT("office_form!A"&amp;ROW()),"yyyy-mm-dd""T""hh:mm:ss"))</f>
        <v/>
      </c>
      <c r="B16" s="30" t="str">
        <f aca="true">IF(INDIRECT("office_form!A"&amp;ROW())="","",config!$B$36)</f>
        <v/>
      </c>
      <c r="C16" s="30" t="str">
        <f aca="true">IF(INDIRECT("office_form!A"&amp;ROW())="","",IF(INDIRECT("office_form!B"&amp;ROW())="","",INDIRECT("office_form!B"&amp;ROW())))</f>
        <v/>
      </c>
      <c r="D16" s="30" t="str">
        <f aca="true">IF(INDIRECT("office_form!A"&amp;ROW())="","",IF(INDIRECT("office_form!C"&amp;ROW())="","",INDIRECT("office_form!C"&amp;ROW())))</f>
        <v/>
      </c>
      <c r="E16" s="30" t="str">
        <f aca="true">IF(INDIRECT("office_form!A"&amp;ROW())="","",IF(INDIRECT("office_form!D"&amp;ROW())="","",INDIRECT("office_form!D"&amp;ROW())))</f>
        <v/>
      </c>
      <c r="F16" s="30" t="str">
        <f aca="true">IF(INDIRECT("office_form!A"&amp;ROW())="","",IF(INDIRECT("office_form!E"&amp;ROW())="","",INDIRECT("office_form!E"&amp;ROW())))</f>
        <v/>
      </c>
      <c r="G16" s="30" t="str">
        <f aca="true">IF(INDIRECT("office_form!A"&amp;ROW())="","",IF(INDIRECT("office_form!F"&amp;ROW())="","",INDIRECT("office_form!F"&amp;ROW())))</f>
        <v/>
      </c>
      <c r="H16" s="30" t="str">
        <f aca="true">IF(INDIRECT("office_form!A"&amp;ROW())="","",IF(INDIRECT("office_form!G"&amp;ROW())="","",INDIRECT("office_form!G"&amp;ROW())))</f>
        <v/>
      </c>
      <c r="I16" s="30" t="str">
        <f aca="true">IF(INDIRECT("office_form!A"&amp;ROW())="","",IF(INDIRECT("office_form!H"&amp;ROW())="","",INDIRECT("office_form!H"&amp;ROW())))</f>
        <v/>
      </c>
      <c r="J16" s="30" t="str">
        <f aca="true">IF(INDIRECT("office_form!A"&amp;ROW())="","",IF(INDIRECT("office_form!I"&amp;ROW())="","",INDIRECT("office_form!I"&amp;ROW())))</f>
        <v/>
      </c>
      <c r="K16" s="30" t="str">
        <f aca="true">IF(INDIRECT("office_form!A"&amp;ROW())="","",IF($M16="Y",$D16,IF(INDIRECT("office_form!K"&amp;ROW())="","",INDIRECT("office_form!K"&amp;ROW()))))</f>
        <v/>
      </c>
      <c r="L16" s="30" t="str">
        <f aca="true">IF(INDIRECT("office_form!A"&amp;ROW())="","",IF($M16="Y",$E16,IF(INDIRECT("office_form!L"&amp;ROW())="","",INDIRECT("office_form!L"&amp;ROW()))))</f>
        <v/>
      </c>
      <c r="M16" s="30" t="str">
        <f aca="true">IF(INDIRECT("office_form!A"&amp;ROW())="","",IF(IF(INDIRECT("office_form!J"&amp;ROW())="","",INDIRECT("office_form!J"&amp;ROW()))="Yes, me","Y",IF(IF(INDIRECT("office_form!J"&amp;ROW())="","",INDIRECT("office_form!J"&amp;ROW()))="Someone else","N","")))</f>
        <v/>
      </c>
      <c r="N1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30" t="str">
        <f aca="true">IF(INDIRECT("office_form!A"&amp;ROW())="","",IF(INDIRECT("office_form!N"&amp;ROW())="","",INDIRECT("office_form!N"&amp;ROW())))</f>
        <v/>
      </c>
      <c r="P16" s="30" t="str">
        <f aca="true">IF(INDIRECT("office_form!A"&amp;ROW())="","",IF(IF(INDIRECT("office_form!O"&amp;ROW())="","",INDIRECT("office_form!O"&amp;ROW()))="Yes","yes",IF(IF(INDIRECT("office_form!O"&amp;ROW())="","",INDIRECT("office_form!O"&amp;ROW()))="No","no",IF(IF(INDIRECT("office_form!O"&amp;ROW())="","",INDIRECT("office_form!O"&amp;ROW()))="Not sure","unsure",""))))</f>
        <v/>
      </c>
      <c r="Q16" s="30" t="str">
        <f aca="true">IF(INDIRECT("office_form!A"&amp;ROW())="","",IF(IF(INDIRECT("office_form!P"&amp;ROW())="","",INDIRECT("office_form!P"&amp;ROW()))="Slack","slack",IF(IF(INDIRECT("office_form!P"&amp;ROW())="","",INDIRECT("office_form!P"&amp;ROW()))="Email","email",IF(IF(INDIRECT("office_form!P"&amp;ROW())="","",INDIRECT("office_form!P"&amp;ROW()))="Other","other",""))))</f>
        <v/>
      </c>
      <c r="R1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30" t="str">
        <f aca="true">IF(INDIRECT("office_form!A"&amp;ROW())="","",IF(INDIRECT("office_form!R"&amp;ROW())="","",INDIRECT("office_form!R"&amp;ROW())))</f>
        <v/>
      </c>
      <c r="T16" s="30" t="str">
        <f aca="true">IF(INDIRECT("office_form!A"&amp;ROW())="","",IF(INDIRECT("office_form!S"&amp;ROW())="","",INDIRECT("office_form!S"&amp;ROW())))</f>
        <v/>
      </c>
      <c r="U16" s="30" t="str">
        <f aca="true">IF(INDIRECT("office_form!A"&amp;ROW())="","","founder")</f>
        <v/>
      </c>
    </row>
    <row r="17" customFormat="false" ht="15" hidden="false" customHeight="false" outlineLevel="0" collapsed="false">
      <c r="A17" s="30" t="str">
        <f aca="true">IF(INDIRECT("office_form!A"&amp;ROW())="","",TEXT(INDIRECT("office_form!A"&amp;ROW()),"yyyy-mm-dd""T""hh:mm:ss"))</f>
        <v/>
      </c>
      <c r="B17" s="30" t="str">
        <f aca="true">IF(INDIRECT("office_form!A"&amp;ROW())="","",config!$B$36)</f>
        <v/>
      </c>
      <c r="C17" s="30" t="str">
        <f aca="true">IF(INDIRECT("office_form!A"&amp;ROW())="","",IF(INDIRECT("office_form!B"&amp;ROW())="","",INDIRECT("office_form!B"&amp;ROW())))</f>
        <v/>
      </c>
      <c r="D17" s="30" t="str">
        <f aca="true">IF(INDIRECT("office_form!A"&amp;ROW())="","",IF(INDIRECT("office_form!C"&amp;ROW())="","",INDIRECT("office_form!C"&amp;ROW())))</f>
        <v/>
      </c>
      <c r="E17" s="30" t="str">
        <f aca="true">IF(INDIRECT("office_form!A"&amp;ROW())="","",IF(INDIRECT("office_form!D"&amp;ROW())="","",INDIRECT("office_form!D"&amp;ROW())))</f>
        <v/>
      </c>
      <c r="F17" s="30" t="str">
        <f aca="true">IF(INDIRECT("office_form!A"&amp;ROW())="","",IF(INDIRECT("office_form!E"&amp;ROW())="","",INDIRECT("office_form!E"&amp;ROW())))</f>
        <v/>
      </c>
      <c r="G17" s="30" t="str">
        <f aca="true">IF(INDIRECT("office_form!A"&amp;ROW())="","",IF(INDIRECT("office_form!F"&amp;ROW())="","",INDIRECT("office_form!F"&amp;ROW())))</f>
        <v/>
      </c>
      <c r="H17" s="30" t="str">
        <f aca="true">IF(INDIRECT("office_form!A"&amp;ROW())="","",IF(INDIRECT("office_form!G"&amp;ROW())="","",INDIRECT("office_form!G"&amp;ROW())))</f>
        <v/>
      </c>
      <c r="I17" s="30" t="str">
        <f aca="true">IF(INDIRECT("office_form!A"&amp;ROW())="","",IF(INDIRECT("office_form!H"&amp;ROW())="","",INDIRECT("office_form!H"&amp;ROW())))</f>
        <v/>
      </c>
      <c r="J17" s="30" t="str">
        <f aca="true">IF(INDIRECT("office_form!A"&amp;ROW())="","",IF(INDIRECT("office_form!I"&amp;ROW())="","",INDIRECT("office_form!I"&amp;ROW())))</f>
        <v/>
      </c>
      <c r="K17" s="30" t="str">
        <f aca="true">IF(INDIRECT("office_form!A"&amp;ROW())="","",IF($M17="Y",$D17,IF(INDIRECT("office_form!K"&amp;ROW())="","",INDIRECT("office_form!K"&amp;ROW()))))</f>
        <v/>
      </c>
      <c r="L17" s="30" t="str">
        <f aca="true">IF(INDIRECT("office_form!A"&amp;ROW())="","",IF($M17="Y",$E17,IF(INDIRECT("office_form!L"&amp;ROW())="","",INDIRECT("office_form!L"&amp;ROW()))))</f>
        <v/>
      </c>
      <c r="M17" s="30" t="str">
        <f aca="true">IF(INDIRECT("office_form!A"&amp;ROW())="","",IF(IF(INDIRECT("office_form!J"&amp;ROW())="","",INDIRECT("office_form!J"&amp;ROW()))="Yes, me","Y",IF(IF(INDIRECT("office_form!J"&amp;ROW())="","",INDIRECT("office_form!J"&amp;ROW()))="Someone else","N","")))</f>
        <v/>
      </c>
      <c r="N1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30" t="str">
        <f aca="true">IF(INDIRECT("office_form!A"&amp;ROW())="","",IF(INDIRECT("office_form!N"&amp;ROW())="","",INDIRECT("office_form!N"&amp;ROW())))</f>
        <v/>
      </c>
      <c r="P17" s="30" t="str">
        <f aca="true">IF(INDIRECT("office_form!A"&amp;ROW())="","",IF(IF(INDIRECT("office_form!O"&amp;ROW())="","",INDIRECT("office_form!O"&amp;ROW()))="Yes","yes",IF(IF(INDIRECT("office_form!O"&amp;ROW())="","",INDIRECT("office_form!O"&amp;ROW()))="No","no",IF(IF(INDIRECT("office_form!O"&amp;ROW())="","",INDIRECT("office_form!O"&amp;ROW()))="Not sure","unsure",""))))</f>
        <v/>
      </c>
      <c r="Q17" s="30" t="str">
        <f aca="true">IF(INDIRECT("office_form!A"&amp;ROW())="","",IF(IF(INDIRECT("office_form!P"&amp;ROW())="","",INDIRECT("office_form!P"&amp;ROW()))="Slack","slack",IF(IF(INDIRECT("office_form!P"&amp;ROW())="","",INDIRECT("office_form!P"&amp;ROW()))="Email","email",IF(IF(INDIRECT("office_form!P"&amp;ROW())="","",INDIRECT("office_form!P"&amp;ROW()))="Other","other",""))))</f>
        <v/>
      </c>
      <c r="R1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30" t="str">
        <f aca="true">IF(INDIRECT("office_form!A"&amp;ROW())="","",IF(INDIRECT("office_form!R"&amp;ROW())="","",INDIRECT("office_form!R"&amp;ROW())))</f>
        <v/>
      </c>
      <c r="T17" s="30" t="str">
        <f aca="true">IF(INDIRECT("office_form!A"&amp;ROW())="","",IF(INDIRECT("office_form!S"&amp;ROW())="","",INDIRECT("office_form!S"&amp;ROW())))</f>
        <v/>
      </c>
      <c r="U17" s="30" t="str">
        <f aca="true">IF(INDIRECT("office_form!A"&amp;ROW())="","","founder")</f>
        <v/>
      </c>
    </row>
    <row r="18" customFormat="false" ht="15" hidden="false" customHeight="false" outlineLevel="0" collapsed="false">
      <c r="A18" s="30" t="str">
        <f aca="true">IF(INDIRECT("office_form!A"&amp;ROW())="","",TEXT(INDIRECT("office_form!A"&amp;ROW()),"yyyy-mm-dd""T""hh:mm:ss"))</f>
        <v/>
      </c>
      <c r="B18" s="30" t="str">
        <f aca="true">IF(INDIRECT("office_form!A"&amp;ROW())="","",config!$B$36)</f>
        <v/>
      </c>
      <c r="C18" s="30" t="str">
        <f aca="true">IF(INDIRECT("office_form!A"&amp;ROW())="","",IF(INDIRECT("office_form!B"&amp;ROW())="","",INDIRECT("office_form!B"&amp;ROW())))</f>
        <v/>
      </c>
      <c r="D18" s="30" t="str">
        <f aca="true">IF(INDIRECT("office_form!A"&amp;ROW())="","",IF(INDIRECT("office_form!C"&amp;ROW())="","",INDIRECT("office_form!C"&amp;ROW())))</f>
        <v/>
      </c>
      <c r="E18" s="30" t="str">
        <f aca="true">IF(INDIRECT("office_form!A"&amp;ROW())="","",IF(INDIRECT("office_form!D"&amp;ROW())="","",INDIRECT("office_form!D"&amp;ROW())))</f>
        <v/>
      </c>
      <c r="F18" s="30" t="str">
        <f aca="true">IF(INDIRECT("office_form!A"&amp;ROW())="","",IF(INDIRECT("office_form!E"&amp;ROW())="","",INDIRECT("office_form!E"&amp;ROW())))</f>
        <v/>
      </c>
      <c r="G18" s="30" t="str">
        <f aca="true">IF(INDIRECT("office_form!A"&amp;ROW())="","",IF(INDIRECT("office_form!F"&amp;ROW())="","",INDIRECT("office_form!F"&amp;ROW())))</f>
        <v/>
      </c>
      <c r="H18" s="30" t="str">
        <f aca="true">IF(INDIRECT("office_form!A"&amp;ROW())="","",IF(INDIRECT("office_form!G"&amp;ROW())="","",INDIRECT("office_form!G"&amp;ROW())))</f>
        <v/>
      </c>
      <c r="I18" s="30" t="str">
        <f aca="true">IF(INDIRECT("office_form!A"&amp;ROW())="","",IF(INDIRECT("office_form!H"&amp;ROW())="","",INDIRECT("office_form!H"&amp;ROW())))</f>
        <v/>
      </c>
      <c r="J18" s="30" t="str">
        <f aca="true">IF(INDIRECT("office_form!A"&amp;ROW())="","",IF(INDIRECT("office_form!I"&amp;ROW())="","",INDIRECT("office_form!I"&amp;ROW())))</f>
        <v/>
      </c>
      <c r="K18" s="30" t="str">
        <f aca="true">IF(INDIRECT("office_form!A"&amp;ROW())="","",IF($M18="Y",$D18,IF(INDIRECT("office_form!K"&amp;ROW())="","",INDIRECT("office_form!K"&amp;ROW()))))</f>
        <v/>
      </c>
      <c r="L18" s="30" t="str">
        <f aca="true">IF(INDIRECT("office_form!A"&amp;ROW())="","",IF($M18="Y",$E18,IF(INDIRECT("office_form!L"&amp;ROW())="","",INDIRECT("office_form!L"&amp;ROW()))))</f>
        <v/>
      </c>
      <c r="M18" s="30" t="str">
        <f aca="true">IF(INDIRECT("office_form!A"&amp;ROW())="","",IF(IF(INDIRECT("office_form!J"&amp;ROW())="","",INDIRECT("office_form!J"&amp;ROW()))="Yes, me","Y",IF(IF(INDIRECT("office_form!J"&amp;ROW())="","",INDIRECT("office_form!J"&amp;ROW()))="Someone else","N","")))</f>
        <v/>
      </c>
      <c r="N1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30" t="str">
        <f aca="true">IF(INDIRECT("office_form!A"&amp;ROW())="","",IF(INDIRECT("office_form!N"&amp;ROW())="","",INDIRECT("office_form!N"&amp;ROW())))</f>
        <v/>
      </c>
      <c r="P18" s="30" t="str">
        <f aca="true">IF(INDIRECT("office_form!A"&amp;ROW())="","",IF(IF(INDIRECT("office_form!O"&amp;ROW())="","",INDIRECT("office_form!O"&amp;ROW()))="Yes","yes",IF(IF(INDIRECT("office_form!O"&amp;ROW())="","",INDIRECT("office_form!O"&amp;ROW()))="No","no",IF(IF(INDIRECT("office_form!O"&amp;ROW())="","",INDIRECT("office_form!O"&amp;ROW()))="Not sure","unsure",""))))</f>
        <v/>
      </c>
      <c r="Q18" s="30" t="str">
        <f aca="true">IF(INDIRECT("office_form!A"&amp;ROW())="","",IF(IF(INDIRECT("office_form!P"&amp;ROW())="","",INDIRECT("office_form!P"&amp;ROW()))="Slack","slack",IF(IF(INDIRECT("office_form!P"&amp;ROW())="","",INDIRECT("office_form!P"&amp;ROW()))="Email","email",IF(IF(INDIRECT("office_form!P"&amp;ROW())="","",INDIRECT("office_form!P"&amp;ROW()))="Other","other",""))))</f>
        <v/>
      </c>
      <c r="R1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30" t="str">
        <f aca="true">IF(INDIRECT("office_form!A"&amp;ROW())="","",IF(INDIRECT("office_form!R"&amp;ROW())="","",INDIRECT("office_form!R"&amp;ROW())))</f>
        <v/>
      </c>
      <c r="T18" s="30" t="str">
        <f aca="true">IF(INDIRECT("office_form!A"&amp;ROW())="","",IF(INDIRECT("office_form!S"&amp;ROW())="","",INDIRECT("office_form!S"&amp;ROW())))</f>
        <v/>
      </c>
      <c r="U18" s="30" t="str">
        <f aca="true">IF(INDIRECT("office_form!A"&amp;ROW())="","","founder")</f>
        <v/>
      </c>
    </row>
    <row r="19" customFormat="false" ht="15" hidden="false" customHeight="false" outlineLevel="0" collapsed="false">
      <c r="A19" s="30" t="str">
        <f aca="true">IF(INDIRECT("office_form!A"&amp;ROW())="","",TEXT(INDIRECT("office_form!A"&amp;ROW()),"yyyy-mm-dd""T""hh:mm:ss"))</f>
        <v/>
      </c>
      <c r="B19" s="30" t="str">
        <f aca="true">IF(INDIRECT("office_form!A"&amp;ROW())="","",config!$B$36)</f>
        <v/>
      </c>
      <c r="C19" s="30" t="str">
        <f aca="true">IF(INDIRECT("office_form!A"&amp;ROW())="","",IF(INDIRECT("office_form!B"&amp;ROW())="","",INDIRECT("office_form!B"&amp;ROW())))</f>
        <v/>
      </c>
      <c r="D19" s="30" t="str">
        <f aca="true">IF(INDIRECT("office_form!A"&amp;ROW())="","",IF(INDIRECT("office_form!C"&amp;ROW())="","",INDIRECT("office_form!C"&amp;ROW())))</f>
        <v/>
      </c>
      <c r="E19" s="30" t="str">
        <f aca="true">IF(INDIRECT("office_form!A"&amp;ROW())="","",IF(INDIRECT("office_form!D"&amp;ROW())="","",INDIRECT("office_form!D"&amp;ROW())))</f>
        <v/>
      </c>
      <c r="F19" s="30" t="str">
        <f aca="true">IF(INDIRECT("office_form!A"&amp;ROW())="","",IF(INDIRECT("office_form!E"&amp;ROW())="","",INDIRECT("office_form!E"&amp;ROW())))</f>
        <v/>
      </c>
      <c r="G19" s="30" t="str">
        <f aca="true">IF(INDIRECT("office_form!A"&amp;ROW())="","",IF(INDIRECT("office_form!F"&amp;ROW())="","",INDIRECT("office_form!F"&amp;ROW())))</f>
        <v/>
      </c>
      <c r="H19" s="30" t="str">
        <f aca="true">IF(INDIRECT("office_form!A"&amp;ROW())="","",IF(INDIRECT("office_form!G"&amp;ROW())="","",INDIRECT("office_form!G"&amp;ROW())))</f>
        <v/>
      </c>
      <c r="I19" s="30" t="str">
        <f aca="true">IF(INDIRECT("office_form!A"&amp;ROW())="","",IF(INDIRECT("office_form!H"&amp;ROW())="","",INDIRECT("office_form!H"&amp;ROW())))</f>
        <v/>
      </c>
      <c r="J19" s="30" t="str">
        <f aca="true">IF(INDIRECT("office_form!A"&amp;ROW())="","",IF(INDIRECT("office_form!I"&amp;ROW())="","",INDIRECT("office_form!I"&amp;ROW())))</f>
        <v/>
      </c>
      <c r="K19" s="30" t="str">
        <f aca="true">IF(INDIRECT("office_form!A"&amp;ROW())="","",IF($M19="Y",$D19,IF(INDIRECT("office_form!K"&amp;ROW())="","",INDIRECT("office_form!K"&amp;ROW()))))</f>
        <v/>
      </c>
      <c r="L19" s="30" t="str">
        <f aca="true">IF(INDIRECT("office_form!A"&amp;ROW())="","",IF($M19="Y",$E19,IF(INDIRECT("office_form!L"&amp;ROW())="","",INDIRECT("office_form!L"&amp;ROW()))))</f>
        <v/>
      </c>
      <c r="M19" s="30" t="str">
        <f aca="true">IF(INDIRECT("office_form!A"&amp;ROW())="","",IF(IF(INDIRECT("office_form!J"&amp;ROW())="","",INDIRECT("office_form!J"&amp;ROW()))="Yes, me","Y",IF(IF(INDIRECT("office_form!J"&amp;ROW())="","",INDIRECT("office_form!J"&amp;ROW()))="Someone else","N","")))</f>
        <v/>
      </c>
      <c r="N1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30" t="str">
        <f aca="true">IF(INDIRECT("office_form!A"&amp;ROW())="","",IF(INDIRECT("office_form!N"&amp;ROW())="","",INDIRECT("office_form!N"&amp;ROW())))</f>
        <v/>
      </c>
      <c r="P19" s="30" t="str">
        <f aca="true">IF(INDIRECT("office_form!A"&amp;ROW())="","",IF(IF(INDIRECT("office_form!O"&amp;ROW())="","",INDIRECT("office_form!O"&amp;ROW()))="Yes","yes",IF(IF(INDIRECT("office_form!O"&amp;ROW())="","",INDIRECT("office_form!O"&amp;ROW()))="No","no",IF(IF(INDIRECT("office_form!O"&amp;ROW())="","",INDIRECT("office_form!O"&amp;ROW()))="Not sure","unsure",""))))</f>
        <v/>
      </c>
      <c r="Q19" s="30" t="str">
        <f aca="true">IF(INDIRECT("office_form!A"&amp;ROW())="","",IF(IF(INDIRECT("office_form!P"&amp;ROW())="","",INDIRECT("office_form!P"&amp;ROW()))="Slack","slack",IF(IF(INDIRECT("office_form!P"&amp;ROW())="","",INDIRECT("office_form!P"&amp;ROW()))="Email","email",IF(IF(INDIRECT("office_form!P"&amp;ROW())="","",INDIRECT("office_form!P"&amp;ROW()))="Other","other",""))))</f>
        <v/>
      </c>
      <c r="R1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30" t="str">
        <f aca="true">IF(INDIRECT("office_form!A"&amp;ROW())="","",IF(INDIRECT("office_form!R"&amp;ROW())="","",INDIRECT("office_form!R"&amp;ROW())))</f>
        <v/>
      </c>
      <c r="T19" s="30" t="str">
        <f aca="true">IF(INDIRECT("office_form!A"&amp;ROW())="","",IF(INDIRECT("office_form!S"&amp;ROW())="","",INDIRECT("office_form!S"&amp;ROW())))</f>
        <v/>
      </c>
      <c r="U19" s="30" t="str">
        <f aca="true">IF(INDIRECT("office_form!A"&amp;ROW())="","","founder")</f>
        <v/>
      </c>
    </row>
    <row r="20" customFormat="false" ht="15" hidden="false" customHeight="false" outlineLevel="0" collapsed="false">
      <c r="A20" s="30" t="str">
        <f aca="true">IF(INDIRECT("office_form!A"&amp;ROW())="","",TEXT(INDIRECT("office_form!A"&amp;ROW()),"yyyy-mm-dd""T""hh:mm:ss"))</f>
        <v/>
      </c>
      <c r="B20" s="30" t="str">
        <f aca="true">IF(INDIRECT("office_form!A"&amp;ROW())="","",config!$B$36)</f>
        <v/>
      </c>
      <c r="C20" s="30" t="str">
        <f aca="true">IF(INDIRECT("office_form!A"&amp;ROW())="","",IF(INDIRECT("office_form!B"&amp;ROW())="","",INDIRECT("office_form!B"&amp;ROW())))</f>
        <v/>
      </c>
      <c r="D20" s="30" t="str">
        <f aca="true">IF(INDIRECT("office_form!A"&amp;ROW())="","",IF(INDIRECT("office_form!C"&amp;ROW())="","",INDIRECT("office_form!C"&amp;ROW())))</f>
        <v/>
      </c>
      <c r="E20" s="30" t="str">
        <f aca="true">IF(INDIRECT("office_form!A"&amp;ROW())="","",IF(INDIRECT("office_form!D"&amp;ROW())="","",INDIRECT("office_form!D"&amp;ROW())))</f>
        <v/>
      </c>
      <c r="F20" s="30" t="str">
        <f aca="true">IF(INDIRECT("office_form!A"&amp;ROW())="","",IF(INDIRECT("office_form!E"&amp;ROW())="","",INDIRECT("office_form!E"&amp;ROW())))</f>
        <v/>
      </c>
      <c r="G20" s="30" t="str">
        <f aca="true">IF(INDIRECT("office_form!A"&amp;ROW())="","",IF(INDIRECT("office_form!F"&amp;ROW())="","",INDIRECT("office_form!F"&amp;ROW())))</f>
        <v/>
      </c>
      <c r="H20" s="30" t="str">
        <f aca="true">IF(INDIRECT("office_form!A"&amp;ROW())="","",IF(INDIRECT("office_form!G"&amp;ROW())="","",INDIRECT("office_form!G"&amp;ROW())))</f>
        <v/>
      </c>
      <c r="I20" s="30" t="str">
        <f aca="true">IF(INDIRECT("office_form!A"&amp;ROW())="","",IF(INDIRECT("office_form!H"&amp;ROW())="","",INDIRECT("office_form!H"&amp;ROW())))</f>
        <v/>
      </c>
      <c r="J20" s="30" t="str">
        <f aca="true">IF(INDIRECT("office_form!A"&amp;ROW())="","",IF(INDIRECT("office_form!I"&amp;ROW())="","",INDIRECT("office_form!I"&amp;ROW())))</f>
        <v/>
      </c>
      <c r="K20" s="30" t="str">
        <f aca="true">IF(INDIRECT("office_form!A"&amp;ROW())="","",IF($M20="Y",$D20,IF(INDIRECT("office_form!K"&amp;ROW())="","",INDIRECT("office_form!K"&amp;ROW()))))</f>
        <v/>
      </c>
      <c r="L20" s="30" t="str">
        <f aca="true">IF(INDIRECT("office_form!A"&amp;ROW())="","",IF($M20="Y",$E20,IF(INDIRECT("office_form!L"&amp;ROW())="","",INDIRECT("office_form!L"&amp;ROW()))))</f>
        <v/>
      </c>
      <c r="M20" s="30" t="str">
        <f aca="true">IF(INDIRECT("office_form!A"&amp;ROW())="","",IF(IF(INDIRECT("office_form!J"&amp;ROW())="","",INDIRECT("office_form!J"&amp;ROW()))="Yes, me","Y",IF(IF(INDIRECT("office_form!J"&amp;ROW())="","",INDIRECT("office_form!J"&amp;ROW()))="Someone else","N","")))</f>
        <v/>
      </c>
      <c r="N2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30" t="str">
        <f aca="true">IF(INDIRECT("office_form!A"&amp;ROW())="","",IF(INDIRECT("office_form!N"&amp;ROW())="","",INDIRECT("office_form!N"&amp;ROW())))</f>
        <v/>
      </c>
      <c r="P20" s="30" t="str">
        <f aca="true">IF(INDIRECT("office_form!A"&amp;ROW())="","",IF(IF(INDIRECT("office_form!O"&amp;ROW())="","",INDIRECT("office_form!O"&amp;ROW()))="Yes","yes",IF(IF(INDIRECT("office_form!O"&amp;ROW())="","",INDIRECT("office_form!O"&amp;ROW()))="No","no",IF(IF(INDIRECT("office_form!O"&amp;ROW())="","",INDIRECT("office_form!O"&amp;ROW()))="Not sure","unsure",""))))</f>
        <v/>
      </c>
      <c r="Q20" s="30" t="str">
        <f aca="true">IF(INDIRECT("office_form!A"&amp;ROW())="","",IF(IF(INDIRECT("office_form!P"&amp;ROW())="","",INDIRECT("office_form!P"&amp;ROW()))="Slack","slack",IF(IF(INDIRECT("office_form!P"&amp;ROW())="","",INDIRECT("office_form!P"&amp;ROW()))="Email","email",IF(IF(INDIRECT("office_form!P"&amp;ROW())="","",INDIRECT("office_form!P"&amp;ROW()))="Other","other",""))))</f>
        <v/>
      </c>
      <c r="R2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30" t="str">
        <f aca="true">IF(INDIRECT("office_form!A"&amp;ROW())="","",IF(INDIRECT("office_form!R"&amp;ROW())="","",INDIRECT("office_form!R"&amp;ROW())))</f>
        <v/>
      </c>
      <c r="T20" s="30" t="str">
        <f aca="true">IF(INDIRECT("office_form!A"&amp;ROW())="","",IF(INDIRECT("office_form!S"&amp;ROW())="","",INDIRECT("office_form!S"&amp;ROW())))</f>
        <v/>
      </c>
      <c r="U20" s="30" t="str">
        <f aca="true">IF(INDIRECT("office_form!A"&amp;ROW())="","","founder")</f>
        <v/>
      </c>
    </row>
    <row r="21" customFormat="false" ht="15" hidden="false" customHeight="false" outlineLevel="0" collapsed="false">
      <c r="A21" s="30" t="str">
        <f aca="true">IF(INDIRECT("office_form!A"&amp;ROW())="","",TEXT(INDIRECT("office_form!A"&amp;ROW()),"yyyy-mm-dd""T""hh:mm:ss"))</f>
        <v/>
      </c>
      <c r="B21" s="30" t="str">
        <f aca="true">IF(INDIRECT("office_form!A"&amp;ROW())="","",config!$B$36)</f>
        <v/>
      </c>
      <c r="C21" s="30" t="str">
        <f aca="true">IF(INDIRECT("office_form!A"&amp;ROW())="","",IF(INDIRECT("office_form!B"&amp;ROW())="","",INDIRECT("office_form!B"&amp;ROW())))</f>
        <v/>
      </c>
      <c r="D21" s="30" t="str">
        <f aca="true">IF(INDIRECT("office_form!A"&amp;ROW())="","",IF(INDIRECT("office_form!C"&amp;ROW())="","",INDIRECT("office_form!C"&amp;ROW())))</f>
        <v/>
      </c>
      <c r="E21" s="30" t="str">
        <f aca="true">IF(INDIRECT("office_form!A"&amp;ROW())="","",IF(INDIRECT("office_form!D"&amp;ROW())="","",INDIRECT("office_form!D"&amp;ROW())))</f>
        <v/>
      </c>
      <c r="F21" s="30" t="str">
        <f aca="true">IF(INDIRECT("office_form!A"&amp;ROW())="","",IF(INDIRECT("office_form!E"&amp;ROW())="","",INDIRECT("office_form!E"&amp;ROW())))</f>
        <v/>
      </c>
      <c r="G21" s="30" t="str">
        <f aca="true">IF(INDIRECT("office_form!A"&amp;ROW())="","",IF(INDIRECT("office_form!F"&amp;ROW())="","",INDIRECT("office_form!F"&amp;ROW())))</f>
        <v/>
      </c>
      <c r="H21" s="30" t="str">
        <f aca="true">IF(INDIRECT("office_form!A"&amp;ROW())="","",IF(INDIRECT("office_form!G"&amp;ROW())="","",INDIRECT("office_form!G"&amp;ROW())))</f>
        <v/>
      </c>
      <c r="I21" s="30" t="str">
        <f aca="true">IF(INDIRECT("office_form!A"&amp;ROW())="","",IF(INDIRECT("office_form!H"&amp;ROW())="","",INDIRECT("office_form!H"&amp;ROW())))</f>
        <v/>
      </c>
      <c r="J21" s="30" t="str">
        <f aca="true">IF(INDIRECT("office_form!A"&amp;ROW())="","",IF(INDIRECT("office_form!I"&amp;ROW())="","",INDIRECT("office_form!I"&amp;ROW())))</f>
        <v/>
      </c>
      <c r="K21" s="30" t="str">
        <f aca="true">IF(INDIRECT("office_form!A"&amp;ROW())="","",IF($M21="Y",$D21,IF(INDIRECT("office_form!K"&amp;ROW())="","",INDIRECT("office_form!K"&amp;ROW()))))</f>
        <v/>
      </c>
      <c r="L21" s="30" t="str">
        <f aca="true">IF(INDIRECT("office_form!A"&amp;ROW())="","",IF($M21="Y",$E21,IF(INDIRECT("office_form!L"&amp;ROW())="","",INDIRECT("office_form!L"&amp;ROW()))))</f>
        <v/>
      </c>
      <c r="M21" s="30" t="str">
        <f aca="true">IF(INDIRECT("office_form!A"&amp;ROW())="","",IF(IF(INDIRECT("office_form!J"&amp;ROW())="","",INDIRECT("office_form!J"&amp;ROW()))="Yes, me","Y",IF(IF(INDIRECT("office_form!J"&amp;ROW())="","",INDIRECT("office_form!J"&amp;ROW()))="Someone else","N","")))</f>
        <v/>
      </c>
      <c r="N2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30" t="str">
        <f aca="true">IF(INDIRECT("office_form!A"&amp;ROW())="","",IF(INDIRECT("office_form!N"&amp;ROW())="","",INDIRECT("office_form!N"&amp;ROW())))</f>
        <v/>
      </c>
      <c r="P21" s="30" t="str">
        <f aca="true">IF(INDIRECT("office_form!A"&amp;ROW())="","",IF(IF(INDIRECT("office_form!O"&amp;ROW())="","",INDIRECT("office_form!O"&amp;ROW()))="Yes","yes",IF(IF(INDIRECT("office_form!O"&amp;ROW())="","",INDIRECT("office_form!O"&amp;ROW()))="No","no",IF(IF(INDIRECT("office_form!O"&amp;ROW())="","",INDIRECT("office_form!O"&amp;ROW()))="Not sure","unsure",""))))</f>
        <v/>
      </c>
      <c r="Q21" s="30" t="str">
        <f aca="true">IF(INDIRECT("office_form!A"&amp;ROW())="","",IF(IF(INDIRECT("office_form!P"&amp;ROW())="","",INDIRECT("office_form!P"&amp;ROW()))="Slack","slack",IF(IF(INDIRECT("office_form!P"&amp;ROW())="","",INDIRECT("office_form!P"&amp;ROW()))="Email","email",IF(IF(INDIRECT("office_form!P"&amp;ROW())="","",INDIRECT("office_form!P"&amp;ROW()))="Other","other",""))))</f>
        <v/>
      </c>
      <c r="R2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30" t="str">
        <f aca="true">IF(INDIRECT("office_form!A"&amp;ROW())="","",IF(INDIRECT("office_form!R"&amp;ROW())="","",INDIRECT("office_form!R"&amp;ROW())))</f>
        <v/>
      </c>
      <c r="T21" s="30" t="str">
        <f aca="true">IF(INDIRECT("office_form!A"&amp;ROW())="","",IF(INDIRECT("office_form!S"&amp;ROW())="","",INDIRECT("office_form!S"&amp;ROW())))</f>
        <v/>
      </c>
      <c r="U21" s="30" t="str">
        <f aca="true">IF(INDIRECT("office_form!A"&amp;ROW())="","","founder")</f>
        <v/>
      </c>
    </row>
    <row r="22" customFormat="false" ht="15" hidden="false" customHeight="false" outlineLevel="0" collapsed="false">
      <c r="A22" s="30" t="str">
        <f aca="true">IF(INDIRECT("office_form!A"&amp;ROW())="","",TEXT(INDIRECT("office_form!A"&amp;ROW()),"yyyy-mm-dd""T""hh:mm:ss"))</f>
        <v/>
      </c>
      <c r="B22" s="30" t="str">
        <f aca="true">IF(INDIRECT("office_form!A"&amp;ROW())="","",config!$B$36)</f>
        <v/>
      </c>
      <c r="C22" s="30" t="str">
        <f aca="true">IF(INDIRECT("office_form!A"&amp;ROW())="","",IF(INDIRECT("office_form!B"&amp;ROW())="","",INDIRECT("office_form!B"&amp;ROW())))</f>
        <v/>
      </c>
      <c r="D22" s="30" t="str">
        <f aca="true">IF(INDIRECT("office_form!A"&amp;ROW())="","",IF(INDIRECT("office_form!C"&amp;ROW())="","",INDIRECT("office_form!C"&amp;ROW())))</f>
        <v/>
      </c>
      <c r="E22" s="30" t="str">
        <f aca="true">IF(INDIRECT("office_form!A"&amp;ROW())="","",IF(INDIRECT("office_form!D"&amp;ROW())="","",INDIRECT("office_form!D"&amp;ROW())))</f>
        <v/>
      </c>
      <c r="F22" s="30" t="str">
        <f aca="true">IF(INDIRECT("office_form!A"&amp;ROW())="","",IF(INDIRECT("office_form!E"&amp;ROW())="","",INDIRECT("office_form!E"&amp;ROW())))</f>
        <v/>
      </c>
      <c r="G22" s="30" t="str">
        <f aca="true">IF(INDIRECT("office_form!A"&amp;ROW())="","",IF(INDIRECT("office_form!F"&amp;ROW())="","",INDIRECT("office_form!F"&amp;ROW())))</f>
        <v/>
      </c>
      <c r="H22" s="30" t="str">
        <f aca="true">IF(INDIRECT("office_form!A"&amp;ROW())="","",IF(INDIRECT("office_form!G"&amp;ROW())="","",INDIRECT("office_form!G"&amp;ROW())))</f>
        <v/>
      </c>
      <c r="I22" s="30" t="str">
        <f aca="true">IF(INDIRECT("office_form!A"&amp;ROW())="","",IF(INDIRECT("office_form!H"&amp;ROW())="","",INDIRECT("office_form!H"&amp;ROW())))</f>
        <v/>
      </c>
      <c r="J22" s="30" t="str">
        <f aca="true">IF(INDIRECT("office_form!A"&amp;ROW())="","",IF(INDIRECT("office_form!I"&amp;ROW())="","",INDIRECT("office_form!I"&amp;ROW())))</f>
        <v/>
      </c>
      <c r="K22" s="30" t="str">
        <f aca="true">IF(INDIRECT("office_form!A"&amp;ROW())="","",IF($M22="Y",$D22,IF(INDIRECT("office_form!K"&amp;ROW())="","",INDIRECT("office_form!K"&amp;ROW()))))</f>
        <v/>
      </c>
      <c r="L22" s="30" t="str">
        <f aca="true">IF(INDIRECT("office_form!A"&amp;ROW())="","",IF($M22="Y",$E22,IF(INDIRECT("office_form!L"&amp;ROW())="","",INDIRECT("office_form!L"&amp;ROW()))))</f>
        <v/>
      </c>
      <c r="M22" s="30" t="str">
        <f aca="true">IF(INDIRECT("office_form!A"&amp;ROW())="","",IF(IF(INDIRECT("office_form!J"&amp;ROW())="","",INDIRECT("office_form!J"&amp;ROW()))="Yes, me","Y",IF(IF(INDIRECT("office_form!J"&amp;ROW())="","",INDIRECT("office_form!J"&amp;ROW()))="Someone else","N","")))</f>
        <v/>
      </c>
      <c r="N2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30" t="str">
        <f aca="true">IF(INDIRECT("office_form!A"&amp;ROW())="","",IF(INDIRECT("office_form!N"&amp;ROW())="","",INDIRECT("office_form!N"&amp;ROW())))</f>
        <v/>
      </c>
      <c r="P22" s="30" t="str">
        <f aca="true">IF(INDIRECT("office_form!A"&amp;ROW())="","",IF(IF(INDIRECT("office_form!O"&amp;ROW())="","",INDIRECT("office_form!O"&amp;ROW()))="Yes","yes",IF(IF(INDIRECT("office_form!O"&amp;ROW())="","",INDIRECT("office_form!O"&amp;ROW()))="No","no",IF(IF(INDIRECT("office_form!O"&amp;ROW())="","",INDIRECT("office_form!O"&amp;ROW()))="Not sure","unsure",""))))</f>
        <v/>
      </c>
      <c r="Q22" s="30" t="str">
        <f aca="true">IF(INDIRECT("office_form!A"&amp;ROW())="","",IF(IF(INDIRECT("office_form!P"&amp;ROW())="","",INDIRECT("office_form!P"&amp;ROW()))="Slack","slack",IF(IF(INDIRECT("office_form!P"&amp;ROW())="","",INDIRECT("office_form!P"&amp;ROW()))="Email","email",IF(IF(INDIRECT("office_form!P"&amp;ROW())="","",INDIRECT("office_form!P"&amp;ROW()))="Other","other",""))))</f>
        <v/>
      </c>
      <c r="R2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30" t="str">
        <f aca="true">IF(INDIRECT("office_form!A"&amp;ROW())="","",IF(INDIRECT("office_form!R"&amp;ROW())="","",INDIRECT("office_form!R"&amp;ROW())))</f>
        <v/>
      </c>
      <c r="T22" s="30" t="str">
        <f aca="true">IF(INDIRECT("office_form!A"&amp;ROW())="","",IF(INDIRECT("office_form!S"&amp;ROW())="","",INDIRECT("office_form!S"&amp;ROW())))</f>
        <v/>
      </c>
      <c r="U22" s="30" t="str">
        <f aca="true">IF(INDIRECT("office_form!A"&amp;ROW())="","","founder")</f>
        <v/>
      </c>
    </row>
    <row r="23" customFormat="false" ht="15" hidden="false" customHeight="false" outlineLevel="0" collapsed="false">
      <c r="A23" s="30" t="str">
        <f aca="true">IF(INDIRECT("office_form!A"&amp;ROW())="","",TEXT(INDIRECT("office_form!A"&amp;ROW()),"yyyy-mm-dd""T""hh:mm:ss"))</f>
        <v/>
      </c>
      <c r="B23" s="30" t="str">
        <f aca="true">IF(INDIRECT("office_form!A"&amp;ROW())="","",config!$B$36)</f>
        <v/>
      </c>
      <c r="C23" s="30" t="str">
        <f aca="true">IF(INDIRECT("office_form!A"&amp;ROW())="","",IF(INDIRECT("office_form!B"&amp;ROW())="","",INDIRECT("office_form!B"&amp;ROW())))</f>
        <v/>
      </c>
      <c r="D23" s="30" t="str">
        <f aca="true">IF(INDIRECT("office_form!A"&amp;ROW())="","",IF(INDIRECT("office_form!C"&amp;ROW())="","",INDIRECT("office_form!C"&amp;ROW())))</f>
        <v/>
      </c>
      <c r="E23" s="30" t="str">
        <f aca="true">IF(INDIRECT("office_form!A"&amp;ROW())="","",IF(INDIRECT("office_form!D"&amp;ROW())="","",INDIRECT("office_form!D"&amp;ROW())))</f>
        <v/>
      </c>
      <c r="F23" s="30" t="str">
        <f aca="true">IF(INDIRECT("office_form!A"&amp;ROW())="","",IF(INDIRECT("office_form!E"&amp;ROW())="","",INDIRECT("office_form!E"&amp;ROW())))</f>
        <v/>
      </c>
      <c r="G23" s="30" t="str">
        <f aca="true">IF(INDIRECT("office_form!A"&amp;ROW())="","",IF(INDIRECT("office_form!F"&amp;ROW())="","",INDIRECT("office_form!F"&amp;ROW())))</f>
        <v/>
      </c>
      <c r="H23" s="30" t="str">
        <f aca="true">IF(INDIRECT("office_form!A"&amp;ROW())="","",IF(INDIRECT("office_form!G"&amp;ROW())="","",INDIRECT("office_form!G"&amp;ROW())))</f>
        <v/>
      </c>
      <c r="I23" s="30" t="str">
        <f aca="true">IF(INDIRECT("office_form!A"&amp;ROW())="","",IF(INDIRECT("office_form!H"&amp;ROW())="","",INDIRECT("office_form!H"&amp;ROW())))</f>
        <v/>
      </c>
      <c r="J23" s="30" t="str">
        <f aca="true">IF(INDIRECT("office_form!A"&amp;ROW())="","",IF(INDIRECT("office_form!I"&amp;ROW())="","",INDIRECT("office_form!I"&amp;ROW())))</f>
        <v/>
      </c>
      <c r="K23" s="30" t="str">
        <f aca="true">IF(INDIRECT("office_form!A"&amp;ROW())="","",IF($M23="Y",$D23,IF(INDIRECT("office_form!K"&amp;ROW())="","",INDIRECT("office_form!K"&amp;ROW()))))</f>
        <v/>
      </c>
      <c r="L23" s="30" t="str">
        <f aca="true">IF(INDIRECT("office_form!A"&amp;ROW())="","",IF($M23="Y",$E23,IF(INDIRECT("office_form!L"&amp;ROW())="","",INDIRECT("office_form!L"&amp;ROW()))))</f>
        <v/>
      </c>
      <c r="M23" s="30" t="str">
        <f aca="true">IF(INDIRECT("office_form!A"&amp;ROW())="","",IF(IF(INDIRECT("office_form!J"&amp;ROW())="","",INDIRECT("office_form!J"&amp;ROW()))="Yes, me","Y",IF(IF(INDIRECT("office_form!J"&amp;ROW())="","",INDIRECT("office_form!J"&amp;ROW()))="Someone else","N","")))</f>
        <v/>
      </c>
      <c r="N2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30" t="str">
        <f aca="true">IF(INDIRECT("office_form!A"&amp;ROW())="","",IF(INDIRECT("office_form!N"&amp;ROW())="","",INDIRECT("office_form!N"&amp;ROW())))</f>
        <v/>
      </c>
      <c r="P23" s="30" t="str">
        <f aca="true">IF(INDIRECT("office_form!A"&amp;ROW())="","",IF(IF(INDIRECT("office_form!O"&amp;ROW())="","",INDIRECT("office_form!O"&amp;ROW()))="Yes","yes",IF(IF(INDIRECT("office_form!O"&amp;ROW())="","",INDIRECT("office_form!O"&amp;ROW()))="No","no",IF(IF(INDIRECT("office_form!O"&amp;ROW())="","",INDIRECT("office_form!O"&amp;ROW()))="Not sure","unsure",""))))</f>
        <v/>
      </c>
      <c r="Q23" s="30" t="str">
        <f aca="true">IF(INDIRECT("office_form!A"&amp;ROW())="","",IF(IF(INDIRECT("office_form!P"&amp;ROW())="","",INDIRECT("office_form!P"&amp;ROW()))="Slack","slack",IF(IF(INDIRECT("office_form!P"&amp;ROW())="","",INDIRECT("office_form!P"&amp;ROW()))="Email","email",IF(IF(INDIRECT("office_form!P"&amp;ROW())="","",INDIRECT("office_form!P"&amp;ROW()))="Other","other",""))))</f>
        <v/>
      </c>
      <c r="R2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30" t="str">
        <f aca="true">IF(INDIRECT("office_form!A"&amp;ROW())="","",IF(INDIRECT("office_form!R"&amp;ROW())="","",INDIRECT("office_form!R"&amp;ROW())))</f>
        <v/>
      </c>
      <c r="T23" s="30" t="str">
        <f aca="true">IF(INDIRECT("office_form!A"&amp;ROW())="","",IF(INDIRECT("office_form!S"&amp;ROW())="","",INDIRECT("office_form!S"&amp;ROW())))</f>
        <v/>
      </c>
      <c r="U23" s="30" t="str">
        <f aca="true">IF(INDIRECT("office_form!A"&amp;ROW())="","","founder")</f>
        <v/>
      </c>
    </row>
    <row r="24" customFormat="false" ht="15" hidden="false" customHeight="false" outlineLevel="0" collapsed="false">
      <c r="A24" s="30" t="str">
        <f aca="true">IF(INDIRECT("office_form!A"&amp;ROW())="","",TEXT(INDIRECT("office_form!A"&amp;ROW()),"yyyy-mm-dd""T""hh:mm:ss"))</f>
        <v/>
      </c>
      <c r="B24" s="30" t="str">
        <f aca="true">IF(INDIRECT("office_form!A"&amp;ROW())="","",config!$B$36)</f>
        <v/>
      </c>
      <c r="C24" s="30" t="str">
        <f aca="true">IF(INDIRECT("office_form!A"&amp;ROW())="","",IF(INDIRECT("office_form!B"&amp;ROW())="","",INDIRECT("office_form!B"&amp;ROW())))</f>
        <v/>
      </c>
      <c r="D24" s="30" t="str">
        <f aca="true">IF(INDIRECT("office_form!A"&amp;ROW())="","",IF(INDIRECT("office_form!C"&amp;ROW())="","",INDIRECT("office_form!C"&amp;ROW())))</f>
        <v/>
      </c>
      <c r="E24" s="30" t="str">
        <f aca="true">IF(INDIRECT("office_form!A"&amp;ROW())="","",IF(INDIRECT("office_form!D"&amp;ROW())="","",INDIRECT("office_form!D"&amp;ROW())))</f>
        <v/>
      </c>
      <c r="F24" s="30" t="str">
        <f aca="true">IF(INDIRECT("office_form!A"&amp;ROW())="","",IF(INDIRECT("office_form!E"&amp;ROW())="","",INDIRECT("office_form!E"&amp;ROW())))</f>
        <v/>
      </c>
      <c r="G24" s="30" t="str">
        <f aca="true">IF(INDIRECT("office_form!A"&amp;ROW())="","",IF(INDIRECT("office_form!F"&amp;ROW())="","",INDIRECT("office_form!F"&amp;ROW())))</f>
        <v/>
      </c>
      <c r="H24" s="30" t="str">
        <f aca="true">IF(INDIRECT("office_form!A"&amp;ROW())="","",IF(INDIRECT("office_form!G"&amp;ROW())="","",INDIRECT("office_form!G"&amp;ROW())))</f>
        <v/>
      </c>
      <c r="I24" s="30" t="str">
        <f aca="true">IF(INDIRECT("office_form!A"&amp;ROW())="","",IF(INDIRECT("office_form!H"&amp;ROW())="","",INDIRECT("office_form!H"&amp;ROW())))</f>
        <v/>
      </c>
      <c r="J24" s="30" t="str">
        <f aca="true">IF(INDIRECT("office_form!A"&amp;ROW())="","",IF(INDIRECT("office_form!I"&amp;ROW())="","",INDIRECT("office_form!I"&amp;ROW())))</f>
        <v/>
      </c>
      <c r="K24" s="30" t="str">
        <f aca="true">IF(INDIRECT("office_form!A"&amp;ROW())="","",IF($M24="Y",$D24,IF(INDIRECT("office_form!K"&amp;ROW())="","",INDIRECT("office_form!K"&amp;ROW()))))</f>
        <v/>
      </c>
      <c r="L24" s="30" t="str">
        <f aca="true">IF(INDIRECT("office_form!A"&amp;ROW())="","",IF($M24="Y",$E24,IF(INDIRECT("office_form!L"&amp;ROW())="","",INDIRECT("office_form!L"&amp;ROW()))))</f>
        <v/>
      </c>
      <c r="M24" s="30" t="str">
        <f aca="true">IF(INDIRECT("office_form!A"&amp;ROW())="","",IF(IF(INDIRECT("office_form!J"&amp;ROW())="","",INDIRECT("office_form!J"&amp;ROW()))="Yes, me","Y",IF(IF(INDIRECT("office_form!J"&amp;ROW())="","",INDIRECT("office_form!J"&amp;ROW()))="Someone else","N","")))</f>
        <v/>
      </c>
      <c r="N2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30" t="str">
        <f aca="true">IF(INDIRECT("office_form!A"&amp;ROW())="","",IF(INDIRECT("office_form!N"&amp;ROW())="","",INDIRECT("office_form!N"&amp;ROW())))</f>
        <v/>
      </c>
      <c r="P24" s="30" t="str">
        <f aca="true">IF(INDIRECT("office_form!A"&amp;ROW())="","",IF(IF(INDIRECT("office_form!O"&amp;ROW())="","",INDIRECT("office_form!O"&amp;ROW()))="Yes","yes",IF(IF(INDIRECT("office_form!O"&amp;ROW())="","",INDIRECT("office_form!O"&amp;ROW()))="No","no",IF(IF(INDIRECT("office_form!O"&amp;ROW())="","",INDIRECT("office_form!O"&amp;ROW()))="Not sure","unsure",""))))</f>
        <v/>
      </c>
      <c r="Q24" s="30" t="str">
        <f aca="true">IF(INDIRECT("office_form!A"&amp;ROW())="","",IF(IF(INDIRECT("office_form!P"&amp;ROW())="","",INDIRECT("office_form!P"&amp;ROW()))="Slack","slack",IF(IF(INDIRECT("office_form!P"&amp;ROW())="","",INDIRECT("office_form!P"&amp;ROW()))="Email","email",IF(IF(INDIRECT("office_form!P"&amp;ROW())="","",INDIRECT("office_form!P"&amp;ROW()))="Other","other",""))))</f>
        <v/>
      </c>
      <c r="R2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30" t="str">
        <f aca="true">IF(INDIRECT("office_form!A"&amp;ROW())="","",IF(INDIRECT("office_form!R"&amp;ROW())="","",INDIRECT("office_form!R"&amp;ROW())))</f>
        <v/>
      </c>
      <c r="T24" s="30" t="str">
        <f aca="true">IF(INDIRECT("office_form!A"&amp;ROW())="","",IF(INDIRECT("office_form!S"&amp;ROW())="","",INDIRECT("office_form!S"&amp;ROW())))</f>
        <v/>
      </c>
      <c r="U24" s="30" t="str">
        <f aca="true">IF(INDIRECT("office_form!A"&amp;ROW())="","","founder")</f>
        <v/>
      </c>
    </row>
    <row r="25" customFormat="false" ht="15" hidden="false" customHeight="false" outlineLevel="0" collapsed="false">
      <c r="A25" s="30" t="str">
        <f aca="true">IF(INDIRECT("office_form!A"&amp;ROW())="","",TEXT(INDIRECT("office_form!A"&amp;ROW()),"yyyy-mm-dd""T""hh:mm:ss"))</f>
        <v/>
      </c>
      <c r="B25" s="30" t="str">
        <f aca="true">IF(INDIRECT("office_form!A"&amp;ROW())="","",config!$B$36)</f>
        <v/>
      </c>
      <c r="C25" s="30" t="str">
        <f aca="true">IF(INDIRECT("office_form!A"&amp;ROW())="","",IF(INDIRECT("office_form!B"&amp;ROW())="","",INDIRECT("office_form!B"&amp;ROW())))</f>
        <v/>
      </c>
      <c r="D25" s="30" t="str">
        <f aca="true">IF(INDIRECT("office_form!A"&amp;ROW())="","",IF(INDIRECT("office_form!C"&amp;ROW())="","",INDIRECT("office_form!C"&amp;ROW())))</f>
        <v/>
      </c>
      <c r="E25" s="30" t="str">
        <f aca="true">IF(INDIRECT("office_form!A"&amp;ROW())="","",IF(INDIRECT("office_form!D"&amp;ROW())="","",INDIRECT("office_form!D"&amp;ROW())))</f>
        <v/>
      </c>
      <c r="F25" s="30" t="str">
        <f aca="true">IF(INDIRECT("office_form!A"&amp;ROW())="","",IF(INDIRECT("office_form!E"&amp;ROW())="","",INDIRECT("office_form!E"&amp;ROW())))</f>
        <v/>
      </c>
      <c r="G25" s="30" t="str">
        <f aca="true">IF(INDIRECT("office_form!A"&amp;ROW())="","",IF(INDIRECT("office_form!F"&amp;ROW())="","",INDIRECT("office_form!F"&amp;ROW())))</f>
        <v/>
      </c>
      <c r="H25" s="30" t="str">
        <f aca="true">IF(INDIRECT("office_form!A"&amp;ROW())="","",IF(INDIRECT("office_form!G"&amp;ROW())="","",INDIRECT("office_form!G"&amp;ROW())))</f>
        <v/>
      </c>
      <c r="I25" s="30" t="str">
        <f aca="true">IF(INDIRECT("office_form!A"&amp;ROW())="","",IF(INDIRECT("office_form!H"&amp;ROW())="","",INDIRECT("office_form!H"&amp;ROW())))</f>
        <v/>
      </c>
      <c r="J25" s="30" t="str">
        <f aca="true">IF(INDIRECT("office_form!A"&amp;ROW())="","",IF(INDIRECT("office_form!I"&amp;ROW())="","",INDIRECT("office_form!I"&amp;ROW())))</f>
        <v/>
      </c>
      <c r="K25" s="30" t="str">
        <f aca="true">IF(INDIRECT("office_form!A"&amp;ROW())="","",IF($M25="Y",$D25,IF(INDIRECT("office_form!K"&amp;ROW())="","",INDIRECT("office_form!K"&amp;ROW()))))</f>
        <v/>
      </c>
      <c r="L25" s="30" t="str">
        <f aca="true">IF(INDIRECT("office_form!A"&amp;ROW())="","",IF($M25="Y",$E25,IF(INDIRECT("office_form!L"&amp;ROW())="","",INDIRECT("office_form!L"&amp;ROW()))))</f>
        <v/>
      </c>
      <c r="M25" s="30" t="str">
        <f aca="true">IF(INDIRECT("office_form!A"&amp;ROW())="","",IF(IF(INDIRECT("office_form!J"&amp;ROW())="","",INDIRECT("office_form!J"&amp;ROW()))="Yes, me","Y",IF(IF(INDIRECT("office_form!J"&amp;ROW())="","",INDIRECT("office_form!J"&amp;ROW()))="Someone else","N","")))</f>
        <v/>
      </c>
      <c r="N2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30" t="str">
        <f aca="true">IF(INDIRECT("office_form!A"&amp;ROW())="","",IF(INDIRECT("office_form!N"&amp;ROW())="","",INDIRECT("office_form!N"&amp;ROW())))</f>
        <v/>
      </c>
      <c r="P25" s="30" t="str">
        <f aca="true">IF(INDIRECT("office_form!A"&amp;ROW())="","",IF(IF(INDIRECT("office_form!O"&amp;ROW())="","",INDIRECT("office_form!O"&amp;ROW()))="Yes","yes",IF(IF(INDIRECT("office_form!O"&amp;ROW())="","",INDIRECT("office_form!O"&amp;ROW()))="No","no",IF(IF(INDIRECT("office_form!O"&amp;ROW())="","",INDIRECT("office_form!O"&amp;ROW()))="Not sure","unsure",""))))</f>
        <v/>
      </c>
      <c r="Q25" s="30" t="str">
        <f aca="true">IF(INDIRECT("office_form!A"&amp;ROW())="","",IF(IF(INDIRECT("office_form!P"&amp;ROW())="","",INDIRECT("office_form!P"&amp;ROW()))="Slack","slack",IF(IF(INDIRECT("office_form!P"&amp;ROW())="","",INDIRECT("office_form!P"&amp;ROW()))="Email","email",IF(IF(INDIRECT("office_form!P"&amp;ROW())="","",INDIRECT("office_form!P"&amp;ROW()))="Other","other",""))))</f>
        <v/>
      </c>
      <c r="R2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30" t="str">
        <f aca="true">IF(INDIRECT("office_form!A"&amp;ROW())="","",IF(INDIRECT("office_form!R"&amp;ROW())="","",INDIRECT("office_form!R"&amp;ROW())))</f>
        <v/>
      </c>
      <c r="T25" s="30" t="str">
        <f aca="true">IF(INDIRECT("office_form!A"&amp;ROW())="","",IF(INDIRECT("office_form!S"&amp;ROW())="","",INDIRECT("office_form!S"&amp;ROW())))</f>
        <v/>
      </c>
      <c r="U25" s="30" t="str">
        <f aca="true">IF(INDIRECT("office_form!A"&amp;ROW())="","","founder")</f>
        <v/>
      </c>
    </row>
    <row r="26" customFormat="false" ht="15" hidden="false" customHeight="false" outlineLevel="0" collapsed="false">
      <c r="A26" s="30" t="str">
        <f aca="true">IF(INDIRECT("office_form!A"&amp;ROW())="","",TEXT(INDIRECT("office_form!A"&amp;ROW()),"yyyy-mm-dd""T""hh:mm:ss"))</f>
        <v/>
      </c>
      <c r="B26" s="30" t="str">
        <f aca="true">IF(INDIRECT("office_form!A"&amp;ROW())="","",config!$B$36)</f>
        <v/>
      </c>
      <c r="C26" s="30" t="str">
        <f aca="true">IF(INDIRECT("office_form!A"&amp;ROW())="","",IF(INDIRECT("office_form!B"&amp;ROW())="","",INDIRECT("office_form!B"&amp;ROW())))</f>
        <v/>
      </c>
      <c r="D26" s="30" t="str">
        <f aca="true">IF(INDIRECT("office_form!A"&amp;ROW())="","",IF(INDIRECT("office_form!C"&amp;ROW())="","",INDIRECT("office_form!C"&amp;ROW())))</f>
        <v/>
      </c>
      <c r="E26" s="30" t="str">
        <f aca="true">IF(INDIRECT("office_form!A"&amp;ROW())="","",IF(INDIRECT("office_form!D"&amp;ROW())="","",INDIRECT("office_form!D"&amp;ROW())))</f>
        <v/>
      </c>
      <c r="F26" s="30" t="str">
        <f aca="true">IF(INDIRECT("office_form!A"&amp;ROW())="","",IF(INDIRECT("office_form!E"&amp;ROW())="","",INDIRECT("office_form!E"&amp;ROW())))</f>
        <v/>
      </c>
      <c r="G26" s="30" t="str">
        <f aca="true">IF(INDIRECT("office_form!A"&amp;ROW())="","",IF(INDIRECT("office_form!F"&amp;ROW())="","",INDIRECT("office_form!F"&amp;ROW())))</f>
        <v/>
      </c>
      <c r="H26" s="30" t="str">
        <f aca="true">IF(INDIRECT("office_form!A"&amp;ROW())="","",IF(INDIRECT("office_form!G"&amp;ROW())="","",INDIRECT("office_form!G"&amp;ROW())))</f>
        <v/>
      </c>
      <c r="I26" s="30" t="str">
        <f aca="true">IF(INDIRECT("office_form!A"&amp;ROW())="","",IF(INDIRECT("office_form!H"&amp;ROW())="","",INDIRECT("office_form!H"&amp;ROW())))</f>
        <v/>
      </c>
      <c r="J26" s="30" t="str">
        <f aca="true">IF(INDIRECT("office_form!A"&amp;ROW())="","",IF(INDIRECT("office_form!I"&amp;ROW())="","",INDIRECT("office_form!I"&amp;ROW())))</f>
        <v/>
      </c>
      <c r="K26" s="30" t="str">
        <f aca="true">IF(INDIRECT("office_form!A"&amp;ROW())="","",IF($M26="Y",$D26,IF(INDIRECT("office_form!K"&amp;ROW())="","",INDIRECT("office_form!K"&amp;ROW()))))</f>
        <v/>
      </c>
      <c r="L26" s="30" t="str">
        <f aca="true">IF(INDIRECT("office_form!A"&amp;ROW())="","",IF($M26="Y",$E26,IF(INDIRECT("office_form!L"&amp;ROW())="","",INDIRECT("office_form!L"&amp;ROW()))))</f>
        <v/>
      </c>
      <c r="M26" s="30" t="str">
        <f aca="true">IF(INDIRECT("office_form!A"&amp;ROW())="","",IF(IF(INDIRECT("office_form!J"&amp;ROW())="","",INDIRECT("office_form!J"&amp;ROW()))="Yes, me","Y",IF(IF(INDIRECT("office_form!J"&amp;ROW())="","",INDIRECT("office_form!J"&amp;ROW()))="Someone else","N","")))</f>
        <v/>
      </c>
      <c r="N2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30" t="str">
        <f aca="true">IF(INDIRECT("office_form!A"&amp;ROW())="","",IF(INDIRECT("office_form!N"&amp;ROW())="","",INDIRECT("office_form!N"&amp;ROW())))</f>
        <v/>
      </c>
      <c r="P26" s="30" t="str">
        <f aca="true">IF(INDIRECT("office_form!A"&amp;ROW())="","",IF(IF(INDIRECT("office_form!O"&amp;ROW())="","",INDIRECT("office_form!O"&amp;ROW()))="Yes","yes",IF(IF(INDIRECT("office_form!O"&amp;ROW())="","",INDIRECT("office_form!O"&amp;ROW()))="No","no",IF(IF(INDIRECT("office_form!O"&amp;ROW())="","",INDIRECT("office_form!O"&amp;ROW()))="Not sure","unsure",""))))</f>
        <v/>
      </c>
      <c r="Q26" s="30" t="str">
        <f aca="true">IF(INDIRECT("office_form!A"&amp;ROW())="","",IF(IF(INDIRECT("office_form!P"&amp;ROW())="","",INDIRECT("office_form!P"&amp;ROW()))="Slack","slack",IF(IF(INDIRECT("office_form!P"&amp;ROW())="","",INDIRECT("office_form!P"&amp;ROW()))="Email","email",IF(IF(INDIRECT("office_form!P"&amp;ROW())="","",INDIRECT("office_form!P"&amp;ROW()))="Other","other",""))))</f>
        <v/>
      </c>
      <c r="R2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30" t="str">
        <f aca="true">IF(INDIRECT("office_form!A"&amp;ROW())="","",IF(INDIRECT("office_form!R"&amp;ROW())="","",INDIRECT("office_form!R"&amp;ROW())))</f>
        <v/>
      </c>
      <c r="T26" s="30" t="str">
        <f aca="true">IF(INDIRECT("office_form!A"&amp;ROW())="","",IF(INDIRECT("office_form!S"&amp;ROW())="","",INDIRECT("office_form!S"&amp;ROW())))</f>
        <v/>
      </c>
      <c r="U26" s="30" t="str">
        <f aca="true">IF(INDIRECT("office_form!A"&amp;ROW())="","","founder")</f>
        <v/>
      </c>
    </row>
    <row r="27" customFormat="false" ht="15" hidden="false" customHeight="false" outlineLevel="0" collapsed="false">
      <c r="A27" s="30" t="str">
        <f aca="true">IF(INDIRECT("office_form!A"&amp;ROW())="","",TEXT(INDIRECT("office_form!A"&amp;ROW()),"yyyy-mm-dd""T""hh:mm:ss"))</f>
        <v/>
      </c>
      <c r="B27" s="30" t="str">
        <f aca="true">IF(INDIRECT("office_form!A"&amp;ROW())="","",config!$B$36)</f>
        <v/>
      </c>
      <c r="C27" s="30" t="str">
        <f aca="true">IF(INDIRECT("office_form!A"&amp;ROW())="","",IF(INDIRECT("office_form!B"&amp;ROW())="","",INDIRECT("office_form!B"&amp;ROW())))</f>
        <v/>
      </c>
      <c r="D27" s="30" t="str">
        <f aca="true">IF(INDIRECT("office_form!A"&amp;ROW())="","",IF(INDIRECT("office_form!C"&amp;ROW())="","",INDIRECT("office_form!C"&amp;ROW())))</f>
        <v/>
      </c>
      <c r="E27" s="30" t="str">
        <f aca="true">IF(INDIRECT("office_form!A"&amp;ROW())="","",IF(INDIRECT("office_form!D"&amp;ROW())="","",INDIRECT("office_form!D"&amp;ROW())))</f>
        <v/>
      </c>
      <c r="F27" s="30" t="str">
        <f aca="true">IF(INDIRECT("office_form!A"&amp;ROW())="","",IF(INDIRECT("office_form!E"&amp;ROW())="","",INDIRECT("office_form!E"&amp;ROW())))</f>
        <v/>
      </c>
      <c r="G27" s="30" t="str">
        <f aca="true">IF(INDIRECT("office_form!A"&amp;ROW())="","",IF(INDIRECT("office_form!F"&amp;ROW())="","",INDIRECT("office_form!F"&amp;ROW())))</f>
        <v/>
      </c>
      <c r="H27" s="30" t="str">
        <f aca="true">IF(INDIRECT("office_form!A"&amp;ROW())="","",IF(INDIRECT("office_form!G"&amp;ROW())="","",INDIRECT("office_form!G"&amp;ROW())))</f>
        <v/>
      </c>
      <c r="I27" s="30" t="str">
        <f aca="true">IF(INDIRECT("office_form!A"&amp;ROW())="","",IF(INDIRECT("office_form!H"&amp;ROW())="","",INDIRECT("office_form!H"&amp;ROW())))</f>
        <v/>
      </c>
      <c r="J27" s="30" t="str">
        <f aca="true">IF(INDIRECT("office_form!A"&amp;ROW())="","",IF(INDIRECT("office_form!I"&amp;ROW())="","",INDIRECT("office_form!I"&amp;ROW())))</f>
        <v/>
      </c>
      <c r="K27" s="30" t="str">
        <f aca="true">IF(INDIRECT("office_form!A"&amp;ROW())="","",IF($M27="Y",$D27,IF(INDIRECT("office_form!K"&amp;ROW())="","",INDIRECT("office_form!K"&amp;ROW()))))</f>
        <v/>
      </c>
      <c r="L27" s="30" t="str">
        <f aca="true">IF(INDIRECT("office_form!A"&amp;ROW())="","",IF($M27="Y",$E27,IF(INDIRECT("office_form!L"&amp;ROW())="","",INDIRECT("office_form!L"&amp;ROW()))))</f>
        <v/>
      </c>
      <c r="M27" s="30" t="str">
        <f aca="true">IF(INDIRECT("office_form!A"&amp;ROW())="","",IF(IF(INDIRECT("office_form!J"&amp;ROW())="","",INDIRECT("office_form!J"&amp;ROW()))="Yes, me","Y",IF(IF(INDIRECT("office_form!J"&amp;ROW())="","",INDIRECT("office_form!J"&amp;ROW()))="Someone else","N","")))</f>
        <v/>
      </c>
      <c r="N2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30" t="str">
        <f aca="true">IF(INDIRECT("office_form!A"&amp;ROW())="","",IF(INDIRECT("office_form!N"&amp;ROW())="","",INDIRECT("office_form!N"&amp;ROW())))</f>
        <v/>
      </c>
      <c r="P27" s="30" t="str">
        <f aca="true">IF(INDIRECT("office_form!A"&amp;ROW())="","",IF(IF(INDIRECT("office_form!O"&amp;ROW())="","",INDIRECT("office_form!O"&amp;ROW()))="Yes","yes",IF(IF(INDIRECT("office_form!O"&amp;ROW())="","",INDIRECT("office_form!O"&amp;ROW()))="No","no",IF(IF(INDIRECT("office_form!O"&amp;ROW())="","",INDIRECT("office_form!O"&amp;ROW()))="Not sure","unsure",""))))</f>
        <v/>
      </c>
      <c r="Q27" s="30" t="str">
        <f aca="true">IF(INDIRECT("office_form!A"&amp;ROW())="","",IF(IF(INDIRECT("office_form!P"&amp;ROW())="","",INDIRECT("office_form!P"&amp;ROW()))="Slack","slack",IF(IF(INDIRECT("office_form!P"&amp;ROW())="","",INDIRECT("office_form!P"&amp;ROW()))="Email","email",IF(IF(INDIRECT("office_form!P"&amp;ROW())="","",INDIRECT("office_form!P"&amp;ROW()))="Other","other",""))))</f>
        <v/>
      </c>
      <c r="R2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30" t="str">
        <f aca="true">IF(INDIRECT("office_form!A"&amp;ROW())="","",IF(INDIRECT("office_form!R"&amp;ROW())="","",INDIRECT("office_form!R"&amp;ROW())))</f>
        <v/>
      </c>
      <c r="T27" s="30" t="str">
        <f aca="true">IF(INDIRECT("office_form!A"&amp;ROW())="","",IF(INDIRECT("office_form!S"&amp;ROW())="","",INDIRECT("office_form!S"&amp;ROW())))</f>
        <v/>
      </c>
      <c r="U27" s="30" t="str">
        <f aca="true">IF(INDIRECT("office_form!A"&amp;ROW())="","","founder")</f>
        <v/>
      </c>
    </row>
    <row r="28" customFormat="false" ht="15" hidden="false" customHeight="false" outlineLevel="0" collapsed="false">
      <c r="A28" s="30" t="str">
        <f aca="true">IF(INDIRECT("office_form!A"&amp;ROW())="","",TEXT(INDIRECT("office_form!A"&amp;ROW()),"yyyy-mm-dd""T""hh:mm:ss"))</f>
        <v/>
      </c>
      <c r="B28" s="30" t="str">
        <f aca="true">IF(INDIRECT("office_form!A"&amp;ROW())="","",config!$B$36)</f>
        <v/>
      </c>
      <c r="C28" s="30" t="str">
        <f aca="true">IF(INDIRECT("office_form!A"&amp;ROW())="","",IF(INDIRECT("office_form!B"&amp;ROW())="","",INDIRECT("office_form!B"&amp;ROW())))</f>
        <v/>
      </c>
      <c r="D28" s="30" t="str">
        <f aca="true">IF(INDIRECT("office_form!A"&amp;ROW())="","",IF(INDIRECT("office_form!C"&amp;ROW())="","",INDIRECT("office_form!C"&amp;ROW())))</f>
        <v/>
      </c>
      <c r="E28" s="30" t="str">
        <f aca="true">IF(INDIRECT("office_form!A"&amp;ROW())="","",IF(INDIRECT("office_form!D"&amp;ROW())="","",INDIRECT("office_form!D"&amp;ROW())))</f>
        <v/>
      </c>
      <c r="F28" s="30" t="str">
        <f aca="true">IF(INDIRECT("office_form!A"&amp;ROW())="","",IF(INDIRECT("office_form!E"&amp;ROW())="","",INDIRECT("office_form!E"&amp;ROW())))</f>
        <v/>
      </c>
      <c r="G28" s="30" t="str">
        <f aca="true">IF(INDIRECT("office_form!A"&amp;ROW())="","",IF(INDIRECT("office_form!F"&amp;ROW())="","",INDIRECT("office_form!F"&amp;ROW())))</f>
        <v/>
      </c>
      <c r="H28" s="30" t="str">
        <f aca="true">IF(INDIRECT("office_form!A"&amp;ROW())="","",IF(INDIRECT("office_form!G"&amp;ROW())="","",INDIRECT("office_form!G"&amp;ROW())))</f>
        <v/>
      </c>
      <c r="I28" s="30" t="str">
        <f aca="true">IF(INDIRECT("office_form!A"&amp;ROW())="","",IF(INDIRECT("office_form!H"&amp;ROW())="","",INDIRECT("office_form!H"&amp;ROW())))</f>
        <v/>
      </c>
      <c r="J28" s="30" t="str">
        <f aca="true">IF(INDIRECT("office_form!A"&amp;ROW())="","",IF(INDIRECT("office_form!I"&amp;ROW())="","",INDIRECT("office_form!I"&amp;ROW())))</f>
        <v/>
      </c>
      <c r="K28" s="30" t="str">
        <f aca="true">IF(INDIRECT("office_form!A"&amp;ROW())="","",IF($M28="Y",$D28,IF(INDIRECT("office_form!K"&amp;ROW())="","",INDIRECT("office_form!K"&amp;ROW()))))</f>
        <v/>
      </c>
      <c r="L28" s="30" t="str">
        <f aca="true">IF(INDIRECT("office_form!A"&amp;ROW())="","",IF($M28="Y",$E28,IF(INDIRECT("office_form!L"&amp;ROW())="","",INDIRECT("office_form!L"&amp;ROW()))))</f>
        <v/>
      </c>
      <c r="M28" s="30" t="str">
        <f aca="true">IF(INDIRECT("office_form!A"&amp;ROW())="","",IF(IF(INDIRECT("office_form!J"&amp;ROW())="","",INDIRECT("office_form!J"&amp;ROW()))="Yes, me","Y",IF(IF(INDIRECT("office_form!J"&amp;ROW())="","",INDIRECT("office_form!J"&amp;ROW()))="Someone else","N","")))</f>
        <v/>
      </c>
      <c r="N2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30" t="str">
        <f aca="true">IF(INDIRECT("office_form!A"&amp;ROW())="","",IF(INDIRECT("office_form!N"&amp;ROW())="","",INDIRECT("office_form!N"&amp;ROW())))</f>
        <v/>
      </c>
      <c r="P28" s="30" t="str">
        <f aca="true">IF(INDIRECT("office_form!A"&amp;ROW())="","",IF(IF(INDIRECT("office_form!O"&amp;ROW())="","",INDIRECT("office_form!O"&amp;ROW()))="Yes","yes",IF(IF(INDIRECT("office_form!O"&amp;ROW())="","",INDIRECT("office_form!O"&amp;ROW()))="No","no",IF(IF(INDIRECT("office_form!O"&amp;ROW())="","",INDIRECT("office_form!O"&amp;ROW()))="Not sure","unsure",""))))</f>
        <v/>
      </c>
      <c r="Q28" s="30" t="str">
        <f aca="true">IF(INDIRECT("office_form!A"&amp;ROW())="","",IF(IF(INDIRECT("office_form!P"&amp;ROW())="","",INDIRECT("office_form!P"&amp;ROW()))="Slack","slack",IF(IF(INDIRECT("office_form!P"&amp;ROW())="","",INDIRECT("office_form!P"&amp;ROW()))="Email","email",IF(IF(INDIRECT("office_form!P"&amp;ROW())="","",INDIRECT("office_form!P"&amp;ROW()))="Other","other",""))))</f>
        <v/>
      </c>
      <c r="R2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30" t="str">
        <f aca="true">IF(INDIRECT("office_form!A"&amp;ROW())="","",IF(INDIRECT("office_form!R"&amp;ROW())="","",INDIRECT("office_form!R"&amp;ROW())))</f>
        <v/>
      </c>
      <c r="T28" s="30" t="str">
        <f aca="true">IF(INDIRECT("office_form!A"&amp;ROW())="","",IF(INDIRECT("office_form!S"&amp;ROW())="","",INDIRECT("office_form!S"&amp;ROW())))</f>
        <v/>
      </c>
      <c r="U28" s="30" t="str">
        <f aca="true">IF(INDIRECT("office_form!A"&amp;ROW())="","","founder")</f>
        <v/>
      </c>
    </row>
    <row r="29" customFormat="false" ht="15" hidden="false" customHeight="false" outlineLevel="0" collapsed="false">
      <c r="A29" s="30" t="str">
        <f aca="true">IF(INDIRECT("office_form!A"&amp;ROW())="","",TEXT(INDIRECT("office_form!A"&amp;ROW()),"yyyy-mm-dd""T""hh:mm:ss"))</f>
        <v/>
      </c>
      <c r="B29" s="30" t="str">
        <f aca="true">IF(INDIRECT("office_form!A"&amp;ROW())="","",config!$B$36)</f>
        <v/>
      </c>
      <c r="C29" s="30" t="str">
        <f aca="true">IF(INDIRECT("office_form!A"&amp;ROW())="","",IF(INDIRECT("office_form!B"&amp;ROW())="","",INDIRECT("office_form!B"&amp;ROW())))</f>
        <v/>
      </c>
      <c r="D29" s="30" t="str">
        <f aca="true">IF(INDIRECT("office_form!A"&amp;ROW())="","",IF(INDIRECT("office_form!C"&amp;ROW())="","",INDIRECT("office_form!C"&amp;ROW())))</f>
        <v/>
      </c>
      <c r="E29" s="30" t="str">
        <f aca="true">IF(INDIRECT("office_form!A"&amp;ROW())="","",IF(INDIRECT("office_form!D"&amp;ROW())="","",INDIRECT("office_form!D"&amp;ROW())))</f>
        <v/>
      </c>
      <c r="F29" s="30" t="str">
        <f aca="true">IF(INDIRECT("office_form!A"&amp;ROW())="","",IF(INDIRECT("office_form!E"&amp;ROW())="","",INDIRECT("office_form!E"&amp;ROW())))</f>
        <v/>
      </c>
      <c r="G29" s="30" t="str">
        <f aca="true">IF(INDIRECT("office_form!A"&amp;ROW())="","",IF(INDIRECT("office_form!F"&amp;ROW())="","",INDIRECT("office_form!F"&amp;ROW())))</f>
        <v/>
      </c>
      <c r="H29" s="30" t="str">
        <f aca="true">IF(INDIRECT("office_form!A"&amp;ROW())="","",IF(INDIRECT("office_form!G"&amp;ROW())="","",INDIRECT("office_form!G"&amp;ROW())))</f>
        <v/>
      </c>
      <c r="I29" s="30" t="str">
        <f aca="true">IF(INDIRECT("office_form!A"&amp;ROW())="","",IF(INDIRECT("office_form!H"&amp;ROW())="","",INDIRECT("office_form!H"&amp;ROW())))</f>
        <v/>
      </c>
      <c r="J29" s="30" t="str">
        <f aca="true">IF(INDIRECT("office_form!A"&amp;ROW())="","",IF(INDIRECT("office_form!I"&amp;ROW())="","",INDIRECT("office_form!I"&amp;ROW())))</f>
        <v/>
      </c>
      <c r="K29" s="30" t="str">
        <f aca="true">IF(INDIRECT("office_form!A"&amp;ROW())="","",IF($M29="Y",$D29,IF(INDIRECT("office_form!K"&amp;ROW())="","",INDIRECT("office_form!K"&amp;ROW()))))</f>
        <v/>
      </c>
      <c r="L29" s="30" t="str">
        <f aca="true">IF(INDIRECT("office_form!A"&amp;ROW())="","",IF($M29="Y",$E29,IF(INDIRECT("office_form!L"&amp;ROW())="","",INDIRECT("office_form!L"&amp;ROW()))))</f>
        <v/>
      </c>
      <c r="M29" s="30" t="str">
        <f aca="true">IF(INDIRECT("office_form!A"&amp;ROW())="","",IF(IF(INDIRECT("office_form!J"&amp;ROW())="","",INDIRECT("office_form!J"&amp;ROW()))="Yes, me","Y",IF(IF(INDIRECT("office_form!J"&amp;ROW())="","",INDIRECT("office_form!J"&amp;ROW()))="Someone else","N","")))</f>
        <v/>
      </c>
      <c r="N2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30" t="str">
        <f aca="true">IF(INDIRECT("office_form!A"&amp;ROW())="","",IF(INDIRECT("office_form!N"&amp;ROW())="","",INDIRECT("office_form!N"&amp;ROW())))</f>
        <v/>
      </c>
      <c r="P29" s="30" t="str">
        <f aca="true">IF(INDIRECT("office_form!A"&amp;ROW())="","",IF(IF(INDIRECT("office_form!O"&amp;ROW())="","",INDIRECT("office_form!O"&amp;ROW()))="Yes","yes",IF(IF(INDIRECT("office_form!O"&amp;ROW())="","",INDIRECT("office_form!O"&amp;ROW()))="No","no",IF(IF(INDIRECT("office_form!O"&amp;ROW())="","",INDIRECT("office_form!O"&amp;ROW()))="Not sure","unsure",""))))</f>
        <v/>
      </c>
      <c r="Q29" s="30" t="str">
        <f aca="true">IF(INDIRECT("office_form!A"&amp;ROW())="","",IF(IF(INDIRECT("office_form!P"&amp;ROW())="","",INDIRECT("office_form!P"&amp;ROW()))="Slack","slack",IF(IF(INDIRECT("office_form!P"&amp;ROW())="","",INDIRECT("office_form!P"&amp;ROW()))="Email","email",IF(IF(INDIRECT("office_form!P"&amp;ROW())="","",INDIRECT("office_form!P"&amp;ROW()))="Other","other",""))))</f>
        <v/>
      </c>
      <c r="R2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30" t="str">
        <f aca="true">IF(INDIRECT("office_form!A"&amp;ROW())="","",IF(INDIRECT("office_form!R"&amp;ROW())="","",INDIRECT("office_form!R"&amp;ROW())))</f>
        <v/>
      </c>
      <c r="T29" s="30" t="str">
        <f aca="true">IF(INDIRECT("office_form!A"&amp;ROW())="","",IF(INDIRECT("office_form!S"&amp;ROW())="","",INDIRECT("office_form!S"&amp;ROW())))</f>
        <v/>
      </c>
      <c r="U29" s="30" t="str">
        <f aca="true">IF(INDIRECT("office_form!A"&amp;ROW())="","","founder")</f>
        <v/>
      </c>
    </row>
    <row r="30" customFormat="false" ht="15" hidden="false" customHeight="false" outlineLevel="0" collapsed="false">
      <c r="A30" s="30" t="str">
        <f aca="true">IF(INDIRECT("office_form!A"&amp;ROW())="","",TEXT(INDIRECT("office_form!A"&amp;ROW()),"yyyy-mm-dd""T""hh:mm:ss"))</f>
        <v/>
      </c>
      <c r="B30" s="30" t="str">
        <f aca="true">IF(INDIRECT("office_form!A"&amp;ROW())="","",config!$B$36)</f>
        <v/>
      </c>
      <c r="C30" s="30" t="str">
        <f aca="true">IF(INDIRECT("office_form!A"&amp;ROW())="","",IF(INDIRECT("office_form!B"&amp;ROW())="","",INDIRECT("office_form!B"&amp;ROW())))</f>
        <v/>
      </c>
      <c r="D30" s="30" t="str">
        <f aca="true">IF(INDIRECT("office_form!A"&amp;ROW())="","",IF(INDIRECT("office_form!C"&amp;ROW())="","",INDIRECT("office_form!C"&amp;ROW())))</f>
        <v/>
      </c>
      <c r="E30" s="30" t="str">
        <f aca="true">IF(INDIRECT("office_form!A"&amp;ROW())="","",IF(INDIRECT("office_form!D"&amp;ROW())="","",INDIRECT("office_form!D"&amp;ROW())))</f>
        <v/>
      </c>
      <c r="F30" s="30" t="str">
        <f aca="true">IF(INDIRECT("office_form!A"&amp;ROW())="","",IF(INDIRECT("office_form!E"&amp;ROW())="","",INDIRECT("office_form!E"&amp;ROW())))</f>
        <v/>
      </c>
      <c r="G30" s="30" t="str">
        <f aca="true">IF(INDIRECT("office_form!A"&amp;ROW())="","",IF(INDIRECT("office_form!F"&amp;ROW())="","",INDIRECT("office_form!F"&amp;ROW())))</f>
        <v/>
      </c>
      <c r="H30" s="30" t="str">
        <f aca="true">IF(INDIRECT("office_form!A"&amp;ROW())="","",IF(INDIRECT("office_form!G"&amp;ROW())="","",INDIRECT("office_form!G"&amp;ROW())))</f>
        <v/>
      </c>
      <c r="I30" s="30" t="str">
        <f aca="true">IF(INDIRECT("office_form!A"&amp;ROW())="","",IF(INDIRECT("office_form!H"&amp;ROW())="","",INDIRECT("office_form!H"&amp;ROW())))</f>
        <v/>
      </c>
      <c r="J30" s="30" t="str">
        <f aca="true">IF(INDIRECT("office_form!A"&amp;ROW())="","",IF(INDIRECT("office_form!I"&amp;ROW())="","",INDIRECT("office_form!I"&amp;ROW())))</f>
        <v/>
      </c>
      <c r="K30" s="30" t="str">
        <f aca="true">IF(INDIRECT("office_form!A"&amp;ROW())="","",IF($M30="Y",$D30,IF(INDIRECT("office_form!K"&amp;ROW())="","",INDIRECT("office_form!K"&amp;ROW()))))</f>
        <v/>
      </c>
      <c r="L30" s="30" t="str">
        <f aca="true">IF(INDIRECT("office_form!A"&amp;ROW())="","",IF($M30="Y",$E30,IF(INDIRECT("office_form!L"&amp;ROW())="","",INDIRECT("office_form!L"&amp;ROW()))))</f>
        <v/>
      </c>
      <c r="M30" s="30" t="str">
        <f aca="true">IF(INDIRECT("office_form!A"&amp;ROW())="","",IF(IF(INDIRECT("office_form!J"&amp;ROW())="","",INDIRECT("office_form!J"&amp;ROW()))="Yes, me","Y",IF(IF(INDIRECT("office_form!J"&amp;ROW())="","",INDIRECT("office_form!J"&amp;ROW()))="Someone else","N","")))</f>
        <v/>
      </c>
      <c r="N3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30" t="str">
        <f aca="true">IF(INDIRECT("office_form!A"&amp;ROW())="","",IF(INDIRECT("office_form!N"&amp;ROW())="","",INDIRECT("office_form!N"&amp;ROW())))</f>
        <v/>
      </c>
      <c r="P30" s="30" t="str">
        <f aca="true">IF(INDIRECT("office_form!A"&amp;ROW())="","",IF(IF(INDIRECT("office_form!O"&amp;ROW())="","",INDIRECT("office_form!O"&amp;ROW()))="Yes","yes",IF(IF(INDIRECT("office_form!O"&amp;ROW())="","",INDIRECT("office_form!O"&amp;ROW()))="No","no",IF(IF(INDIRECT("office_form!O"&amp;ROW())="","",INDIRECT("office_form!O"&amp;ROW()))="Not sure","unsure",""))))</f>
        <v/>
      </c>
      <c r="Q30" s="30" t="str">
        <f aca="true">IF(INDIRECT("office_form!A"&amp;ROW())="","",IF(IF(INDIRECT("office_form!P"&amp;ROW())="","",INDIRECT("office_form!P"&amp;ROW()))="Slack","slack",IF(IF(INDIRECT("office_form!P"&amp;ROW())="","",INDIRECT("office_form!P"&amp;ROW()))="Email","email",IF(IF(INDIRECT("office_form!P"&amp;ROW())="","",INDIRECT("office_form!P"&amp;ROW()))="Other","other",""))))</f>
        <v/>
      </c>
      <c r="R3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30" t="str">
        <f aca="true">IF(INDIRECT("office_form!A"&amp;ROW())="","",IF(INDIRECT("office_form!R"&amp;ROW())="","",INDIRECT("office_form!R"&amp;ROW())))</f>
        <v/>
      </c>
      <c r="T30" s="30" t="str">
        <f aca="true">IF(INDIRECT("office_form!A"&amp;ROW())="","",IF(INDIRECT("office_form!S"&amp;ROW())="","",INDIRECT("office_form!S"&amp;ROW())))</f>
        <v/>
      </c>
      <c r="U30" s="30" t="str">
        <f aca="true">IF(INDIRECT("office_form!A"&amp;ROW())="","","founder")</f>
        <v/>
      </c>
    </row>
    <row r="31" customFormat="false" ht="15" hidden="false" customHeight="false" outlineLevel="0" collapsed="false">
      <c r="A31" s="30" t="str">
        <f aca="true">IF(INDIRECT("office_form!A"&amp;ROW())="","",TEXT(INDIRECT("office_form!A"&amp;ROW()),"yyyy-mm-dd""T""hh:mm:ss"))</f>
        <v/>
      </c>
      <c r="B31" s="30" t="str">
        <f aca="true">IF(INDIRECT("office_form!A"&amp;ROW())="","",config!$B$36)</f>
        <v/>
      </c>
      <c r="C31" s="30" t="str">
        <f aca="true">IF(INDIRECT("office_form!A"&amp;ROW())="","",IF(INDIRECT("office_form!B"&amp;ROW())="","",INDIRECT("office_form!B"&amp;ROW())))</f>
        <v/>
      </c>
      <c r="D31" s="30" t="str">
        <f aca="true">IF(INDIRECT("office_form!A"&amp;ROW())="","",IF(INDIRECT("office_form!C"&amp;ROW())="","",INDIRECT("office_form!C"&amp;ROW())))</f>
        <v/>
      </c>
      <c r="E31" s="30" t="str">
        <f aca="true">IF(INDIRECT("office_form!A"&amp;ROW())="","",IF(INDIRECT("office_form!D"&amp;ROW())="","",INDIRECT("office_form!D"&amp;ROW())))</f>
        <v/>
      </c>
      <c r="F31" s="30" t="str">
        <f aca="true">IF(INDIRECT("office_form!A"&amp;ROW())="","",IF(INDIRECT("office_form!E"&amp;ROW())="","",INDIRECT("office_form!E"&amp;ROW())))</f>
        <v/>
      </c>
      <c r="G31" s="30" t="str">
        <f aca="true">IF(INDIRECT("office_form!A"&amp;ROW())="","",IF(INDIRECT("office_form!F"&amp;ROW())="","",INDIRECT("office_form!F"&amp;ROW())))</f>
        <v/>
      </c>
      <c r="H31" s="30" t="str">
        <f aca="true">IF(INDIRECT("office_form!A"&amp;ROW())="","",IF(INDIRECT("office_form!G"&amp;ROW())="","",INDIRECT("office_form!G"&amp;ROW())))</f>
        <v/>
      </c>
      <c r="I31" s="30" t="str">
        <f aca="true">IF(INDIRECT("office_form!A"&amp;ROW())="","",IF(INDIRECT("office_form!H"&amp;ROW())="","",INDIRECT("office_form!H"&amp;ROW())))</f>
        <v/>
      </c>
      <c r="J31" s="30" t="str">
        <f aca="true">IF(INDIRECT("office_form!A"&amp;ROW())="","",IF(INDIRECT("office_form!I"&amp;ROW())="","",INDIRECT("office_form!I"&amp;ROW())))</f>
        <v/>
      </c>
      <c r="K31" s="30" t="str">
        <f aca="true">IF(INDIRECT("office_form!A"&amp;ROW())="","",IF($M31="Y",$D31,IF(INDIRECT("office_form!K"&amp;ROW())="","",INDIRECT("office_form!K"&amp;ROW()))))</f>
        <v/>
      </c>
      <c r="L31" s="30" t="str">
        <f aca="true">IF(INDIRECT("office_form!A"&amp;ROW())="","",IF($M31="Y",$E31,IF(INDIRECT("office_form!L"&amp;ROW())="","",INDIRECT("office_form!L"&amp;ROW()))))</f>
        <v/>
      </c>
      <c r="M31" s="30" t="str">
        <f aca="true">IF(INDIRECT("office_form!A"&amp;ROW())="","",IF(IF(INDIRECT("office_form!J"&amp;ROW())="","",INDIRECT("office_form!J"&amp;ROW()))="Yes, me","Y",IF(IF(INDIRECT("office_form!J"&amp;ROW())="","",INDIRECT("office_form!J"&amp;ROW()))="Someone else","N","")))</f>
        <v/>
      </c>
      <c r="N3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30" t="str">
        <f aca="true">IF(INDIRECT("office_form!A"&amp;ROW())="","",IF(INDIRECT("office_form!N"&amp;ROW())="","",INDIRECT("office_form!N"&amp;ROW())))</f>
        <v/>
      </c>
      <c r="P31" s="30" t="str">
        <f aca="true">IF(INDIRECT("office_form!A"&amp;ROW())="","",IF(IF(INDIRECT("office_form!O"&amp;ROW())="","",INDIRECT("office_form!O"&amp;ROW()))="Yes","yes",IF(IF(INDIRECT("office_form!O"&amp;ROW())="","",INDIRECT("office_form!O"&amp;ROW()))="No","no",IF(IF(INDIRECT("office_form!O"&amp;ROW())="","",INDIRECT("office_form!O"&amp;ROW()))="Not sure","unsure",""))))</f>
        <v/>
      </c>
      <c r="Q31" s="30" t="str">
        <f aca="true">IF(INDIRECT("office_form!A"&amp;ROW())="","",IF(IF(INDIRECT("office_form!P"&amp;ROW())="","",INDIRECT("office_form!P"&amp;ROW()))="Slack","slack",IF(IF(INDIRECT("office_form!P"&amp;ROW())="","",INDIRECT("office_form!P"&amp;ROW()))="Email","email",IF(IF(INDIRECT("office_form!P"&amp;ROW())="","",INDIRECT("office_form!P"&amp;ROW()))="Other","other",""))))</f>
        <v/>
      </c>
      <c r="R3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30" t="str">
        <f aca="true">IF(INDIRECT("office_form!A"&amp;ROW())="","",IF(INDIRECT("office_form!R"&amp;ROW())="","",INDIRECT("office_form!R"&amp;ROW())))</f>
        <v/>
      </c>
      <c r="T31" s="30" t="str">
        <f aca="true">IF(INDIRECT("office_form!A"&amp;ROW())="","",IF(INDIRECT("office_form!S"&amp;ROW())="","",INDIRECT("office_form!S"&amp;ROW())))</f>
        <v/>
      </c>
      <c r="U31" s="30" t="str">
        <f aca="true">IF(INDIRECT("office_form!A"&amp;ROW())="","","founder")</f>
        <v/>
      </c>
    </row>
    <row r="32" customFormat="false" ht="15" hidden="false" customHeight="false" outlineLevel="0" collapsed="false">
      <c r="A32" s="30" t="str">
        <f aca="true">IF(INDIRECT("office_form!A"&amp;ROW())="","",TEXT(INDIRECT("office_form!A"&amp;ROW()),"yyyy-mm-dd""T""hh:mm:ss"))</f>
        <v/>
      </c>
      <c r="B32" s="30" t="str">
        <f aca="true">IF(INDIRECT("office_form!A"&amp;ROW())="","",config!$B$36)</f>
        <v/>
      </c>
      <c r="C32" s="30" t="str">
        <f aca="true">IF(INDIRECT("office_form!A"&amp;ROW())="","",IF(INDIRECT("office_form!B"&amp;ROW())="","",INDIRECT("office_form!B"&amp;ROW())))</f>
        <v/>
      </c>
      <c r="D32" s="30" t="str">
        <f aca="true">IF(INDIRECT("office_form!A"&amp;ROW())="","",IF(INDIRECT("office_form!C"&amp;ROW())="","",INDIRECT("office_form!C"&amp;ROW())))</f>
        <v/>
      </c>
      <c r="E32" s="30" t="str">
        <f aca="true">IF(INDIRECT("office_form!A"&amp;ROW())="","",IF(INDIRECT("office_form!D"&amp;ROW())="","",INDIRECT("office_form!D"&amp;ROW())))</f>
        <v/>
      </c>
      <c r="F32" s="30" t="str">
        <f aca="true">IF(INDIRECT("office_form!A"&amp;ROW())="","",IF(INDIRECT("office_form!E"&amp;ROW())="","",INDIRECT("office_form!E"&amp;ROW())))</f>
        <v/>
      </c>
      <c r="G32" s="30" t="str">
        <f aca="true">IF(INDIRECT("office_form!A"&amp;ROW())="","",IF(INDIRECT("office_form!F"&amp;ROW())="","",INDIRECT("office_form!F"&amp;ROW())))</f>
        <v/>
      </c>
      <c r="H32" s="30" t="str">
        <f aca="true">IF(INDIRECT("office_form!A"&amp;ROW())="","",IF(INDIRECT("office_form!G"&amp;ROW())="","",INDIRECT("office_form!G"&amp;ROW())))</f>
        <v/>
      </c>
      <c r="I32" s="30" t="str">
        <f aca="true">IF(INDIRECT("office_form!A"&amp;ROW())="","",IF(INDIRECT("office_form!H"&amp;ROW())="","",INDIRECT("office_form!H"&amp;ROW())))</f>
        <v/>
      </c>
      <c r="J32" s="30" t="str">
        <f aca="true">IF(INDIRECT("office_form!A"&amp;ROW())="","",IF(INDIRECT("office_form!I"&amp;ROW())="","",INDIRECT("office_form!I"&amp;ROW())))</f>
        <v/>
      </c>
      <c r="K32" s="30" t="str">
        <f aca="true">IF(INDIRECT("office_form!A"&amp;ROW())="","",IF($M32="Y",$D32,IF(INDIRECT("office_form!K"&amp;ROW())="","",INDIRECT("office_form!K"&amp;ROW()))))</f>
        <v/>
      </c>
      <c r="L32" s="30" t="str">
        <f aca="true">IF(INDIRECT("office_form!A"&amp;ROW())="","",IF($M32="Y",$E32,IF(INDIRECT("office_form!L"&amp;ROW())="","",INDIRECT("office_form!L"&amp;ROW()))))</f>
        <v/>
      </c>
      <c r="M32" s="30" t="str">
        <f aca="true">IF(INDIRECT("office_form!A"&amp;ROW())="","",IF(IF(INDIRECT("office_form!J"&amp;ROW())="","",INDIRECT("office_form!J"&amp;ROW()))="Yes, me","Y",IF(IF(INDIRECT("office_form!J"&amp;ROW())="","",INDIRECT("office_form!J"&amp;ROW()))="Someone else","N","")))</f>
        <v/>
      </c>
      <c r="N3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30" t="str">
        <f aca="true">IF(INDIRECT("office_form!A"&amp;ROW())="","",IF(INDIRECT("office_form!N"&amp;ROW())="","",INDIRECT("office_form!N"&amp;ROW())))</f>
        <v/>
      </c>
      <c r="P32" s="30" t="str">
        <f aca="true">IF(INDIRECT("office_form!A"&amp;ROW())="","",IF(IF(INDIRECT("office_form!O"&amp;ROW())="","",INDIRECT("office_form!O"&amp;ROW()))="Yes","yes",IF(IF(INDIRECT("office_form!O"&amp;ROW())="","",INDIRECT("office_form!O"&amp;ROW()))="No","no",IF(IF(INDIRECT("office_form!O"&amp;ROW())="","",INDIRECT("office_form!O"&amp;ROW()))="Not sure","unsure",""))))</f>
        <v/>
      </c>
      <c r="Q32" s="30" t="str">
        <f aca="true">IF(INDIRECT("office_form!A"&amp;ROW())="","",IF(IF(INDIRECT("office_form!P"&amp;ROW())="","",INDIRECT("office_form!P"&amp;ROW()))="Slack","slack",IF(IF(INDIRECT("office_form!P"&amp;ROW())="","",INDIRECT("office_form!P"&amp;ROW()))="Email","email",IF(IF(INDIRECT("office_form!P"&amp;ROW())="","",INDIRECT("office_form!P"&amp;ROW()))="Other","other",""))))</f>
        <v/>
      </c>
      <c r="R3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30" t="str">
        <f aca="true">IF(INDIRECT("office_form!A"&amp;ROW())="","",IF(INDIRECT("office_form!R"&amp;ROW())="","",INDIRECT("office_form!R"&amp;ROW())))</f>
        <v/>
      </c>
      <c r="T32" s="30" t="str">
        <f aca="true">IF(INDIRECT("office_form!A"&amp;ROW())="","",IF(INDIRECT("office_form!S"&amp;ROW())="","",INDIRECT("office_form!S"&amp;ROW())))</f>
        <v/>
      </c>
      <c r="U32" s="30" t="str">
        <f aca="true">IF(INDIRECT("office_form!A"&amp;ROW())="","","founder")</f>
        <v/>
      </c>
    </row>
    <row r="33" customFormat="false" ht="15" hidden="false" customHeight="false" outlineLevel="0" collapsed="false">
      <c r="A33" s="30" t="str">
        <f aca="true">IF(INDIRECT("office_form!A"&amp;ROW())="","",TEXT(INDIRECT("office_form!A"&amp;ROW()),"yyyy-mm-dd""T""hh:mm:ss"))</f>
        <v/>
      </c>
      <c r="B33" s="30" t="str">
        <f aca="true">IF(INDIRECT("office_form!A"&amp;ROW())="","",config!$B$36)</f>
        <v/>
      </c>
      <c r="C33" s="30" t="str">
        <f aca="true">IF(INDIRECT("office_form!A"&amp;ROW())="","",IF(INDIRECT("office_form!B"&amp;ROW())="","",INDIRECT("office_form!B"&amp;ROW())))</f>
        <v/>
      </c>
      <c r="D33" s="30" t="str">
        <f aca="true">IF(INDIRECT("office_form!A"&amp;ROW())="","",IF(INDIRECT("office_form!C"&amp;ROW())="","",INDIRECT("office_form!C"&amp;ROW())))</f>
        <v/>
      </c>
      <c r="E33" s="30" t="str">
        <f aca="true">IF(INDIRECT("office_form!A"&amp;ROW())="","",IF(INDIRECT("office_form!D"&amp;ROW())="","",INDIRECT("office_form!D"&amp;ROW())))</f>
        <v/>
      </c>
      <c r="F33" s="30" t="str">
        <f aca="true">IF(INDIRECT("office_form!A"&amp;ROW())="","",IF(INDIRECT("office_form!E"&amp;ROW())="","",INDIRECT("office_form!E"&amp;ROW())))</f>
        <v/>
      </c>
      <c r="G33" s="30" t="str">
        <f aca="true">IF(INDIRECT("office_form!A"&amp;ROW())="","",IF(INDIRECT("office_form!F"&amp;ROW())="","",INDIRECT("office_form!F"&amp;ROW())))</f>
        <v/>
      </c>
      <c r="H33" s="30" t="str">
        <f aca="true">IF(INDIRECT("office_form!A"&amp;ROW())="","",IF(INDIRECT("office_form!G"&amp;ROW())="","",INDIRECT("office_form!G"&amp;ROW())))</f>
        <v/>
      </c>
      <c r="I33" s="30" t="str">
        <f aca="true">IF(INDIRECT("office_form!A"&amp;ROW())="","",IF(INDIRECT("office_form!H"&amp;ROW())="","",INDIRECT("office_form!H"&amp;ROW())))</f>
        <v/>
      </c>
      <c r="J33" s="30" t="str">
        <f aca="true">IF(INDIRECT("office_form!A"&amp;ROW())="","",IF(INDIRECT("office_form!I"&amp;ROW())="","",INDIRECT("office_form!I"&amp;ROW())))</f>
        <v/>
      </c>
      <c r="K33" s="30" t="str">
        <f aca="true">IF(INDIRECT("office_form!A"&amp;ROW())="","",IF($M33="Y",$D33,IF(INDIRECT("office_form!K"&amp;ROW())="","",INDIRECT("office_form!K"&amp;ROW()))))</f>
        <v/>
      </c>
      <c r="L33" s="30" t="str">
        <f aca="true">IF(INDIRECT("office_form!A"&amp;ROW())="","",IF($M33="Y",$E33,IF(INDIRECT("office_form!L"&amp;ROW())="","",INDIRECT("office_form!L"&amp;ROW()))))</f>
        <v/>
      </c>
      <c r="M33" s="30" t="str">
        <f aca="true">IF(INDIRECT("office_form!A"&amp;ROW())="","",IF(IF(INDIRECT("office_form!J"&amp;ROW())="","",INDIRECT("office_form!J"&amp;ROW()))="Yes, me","Y",IF(IF(INDIRECT("office_form!J"&amp;ROW())="","",INDIRECT("office_form!J"&amp;ROW()))="Someone else","N","")))</f>
        <v/>
      </c>
      <c r="N3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30" t="str">
        <f aca="true">IF(INDIRECT("office_form!A"&amp;ROW())="","",IF(INDIRECT("office_form!N"&amp;ROW())="","",INDIRECT("office_form!N"&amp;ROW())))</f>
        <v/>
      </c>
      <c r="P33" s="30" t="str">
        <f aca="true">IF(INDIRECT("office_form!A"&amp;ROW())="","",IF(IF(INDIRECT("office_form!O"&amp;ROW())="","",INDIRECT("office_form!O"&amp;ROW()))="Yes","yes",IF(IF(INDIRECT("office_form!O"&amp;ROW())="","",INDIRECT("office_form!O"&amp;ROW()))="No","no",IF(IF(INDIRECT("office_form!O"&amp;ROW())="","",INDIRECT("office_form!O"&amp;ROW()))="Not sure","unsure",""))))</f>
        <v/>
      </c>
      <c r="Q33" s="30" t="str">
        <f aca="true">IF(INDIRECT("office_form!A"&amp;ROW())="","",IF(IF(INDIRECT("office_form!P"&amp;ROW())="","",INDIRECT("office_form!P"&amp;ROW()))="Slack","slack",IF(IF(INDIRECT("office_form!P"&amp;ROW())="","",INDIRECT("office_form!P"&amp;ROW()))="Email","email",IF(IF(INDIRECT("office_form!P"&amp;ROW())="","",INDIRECT("office_form!P"&amp;ROW()))="Other","other",""))))</f>
        <v/>
      </c>
      <c r="R3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30" t="str">
        <f aca="true">IF(INDIRECT("office_form!A"&amp;ROW())="","",IF(INDIRECT("office_form!R"&amp;ROW())="","",INDIRECT("office_form!R"&amp;ROW())))</f>
        <v/>
      </c>
      <c r="T33" s="30" t="str">
        <f aca="true">IF(INDIRECT("office_form!A"&amp;ROW())="","",IF(INDIRECT("office_form!S"&amp;ROW())="","",INDIRECT("office_form!S"&amp;ROW())))</f>
        <v/>
      </c>
      <c r="U33" s="30" t="str">
        <f aca="true">IF(INDIRECT("office_form!A"&amp;ROW())="","","founder")</f>
        <v/>
      </c>
    </row>
    <row r="34" customFormat="false" ht="15" hidden="false" customHeight="false" outlineLevel="0" collapsed="false">
      <c r="A34" s="30" t="str">
        <f aca="true">IF(INDIRECT("office_form!A"&amp;ROW())="","",TEXT(INDIRECT("office_form!A"&amp;ROW()),"yyyy-mm-dd""T""hh:mm:ss"))</f>
        <v/>
      </c>
      <c r="B34" s="30" t="str">
        <f aca="true">IF(INDIRECT("office_form!A"&amp;ROW())="","",config!$B$36)</f>
        <v/>
      </c>
      <c r="C34" s="30" t="str">
        <f aca="true">IF(INDIRECT("office_form!A"&amp;ROW())="","",IF(INDIRECT("office_form!B"&amp;ROW())="","",INDIRECT("office_form!B"&amp;ROW())))</f>
        <v/>
      </c>
      <c r="D34" s="30" t="str">
        <f aca="true">IF(INDIRECT("office_form!A"&amp;ROW())="","",IF(INDIRECT("office_form!C"&amp;ROW())="","",INDIRECT("office_form!C"&amp;ROW())))</f>
        <v/>
      </c>
      <c r="E34" s="30" t="str">
        <f aca="true">IF(INDIRECT("office_form!A"&amp;ROW())="","",IF(INDIRECT("office_form!D"&amp;ROW())="","",INDIRECT("office_form!D"&amp;ROW())))</f>
        <v/>
      </c>
      <c r="F34" s="30" t="str">
        <f aca="true">IF(INDIRECT("office_form!A"&amp;ROW())="","",IF(INDIRECT("office_form!E"&amp;ROW())="","",INDIRECT("office_form!E"&amp;ROW())))</f>
        <v/>
      </c>
      <c r="G34" s="30" t="str">
        <f aca="true">IF(INDIRECT("office_form!A"&amp;ROW())="","",IF(INDIRECT("office_form!F"&amp;ROW())="","",INDIRECT("office_form!F"&amp;ROW())))</f>
        <v/>
      </c>
      <c r="H34" s="30" t="str">
        <f aca="true">IF(INDIRECT("office_form!A"&amp;ROW())="","",IF(INDIRECT("office_form!G"&amp;ROW())="","",INDIRECT("office_form!G"&amp;ROW())))</f>
        <v/>
      </c>
      <c r="I34" s="30" t="str">
        <f aca="true">IF(INDIRECT("office_form!A"&amp;ROW())="","",IF(INDIRECT("office_form!H"&amp;ROW())="","",INDIRECT("office_form!H"&amp;ROW())))</f>
        <v/>
      </c>
      <c r="J34" s="30" t="str">
        <f aca="true">IF(INDIRECT("office_form!A"&amp;ROW())="","",IF(INDIRECT("office_form!I"&amp;ROW())="","",INDIRECT("office_form!I"&amp;ROW())))</f>
        <v/>
      </c>
      <c r="K34" s="30" t="str">
        <f aca="true">IF(INDIRECT("office_form!A"&amp;ROW())="","",IF($M34="Y",$D34,IF(INDIRECT("office_form!K"&amp;ROW())="","",INDIRECT("office_form!K"&amp;ROW()))))</f>
        <v/>
      </c>
      <c r="L34" s="30" t="str">
        <f aca="true">IF(INDIRECT("office_form!A"&amp;ROW())="","",IF($M34="Y",$E34,IF(INDIRECT("office_form!L"&amp;ROW())="","",INDIRECT("office_form!L"&amp;ROW()))))</f>
        <v/>
      </c>
      <c r="M34" s="30" t="str">
        <f aca="true">IF(INDIRECT("office_form!A"&amp;ROW())="","",IF(IF(INDIRECT("office_form!J"&amp;ROW())="","",INDIRECT("office_form!J"&amp;ROW()))="Yes, me","Y",IF(IF(INDIRECT("office_form!J"&amp;ROW())="","",INDIRECT("office_form!J"&amp;ROW()))="Someone else","N","")))</f>
        <v/>
      </c>
      <c r="N3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30" t="str">
        <f aca="true">IF(INDIRECT("office_form!A"&amp;ROW())="","",IF(INDIRECT("office_form!N"&amp;ROW())="","",INDIRECT("office_form!N"&amp;ROW())))</f>
        <v/>
      </c>
      <c r="P34" s="30" t="str">
        <f aca="true">IF(INDIRECT("office_form!A"&amp;ROW())="","",IF(IF(INDIRECT("office_form!O"&amp;ROW())="","",INDIRECT("office_form!O"&amp;ROW()))="Yes","yes",IF(IF(INDIRECT("office_form!O"&amp;ROW())="","",INDIRECT("office_form!O"&amp;ROW()))="No","no",IF(IF(INDIRECT("office_form!O"&amp;ROW())="","",INDIRECT("office_form!O"&amp;ROW()))="Not sure","unsure",""))))</f>
        <v/>
      </c>
      <c r="Q34" s="30" t="str">
        <f aca="true">IF(INDIRECT("office_form!A"&amp;ROW())="","",IF(IF(INDIRECT("office_form!P"&amp;ROW())="","",INDIRECT("office_form!P"&amp;ROW()))="Slack","slack",IF(IF(INDIRECT("office_form!P"&amp;ROW())="","",INDIRECT("office_form!P"&amp;ROW()))="Email","email",IF(IF(INDIRECT("office_form!P"&amp;ROW())="","",INDIRECT("office_form!P"&amp;ROW()))="Other","other",""))))</f>
        <v/>
      </c>
      <c r="R3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30" t="str">
        <f aca="true">IF(INDIRECT("office_form!A"&amp;ROW())="","",IF(INDIRECT("office_form!R"&amp;ROW())="","",INDIRECT("office_form!R"&amp;ROW())))</f>
        <v/>
      </c>
      <c r="T34" s="30" t="str">
        <f aca="true">IF(INDIRECT("office_form!A"&amp;ROW())="","",IF(INDIRECT("office_form!S"&amp;ROW())="","",INDIRECT("office_form!S"&amp;ROW())))</f>
        <v/>
      </c>
      <c r="U34" s="30" t="str">
        <f aca="true">IF(INDIRECT("office_form!A"&amp;ROW())="","","founder")</f>
        <v/>
      </c>
    </row>
    <row r="35" customFormat="false" ht="15" hidden="false" customHeight="false" outlineLevel="0" collapsed="false">
      <c r="A35" s="30" t="str">
        <f aca="true">IF(INDIRECT("office_form!A"&amp;ROW())="","",TEXT(INDIRECT("office_form!A"&amp;ROW()),"yyyy-mm-dd""T""hh:mm:ss"))</f>
        <v/>
      </c>
      <c r="B35" s="30" t="str">
        <f aca="true">IF(INDIRECT("office_form!A"&amp;ROW())="","",config!$B$36)</f>
        <v/>
      </c>
      <c r="C35" s="30" t="str">
        <f aca="true">IF(INDIRECT("office_form!A"&amp;ROW())="","",IF(INDIRECT("office_form!B"&amp;ROW())="","",INDIRECT("office_form!B"&amp;ROW())))</f>
        <v/>
      </c>
      <c r="D35" s="30" t="str">
        <f aca="true">IF(INDIRECT("office_form!A"&amp;ROW())="","",IF(INDIRECT("office_form!C"&amp;ROW())="","",INDIRECT("office_form!C"&amp;ROW())))</f>
        <v/>
      </c>
      <c r="E35" s="30" t="str">
        <f aca="true">IF(INDIRECT("office_form!A"&amp;ROW())="","",IF(INDIRECT("office_form!D"&amp;ROW())="","",INDIRECT("office_form!D"&amp;ROW())))</f>
        <v/>
      </c>
      <c r="F35" s="30" t="str">
        <f aca="true">IF(INDIRECT("office_form!A"&amp;ROW())="","",IF(INDIRECT("office_form!E"&amp;ROW())="","",INDIRECT("office_form!E"&amp;ROW())))</f>
        <v/>
      </c>
      <c r="G35" s="30" t="str">
        <f aca="true">IF(INDIRECT("office_form!A"&amp;ROW())="","",IF(INDIRECT("office_form!F"&amp;ROW())="","",INDIRECT("office_form!F"&amp;ROW())))</f>
        <v/>
      </c>
      <c r="H35" s="30" t="str">
        <f aca="true">IF(INDIRECT("office_form!A"&amp;ROW())="","",IF(INDIRECT("office_form!G"&amp;ROW())="","",INDIRECT("office_form!G"&amp;ROW())))</f>
        <v/>
      </c>
      <c r="I35" s="30" t="str">
        <f aca="true">IF(INDIRECT("office_form!A"&amp;ROW())="","",IF(INDIRECT("office_form!H"&amp;ROW())="","",INDIRECT("office_form!H"&amp;ROW())))</f>
        <v/>
      </c>
      <c r="J35" s="30" t="str">
        <f aca="true">IF(INDIRECT("office_form!A"&amp;ROW())="","",IF(INDIRECT("office_form!I"&amp;ROW())="","",INDIRECT("office_form!I"&amp;ROW())))</f>
        <v/>
      </c>
      <c r="K35" s="30" t="str">
        <f aca="true">IF(INDIRECT("office_form!A"&amp;ROW())="","",IF($M35="Y",$D35,IF(INDIRECT("office_form!K"&amp;ROW())="","",INDIRECT("office_form!K"&amp;ROW()))))</f>
        <v/>
      </c>
      <c r="L35" s="30" t="str">
        <f aca="true">IF(INDIRECT("office_form!A"&amp;ROW())="","",IF($M35="Y",$E35,IF(INDIRECT("office_form!L"&amp;ROW())="","",INDIRECT("office_form!L"&amp;ROW()))))</f>
        <v/>
      </c>
      <c r="M35" s="30" t="str">
        <f aca="true">IF(INDIRECT("office_form!A"&amp;ROW())="","",IF(IF(INDIRECT("office_form!J"&amp;ROW())="","",INDIRECT("office_form!J"&amp;ROW()))="Yes, me","Y",IF(IF(INDIRECT("office_form!J"&amp;ROW())="","",INDIRECT("office_form!J"&amp;ROW()))="Someone else","N","")))</f>
        <v/>
      </c>
      <c r="N3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30" t="str">
        <f aca="true">IF(INDIRECT("office_form!A"&amp;ROW())="","",IF(INDIRECT("office_form!N"&amp;ROW())="","",INDIRECT("office_form!N"&amp;ROW())))</f>
        <v/>
      </c>
      <c r="P35" s="30" t="str">
        <f aca="true">IF(INDIRECT("office_form!A"&amp;ROW())="","",IF(IF(INDIRECT("office_form!O"&amp;ROW())="","",INDIRECT("office_form!O"&amp;ROW()))="Yes","yes",IF(IF(INDIRECT("office_form!O"&amp;ROW())="","",INDIRECT("office_form!O"&amp;ROW()))="No","no",IF(IF(INDIRECT("office_form!O"&amp;ROW())="","",INDIRECT("office_form!O"&amp;ROW()))="Not sure","unsure",""))))</f>
        <v/>
      </c>
      <c r="Q35" s="30" t="str">
        <f aca="true">IF(INDIRECT("office_form!A"&amp;ROW())="","",IF(IF(INDIRECT("office_form!P"&amp;ROW())="","",INDIRECT("office_form!P"&amp;ROW()))="Slack","slack",IF(IF(INDIRECT("office_form!P"&amp;ROW())="","",INDIRECT("office_form!P"&amp;ROW()))="Email","email",IF(IF(INDIRECT("office_form!P"&amp;ROW())="","",INDIRECT("office_form!P"&amp;ROW()))="Other","other",""))))</f>
        <v/>
      </c>
      <c r="R3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30" t="str">
        <f aca="true">IF(INDIRECT("office_form!A"&amp;ROW())="","",IF(INDIRECT("office_form!R"&amp;ROW())="","",INDIRECT("office_form!R"&amp;ROW())))</f>
        <v/>
      </c>
      <c r="T35" s="30" t="str">
        <f aca="true">IF(INDIRECT("office_form!A"&amp;ROW())="","",IF(INDIRECT("office_form!S"&amp;ROW())="","",INDIRECT("office_form!S"&amp;ROW())))</f>
        <v/>
      </c>
      <c r="U35" s="30" t="str">
        <f aca="true">IF(INDIRECT("office_form!A"&amp;ROW())="","","founder")</f>
        <v/>
      </c>
    </row>
    <row r="36" customFormat="false" ht="15" hidden="false" customHeight="false" outlineLevel="0" collapsed="false">
      <c r="A36" s="30" t="str">
        <f aca="true">IF(INDIRECT("office_form!A"&amp;ROW())="","",TEXT(INDIRECT("office_form!A"&amp;ROW()),"yyyy-mm-dd""T""hh:mm:ss"))</f>
        <v/>
      </c>
      <c r="B36" s="30" t="str">
        <f aca="true">IF(INDIRECT("office_form!A"&amp;ROW())="","",config!$B$36)</f>
        <v/>
      </c>
      <c r="C36" s="30" t="str">
        <f aca="true">IF(INDIRECT("office_form!A"&amp;ROW())="","",IF(INDIRECT("office_form!B"&amp;ROW())="","",INDIRECT("office_form!B"&amp;ROW())))</f>
        <v/>
      </c>
      <c r="D36" s="30" t="str">
        <f aca="true">IF(INDIRECT("office_form!A"&amp;ROW())="","",IF(INDIRECT("office_form!C"&amp;ROW())="","",INDIRECT("office_form!C"&amp;ROW())))</f>
        <v/>
      </c>
      <c r="E36" s="30" t="str">
        <f aca="true">IF(INDIRECT("office_form!A"&amp;ROW())="","",IF(INDIRECT("office_form!D"&amp;ROW())="","",INDIRECT("office_form!D"&amp;ROW())))</f>
        <v/>
      </c>
      <c r="F36" s="30" t="str">
        <f aca="true">IF(INDIRECT("office_form!A"&amp;ROW())="","",IF(INDIRECT("office_form!E"&amp;ROW())="","",INDIRECT("office_form!E"&amp;ROW())))</f>
        <v/>
      </c>
      <c r="G36" s="30" t="str">
        <f aca="true">IF(INDIRECT("office_form!A"&amp;ROW())="","",IF(INDIRECT("office_form!F"&amp;ROW())="","",INDIRECT("office_form!F"&amp;ROW())))</f>
        <v/>
      </c>
      <c r="H36" s="30" t="str">
        <f aca="true">IF(INDIRECT("office_form!A"&amp;ROW())="","",IF(INDIRECT("office_form!G"&amp;ROW())="","",INDIRECT("office_form!G"&amp;ROW())))</f>
        <v/>
      </c>
      <c r="I36" s="30" t="str">
        <f aca="true">IF(INDIRECT("office_form!A"&amp;ROW())="","",IF(INDIRECT("office_form!H"&amp;ROW())="","",INDIRECT("office_form!H"&amp;ROW())))</f>
        <v/>
      </c>
      <c r="J36" s="30" t="str">
        <f aca="true">IF(INDIRECT("office_form!A"&amp;ROW())="","",IF(INDIRECT("office_form!I"&amp;ROW())="","",INDIRECT("office_form!I"&amp;ROW())))</f>
        <v/>
      </c>
      <c r="K36" s="30" t="str">
        <f aca="true">IF(INDIRECT("office_form!A"&amp;ROW())="","",IF($M36="Y",$D36,IF(INDIRECT("office_form!K"&amp;ROW())="","",INDIRECT("office_form!K"&amp;ROW()))))</f>
        <v/>
      </c>
      <c r="L36" s="30" t="str">
        <f aca="true">IF(INDIRECT("office_form!A"&amp;ROW())="","",IF($M36="Y",$E36,IF(INDIRECT("office_form!L"&amp;ROW())="","",INDIRECT("office_form!L"&amp;ROW()))))</f>
        <v/>
      </c>
      <c r="M36" s="30" t="str">
        <f aca="true">IF(INDIRECT("office_form!A"&amp;ROW())="","",IF(IF(INDIRECT("office_form!J"&amp;ROW())="","",INDIRECT("office_form!J"&amp;ROW()))="Yes, me","Y",IF(IF(INDIRECT("office_form!J"&amp;ROW())="","",INDIRECT("office_form!J"&amp;ROW()))="Someone else","N","")))</f>
        <v/>
      </c>
      <c r="N3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30" t="str">
        <f aca="true">IF(INDIRECT("office_form!A"&amp;ROW())="","",IF(INDIRECT("office_form!N"&amp;ROW())="","",INDIRECT("office_form!N"&amp;ROW())))</f>
        <v/>
      </c>
      <c r="P36" s="30" t="str">
        <f aca="true">IF(INDIRECT("office_form!A"&amp;ROW())="","",IF(IF(INDIRECT("office_form!O"&amp;ROW())="","",INDIRECT("office_form!O"&amp;ROW()))="Yes","yes",IF(IF(INDIRECT("office_form!O"&amp;ROW())="","",INDIRECT("office_form!O"&amp;ROW()))="No","no",IF(IF(INDIRECT("office_form!O"&amp;ROW())="","",INDIRECT("office_form!O"&amp;ROW()))="Not sure","unsure",""))))</f>
        <v/>
      </c>
      <c r="Q36" s="30" t="str">
        <f aca="true">IF(INDIRECT("office_form!A"&amp;ROW())="","",IF(IF(INDIRECT("office_form!P"&amp;ROW())="","",INDIRECT("office_form!P"&amp;ROW()))="Slack","slack",IF(IF(INDIRECT("office_form!P"&amp;ROW())="","",INDIRECT("office_form!P"&amp;ROW()))="Email","email",IF(IF(INDIRECT("office_form!P"&amp;ROW())="","",INDIRECT("office_form!P"&amp;ROW()))="Other","other",""))))</f>
        <v/>
      </c>
      <c r="R3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30" t="str">
        <f aca="true">IF(INDIRECT("office_form!A"&amp;ROW())="","",IF(INDIRECT("office_form!R"&amp;ROW())="","",INDIRECT("office_form!R"&amp;ROW())))</f>
        <v/>
      </c>
      <c r="T36" s="30" t="str">
        <f aca="true">IF(INDIRECT("office_form!A"&amp;ROW())="","",IF(INDIRECT("office_form!S"&amp;ROW())="","",INDIRECT("office_form!S"&amp;ROW())))</f>
        <v/>
      </c>
      <c r="U36" s="30" t="str">
        <f aca="true">IF(INDIRECT("office_form!A"&amp;ROW())="","","founder")</f>
        <v/>
      </c>
    </row>
    <row r="37" customFormat="false" ht="15" hidden="false" customHeight="false" outlineLevel="0" collapsed="false">
      <c r="A37" s="30" t="str">
        <f aca="true">IF(INDIRECT("office_form!A"&amp;ROW())="","",TEXT(INDIRECT("office_form!A"&amp;ROW()),"yyyy-mm-dd""T""hh:mm:ss"))</f>
        <v/>
      </c>
      <c r="B37" s="30" t="str">
        <f aca="true">IF(INDIRECT("office_form!A"&amp;ROW())="","",config!$B$36)</f>
        <v/>
      </c>
      <c r="C37" s="30" t="str">
        <f aca="true">IF(INDIRECT("office_form!A"&amp;ROW())="","",IF(INDIRECT("office_form!B"&amp;ROW())="","",INDIRECT("office_form!B"&amp;ROW())))</f>
        <v/>
      </c>
      <c r="D37" s="30" t="str">
        <f aca="true">IF(INDIRECT("office_form!A"&amp;ROW())="","",IF(INDIRECT("office_form!C"&amp;ROW())="","",INDIRECT("office_form!C"&amp;ROW())))</f>
        <v/>
      </c>
      <c r="E37" s="30" t="str">
        <f aca="true">IF(INDIRECT("office_form!A"&amp;ROW())="","",IF(INDIRECT("office_form!D"&amp;ROW())="","",INDIRECT("office_form!D"&amp;ROW())))</f>
        <v/>
      </c>
      <c r="F37" s="30" t="str">
        <f aca="true">IF(INDIRECT("office_form!A"&amp;ROW())="","",IF(INDIRECT("office_form!E"&amp;ROW())="","",INDIRECT("office_form!E"&amp;ROW())))</f>
        <v/>
      </c>
      <c r="G37" s="30" t="str">
        <f aca="true">IF(INDIRECT("office_form!A"&amp;ROW())="","",IF(INDIRECT("office_form!F"&amp;ROW())="","",INDIRECT("office_form!F"&amp;ROW())))</f>
        <v/>
      </c>
      <c r="H37" s="30" t="str">
        <f aca="true">IF(INDIRECT("office_form!A"&amp;ROW())="","",IF(INDIRECT("office_form!G"&amp;ROW())="","",INDIRECT("office_form!G"&amp;ROW())))</f>
        <v/>
      </c>
      <c r="I37" s="30" t="str">
        <f aca="true">IF(INDIRECT("office_form!A"&amp;ROW())="","",IF(INDIRECT("office_form!H"&amp;ROW())="","",INDIRECT("office_form!H"&amp;ROW())))</f>
        <v/>
      </c>
      <c r="J37" s="30" t="str">
        <f aca="true">IF(INDIRECT("office_form!A"&amp;ROW())="","",IF(INDIRECT("office_form!I"&amp;ROW())="","",INDIRECT("office_form!I"&amp;ROW())))</f>
        <v/>
      </c>
      <c r="K37" s="30" t="str">
        <f aca="true">IF(INDIRECT("office_form!A"&amp;ROW())="","",IF($M37="Y",$D37,IF(INDIRECT("office_form!K"&amp;ROW())="","",INDIRECT("office_form!K"&amp;ROW()))))</f>
        <v/>
      </c>
      <c r="L37" s="30" t="str">
        <f aca="true">IF(INDIRECT("office_form!A"&amp;ROW())="","",IF($M37="Y",$E37,IF(INDIRECT("office_form!L"&amp;ROW())="","",INDIRECT("office_form!L"&amp;ROW()))))</f>
        <v/>
      </c>
      <c r="M37" s="30" t="str">
        <f aca="true">IF(INDIRECT("office_form!A"&amp;ROW())="","",IF(IF(INDIRECT("office_form!J"&amp;ROW())="","",INDIRECT("office_form!J"&amp;ROW()))="Yes, me","Y",IF(IF(INDIRECT("office_form!J"&amp;ROW())="","",INDIRECT("office_form!J"&amp;ROW()))="Someone else","N","")))</f>
        <v/>
      </c>
      <c r="N3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30" t="str">
        <f aca="true">IF(INDIRECT("office_form!A"&amp;ROW())="","",IF(INDIRECT("office_form!N"&amp;ROW())="","",INDIRECT("office_form!N"&amp;ROW())))</f>
        <v/>
      </c>
      <c r="P37" s="30" t="str">
        <f aca="true">IF(INDIRECT("office_form!A"&amp;ROW())="","",IF(IF(INDIRECT("office_form!O"&amp;ROW())="","",INDIRECT("office_form!O"&amp;ROW()))="Yes","yes",IF(IF(INDIRECT("office_form!O"&amp;ROW())="","",INDIRECT("office_form!O"&amp;ROW()))="No","no",IF(IF(INDIRECT("office_form!O"&amp;ROW())="","",INDIRECT("office_form!O"&amp;ROW()))="Not sure","unsure",""))))</f>
        <v/>
      </c>
      <c r="Q37" s="30" t="str">
        <f aca="true">IF(INDIRECT("office_form!A"&amp;ROW())="","",IF(IF(INDIRECT("office_form!P"&amp;ROW())="","",INDIRECT("office_form!P"&amp;ROW()))="Slack","slack",IF(IF(INDIRECT("office_form!P"&amp;ROW())="","",INDIRECT("office_form!P"&amp;ROW()))="Email","email",IF(IF(INDIRECT("office_form!P"&amp;ROW())="","",INDIRECT("office_form!P"&amp;ROW()))="Other","other",""))))</f>
        <v/>
      </c>
      <c r="R3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30" t="str">
        <f aca="true">IF(INDIRECT("office_form!A"&amp;ROW())="","",IF(INDIRECT("office_form!R"&amp;ROW())="","",INDIRECT("office_form!R"&amp;ROW())))</f>
        <v/>
      </c>
      <c r="T37" s="30" t="str">
        <f aca="true">IF(INDIRECT("office_form!A"&amp;ROW())="","",IF(INDIRECT("office_form!S"&amp;ROW())="","",INDIRECT("office_form!S"&amp;ROW())))</f>
        <v/>
      </c>
      <c r="U37" s="30" t="str">
        <f aca="true">IF(INDIRECT("office_form!A"&amp;ROW())="","","founder")</f>
        <v/>
      </c>
    </row>
    <row r="38" customFormat="false" ht="15" hidden="false" customHeight="false" outlineLevel="0" collapsed="false">
      <c r="A38" s="30" t="str">
        <f aca="true">IF(INDIRECT("office_form!A"&amp;ROW())="","",TEXT(INDIRECT("office_form!A"&amp;ROW()),"yyyy-mm-dd""T""hh:mm:ss"))</f>
        <v/>
      </c>
      <c r="B38" s="30" t="str">
        <f aca="true">IF(INDIRECT("office_form!A"&amp;ROW())="","",config!$B$36)</f>
        <v/>
      </c>
      <c r="C38" s="30" t="str">
        <f aca="true">IF(INDIRECT("office_form!A"&amp;ROW())="","",IF(INDIRECT("office_form!B"&amp;ROW())="","",INDIRECT("office_form!B"&amp;ROW())))</f>
        <v/>
      </c>
      <c r="D38" s="30" t="str">
        <f aca="true">IF(INDIRECT("office_form!A"&amp;ROW())="","",IF(INDIRECT("office_form!C"&amp;ROW())="","",INDIRECT("office_form!C"&amp;ROW())))</f>
        <v/>
      </c>
      <c r="E38" s="30" t="str">
        <f aca="true">IF(INDIRECT("office_form!A"&amp;ROW())="","",IF(INDIRECT("office_form!D"&amp;ROW())="","",INDIRECT("office_form!D"&amp;ROW())))</f>
        <v/>
      </c>
      <c r="F38" s="30" t="str">
        <f aca="true">IF(INDIRECT("office_form!A"&amp;ROW())="","",IF(INDIRECT("office_form!E"&amp;ROW())="","",INDIRECT("office_form!E"&amp;ROW())))</f>
        <v/>
      </c>
      <c r="G38" s="30" t="str">
        <f aca="true">IF(INDIRECT("office_form!A"&amp;ROW())="","",IF(INDIRECT("office_form!F"&amp;ROW())="","",INDIRECT("office_form!F"&amp;ROW())))</f>
        <v/>
      </c>
      <c r="H38" s="30" t="str">
        <f aca="true">IF(INDIRECT("office_form!A"&amp;ROW())="","",IF(INDIRECT("office_form!G"&amp;ROW())="","",INDIRECT("office_form!G"&amp;ROW())))</f>
        <v/>
      </c>
      <c r="I38" s="30" t="str">
        <f aca="true">IF(INDIRECT("office_form!A"&amp;ROW())="","",IF(INDIRECT("office_form!H"&amp;ROW())="","",INDIRECT("office_form!H"&amp;ROW())))</f>
        <v/>
      </c>
      <c r="J38" s="30" t="str">
        <f aca="true">IF(INDIRECT("office_form!A"&amp;ROW())="","",IF(INDIRECT("office_form!I"&amp;ROW())="","",INDIRECT("office_form!I"&amp;ROW())))</f>
        <v/>
      </c>
      <c r="K38" s="30" t="str">
        <f aca="true">IF(INDIRECT("office_form!A"&amp;ROW())="","",IF($M38="Y",$D38,IF(INDIRECT("office_form!K"&amp;ROW())="","",INDIRECT("office_form!K"&amp;ROW()))))</f>
        <v/>
      </c>
      <c r="L38" s="30" t="str">
        <f aca="true">IF(INDIRECT("office_form!A"&amp;ROW())="","",IF($M38="Y",$E38,IF(INDIRECT("office_form!L"&amp;ROW())="","",INDIRECT("office_form!L"&amp;ROW()))))</f>
        <v/>
      </c>
      <c r="M38" s="30" t="str">
        <f aca="true">IF(INDIRECT("office_form!A"&amp;ROW())="","",IF(IF(INDIRECT("office_form!J"&amp;ROW())="","",INDIRECT("office_form!J"&amp;ROW()))="Yes, me","Y",IF(IF(INDIRECT("office_form!J"&amp;ROW())="","",INDIRECT("office_form!J"&amp;ROW()))="Someone else","N","")))</f>
        <v/>
      </c>
      <c r="N3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30" t="str">
        <f aca="true">IF(INDIRECT("office_form!A"&amp;ROW())="","",IF(INDIRECT("office_form!N"&amp;ROW())="","",INDIRECT("office_form!N"&amp;ROW())))</f>
        <v/>
      </c>
      <c r="P38" s="30" t="str">
        <f aca="true">IF(INDIRECT("office_form!A"&amp;ROW())="","",IF(IF(INDIRECT("office_form!O"&amp;ROW())="","",INDIRECT("office_form!O"&amp;ROW()))="Yes","yes",IF(IF(INDIRECT("office_form!O"&amp;ROW())="","",INDIRECT("office_form!O"&amp;ROW()))="No","no",IF(IF(INDIRECT("office_form!O"&amp;ROW())="","",INDIRECT("office_form!O"&amp;ROW()))="Not sure","unsure",""))))</f>
        <v/>
      </c>
      <c r="Q38" s="30" t="str">
        <f aca="true">IF(INDIRECT("office_form!A"&amp;ROW())="","",IF(IF(INDIRECT("office_form!P"&amp;ROW())="","",INDIRECT("office_form!P"&amp;ROW()))="Slack","slack",IF(IF(INDIRECT("office_form!P"&amp;ROW())="","",INDIRECT("office_form!P"&amp;ROW()))="Email","email",IF(IF(INDIRECT("office_form!P"&amp;ROW())="","",INDIRECT("office_form!P"&amp;ROW()))="Other","other",""))))</f>
        <v/>
      </c>
      <c r="R3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30" t="str">
        <f aca="true">IF(INDIRECT("office_form!A"&amp;ROW())="","",IF(INDIRECT("office_form!R"&amp;ROW())="","",INDIRECT("office_form!R"&amp;ROW())))</f>
        <v/>
      </c>
      <c r="T38" s="30" t="str">
        <f aca="true">IF(INDIRECT("office_form!A"&amp;ROW())="","",IF(INDIRECT("office_form!S"&amp;ROW())="","",INDIRECT("office_form!S"&amp;ROW())))</f>
        <v/>
      </c>
      <c r="U38" s="30" t="str">
        <f aca="true">IF(INDIRECT("office_form!A"&amp;ROW())="","","founder")</f>
        <v/>
      </c>
    </row>
    <row r="39" customFormat="false" ht="15" hidden="false" customHeight="false" outlineLevel="0" collapsed="false">
      <c r="A39" s="30" t="str">
        <f aca="true">IF(INDIRECT("office_form!A"&amp;ROW())="","",TEXT(INDIRECT("office_form!A"&amp;ROW()),"yyyy-mm-dd""T""hh:mm:ss"))</f>
        <v/>
      </c>
      <c r="B39" s="30" t="str">
        <f aca="true">IF(INDIRECT("office_form!A"&amp;ROW())="","",config!$B$36)</f>
        <v/>
      </c>
      <c r="C39" s="30" t="str">
        <f aca="true">IF(INDIRECT("office_form!A"&amp;ROW())="","",IF(INDIRECT("office_form!B"&amp;ROW())="","",INDIRECT("office_form!B"&amp;ROW())))</f>
        <v/>
      </c>
      <c r="D39" s="30" t="str">
        <f aca="true">IF(INDIRECT("office_form!A"&amp;ROW())="","",IF(INDIRECT("office_form!C"&amp;ROW())="","",INDIRECT("office_form!C"&amp;ROW())))</f>
        <v/>
      </c>
      <c r="E39" s="30" t="str">
        <f aca="true">IF(INDIRECT("office_form!A"&amp;ROW())="","",IF(INDIRECT("office_form!D"&amp;ROW())="","",INDIRECT("office_form!D"&amp;ROW())))</f>
        <v/>
      </c>
      <c r="F39" s="30" t="str">
        <f aca="true">IF(INDIRECT("office_form!A"&amp;ROW())="","",IF(INDIRECT("office_form!E"&amp;ROW())="","",INDIRECT("office_form!E"&amp;ROW())))</f>
        <v/>
      </c>
      <c r="G39" s="30" t="str">
        <f aca="true">IF(INDIRECT("office_form!A"&amp;ROW())="","",IF(INDIRECT("office_form!F"&amp;ROW())="","",INDIRECT("office_form!F"&amp;ROW())))</f>
        <v/>
      </c>
      <c r="H39" s="30" t="str">
        <f aca="true">IF(INDIRECT("office_form!A"&amp;ROW())="","",IF(INDIRECT("office_form!G"&amp;ROW())="","",INDIRECT("office_form!G"&amp;ROW())))</f>
        <v/>
      </c>
      <c r="I39" s="30" t="str">
        <f aca="true">IF(INDIRECT("office_form!A"&amp;ROW())="","",IF(INDIRECT("office_form!H"&amp;ROW())="","",INDIRECT("office_form!H"&amp;ROW())))</f>
        <v/>
      </c>
      <c r="J39" s="30" t="str">
        <f aca="true">IF(INDIRECT("office_form!A"&amp;ROW())="","",IF(INDIRECT("office_form!I"&amp;ROW())="","",INDIRECT("office_form!I"&amp;ROW())))</f>
        <v/>
      </c>
      <c r="K39" s="30" t="str">
        <f aca="true">IF(INDIRECT("office_form!A"&amp;ROW())="","",IF($M39="Y",$D39,IF(INDIRECT("office_form!K"&amp;ROW())="","",INDIRECT("office_form!K"&amp;ROW()))))</f>
        <v/>
      </c>
      <c r="L39" s="30" t="str">
        <f aca="true">IF(INDIRECT("office_form!A"&amp;ROW())="","",IF($M39="Y",$E39,IF(INDIRECT("office_form!L"&amp;ROW())="","",INDIRECT("office_form!L"&amp;ROW()))))</f>
        <v/>
      </c>
      <c r="M39" s="30" t="str">
        <f aca="true">IF(INDIRECT("office_form!A"&amp;ROW())="","",IF(IF(INDIRECT("office_form!J"&amp;ROW())="","",INDIRECT("office_form!J"&amp;ROW()))="Yes, me","Y",IF(IF(INDIRECT("office_form!J"&amp;ROW())="","",INDIRECT("office_form!J"&amp;ROW()))="Someone else","N","")))</f>
        <v/>
      </c>
      <c r="N3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30" t="str">
        <f aca="true">IF(INDIRECT("office_form!A"&amp;ROW())="","",IF(INDIRECT("office_form!N"&amp;ROW())="","",INDIRECT("office_form!N"&amp;ROW())))</f>
        <v/>
      </c>
      <c r="P39" s="30" t="str">
        <f aca="true">IF(INDIRECT("office_form!A"&amp;ROW())="","",IF(IF(INDIRECT("office_form!O"&amp;ROW())="","",INDIRECT("office_form!O"&amp;ROW()))="Yes","yes",IF(IF(INDIRECT("office_form!O"&amp;ROW())="","",INDIRECT("office_form!O"&amp;ROW()))="No","no",IF(IF(INDIRECT("office_form!O"&amp;ROW())="","",INDIRECT("office_form!O"&amp;ROW()))="Not sure","unsure",""))))</f>
        <v/>
      </c>
      <c r="Q39" s="30" t="str">
        <f aca="true">IF(INDIRECT("office_form!A"&amp;ROW())="","",IF(IF(INDIRECT("office_form!P"&amp;ROW())="","",INDIRECT("office_form!P"&amp;ROW()))="Slack","slack",IF(IF(INDIRECT("office_form!P"&amp;ROW())="","",INDIRECT("office_form!P"&amp;ROW()))="Email","email",IF(IF(INDIRECT("office_form!P"&amp;ROW())="","",INDIRECT("office_form!P"&amp;ROW()))="Other","other",""))))</f>
        <v/>
      </c>
      <c r="R3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30" t="str">
        <f aca="true">IF(INDIRECT("office_form!A"&amp;ROW())="","",IF(INDIRECT("office_form!R"&amp;ROW())="","",INDIRECT("office_form!R"&amp;ROW())))</f>
        <v/>
      </c>
      <c r="T39" s="30" t="str">
        <f aca="true">IF(INDIRECT("office_form!A"&amp;ROW())="","",IF(INDIRECT("office_form!S"&amp;ROW())="","",INDIRECT("office_form!S"&amp;ROW())))</f>
        <v/>
      </c>
      <c r="U39" s="30" t="str">
        <f aca="true">IF(INDIRECT("office_form!A"&amp;ROW())="","","founder")</f>
        <v/>
      </c>
    </row>
    <row r="40" customFormat="false" ht="15" hidden="false" customHeight="false" outlineLevel="0" collapsed="false">
      <c r="A40" s="30" t="str">
        <f aca="true">IF(INDIRECT("office_form!A"&amp;ROW())="","",TEXT(INDIRECT("office_form!A"&amp;ROW()),"yyyy-mm-dd""T""hh:mm:ss"))</f>
        <v/>
      </c>
      <c r="B40" s="30" t="str">
        <f aca="true">IF(INDIRECT("office_form!A"&amp;ROW())="","",config!$B$36)</f>
        <v/>
      </c>
      <c r="C40" s="30" t="str">
        <f aca="true">IF(INDIRECT("office_form!A"&amp;ROW())="","",IF(INDIRECT("office_form!B"&amp;ROW())="","",INDIRECT("office_form!B"&amp;ROW())))</f>
        <v/>
      </c>
      <c r="D40" s="30" t="str">
        <f aca="true">IF(INDIRECT("office_form!A"&amp;ROW())="","",IF(INDIRECT("office_form!C"&amp;ROW())="","",INDIRECT("office_form!C"&amp;ROW())))</f>
        <v/>
      </c>
      <c r="E40" s="30" t="str">
        <f aca="true">IF(INDIRECT("office_form!A"&amp;ROW())="","",IF(INDIRECT("office_form!D"&amp;ROW())="","",INDIRECT("office_form!D"&amp;ROW())))</f>
        <v/>
      </c>
      <c r="F40" s="30" t="str">
        <f aca="true">IF(INDIRECT("office_form!A"&amp;ROW())="","",IF(INDIRECT("office_form!E"&amp;ROW())="","",INDIRECT("office_form!E"&amp;ROW())))</f>
        <v/>
      </c>
      <c r="G40" s="30" t="str">
        <f aca="true">IF(INDIRECT("office_form!A"&amp;ROW())="","",IF(INDIRECT("office_form!F"&amp;ROW())="","",INDIRECT("office_form!F"&amp;ROW())))</f>
        <v/>
      </c>
      <c r="H40" s="30" t="str">
        <f aca="true">IF(INDIRECT("office_form!A"&amp;ROW())="","",IF(INDIRECT("office_form!G"&amp;ROW())="","",INDIRECT("office_form!G"&amp;ROW())))</f>
        <v/>
      </c>
      <c r="I40" s="30" t="str">
        <f aca="true">IF(INDIRECT("office_form!A"&amp;ROW())="","",IF(INDIRECT("office_form!H"&amp;ROW())="","",INDIRECT("office_form!H"&amp;ROW())))</f>
        <v/>
      </c>
      <c r="J40" s="30" t="str">
        <f aca="true">IF(INDIRECT("office_form!A"&amp;ROW())="","",IF(INDIRECT("office_form!I"&amp;ROW())="","",INDIRECT("office_form!I"&amp;ROW())))</f>
        <v/>
      </c>
      <c r="K40" s="30" t="str">
        <f aca="true">IF(INDIRECT("office_form!A"&amp;ROW())="","",IF($M40="Y",$D40,IF(INDIRECT("office_form!K"&amp;ROW())="","",INDIRECT("office_form!K"&amp;ROW()))))</f>
        <v/>
      </c>
      <c r="L40" s="30" t="str">
        <f aca="true">IF(INDIRECT("office_form!A"&amp;ROW())="","",IF($M40="Y",$E40,IF(INDIRECT("office_form!L"&amp;ROW())="","",INDIRECT("office_form!L"&amp;ROW()))))</f>
        <v/>
      </c>
      <c r="M40" s="30" t="str">
        <f aca="true">IF(INDIRECT("office_form!A"&amp;ROW())="","",IF(IF(INDIRECT("office_form!J"&amp;ROW())="","",INDIRECT("office_form!J"&amp;ROW()))="Yes, me","Y",IF(IF(INDIRECT("office_form!J"&amp;ROW())="","",INDIRECT("office_form!J"&amp;ROW()))="Someone else","N","")))</f>
        <v/>
      </c>
      <c r="N4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30" t="str">
        <f aca="true">IF(INDIRECT("office_form!A"&amp;ROW())="","",IF(INDIRECT("office_form!N"&amp;ROW())="","",INDIRECT("office_form!N"&amp;ROW())))</f>
        <v/>
      </c>
      <c r="P40" s="30" t="str">
        <f aca="true">IF(INDIRECT("office_form!A"&amp;ROW())="","",IF(IF(INDIRECT("office_form!O"&amp;ROW())="","",INDIRECT("office_form!O"&amp;ROW()))="Yes","yes",IF(IF(INDIRECT("office_form!O"&amp;ROW())="","",INDIRECT("office_form!O"&amp;ROW()))="No","no",IF(IF(INDIRECT("office_form!O"&amp;ROW())="","",INDIRECT("office_form!O"&amp;ROW()))="Not sure","unsure",""))))</f>
        <v/>
      </c>
      <c r="Q40" s="30" t="str">
        <f aca="true">IF(INDIRECT("office_form!A"&amp;ROW())="","",IF(IF(INDIRECT("office_form!P"&amp;ROW())="","",INDIRECT("office_form!P"&amp;ROW()))="Slack","slack",IF(IF(INDIRECT("office_form!P"&amp;ROW())="","",INDIRECT("office_form!P"&amp;ROW()))="Email","email",IF(IF(INDIRECT("office_form!P"&amp;ROW())="","",INDIRECT("office_form!P"&amp;ROW()))="Other","other",""))))</f>
        <v/>
      </c>
      <c r="R4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30" t="str">
        <f aca="true">IF(INDIRECT("office_form!A"&amp;ROW())="","",IF(INDIRECT("office_form!R"&amp;ROW())="","",INDIRECT("office_form!R"&amp;ROW())))</f>
        <v/>
      </c>
      <c r="T40" s="30" t="str">
        <f aca="true">IF(INDIRECT("office_form!A"&amp;ROW())="","",IF(INDIRECT("office_form!S"&amp;ROW())="","",INDIRECT("office_form!S"&amp;ROW())))</f>
        <v/>
      </c>
      <c r="U40" s="30" t="str">
        <f aca="true">IF(INDIRECT("office_form!A"&amp;ROW())="","","founder")</f>
        <v/>
      </c>
    </row>
    <row r="41" customFormat="false" ht="15" hidden="false" customHeight="false" outlineLevel="0" collapsed="false">
      <c r="A41" s="30" t="str">
        <f aca="true">IF(INDIRECT("office_form!A"&amp;ROW())="","",TEXT(INDIRECT("office_form!A"&amp;ROW()),"yyyy-mm-dd""T""hh:mm:ss"))</f>
        <v/>
      </c>
      <c r="B41" s="30" t="str">
        <f aca="true">IF(INDIRECT("office_form!A"&amp;ROW())="","",config!$B$36)</f>
        <v/>
      </c>
      <c r="C41" s="30" t="str">
        <f aca="true">IF(INDIRECT("office_form!A"&amp;ROW())="","",IF(INDIRECT("office_form!B"&amp;ROW())="","",INDIRECT("office_form!B"&amp;ROW())))</f>
        <v/>
      </c>
      <c r="D41" s="30" t="str">
        <f aca="true">IF(INDIRECT("office_form!A"&amp;ROW())="","",IF(INDIRECT("office_form!C"&amp;ROW())="","",INDIRECT("office_form!C"&amp;ROW())))</f>
        <v/>
      </c>
      <c r="E41" s="30" t="str">
        <f aca="true">IF(INDIRECT("office_form!A"&amp;ROW())="","",IF(INDIRECT("office_form!D"&amp;ROW())="","",INDIRECT("office_form!D"&amp;ROW())))</f>
        <v/>
      </c>
      <c r="F41" s="30" t="str">
        <f aca="true">IF(INDIRECT("office_form!A"&amp;ROW())="","",IF(INDIRECT("office_form!E"&amp;ROW())="","",INDIRECT("office_form!E"&amp;ROW())))</f>
        <v/>
      </c>
      <c r="G41" s="30" t="str">
        <f aca="true">IF(INDIRECT("office_form!A"&amp;ROW())="","",IF(INDIRECT("office_form!F"&amp;ROW())="","",INDIRECT("office_form!F"&amp;ROW())))</f>
        <v/>
      </c>
      <c r="H41" s="30" t="str">
        <f aca="true">IF(INDIRECT("office_form!A"&amp;ROW())="","",IF(INDIRECT("office_form!G"&amp;ROW())="","",INDIRECT("office_form!G"&amp;ROW())))</f>
        <v/>
      </c>
      <c r="I41" s="30" t="str">
        <f aca="true">IF(INDIRECT("office_form!A"&amp;ROW())="","",IF(INDIRECT("office_form!H"&amp;ROW())="","",INDIRECT("office_form!H"&amp;ROW())))</f>
        <v/>
      </c>
      <c r="J41" s="30" t="str">
        <f aca="true">IF(INDIRECT("office_form!A"&amp;ROW())="","",IF(INDIRECT("office_form!I"&amp;ROW())="","",INDIRECT("office_form!I"&amp;ROW())))</f>
        <v/>
      </c>
      <c r="K41" s="30" t="str">
        <f aca="true">IF(INDIRECT("office_form!A"&amp;ROW())="","",IF($M41="Y",$D41,IF(INDIRECT("office_form!K"&amp;ROW())="","",INDIRECT("office_form!K"&amp;ROW()))))</f>
        <v/>
      </c>
      <c r="L41" s="30" t="str">
        <f aca="true">IF(INDIRECT("office_form!A"&amp;ROW())="","",IF($M41="Y",$E41,IF(INDIRECT("office_form!L"&amp;ROW())="","",INDIRECT("office_form!L"&amp;ROW()))))</f>
        <v/>
      </c>
      <c r="M41" s="30" t="str">
        <f aca="true">IF(INDIRECT("office_form!A"&amp;ROW())="","",IF(IF(INDIRECT("office_form!J"&amp;ROW())="","",INDIRECT("office_form!J"&amp;ROW()))="Yes, me","Y",IF(IF(INDIRECT("office_form!J"&amp;ROW())="","",INDIRECT("office_form!J"&amp;ROW()))="Someone else","N","")))</f>
        <v/>
      </c>
      <c r="N4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30" t="str">
        <f aca="true">IF(INDIRECT("office_form!A"&amp;ROW())="","",IF(INDIRECT("office_form!N"&amp;ROW())="","",INDIRECT("office_form!N"&amp;ROW())))</f>
        <v/>
      </c>
      <c r="P41" s="30" t="str">
        <f aca="true">IF(INDIRECT("office_form!A"&amp;ROW())="","",IF(IF(INDIRECT("office_form!O"&amp;ROW())="","",INDIRECT("office_form!O"&amp;ROW()))="Yes","yes",IF(IF(INDIRECT("office_form!O"&amp;ROW())="","",INDIRECT("office_form!O"&amp;ROW()))="No","no",IF(IF(INDIRECT("office_form!O"&amp;ROW())="","",INDIRECT("office_form!O"&amp;ROW()))="Not sure","unsure",""))))</f>
        <v/>
      </c>
      <c r="Q41" s="30" t="str">
        <f aca="true">IF(INDIRECT("office_form!A"&amp;ROW())="","",IF(IF(INDIRECT("office_form!P"&amp;ROW())="","",INDIRECT("office_form!P"&amp;ROW()))="Slack","slack",IF(IF(INDIRECT("office_form!P"&amp;ROW())="","",INDIRECT("office_form!P"&amp;ROW()))="Email","email",IF(IF(INDIRECT("office_form!P"&amp;ROW())="","",INDIRECT("office_form!P"&amp;ROW()))="Other","other",""))))</f>
        <v/>
      </c>
      <c r="R4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30" t="str">
        <f aca="true">IF(INDIRECT("office_form!A"&amp;ROW())="","",IF(INDIRECT("office_form!R"&amp;ROW())="","",INDIRECT("office_form!R"&amp;ROW())))</f>
        <v/>
      </c>
      <c r="T41" s="30" t="str">
        <f aca="true">IF(INDIRECT("office_form!A"&amp;ROW())="","",IF(INDIRECT("office_form!S"&amp;ROW())="","",INDIRECT("office_form!S"&amp;ROW())))</f>
        <v/>
      </c>
      <c r="U41" s="30" t="str">
        <f aca="true">IF(INDIRECT("office_form!A"&amp;ROW())="","","founder")</f>
        <v/>
      </c>
    </row>
    <row r="42" customFormat="false" ht="15" hidden="false" customHeight="false" outlineLevel="0" collapsed="false">
      <c r="A42" s="30" t="str">
        <f aca="true">IF(INDIRECT("office_form!A"&amp;ROW())="","",TEXT(INDIRECT("office_form!A"&amp;ROW()),"yyyy-mm-dd""T""hh:mm:ss"))</f>
        <v/>
      </c>
      <c r="B42" s="30" t="str">
        <f aca="true">IF(INDIRECT("office_form!A"&amp;ROW())="","",config!$B$36)</f>
        <v/>
      </c>
      <c r="C42" s="30" t="str">
        <f aca="true">IF(INDIRECT("office_form!A"&amp;ROW())="","",IF(INDIRECT("office_form!B"&amp;ROW())="","",INDIRECT("office_form!B"&amp;ROW())))</f>
        <v/>
      </c>
      <c r="D42" s="30" t="str">
        <f aca="true">IF(INDIRECT("office_form!A"&amp;ROW())="","",IF(INDIRECT("office_form!C"&amp;ROW())="","",INDIRECT("office_form!C"&amp;ROW())))</f>
        <v/>
      </c>
      <c r="E42" s="30" t="str">
        <f aca="true">IF(INDIRECT("office_form!A"&amp;ROW())="","",IF(INDIRECT("office_form!D"&amp;ROW())="","",INDIRECT("office_form!D"&amp;ROW())))</f>
        <v/>
      </c>
      <c r="F42" s="30" t="str">
        <f aca="true">IF(INDIRECT("office_form!A"&amp;ROW())="","",IF(INDIRECT("office_form!E"&amp;ROW())="","",INDIRECT("office_form!E"&amp;ROW())))</f>
        <v/>
      </c>
      <c r="G42" s="30" t="str">
        <f aca="true">IF(INDIRECT("office_form!A"&amp;ROW())="","",IF(INDIRECT("office_form!F"&amp;ROW())="","",INDIRECT("office_form!F"&amp;ROW())))</f>
        <v/>
      </c>
      <c r="H42" s="30" t="str">
        <f aca="true">IF(INDIRECT("office_form!A"&amp;ROW())="","",IF(INDIRECT("office_form!G"&amp;ROW())="","",INDIRECT("office_form!G"&amp;ROW())))</f>
        <v/>
      </c>
      <c r="I42" s="30" t="str">
        <f aca="true">IF(INDIRECT("office_form!A"&amp;ROW())="","",IF(INDIRECT("office_form!H"&amp;ROW())="","",INDIRECT("office_form!H"&amp;ROW())))</f>
        <v/>
      </c>
      <c r="J42" s="30" t="str">
        <f aca="true">IF(INDIRECT("office_form!A"&amp;ROW())="","",IF(INDIRECT("office_form!I"&amp;ROW())="","",INDIRECT("office_form!I"&amp;ROW())))</f>
        <v/>
      </c>
      <c r="K42" s="30" t="str">
        <f aca="true">IF(INDIRECT("office_form!A"&amp;ROW())="","",IF($M42="Y",$D42,IF(INDIRECT("office_form!K"&amp;ROW())="","",INDIRECT("office_form!K"&amp;ROW()))))</f>
        <v/>
      </c>
      <c r="L42" s="30" t="str">
        <f aca="true">IF(INDIRECT("office_form!A"&amp;ROW())="","",IF($M42="Y",$E42,IF(INDIRECT("office_form!L"&amp;ROW())="","",INDIRECT("office_form!L"&amp;ROW()))))</f>
        <v/>
      </c>
      <c r="M42" s="30" t="str">
        <f aca="true">IF(INDIRECT("office_form!A"&amp;ROW())="","",IF(IF(INDIRECT("office_form!J"&amp;ROW())="","",INDIRECT("office_form!J"&amp;ROW()))="Yes, me","Y",IF(IF(INDIRECT("office_form!J"&amp;ROW())="","",INDIRECT("office_form!J"&amp;ROW()))="Someone else","N","")))</f>
        <v/>
      </c>
      <c r="N4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30" t="str">
        <f aca="true">IF(INDIRECT("office_form!A"&amp;ROW())="","",IF(INDIRECT("office_form!N"&amp;ROW())="","",INDIRECT("office_form!N"&amp;ROW())))</f>
        <v/>
      </c>
      <c r="P42" s="30" t="str">
        <f aca="true">IF(INDIRECT("office_form!A"&amp;ROW())="","",IF(IF(INDIRECT("office_form!O"&amp;ROW())="","",INDIRECT("office_form!O"&amp;ROW()))="Yes","yes",IF(IF(INDIRECT("office_form!O"&amp;ROW())="","",INDIRECT("office_form!O"&amp;ROW()))="No","no",IF(IF(INDIRECT("office_form!O"&amp;ROW())="","",INDIRECT("office_form!O"&amp;ROW()))="Not sure","unsure",""))))</f>
        <v/>
      </c>
      <c r="Q42" s="30" t="str">
        <f aca="true">IF(INDIRECT("office_form!A"&amp;ROW())="","",IF(IF(INDIRECT("office_form!P"&amp;ROW())="","",INDIRECT("office_form!P"&amp;ROW()))="Slack","slack",IF(IF(INDIRECT("office_form!P"&amp;ROW())="","",INDIRECT("office_form!P"&amp;ROW()))="Email","email",IF(IF(INDIRECT("office_form!P"&amp;ROW())="","",INDIRECT("office_form!P"&amp;ROW()))="Other","other",""))))</f>
        <v/>
      </c>
      <c r="R4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30" t="str">
        <f aca="true">IF(INDIRECT("office_form!A"&amp;ROW())="","",IF(INDIRECT("office_form!R"&amp;ROW())="","",INDIRECT("office_form!R"&amp;ROW())))</f>
        <v/>
      </c>
      <c r="T42" s="30" t="str">
        <f aca="true">IF(INDIRECT("office_form!A"&amp;ROW())="","",IF(INDIRECT("office_form!S"&amp;ROW())="","",INDIRECT("office_form!S"&amp;ROW())))</f>
        <v/>
      </c>
      <c r="U42" s="30" t="str">
        <f aca="true">IF(INDIRECT("office_form!A"&amp;ROW())="","","founder")</f>
        <v/>
      </c>
    </row>
    <row r="43" customFormat="false" ht="15" hidden="false" customHeight="false" outlineLevel="0" collapsed="false">
      <c r="A43" s="30" t="str">
        <f aca="true">IF(INDIRECT("office_form!A"&amp;ROW())="","",TEXT(INDIRECT("office_form!A"&amp;ROW()),"yyyy-mm-dd""T""hh:mm:ss"))</f>
        <v/>
      </c>
      <c r="B43" s="30" t="str">
        <f aca="true">IF(INDIRECT("office_form!A"&amp;ROW())="","",config!$B$36)</f>
        <v/>
      </c>
      <c r="C43" s="30" t="str">
        <f aca="true">IF(INDIRECT("office_form!A"&amp;ROW())="","",IF(INDIRECT("office_form!B"&amp;ROW())="","",INDIRECT("office_form!B"&amp;ROW())))</f>
        <v/>
      </c>
      <c r="D43" s="30" t="str">
        <f aca="true">IF(INDIRECT("office_form!A"&amp;ROW())="","",IF(INDIRECT("office_form!C"&amp;ROW())="","",INDIRECT("office_form!C"&amp;ROW())))</f>
        <v/>
      </c>
      <c r="E43" s="30" t="str">
        <f aca="true">IF(INDIRECT("office_form!A"&amp;ROW())="","",IF(INDIRECT("office_form!D"&amp;ROW())="","",INDIRECT("office_form!D"&amp;ROW())))</f>
        <v/>
      </c>
      <c r="F43" s="30" t="str">
        <f aca="true">IF(INDIRECT("office_form!A"&amp;ROW())="","",IF(INDIRECT("office_form!E"&amp;ROW())="","",INDIRECT("office_form!E"&amp;ROW())))</f>
        <v/>
      </c>
      <c r="G43" s="30" t="str">
        <f aca="true">IF(INDIRECT("office_form!A"&amp;ROW())="","",IF(INDIRECT("office_form!F"&amp;ROW())="","",INDIRECT("office_form!F"&amp;ROW())))</f>
        <v/>
      </c>
      <c r="H43" s="30" t="str">
        <f aca="true">IF(INDIRECT("office_form!A"&amp;ROW())="","",IF(INDIRECT("office_form!G"&amp;ROW())="","",INDIRECT("office_form!G"&amp;ROW())))</f>
        <v/>
      </c>
      <c r="I43" s="30" t="str">
        <f aca="true">IF(INDIRECT("office_form!A"&amp;ROW())="","",IF(INDIRECT("office_form!H"&amp;ROW())="","",INDIRECT("office_form!H"&amp;ROW())))</f>
        <v/>
      </c>
      <c r="J43" s="30" t="str">
        <f aca="true">IF(INDIRECT("office_form!A"&amp;ROW())="","",IF(INDIRECT("office_form!I"&amp;ROW())="","",INDIRECT("office_form!I"&amp;ROW())))</f>
        <v/>
      </c>
      <c r="K43" s="30" t="str">
        <f aca="true">IF(INDIRECT("office_form!A"&amp;ROW())="","",IF($M43="Y",$D43,IF(INDIRECT("office_form!K"&amp;ROW())="","",INDIRECT("office_form!K"&amp;ROW()))))</f>
        <v/>
      </c>
      <c r="L43" s="30" t="str">
        <f aca="true">IF(INDIRECT("office_form!A"&amp;ROW())="","",IF($M43="Y",$E43,IF(INDIRECT("office_form!L"&amp;ROW())="","",INDIRECT("office_form!L"&amp;ROW()))))</f>
        <v/>
      </c>
      <c r="M43" s="30" t="str">
        <f aca="true">IF(INDIRECT("office_form!A"&amp;ROW())="","",IF(IF(INDIRECT("office_form!J"&amp;ROW())="","",INDIRECT("office_form!J"&amp;ROW()))="Yes, me","Y",IF(IF(INDIRECT("office_form!J"&amp;ROW())="","",INDIRECT("office_form!J"&amp;ROW()))="Someone else","N","")))</f>
        <v/>
      </c>
      <c r="N4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30" t="str">
        <f aca="true">IF(INDIRECT("office_form!A"&amp;ROW())="","",IF(INDIRECT("office_form!N"&amp;ROW())="","",INDIRECT("office_form!N"&amp;ROW())))</f>
        <v/>
      </c>
      <c r="P43" s="30" t="str">
        <f aca="true">IF(INDIRECT("office_form!A"&amp;ROW())="","",IF(IF(INDIRECT("office_form!O"&amp;ROW())="","",INDIRECT("office_form!O"&amp;ROW()))="Yes","yes",IF(IF(INDIRECT("office_form!O"&amp;ROW())="","",INDIRECT("office_form!O"&amp;ROW()))="No","no",IF(IF(INDIRECT("office_form!O"&amp;ROW())="","",INDIRECT("office_form!O"&amp;ROW()))="Not sure","unsure",""))))</f>
        <v/>
      </c>
      <c r="Q43" s="30" t="str">
        <f aca="true">IF(INDIRECT("office_form!A"&amp;ROW())="","",IF(IF(INDIRECT("office_form!P"&amp;ROW())="","",INDIRECT("office_form!P"&amp;ROW()))="Slack","slack",IF(IF(INDIRECT("office_form!P"&amp;ROW())="","",INDIRECT("office_form!P"&amp;ROW()))="Email","email",IF(IF(INDIRECT("office_form!P"&amp;ROW())="","",INDIRECT("office_form!P"&amp;ROW()))="Other","other",""))))</f>
        <v/>
      </c>
      <c r="R4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30" t="str">
        <f aca="true">IF(INDIRECT("office_form!A"&amp;ROW())="","",IF(INDIRECT("office_form!R"&amp;ROW())="","",INDIRECT("office_form!R"&amp;ROW())))</f>
        <v/>
      </c>
      <c r="T43" s="30" t="str">
        <f aca="true">IF(INDIRECT("office_form!A"&amp;ROW())="","",IF(INDIRECT("office_form!S"&amp;ROW())="","",INDIRECT("office_form!S"&amp;ROW())))</f>
        <v/>
      </c>
      <c r="U43" s="30" t="str">
        <f aca="true">IF(INDIRECT("office_form!A"&amp;ROW())="","","founder")</f>
        <v/>
      </c>
    </row>
    <row r="44" customFormat="false" ht="15" hidden="false" customHeight="false" outlineLevel="0" collapsed="false">
      <c r="A44" s="30" t="str">
        <f aca="true">IF(INDIRECT("office_form!A"&amp;ROW())="","",TEXT(INDIRECT("office_form!A"&amp;ROW()),"yyyy-mm-dd""T""hh:mm:ss"))</f>
        <v/>
      </c>
      <c r="B44" s="30" t="str">
        <f aca="true">IF(INDIRECT("office_form!A"&amp;ROW())="","",config!$B$36)</f>
        <v/>
      </c>
      <c r="C44" s="30" t="str">
        <f aca="true">IF(INDIRECT("office_form!A"&amp;ROW())="","",IF(INDIRECT("office_form!B"&amp;ROW())="","",INDIRECT("office_form!B"&amp;ROW())))</f>
        <v/>
      </c>
      <c r="D44" s="30" t="str">
        <f aca="true">IF(INDIRECT("office_form!A"&amp;ROW())="","",IF(INDIRECT("office_form!C"&amp;ROW())="","",INDIRECT("office_form!C"&amp;ROW())))</f>
        <v/>
      </c>
      <c r="E44" s="30" t="str">
        <f aca="true">IF(INDIRECT("office_form!A"&amp;ROW())="","",IF(INDIRECT("office_form!D"&amp;ROW())="","",INDIRECT("office_form!D"&amp;ROW())))</f>
        <v/>
      </c>
      <c r="F44" s="30" t="str">
        <f aca="true">IF(INDIRECT("office_form!A"&amp;ROW())="","",IF(INDIRECT("office_form!E"&amp;ROW())="","",INDIRECT("office_form!E"&amp;ROW())))</f>
        <v/>
      </c>
      <c r="G44" s="30" t="str">
        <f aca="true">IF(INDIRECT("office_form!A"&amp;ROW())="","",IF(INDIRECT("office_form!F"&amp;ROW())="","",INDIRECT("office_form!F"&amp;ROW())))</f>
        <v/>
      </c>
      <c r="H44" s="30" t="str">
        <f aca="true">IF(INDIRECT("office_form!A"&amp;ROW())="","",IF(INDIRECT("office_form!G"&amp;ROW())="","",INDIRECT("office_form!G"&amp;ROW())))</f>
        <v/>
      </c>
      <c r="I44" s="30" t="str">
        <f aca="true">IF(INDIRECT("office_form!A"&amp;ROW())="","",IF(INDIRECT("office_form!H"&amp;ROW())="","",INDIRECT("office_form!H"&amp;ROW())))</f>
        <v/>
      </c>
      <c r="J44" s="30" t="str">
        <f aca="true">IF(INDIRECT("office_form!A"&amp;ROW())="","",IF(INDIRECT("office_form!I"&amp;ROW())="","",INDIRECT("office_form!I"&amp;ROW())))</f>
        <v/>
      </c>
      <c r="K44" s="30" t="str">
        <f aca="true">IF(INDIRECT("office_form!A"&amp;ROW())="","",IF($M44="Y",$D44,IF(INDIRECT("office_form!K"&amp;ROW())="","",INDIRECT("office_form!K"&amp;ROW()))))</f>
        <v/>
      </c>
      <c r="L44" s="30" t="str">
        <f aca="true">IF(INDIRECT("office_form!A"&amp;ROW())="","",IF($M44="Y",$E44,IF(INDIRECT("office_form!L"&amp;ROW())="","",INDIRECT("office_form!L"&amp;ROW()))))</f>
        <v/>
      </c>
      <c r="M44" s="30" t="str">
        <f aca="true">IF(INDIRECT("office_form!A"&amp;ROW())="","",IF(IF(INDIRECT("office_form!J"&amp;ROW())="","",INDIRECT("office_form!J"&amp;ROW()))="Yes, me","Y",IF(IF(INDIRECT("office_form!J"&amp;ROW())="","",INDIRECT("office_form!J"&amp;ROW()))="Someone else","N","")))</f>
        <v/>
      </c>
      <c r="N4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30" t="str">
        <f aca="true">IF(INDIRECT("office_form!A"&amp;ROW())="","",IF(INDIRECT("office_form!N"&amp;ROW())="","",INDIRECT("office_form!N"&amp;ROW())))</f>
        <v/>
      </c>
      <c r="P44" s="30" t="str">
        <f aca="true">IF(INDIRECT("office_form!A"&amp;ROW())="","",IF(IF(INDIRECT("office_form!O"&amp;ROW())="","",INDIRECT("office_form!O"&amp;ROW()))="Yes","yes",IF(IF(INDIRECT("office_form!O"&amp;ROW())="","",INDIRECT("office_form!O"&amp;ROW()))="No","no",IF(IF(INDIRECT("office_form!O"&amp;ROW())="","",INDIRECT("office_form!O"&amp;ROW()))="Not sure","unsure",""))))</f>
        <v/>
      </c>
      <c r="Q44" s="30" t="str">
        <f aca="true">IF(INDIRECT("office_form!A"&amp;ROW())="","",IF(IF(INDIRECT("office_form!P"&amp;ROW())="","",INDIRECT("office_form!P"&amp;ROW()))="Slack","slack",IF(IF(INDIRECT("office_form!P"&amp;ROW())="","",INDIRECT("office_form!P"&amp;ROW()))="Email","email",IF(IF(INDIRECT("office_form!P"&amp;ROW())="","",INDIRECT("office_form!P"&amp;ROW()))="Other","other",""))))</f>
        <v/>
      </c>
      <c r="R4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30" t="str">
        <f aca="true">IF(INDIRECT("office_form!A"&amp;ROW())="","",IF(INDIRECT("office_form!R"&amp;ROW())="","",INDIRECT("office_form!R"&amp;ROW())))</f>
        <v/>
      </c>
      <c r="T44" s="30" t="str">
        <f aca="true">IF(INDIRECT("office_form!A"&amp;ROW())="","",IF(INDIRECT("office_form!S"&amp;ROW())="","",INDIRECT("office_form!S"&amp;ROW())))</f>
        <v/>
      </c>
      <c r="U44" s="30" t="str">
        <f aca="true">IF(INDIRECT("office_form!A"&amp;ROW())="","","founder")</f>
        <v/>
      </c>
    </row>
    <row r="45" customFormat="false" ht="15" hidden="false" customHeight="false" outlineLevel="0" collapsed="false">
      <c r="A45" s="30" t="str">
        <f aca="true">IF(INDIRECT("office_form!A"&amp;ROW())="","",TEXT(INDIRECT("office_form!A"&amp;ROW()),"yyyy-mm-dd""T""hh:mm:ss"))</f>
        <v/>
      </c>
      <c r="B45" s="30" t="str">
        <f aca="true">IF(INDIRECT("office_form!A"&amp;ROW())="","",config!$B$36)</f>
        <v/>
      </c>
      <c r="C45" s="30" t="str">
        <f aca="true">IF(INDIRECT("office_form!A"&amp;ROW())="","",IF(INDIRECT("office_form!B"&amp;ROW())="","",INDIRECT("office_form!B"&amp;ROW())))</f>
        <v/>
      </c>
      <c r="D45" s="30" t="str">
        <f aca="true">IF(INDIRECT("office_form!A"&amp;ROW())="","",IF(INDIRECT("office_form!C"&amp;ROW())="","",INDIRECT("office_form!C"&amp;ROW())))</f>
        <v/>
      </c>
      <c r="E45" s="30" t="str">
        <f aca="true">IF(INDIRECT("office_form!A"&amp;ROW())="","",IF(INDIRECT("office_form!D"&amp;ROW())="","",INDIRECT("office_form!D"&amp;ROW())))</f>
        <v/>
      </c>
      <c r="F45" s="30" t="str">
        <f aca="true">IF(INDIRECT("office_form!A"&amp;ROW())="","",IF(INDIRECT("office_form!E"&amp;ROW())="","",INDIRECT("office_form!E"&amp;ROW())))</f>
        <v/>
      </c>
      <c r="G45" s="30" t="str">
        <f aca="true">IF(INDIRECT("office_form!A"&amp;ROW())="","",IF(INDIRECT("office_form!F"&amp;ROW())="","",INDIRECT("office_form!F"&amp;ROW())))</f>
        <v/>
      </c>
      <c r="H45" s="30" t="str">
        <f aca="true">IF(INDIRECT("office_form!A"&amp;ROW())="","",IF(INDIRECT("office_form!G"&amp;ROW())="","",INDIRECT("office_form!G"&amp;ROW())))</f>
        <v/>
      </c>
      <c r="I45" s="30" t="str">
        <f aca="true">IF(INDIRECT("office_form!A"&amp;ROW())="","",IF(INDIRECT("office_form!H"&amp;ROW())="","",INDIRECT("office_form!H"&amp;ROW())))</f>
        <v/>
      </c>
      <c r="J45" s="30" t="str">
        <f aca="true">IF(INDIRECT("office_form!A"&amp;ROW())="","",IF(INDIRECT("office_form!I"&amp;ROW())="","",INDIRECT("office_form!I"&amp;ROW())))</f>
        <v/>
      </c>
      <c r="K45" s="30" t="str">
        <f aca="true">IF(INDIRECT("office_form!A"&amp;ROW())="","",IF($M45="Y",$D45,IF(INDIRECT("office_form!K"&amp;ROW())="","",INDIRECT("office_form!K"&amp;ROW()))))</f>
        <v/>
      </c>
      <c r="L45" s="30" t="str">
        <f aca="true">IF(INDIRECT("office_form!A"&amp;ROW())="","",IF($M45="Y",$E45,IF(INDIRECT("office_form!L"&amp;ROW())="","",INDIRECT("office_form!L"&amp;ROW()))))</f>
        <v/>
      </c>
      <c r="M45" s="30" t="str">
        <f aca="true">IF(INDIRECT("office_form!A"&amp;ROW())="","",IF(IF(INDIRECT("office_form!J"&amp;ROW())="","",INDIRECT("office_form!J"&amp;ROW()))="Yes, me","Y",IF(IF(INDIRECT("office_form!J"&amp;ROW())="","",INDIRECT("office_form!J"&amp;ROW()))="Someone else","N","")))</f>
        <v/>
      </c>
      <c r="N4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30" t="str">
        <f aca="true">IF(INDIRECT("office_form!A"&amp;ROW())="","",IF(INDIRECT("office_form!N"&amp;ROW())="","",INDIRECT("office_form!N"&amp;ROW())))</f>
        <v/>
      </c>
      <c r="P45" s="30" t="str">
        <f aca="true">IF(INDIRECT("office_form!A"&amp;ROW())="","",IF(IF(INDIRECT("office_form!O"&amp;ROW())="","",INDIRECT("office_form!O"&amp;ROW()))="Yes","yes",IF(IF(INDIRECT("office_form!O"&amp;ROW())="","",INDIRECT("office_form!O"&amp;ROW()))="No","no",IF(IF(INDIRECT("office_form!O"&amp;ROW())="","",INDIRECT("office_form!O"&amp;ROW()))="Not sure","unsure",""))))</f>
        <v/>
      </c>
      <c r="Q45" s="30" t="str">
        <f aca="true">IF(INDIRECT("office_form!A"&amp;ROW())="","",IF(IF(INDIRECT("office_form!P"&amp;ROW())="","",INDIRECT("office_form!P"&amp;ROW()))="Slack","slack",IF(IF(INDIRECT("office_form!P"&amp;ROW())="","",INDIRECT("office_form!P"&amp;ROW()))="Email","email",IF(IF(INDIRECT("office_form!P"&amp;ROW())="","",INDIRECT("office_form!P"&amp;ROW()))="Other","other",""))))</f>
        <v/>
      </c>
      <c r="R4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30" t="str">
        <f aca="true">IF(INDIRECT("office_form!A"&amp;ROW())="","",IF(INDIRECT("office_form!R"&amp;ROW())="","",INDIRECT("office_form!R"&amp;ROW())))</f>
        <v/>
      </c>
      <c r="T45" s="30" t="str">
        <f aca="true">IF(INDIRECT("office_form!A"&amp;ROW())="","",IF(INDIRECT("office_form!S"&amp;ROW())="","",INDIRECT("office_form!S"&amp;ROW())))</f>
        <v/>
      </c>
      <c r="U45" s="30" t="str">
        <f aca="true">IF(INDIRECT("office_form!A"&amp;ROW())="","","founder")</f>
        <v/>
      </c>
    </row>
    <row r="46" customFormat="false" ht="15" hidden="false" customHeight="false" outlineLevel="0" collapsed="false">
      <c r="A46" s="30" t="str">
        <f aca="true">IF(INDIRECT("office_form!A"&amp;ROW())="","",TEXT(INDIRECT("office_form!A"&amp;ROW()),"yyyy-mm-dd""T""hh:mm:ss"))</f>
        <v/>
      </c>
      <c r="B46" s="30" t="str">
        <f aca="true">IF(INDIRECT("office_form!A"&amp;ROW())="","",config!$B$36)</f>
        <v/>
      </c>
      <c r="C46" s="30" t="str">
        <f aca="true">IF(INDIRECT("office_form!A"&amp;ROW())="","",IF(INDIRECT("office_form!B"&amp;ROW())="","",INDIRECT("office_form!B"&amp;ROW())))</f>
        <v/>
      </c>
      <c r="D46" s="30" t="str">
        <f aca="true">IF(INDIRECT("office_form!A"&amp;ROW())="","",IF(INDIRECT("office_form!C"&amp;ROW())="","",INDIRECT("office_form!C"&amp;ROW())))</f>
        <v/>
      </c>
      <c r="E46" s="30" t="str">
        <f aca="true">IF(INDIRECT("office_form!A"&amp;ROW())="","",IF(INDIRECT("office_form!D"&amp;ROW())="","",INDIRECT("office_form!D"&amp;ROW())))</f>
        <v/>
      </c>
      <c r="F46" s="30" t="str">
        <f aca="true">IF(INDIRECT("office_form!A"&amp;ROW())="","",IF(INDIRECT("office_form!E"&amp;ROW())="","",INDIRECT("office_form!E"&amp;ROW())))</f>
        <v/>
      </c>
      <c r="G46" s="30" t="str">
        <f aca="true">IF(INDIRECT("office_form!A"&amp;ROW())="","",IF(INDIRECT("office_form!F"&amp;ROW())="","",INDIRECT("office_form!F"&amp;ROW())))</f>
        <v/>
      </c>
      <c r="H46" s="30" t="str">
        <f aca="true">IF(INDIRECT("office_form!A"&amp;ROW())="","",IF(INDIRECT("office_form!G"&amp;ROW())="","",INDIRECT("office_form!G"&amp;ROW())))</f>
        <v/>
      </c>
      <c r="I46" s="30" t="str">
        <f aca="true">IF(INDIRECT("office_form!A"&amp;ROW())="","",IF(INDIRECT("office_form!H"&amp;ROW())="","",INDIRECT("office_form!H"&amp;ROW())))</f>
        <v/>
      </c>
      <c r="J46" s="30" t="str">
        <f aca="true">IF(INDIRECT("office_form!A"&amp;ROW())="","",IF(INDIRECT("office_form!I"&amp;ROW())="","",INDIRECT("office_form!I"&amp;ROW())))</f>
        <v/>
      </c>
      <c r="K46" s="30" t="str">
        <f aca="true">IF(INDIRECT("office_form!A"&amp;ROW())="","",IF($M46="Y",$D46,IF(INDIRECT("office_form!K"&amp;ROW())="","",INDIRECT("office_form!K"&amp;ROW()))))</f>
        <v/>
      </c>
      <c r="L46" s="30" t="str">
        <f aca="true">IF(INDIRECT("office_form!A"&amp;ROW())="","",IF($M46="Y",$E46,IF(INDIRECT("office_form!L"&amp;ROW())="","",INDIRECT("office_form!L"&amp;ROW()))))</f>
        <v/>
      </c>
      <c r="M46" s="30" t="str">
        <f aca="true">IF(INDIRECT("office_form!A"&amp;ROW())="","",IF(IF(INDIRECT("office_form!J"&amp;ROW())="","",INDIRECT("office_form!J"&amp;ROW()))="Yes, me","Y",IF(IF(INDIRECT("office_form!J"&amp;ROW())="","",INDIRECT("office_form!J"&amp;ROW()))="Someone else","N","")))</f>
        <v/>
      </c>
      <c r="N4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30" t="str">
        <f aca="true">IF(INDIRECT("office_form!A"&amp;ROW())="","",IF(INDIRECT("office_form!N"&amp;ROW())="","",INDIRECT("office_form!N"&amp;ROW())))</f>
        <v/>
      </c>
      <c r="P46" s="30" t="str">
        <f aca="true">IF(INDIRECT("office_form!A"&amp;ROW())="","",IF(IF(INDIRECT("office_form!O"&amp;ROW())="","",INDIRECT("office_form!O"&amp;ROW()))="Yes","yes",IF(IF(INDIRECT("office_form!O"&amp;ROW())="","",INDIRECT("office_form!O"&amp;ROW()))="No","no",IF(IF(INDIRECT("office_form!O"&amp;ROW())="","",INDIRECT("office_form!O"&amp;ROW()))="Not sure","unsure",""))))</f>
        <v/>
      </c>
      <c r="Q46" s="30" t="str">
        <f aca="true">IF(INDIRECT("office_form!A"&amp;ROW())="","",IF(IF(INDIRECT("office_form!P"&amp;ROW())="","",INDIRECT("office_form!P"&amp;ROW()))="Slack","slack",IF(IF(INDIRECT("office_form!P"&amp;ROW())="","",INDIRECT("office_form!P"&amp;ROW()))="Email","email",IF(IF(INDIRECT("office_form!P"&amp;ROW())="","",INDIRECT("office_form!P"&amp;ROW()))="Other","other",""))))</f>
        <v/>
      </c>
      <c r="R4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30" t="str">
        <f aca="true">IF(INDIRECT("office_form!A"&amp;ROW())="","",IF(INDIRECT("office_form!R"&amp;ROW())="","",INDIRECT("office_form!R"&amp;ROW())))</f>
        <v/>
      </c>
      <c r="T46" s="30" t="str">
        <f aca="true">IF(INDIRECT("office_form!A"&amp;ROW())="","",IF(INDIRECT("office_form!S"&amp;ROW())="","",INDIRECT("office_form!S"&amp;ROW())))</f>
        <v/>
      </c>
      <c r="U46" s="30" t="str">
        <f aca="true">IF(INDIRECT("office_form!A"&amp;ROW())="","","founder")</f>
        <v/>
      </c>
    </row>
    <row r="47" customFormat="false" ht="15" hidden="false" customHeight="false" outlineLevel="0" collapsed="false">
      <c r="A47" s="30" t="str">
        <f aca="true">IF(INDIRECT("office_form!A"&amp;ROW())="","",TEXT(INDIRECT("office_form!A"&amp;ROW()),"yyyy-mm-dd""T""hh:mm:ss"))</f>
        <v/>
      </c>
      <c r="B47" s="30" t="str">
        <f aca="true">IF(INDIRECT("office_form!A"&amp;ROW())="","",config!$B$36)</f>
        <v/>
      </c>
      <c r="C47" s="30" t="str">
        <f aca="true">IF(INDIRECT("office_form!A"&amp;ROW())="","",IF(INDIRECT("office_form!B"&amp;ROW())="","",INDIRECT("office_form!B"&amp;ROW())))</f>
        <v/>
      </c>
      <c r="D47" s="30" t="str">
        <f aca="true">IF(INDIRECT("office_form!A"&amp;ROW())="","",IF(INDIRECT("office_form!C"&amp;ROW())="","",INDIRECT("office_form!C"&amp;ROW())))</f>
        <v/>
      </c>
      <c r="E47" s="30" t="str">
        <f aca="true">IF(INDIRECT("office_form!A"&amp;ROW())="","",IF(INDIRECT("office_form!D"&amp;ROW())="","",INDIRECT("office_form!D"&amp;ROW())))</f>
        <v/>
      </c>
      <c r="F47" s="30" t="str">
        <f aca="true">IF(INDIRECT("office_form!A"&amp;ROW())="","",IF(INDIRECT("office_form!E"&amp;ROW())="","",INDIRECT("office_form!E"&amp;ROW())))</f>
        <v/>
      </c>
      <c r="G47" s="30" t="str">
        <f aca="true">IF(INDIRECT("office_form!A"&amp;ROW())="","",IF(INDIRECT("office_form!F"&amp;ROW())="","",INDIRECT("office_form!F"&amp;ROW())))</f>
        <v/>
      </c>
      <c r="H47" s="30" t="str">
        <f aca="true">IF(INDIRECT("office_form!A"&amp;ROW())="","",IF(INDIRECT("office_form!G"&amp;ROW())="","",INDIRECT("office_form!G"&amp;ROW())))</f>
        <v/>
      </c>
      <c r="I47" s="30" t="str">
        <f aca="true">IF(INDIRECT("office_form!A"&amp;ROW())="","",IF(INDIRECT("office_form!H"&amp;ROW())="","",INDIRECT("office_form!H"&amp;ROW())))</f>
        <v/>
      </c>
      <c r="J47" s="30" t="str">
        <f aca="true">IF(INDIRECT("office_form!A"&amp;ROW())="","",IF(INDIRECT("office_form!I"&amp;ROW())="","",INDIRECT("office_form!I"&amp;ROW())))</f>
        <v/>
      </c>
      <c r="K47" s="30" t="str">
        <f aca="true">IF(INDIRECT("office_form!A"&amp;ROW())="","",IF($M47="Y",$D47,IF(INDIRECT("office_form!K"&amp;ROW())="","",INDIRECT("office_form!K"&amp;ROW()))))</f>
        <v/>
      </c>
      <c r="L47" s="30" t="str">
        <f aca="true">IF(INDIRECT("office_form!A"&amp;ROW())="","",IF($M47="Y",$E47,IF(INDIRECT("office_form!L"&amp;ROW())="","",INDIRECT("office_form!L"&amp;ROW()))))</f>
        <v/>
      </c>
      <c r="M47" s="30" t="str">
        <f aca="true">IF(INDIRECT("office_form!A"&amp;ROW())="","",IF(IF(INDIRECT("office_form!J"&amp;ROW())="","",INDIRECT("office_form!J"&amp;ROW()))="Yes, me","Y",IF(IF(INDIRECT("office_form!J"&amp;ROW())="","",INDIRECT("office_form!J"&amp;ROW()))="Someone else","N","")))</f>
        <v/>
      </c>
      <c r="N4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30" t="str">
        <f aca="true">IF(INDIRECT("office_form!A"&amp;ROW())="","",IF(INDIRECT("office_form!N"&amp;ROW())="","",INDIRECT("office_form!N"&amp;ROW())))</f>
        <v/>
      </c>
      <c r="P47" s="30" t="str">
        <f aca="true">IF(INDIRECT("office_form!A"&amp;ROW())="","",IF(IF(INDIRECT("office_form!O"&amp;ROW())="","",INDIRECT("office_form!O"&amp;ROW()))="Yes","yes",IF(IF(INDIRECT("office_form!O"&amp;ROW())="","",INDIRECT("office_form!O"&amp;ROW()))="No","no",IF(IF(INDIRECT("office_form!O"&amp;ROW())="","",INDIRECT("office_form!O"&amp;ROW()))="Not sure","unsure",""))))</f>
        <v/>
      </c>
      <c r="Q47" s="30" t="str">
        <f aca="true">IF(INDIRECT("office_form!A"&amp;ROW())="","",IF(IF(INDIRECT("office_form!P"&amp;ROW())="","",INDIRECT("office_form!P"&amp;ROW()))="Slack","slack",IF(IF(INDIRECT("office_form!P"&amp;ROW())="","",INDIRECT("office_form!P"&amp;ROW()))="Email","email",IF(IF(INDIRECT("office_form!P"&amp;ROW())="","",INDIRECT("office_form!P"&amp;ROW()))="Other","other",""))))</f>
        <v/>
      </c>
      <c r="R4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30" t="str">
        <f aca="true">IF(INDIRECT("office_form!A"&amp;ROW())="","",IF(INDIRECT("office_form!R"&amp;ROW())="","",INDIRECT("office_form!R"&amp;ROW())))</f>
        <v/>
      </c>
      <c r="T47" s="30" t="str">
        <f aca="true">IF(INDIRECT("office_form!A"&amp;ROW())="","",IF(INDIRECT("office_form!S"&amp;ROW())="","",INDIRECT("office_form!S"&amp;ROW())))</f>
        <v/>
      </c>
      <c r="U47" s="30" t="str">
        <f aca="true">IF(INDIRECT("office_form!A"&amp;ROW())="","","founder")</f>
        <v/>
      </c>
    </row>
    <row r="48" customFormat="false" ht="15" hidden="false" customHeight="false" outlineLevel="0" collapsed="false">
      <c r="A48" s="30" t="str">
        <f aca="true">IF(INDIRECT("office_form!A"&amp;ROW())="","",TEXT(INDIRECT("office_form!A"&amp;ROW()),"yyyy-mm-dd""T""hh:mm:ss"))</f>
        <v/>
      </c>
      <c r="B48" s="30" t="str">
        <f aca="true">IF(INDIRECT("office_form!A"&amp;ROW())="","",config!$B$36)</f>
        <v/>
      </c>
      <c r="C48" s="30" t="str">
        <f aca="true">IF(INDIRECT("office_form!A"&amp;ROW())="","",IF(INDIRECT("office_form!B"&amp;ROW())="","",INDIRECT("office_form!B"&amp;ROW())))</f>
        <v/>
      </c>
      <c r="D48" s="30" t="str">
        <f aca="true">IF(INDIRECT("office_form!A"&amp;ROW())="","",IF(INDIRECT("office_form!C"&amp;ROW())="","",INDIRECT("office_form!C"&amp;ROW())))</f>
        <v/>
      </c>
      <c r="E48" s="30" t="str">
        <f aca="true">IF(INDIRECT("office_form!A"&amp;ROW())="","",IF(INDIRECT("office_form!D"&amp;ROW())="","",INDIRECT("office_form!D"&amp;ROW())))</f>
        <v/>
      </c>
      <c r="F48" s="30" t="str">
        <f aca="true">IF(INDIRECT("office_form!A"&amp;ROW())="","",IF(INDIRECT("office_form!E"&amp;ROW())="","",INDIRECT("office_form!E"&amp;ROW())))</f>
        <v/>
      </c>
      <c r="G48" s="30" t="str">
        <f aca="true">IF(INDIRECT("office_form!A"&amp;ROW())="","",IF(INDIRECT("office_form!F"&amp;ROW())="","",INDIRECT("office_form!F"&amp;ROW())))</f>
        <v/>
      </c>
      <c r="H48" s="30" t="str">
        <f aca="true">IF(INDIRECT("office_form!A"&amp;ROW())="","",IF(INDIRECT("office_form!G"&amp;ROW())="","",INDIRECT("office_form!G"&amp;ROW())))</f>
        <v/>
      </c>
      <c r="I48" s="30" t="str">
        <f aca="true">IF(INDIRECT("office_form!A"&amp;ROW())="","",IF(INDIRECT("office_form!H"&amp;ROW())="","",INDIRECT("office_form!H"&amp;ROW())))</f>
        <v/>
      </c>
      <c r="J48" s="30" t="str">
        <f aca="true">IF(INDIRECT("office_form!A"&amp;ROW())="","",IF(INDIRECT("office_form!I"&amp;ROW())="","",INDIRECT("office_form!I"&amp;ROW())))</f>
        <v/>
      </c>
      <c r="K48" s="30" t="str">
        <f aca="true">IF(INDIRECT("office_form!A"&amp;ROW())="","",IF($M48="Y",$D48,IF(INDIRECT("office_form!K"&amp;ROW())="","",INDIRECT("office_form!K"&amp;ROW()))))</f>
        <v/>
      </c>
      <c r="L48" s="30" t="str">
        <f aca="true">IF(INDIRECT("office_form!A"&amp;ROW())="","",IF($M48="Y",$E48,IF(INDIRECT("office_form!L"&amp;ROW())="","",INDIRECT("office_form!L"&amp;ROW()))))</f>
        <v/>
      </c>
      <c r="M48" s="30" t="str">
        <f aca="true">IF(INDIRECT("office_form!A"&amp;ROW())="","",IF(IF(INDIRECT("office_form!J"&amp;ROW())="","",INDIRECT("office_form!J"&amp;ROW()))="Yes, me","Y",IF(IF(INDIRECT("office_form!J"&amp;ROW())="","",INDIRECT("office_form!J"&amp;ROW()))="Someone else","N","")))</f>
        <v/>
      </c>
      <c r="N4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30" t="str">
        <f aca="true">IF(INDIRECT("office_form!A"&amp;ROW())="","",IF(INDIRECT("office_form!N"&amp;ROW())="","",INDIRECT("office_form!N"&amp;ROW())))</f>
        <v/>
      </c>
      <c r="P48" s="30" t="str">
        <f aca="true">IF(INDIRECT("office_form!A"&amp;ROW())="","",IF(IF(INDIRECT("office_form!O"&amp;ROW())="","",INDIRECT("office_form!O"&amp;ROW()))="Yes","yes",IF(IF(INDIRECT("office_form!O"&amp;ROW())="","",INDIRECT("office_form!O"&amp;ROW()))="No","no",IF(IF(INDIRECT("office_form!O"&amp;ROW())="","",INDIRECT("office_form!O"&amp;ROW()))="Not sure","unsure",""))))</f>
        <v/>
      </c>
      <c r="Q48" s="30" t="str">
        <f aca="true">IF(INDIRECT("office_form!A"&amp;ROW())="","",IF(IF(INDIRECT("office_form!P"&amp;ROW())="","",INDIRECT("office_form!P"&amp;ROW()))="Slack","slack",IF(IF(INDIRECT("office_form!P"&amp;ROW())="","",INDIRECT("office_form!P"&amp;ROW()))="Email","email",IF(IF(INDIRECT("office_form!P"&amp;ROW())="","",INDIRECT("office_form!P"&amp;ROW()))="Other","other",""))))</f>
        <v/>
      </c>
      <c r="R4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30" t="str">
        <f aca="true">IF(INDIRECT("office_form!A"&amp;ROW())="","",IF(INDIRECT("office_form!R"&amp;ROW())="","",INDIRECT("office_form!R"&amp;ROW())))</f>
        <v/>
      </c>
      <c r="T48" s="30" t="str">
        <f aca="true">IF(INDIRECT("office_form!A"&amp;ROW())="","",IF(INDIRECT("office_form!S"&amp;ROW())="","",INDIRECT("office_form!S"&amp;ROW())))</f>
        <v/>
      </c>
      <c r="U48" s="30" t="str">
        <f aca="true">IF(INDIRECT("office_form!A"&amp;ROW())="","","founder")</f>
        <v/>
      </c>
    </row>
    <row r="49" customFormat="false" ht="15" hidden="false" customHeight="false" outlineLevel="0" collapsed="false">
      <c r="A49" s="30" t="str">
        <f aca="true">IF(INDIRECT("office_form!A"&amp;ROW())="","",TEXT(INDIRECT("office_form!A"&amp;ROW()),"yyyy-mm-dd""T""hh:mm:ss"))</f>
        <v/>
      </c>
      <c r="B49" s="30" t="str">
        <f aca="true">IF(INDIRECT("office_form!A"&amp;ROW())="","",config!$B$36)</f>
        <v/>
      </c>
      <c r="C49" s="30" t="str">
        <f aca="true">IF(INDIRECT("office_form!A"&amp;ROW())="","",IF(INDIRECT("office_form!B"&amp;ROW())="","",INDIRECT("office_form!B"&amp;ROW())))</f>
        <v/>
      </c>
      <c r="D49" s="30" t="str">
        <f aca="true">IF(INDIRECT("office_form!A"&amp;ROW())="","",IF(INDIRECT("office_form!C"&amp;ROW())="","",INDIRECT("office_form!C"&amp;ROW())))</f>
        <v/>
      </c>
      <c r="E49" s="30" t="str">
        <f aca="true">IF(INDIRECT("office_form!A"&amp;ROW())="","",IF(INDIRECT("office_form!D"&amp;ROW())="","",INDIRECT("office_form!D"&amp;ROW())))</f>
        <v/>
      </c>
      <c r="F49" s="30" t="str">
        <f aca="true">IF(INDIRECT("office_form!A"&amp;ROW())="","",IF(INDIRECT("office_form!E"&amp;ROW())="","",INDIRECT("office_form!E"&amp;ROW())))</f>
        <v/>
      </c>
      <c r="G49" s="30" t="str">
        <f aca="true">IF(INDIRECT("office_form!A"&amp;ROW())="","",IF(INDIRECT("office_form!F"&amp;ROW())="","",INDIRECT("office_form!F"&amp;ROW())))</f>
        <v/>
      </c>
      <c r="H49" s="30" t="str">
        <f aca="true">IF(INDIRECT("office_form!A"&amp;ROW())="","",IF(INDIRECT("office_form!G"&amp;ROW())="","",INDIRECT("office_form!G"&amp;ROW())))</f>
        <v/>
      </c>
      <c r="I49" s="30" t="str">
        <f aca="true">IF(INDIRECT("office_form!A"&amp;ROW())="","",IF(INDIRECT("office_form!H"&amp;ROW())="","",INDIRECT("office_form!H"&amp;ROW())))</f>
        <v/>
      </c>
      <c r="J49" s="30" t="str">
        <f aca="true">IF(INDIRECT("office_form!A"&amp;ROW())="","",IF(INDIRECT("office_form!I"&amp;ROW())="","",INDIRECT("office_form!I"&amp;ROW())))</f>
        <v/>
      </c>
      <c r="K49" s="30" t="str">
        <f aca="true">IF(INDIRECT("office_form!A"&amp;ROW())="","",IF($M49="Y",$D49,IF(INDIRECT("office_form!K"&amp;ROW())="","",INDIRECT("office_form!K"&amp;ROW()))))</f>
        <v/>
      </c>
      <c r="L49" s="30" t="str">
        <f aca="true">IF(INDIRECT("office_form!A"&amp;ROW())="","",IF($M49="Y",$E49,IF(INDIRECT("office_form!L"&amp;ROW())="","",INDIRECT("office_form!L"&amp;ROW()))))</f>
        <v/>
      </c>
      <c r="M49" s="30" t="str">
        <f aca="true">IF(INDIRECT("office_form!A"&amp;ROW())="","",IF(IF(INDIRECT("office_form!J"&amp;ROW())="","",INDIRECT("office_form!J"&amp;ROW()))="Yes, me","Y",IF(IF(INDIRECT("office_form!J"&amp;ROW())="","",INDIRECT("office_form!J"&amp;ROW()))="Someone else","N","")))</f>
        <v/>
      </c>
      <c r="N4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30" t="str">
        <f aca="true">IF(INDIRECT("office_form!A"&amp;ROW())="","",IF(INDIRECT("office_form!N"&amp;ROW())="","",INDIRECT("office_form!N"&amp;ROW())))</f>
        <v/>
      </c>
      <c r="P49" s="30" t="str">
        <f aca="true">IF(INDIRECT("office_form!A"&amp;ROW())="","",IF(IF(INDIRECT("office_form!O"&amp;ROW())="","",INDIRECT("office_form!O"&amp;ROW()))="Yes","yes",IF(IF(INDIRECT("office_form!O"&amp;ROW())="","",INDIRECT("office_form!O"&amp;ROW()))="No","no",IF(IF(INDIRECT("office_form!O"&amp;ROW())="","",INDIRECT("office_form!O"&amp;ROW()))="Not sure","unsure",""))))</f>
        <v/>
      </c>
      <c r="Q49" s="30" t="str">
        <f aca="true">IF(INDIRECT("office_form!A"&amp;ROW())="","",IF(IF(INDIRECT("office_form!P"&amp;ROW())="","",INDIRECT("office_form!P"&amp;ROW()))="Slack","slack",IF(IF(INDIRECT("office_form!P"&amp;ROW())="","",INDIRECT("office_form!P"&amp;ROW()))="Email","email",IF(IF(INDIRECT("office_form!P"&amp;ROW())="","",INDIRECT("office_form!P"&amp;ROW()))="Other","other",""))))</f>
        <v/>
      </c>
      <c r="R4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30" t="str">
        <f aca="true">IF(INDIRECT("office_form!A"&amp;ROW())="","",IF(INDIRECT("office_form!R"&amp;ROW())="","",INDIRECT("office_form!R"&amp;ROW())))</f>
        <v/>
      </c>
      <c r="T49" s="30" t="str">
        <f aca="true">IF(INDIRECT("office_form!A"&amp;ROW())="","",IF(INDIRECT("office_form!S"&amp;ROW())="","",INDIRECT("office_form!S"&amp;ROW())))</f>
        <v/>
      </c>
      <c r="U49" s="30" t="str">
        <f aca="true">IF(INDIRECT("office_form!A"&amp;ROW())="","","founder")</f>
        <v/>
      </c>
    </row>
    <row r="50" customFormat="false" ht="15" hidden="false" customHeight="false" outlineLevel="0" collapsed="false">
      <c r="A50" s="30" t="str">
        <f aca="true">IF(INDIRECT("office_form!A"&amp;ROW())="","",TEXT(INDIRECT("office_form!A"&amp;ROW()),"yyyy-mm-dd""T""hh:mm:ss"))</f>
        <v/>
      </c>
      <c r="B50" s="30" t="str">
        <f aca="true">IF(INDIRECT("office_form!A"&amp;ROW())="","",config!$B$36)</f>
        <v/>
      </c>
      <c r="C50" s="30" t="str">
        <f aca="true">IF(INDIRECT("office_form!A"&amp;ROW())="","",IF(INDIRECT("office_form!B"&amp;ROW())="","",INDIRECT("office_form!B"&amp;ROW())))</f>
        <v/>
      </c>
      <c r="D50" s="30" t="str">
        <f aca="true">IF(INDIRECT("office_form!A"&amp;ROW())="","",IF(INDIRECT("office_form!C"&amp;ROW())="","",INDIRECT("office_form!C"&amp;ROW())))</f>
        <v/>
      </c>
      <c r="E50" s="30" t="str">
        <f aca="true">IF(INDIRECT("office_form!A"&amp;ROW())="","",IF(INDIRECT("office_form!D"&amp;ROW())="","",INDIRECT("office_form!D"&amp;ROW())))</f>
        <v/>
      </c>
      <c r="F50" s="30" t="str">
        <f aca="true">IF(INDIRECT("office_form!A"&amp;ROW())="","",IF(INDIRECT("office_form!E"&amp;ROW())="","",INDIRECT("office_form!E"&amp;ROW())))</f>
        <v/>
      </c>
      <c r="G50" s="30" t="str">
        <f aca="true">IF(INDIRECT("office_form!A"&amp;ROW())="","",IF(INDIRECT("office_form!F"&amp;ROW())="","",INDIRECT("office_form!F"&amp;ROW())))</f>
        <v/>
      </c>
      <c r="H50" s="30" t="str">
        <f aca="true">IF(INDIRECT("office_form!A"&amp;ROW())="","",IF(INDIRECT("office_form!G"&amp;ROW())="","",INDIRECT("office_form!G"&amp;ROW())))</f>
        <v/>
      </c>
      <c r="I50" s="30" t="str">
        <f aca="true">IF(INDIRECT("office_form!A"&amp;ROW())="","",IF(INDIRECT("office_form!H"&amp;ROW())="","",INDIRECT("office_form!H"&amp;ROW())))</f>
        <v/>
      </c>
      <c r="J50" s="30" t="str">
        <f aca="true">IF(INDIRECT("office_form!A"&amp;ROW())="","",IF(INDIRECT("office_form!I"&amp;ROW())="","",INDIRECT("office_form!I"&amp;ROW())))</f>
        <v/>
      </c>
      <c r="K50" s="30" t="str">
        <f aca="true">IF(INDIRECT("office_form!A"&amp;ROW())="","",IF($M50="Y",$D50,IF(INDIRECT("office_form!K"&amp;ROW())="","",INDIRECT("office_form!K"&amp;ROW()))))</f>
        <v/>
      </c>
      <c r="L50" s="30" t="str">
        <f aca="true">IF(INDIRECT("office_form!A"&amp;ROW())="","",IF($M50="Y",$E50,IF(INDIRECT("office_form!L"&amp;ROW())="","",INDIRECT("office_form!L"&amp;ROW()))))</f>
        <v/>
      </c>
      <c r="M50" s="30" t="str">
        <f aca="true">IF(INDIRECT("office_form!A"&amp;ROW())="","",IF(IF(INDIRECT("office_form!J"&amp;ROW())="","",INDIRECT("office_form!J"&amp;ROW()))="Yes, me","Y",IF(IF(INDIRECT("office_form!J"&amp;ROW())="","",INDIRECT("office_form!J"&amp;ROW()))="Someone else","N","")))</f>
        <v/>
      </c>
      <c r="N5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30" t="str">
        <f aca="true">IF(INDIRECT("office_form!A"&amp;ROW())="","",IF(INDIRECT("office_form!N"&amp;ROW())="","",INDIRECT("office_form!N"&amp;ROW())))</f>
        <v/>
      </c>
      <c r="P50" s="30" t="str">
        <f aca="true">IF(INDIRECT("office_form!A"&amp;ROW())="","",IF(IF(INDIRECT("office_form!O"&amp;ROW())="","",INDIRECT("office_form!O"&amp;ROW()))="Yes","yes",IF(IF(INDIRECT("office_form!O"&amp;ROW())="","",INDIRECT("office_form!O"&amp;ROW()))="No","no",IF(IF(INDIRECT("office_form!O"&amp;ROW())="","",INDIRECT("office_form!O"&amp;ROW()))="Not sure","unsure",""))))</f>
        <v/>
      </c>
      <c r="Q50" s="30" t="str">
        <f aca="true">IF(INDIRECT("office_form!A"&amp;ROW())="","",IF(IF(INDIRECT("office_form!P"&amp;ROW())="","",INDIRECT("office_form!P"&amp;ROW()))="Slack","slack",IF(IF(INDIRECT("office_form!P"&amp;ROW())="","",INDIRECT("office_form!P"&amp;ROW()))="Email","email",IF(IF(INDIRECT("office_form!P"&amp;ROW())="","",INDIRECT("office_form!P"&amp;ROW()))="Other","other",""))))</f>
        <v/>
      </c>
      <c r="R5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30" t="str">
        <f aca="true">IF(INDIRECT("office_form!A"&amp;ROW())="","",IF(INDIRECT("office_form!R"&amp;ROW())="","",INDIRECT("office_form!R"&amp;ROW())))</f>
        <v/>
      </c>
      <c r="T50" s="30" t="str">
        <f aca="true">IF(INDIRECT("office_form!A"&amp;ROW())="","",IF(INDIRECT("office_form!S"&amp;ROW())="","",INDIRECT("office_form!S"&amp;ROW())))</f>
        <v/>
      </c>
      <c r="U50" s="30" t="str">
        <f aca="true">IF(INDIRECT("office_form!A"&amp;ROW())="","","founder")</f>
        <v/>
      </c>
    </row>
    <row r="51" customFormat="false" ht="15" hidden="false" customHeight="false" outlineLevel="0" collapsed="false">
      <c r="A51" s="30" t="str">
        <f aca="true">IF(INDIRECT("office_form!A"&amp;ROW())="","",TEXT(INDIRECT("office_form!A"&amp;ROW()),"yyyy-mm-dd""T""hh:mm:ss"))</f>
        <v/>
      </c>
      <c r="B51" s="30" t="str">
        <f aca="true">IF(INDIRECT("office_form!A"&amp;ROW())="","",config!$B$36)</f>
        <v/>
      </c>
      <c r="C51" s="30" t="str">
        <f aca="true">IF(INDIRECT("office_form!A"&amp;ROW())="","",IF(INDIRECT("office_form!B"&amp;ROW())="","",INDIRECT("office_form!B"&amp;ROW())))</f>
        <v/>
      </c>
      <c r="D51" s="30" t="str">
        <f aca="true">IF(INDIRECT("office_form!A"&amp;ROW())="","",IF(INDIRECT("office_form!C"&amp;ROW())="","",INDIRECT("office_form!C"&amp;ROW())))</f>
        <v/>
      </c>
      <c r="E51" s="30" t="str">
        <f aca="true">IF(INDIRECT("office_form!A"&amp;ROW())="","",IF(INDIRECT("office_form!D"&amp;ROW())="","",INDIRECT("office_form!D"&amp;ROW())))</f>
        <v/>
      </c>
      <c r="F51" s="30" t="str">
        <f aca="true">IF(INDIRECT("office_form!A"&amp;ROW())="","",IF(INDIRECT("office_form!E"&amp;ROW())="","",INDIRECT("office_form!E"&amp;ROW())))</f>
        <v/>
      </c>
      <c r="G51" s="30" t="str">
        <f aca="true">IF(INDIRECT("office_form!A"&amp;ROW())="","",IF(INDIRECT("office_form!F"&amp;ROW())="","",INDIRECT("office_form!F"&amp;ROW())))</f>
        <v/>
      </c>
      <c r="H51" s="30" t="str">
        <f aca="true">IF(INDIRECT("office_form!A"&amp;ROW())="","",IF(INDIRECT("office_form!G"&amp;ROW())="","",INDIRECT("office_form!G"&amp;ROW())))</f>
        <v/>
      </c>
      <c r="I51" s="30" t="str">
        <f aca="true">IF(INDIRECT("office_form!A"&amp;ROW())="","",IF(INDIRECT("office_form!H"&amp;ROW())="","",INDIRECT("office_form!H"&amp;ROW())))</f>
        <v/>
      </c>
      <c r="J51" s="30" t="str">
        <f aca="true">IF(INDIRECT("office_form!A"&amp;ROW())="","",IF(INDIRECT("office_form!I"&amp;ROW())="","",INDIRECT("office_form!I"&amp;ROW())))</f>
        <v/>
      </c>
      <c r="K51" s="30" t="str">
        <f aca="true">IF(INDIRECT("office_form!A"&amp;ROW())="","",IF($M51="Y",$D51,IF(INDIRECT("office_form!K"&amp;ROW())="","",INDIRECT("office_form!K"&amp;ROW()))))</f>
        <v/>
      </c>
      <c r="L51" s="30" t="str">
        <f aca="true">IF(INDIRECT("office_form!A"&amp;ROW())="","",IF($M51="Y",$E51,IF(INDIRECT("office_form!L"&amp;ROW())="","",INDIRECT("office_form!L"&amp;ROW()))))</f>
        <v/>
      </c>
      <c r="M51" s="30" t="str">
        <f aca="true">IF(INDIRECT("office_form!A"&amp;ROW())="","",IF(IF(INDIRECT("office_form!J"&amp;ROW())="","",INDIRECT("office_form!J"&amp;ROW()))="Yes, me","Y",IF(IF(INDIRECT("office_form!J"&amp;ROW())="","",INDIRECT("office_form!J"&amp;ROW()))="Someone else","N","")))</f>
        <v/>
      </c>
      <c r="N5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30" t="str">
        <f aca="true">IF(INDIRECT("office_form!A"&amp;ROW())="","",IF(INDIRECT("office_form!N"&amp;ROW())="","",INDIRECT("office_form!N"&amp;ROW())))</f>
        <v/>
      </c>
      <c r="P51" s="30" t="str">
        <f aca="true">IF(INDIRECT("office_form!A"&amp;ROW())="","",IF(IF(INDIRECT("office_form!O"&amp;ROW())="","",INDIRECT("office_form!O"&amp;ROW()))="Yes","yes",IF(IF(INDIRECT("office_form!O"&amp;ROW())="","",INDIRECT("office_form!O"&amp;ROW()))="No","no",IF(IF(INDIRECT("office_form!O"&amp;ROW())="","",INDIRECT("office_form!O"&amp;ROW()))="Not sure","unsure",""))))</f>
        <v/>
      </c>
      <c r="Q51" s="30" t="str">
        <f aca="true">IF(INDIRECT("office_form!A"&amp;ROW())="","",IF(IF(INDIRECT("office_form!P"&amp;ROW())="","",INDIRECT("office_form!P"&amp;ROW()))="Slack","slack",IF(IF(INDIRECT("office_form!P"&amp;ROW())="","",INDIRECT("office_form!P"&amp;ROW()))="Email","email",IF(IF(INDIRECT("office_form!P"&amp;ROW())="","",INDIRECT("office_form!P"&amp;ROW()))="Other","other",""))))</f>
        <v/>
      </c>
      <c r="R5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30" t="str">
        <f aca="true">IF(INDIRECT("office_form!A"&amp;ROW())="","",IF(INDIRECT("office_form!R"&amp;ROW())="","",INDIRECT("office_form!R"&amp;ROW())))</f>
        <v/>
      </c>
      <c r="T51" s="30" t="str">
        <f aca="true">IF(INDIRECT("office_form!A"&amp;ROW())="","",IF(INDIRECT("office_form!S"&amp;ROW())="","",INDIRECT("office_form!S"&amp;ROW())))</f>
        <v/>
      </c>
      <c r="U51" s="30" t="str">
        <f aca="true">IF(INDIRECT("office_form!A"&amp;ROW())="","","founder")</f>
        <v/>
      </c>
    </row>
    <row r="52" customFormat="false" ht="15" hidden="false" customHeight="false" outlineLevel="0" collapsed="false">
      <c r="A52" s="30" t="str">
        <f aca="true">IF(INDIRECT("office_form!A"&amp;ROW())="","",TEXT(INDIRECT("office_form!A"&amp;ROW()),"yyyy-mm-dd""T""hh:mm:ss"))</f>
        <v/>
      </c>
      <c r="B52" s="30" t="str">
        <f aca="true">IF(INDIRECT("office_form!A"&amp;ROW())="","",config!$B$36)</f>
        <v/>
      </c>
      <c r="C52" s="30" t="str">
        <f aca="true">IF(INDIRECT("office_form!A"&amp;ROW())="","",IF(INDIRECT("office_form!B"&amp;ROW())="","",INDIRECT("office_form!B"&amp;ROW())))</f>
        <v/>
      </c>
      <c r="D52" s="30" t="str">
        <f aca="true">IF(INDIRECT("office_form!A"&amp;ROW())="","",IF(INDIRECT("office_form!C"&amp;ROW())="","",INDIRECT("office_form!C"&amp;ROW())))</f>
        <v/>
      </c>
      <c r="E52" s="30" t="str">
        <f aca="true">IF(INDIRECT("office_form!A"&amp;ROW())="","",IF(INDIRECT("office_form!D"&amp;ROW())="","",INDIRECT("office_form!D"&amp;ROW())))</f>
        <v/>
      </c>
      <c r="F52" s="30" t="str">
        <f aca="true">IF(INDIRECT("office_form!A"&amp;ROW())="","",IF(INDIRECT("office_form!E"&amp;ROW())="","",INDIRECT("office_form!E"&amp;ROW())))</f>
        <v/>
      </c>
      <c r="G52" s="30" t="str">
        <f aca="true">IF(INDIRECT("office_form!A"&amp;ROW())="","",IF(INDIRECT("office_form!F"&amp;ROW())="","",INDIRECT("office_form!F"&amp;ROW())))</f>
        <v/>
      </c>
      <c r="H52" s="30" t="str">
        <f aca="true">IF(INDIRECT("office_form!A"&amp;ROW())="","",IF(INDIRECT("office_form!G"&amp;ROW())="","",INDIRECT("office_form!G"&amp;ROW())))</f>
        <v/>
      </c>
      <c r="I52" s="30" t="str">
        <f aca="true">IF(INDIRECT("office_form!A"&amp;ROW())="","",IF(INDIRECT("office_form!H"&amp;ROW())="","",INDIRECT("office_form!H"&amp;ROW())))</f>
        <v/>
      </c>
      <c r="J52" s="30" t="str">
        <f aca="true">IF(INDIRECT("office_form!A"&amp;ROW())="","",IF(INDIRECT("office_form!I"&amp;ROW())="","",INDIRECT("office_form!I"&amp;ROW())))</f>
        <v/>
      </c>
      <c r="K52" s="30" t="str">
        <f aca="true">IF(INDIRECT("office_form!A"&amp;ROW())="","",IF($M52="Y",$D52,IF(INDIRECT("office_form!K"&amp;ROW())="","",INDIRECT("office_form!K"&amp;ROW()))))</f>
        <v/>
      </c>
      <c r="L52" s="30" t="str">
        <f aca="true">IF(INDIRECT("office_form!A"&amp;ROW())="","",IF($M52="Y",$E52,IF(INDIRECT("office_form!L"&amp;ROW())="","",INDIRECT("office_form!L"&amp;ROW()))))</f>
        <v/>
      </c>
      <c r="M52" s="30" t="str">
        <f aca="true">IF(INDIRECT("office_form!A"&amp;ROW())="","",IF(IF(INDIRECT("office_form!J"&amp;ROW())="","",INDIRECT("office_form!J"&amp;ROW()))="Yes, me","Y",IF(IF(INDIRECT("office_form!J"&amp;ROW())="","",INDIRECT("office_form!J"&amp;ROW()))="Someone else","N","")))</f>
        <v/>
      </c>
      <c r="N5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30" t="str">
        <f aca="true">IF(INDIRECT("office_form!A"&amp;ROW())="","",IF(INDIRECT("office_form!N"&amp;ROW())="","",INDIRECT("office_form!N"&amp;ROW())))</f>
        <v/>
      </c>
      <c r="P52" s="30" t="str">
        <f aca="true">IF(INDIRECT("office_form!A"&amp;ROW())="","",IF(IF(INDIRECT("office_form!O"&amp;ROW())="","",INDIRECT("office_form!O"&amp;ROW()))="Yes","yes",IF(IF(INDIRECT("office_form!O"&amp;ROW())="","",INDIRECT("office_form!O"&amp;ROW()))="No","no",IF(IF(INDIRECT("office_form!O"&amp;ROW())="","",INDIRECT("office_form!O"&amp;ROW()))="Not sure","unsure",""))))</f>
        <v/>
      </c>
      <c r="Q52" s="30" t="str">
        <f aca="true">IF(INDIRECT("office_form!A"&amp;ROW())="","",IF(IF(INDIRECT("office_form!P"&amp;ROW())="","",INDIRECT("office_form!P"&amp;ROW()))="Slack","slack",IF(IF(INDIRECT("office_form!P"&amp;ROW())="","",INDIRECT("office_form!P"&amp;ROW()))="Email","email",IF(IF(INDIRECT("office_form!P"&amp;ROW())="","",INDIRECT("office_form!P"&amp;ROW()))="Other","other",""))))</f>
        <v/>
      </c>
      <c r="R5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30" t="str">
        <f aca="true">IF(INDIRECT("office_form!A"&amp;ROW())="","",IF(INDIRECT("office_form!R"&amp;ROW())="","",INDIRECT("office_form!R"&amp;ROW())))</f>
        <v/>
      </c>
      <c r="T52" s="30" t="str">
        <f aca="true">IF(INDIRECT("office_form!A"&amp;ROW())="","",IF(INDIRECT("office_form!S"&amp;ROW())="","",INDIRECT("office_form!S"&amp;ROW())))</f>
        <v/>
      </c>
      <c r="U52" s="30" t="str">
        <f aca="true">IF(INDIRECT("office_form!A"&amp;ROW())="","","founder")</f>
        <v/>
      </c>
    </row>
    <row r="53" customFormat="false" ht="15" hidden="false" customHeight="false" outlineLevel="0" collapsed="false">
      <c r="A53" s="30" t="str">
        <f aca="true">IF(INDIRECT("office_form!A"&amp;ROW())="","",TEXT(INDIRECT("office_form!A"&amp;ROW()),"yyyy-mm-dd""T""hh:mm:ss"))</f>
        <v/>
      </c>
      <c r="B53" s="30" t="str">
        <f aca="true">IF(INDIRECT("office_form!A"&amp;ROW())="","",config!$B$36)</f>
        <v/>
      </c>
      <c r="C53" s="30" t="str">
        <f aca="true">IF(INDIRECT("office_form!A"&amp;ROW())="","",IF(INDIRECT("office_form!B"&amp;ROW())="","",INDIRECT("office_form!B"&amp;ROW())))</f>
        <v/>
      </c>
      <c r="D53" s="30" t="str">
        <f aca="true">IF(INDIRECT("office_form!A"&amp;ROW())="","",IF(INDIRECT("office_form!C"&amp;ROW())="","",INDIRECT("office_form!C"&amp;ROW())))</f>
        <v/>
      </c>
      <c r="E53" s="30" t="str">
        <f aca="true">IF(INDIRECT("office_form!A"&amp;ROW())="","",IF(INDIRECT("office_form!D"&amp;ROW())="","",INDIRECT("office_form!D"&amp;ROW())))</f>
        <v/>
      </c>
      <c r="F53" s="30" t="str">
        <f aca="true">IF(INDIRECT("office_form!A"&amp;ROW())="","",IF(INDIRECT("office_form!E"&amp;ROW())="","",INDIRECT("office_form!E"&amp;ROW())))</f>
        <v/>
      </c>
      <c r="G53" s="30" t="str">
        <f aca="true">IF(INDIRECT("office_form!A"&amp;ROW())="","",IF(INDIRECT("office_form!F"&amp;ROW())="","",INDIRECT("office_form!F"&amp;ROW())))</f>
        <v/>
      </c>
      <c r="H53" s="30" t="str">
        <f aca="true">IF(INDIRECT("office_form!A"&amp;ROW())="","",IF(INDIRECT("office_form!G"&amp;ROW())="","",INDIRECT("office_form!G"&amp;ROW())))</f>
        <v/>
      </c>
      <c r="I53" s="30" t="str">
        <f aca="true">IF(INDIRECT("office_form!A"&amp;ROW())="","",IF(INDIRECT("office_form!H"&amp;ROW())="","",INDIRECT("office_form!H"&amp;ROW())))</f>
        <v/>
      </c>
      <c r="J53" s="30" t="str">
        <f aca="true">IF(INDIRECT("office_form!A"&amp;ROW())="","",IF(INDIRECT("office_form!I"&amp;ROW())="","",INDIRECT("office_form!I"&amp;ROW())))</f>
        <v/>
      </c>
      <c r="K53" s="30" t="str">
        <f aca="true">IF(INDIRECT("office_form!A"&amp;ROW())="","",IF($M53="Y",$D53,IF(INDIRECT("office_form!K"&amp;ROW())="","",INDIRECT("office_form!K"&amp;ROW()))))</f>
        <v/>
      </c>
      <c r="L53" s="30" t="str">
        <f aca="true">IF(INDIRECT("office_form!A"&amp;ROW())="","",IF($M53="Y",$E53,IF(INDIRECT("office_form!L"&amp;ROW())="","",INDIRECT("office_form!L"&amp;ROW()))))</f>
        <v/>
      </c>
      <c r="M53" s="30" t="str">
        <f aca="true">IF(INDIRECT("office_form!A"&amp;ROW())="","",IF(IF(INDIRECT("office_form!J"&amp;ROW())="","",INDIRECT("office_form!J"&amp;ROW()))="Yes, me","Y",IF(IF(INDIRECT("office_form!J"&amp;ROW())="","",INDIRECT("office_form!J"&amp;ROW()))="Someone else","N","")))</f>
        <v/>
      </c>
      <c r="N5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30" t="str">
        <f aca="true">IF(INDIRECT("office_form!A"&amp;ROW())="","",IF(INDIRECT("office_form!N"&amp;ROW())="","",INDIRECT("office_form!N"&amp;ROW())))</f>
        <v/>
      </c>
      <c r="P53" s="30" t="str">
        <f aca="true">IF(INDIRECT("office_form!A"&amp;ROW())="","",IF(IF(INDIRECT("office_form!O"&amp;ROW())="","",INDIRECT("office_form!O"&amp;ROW()))="Yes","yes",IF(IF(INDIRECT("office_form!O"&amp;ROW())="","",INDIRECT("office_form!O"&amp;ROW()))="No","no",IF(IF(INDIRECT("office_form!O"&amp;ROW())="","",INDIRECT("office_form!O"&amp;ROW()))="Not sure","unsure",""))))</f>
        <v/>
      </c>
      <c r="Q53" s="30" t="str">
        <f aca="true">IF(INDIRECT("office_form!A"&amp;ROW())="","",IF(IF(INDIRECT("office_form!P"&amp;ROW())="","",INDIRECT("office_form!P"&amp;ROW()))="Slack","slack",IF(IF(INDIRECT("office_form!P"&amp;ROW())="","",INDIRECT("office_form!P"&amp;ROW()))="Email","email",IF(IF(INDIRECT("office_form!P"&amp;ROW())="","",INDIRECT("office_form!P"&amp;ROW()))="Other","other",""))))</f>
        <v/>
      </c>
      <c r="R5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30" t="str">
        <f aca="true">IF(INDIRECT("office_form!A"&amp;ROW())="","",IF(INDIRECT("office_form!R"&amp;ROW())="","",INDIRECT("office_form!R"&amp;ROW())))</f>
        <v/>
      </c>
      <c r="T53" s="30" t="str">
        <f aca="true">IF(INDIRECT("office_form!A"&amp;ROW())="","",IF(INDIRECT("office_form!S"&amp;ROW())="","",INDIRECT("office_form!S"&amp;ROW())))</f>
        <v/>
      </c>
      <c r="U53" s="30" t="str">
        <f aca="true">IF(INDIRECT("office_form!A"&amp;ROW())="","","founder")</f>
        <v/>
      </c>
    </row>
    <row r="54" customFormat="false" ht="15" hidden="false" customHeight="false" outlineLevel="0" collapsed="false">
      <c r="A54" s="30" t="str">
        <f aca="true">IF(INDIRECT("office_form!A"&amp;ROW())="","",TEXT(INDIRECT("office_form!A"&amp;ROW()),"yyyy-mm-dd""T""hh:mm:ss"))</f>
        <v/>
      </c>
      <c r="B54" s="30" t="str">
        <f aca="true">IF(INDIRECT("office_form!A"&amp;ROW())="","",config!$B$36)</f>
        <v/>
      </c>
      <c r="C54" s="30" t="str">
        <f aca="true">IF(INDIRECT("office_form!A"&amp;ROW())="","",IF(INDIRECT("office_form!B"&amp;ROW())="","",INDIRECT("office_form!B"&amp;ROW())))</f>
        <v/>
      </c>
      <c r="D54" s="30" t="str">
        <f aca="true">IF(INDIRECT("office_form!A"&amp;ROW())="","",IF(INDIRECT("office_form!C"&amp;ROW())="","",INDIRECT("office_form!C"&amp;ROW())))</f>
        <v/>
      </c>
      <c r="E54" s="30" t="str">
        <f aca="true">IF(INDIRECT("office_form!A"&amp;ROW())="","",IF(INDIRECT("office_form!D"&amp;ROW())="","",INDIRECT("office_form!D"&amp;ROW())))</f>
        <v/>
      </c>
      <c r="F54" s="30" t="str">
        <f aca="true">IF(INDIRECT("office_form!A"&amp;ROW())="","",IF(INDIRECT("office_form!E"&amp;ROW())="","",INDIRECT("office_form!E"&amp;ROW())))</f>
        <v/>
      </c>
      <c r="G54" s="30" t="str">
        <f aca="true">IF(INDIRECT("office_form!A"&amp;ROW())="","",IF(INDIRECT("office_form!F"&amp;ROW())="","",INDIRECT("office_form!F"&amp;ROW())))</f>
        <v/>
      </c>
      <c r="H54" s="30" t="str">
        <f aca="true">IF(INDIRECT("office_form!A"&amp;ROW())="","",IF(INDIRECT("office_form!G"&amp;ROW())="","",INDIRECT("office_form!G"&amp;ROW())))</f>
        <v/>
      </c>
      <c r="I54" s="30" t="str">
        <f aca="true">IF(INDIRECT("office_form!A"&amp;ROW())="","",IF(INDIRECT("office_form!H"&amp;ROW())="","",INDIRECT("office_form!H"&amp;ROW())))</f>
        <v/>
      </c>
      <c r="J54" s="30" t="str">
        <f aca="true">IF(INDIRECT("office_form!A"&amp;ROW())="","",IF(INDIRECT("office_form!I"&amp;ROW())="","",INDIRECT("office_form!I"&amp;ROW())))</f>
        <v/>
      </c>
      <c r="K54" s="30" t="str">
        <f aca="true">IF(INDIRECT("office_form!A"&amp;ROW())="","",IF($M54="Y",$D54,IF(INDIRECT("office_form!K"&amp;ROW())="","",INDIRECT("office_form!K"&amp;ROW()))))</f>
        <v/>
      </c>
      <c r="L54" s="30" t="str">
        <f aca="true">IF(INDIRECT("office_form!A"&amp;ROW())="","",IF($M54="Y",$E54,IF(INDIRECT("office_form!L"&amp;ROW())="","",INDIRECT("office_form!L"&amp;ROW()))))</f>
        <v/>
      </c>
      <c r="M54" s="30" t="str">
        <f aca="true">IF(INDIRECT("office_form!A"&amp;ROW())="","",IF(IF(INDIRECT("office_form!J"&amp;ROW())="","",INDIRECT("office_form!J"&amp;ROW()))="Yes, me","Y",IF(IF(INDIRECT("office_form!J"&amp;ROW())="","",INDIRECT("office_form!J"&amp;ROW()))="Someone else","N","")))</f>
        <v/>
      </c>
      <c r="N5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30" t="str">
        <f aca="true">IF(INDIRECT("office_form!A"&amp;ROW())="","",IF(INDIRECT("office_form!N"&amp;ROW())="","",INDIRECT("office_form!N"&amp;ROW())))</f>
        <v/>
      </c>
      <c r="P54" s="30" t="str">
        <f aca="true">IF(INDIRECT("office_form!A"&amp;ROW())="","",IF(IF(INDIRECT("office_form!O"&amp;ROW())="","",INDIRECT("office_form!O"&amp;ROW()))="Yes","yes",IF(IF(INDIRECT("office_form!O"&amp;ROW())="","",INDIRECT("office_form!O"&amp;ROW()))="No","no",IF(IF(INDIRECT("office_form!O"&amp;ROW())="","",INDIRECT("office_form!O"&amp;ROW()))="Not sure","unsure",""))))</f>
        <v/>
      </c>
      <c r="Q54" s="30" t="str">
        <f aca="true">IF(INDIRECT("office_form!A"&amp;ROW())="","",IF(IF(INDIRECT("office_form!P"&amp;ROW())="","",INDIRECT("office_form!P"&amp;ROW()))="Slack","slack",IF(IF(INDIRECT("office_form!P"&amp;ROW())="","",INDIRECT("office_form!P"&amp;ROW()))="Email","email",IF(IF(INDIRECT("office_form!P"&amp;ROW())="","",INDIRECT("office_form!P"&amp;ROW()))="Other","other",""))))</f>
        <v/>
      </c>
      <c r="R5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30" t="str">
        <f aca="true">IF(INDIRECT("office_form!A"&amp;ROW())="","",IF(INDIRECT("office_form!R"&amp;ROW())="","",INDIRECT("office_form!R"&amp;ROW())))</f>
        <v/>
      </c>
      <c r="T54" s="30" t="str">
        <f aca="true">IF(INDIRECT("office_form!A"&amp;ROW())="","",IF(INDIRECT("office_form!S"&amp;ROW())="","",INDIRECT("office_form!S"&amp;ROW())))</f>
        <v/>
      </c>
      <c r="U54" s="30" t="str">
        <f aca="true">IF(INDIRECT("office_form!A"&amp;ROW())="","","founder")</f>
        <v/>
      </c>
    </row>
    <row r="55" customFormat="false" ht="15" hidden="false" customHeight="false" outlineLevel="0" collapsed="false">
      <c r="A55" s="30" t="str">
        <f aca="true">IF(INDIRECT("office_form!A"&amp;ROW())="","",TEXT(INDIRECT("office_form!A"&amp;ROW()),"yyyy-mm-dd""T""hh:mm:ss"))</f>
        <v/>
      </c>
      <c r="B55" s="30" t="str">
        <f aca="true">IF(INDIRECT("office_form!A"&amp;ROW())="","",config!$B$36)</f>
        <v/>
      </c>
      <c r="C55" s="30" t="str">
        <f aca="true">IF(INDIRECT("office_form!A"&amp;ROW())="","",IF(INDIRECT("office_form!B"&amp;ROW())="","",INDIRECT("office_form!B"&amp;ROW())))</f>
        <v/>
      </c>
      <c r="D55" s="30" t="str">
        <f aca="true">IF(INDIRECT("office_form!A"&amp;ROW())="","",IF(INDIRECT("office_form!C"&amp;ROW())="","",INDIRECT("office_form!C"&amp;ROW())))</f>
        <v/>
      </c>
      <c r="E55" s="30" t="str">
        <f aca="true">IF(INDIRECT("office_form!A"&amp;ROW())="","",IF(INDIRECT("office_form!D"&amp;ROW())="","",INDIRECT("office_form!D"&amp;ROW())))</f>
        <v/>
      </c>
      <c r="F55" s="30" t="str">
        <f aca="true">IF(INDIRECT("office_form!A"&amp;ROW())="","",IF(INDIRECT("office_form!E"&amp;ROW())="","",INDIRECT("office_form!E"&amp;ROW())))</f>
        <v/>
      </c>
      <c r="G55" s="30" t="str">
        <f aca="true">IF(INDIRECT("office_form!A"&amp;ROW())="","",IF(INDIRECT("office_form!F"&amp;ROW())="","",INDIRECT("office_form!F"&amp;ROW())))</f>
        <v/>
      </c>
      <c r="H55" s="30" t="str">
        <f aca="true">IF(INDIRECT("office_form!A"&amp;ROW())="","",IF(INDIRECT("office_form!G"&amp;ROW())="","",INDIRECT("office_form!G"&amp;ROW())))</f>
        <v/>
      </c>
      <c r="I55" s="30" t="str">
        <f aca="true">IF(INDIRECT("office_form!A"&amp;ROW())="","",IF(INDIRECT("office_form!H"&amp;ROW())="","",INDIRECT("office_form!H"&amp;ROW())))</f>
        <v/>
      </c>
      <c r="J55" s="30" t="str">
        <f aca="true">IF(INDIRECT("office_form!A"&amp;ROW())="","",IF(INDIRECT("office_form!I"&amp;ROW())="","",INDIRECT("office_form!I"&amp;ROW())))</f>
        <v/>
      </c>
      <c r="K55" s="30" t="str">
        <f aca="true">IF(INDIRECT("office_form!A"&amp;ROW())="","",IF($M55="Y",$D55,IF(INDIRECT("office_form!K"&amp;ROW())="","",INDIRECT("office_form!K"&amp;ROW()))))</f>
        <v/>
      </c>
      <c r="L55" s="30" t="str">
        <f aca="true">IF(INDIRECT("office_form!A"&amp;ROW())="","",IF($M55="Y",$E55,IF(INDIRECT("office_form!L"&amp;ROW())="","",INDIRECT("office_form!L"&amp;ROW()))))</f>
        <v/>
      </c>
      <c r="M55" s="30" t="str">
        <f aca="true">IF(INDIRECT("office_form!A"&amp;ROW())="","",IF(IF(INDIRECT("office_form!J"&amp;ROW())="","",INDIRECT("office_form!J"&amp;ROW()))="Yes, me","Y",IF(IF(INDIRECT("office_form!J"&amp;ROW())="","",INDIRECT("office_form!J"&amp;ROW()))="Someone else","N","")))</f>
        <v/>
      </c>
      <c r="N5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30" t="str">
        <f aca="true">IF(INDIRECT("office_form!A"&amp;ROW())="","",IF(INDIRECT("office_form!N"&amp;ROW())="","",INDIRECT("office_form!N"&amp;ROW())))</f>
        <v/>
      </c>
      <c r="P55" s="30" t="str">
        <f aca="true">IF(INDIRECT("office_form!A"&amp;ROW())="","",IF(IF(INDIRECT("office_form!O"&amp;ROW())="","",INDIRECT("office_form!O"&amp;ROW()))="Yes","yes",IF(IF(INDIRECT("office_form!O"&amp;ROW())="","",INDIRECT("office_form!O"&amp;ROW()))="No","no",IF(IF(INDIRECT("office_form!O"&amp;ROW())="","",INDIRECT("office_form!O"&amp;ROW()))="Not sure","unsure",""))))</f>
        <v/>
      </c>
      <c r="Q55" s="30" t="str">
        <f aca="true">IF(INDIRECT("office_form!A"&amp;ROW())="","",IF(IF(INDIRECT("office_form!P"&amp;ROW())="","",INDIRECT("office_form!P"&amp;ROW()))="Slack","slack",IF(IF(INDIRECT("office_form!P"&amp;ROW())="","",INDIRECT("office_form!P"&amp;ROW()))="Email","email",IF(IF(INDIRECT("office_form!P"&amp;ROW())="","",INDIRECT("office_form!P"&amp;ROW()))="Other","other",""))))</f>
        <v/>
      </c>
      <c r="R5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30" t="str">
        <f aca="true">IF(INDIRECT("office_form!A"&amp;ROW())="","",IF(INDIRECT("office_form!R"&amp;ROW())="","",INDIRECT("office_form!R"&amp;ROW())))</f>
        <v/>
      </c>
      <c r="T55" s="30" t="str">
        <f aca="true">IF(INDIRECT("office_form!A"&amp;ROW())="","",IF(INDIRECT("office_form!S"&amp;ROW())="","",INDIRECT("office_form!S"&amp;ROW())))</f>
        <v/>
      </c>
      <c r="U55" s="30" t="str">
        <f aca="true">IF(INDIRECT("office_form!A"&amp;ROW())="","","founder")</f>
        <v/>
      </c>
    </row>
    <row r="56" customFormat="false" ht="15" hidden="false" customHeight="false" outlineLevel="0" collapsed="false">
      <c r="A56" s="30" t="str">
        <f aca="true">IF(INDIRECT("office_form!A"&amp;ROW())="","",TEXT(INDIRECT("office_form!A"&amp;ROW()),"yyyy-mm-dd""T""hh:mm:ss"))</f>
        <v/>
      </c>
      <c r="B56" s="30" t="str">
        <f aca="true">IF(INDIRECT("office_form!A"&amp;ROW())="","",config!$B$36)</f>
        <v/>
      </c>
      <c r="C56" s="30" t="str">
        <f aca="true">IF(INDIRECT("office_form!A"&amp;ROW())="","",IF(INDIRECT("office_form!B"&amp;ROW())="","",INDIRECT("office_form!B"&amp;ROW())))</f>
        <v/>
      </c>
      <c r="D56" s="30" t="str">
        <f aca="true">IF(INDIRECT("office_form!A"&amp;ROW())="","",IF(INDIRECT("office_form!C"&amp;ROW())="","",INDIRECT("office_form!C"&amp;ROW())))</f>
        <v/>
      </c>
      <c r="E56" s="30" t="str">
        <f aca="true">IF(INDIRECT("office_form!A"&amp;ROW())="","",IF(INDIRECT("office_form!D"&amp;ROW())="","",INDIRECT("office_form!D"&amp;ROW())))</f>
        <v/>
      </c>
      <c r="F56" s="30" t="str">
        <f aca="true">IF(INDIRECT("office_form!A"&amp;ROW())="","",IF(INDIRECT("office_form!E"&amp;ROW())="","",INDIRECT("office_form!E"&amp;ROW())))</f>
        <v/>
      </c>
      <c r="G56" s="30" t="str">
        <f aca="true">IF(INDIRECT("office_form!A"&amp;ROW())="","",IF(INDIRECT("office_form!F"&amp;ROW())="","",INDIRECT("office_form!F"&amp;ROW())))</f>
        <v/>
      </c>
      <c r="H56" s="30" t="str">
        <f aca="true">IF(INDIRECT("office_form!A"&amp;ROW())="","",IF(INDIRECT("office_form!G"&amp;ROW())="","",INDIRECT("office_form!G"&amp;ROW())))</f>
        <v/>
      </c>
      <c r="I56" s="30" t="str">
        <f aca="true">IF(INDIRECT("office_form!A"&amp;ROW())="","",IF(INDIRECT("office_form!H"&amp;ROW())="","",INDIRECT("office_form!H"&amp;ROW())))</f>
        <v/>
      </c>
      <c r="J56" s="30" t="str">
        <f aca="true">IF(INDIRECT("office_form!A"&amp;ROW())="","",IF(INDIRECT("office_form!I"&amp;ROW())="","",INDIRECT("office_form!I"&amp;ROW())))</f>
        <v/>
      </c>
      <c r="K56" s="30" t="str">
        <f aca="true">IF(INDIRECT("office_form!A"&amp;ROW())="","",IF($M56="Y",$D56,IF(INDIRECT("office_form!K"&amp;ROW())="","",INDIRECT("office_form!K"&amp;ROW()))))</f>
        <v/>
      </c>
      <c r="L56" s="30" t="str">
        <f aca="true">IF(INDIRECT("office_form!A"&amp;ROW())="","",IF($M56="Y",$E56,IF(INDIRECT("office_form!L"&amp;ROW())="","",INDIRECT("office_form!L"&amp;ROW()))))</f>
        <v/>
      </c>
      <c r="M56" s="30" t="str">
        <f aca="true">IF(INDIRECT("office_form!A"&amp;ROW())="","",IF(IF(INDIRECT("office_form!J"&amp;ROW())="","",INDIRECT("office_form!J"&amp;ROW()))="Yes, me","Y",IF(IF(INDIRECT("office_form!J"&amp;ROW())="","",INDIRECT("office_form!J"&amp;ROW()))="Someone else","N","")))</f>
        <v/>
      </c>
      <c r="N5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30" t="str">
        <f aca="true">IF(INDIRECT("office_form!A"&amp;ROW())="","",IF(INDIRECT("office_form!N"&amp;ROW())="","",INDIRECT("office_form!N"&amp;ROW())))</f>
        <v/>
      </c>
      <c r="P56" s="30" t="str">
        <f aca="true">IF(INDIRECT("office_form!A"&amp;ROW())="","",IF(IF(INDIRECT("office_form!O"&amp;ROW())="","",INDIRECT("office_form!O"&amp;ROW()))="Yes","yes",IF(IF(INDIRECT("office_form!O"&amp;ROW())="","",INDIRECT("office_form!O"&amp;ROW()))="No","no",IF(IF(INDIRECT("office_form!O"&amp;ROW())="","",INDIRECT("office_form!O"&amp;ROW()))="Not sure","unsure",""))))</f>
        <v/>
      </c>
      <c r="Q56" s="30" t="str">
        <f aca="true">IF(INDIRECT("office_form!A"&amp;ROW())="","",IF(IF(INDIRECT("office_form!P"&amp;ROW())="","",INDIRECT("office_form!P"&amp;ROW()))="Slack","slack",IF(IF(INDIRECT("office_form!P"&amp;ROW())="","",INDIRECT("office_form!P"&amp;ROW()))="Email","email",IF(IF(INDIRECT("office_form!P"&amp;ROW())="","",INDIRECT("office_form!P"&amp;ROW()))="Other","other",""))))</f>
        <v/>
      </c>
      <c r="R5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30" t="str">
        <f aca="true">IF(INDIRECT("office_form!A"&amp;ROW())="","",IF(INDIRECT("office_form!R"&amp;ROW())="","",INDIRECT("office_form!R"&amp;ROW())))</f>
        <v/>
      </c>
      <c r="T56" s="30" t="str">
        <f aca="true">IF(INDIRECT("office_form!A"&amp;ROW())="","",IF(INDIRECT("office_form!S"&amp;ROW())="","",INDIRECT("office_form!S"&amp;ROW())))</f>
        <v/>
      </c>
      <c r="U56" s="30" t="str">
        <f aca="true">IF(INDIRECT("office_form!A"&amp;ROW())="","","founder")</f>
        <v/>
      </c>
    </row>
    <row r="57" customFormat="false" ht="15" hidden="false" customHeight="false" outlineLevel="0" collapsed="false">
      <c r="A57" s="30" t="str">
        <f aca="true">IF(INDIRECT("office_form!A"&amp;ROW())="","",TEXT(INDIRECT("office_form!A"&amp;ROW()),"yyyy-mm-dd""T""hh:mm:ss"))</f>
        <v/>
      </c>
      <c r="B57" s="30" t="str">
        <f aca="true">IF(INDIRECT("office_form!A"&amp;ROW())="","",config!$B$36)</f>
        <v/>
      </c>
      <c r="C57" s="30" t="str">
        <f aca="true">IF(INDIRECT("office_form!A"&amp;ROW())="","",IF(INDIRECT("office_form!B"&amp;ROW())="","",INDIRECT("office_form!B"&amp;ROW())))</f>
        <v/>
      </c>
      <c r="D57" s="30" t="str">
        <f aca="true">IF(INDIRECT("office_form!A"&amp;ROW())="","",IF(INDIRECT("office_form!C"&amp;ROW())="","",INDIRECT("office_form!C"&amp;ROW())))</f>
        <v/>
      </c>
      <c r="E57" s="30" t="str">
        <f aca="true">IF(INDIRECT("office_form!A"&amp;ROW())="","",IF(INDIRECT("office_form!D"&amp;ROW())="","",INDIRECT("office_form!D"&amp;ROW())))</f>
        <v/>
      </c>
      <c r="F57" s="30" t="str">
        <f aca="true">IF(INDIRECT("office_form!A"&amp;ROW())="","",IF(INDIRECT("office_form!E"&amp;ROW())="","",INDIRECT("office_form!E"&amp;ROW())))</f>
        <v/>
      </c>
      <c r="G57" s="30" t="str">
        <f aca="true">IF(INDIRECT("office_form!A"&amp;ROW())="","",IF(INDIRECT("office_form!F"&amp;ROW())="","",INDIRECT("office_form!F"&amp;ROW())))</f>
        <v/>
      </c>
      <c r="H57" s="30" t="str">
        <f aca="true">IF(INDIRECT("office_form!A"&amp;ROW())="","",IF(INDIRECT("office_form!G"&amp;ROW())="","",INDIRECT("office_form!G"&amp;ROW())))</f>
        <v/>
      </c>
      <c r="I57" s="30" t="str">
        <f aca="true">IF(INDIRECT("office_form!A"&amp;ROW())="","",IF(INDIRECT("office_form!H"&amp;ROW())="","",INDIRECT("office_form!H"&amp;ROW())))</f>
        <v/>
      </c>
      <c r="J57" s="30" t="str">
        <f aca="true">IF(INDIRECT("office_form!A"&amp;ROW())="","",IF(INDIRECT("office_form!I"&amp;ROW())="","",INDIRECT("office_form!I"&amp;ROW())))</f>
        <v/>
      </c>
      <c r="K57" s="30" t="str">
        <f aca="true">IF(INDIRECT("office_form!A"&amp;ROW())="","",IF($M57="Y",$D57,IF(INDIRECT("office_form!K"&amp;ROW())="","",INDIRECT("office_form!K"&amp;ROW()))))</f>
        <v/>
      </c>
      <c r="L57" s="30" t="str">
        <f aca="true">IF(INDIRECT("office_form!A"&amp;ROW())="","",IF($M57="Y",$E57,IF(INDIRECT("office_form!L"&amp;ROW())="","",INDIRECT("office_form!L"&amp;ROW()))))</f>
        <v/>
      </c>
      <c r="M57" s="30" t="str">
        <f aca="true">IF(INDIRECT("office_form!A"&amp;ROW())="","",IF(IF(INDIRECT("office_form!J"&amp;ROW())="","",INDIRECT("office_form!J"&amp;ROW()))="Yes, me","Y",IF(IF(INDIRECT("office_form!J"&amp;ROW())="","",INDIRECT("office_form!J"&amp;ROW()))="Someone else","N","")))</f>
        <v/>
      </c>
      <c r="N5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30" t="str">
        <f aca="true">IF(INDIRECT("office_form!A"&amp;ROW())="","",IF(INDIRECT("office_form!N"&amp;ROW())="","",INDIRECT("office_form!N"&amp;ROW())))</f>
        <v/>
      </c>
      <c r="P57" s="30" t="str">
        <f aca="true">IF(INDIRECT("office_form!A"&amp;ROW())="","",IF(IF(INDIRECT("office_form!O"&amp;ROW())="","",INDIRECT("office_form!O"&amp;ROW()))="Yes","yes",IF(IF(INDIRECT("office_form!O"&amp;ROW())="","",INDIRECT("office_form!O"&amp;ROW()))="No","no",IF(IF(INDIRECT("office_form!O"&amp;ROW())="","",INDIRECT("office_form!O"&amp;ROW()))="Not sure","unsure",""))))</f>
        <v/>
      </c>
      <c r="Q57" s="30" t="str">
        <f aca="true">IF(INDIRECT("office_form!A"&amp;ROW())="","",IF(IF(INDIRECT("office_form!P"&amp;ROW())="","",INDIRECT("office_form!P"&amp;ROW()))="Slack","slack",IF(IF(INDIRECT("office_form!P"&amp;ROW())="","",INDIRECT("office_form!P"&amp;ROW()))="Email","email",IF(IF(INDIRECT("office_form!P"&amp;ROW())="","",INDIRECT("office_form!P"&amp;ROW()))="Other","other",""))))</f>
        <v/>
      </c>
      <c r="R5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30" t="str">
        <f aca="true">IF(INDIRECT("office_form!A"&amp;ROW())="","",IF(INDIRECT("office_form!R"&amp;ROW())="","",INDIRECT("office_form!R"&amp;ROW())))</f>
        <v/>
      </c>
      <c r="T57" s="30" t="str">
        <f aca="true">IF(INDIRECT("office_form!A"&amp;ROW())="","",IF(INDIRECT("office_form!S"&amp;ROW())="","",INDIRECT("office_form!S"&amp;ROW())))</f>
        <v/>
      </c>
      <c r="U57" s="30" t="str">
        <f aca="true">IF(INDIRECT("office_form!A"&amp;ROW())="","","founder")</f>
        <v/>
      </c>
    </row>
    <row r="58" customFormat="false" ht="15" hidden="false" customHeight="false" outlineLevel="0" collapsed="false">
      <c r="A58" s="30" t="str">
        <f aca="true">IF(INDIRECT("office_form!A"&amp;ROW())="","",TEXT(INDIRECT("office_form!A"&amp;ROW()),"yyyy-mm-dd""T""hh:mm:ss"))</f>
        <v/>
      </c>
      <c r="B58" s="30" t="str">
        <f aca="true">IF(INDIRECT("office_form!A"&amp;ROW())="","",config!$B$36)</f>
        <v/>
      </c>
      <c r="C58" s="30" t="str">
        <f aca="true">IF(INDIRECT("office_form!A"&amp;ROW())="","",IF(INDIRECT("office_form!B"&amp;ROW())="","",INDIRECT("office_form!B"&amp;ROW())))</f>
        <v/>
      </c>
      <c r="D58" s="30" t="str">
        <f aca="true">IF(INDIRECT("office_form!A"&amp;ROW())="","",IF(INDIRECT("office_form!C"&amp;ROW())="","",INDIRECT("office_form!C"&amp;ROW())))</f>
        <v/>
      </c>
      <c r="E58" s="30" t="str">
        <f aca="true">IF(INDIRECT("office_form!A"&amp;ROW())="","",IF(INDIRECT("office_form!D"&amp;ROW())="","",INDIRECT("office_form!D"&amp;ROW())))</f>
        <v/>
      </c>
      <c r="F58" s="30" t="str">
        <f aca="true">IF(INDIRECT("office_form!A"&amp;ROW())="","",IF(INDIRECT("office_form!E"&amp;ROW())="","",INDIRECT("office_form!E"&amp;ROW())))</f>
        <v/>
      </c>
      <c r="G58" s="30" t="str">
        <f aca="true">IF(INDIRECT("office_form!A"&amp;ROW())="","",IF(INDIRECT("office_form!F"&amp;ROW())="","",INDIRECT("office_form!F"&amp;ROW())))</f>
        <v/>
      </c>
      <c r="H58" s="30" t="str">
        <f aca="true">IF(INDIRECT("office_form!A"&amp;ROW())="","",IF(INDIRECT("office_form!G"&amp;ROW())="","",INDIRECT("office_form!G"&amp;ROW())))</f>
        <v/>
      </c>
      <c r="I58" s="30" t="str">
        <f aca="true">IF(INDIRECT("office_form!A"&amp;ROW())="","",IF(INDIRECT("office_form!H"&amp;ROW())="","",INDIRECT("office_form!H"&amp;ROW())))</f>
        <v/>
      </c>
      <c r="J58" s="30" t="str">
        <f aca="true">IF(INDIRECT("office_form!A"&amp;ROW())="","",IF(INDIRECT("office_form!I"&amp;ROW())="","",INDIRECT("office_form!I"&amp;ROW())))</f>
        <v/>
      </c>
      <c r="K58" s="30" t="str">
        <f aca="true">IF(INDIRECT("office_form!A"&amp;ROW())="","",IF($M58="Y",$D58,IF(INDIRECT("office_form!K"&amp;ROW())="","",INDIRECT("office_form!K"&amp;ROW()))))</f>
        <v/>
      </c>
      <c r="L58" s="30" t="str">
        <f aca="true">IF(INDIRECT("office_form!A"&amp;ROW())="","",IF($M58="Y",$E58,IF(INDIRECT("office_form!L"&amp;ROW())="","",INDIRECT("office_form!L"&amp;ROW()))))</f>
        <v/>
      </c>
      <c r="M58" s="30" t="str">
        <f aca="true">IF(INDIRECT("office_form!A"&amp;ROW())="","",IF(IF(INDIRECT("office_form!J"&amp;ROW())="","",INDIRECT("office_form!J"&amp;ROW()))="Yes, me","Y",IF(IF(INDIRECT("office_form!J"&amp;ROW())="","",INDIRECT("office_form!J"&amp;ROW()))="Someone else","N","")))</f>
        <v/>
      </c>
      <c r="N5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30" t="str">
        <f aca="true">IF(INDIRECT("office_form!A"&amp;ROW())="","",IF(INDIRECT("office_form!N"&amp;ROW())="","",INDIRECT("office_form!N"&amp;ROW())))</f>
        <v/>
      </c>
      <c r="P58" s="30" t="str">
        <f aca="true">IF(INDIRECT("office_form!A"&amp;ROW())="","",IF(IF(INDIRECT("office_form!O"&amp;ROW())="","",INDIRECT("office_form!O"&amp;ROW()))="Yes","yes",IF(IF(INDIRECT("office_form!O"&amp;ROW())="","",INDIRECT("office_form!O"&amp;ROW()))="No","no",IF(IF(INDIRECT("office_form!O"&amp;ROW())="","",INDIRECT("office_form!O"&amp;ROW()))="Not sure","unsure",""))))</f>
        <v/>
      </c>
      <c r="Q58" s="30" t="str">
        <f aca="true">IF(INDIRECT("office_form!A"&amp;ROW())="","",IF(IF(INDIRECT("office_form!P"&amp;ROW())="","",INDIRECT("office_form!P"&amp;ROW()))="Slack","slack",IF(IF(INDIRECT("office_form!P"&amp;ROW())="","",INDIRECT("office_form!P"&amp;ROW()))="Email","email",IF(IF(INDIRECT("office_form!P"&amp;ROW())="","",INDIRECT("office_form!P"&amp;ROW()))="Other","other",""))))</f>
        <v/>
      </c>
      <c r="R5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30" t="str">
        <f aca="true">IF(INDIRECT("office_form!A"&amp;ROW())="","",IF(INDIRECT("office_form!R"&amp;ROW())="","",INDIRECT("office_form!R"&amp;ROW())))</f>
        <v/>
      </c>
      <c r="T58" s="30" t="str">
        <f aca="true">IF(INDIRECT("office_form!A"&amp;ROW())="","",IF(INDIRECT("office_form!S"&amp;ROW())="","",INDIRECT("office_form!S"&amp;ROW())))</f>
        <v/>
      </c>
      <c r="U58" s="30" t="str">
        <f aca="true">IF(INDIRECT("office_form!A"&amp;ROW())="","","founder")</f>
        <v/>
      </c>
    </row>
    <row r="59" customFormat="false" ht="15" hidden="false" customHeight="false" outlineLevel="0" collapsed="false">
      <c r="A59" s="30" t="str">
        <f aca="true">IF(INDIRECT("office_form!A"&amp;ROW())="","",TEXT(INDIRECT("office_form!A"&amp;ROW()),"yyyy-mm-dd""T""hh:mm:ss"))</f>
        <v/>
      </c>
      <c r="B59" s="30" t="str">
        <f aca="true">IF(INDIRECT("office_form!A"&amp;ROW())="","",config!$B$36)</f>
        <v/>
      </c>
      <c r="C59" s="30" t="str">
        <f aca="true">IF(INDIRECT("office_form!A"&amp;ROW())="","",IF(INDIRECT("office_form!B"&amp;ROW())="","",INDIRECT("office_form!B"&amp;ROW())))</f>
        <v/>
      </c>
      <c r="D59" s="30" t="str">
        <f aca="true">IF(INDIRECT("office_form!A"&amp;ROW())="","",IF(INDIRECT("office_form!C"&amp;ROW())="","",INDIRECT("office_form!C"&amp;ROW())))</f>
        <v/>
      </c>
      <c r="E59" s="30" t="str">
        <f aca="true">IF(INDIRECT("office_form!A"&amp;ROW())="","",IF(INDIRECT("office_form!D"&amp;ROW())="","",INDIRECT("office_form!D"&amp;ROW())))</f>
        <v/>
      </c>
      <c r="F59" s="30" t="str">
        <f aca="true">IF(INDIRECT("office_form!A"&amp;ROW())="","",IF(INDIRECT("office_form!E"&amp;ROW())="","",INDIRECT("office_form!E"&amp;ROW())))</f>
        <v/>
      </c>
      <c r="G59" s="30" t="str">
        <f aca="true">IF(INDIRECT("office_form!A"&amp;ROW())="","",IF(INDIRECT("office_form!F"&amp;ROW())="","",INDIRECT("office_form!F"&amp;ROW())))</f>
        <v/>
      </c>
      <c r="H59" s="30" t="str">
        <f aca="true">IF(INDIRECT("office_form!A"&amp;ROW())="","",IF(INDIRECT("office_form!G"&amp;ROW())="","",INDIRECT("office_form!G"&amp;ROW())))</f>
        <v/>
      </c>
      <c r="I59" s="30" t="str">
        <f aca="true">IF(INDIRECT("office_form!A"&amp;ROW())="","",IF(INDIRECT("office_form!H"&amp;ROW())="","",INDIRECT("office_form!H"&amp;ROW())))</f>
        <v/>
      </c>
      <c r="J59" s="30" t="str">
        <f aca="true">IF(INDIRECT("office_form!A"&amp;ROW())="","",IF(INDIRECT("office_form!I"&amp;ROW())="","",INDIRECT("office_form!I"&amp;ROW())))</f>
        <v/>
      </c>
      <c r="K59" s="30" t="str">
        <f aca="true">IF(INDIRECT("office_form!A"&amp;ROW())="","",IF($M59="Y",$D59,IF(INDIRECT("office_form!K"&amp;ROW())="","",INDIRECT("office_form!K"&amp;ROW()))))</f>
        <v/>
      </c>
      <c r="L59" s="30" t="str">
        <f aca="true">IF(INDIRECT("office_form!A"&amp;ROW())="","",IF($M59="Y",$E59,IF(INDIRECT("office_form!L"&amp;ROW())="","",INDIRECT("office_form!L"&amp;ROW()))))</f>
        <v/>
      </c>
      <c r="M59" s="30" t="str">
        <f aca="true">IF(INDIRECT("office_form!A"&amp;ROW())="","",IF(IF(INDIRECT("office_form!J"&amp;ROW())="","",INDIRECT("office_form!J"&amp;ROW()))="Yes, me","Y",IF(IF(INDIRECT("office_form!J"&amp;ROW())="","",INDIRECT("office_form!J"&amp;ROW()))="Someone else","N","")))</f>
        <v/>
      </c>
      <c r="N5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30" t="str">
        <f aca="true">IF(INDIRECT("office_form!A"&amp;ROW())="","",IF(INDIRECT("office_form!N"&amp;ROW())="","",INDIRECT("office_form!N"&amp;ROW())))</f>
        <v/>
      </c>
      <c r="P59" s="30" t="str">
        <f aca="true">IF(INDIRECT("office_form!A"&amp;ROW())="","",IF(IF(INDIRECT("office_form!O"&amp;ROW())="","",INDIRECT("office_form!O"&amp;ROW()))="Yes","yes",IF(IF(INDIRECT("office_form!O"&amp;ROW())="","",INDIRECT("office_form!O"&amp;ROW()))="No","no",IF(IF(INDIRECT("office_form!O"&amp;ROW())="","",INDIRECT("office_form!O"&amp;ROW()))="Not sure","unsure",""))))</f>
        <v/>
      </c>
      <c r="Q59" s="30" t="str">
        <f aca="true">IF(INDIRECT("office_form!A"&amp;ROW())="","",IF(IF(INDIRECT("office_form!P"&amp;ROW())="","",INDIRECT("office_form!P"&amp;ROW()))="Slack","slack",IF(IF(INDIRECT("office_form!P"&amp;ROW())="","",INDIRECT("office_form!P"&amp;ROW()))="Email","email",IF(IF(INDIRECT("office_form!P"&amp;ROW())="","",INDIRECT("office_form!P"&amp;ROW()))="Other","other",""))))</f>
        <v/>
      </c>
      <c r="R5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30" t="str">
        <f aca="true">IF(INDIRECT("office_form!A"&amp;ROW())="","",IF(INDIRECT("office_form!R"&amp;ROW())="","",INDIRECT("office_form!R"&amp;ROW())))</f>
        <v/>
      </c>
      <c r="T59" s="30" t="str">
        <f aca="true">IF(INDIRECT("office_form!A"&amp;ROW())="","",IF(INDIRECT("office_form!S"&amp;ROW())="","",INDIRECT("office_form!S"&amp;ROW())))</f>
        <v/>
      </c>
      <c r="U59" s="30" t="str">
        <f aca="true">IF(INDIRECT("office_form!A"&amp;ROW())="","","founder")</f>
        <v/>
      </c>
    </row>
    <row r="60" customFormat="false" ht="15" hidden="false" customHeight="false" outlineLevel="0" collapsed="false">
      <c r="A60" s="30" t="str">
        <f aca="true">IF(INDIRECT("office_form!A"&amp;ROW())="","",TEXT(INDIRECT("office_form!A"&amp;ROW()),"yyyy-mm-dd""T""hh:mm:ss"))</f>
        <v/>
      </c>
      <c r="B60" s="30" t="str">
        <f aca="true">IF(INDIRECT("office_form!A"&amp;ROW())="","",config!$B$36)</f>
        <v/>
      </c>
      <c r="C60" s="30" t="str">
        <f aca="true">IF(INDIRECT("office_form!A"&amp;ROW())="","",IF(INDIRECT("office_form!B"&amp;ROW())="","",INDIRECT("office_form!B"&amp;ROW())))</f>
        <v/>
      </c>
      <c r="D60" s="30" t="str">
        <f aca="true">IF(INDIRECT("office_form!A"&amp;ROW())="","",IF(INDIRECT("office_form!C"&amp;ROW())="","",INDIRECT("office_form!C"&amp;ROW())))</f>
        <v/>
      </c>
      <c r="E60" s="30" t="str">
        <f aca="true">IF(INDIRECT("office_form!A"&amp;ROW())="","",IF(INDIRECT("office_form!D"&amp;ROW())="","",INDIRECT("office_form!D"&amp;ROW())))</f>
        <v/>
      </c>
      <c r="F60" s="30" t="str">
        <f aca="true">IF(INDIRECT("office_form!A"&amp;ROW())="","",IF(INDIRECT("office_form!E"&amp;ROW())="","",INDIRECT("office_form!E"&amp;ROW())))</f>
        <v/>
      </c>
      <c r="G60" s="30" t="str">
        <f aca="true">IF(INDIRECT("office_form!A"&amp;ROW())="","",IF(INDIRECT("office_form!F"&amp;ROW())="","",INDIRECT("office_form!F"&amp;ROW())))</f>
        <v/>
      </c>
      <c r="H60" s="30" t="str">
        <f aca="true">IF(INDIRECT("office_form!A"&amp;ROW())="","",IF(INDIRECT("office_form!G"&amp;ROW())="","",INDIRECT("office_form!G"&amp;ROW())))</f>
        <v/>
      </c>
      <c r="I60" s="30" t="str">
        <f aca="true">IF(INDIRECT("office_form!A"&amp;ROW())="","",IF(INDIRECT("office_form!H"&amp;ROW())="","",INDIRECT("office_form!H"&amp;ROW())))</f>
        <v/>
      </c>
      <c r="J60" s="30" t="str">
        <f aca="true">IF(INDIRECT("office_form!A"&amp;ROW())="","",IF(INDIRECT("office_form!I"&amp;ROW())="","",INDIRECT("office_form!I"&amp;ROW())))</f>
        <v/>
      </c>
      <c r="K60" s="30" t="str">
        <f aca="true">IF(INDIRECT("office_form!A"&amp;ROW())="","",IF($M60="Y",$D60,IF(INDIRECT("office_form!K"&amp;ROW())="","",INDIRECT("office_form!K"&amp;ROW()))))</f>
        <v/>
      </c>
      <c r="L60" s="30" t="str">
        <f aca="true">IF(INDIRECT("office_form!A"&amp;ROW())="","",IF($M60="Y",$E60,IF(INDIRECT("office_form!L"&amp;ROW())="","",INDIRECT("office_form!L"&amp;ROW()))))</f>
        <v/>
      </c>
      <c r="M60" s="30" t="str">
        <f aca="true">IF(INDIRECT("office_form!A"&amp;ROW())="","",IF(IF(INDIRECT("office_form!J"&amp;ROW())="","",INDIRECT("office_form!J"&amp;ROW()))="Yes, me","Y",IF(IF(INDIRECT("office_form!J"&amp;ROW())="","",INDIRECT("office_form!J"&amp;ROW()))="Someone else","N","")))</f>
        <v/>
      </c>
      <c r="N6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30" t="str">
        <f aca="true">IF(INDIRECT("office_form!A"&amp;ROW())="","",IF(INDIRECT("office_form!N"&amp;ROW())="","",INDIRECT("office_form!N"&amp;ROW())))</f>
        <v/>
      </c>
      <c r="P60" s="30" t="str">
        <f aca="true">IF(INDIRECT("office_form!A"&amp;ROW())="","",IF(IF(INDIRECT("office_form!O"&amp;ROW())="","",INDIRECT("office_form!O"&amp;ROW()))="Yes","yes",IF(IF(INDIRECT("office_form!O"&amp;ROW())="","",INDIRECT("office_form!O"&amp;ROW()))="No","no",IF(IF(INDIRECT("office_form!O"&amp;ROW())="","",INDIRECT("office_form!O"&amp;ROW()))="Not sure","unsure",""))))</f>
        <v/>
      </c>
      <c r="Q60" s="30" t="str">
        <f aca="true">IF(INDIRECT("office_form!A"&amp;ROW())="","",IF(IF(INDIRECT("office_form!P"&amp;ROW())="","",INDIRECT("office_form!P"&amp;ROW()))="Slack","slack",IF(IF(INDIRECT("office_form!P"&amp;ROW())="","",INDIRECT("office_form!P"&amp;ROW()))="Email","email",IF(IF(INDIRECT("office_form!P"&amp;ROW())="","",INDIRECT("office_form!P"&amp;ROW()))="Other","other",""))))</f>
        <v/>
      </c>
      <c r="R6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30" t="str">
        <f aca="true">IF(INDIRECT("office_form!A"&amp;ROW())="","",IF(INDIRECT("office_form!R"&amp;ROW())="","",INDIRECT("office_form!R"&amp;ROW())))</f>
        <v/>
      </c>
      <c r="T60" s="30" t="str">
        <f aca="true">IF(INDIRECT("office_form!A"&amp;ROW())="","",IF(INDIRECT("office_form!S"&amp;ROW())="","",INDIRECT("office_form!S"&amp;ROW())))</f>
        <v/>
      </c>
      <c r="U60" s="30" t="str">
        <f aca="true">IF(INDIRECT("office_form!A"&amp;ROW())="","","founder")</f>
        <v/>
      </c>
    </row>
    <row r="61" customFormat="false" ht="15" hidden="false" customHeight="false" outlineLevel="0" collapsed="false">
      <c r="A61" s="30" t="str">
        <f aca="true">IF(INDIRECT("office_form!A"&amp;ROW())="","",TEXT(INDIRECT("office_form!A"&amp;ROW()),"yyyy-mm-dd""T""hh:mm:ss"))</f>
        <v/>
      </c>
      <c r="B61" s="30" t="str">
        <f aca="true">IF(INDIRECT("office_form!A"&amp;ROW())="","",config!$B$36)</f>
        <v/>
      </c>
      <c r="C61" s="30" t="str">
        <f aca="true">IF(INDIRECT("office_form!A"&amp;ROW())="","",IF(INDIRECT("office_form!B"&amp;ROW())="","",INDIRECT("office_form!B"&amp;ROW())))</f>
        <v/>
      </c>
      <c r="D61" s="30" t="str">
        <f aca="true">IF(INDIRECT("office_form!A"&amp;ROW())="","",IF(INDIRECT("office_form!C"&amp;ROW())="","",INDIRECT("office_form!C"&amp;ROW())))</f>
        <v/>
      </c>
      <c r="E61" s="30" t="str">
        <f aca="true">IF(INDIRECT("office_form!A"&amp;ROW())="","",IF(INDIRECT("office_form!D"&amp;ROW())="","",INDIRECT("office_form!D"&amp;ROW())))</f>
        <v/>
      </c>
      <c r="F61" s="30" t="str">
        <f aca="true">IF(INDIRECT("office_form!A"&amp;ROW())="","",IF(INDIRECT("office_form!E"&amp;ROW())="","",INDIRECT("office_form!E"&amp;ROW())))</f>
        <v/>
      </c>
      <c r="G61" s="30" t="str">
        <f aca="true">IF(INDIRECT("office_form!A"&amp;ROW())="","",IF(INDIRECT("office_form!F"&amp;ROW())="","",INDIRECT("office_form!F"&amp;ROW())))</f>
        <v/>
      </c>
      <c r="H61" s="30" t="str">
        <f aca="true">IF(INDIRECT("office_form!A"&amp;ROW())="","",IF(INDIRECT("office_form!G"&amp;ROW())="","",INDIRECT("office_form!G"&amp;ROW())))</f>
        <v/>
      </c>
      <c r="I61" s="30" t="str">
        <f aca="true">IF(INDIRECT("office_form!A"&amp;ROW())="","",IF(INDIRECT("office_form!H"&amp;ROW())="","",INDIRECT("office_form!H"&amp;ROW())))</f>
        <v/>
      </c>
      <c r="J61" s="30" t="str">
        <f aca="true">IF(INDIRECT("office_form!A"&amp;ROW())="","",IF(INDIRECT("office_form!I"&amp;ROW())="","",INDIRECT("office_form!I"&amp;ROW())))</f>
        <v/>
      </c>
      <c r="K61" s="30" t="str">
        <f aca="true">IF(INDIRECT("office_form!A"&amp;ROW())="","",IF($M61="Y",$D61,IF(INDIRECT("office_form!K"&amp;ROW())="","",INDIRECT("office_form!K"&amp;ROW()))))</f>
        <v/>
      </c>
      <c r="L61" s="30" t="str">
        <f aca="true">IF(INDIRECT("office_form!A"&amp;ROW())="","",IF($M61="Y",$E61,IF(INDIRECT("office_form!L"&amp;ROW())="","",INDIRECT("office_form!L"&amp;ROW()))))</f>
        <v/>
      </c>
      <c r="M61" s="30" t="str">
        <f aca="true">IF(INDIRECT("office_form!A"&amp;ROW())="","",IF(IF(INDIRECT("office_form!J"&amp;ROW())="","",INDIRECT("office_form!J"&amp;ROW()))="Yes, me","Y",IF(IF(INDIRECT("office_form!J"&amp;ROW())="","",INDIRECT("office_form!J"&amp;ROW()))="Someone else","N","")))</f>
        <v/>
      </c>
      <c r="N6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30" t="str">
        <f aca="true">IF(INDIRECT("office_form!A"&amp;ROW())="","",IF(INDIRECT("office_form!N"&amp;ROW())="","",INDIRECT("office_form!N"&amp;ROW())))</f>
        <v/>
      </c>
      <c r="P61" s="30" t="str">
        <f aca="true">IF(INDIRECT("office_form!A"&amp;ROW())="","",IF(IF(INDIRECT("office_form!O"&amp;ROW())="","",INDIRECT("office_form!O"&amp;ROW()))="Yes","yes",IF(IF(INDIRECT("office_form!O"&amp;ROW())="","",INDIRECT("office_form!O"&amp;ROW()))="No","no",IF(IF(INDIRECT("office_form!O"&amp;ROW())="","",INDIRECT("office_form!O"&amp;ROW()))="Not sure","unsure",""))))</f>
        <v/>
      </c>
      <c r="Q61" s="30" t="str">
        <f aca="true">IF(INDIRECT("office_form!A"&amp;ROW())="","",IF(IF(INDIRECT("office_form!P"&amp;ROW())="","",INDIRECT("office_form!P"&amp;ROW()))="Slack","slack",IF(IF(INDIRECT("office_form!P"&amp;ROW())="","",INDIRECT("office_form!P"&amp;ROW()))="Email","email",IF(IF(INDIRECT("office_form!P"&amp;ROW())="","",INDIRECT("office_form!P"&amp;ROW()))="Other","other",""))))</f>
        <v/>
      </c>
      <c r="R6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30" t="str">
        <f aca="true">IF(INDIRECT("office_form!A"&amp;ROW())="","",IF(INDIRECT("office_form!R"&amp;ROW())="","",INDIRECT("office_form!R"&amp;ROW())))</f>
        <v/>
      </c>
      <c r="T61" s="30" t="str">
        <f aca="true">IF(INDIRECT("office_form!A"&amp;ROW())="","",IF(INDIRECT("office_form!S"&amp;ROW())="","",INDIRECT("office_form!S"&amp;ROW())))</f>
        <v/>
      </c>
      <c r="U61" s="30" t="str">
        <f aca="true">IF(INDIRECT("office_form!A"&amp;ROW())="","","founder")</f>
        <v/>
      </c>
    </row>
    <row r="62" customFormat="false" ht="15" hidden="false" customHeight="false" outlineLevel="0" collapsed="false">
      <c r="A62" s="30" t="str">
        <f aca="true">IF(INDIRECT("office_form!A"&amp;ROW())="","",TEXT(INDIRECT("office_form!A"&amp;ROW()),"yyyy-mm-dd""T""hh:mm:ss"))</f>
        <v/>
      </c>
      <c r="B62" s="30" t="str">
        <f aca="true">IF(INDIRECT("office_form!A"&amp;ROW())="","",config!$B$36)</f>
        <v/>
      </c>
      <c r="C62" s="30" t="str">
        <f aca="true">IF(INDIRECT("office_form!A"&amp;ROW())="","",IF(INDIRECT("office_form!B"&amp;ROW())="","",INDIRECT("office_form!B"&amp;ROW())))</f>
        <v/>
      </c>
      <c r="D62" s="30" t="str">
        <f aca="true">IF(INDIRECT("office_form!A"&amp;ROW())="","",IF(INDIRECT("office_form!C"&amp;ROW())="","",INDIRECT("office_form!C"&amp;ROW())))</f>
        <v/>
      </c>
      <c r="E62" s="30" t="str">
        <f aca="true">IF(INDIRECT("office_form!A"&amp;ROW())="","",IF(INDIRECT("office_form!D"&amp;ROW())="","",INDIRECT("office_form!D"&amp;ROW())))</f>
        <v/>
      </c>
      <c r="F62" s="30" t="str">
        <f aca="true">IF(INDIRECT("office_form!A"&amp;ROW())="","",IF(INDIRECT("office_form!E"&amp;ROW())="","",INDIRECT("office_form!E"&amp;ROW())))</f>
        <v/>
      </c>
      <c r="G62" s="30" t="str">
        <f aca="true">IF(INDIRECT("office_form!A"&amp;ROW())="","",IF(INDIRECT("office_form!F"&amp;ROW())="","",INDIRECT("office_form!F"&amp;ROW())))</f>
        <v/>
      </c>
      <c r="H62" s="30" t="str">
        <f aca="true">IF(INDIRECT("office_form!A"&amp;ROW())="","",IF(INDIRECT("office_form!G"&amp;ROW())="","",INDIRECT("office_form!G"&amp;ROW())))</f>
        <v/>
      </c>
      <c r="I62" s="30" t="str">
        <f aca="true">IF(INDIRECT("office_form!A"&amp;ROW())="","",IF(INDIRECT("office_form!H"&amp;ROW())="","",INDIRECT("office_form!H"&amp;ROW())))</f>
        <v/>
      </c>
      <c r="J62" s="30" t="str">
        <f aca="true">IF(INDIRECT("office_form!A"&amp;ROW())="","",IF(INDIRECT("office_form!I"&amp;ROW())="","",INDIRECT("office_form!I"&amp;ROW())))</f>
        <v/>
      </c>
      <c r="K62" s="30" t="str">
        <f aca="true">IF(INDIRECT("office_form!A"&amp;ROW())="","",IF($M62="Y",$D62,IF(INDIRECT("office_form!K"&amp;ROW())="","",INDIRECT("office_form!K"&amp;ROW()))))</f>
        <v/>
      </c>
      <c r="L62" s="30" t="str">
        <f aca="true">IF(INDIRECT("office_form!A"&amp;ROW())="","",IF($M62="Y",$E62,IF(INDIRECT("office_form!L"&amp;ROW())="","",INDIRECT("office_form!L"&amp;ROW()))))</f>
        <v/>
      </c>
      <c r="M62" s="30" t="str">
        <f aca="true">IF(INDIRECT("office_form!A"&amp;ROW())="","",IF(IF(INDIRECT("office_form!J"&amp;ROW())="","",INDIRECT("office_form!J"&amp;ROW()))="Yes, me","Y",IF(IF(INDIRECT("office_form!J"&amp;ROW())="","",INDIRECT("office_form!J"&amp;ROW()))="Someone else","N","")))</f>
        <v/>
      </c>
      <c r="N6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30" t="str">
        <f aca="true">IF(INDIRECT("office_form!A"&amp;ROW())="","",IF(INDIRECT("office_form!N"&amp;ROW())="","",INDIRECT("office_form!N"&amp;ROW())))</f>
        <v/>
      </c>
      <c r="P62" s="30" t="str">
        <f aca="true">IF(INDIRECT("office_form!A"&amp;ROW())="","",IF(IF(INDIRECT("office_form!O"&amp;ROW())="","",INDIRECT("office_form!O"&amp;ROW()))="Yes","yes",IF(IF(INDIRECT("office_form!O"&amp;ROW())="","",INDIRECT("office_form!O"&amp;ROW()))="No","no",IF(IF(INDIRECT("office_form!O"&amp;ROW())="","",INDIRECT("office_form!O"&amp;ROW()))="Not sure","unsure",""))))</f>
        <v/>
      </c>
      <c r="Q62" s="30" t="str">
        <f aca="true">IF(INDIRECT("office_form!A"&amp;ROW())="","",IF(IF(INDIRECT("office_form!P"&amp;ROW())="","",INDIRECT("office_form!P"&amp;ROW()))="Slack","slack",IF(IF(INDIRECT("office_form!P"&amp;ROW())="","",INDIRECT("office_form!P"&amp;ROW()))="Email","email",IF(IF(INDIRECT("office_form!P"&amp;ROW())="","",INDIRECT("office_form!P"&amp;ROW()))="Other","other",""))))</f>
        <v/>
      </c>
      <c r="R6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30" t="str">
        <f aca="true">IF(INDIRECT("office_form!A"&amp;ROW())="","",IF(INDIRECT("office_form!R"&amp;ROW())="","",INDIRECT("office_form!R"&amp;ROW())))</f>
        <v/>
      </c>
      <c r="T62" s="30" t="str">
        <f aca="true">IF(INDIRECT("office_form!A"&amp;ROW())="","",IF(INDIRECT("office_form!S"&amp;ROW())="","",INDIRECT("office_form!S"&amp;ROW())))</f>
        <v/>
      </c>
      <c r="U62" s="30" t="str">
        <f aca="true">IF(INDIRECT("office_form!A"&amp;ROW())="","","founder")</f>
        <v/>
      </c>
    </row>
    <row r="63" customFormat="false" ht="15" hidden="false" customHeight="false" outlineLevel="0" collapsed="false">
      <c r="A63" s="30" t="str">
        <f aca="true">IF(INDIRECT("office_form!A"&amp;ROW())="","",TEXT(INDIRECT("office_form!A"&amp;ROW()),"yyyy-mm-dd""T""hh:mm:ss"))</f>
        <v/>
      </c>
      <c r="B63" s="30" t="str">
        <f aca="true">IF(INDIRECT("office_form!A"&amp;ROW())="","",config!$B$36)</f>
        <v/>
      </c>
      <c r="C63" s="30" t="str">
        <f aca="true">IF(INDIRECT("office_form!A"&amp;ROW())="","",IF(INDIRECT("office_form!B"&amp;ROW())="","",INDIRECT("office_form!B"&amp;ROW())))</f>
        <v/>
      </c>
      <c r="D63" s="30" t="str">
        <f aca="true">IF(INDIRECT("office_form!A"&amp;ROW())="","",IF(INDIRECT("office_form!C"&amp;ROW())="","",INDIRECT("office_form!C"&amp;ROW())))</f>
        <v/>
      </c>
      <c r="E63" s="30" t="str">
        <f aca="true">IF(INDIRECT("office_form!A"&amp;ROW())="","",IF(INDIRECT("office_form!D"&amp;ROW())="","",INDIRECT("office_form!D"&amp;ROW())))</f>
        <v/>
      </c>
      <c r="F63" s="30" t="str">
        <f aca="true">IF(INDIRECT("office_form!A"&amp;ROW())="","",IF(INDIRECT("office_form!E"&amp;ROW())="","",INDIRECT("office_form!E"&amp;ROW())))</f>
        <v/>
      </c>
      <c r="G63" s="30" t="str">
        <f aca="true">IF(INDIRECT("office_form!A"&amp;ROW())="","",IF(INDIRECT("office_form!F"&amp;ROW())="","",INDIRECT("office_form!F"&amp;ROW())))</f>
        <v/>
      </c>
      <c r="H63" s="30" t="str">
        <f aca="true">IF(INDIRECT("office_form!A"&amp;ROW())="","",IF(INDIRECT("office_form!G"&amp;ROW())="","",INDIRECT("office_form!G"&amp;ROW())))</f>
        <v/>
      </c>
      <c r="I63" s="30" t="str">
        <f aca="true">IF(INDIRECT("office_form!A"&amp;ROW())="","",IF(INDIRECT("office_form!H"&amp;ROW())="","",INDIRECT("office_form!H"&amp;ROW())))</f>
        <v/>
      </c>
      <c r="J63" s="30" t="str">
        <f aca="true">IF(INDIRECT("office_form!A"&amp;ROW())="","",IF(INDIRECT("office_form!I"&amp;ROW())="","",INDIRECT("office_form!I"&amp;ROW())))</f>
        <v/>
      </c>
      <c r="K63" s="30" t="str">
        <f aca="true">IF(INDIRECT("office_form!A"&amp;ROW())="","",IF($M63="Y",$D63,IF(INDIRECT("office_form!K"&amp;ROW())="","",INDIRECT("office_form!K"&amp;ROW()))))</f>
        <v/>
      </c>
      <c r="L63" s="30" t="str">
        <f aca="true">IF(INDIRECT("office_form!A"&amp;ROW())="","",IF($M63="Y",$E63,IF(INDIRECT("office_form!L"&amp;ROW())="","",INDIRECT("office_form!L"&amp;ROW()))))</f>
        <v/>
      </c>
      <c r="M63" s="30" t="str">
        <f aca="true">IF(INDIRECT("office_form!A"&amp;ROW())="","",IF(IF(INDIRECT("office_form!J"&amp;ROW())="","",INDIRECT("office_form!J"&amp;ROW()))="Yes, me","Y",IF(IF(INDIRECT("office_form!J"&amp;ROW())="","",INDIRECT("office_form!J"&amp;ROW()))="Someone else","N","")))</f>
        <v/>
      </c>
      <c r="N6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30" t="str">
        <f aca="true">IF(INDIRECT("office_form!A"&amp;ROW())="","",IF(INDIRECT("office_form!N"&amp;ROW())="","",INDIRECT("office_form!N"&amp;ROW())))</f>
        <v/>
      </c>
      <c r="P63" s="30" t="str">
        <f aca="true">IF(INDIRECT("office_form!A"&amp;ROW())="","",IF(IF(INDIRECT("office_form!O"&amp;ROW())="","",INDIRECT("office_form!O"&amp;ROW()))="Yes","yes",IF(IF(INDIRECT("office_form!O"&amp;ROW())="","",INDIRECT("office_form!O"&amp;ROW()))="No","no",IF(IF(INDIRECT("office_form!O"&amp;ROW())="","",INDIRECT("office_form!O"&amp;ROW()))="Not sure","unsure",""))))</f>
        <v/>
      </c>
      <c r="Q63" s="30" t="str">
        <f aca="true">IF(INDIRECT("office_form!A"&amp;ROW())="","",IF(IF(INDIRECT("office_form!P"&amp;ROW())="","",INDIRECT("office_form!P"&amp;ROW()))="Slack","slack",IF(IF(INDIRECT("office_form!P"&amp;ROW())="","",INDIRECT("office_form!P"&amp;ROW()))="Email","email",IF(IF(INDIRECT("office_form!P"&amp;ROW())="","",INDIRECT("office_form!P"&amp;ROW()))="Other","other",""))))</f>
        <v/>
      </c>
      <c r="R6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30" t="str">
        <f aca="true">IF(INDIRECT("office_form!A"&amp;ROW())="","",IF(INDIRECT("office_form!R"&amp;ROW())="","",INDIRECT("office_form!R"&amp;ROW())))</f>
        <v/>
      </c>
      <c r="T63" s="30" t="str">
        <f aca="true">IF(INDIRECT("office_form!A"&amp;ROW())="","",IF(INDIRECT("office_form!S"&amp;ROW())="","",INDIRECT("office_form!S"&amp;ROW())))</f>
        <v/>
      </c>
      <c r="U63" s="30" t="str">
        <f aca="true">IF(INDIRECT("office_form!A"&amp;ROW())="","","founder")</f>
        <v/>
      </c>
    </row>
    <row r="64" customFormat="false" ht="15" hidden="false" customHeight="false" outlineLevel="0" collapsed="false">
      <c r="A64" s="30" t="str">
        <f aca="true">IF(INDIRECT("office_form!A"&amp;ROW())="","",TEXT(INDIRECT("office_form!A"&amp;ROW()),"yyyy-mm-dd""T""hh:mm:ss"))</f>
        <v/>
      </c>
      <c r="B64" s="30" t="str">
        <f aca="true">IF(INDIRECT("office_form!A"&amp;ROW())="","",config!$B$36)</f>
        <v/>
      </c>
      <c r="C64" s="30" t="str">
        <f aca="true">IF(INDIRECT("office_form!A"&amp;ROW())="","",IF(INDIRECT("office_form!B"&amp;ROW())="","",INDIRECT("office_form!B"&amp;ROW())))</f>
        <v/>
      </c>
      <c r="D64" s="30" t="str">
        <f aca="true">IF(INDIRECT("office_form!A"&amp;ROW())="","",IF(INDIRECT("office_form!C"&amp;ROW())="","",INDIRECT("office_form!C"&amp;ROW())))</f>
        <v/>
      </c>
      <c r="E64" s="30" t="str">
        <f aca="true">IF(INDIRECT("office_form!A"&amp;ROW())="","",IF(INDIRECT("office_form!D"&amp;ROW())="","",INDIRECT("office_form!D"&amp;ROW())))</f>
        <v/>
      </c>
      <c r="F64" s="30" t="str">
        <f aca="true">IF(INDIRECT("office_form!A"&amp;ROW())="","",IF(INDIRECT("office_form!E"&amp;ROW())="","",INDIRECT("office_form!E"&amp;ROW())))</f>
        <v/>
      </c>
      <c r="G64" s="30" t="str">
        <f aca="true">IF(INDIRECT("office_form!A"&amp;ROW())="","",IF(INDIRECT("office_form!F"&amp;ROW())="","",INDIRECT("office_form!F"&amp;ROW())))</f>
        <v/>
      </c>
      <c r="H64" s="30" t="str">
        <f aca="true">IF(INDIRECT("office_form!A"&amp;ROW())="","",IF(INDIRECT("office_form!G"&amp;ROW())="","",INDIRECT("office_form!G"&amp;ROW())))</f>
        <v/>
      </c>
      <c r="I64" s="30" t="str">
        <f aca="true">IF(INDIRECT("office_form!A"&amp;ROW())="","",IF(INDIRECT("office_form!H"&amp;ROW())="","",INDIRECT("office_form!H"&amp;ROW())))</f>
        <v/>
      </c>
      <c r="J64" s="30" t="str">
        <f aca="true">IF(INDIRECT("office_form!A"&amp;ROW())="","",IF(INDIRECT("office_form!I"&amp;ROW())="","",INDIRECT("office_form!I"&amp;ROW())))</f>
        <v/>
      </c>
      <c r="K64" s="30" t="str">
        <f aca="true">IF(INDIRECT("office_form!A"&amp;ROW())="","",IF($M64="Y",$D64,IF(INDIRECT("office_form!K"&amp;ROW())="","",INDIRECT("office_form!K"&amp;ROW()))))</f>
        <v/>
      </c>
      <c r="L64" s="30" t="str">
        <f aca="true">IF(INDIRECT("office_form!A"&amp;ROW())="","",IF($M64="Y",$E64,IF(INDIRECT("office_form!L"&amp;ROW())="","",INDIRECT("office_form!L"&amp;ROW()))))</f>
        <v/>
      </c>
      <c r="M64" s="30" t="str">
        <f aca="true">IF(INDIRECT("office_form!A"&amp;ROW())="","",IF(IF(INDIRECT("office_form!J"&amp;ROW())="","",INDIRECT("office_form!J"&amp;ROW()))="Yes, me","Y",IF(IF(INDIRECT("office_form!J"&amp;ROW())="","",INDIRECT("office_form!J"&amp;ROW()))="Someone else","N","")))</f>
        <v/>
      </c>
      <c r="N6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30" t="str">
        <f aca="true">IF(INDIRECT("office_form!A"&amp;ROW())="","",IF(INDIRECT("office_form!N"&amp;ROW())="","",INDIRECT("office_form!N"&amp;ROW())))</f>
        <v/>
      </c>
      <c r="P64" s="30" t="str">
        <f aca="true">IF(INDIRECT("office_form!A"&amp;ROW())="","",IF(IF(INDIRECT("office_form!O"&amp;ROW())="","",INDIRECT("office_form!O"&amp;ROW()))="Yes","yes",IF(IF(INDIRECT("office_form!O"&amp;ROW())="","",INDIRECT("office_form!O"&amp;ROW()))="No","no",IF(IF(INDIRECT("office_form!O"&amp;ROW())="","",INDIRECT("office_form!O"&amp;ROW()))="Not sure","unsure",""))))</f>
        <v/>
      </c>
      <c r="Q64" s="30" t="str">
        <f aca="true">IF(INDIRECT("office_form!A"&amp;ROW())="","",IF(IF(INDIRECT("office_form!P"&amp;ROW())="","",INDIRECT("office_form!P"&amp;ROW()))="Slack","slack",IF(IF(INDIRECT("office_form!P"&amp;ROW())="","",INDIRECT("office_form!P"&amp;ROW()))="Email","email",IF(IF(INDIRECT("office_form!P"&amp;ROW())="","",INDIRECT("office_form!P"&amp;ROW()))="Other","other",""))))</f>
        <v/>
      </c>
      <c r="R6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30" t="str">
        <f aca="true">IF(INDIRECT("office_form!A"&amp;ROW())="","",IF(INDIRECT("office_form!R"&amp;ROW())="","",INDIRECT("office_form!R"&amp;ROW())))</f>
        <v/>
      </c>
      <c r="T64" s="30" t="str">
        <f aca="true">IF(INDIRECT("office_form!A"&amp;ROW())="","",IF(INDIRECT("office_form!S"&amp;ROW())="","",INDIRECT("office_form!S"&amp;ROW())))</f>
        <v/>
      </c>
      <c r="U64" s="30" t="str">
        <f aca="true">IF(INDIRECT("office_form!A"&amp;ROW())="","","founder")</f>
        <v/>
      </c>
    </row>
    <row r="65" customFormat="false" ht="15" hidden="false" customHeight="false" outlineLevel="0" collapsed="false">
      <c r="A65" s="30" t="str">
        <f aca="true">IF(INDIRECT("office_form!A"&amp;ROW())="","",TEXT(INDIRECT("office_form!A"&amp;ROW()),"yyyy-mm-dd""T""hh:mm:ss"))</f>
        <v/>
      </c>
      <c r="B65" s="30" t="str">
        <f aca="true">IF(INDIRECT("office_form!A"&amp;ROW())="","",config!$B$36)</f>
        <v/>
      </c>
      <c r="C65" s="30" t="str">
        <f aca="true">IF(INDIRECT("office_form!A"&amp;ROW())="","",IF(INDIRECT("office_form!B"&amp;ROW())="","",INDIRECT("office_form!B"&amp;ROW())))</f>
        <v/>
      </c>
      <c r="D65" s="30" t="str">
        <f aca="true">IF(INDIRECT("office_form!A"&amp;ROW())="","",IF(INDIRECT("office_form!C"&amp;ROW())="","",INDIRECT("office_form!C"&amp;ROW())))</f>
        <v/>
      </c>
      <c r="E65" s="30" t="str">
        <f aca="true">IF(INDIRECT("office_form!A"&amp;ROW())="","",IF(INDIRECT("office_form!D"&amp;ROW())="","",INDIRECT("office_form!D"&amp;ROW())))</f>
        <v/>
      </c>
      <c r="F65" s="30" t="str">
        <f aca="true">IF(INDIRECT("office_form!A"&amp;ROW())="","",IF(INDIRECT("office_form!E"&amp;ROW())="","",INDIRECT("office_form!E"&amp;ROW())))</f>
        <v/>
      </c>
      <c r="G65" s="30" t="str">
        <f aca="true">IF(INDIRECT("office_form!A"&amp;ROW())="","",IF(INDIRECT("office_form!F"&amp;ROW())="","",INDIRECT("office_form!F"&amp;ROW())))</f>
        <v/>
      </c>
      <c r="H65" s="30" t="str">
        <f aca="true">IF(INDIRECT("office_form!A"&amp;ROW())="","",IF(INDIRECT("office_form!G"&amp;ROW())="","",INDIRECT("office_form!G"&amp;ROW())))</f>
        <v/>
      </c>
      <c r="I65" s="30" t="str">
        <f aca="true">IF(INDIRECT("office_form!A"&amp;ROW())="","",IF(INDIRECT("office_form!H"&amp;ROW())="","",INDIRECT("office_form!H"&amp;ROW())))</f>
        <v/>
      </c>
      <c r="J65" s="30" t="str">
        <f aca="true">IF(INDIRECT("office_form!A"&amp;ROW())="","",IF(INDIRECT("office_form!I"&amp;ROW())="","",INDIRECT("office_form!I"&amp;ROW())))</f>
        <v/>
      </c>
      <c r="K65" s="30" t="str">
        <f aca="true">IF(INDIRECT("office_form!A"&amp;ROW())="","",IF($M65="Y",$D65,IF(INDIRECT("office_form!K"&amp;ROW())="","",INDIRECT("office_form!K"&amp;ROW()))))</f>
        <v/>
      </c>
      <c r="L65" s="30" t="str">
        <f aca="true">IF(INDIRECT("office_form!A"&amp;ROW())="","",IF($M65="Y",$E65,IF(INDIRECT("office_form!L"&amp;ROW())="","",INDIRECT("office_form!L"&amp;ROW()))))</f>
        <v/>
      </c>
      <c r="M65" s="30" t="str">
        <f aca="true">IF(INDIRECT("office_form!A"&amp;ROW())="","",IF(IF(INDIRECT("office_form!J"&amp;ROW())="","",INDIRECT("office_form!J"&amp;ROW()))="Yes, me","Y",IF(IF(INDIRECT("office_form!J"&amp;ROW())="","",INDIRECT("office_form!J"&amp;ROW()))="Someone else","N","")))</f>
        <v/>
      </c>
      <c r="N6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30" t="str">
        <f aca="true">IF(INDIRECT("office_form!A"&amp;ROW())="","",IF(INDIRECT("office_form!N"&amp;ROW())="","",INDIRECT("office_form!N"&amp;ROW())))</f>
        <v/>
      </c>
      <c r="P65" s="30" t="str">
        <f aca="true">IF(INDIRECT("office_form!A"&amp;ROW())="","",IF(IF(INDIRECT("office_form!O"&amp;ROW())="","",INDIRECT("office_form!O"&amp;ROW()))="Yes","yes",IF(IF(INDIRECT("office_form!O"&amp;ROW())="","",INDIRECT("office_form!O"&amp;ROW()))="No","no",IF(IF(INDIRECT("office_form!O"&amp;ROW())="","",INDIRECT("office_form!O"&amp;ROW()))="Not sure","unsure",""))))</f>
        <v/>
      </c>
      <c r="Q65" s="30" t="str">
        <f aca="true">IF(INDIRECT("office_form!A"&amp;ROW())="","",IF(IF(INDIRECT("office_form!P"&amp;ROW())="","",INDIRECT("office_form!P"&amp;ROW()))="Slack","slack",IF(IF(INDIRECT("office_form!P"&amp;ROW())="","",INDIRECT("office_form!P"&amp;ROW()))="Email","email",IF(IF(INDIRECT("office_form!P"&amp;ROW())="","",INDIRECT("office_form!P"&amp;ROW()))="Other","other",""))))</f>
        <v/>
      </c>
      <c r="R6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30" t="str">
        <f aca="true">IF(INDIRECT("office_form!A"&amp;ROW())="","",IF(INDIRECT("office_form!R"&amp;ROW())="","",INDIRECT("office_form!R"&amp;ROW())))</f>
        <v/>
      </c>
      <c r="T65" s="30" t="str">
        <f aca="true">IF(INDIRECT("office_form!A"&amp;ROW())="","",IF(INDIRECT("office_form!S"&amp;ROW())="","",INDIRECT("office_form!S"&amp;ROW())))</f>
        <v/>
      </c>
      <c r="U65" s="30" t="str">
        <f aca="true">IF(INDIRECT("office_form!A"&amp;ROW())="","","founder")</f>
        <v/>
      </c>
    </row>
    <row r="66" customFormat="false" ht="15" hidden="false" customHeight="false" outlineLevel="0" collapsed="false">
      <c r="A66" s="30" t="str">
        <f aca="true">IF(INDIRECT("office_form!A"&amp;ROW())="","",TEXT(INDIRECT("office_form!A"&amp;ROW()),"yyyy-mm-dd""T""hh:mm:ss"))</f>
        <v/>
      </c>
      <c r="B66" s="30" t="str">
        <f aca="true">IF(INDIRECT("office_form!A"&amp;ROW())="","",config!$B$36)</f>
        <v/>
      </c>
      <c r="C66" s="30" t="str">
        <f aca="true">IF(INDIRECT("office_form!A"&amp;ROW())="","",IF(INDIRECT("office_form!B"&amp;ROW())="","",INDIRECT("office_form!B"&amp;ROW())))</f>
        <v/>
      </c>
      <c r="D66" s="30" t="str">
        <f aca="true">IF(INDIRECT("office_form!A"&amp;ROW())="","",IF(INDIRECT("office_form!C"&amp;ROW())="","",INDIRECT("office_form!C"&amp;ROW())))</f>
        <v/>
      </c>
      <c r="E66" s="30" t="str">
        <f aca="true">IF(INDIRECT("office_form!A"&amp;ROW())="","",IF(INDIRECT("office_form!D"&amp;ROW())="","",INDIRECT("office_form!D"&amp;ROW())))</f>
        <v/>
      </c>
      <c r="F66" s="30" t="str">
        <f aca="true">IF(INDIRECT("office_form!A"&amp;ROW())="","",IF(INDIRECT("office_form!E"&amp;ROW())="","",INDIRECT("office_form!E"&amp;ROW())))</f>
        <v/>
      </c>
      <c r="G66" s="30" t="str">
        <f aca="true">IF(INDIRECT("office_form!A"&amp;ROW())="","",IF(INDIRECT("office_form!F"&amp;ROW())="","",INDIRECT("office_form!F"&amp;ROW())))</f>
        <v/>
      </c>
      <c r="H66" s="30" t="str">
        <f aca="true">IF(INDIRECT("office_form!A"&amp;ROW())="","",IF(INDIRECT("office_form!G"&amp;ROW())="","",INDIRECT("office_form!G"&amp;ROW())))</f>
        <v/>
      </c>
      <c r="I66" s="30" t="str">
        <f aca="true">IF(INDIRECT("office_form!A"&amp;ROW())="","",IF(INDIRECT("office_form!H"&amp;ROW())="","",INDIRECT("office_form!H"&amp;ROW())))</f>
        <v/>
      </c>
      <c r="J66" s="30" t="str">
        <f aca="true">IF(INDIRECT("office_form!A"&amp;ROW())="","",IF(INDIRECT("office_form!I"&amp;ROW())="","",INDIRECT("office_form!I"&amp;ROW())))</f>
        <v/>
      </c>
      <c r="K66" s="30" t="str">
        <f aca="true">IF(INDIRECT("office_form!A"&amp;ROW())="","",IF($M66="Y",$D66,IF(INDIRECT("office_form!K"&amp;ROW())="","",INDIRECT("office_form!K"&amp;ROW()))))</f>
        <v/>
      </c>
      <c r="L66" s="30" t="str">
        <f aca="true">IF(INDIRECT("office_form!A"&amp;ROW())="","",IF($M66="Y",$E66,IF(INDIRECT("office_form!L"&amp;ROW())="","",INDIRECT("office_form!L"&amp;ROW()))))</f>
        <v/>
      </c>
      <c r="M66" s="30" t="str">
        <f aca="true">IF(INDIRECT("office_form!A"&amp;ROW())="","",IF(IF(INDIRECT("office_form!J"&amp;ROW())="","",INDIRECT("office_form!J"&amp;ROW()))="Yes, me","Y",IF(IF(INDIRECT("office_form!J"&amp;ROW())="","",INDIRECT("office_form!J"&amp;ROW()))="Someone else","N","")))</f>
        <v/>
      </c>
      <c r="N6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30" t="str">
        <f aca="true">IF(INDIRECT("office_form!A"&amp;ROW())="","",IF(INDIRECT("office_form!N"&amp;ROW())="","",INDIRECT("office_form!N"&amp;ROW())))</f>
        <v/>
      </c>
      <c r="P66" s="30" t="str">
        <f aca="true">IF(INDIRECT("office_form!A"&amp;ROW())="","",IF(IF(INDIRECT("office_form!O"&amp;ROW())="","",INDIRECT("office_form!O"&amp;ROW()))="Yes","yes",IF(IF(INDIRECT("office_form!O"&amp;ROW())="","",INDIRECT("office_form!O"&amp;ROW()))="No","no",IF(IF(INDIRECT("office_form!O"&amp;ROW())="","",INDIRECT("office_form!O"&amp;ROW()))="Not sure","unsure",""))))</f>
        <v/>
      </c>
      <c r="Q66" s="30" t="str">
        <f aca="true">IF(INDIRECT("office_form!A"&amp;ROW())="","",IF(IF(INDIRECT("office_form!P"&amp;ROW())="","",INDIRECT("office_form!P"&amp;ROW()))="Slack","slack",IF(IF(INDIRECT("office_form!P"&amp;ROW())="","",INDIRECT("office_form!P"&amp;ROW()))="Email","email",IF(IF(INDIRECT("office_form!P"&amp;ROW())="","",INDIRECT("office_form!P"&amp;ROW()))="Other","other",""))))</f>
        <v/>
      </c>
      <c r="R6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30" t="str">
        <f aca="true">IF(INDIRECT("office_form!A"&amp;ROW())="","",IF(INDIRECT("office_form!R"&amp;ROW())="","",INDIRECT("office_form!R"&amp;ROW())))</f>
        <v/>
      </c>
      <c r="T66" s="30" t="str">
        <f aca="true">IF(INDIRECT("office_form!A"&amp;ROW())="","",IF(INDIRECT("office_form!S"&amp;ROW())="","",INDIRECT("office_form!S"&amp;ROW())))</f>
        <v/>
      </c>
      <c r="U66" s="30" t="str">
        <f aca="true">IF(INDIRECT("office_form!A"&amp;ROW())="","","founder")</f>
        <v/>
      </c>
    </row>
    <row r="67" customFormat="false" ht="15" hidden="false" customHeight="false" outlineLevel="0" collapsed="false">
      <c r="A67" s="30" t="str">
        <f aca="true">IF(INDIRECT("office_form!A"&amp;ROW())="","",TEXT(INDIRECT("office_form!A"&amp;ROW()),"yyyy-mm-dd""T""hh:mm:ss"))</f>
        <v/>
      </c>
      <c r="B67" s="30" t="str">
        <f aca="true">IF(INDIRECT("office_form!A"&amp;ROW())="","",config!$B$36)</f>
        <v/>
      </c>
      <c r="C67" s="30" t="str">
        <f aca="true">IF(INDIRECT("office_form!A"&amp;ROW())="","",IF(INDIRECT("office_form!B"&amp;ROW())="","",INDIRECT("office_form!B"&amp;ROW())))</f>
        <v/>
      </c>
      <c r="D67" s="30" t="str">
        <f aca="true">IF(INDIRECT("office_form!A"&amp;ROW())="","",IF(INDIRECT("office_form!C"&amp;ROW())="","",INDIRECT("office_form!C"&amp;ROW())))</f>
        <v/>
      </c>
      <c r="E67" s="30" t="str">
        <f aca="true">IF(INDIRECT("office_form!A"&amp;ROW())="","",IF(INDIRECT("office_form!D"&amp;ROW())="","",INDIRECT("office_form!D"&amp;ROW())))</f>
        <v/>
      </c>
      <c r="F67" s="30" t="str">
        <f aca="true">IF(INDIRECT("office_form!A"&amp;ROW())="","",IF(INDIRECT("office_form!E"&amp;ROW())="","",INDIRECT("office_form!E"&amp;ROW())))</f>
        <v/>
      </c>
      <c r="G67" s="30" t="str">
        <f aca="true">IF(INDIRECT("office_form!A"&amp;ROW())="","",IF(INDIRECT("office_form!F"&amp;ROW())="","",INDIRECT("office_form!F"&amp;ROW())))</f>
        <v/>
      </c>
      <c r="H67" s="30" t="str">
        <f aca="true">IF(INDIRECT("office_form!A"&amp;ROW())="","",IF(INDIRECT("office_form!G"&amp;ROW())="","",INDIRECT("office_form!G"&amp;ROW())))</f>
        <v/>
      </c>
      <c r="I67" s="30" t="str">
        <f aca="true">IF(INDIRECT("office_form!A"&amp;ROW())="","",IF(INDIRECT("office_form!H"&amp;ROW())="","",INDIRECT("office_form!H"&amp;ROW())))</f>
        <v/>
      </c>
      <c r="J67" s="30" t="str">
        <f aca="true">IF(INDIRECT("office_form!A"&amp;ROW())="","",IF(INDIRECT("office_form!I"&amp;ROW())="","",INDIRECT("office_form!I"&amp;ROW())))</f>
        <v/>
      </c>
      <c r="K67" s="30" t="str">
        <f aca="true">IF(INDIRECT("office_form!A"&amp;ROW())="","",IF($M67="Y",$D67,IF(INDIRECT("office_form!K"&amp;ROW())="","",INDIRECT("office_form!K"&amp;ROW()))))</f>
        <v/>
      </c>
      <c r="L67" s="30" t="str">
        <f aca="true">IF(INDIRECT("office_form!A"&amp;ROW())="","",IF($M67="Y",$E67,IF(INDIRECT("office_form!L"&amp;ROW())="","",INDIRECT("office_form!L"&amp;ROW()))))</f>
        <v/>
      </c>
      <c r="M67" s="30" t="str">
        <f aca="true">IF(INDIRECT("office_form!A"&amp;ROW())="","",IF(IF(INDIRECT("office_form!J"&amp;ROW())="","",INDIRECT("office_form!J"&amp;ROW()))="Yes, me","Y",IF(IF(INDIRECT("office_form!J"&amp;ROW())="","",INDIRECT("office_form!J"&amp;ROW()))="Someone else","N","")))</f>
        <v/>
      </c>
      <c r="N6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30" t="str">
        <f aca="true">IF(INDIRECT("office_form!A"&amp;ROW())="","",IF(INDIRECT("office_form!N"&amp;ROW())="","",INDIRECT("office_form!N"&amp;ROW())))</f>
        <v/>
      </c>
      <c r="P67" s="30" t="str">
        <f aca="true">IF(INDIRECT("office_form!A"&amp;ROW())="","",IF(IF(INDIRECT("office_form!O"&amp;ROW())="","",INDIRECT("office_form!O"&amp;ROW()))="Yes","yes",IF(IF(INDIRECT("office_form!O"&amp;ROW())="","",INDIRECT("office_form!O"&amp;ROW()))="No","no",IF(IF(INDIRECT("office_form!O"&amp;ROW())="","",INDIRECT("office_form!O"&amp;ROW()))="Not sure","unsure",""))))</f>
        <v/>
      </c>
      <c r="Q67" s="30" t="str">
        <f aca="true">IF(INDIRECT("office_form!A"&amp;ROW())="","",IF(IF(INDIRECT("office_form!P"&amp;ROW())="","",INDIRECT("office_form!P"&amp;ROW()))="Slack","slack",IF(IF(INDIRECT("office_form!P"&amp;ROW())="","",INDIRECT("office_form!P"&amp;ROW()))="Email","email",IF(IF(INDIRECT("office_form!P"&amp;ROW())="","",INDIRECT("office_form!P"&amp;ROW()))="Other","other",""))))</f>
        <v/>
      </c>
      <c r="R6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30" t="str">
        <f aca="true">IF(INDIRECT("office_form!A"&amp;ROW())="","",IF(INDIRECT("office_form!R"&amp;ROW())="","",INDIRECT("office_form!R"&amp;ROW())))</f>
        <v/>
      </c>
      <c r="T67" s="30" t="str">
        <f aca="true">IF(INDIRECT("office_form!A"&amp;ROW())="","",IF(INDIRECT("office_form!S"&amp;ROW())="","",INDIRECT("office_form!S"&amp;ROW())))</f>
        <v/>
      </c>
      <c r="U67" s="30" t="str">
        <f aca="true">IF(INDIRECT("office_form!A"&amp;ROW())="","","founder")</f>
        <v/>
      </c>
    </row>
    <row r="68" customFormat="false" ht="15" hidden="false" customHeight="false" outlineLevel="0" collapsed="false">
      <c r="A68" s="30" t="str">
        <f aca="true">IF(INDIRECT("office_form!A"&amp;ROW())="","",TEXT(INDIRECT("office_form!A"&amp;ROW()),"yyyy-mm-dd""T""hh:mm:ss"))</f>
        <v/>
      </c>
      <c r="B68" s="30" t="str">
        <f aca="true">IF(INDIRECT("office_form!A"&amp;ROW())="","",config!$B$36)</f>
        <v/>
      </c>
      <c r="C68" s="30" t="str">
        <f aca="true">IF(INDIRECT("office_form!A"&amp;ROW())="","",IF(INDIRECT("office_form!B"&amp;ROW())="","",INDIRECT("office_form!B"&amp;ROW())))</f>
        <v/>
      </c>
      <c r="D68" s="30" t="str">
        <f aca="true">IF(INDIRECT("office_form!A"&amp;ROW())="","",IF(INDIRECT("office_form!C"&amp;ROW())="","",INDIRECT("office_form!C"&amp;ROW())))</f>
        <v/>
      </c>
      <c r="E68" s="30" t="str">
        <f aca="true">IF(INDIRECT("office_form!A"&amp;ROW())="","",IF(INDIRECT("office_form!D"&amp;ROW())="","",INDIRECT("office_form!D"&amp;ROW())))</f>
        <v/>
      </c>
      <c r="F68" s="30" t="str">
        <f aca="true">IF(INDIRECT("office_form!A"&amp;ROW())="","",IF(INDIRECT("office_form!E"&amp;ROW())="","",INDIRECT("office_form!E"&amp;ROW())))</f>
        <v/>
      </c>
      <c r="G68" s="30" t="str">
        <f aca="true">IF(INDIRECT("office_form!A"&amp;ROW())="","",IF(INDIRECT("office_form!F"&amp;ROW())="","",INDIRECT("office_form!F"&amp;ROW())))</f>
        <v/>
      </c>
      <c r="H68" s="30" t="str">
        <f aca="true">IF(INDIRECT("office_form!A"&amp;ROW())="","",IF(INDIRECT("office_form!G"&amp;ROW())="","",INDIRECT("office_form!G"&amp;ROW())))</f>
        <v/>
      </c>
      <c r="I68" s="30" t="str">
        <f aca="true">IF(INDIRECT("office_form!A"&amp;ROW())="","",IF(INDIRECT("office_form!H"&amp;ROW())="","",INDIRECT("office_form!H"&amp;ROW())))</f>
        <v/>
      </c>
      <c r="J68" s="30" t="str">
        <f aca="true">IF(INDIRECT("office_form!A"&amp;ROW())="","",IF(INDIRECT("office_form!I"&amp;ROW())="","",INDIRECT("office_form!I"&amp;ROW())))</f>
        <v/>
      </c>
      <c r="K68" s="30" t="str">
        <f aca="true">IF(INDIRECT("office_form!A"&amp;ROW())="","",IF($M68="Y",$D68,IF(INDIRECT("office_form!K"&amp;ROW())="","",INDIRECT("office_form!K"&amp;ROW()))))</f>
        <v/>
      </c>
      <c r="L68" s="30" t="str">
        <f aca="true">IF(INDIRECT("office_form!A"&amp;ROW())="","",IF($M68="Y",$E68,IF(INDIRECT("office_form!L"&amp;ROW())="","",INDIRECT("office_form!L"&amp;ROW()))))</f>
        <v/>
      </c>
      <c r="M68" s="30" t="str">
        <f aca="true">IF(INDIRECT("office_form!A"&amp;ROW())="","",IF(IF(INDIRECT("office_form!J"&amp;ROW())="","",INDIRECT("office_form!J"&amp;ROW()))="Yes, me","Y",IF(IF(INDIRECT("office_form!J"&amp;ROW())="","",INDIRECT("office_form!J"&amp;ROW()))="Someone else","N","")))</f>
        <v/>
      </c>
      <c r="N6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30" t="str">
        <f aca="true">IF(INDIRECT("office_form!A"&amp;ROW())="","",IF(INDIRECT("office_form!N"&amp;ROW())="","",INDIRECT("office_form!N"&amp;ROW())))</f>
        <v/>
      </c>
      <c r="P68" s="30" t="str">
        <f aca="true">IF(INDIRECT("office_form!A"&amp;ROW())="","",IF(IF(INDIRECT("office_form!O"&amp;ROW())="","",INDIRECT("office_form!O"&amp;ROW()))="Yes","yes",IF(IF(INDIRECT("office_form!O"&amp;ROW())="","",INDIRECT("office_form!O"&amp;ROW()))="No","no",IF(IF(INDIRECT("office_form!O"&amp;ROW())="","",INDIRECT("office_form!O"&amp;ROW()))="Not sure","unsure",""))))</f>
        <v/>
      </c>
      <c r="Q68" s="30" t="str">
        <f aca="true">IF(INDIRECT("office_form!A"&amp;ROW())="","",IF(IF(INDIRECT("office_form!P"&amp;ROW())="","",INDIRECT("office_form!P"&amp;ROW()))="Slack","slack",IF(IF(INDIRECT("office_form!P"&amp;ROW())="","",INDIRECT("office_form!P"&amp;ROW()))="Email","email",IF(IF(INDIRECT("office_form!P"&amp;ROW())="","",INDIRECT("office_form!P"&amp;ROW()))="Other","other",""))))</f>
        <v/>
      </c>
      <c r="R6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30" t="str">
        <f aca="true">IF(INDIRECT("office_form!A"&amp;ROW())="","",IF(INDIRECT("office_form!R"&amp;ROW())="","",INDIRECT("office_form!R"&amp;ROW())))</f>
        <v/>
      </c>
      <c r="T68" s="30" t="str">
        <f aca="true">IF(INDIRECT("office_form!A"&amp;ROW())="","",IF(INDIRECT("office_form!S"&amp;ROW())="","",INDIRECT("office_form!S"&amp;ROW())))</f>
        <v/>
      </c>
      <c r="U68" s="30" t="str">
        <f aca="true">IF(INDIRECT("office_form!A"&amp;ROW())="","","founder")</f>
        <v/>
      </c>
    </row>
    <row r="69" customFormat="false" ht="15" hidden="false" customHeight="false" outlineLevel="0" collapsed="false">
      <c r="A69" s="30" t="str">
        <f aca="true">IF(INDIRECT("office_form!A"&amp;ROW())="","",TEXT(INDIRECT("office_form!A"&amp;ROW()),"yyyy-mm-dd""T""hh:mm:ss"))</f>
        <v/>
      </c>
      <c r="B69" s="30" t="str">
        <f aca="true">IF(INDIRECT("office_form!A"&amp;ROW())="","",config!$B$36)</f>
        <v/>
      </c>
      <c r="C69" s="30" t="str">
        <f aca="true">IF(INDIRECT("office_form!A"&amp;ROW())="","",IF(INDIRECT("office_form!B"&amp;ROW())="","",INDIRECT("office_form!B"&amp;ROW())))</f>
        <v/>
      </c>
      <c r="D69" s="30" t="str">
        <f aca="true">IF(INDIRECT("office_form!A"&amp;ROW())="","",IF(INDIRECT("office_form!C"&amp;ROW())="","",INDIRECT("office_form!C"&amp;ROW())))</f>
        <v/>
      </c>
      <c r="E69" s="30" t="str">
        <f aca="true">IF(INDIRECT("office_form!A"&amp;ROW())="","",IF(INDIRECT("office_form!D"&amp;ROW())="","",INDIRECT("office_form!D"&amp;ROW())))</f>
        <v/>
      </c>
      <c r="F69" s="30" t="str">
        <f aca="true">IF(INDIRECT("office_form!A"&amp;ROW())="","",IF(INDIRECT("office_form!E"&amp;ROW())="","",INDIRECT("office_form!E"&amp;ROW())))</f>
        <v/>
      </c>
      <c r="G69" s="30" t="str">
        <f aca="true">IF(INDIRECT("office_form!A"&amp;ROW())="","",IF(INDIRECT("office_form!F"&amp;ROW())="","",INDIRECT("office_form!F"&amp;ROW())))</f>
        <v/>
      </c>
      <c r="H69" s="30" t="str">
        <f aca="true">IF(INDIRECT("office_form!A"&amp;ROW())="","",IF(INDIRECT("office_form!G"&amp;ROW())="","",INDIRECT("office_form!G"&amp;ROW())))</f>
        <v/>
      </c>
      <c r="I69" s="30" t="str">
        <f aca="true">IF(INDIRECT("office_form!A"&amp;ROW())="","",IF(INDIRECT("office_form!H"&amp;ROW())="","",INDIRECT("office_form!H"&amp;ROW())))</f>
        <v/>
      </c>
      <c r="J69" s="30" t="str">
        <f aca="true">IF(INDIRECT("office_form!A"&amp;ROW())="","",IF(INDIRECT("office_form!I"&amp;ROW())="","",INDIRECT("office_form!I"&amp;ROW())))</f>
        <v/>
      </c>
      <c r="K69" s="30" t="str">
        <f aca="true">IF(INDIRECT("office_form!A"&amp;ROW())="","",IF($M69="Y",$D69,IF(INDIRECT("office_form!K"&amp;ROW())="","",INDIRECT("office_form!K"&amp;ROW()))))</f>
        <v/>
      </c>
      <c r="L69" s="30" t="str">
        <f aca="true">IF(INDIRECT("office_form!A"&amp;ROW())="","",IF($M69="Y",$E69,IF(INDIRECT("office_form!L"&amp;ROW())="","",INDIRECT("office_form!L"&amp;ROW()))))</f>
        <v/>
      </c>
      <c r="M69" s="30" t="str">
        <f aca="true">IF(INDIRECT("office_form!A"&amp;ROW())="","",IF(IF(INDIRECT("office_form!J"&amp;ROW())="","",INDIRECT("office_form!J"&amp;ROW()))="Yes, me","Y",IF(IF(INDIRECT("office_form!J"&amp;ROW())="","",INDIRECT("office_form!J"&amp;ROW()))="Someone else","N","")))</f>
        <v/>
      </c>
      <c r="N6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30" t="str">
        <f aca="true">IF(INDIRECT("office_form!A"&amp;ROW())="","",IF(INDIRECT("office_form!N"&amp;ROW())="","",INDIRECT("office_form!N"&amp;ROW())))</f>
        <v/>
      </c>
      <c r="P69" s="30" t="str">
        <f aca="true">IF(INDIRECT("office_form!A"&amp;ROW())="","",IF(IF(INDIRECT("office_form!O"&amp;ROW())="","",INDIRECT("office_form!O"&amp;ROW()))="Yes","yes",IF(IF(INDIRECT("office_form!O"&amp;ROW())="","",INDIRECT("office_form!O"&amp;ROW()))="No","no",IF(IF(INDIRECT("office_form!O"&amp;ROW())="","",INDIRECT("office_form!O"&amp;ROW()))="Not sure","unsure",""))))</f>
        <v/>
      </c>
      <c r="Q69" s="30" t="str">
        <f aca="true">IF(INDIRECT("office_form!A"&amp;ROW())="","",IF(IF(INDIRECT("office_form!P"&amp;ROW())="","",INDIRECT("office_form!P"&amp;ROW()))="Slack","slack",IF(IF(INDIRECT("office_form!P"&amp;ROW())="","",INDIRECT("office_form!P"&amp;ROW()))="Email","email",IF(IF(INDIRECT("office_form!P"&amp;ROW())="","",INDIRECT("office_form!P"&amp;ROW()))="Other","other",""))))</f>
        <v/>
      </c>
      <c r="R6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30" t="str">
        <f aca="true">IF(INDIRECT("office_form!A"&amp;ROW())="","",IF(INDIRECT("office_form!R"&amp;ROW())="","",INDIRECT("office_form!R"&amp;ROW())))</f>
        <v/>
      </c>
      <c r="T69" s="30" t="str">
        <f aca="true">IF(INDIRECT("office_form!A"&amp;ROW())="","",IF(INDIRECT("office_form!S"&amp;ROW())="","",INDIRECT("office_form!S"&amp;ROW())))</f>
        <v/>
      </c>
      <c r="U69" s="30" t="str">
        <f aca="true">IF(INDIRECT("office_form!A"&amp;ROW())="","","founder")</f>
        <v/>
      </c>
    </row>
    <row r="70" customFormat="false" ht="15" hidden="false" customHeight="false" outlineLevel="0" collapsed="false">
      <c r="A70" s="30" t="str">
        <f aca="true">IF(INDIRECT("office_form!A"&amp;ROW())="","",TEXT(INDIRECT("office_form!A"&amp;ROW()),"yyyy-mm-dd""T""hh:mm:ss"))</f>
        <v/>
      </c>
      <c r="B70" s="30" t="str">
        <f aca="true">IF(INDIRECT("office_form!A"&amp;ROW())="","",config!$B$36)</f>
        <v/>
      </c>
      <c r="C70" s="30" t="str">
        <f aca="true">IF(INDIRECT("office_form!A"&amp;ROW())="","",IF(INDIRECT("office_form!B"&amp;ROW())="","",INDIRECT("office_form!B"&amp;ROW())))</f>
        <v/>
      </c>
      <c r="D70" s="30" t="str">
        <f aca="true">IF(INDIRECT("office_form!A"&amp;ROW())="","",IF(INDIRECT("office_form!C"&amp;ROW())="","",INDIRECT("office_form!C"&amp;ROW())))</f>
        <v/>
      </c>
      <c r="E70" s="30" t="str">
        <f aca="true">IF(INDIRECT("office_form!A"&amp;ROW())="","",IF(INDIRECT("office_form!D"&amp;ROW())="","",INDIRECT("office_form!D"&amp;ROW())))</f>
        <v/>
      </c>
      <c r="F70" s="30" t="str">
        <f aca="true">IF(INDIRECT("office_form!A"&amp;ROW())="","",IF(INDIRECT("office_form!E"&amp;ROW())="","",INDIRECT("office_form!E"&amp;ROW())))</f>
        <v/>
      </c>
      <c r="G70" s="30" t="str">
        <f aca="true">IF(INDIRECT("office_form!A"&amp;ROW())="","",IF(INDIRECT("office_form!F"&amp;ROW())="","",INDIRECT("office_form!F"&amp;ROW())))</f>
        <v/>
      </c>
      <c r="H70" s="30" t="str">
        <f aca="true">IF(INDIRECT("office_form!A"&amp;ROW())="","",IF(INDIRECT("office_form!G"&amp;ROW())="","",INDIRECT("office_form!G"&amp;ROW())))</f>
        <v/>
      </c>
      <c r="I70" s="30" t="str">
        <f aca="true">IF(INDIRECT("office_form!A"&amp;ROW())="","",IF(INDIRECT("office_form!H"&amp;ROW())="","",INDIRECT("office_form!H"&amp;ROW())))</f>
        <v/>
      </c>
      <c r="J70" s="30" t="str">
        <f aca="true">IF(INDIRECT("office_form!A"&amp;ROW())="","",IF(INDIRECT("office_form!I"&amp;ROW())="","",INDIRECT("office_form!I"&amp;ROW())))</f>
        <v/>
      </c>
      <c r="K70" s="30" t="str">
        <f aca="true">IF(INDIRECT("office_form!A"&amp;ROW())="","",IF($M70="Y",$D70,IF(INDIRECT("office_form!K"&amp;ROW())="","",INDIRECT("office_form!K"&amp;ROW()))))</f>
        <v/>
      </c>
      <c r="L70" s="30" t="str">
        <f aca="true">IF(INDIRECT("office_form!A"&amp;ROW())="","",IF($M70="Y",$E70,IF(INDIRECT("office_form!L"&amp;ROW())="","",INDIRECT("office_form!L"&amp;ROW()))))</f>
        <v/>
      </c>
      <c r="M70" s="30" t="str">
        <f aca="true">IF(INDIRECT("office_form!A"&amp;ROW())="","",IF(IF(INDIRECT("office_form!J"&amp;ROW())="","",INDIRECT("office_form!J"&amp;ROW()))="Yes, me","Y",IF(IF(INDIRECT("office_form!J"&amp;ROW())="","",INDIRECT("office_form!J"&amp;ROW()))="Someone else","N","")))</f>
        <v/>
      </c>
      <c r="N7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30" t="str">
        <f aca="true">IF(INDIRECT("office_form!A"&amp;ROW())="","",IF(INDIRECT("office_form!N"&amp;ROW())="","",INDIRECT("office_form!N"&amp;ROW())))</f>
        <v/>
      </c>
      <c r="P70" s="30" t="str">
        <f aca="true">IF(INDIRECT("office_form!A"&amp;ROW())="","",IF(IF(INDIRECT("office_form!O"&amp;ROW())="","",INDIRECT("office_form!O"&amp;ROW()))="Yes","yes",IF(IF(INDIRECT("office_form!O"&amp;ROW())="","",INDIRECT("office_form!O"&amp;ROW()))="No","no",IF(IF(INDIRECT("office_form!O"&amp;ROW())="","",INDIRECT("office_form!O"&amp;ROW()))="Not sure","unsure",""))))</f>
        <v/>
      </c>
      <c r="Q70" s="30" t="str">
        <f aca="true">IF(INDIRECT("office_form!A"&amp;ROW())="","",IF(IF(INDIRECT("office_form!P"&amp;ROW())="","",INDIRECT("office_form!P"&amp;ROW()))="Slack","slack",IF(IF(INDIRECT("office_form!P"&amp;ROW())="","",INDIRECT("office_form!P"&amp;ROW()))="Email","email",IF(IF(INDIRECT("office_form!P"&amp;ROW())="","",INDIRECT("office_form!P"&amp;ROW()))="Other","other",""))))</f>
        <v/>
      </c>
      <c r="R7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30" t="str">
        <f aca="true">IF(INDIRECT("office_form!A"&amp;ROW())="","",IF(INDIRECT("office_form!R"&amp;ROW())="","",INDIRECT("office_form!R"&amp;ROW())))</f>
        <v/>
      </c>
      <c r="T70" s="30" t="str">
        <f aca="true">IF(INDIRECT("office_form!A"&amp;ROW())="","",IF(INDIRECT("office_form!S"&amp;ROW())="","",INDIRECT("office_form!S"&amp;ROW())))</f>
        <v/>
      </c>
      <c r="U70" s="30" t="str">
        <f aca="true">IF(INDIRECT("office_form!A"&amp;ROW())="","","founder")</f>
        <v/>
      </c>
    </row>
    <row r="71" customFormat="false" ht="15" hidden="false" customHeight="false" outlineLevel="0" collapsed="false">
      <c r="A71" s="30" t="str">
        <f aca="true">IF(INDIRECT("office_form!A"&amp;ROW())="","",TEXT(INDIRECT("office_form!A"&amp;ROW()),"yyyy-mm-dd""T""hh:mm:ss"))</f>
        <v/>
      </c>
      <c r="B71" s="30" t="str">
        <f aca="true">IF(INDIRECT("office_form!A"&amp;ROW())="","",config!$B$36)</f>
        <v/>
      </c>
      <c r="C71" s="30" t="str">
        <f aca="true">IF(INDIRECT("office_form!A"&amp;ROW())="","",IF(INDIRECT("office_form!B"&amp;ROW())="","",INDIRECT("office_form!B"&amp;ROW())))</f>
        <v/>
      </c>
      <c r="D71" s="30" t="str">
        <f aca="true">IF(INDIRECT("office_form!A"&amp;ROW())="","",IF(INDIRECT("office_form!C"&amp;ROW())="","",INDIRECT("office_form!C"&amp;ROW())))</f>
        <v/>
      </c>
      <c r="E71" s="30" t="str">
        <f aca="true">IF(INDIRECT("office_form!A"&amp;ROW())="","",IF(INDIRECT("office_form!D"&amp;ROW())="","",INDIRECT("office_form!D"&amp;ROW())))</f>
        <v/>
      </c>
      <c r="F71" s="30" t="str">
        <f aca="true">IF(INDIRECT("office_form!A"&amp;ROW())="","",IF(INDIRECT("office_form!E"&amp;ROW())="","",INDIRECT("office_form!E"&amp;ROW())))</f>
        <v/>
      </c>
      <c r="G71" s="30" t="str">
        <f aca="true">IF(INDIRECT("office_form!A"&amp;ROW())="","",IF(INDIRECT("office_form!F"&amp;ROW())="","",INDIRECT("office_form!F"&amp;ROW())))</f>
        <v/>
      </c>
      <c r="H71" s="30" t="str">
        <f aca="true">IF(INDIRECT("office_form!A"&amp;ROW())="","",IF(INDIRECT("office_form!G"&amp;ROW())="","",INDIRECT("office_form!G"&amp;ROW())))</f>
        <v/>
      </c>
      <c r="I71" s="30" t="str">
        <f aca="true">IF(INDIRECT("office_form!A"&amp;ROW())="","",IF(INDIRECT("office_form!H"&amp;ROW())="","",INDIRECT("office_form!H"&amp;ROW())))</f>
        <v/>
      </c>
      <c r="J71" s="30" t="str">
        <f aca="true">IF(INDIRECT("office_form!A"&amp;ROW())="","",IF(INDIRECT("office_form!I"&amp;ROW())="","",INDIRECT("office_form!I"&amp;ROW())))</f>
        <v/>
      </c>
      <c r="K71" s="30" t="str">
        <f aca="true">IF(INDIRECT("office_form!A"&amp;ROW())="","",IF($M71="Y",$D71,IF(INDIRECT("office_form!K"&amp;ROW())="","",INDIRECT("office_form!K"&amp;ROW()))))</f>
        <v/>
      </c>
      <c r="L71" s="30" t="str">
        <f aca="true">IF(INDIRECT("office_form!A"&amp;ROW())="","",IF($M71="Y",$E71,IF(INDIRECT("office_form!L"&amp;ROW())="","",INDIRECT("office_form!L"&amp;ROW()))))</f>
        <v/>
      </c>
      <c r="M71" s="30" t="str">
        <f aca="true">IF(INDIRECT("office_form!A"&amp;ROW())="","",IF(IF(INDIRECT("office_form!J"&amp;ROW())="","",INDIRECT("office_form!J"&amp;ROW()))="Yes, me","Y",IF(IF(INDIRECT("office_form!J"&amp;ROW())="","",INDIRECT("office_form!J"&amp;ROW()))="Someone else","N","")))</f>
        <v/>
      </c>
      <c r="N7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30" t="str">
        <f aca="true">IF(INDIRECT("office_form!A"&amp;ROW())="","",IF(INDIRECT("office_form!N"&amp;ROW())="","",INDIRECT("office_form!N"&amp;ROW())))</f>
        <v/>
      </c>
      <c r="P71" s="30" t="str">
        <f aca="true">IF(INDIRECT("office_form!A"&amp;ROW())="","",IF(IF(INDIRECT("office_form!O"&amp;ROW())="","",INDIRECT("office_form!O"&amp;ROW()))="Yes","yes",IF(IF(INDIRECT("office_form!O"&amp;ROW())="","",INDIRECT("office_form!O"&amp;ROW()))="No","no",IF(IF(INDIRECT("office_form!O"&amp;ROW())="","",INDIRECT("office_form!O"&amp;ROW()))="Not sure","unsure",""))))</f>
        <v/>
      </c>
      <c r="Q71" s="30" t="str">
        <f aca="true">IF(INDIRECT("office_form!A"&amp;ROW())="","",IF(IF(INDIRECT("office_form!P"&amp;ROW())="","",INDIRECT("office_form!P"&amp;ROW()))="Slack","slack",IF(IF(INDIRECT("office_form!P"&amp;ROW())="","",INDIRECT("office_form!P"&amp;ROW()))="Email","email",IF(IF(INDIRECT("office_form!P"&amp;ROW())="","",INDIRECT("office_form!P"&amp;ROW()))="Other","other",""))))</f>
        <v/>
      </c>
      <c r="R7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30" t="str">
        <f aca="true">IF(INDIRECT("office_form!A"&amp;ROW())="","",IF(INDIRECT("office_form!R"&amp;ROW())="","",INDIRECT("office_form!R"&amp;ROW())))</f>
        <v/>
      </c>
      <c r="T71" s="30" t="str">
        <f aca="true">IF(INDIRECT("office_form!A"&amp;ROW())="","",IF(INDIRECT("office_form!S"&amp;ROW())="","",INDIRECT("office_form!S"&amp;ROW())))</f>
        <v/>
      </c>
      <c r="U71" s="30" t="str">
        <f aca="true">IF(INDIRECT("office_form!A"&amp;ROW())="","","founder")</f>
        <v/>
      </c>
    </row>
    <row r="72" customFormat="false" ht="15" hidden="false" customHeight="false" outlineLevel="0" collapsed="false">
      <c r="A72" s="30" t="str">
        <f aca="true">IF(INDIRECT("office_form!A"&amp;ROW())="","",TEXT(INDIRECT("office_form!A"&amp;ROW()),"yyyy-mm-dd""T""hh:mm:ss"))</f>
        <v/>
      </c>
      <c r="B72" s="30" t="str">
        <f aca="true">IF(INDIRECT("office_form!A"&amp;ROW())="","",config!$B$36)</f>
        <v/>
      </c>
      <c r="C72" s="30" t="str">
        <f aca="true">IF(INDIRECT("office_form!A"&amp;ROW())="","",IF(INDIRECT("office_form!B"&amp;ROW())="","",INDIRECT("office_form!B"&amp;ROW())))</f>
        <v/>
      </c>
      <c r="D72" s="30" t="str">
        <f aca="true">IF(INDIRECT("office_form!A"&amp;ROW())="","",IF(INDIRECT("office_form!C"&amp;ROW())="","",INDIRECT("office_form!C"&amp;ROW())))</f>
        <v/>
      </c>
      <c r="E72" s="30" t="str">
        <f aca="true">IF(INDIRECT("office_form!A"&amp;ROW())="","",IF(INDIRECT("office_form!D"&amp;ROW())="","",INDIRECT("office_form!D"&amp;ROW())))</f>
        <v/>
      </c>
      <c r="F72" s="30" t="str">
        <f aca="true">IF(INDIRECT("office_form!A"&amp;ROW())="","",IF(INDIRECT("office_form!E"&amp;ROW())="","",INDIRECT("office_form!E"&amp;ROW())))</f>
        <v/>
      </c>
      <c r="G72" s="30" t="str">
        <f aca="true">IF(INDIRECT("office_form!A"&amp;ROW())="","",IF(INDIRECT("office_form!F"&amp;ROW())="","",INDIRECT("office_form!F"&amp;ROW())))</f>
        <v/>
      </c>
      <c r="H72" s="30" t="str">
        <f aca="true">IF(INDIRECT("office_form!A"&amp;ROW())="","",IF(INDIRECT("office_form!G"&amp;ROW())="","",INDIRECT("office_form!G"&amp;ROW())))</f>
        <v/>
      </c>
      <c r="I72" s="30" t="str">
        <f aca="true">IF(INDIRECT("office_form!A"&amp;ROW())="","",IF(INDIRECT("office_form!H"&amp;ROW())="","",INDIRECT("office_form!H"&amp;ROW())))</f>
        <v/>
      </c>
      <c r="J72" s="30" t="str">
        <f aca="true">IF(INDIRECT("office_form!A"&amp;ROW())="","",IF(INDIRECT("office_form!I"&amp;ROW())="","",INDIRECT("office_form!I"&amp;ROW())))</f>
        <v/>
      </c>
      <c r="K72" s="30" t="str">
        <f aca="true">IF(INDIRECT("office_form!A"&amp;ROW())="","",IF($M72="Y",$D72,IF(INDIRECT("office_form!K"&amp;ROW())="","",INDIRECT("office_form!K"&amp;ROW()))))</f>
        <v/>
      </c>
      <c r="L72" s="30" t="str">
        <f aca="true">IF(INDIRECT("office_form!A"&amp;ROW())="","",IF($M72="Y",$E72,IF(INDIRECT("office_form!L"&amp;ROW())="","",INDIRECT("office_form!L"&amp;ROW()))))</f>
        <v/>
      </c>
      <c r="M72" s="30" t="str">
        <f aca="true">IF(INDIRECT("office_form!A"&amp;ROW())="","",IF(IF(INDIRECT("office_form!J"&amp;ROW())="","",INDIRECT("office_form!J"&amp;ROW()))="Yes, me","Y",IF(IF(INDIRECT("office_form!J"&amp;ROW())="","",INDIRECT("office_form!J"&amp;ROW()))="Someone else","N","")))</f>
        <v/>
      </c>
      <c r="N72"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30" t="str">
        <f aca="true">IF(INDIRECT("office_form!A"&amp;ROW())="","",IF(INDIRECT("office_form!N"&amp;ROW())="","",INDIRECT("office_form!N"&amp;ROW())))</f>
        <v/>
      </c>
      <c r="P72" s="30" t="str">
        <f aca="true">IF(INDIRECT("office_form!A"&amp;ROW())="","",IF(IF(INDIRECT("office_form!O"&amp;ROW())="","",INDIRECT("office_form!O"&amp;ROW()))="Yes","yes",IF(IF(INDIRECT("office_form!O"&amp;ROW())="","",INDIRECT("office_form!O"&amp;ROW()))="No","no",IF(IF(INDIRECT("office_form!O"&amp;ROW())="","",INDIRECT("office_form!O"&amp;ROW()))="Not sure","unsure",""))))</f>
        <v/>
      </c>
      <c r="Q72" s="30" t="str">
        <f aca="true">IF(INDIRECT("office_form!A"&amp;ROW())="","",IF(IF(INDIRECT("office_form!P"&amp;ROW())="","",INDIRECT("office_form!P"&amp;ROW()))="Slack","slack",IF(IF(INDIRECT("office_form!P"&amp;ROW())="","",INDIRECT("office_form!P"&amp;ROW()))="Email","email",IF(IF(INDIRECT("office_form!P"&amp;ROW())="","",INDIRECT("office_form!P"&amp;ROW()))="Other","other",""))))</f>
        <v/>
      </c>
      <c r="R72"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30" t="str">
        <f aca="true">IF(INDIRECT("office_form!A"&amp;ROW())="","",IF(INDIRECT("office_form!R"&amp;ROW())="","",INDIRECT("office_form!R"&amp;ROW())))</f>
        <v/>
      </c>
      <c r="T72" s="30" t="str">
        <f aca="true">IF(INDIRECT("office_form!A"&amp;ROW())="","",IF(INDIRECT("office_form!S"&amp;ROW())="","",INDIRECT("office_form!S"&amp;ROW())))</f>
        <v/>
      </c>
      <c r="U72" s="30" t="str">
        <f aca="true">IF(INDIRECT("office_form!A"&amp;ROW())="","","founder")</f>
        <v/>
      </c>
    </row>
    <row r="73" customFormat="false" ht="15" hidden="false" customHeight="false" outlineLevel="0" collapsed="false">
      <c r="A73" s="30" t="str">
        <f aca="true">IF(INDIRECT("office_form!A"&amp;ROW())="","",TEXT(INDIRECT("office_form!A"&amp;ROW()),"yyyy-mm-dd""T""hh:mm:ss"))</f>
        <v/>
      </c>
      <c r="B73" s="30" t="str">
        <f aca="true">IF(INDIRECT("office_form!A"&amp;ROW())="","",config!$B$36)</f>
        <v/>
      </c>
      <c r="C73" s="30" t="str">
        <f aca="true">IF(INDIRECT("office_form!A"&amp;ROW())="","",IF(INDIRECT("office_form!B"&amp;ROW())="","",INDIRECT("office_form!B"&amp;ROW())))</f>
        <v/>
      </c>
      <c r="D73" s="30" t="str">
        <f aca="true">IF(INDIRECT("office_form!A"&amp;ROW())="","",IF(INDIRECT("office_form!C"&amp;ROW())="","",INDIRECT("office_form!C"&amp;ROW())))</f>
        <v/>
      </c>
      <c r="E73" s="30" t="str">
        <f aca="true">IF(INDIRECT("office_form!A"&amp;ROW())="","",IF(INDIRECT("office_form!D"&amp;ROW())="","",INDIRECT("office_form!D"&amp;ROW())))</f>
        <v/>
      </c>
      <c r="F73" s="30" t="str">
        <f aca="true">IF(INDIRECT("office_form!A"&amp;ROW())="","",IF(INDIRECT("office_form!E"&amp;ROW())="","",INDIRECT("office_form!E"&amp;ROW())))</f>
        <v/>
      </c>
      <c r="G73" s="30" t="str">
        <f aca="true">IF(INDIRECT("office_form!A"&amp;ROW())="","",IF(INDIRECT("office_form!F"&amp;ROW())="","",INDIRECT("office_form!F"&amp;ROW())))</f>
        <v/>
      </c>
      <c r="H73" s="30" t="str">
        <f aca="true">IF(INDIRECT("office_form!A"&amp;ROW())="","",IF(INDIRECT("office_form!G"&amp;ROW())="","",INDIRECT("office_form!G"&amp;ROW())))</f>
        <v/>
      </c>
      <c r="I73" s="30" t="str">
        <f aca="true">IF(INDIRECT("office_form!A"&amp;ROW())="","",IF(INDIRECT("office_form!H"&amp;ROW())="","",INDIRECT("office_form!H"&amp;ROW())))</f>
        <v/>
      </c>
      <c r="J73" s="30" t="str">
        <f aca="true">IF(INDIRECT("office_form!A"&amp;ROW())="","",IF(INDIRECT("office_form!I"&amp;ROW())="","",INDIRECT("office_form!I"&amp;ROW())))</f>
        <v/>
      </c>
      <c r="K73" s="30" t="str">
        <f aca="true">IF(INDIRECT("office_form!A"&amp;ROW())="","",IF($M73="Y",$D73,IF(INDIRECT("office_form!K"&amp;ROW())="","",INDIRECT("office_form!K"&amp;ROW()))))</f>
        <v/>
      </c>
      <c r="L73" s="30" t="str">
        <f aca="true">IF(INDIRECT("office_form!A"&amp;ROW())="","",IF($M73="Y",$E73,IF(INDIRECT("office_form!L"&amp;ROW())="","",INDIRECT("office_form!L"&amp;ROW()))))</f>
        <v/>
      </c>
      <c r="M73" s="30" t="str">
        <f aca="true">IF(INDIRECT("office_form!A"&amp;ROW())="","",IF(IF(INDIRECT("office_form!J"&amp;ROW())="","",INDIRECT("office_form!J"&amp;ROW()))="Yes, me","Y",IF(IF(INDIRECT("office_form!J"&amp;ROW())="","",INDIRECT("office_form!J"&amp;ROW()))="Someone else","N","")))</f>
        <v/>
      </c>
      <c r="N73"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30" t="str">
        <f aca="true">IF(INDIRECT("office_form!A"&amp;ROW())="","",IF(INDIRECT("office_form!N"&amp;ROW())="","",INDIRECT("office_form!N"&amp;ROW())))</f>
        <v/>
      </c>
      <c r="P73" s="30" t="str">
        <f aca="true">IF(INDIRECT("office_form!A"&amp;ROW())="","",IF(IF(INDIRECT("office_form!O"&amp;ROW())="","",INDIRECT("office_form!O"&amp;ROW()))="Yes","yes",IF(IF(INDIRECT("office_form!O"&amp;ROW())="","",INDIRECT("office_form!O"&amp;ROW()))="No","no",IF(IF(INDIRECT("office_form!O"&amp;ROW())="","",INDIRECT("office_form!O"&amp;ROW()))="Not sure","unsure",""))))</f>
        <v/>
      </c>
      <c r="Q73" s="30" t="str">
        <f aca="true">IF(INDIRECT("office_form!A"&amp;ROW())="","",IF(IF(INDIRECT("office_form!P"&amp;ROW())="","",INDIRECT("office_form!P"&amp;ROW()))="Slack","slack",IF(IF(INDIRECT("office_form!P"&amp;ROW())="","",INDIRECT("office_form!P"&amp;ROW()))="Email","email",IF(IF(INDIRECT("office_form!P"&amp;ROW())="","",INDIRECT("office_form!P"&amp;ROW()))="Other","other",""))))</f>
        <v/>
      </c>
      <c r="R73"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30" t="str">
        <f aca="true">IF(INDIRECT("office_form!A"&amp;ROW())="","",IF(INDIRECT("office_form!R"&amp;ROW())="","",INDIRECT("office_form!R"&amp;ROW())))</f>
        <v/>
      </c>
      <c r="T73" s="30" t="str">
        <f aca="true">IF(INDIRECT("office_form!A"&amp;ROW())="","",IF(INDIRECT("office_form!S"&amp;ROW())="","",INDIRECT("office_form!S"&amp;ROW())))</f>
        <v/>
      </c>
      <c r="U73" s="30" t="str">
        <f aca="true">IF(INDIRECT("office_form!A"&amp;ROW())="","","founder")</f>
        <v/>
      </c>
    </row>
    <row r="74" customFormat="false" ht="15" hidden="false" customHeight="false" outlineLevel="0" collapsed="false">
      <c r="A74" s="30" t="str">
        <f aca="true">IF(INDIRECT("office_form!A"&amp;ROW())="","",TEXT(INDIRECT("office_form!A"&amp;ROW()),"yyyy-mm-dd""T""hh:mm:ss"))</f>
        <v/>
      </c>
      <c r="B74" s="30" t="str">
        <f aca="true">IF(INDIRECT("office_form!A"&amp;ROW())="","",config!$B$36)</f>
        <v/>
      </c>
      <c r="C74" s="30" t="str">
        <f aca="true">IF(INDIRECT("office_form!A"&amp;ROW())="","",IF(INDIRECT("office_form!B"&amp;ROW())="","",INDIRECT("office_form!B"&amp;ROW())))</f>
        <v/>
      </c>
      <c r="D74" s="30" t="str">
        <f aca="true">IF(INDIRECT("office_form!A"&amp;ROW())="","",IF(INDIRECT("office_form!C"&amp;ROW())="","",INDIRECT("office_form!C"&amp;ROW())))</f>
        <v/>
      </c>
      <c r="E74" s="30" t="str">
        <f aca="true">IF(INDIRECT("office_form!A"&amp;ROW())="","",IF(INDIRECT("office_form!D"&amp;ROW())="","",INDIRECT("office_form!D"&amp;ROW())))</f>
        <v/>
      </c>
      <c r="F74" s="30" t="str">
        <f aca="true">IF(INDIRECT("office_form!A"&amp;ROW())="","",IF(INDIRECT("office_form!E"&amp;ROW())="","",INDIRECT("office_form!E"&amp;ROW())))</f>
        <v/>
      </c>
      <c r="G74" s="30" t="str">
        <f aca="true">IF(INDIRECT("office_form!A"&amp;ROW())="","",IF(INDIRECT("office_form!F"&amp;ROW())="","",INDIRECT("office_form!F"&amp;ROW())))</f>
        <v/>
      </c>
      <c r="H74" s="30" t="str">
        <f aca="true">IF(INDIRECT("office_form!A"&amp;ROW())="","",IF(INDIRECT("office_form!G"&amp;ROW())="","",INDIRECT("office_form!G"&amp;ROW())))</f>
        <v/>
      </c>
      <c r="I74" s="30" t="str">
        <f aca="true">IF(INDIRECT("office_form!A"&amp;ROW())="","",IF(INDIRECT("office_form!H"&amp;ROW())="","",INDIRECT("office_form!H"&amp;ROW())))</f>
        <v/>
      </c>
      <c r="J74" s="30" t="str">
        <f aca="true">IF(INDIRECT("office_form!A"&amp;ROW())="","",IF(INDIRECT("office_form!I"&amp;ROW())="","",INDIRECT("office_form!I"&amp;ROW())))</f>
        <v/>
      </c>
      <c r="K74" s="30" t="str">
        <f aca="true">IF(INDIRECT("office_form!A"&amp;ROW())="","",IF($M74="Y",$D74,IF(INDIRECT("office_form!K"&amp;ROW())="","",INDIRECT("office_form!K"&amp;ROW()))))</f>
        <v/>
      </c>
      <c r="L74" s="30" t="str">
        <f aca="true">IF(INDIRECT("office_form!A"&amp;ROW())="","",IF($M74="Y",$E74,IF(INDIRECT("office_form!L"&amp;ROW())="","",INDIRECT("office_form!L"&amp;ROW()))))</f>
        <v/>
      </c>
      <c r="M74" s="30" t="str">
        <f aca="true">IF(INDIRECT("office_form!A"&amp;ROW())="","",IF(IF(INDIRECT("office_form!J"&amp;ROW())="","",INDIRECT("office_form!J"&amp;ROW()))="Yes, me","Y",IF(IF(INDIRECT("office_form!J"&amp;ROW())="","",INDIRECT("office_form!J"&amp;ROW()))="Someone else","N","")))</f>
        <v/>
      </c>
      <c r="N74"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30" t="str">
        <f aca="true">IF(INDIRECT("office_form!A"&amp;ROW())="","",IF(INDIRECT("office_form!N"&amp;ROW())="","",INDIRECT("office_form!N"&amp;ROW())))</f>
        <v/>
      </c>
      <c r="P74" s="30" t="str">
        <f aca="true">IF(INDIRECT("office_form!A"&amp;ROW())="","",IF(IF(INDIRECT("office_form!O"&amp;ROW())="","",INDIRECT("office_form!O"&amp;ROW()))="Yes","yes",IF(IF(INDIRECT("office_form!O"&amp;ROW())="","",INDIRECT("office_form!O"&amp;ROW()))="No","no",IF(IF(INDIRECT("office_form!O"&amp;ROW())="","",INDIRECT("office_form!O"&amp;ROW()))="Not sure","unsure",""))))</f>
        <v/>
      </c>
      <c r="Q74" s="30" t="str">
        <f aca="true">IF(INDIRECT("office_form!A"&amp;ROW())="","",IF(IF(INDIRECT("office_form!P"&amp;ROW())="","",INDIRECT("office_form!P"&amp;ROW()))="Slack","slack",IF(IF(INDIRECT("office_form!P"&amp;ROW())="","",INDIRECT("office_form!P"&amp;ROW()))="Email","email",IF(IF(INDIRECT("office_form!P"&amp;ROW())="","",INDIRECT("office_form!P"&amp;ROW()))="Other","other",""))))</f>
        <v/>
      </c>
      <c r="R74"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30" t="str">
        <f aca="true">IF(INDIRECT("office_form!A"&amp;ROW())="","",IF(INDIRECT("office_form!R"&amp;ROW())="","",INDIRECT("office_form!R"&amp;ROW())))</f>
        <v/>
      </c>
      <c r="T74" s="30" t="str">
        <f aca="true">IF(INDIRECT("office_form!A"&amp;ROW())="","",IF(INDIRECT("office_form!S"&amp;ROW())="","",INDIRECT("office_form!S"&amp;ROW())))</f>
        <v/>
      </c>
      <c r="U74" s="30" t="str">
        <f aca="true">IF(INDIRECT("office_form!A"&amp;ROW())="","","founder")</f>
        <v/>
      </c>
    </row>
    <row r="75" customFormat="false" ht="15" hidden="false" customHeight="false" outlineLevel="0" collapsed="false">
      <c r="A75" s="30" t="str">
        <f aca="true">IF(INDIRECT("office_form!A"&amp;ROW())="","",TEXT(INDIRECT("office_form!A"&amp;ROW()),"yyyy-mm-dd""T""hh:mm:ss"))</f>
        <v/>
      </c>
      <c r="B75" s="30" t="str">
        <f aca="true">IF(INDIRECT("office_form!A"&amp;ROW())="","",config!$B$36)</f>
        <v/>
      </c>
      <c r="C75" s="30" t="str">
        <f aca="true">IF(INDIRECT("office_form!A"&amp;ROW())="","",IF(INDIRECT("office_form!B"&amp;ROW())="","",INDIRECT("office_form!B"&amp;ROW())))</f>
        <v/>
      </c>
      <c r="D75" s="30" t="str">
        <f aca="true">IF(INDIRECT("office_form!A"&amp;ROW())="","",IF(INDIRECT("office_form!C"&amp;ROW())="","",INDIRECT("office_form!C"&amp;ROW())))</f>
        <v/>
      </c>
      <c r="E75" s="30" t="str">
        <f aca="true">IF(INDIRECT("office_form!A"&amp;ROW())="","",IF(INDIRECT("office_form!D"&amp;ROW())="","",INDIRECT("office_form!D"&amp;ROW())))</f>
        <v/>
      </c>
      <c r="F75" s="30" t="str">
        <f aca="true">IF(INDIRECT("office_form!A"&amp;ROW())="","",IF(INDIRECT("office_form!E"&amp;ROW())="","",INDIRECT("office_form!E"&amp;ROW())))</f>
        <v/>
      </c>
      <c r="G75" s="30" t="str">
        <f aca="true">IF(INDIRECT("office_form!A"&amp;ROW())="","",IF(INDIRECT("office_form!F"&amp;ROW())="","",INDIRECT("office_form!F"&amp;ROW())))</f>
        <v/>
      </c>
      <c r="H75" s="30" t="str">
        <f aca="true">IF(INDIRECT("office_form!A"&amp;ROW())="","",IF(INDIRECT("office_form!G"&amp;ROW())="","",INDIRECT("office_form!G"&amp;ROW())))</f>
        <v/>
      </c>
      <c r="I75" s="30" t="str">
        <f aca="true">IF(INDIRECT("office_form!A"&amp;ROW())="","",IF(INDIRECT("office_form!H"&amp;ROW())="","",INDIRECT("office_form!H"&amp;ROW())))</f>
        <v/>
      </c>
      <c r="J75" s="30" t="str">
        <f aca="true">IF(INDIRECT("office_form!A"&amp;ROW())="","",IF(INDIRECT("office_form!I"&amp;ROW())="","",INDIRECT("office_form!I"&amp;ROW())))</f>
        <v/>
      </c>
      <c r="K75" s="30" t="str">
        <f aca="true">IF(INDIRECT("office_form!A"&amp;ROW())="","",IF($M75="Y",$D75,IF(INDIRECT("office_form!K"&amp;ROW())="","",INDIRECT("office_form!K"&amp;ROW()))))</f>
        <v/>
      </c>
      <c r="L75" s="30" t="str">
        <f aca="true">IF(INDIRECT("office_form!A"&amp;ROW())="","",IF($M75="Y",$E75,IF(INDIRECT("office_form!L"&amp;ROW())="","",INDIRECT("office_form!L"&amp;ROW()))))</f>
        <v/>
      </c>
      <c r="M75" s="30" t="str">
        <f aca="true">IF(INDIRECT("office_form!A"&amp;ROW())="","",IF(IF(INDIRECT("office_form!J"&amp;ROW())="","",INDIRECT("office_form!J"&amp;ROW()))="Yes, me","Y",IF(IF(INDIRECT("office_form!J"&amp;ROW())="","",INDIRECT("office_form!J"&amp;ROW()))="Someone else","N","")))</f>
        <v/>
      </c>
      <c r="N75"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30" t="str">
        <f aca="true">IF(INDIRECT("office_form!A"&amp;ROW())="","",IF(INDIRECT("office_form!N"&amp;ROW())="","",INDIRECT("office_form!N"&amp;ROW())))</f>
        <v/>
      </c>
      <c r="P75" s="30" t="str">
        <f aca="true">IF(INDIRECT("office_form!A"&amp;ROW())="","",IF(IF(INDIRECT("office_form!O"&amp;ROW())="","",INDIRECT("office_form!O"&amp;ROW()))="Yes","yes",IF(IF(INDIRECT("office_form!O"&amp;ROW())="","",INDIRECT("office_form!O"&amp;ROW()))="No","no",IF(IF(INDIRECT("office_form!O"&amp;ROW())="","",INDIRECT("office_form!O"&amp;ROW()))="Not sure","unsure",""))))</f>
        <v/>
      </c>
      <c r="Q75" s="30" t="str">
        <f aca="true">IF(INDIRECT("office_form!A"&amp;ROW())="","",IF(IF(INDIRECT("office_form!P"&amp;ROW())="","",INDIRECT("office_form!P"&amp;ROW()))="Slack","slack",IF(IF(INDIRECT("office_form!P"&amp;ROW())="","",INDIRECT("office_form!P"&amp;ROW()))="Email","email",IF(IF(INDIRECT("office_form!P"&amp;ROW())="","",INDIRECT("office_form!P"&amp;ROW()))="Other","other",""))))</f>
        <v/>
      </c>
      <c r="R75"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30" t="str">
        <f aca="true">IF(INDIRECT("office_form!A"&amp;ROW())="","",IF(INDIRECT("office_form!R"&amp;ROW())="","",INDIRECT("office_form!R"&amp;ROW())))</f>
        <v/>
      </c>
      <c r="T75" s="30" t="str">
        <f aca="true">IF(INDIRECT("office_form!A"&amp;ROW())="","",IF(INDIRECT("office_form!S"&amp;ROW())="","",INDIRECT("office_form!S"&amp;ROW())))</f>
        <v/>
      </c>
      <c r="U75" s="30" t="str">
        <f aca="true">IF(INDIRECT("office_form!A"&amp;ROW())="","","founder")</f>
        <v/>
      </c>
    </row>
    <row r="76" customFormat="false" ht="15" hidden="false" customHeight="false" outlineLevel="0" collapsed="false">
      <c r="A76" s="30" t="str">
        <f aca="true">IF(INDIRECT("office_form!A"&amp;ROW())="","",TEXT(INDIRECT("office_form!A"&amp;ROW()),"yyyy-mm-dd""T""hh:mm:ss"))</f>
        <v/>
      </c>
      <c r="B76" s="30" t="str">
        <f aca="true">IF(INDIRECT("office_form!A"&amp;ROW())="","",config!$B$36)</f>
        <v/>
      </c>
      <c r="C76" s="30" t="str">
        <f aca="true">IF(INDIRECT("office_form!A"&amp;ROW())="","",IF(INDIRECT("office_form!B"&amp;ROW())="","",INDIRECT("office_form!B"&amp;ROW())))</f>
        <v/>
      </c>
      <c r="D76" s="30" t="str">
        <f aca="true">IF(INDIRECT("office_form!A"&amp;ROW())="","",IF(INDIRECT("office_form!C"&amp;ROW())="","",INDIRECT("office_form!C"&amp;ROW())))</f>
        <v/>
      </c>
      <c r="E76" s="30" t="str">
        <f aca="true">IF(INDIRECT("office_form!A"&amp;ROW())="","",IF(INDIRECT("office_form!D"&amp;ROW())="","",INDIRECT("office_form!D"&amp;ROW())))</f>
        <v/>
      </c>
      <c r="F76" s="30" t="str">
        <f aca="true">IF(INDIRECT("office_form!A"&amp;ROW())="","",IF(INDIRECT("office_form!E"&amp;ROW())="","",INDIRECT("office_form!E"&amp;ROW())))</f>
        <v/>
      </c>
      <c r="G76" s="30" t="str">
        <f aca="true">IF(INDIRECT("office_form!A"&amp;ROW())="","",IF(INDIRECT("office_form!F"&amp;ROW())="","",INDIRECT("office_form!F"&amp;ROW())))</f>
        <v/>
      </c>
      <c r="H76" s="30" t="str">
        <f aca="true">IF(INDIRECT("office_form!A"&amp;ROW())="","",IF(INDIRECT("office_form!G"&amp;ROW())="","",INDIRECT("office_form!G"&amp;ROW())))</f>
        <v/>
      </c>
      <c r="I76" s="30" t="str">
        <f aca="true">IF(INDIRECT("office_form!A"&amp;ROW())="","",IF(INDIRECT("office_form!H"&amp;ROW())="","",INDIRECT("office_form!H"&amp;ROW())))</f>
        <v/>
      </c>
      <c r="J76" s="30" t="str">
        <f aca="true">IF(INDIRECT("office_form!A"&amp;ROW())="","",IF(INDIRECT("office_form!I"&amp;ROW())="","",INDIRECT("office_form!I"&amp;ROW())))</f>
        <v/>
      </c>
      <c r="K76" s="30" t="str">
        <f aca="true">IF(INDIRECT("office_form!A"&amp;ROW())="","",IF($M76="Y",$D76,IF(INDIRECT("office_form!K"&amp;ROW())="","",INDIRECT("office_form!K"&amp;ROW()))))</f>
        <v/>
      </c>
      <c r="L76" s="30" t="str">
        <f aca="true">IF(INDIRECT("office_form!A"&amp;ROW())="","",IF($M76="Y",$E76,IF(INDIRECT("office_form!L"&amp;ROW())="","",INDIRECT("office_form!L"&amp;ROW()))))</f>
        <v/>
      </c>
      <c r="M76" s="30" t="str">
        <f aca="true">IF(INDIRECT("office_form!A"&amp;ROW())="","",IF(IF(INDIRECT("office_form!J"&amp;ROW())="","",INDIRECT("office_form!J"&amp;ROW()))="Yes, me","Y",IF(IF(INDIRECT("office_form!J"&amp;ROW())="","",INDIRECT("office_form!J"&amp;ROW()))="Someone else","N","")))</f>
        <v/>
      </c>
      <c r="N76"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30" t="str">
        <f aca="true">IF(INDIRECT("office_form!A"&amp;ROW())="","",IF(INDIRECT("office_form!N"&amp;ROW())="","",INDIRECT("office_form!N"&amp;ROW())))</f>
        <v/>
      </c>
      <c r="P76" s="30" t="str">
        <f aca="true">IF(INDIRECT("office_form!A"&amp;ROW())="","",IF(IF(INDIRECT("office_form!O"&amp;ROW())="","",INDIRECT("office_form!O"&amp;ROW()))="Yes","yes",IF(IF(INDIRECT("office_form!O"&amp;ROW())="","",INDIRECT("office_form!O"&amp;ROW()))="No","no",IF(IF(INDIRECT("office_form!O"&amp;ROW())="","",INDIRECT("office_form!O"&amp;ROW()))="Not sure","unsure",""))))</f>
        <v/>
      </c>
      <c r="Q76" s="30" t="str">
        <f aca="true">IF(INDIRECT("office_form!A"&amp;ROW())="","",IF(IF(INDIRECT("office_form!P"&amp;ROW())="","",INDIRECT("office_form!P"&amp;ROW()))="Slack","slack",IF(IF(INDIRECT("office_form!P"&amp;ROW())="","",INDIRECT("office_form!P"&amp;ROW()))="Email","email",IF(IF(INDIRECT("office_form!P"&amp;ROW())="","",INDIRECT("office_form!P"&amp;ROW()))="Other","other",""))))</f>
        <v/>
      </c>
      <c r="R76"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30" t="str">
        <f aca="true">IF(INDIRECT("office_form!A"&amp;ROW())="","",IF(INDIRECT("office_form!R"&amp;ROW())="","",INDIRECT("office_form!R"&amp;ROW())))</f>
        <v/>
      </c>
      <c r="T76" s="30" t="str">
        <f aca="true">IF(INDIRECT("office_form!A"&amp;ROW())="","",IF(INDIRECT("office_form!S"&amp;ROW())="","",INDIRECT("office_form!S"&amp;ROW())))</f>
        <v/>
      </c>
      <c r="U76" s="30" t="str">
        <f aca="true">IF(INDIRECT("office_form!A"&amp;ROW())="","","founder")</f>
        <v/>
      </c>
    </row>
    <row r="77" customFormat="false" ht="15" hidden="false" customHeight="false" outlineLevel="0" collapsed="false">
      <c r="A77" s="30" t="str">
        <f aca="true">IF(INDIRECT("office_form!A"&amp;ROW())="","",TEXT(INDIRECT("office_form!A"&amp;ROW()),"yyyy-mm-dd""T""hh:mm:ss"))</f>
        <v/>
      </c>
      <c r="B77" s="30" t="str">
        <f aca="true">IF(INDIRECT("office_form!A"&amp;ROW())="","",config!$B$36)</f>
        <v/>
      </c>
      <c r="C77" s="30" t="str">
        <f aca="true">IF(INDIRECT("office_form!A"&amp;ROW())="","",IF(INDIRECT("office_form!B"&amp;ROW())="","",INDIRECT("office_form!B"&amp;ROW())))</f>
        <v/>
      </c>
      <c r="D77" s="30" t="str">
        <f aca="true">IF(INDIRECT("office_form!A"&amp;ROW())="","",IF(INDIRECT("office_form!C"&amp;ROW())="","",INDIRECT("office_form!C"&amp;ROW())))</f>
        <v/>
      </c>
      <c r="E77" s="30" t="str">
        <f aca="true">IF(INDIRECT("office_form!A"&amp;ROW())="","",IF(INDIRECT("office_form!D"&amp;ROW())="","",INDIRECT("office_form!D"&amp;ROW())))</f>
        <v/>
      </c>
      <c r="F77" s="30" t="str">
        <f aca="true">IF(INDIRECT("office_form!A"&amp;ROW())="","",IF(INDIRECT("office_form!E"&amp;ROW())="","",INDIRECT("office_form!E"&amp;ROW())))</f>
        <v/>
      </c>
      <c r="G77" s="30" t="str">
        <f aca="true">IF(INDIRECT("office_form!A"&amp;ROW())="","",IF(INDIRECT("office_form!F"&amp;ROW())="","",INDIRECT("office_form!F"&amp;ROW())))</f>
        <v/>
      </c>
      <c r="H77" s="30" t="str">
        <f aca="true">IF(INDIRECT("office_form!A"&amp;ROW())="","",IF(INDIRECT("office_form!G"&amp;ROW())="","",INDIRECT("office_form!G"&amp;ROW())))</f>
        <v/>
      </c>
      <c r="I77" s="30" t="str">
        <f aca="true">IF(INDIRECT("office_form!A"&amp;ROW())="","",IF(INDIRECT("office_form!H"&amp;ROW())="","",INDIRECT("office_form!H"&amp;ROW())))</f>
        <v/>
      </c>
      <c r="J77" s="30" t="str">
        <f aca="true">IF(INDIRECT("office_form!A"&amp;ROW())="","",IF(INDIRECT("office_form!I"&amp;ROW())="","",INDIRECT("office_form!I"&amp;ROW())))</f>
        <v/>
      </c>
      <c r="K77" s="30" t="str">
        <f aca="true">IF(INDIRECT("office_form!A"&amp;ROW())="","",IF($M77="Y",$D77,IF(INDIRECT("office_form!K"&amp;ROW())="","",INDIRECT("office_form!K"&amp;ROW()))))</f>
        <v/>
      </c>
      <c r="L77" s="30" t="str">
        <f aca="true">IF(INDIRECT("office_form!A"&amp;ROW())="","",IF($M77="Y",$E77,IF(INDIRECT("office_form!L"&amp;ROW())="","",INDIRECT("office_form!L"&amp;ROW()))))</f>
        <v/>
      </c>
      <c r="M77" s="30" t="str">
        <f aca="true">IF(INDIRECT("office_form!A"&amp;ROW())="","",IF(IF(INDIRECT("office_form!J"&amp;ROW())="","",INDIRECT("office_form!J"&amp;ROW()))="Yes, me","Y",IF(IF(INDIRECT("office_form!J"&amp;ROW())="","",INDIRECT("office_form!J"&amp;ROW()))="Someone else","N","")))</f>
        <v/>
      </c>
      <c r="N77"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30" t="str">
        <f aca="true">IF(INDIRECT("office_form!A"&amp;ROW())="","",IF(INDIRECT("office_form!N"&amp;ROW())="","",INDIRECT("office_form!N"&amp;ROW())))</f>
        <v/>
      </c>
      <c r="P77" s="30" t="str">
        <f aca="true">IF(INDIRECT("office_form!A"&amp;ROW())="","",IF(IF(INDIRECT("office_form!O"&amp;ROW())="","",INDIRECT("office_form!O"&amp;ROW()))="Yes","yes",IF(IF(INDIRECT("office_form!O"&amp;ROW())="","",INDIRECT("office_form!O"&amp;ROW()))="No","no",IF(IF(INDIRECT("office_form!O"&amp;ROW())="","",INDIRECT("office_form!O"&amp;ROW()))="Not sure","unsure",""))))</f>
        <v/>
      </c>
      <c r="Q77" s="30" t="str">
        <f aca="true">IF(INDIRECT("office_form!A"&amp;ROW())="","",IF(IF(INDIRECT("office_form!P"&amp;ROW())="","",INDIRECT("office_form!P"&amp;ROW()))="Slack","slack",IF(IF(INDIRECT("office_form!P"&amp;ROW())="","",INDIRECT("office_form!P"&amp;ROW()))="Email","email",IF(IF(INDIRECT("office_form!P"&amp;ROW())="","",INDIRECT("office_form!P"&amp;ROW()))="Other","other",""))))</f>
        <v/>
      </c>
      <c r="R77"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30" t="str">
        <f aca="true">IF(INDIRECT("office_form!A"&amp;ROW())="","",IF(INDIRECT("office_form!R"&amp;ROW())="","",INDIRECT("office_form!R"&amp;ROW())))</f>
        <v/>
      </c>
      <c r="T77" s="30" t="str">
        <f aca="true">IF(INDIRECT("office_form!A"&amp;ROW())="","",IF(INDIRECT("office_form!S"&amp;ROW())="","",INDIRECT("office_form!S"&amp;ROW())))</f>
        <v/>
      </c>
      <c r="U77" s="30" t="str">
        <f aca="true">IF(INDIRECT("office_form!A"&amp;ROW())="","","founder")</f>
        <v/>
      </c>
    </row>
    <row r="78" customFormat="false" ht="15" hidden="false" customHeight="false" outlineLevel="0" collapsed="false">
      <c r="A78" s="30" t="str">
        <f aca="true">IF(INDIRECT("office_form!A"&amp;ROW())="","",TEXT(INDIRECT("office_form!A"&amp;ROW()),"yyyy-mm-dd""T""hh:mm:ss"))</f>
        <v/>
      </c>
      <c r="B78" s="30" t="str">
        <f aca="true">IF(INDIRECT("office_form!A"&amp;ROW())="","",config!$B$36)</f>
        <v/>
      </c>
      <c r="C78" s="30" t="str">
        <f aca="true">IF(INDIRECT("office_form!A"&amp;ROW())="","",IF(INDIRECT("office_form!B"&amp;ROW())="","",INDIRECT("office_form!B"&amp;ROW())))</f>
        <v/>
      </c>
      <c r="D78" s="30" t="str">
        <f aca="true">IF(INDIRECT("office_form!A"&amp;ROW())="","",IF(INDIRECT("office_form!C"&amp;ROW())="","",INDIRECT("office_form!C"&amp;ROW())))</f>
        <v/>
      </c>
      <c r="E78" s="30" t="str">
        <f aca="true">IF(INDIRECT("office_form!A"&amp;ROW())="","",IF(INDIRECT("office_form!D"&amp;ROW())="","",INDIRECT("office_form!D"&amp;ROW())))</f>
        <v/>
      </c>
      <c r="F78" s="30" t="str">
        <f aca="true">IF(INDIRECT("office_form!A"&amp;ROW())="","",IF(INDIRECT("office_form!E"&amp;ROW())="","",INDIRECT("office_form!E"&amp;ROW())))</f>
        <v/>
      </c>
      <c r="G78" s="30" t="str">
        <f aca="true">IF(INDIRECT("office_form!A"&amp;ROW())="","",IF(INDIRECT("office_form!F"&amp;ROW())="","",INDIRECT("office_form!F"&amp;ROW())))</f>
        <v/>
      </c>
      <c r="H78" s="30" t="str">
        <f aca="true">IF(INDIRECT("office_form!A"&amp;ROW())="","",IF(INDIRECT("office_form!G"&amp;ROW())="","",INDIRECT("office_form!G"&amp;ROW())))</f>
        <v/>
      </c>
      <c r="I78" s="30" t="str">
        <f aca="true">IF(INDIRECT("office_form!A"&amp;ROW())="","",IF(INDIRECT("office_form!H"&amp;ROW())="","",INDIRECT("office_form!H"&amp;ROW())))</f>
        <v/>
      </c>
      <c r="J78" s="30" t="str">
        <f aca="true">IF(INDIRECT("office_form!A"&amp;ROW())="","",IF(INDIRECT("office_form!I"&amp;ROW())="","",INDIRECT("office_form!I"&amp;ROW())))</f>
        <v/>
      </c>
      <c r="K78" s="30" t="str">
        <f aca="true">IF(INDIRECT("office_form!A"&amp;ROW())="","",IF($M78="Y",$D78,IF(INDIRECT("office_form!K"&amp;ROW())="","",INDIRECT("office_form!K"&amp;ROW()))))</f>
        <v/>
      </c>
      <c r="L78" s="30" t="str">
        <f aca="true">IF(INDIRECT("office_form!A"&amp;ROW())="","",IF($M78="Y",$E78,IF(INDIRECT("office_form!L"&amp;ROW())="","",INDIRECT("office_form!L"&amp;ROW()))))</f>
        <v/>
      </c>
      <c r="M78" s="30" t="str">
        <f aca="true">IF(INDIRECT("office_form!A"&amp;ROW())="","",IF(IF(INDIRECT("office_form!J"&amp;ROW())="","",INDIRECT("office_form!J"&amp;ROW()))="Yes, me","Y",IF(IF(INDIRECT("office_form!J"&amp;ROW())="","",INDIRECT("office_form!J"&amp;ROW()))="Someone else","N","")))</f>
        <v/>
      </c>
      <c r="N78"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30" t="str">
        <f aca="true">IF(INDIRECT("office_form!A"&amp;ROW())="","",IF(INDIRECT("office_form!N"&amp;ROW())="","",INDIRECT("office_form!N"&amp;ROW())))</f>
        <v/>
      </c>
      <c r="P78" s="30" t="str">
        <f aca="true">IF(INDIRECT("office_form!A"&amp;ROW())="","",IF(IF(INDIRECT("office_form!O"&amp;ROW())="","",INDIRECT("office_form!O"&amp;ROW()))="Yes","yes",IF(IF(INDIRECT("office_form!O"&amp;ROW())="","",INDIRECT("office_form!O"&amp;ROW()))="No","no",IF(IF(INDIRECT("office_form!O"&amp;ROW())="","",INDIRECT("office_form!O"&amp;ROW()))="Not sure","unsure",""))))</f>
        <v/>
      </c>
      <c r="Q78" s="30" t="str">
        <f aca="true">IF(INDIRECT("office_form!A"&amp;ROW())="","",IF(IF(INDIRECT("office_form!P"&amp;ROW())="","",INDIRECT("office_form!P"&amp;ROW()))="Slack","slack",IF(IF(INDIRECT("office_form!P"&amp;ROW())="","",INDIRECT("office_form!P"&amp;ROW()))="Email","email",IF(IF(INDIRECT("office_form!P"&amp;ROW())="","",INDIRECT("office_form!P"&amp;ROW()))="Other","other",""))))</f>
        <v/>
      </c>
      <c r="R78"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30" t="str">
        <f aca="true">IF(INDIRECT("office_form!A"&amp;ROW())="","",IF(INDIRECT("office_form!R"&amp;ROW())="","",INDIRECT("office_form!R"&amp;ROW())))</f>
        <v/>
      </c>
      <c r="T78" s="30" t="str">
        <f aca="true">IF(INDIRECT("office_form!A"&amp;ROW())="","",IF(INDIRECT("office_form!S"&amp;ROW())="","",INDIRECT("office_form!S"&amp;ROW())))</f>
        <v/>
      </c>
      <c r="U78" s="30" t="str">
        <f aca="true">IF(INDIRECT("office_form!A"&amp;ROW())="","","founder")</f>
        <v/>
      </c>
    </row>
    <row r="79" customFormat="false" ht="15" hidden="false" customHeight="false" outlineLevel="0" collapsed="false">
      <c r="A79" s="30" t="str">
        <f aca="true">IF(INDIRECT("office_form!A"&amp;ROW())="","",TEXT(INDIRECT("office_form!A"&amp;ROW()),"yyyy-mm-dd""T""hh:mm:ss"))</f>
        <v/>
      </c>
      <c r="B79" s="30" t="str">
        <f aca="true">IF(INDIRECT("office_form!A"&amp;ROW())="","",config!$B$36)</f>
        <v/>
      </c>
      <c r="C79" s="30" t="str">
        <f aca="true">IF(INDIRECT("office_form!A"&amp;ROW())="","",IF(INDIRECT("office_form!B"&amp;ROW())="","",INDIRECT("office_form!B"&amp;ROW())))</f>
        <v/>
      </c>
      <c r="D79" s="30" t="str">
        <f aca="true">IF(INDIRECT("office_form!A"&amp;ROW())="","",IF(INDIRECT("office_form!C"&amp;ROW())="","",INDIRECT("office_form!C"&amp;ROW())))</f>
        <v/>
      </c>
      <c r="E79" s="30" t="str">
        <f aca="true">IF(INDIRECT("office_form!A"&amp;ROW())="","",IF(INDIRECT("office_form!D"&amp;ROW())="","",INDIRECT("office_form!D"&amp;ROW())))</f>
        <v/>
      </c>
      <c r="F79" s="30" t="str">
        <f aca="true">IF(INDIRECT("office_form!A"&amp;ROW())="","",IF(INDIRECT("office_form!E"&amp;ROW())="","",INDIRECT("office_form!E"&amp;ROW())))</f>
        <v/>
      </c>
      <c r="G79" s="30" t="str">
        <f aca="true">IF(INDIRECT("office_form!A"&amp;ROW())="","",IF(INDIRECT("office_form!F"&amp;ROW())="","",INDIRECT("office_form!F"&amp;ROW())))</f>
        <v/>
      </c>
      <c r="H79" s="30" t="str">
        <f aca="true">IF(INDIRECT("office_form!A"&amp;ROW())="","",IF(INDIRECT("office_form!G"&amp;ROW())="","",INDIRECT("office_form!G"&amp;ROW())))</f>
        <v/>
      </c>
      <c r="I79" s="30" t="str">
        <f aca="true">IF(INDIRECT("office_form!A"&amp;ROW())="","",IF(INDIRECT("office_form!H"&amp;ROW())="","",INDIRECT("office_form!H"&amp;ROW())))</f>
        <v/>
      </c>
      <c r="J79" s="30" t="str">
        <f aca="true">IF(INDIRECT("office_form!A"&amp;ROW())="","",IF(INDIRECT("office_form!I"&amp;ROW())="","",INDIRECT("office_form!I"&amp;ROW())))</f>
        <v/>
      </c>
      <c r="K79" s="30" t="str">
        <f aca="true">IF(INDIRECT("office_form!A"&amp;ROW())="","",IF($M79="Y",$D79,IF(INDIRECT("office_form!K"&amp;ROW())="","",INDIRECT("office_form!K"&amp;ROW()))))</f>
        <v/>
      </c>
      <c r="L79" s="30" t="str">
        <f aca="true">IF(INDIRECT("office_form!A"&amp;ROW())="","",IF($M79="Y",$E79,IF(INDIRECT("office_form!L"&amp;ROW())="","",INDIRECT("office_form!L"&amp;ROW()))))</f>
        <v/>
      </c>
      <c r="M79" s="30" t="str">
        <f aca="true">IF(INDIRECT("office_form!A"&amp;ROW())="","",IF(IF(INDIRECT("office_form!J"&amp;ROW())="","",INDIRECT("office_form!J"&amp;ROW()))="Yes, me","Y",IF(IF(INDIRECT("office_form!J"&amp;ROW())="","",INDIRECT("office_form!J"&amp;ROW()))="Someone else","N","")))</f>
        <v/>
      </c>
      <c r="N79"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30" t="str">
        <f aca="true">IF(INDIRECT("office_form!A"&amp;ROW())="","",IF(INDIRECT("office_form!N"&amp;ROW())="","",INDIRECT("office_form!N"&amp;ROW())))</f>
        <v/>
      </c>
      <c r="P79" s="30" t="str">
        <f aca="true">IF(INDIRECT("office_form!A"&amp;ROW())="","",IF(IF(INDIRECT("office_form!O"&amp;ROW())="","",INDIRECT("office_form!O"&amp;ROW()))="Yes","yes",IF(IF(INDIRECT("office_form!O"&amp;ROW())="","",INDIRECT("office_form!O"&amp;ROW()))="No","no",IF(IF(INDIRECT("office_form!O"&amp;ROW())="","",INDIRECT("office_form!O"&amp;ROW()))="Not sure","unsure",""))))</f>
        <v/>
      </c>
      <c r="Q79" s="30" t="str">
        <f aca="true">IF(INDIRECT("office_form!A"&amp;ROW())="","",IF(IF(INDIRECT("office_form!P"&amp;ROW())="","",INDIRECT("office_form!P"&amp;ROW()))="Slack","slack",IF(IF(INDIRECT("office_form!P"&amp;ROW())="","",INDIRECT("office_form!P"&amp;ROW()))="Email","email",IF(IF(INDIRECT("office_form!P"&amp;ROW())="","",INDIRECT("office_form!P"&amp;ROW()))="Other","other",""))))</f>
        <v/>
      </c>
      <c r="R79"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30" t="str">
        <f aca="true">IF(INDIRECT("office_form!A"&amp;ROW())="","",IF(INDIRECT("office_form!R"&amp;ROW())="","",INDIRECT("office_form!R"&amp;ROW())))</f>
        <v/>
      </c>
      <c r="T79" s="30" t="str">
        <f aca="true">IF(INDIRECT("office_form!A"&amp;ROW())="","",IF(INDIRECT("office_form!S"&amp;ROW())="","",INDIRECT("office_form!S"&amp;ROW())))</f>
        <v/>
      </c>
      <c r="U79" s="30" t="str">
        <f aca="true">IF(INDIRECT("office_form!A"&amp;ROW())="","","founder")</f>
        <v/>
      </c>
    </row>
    <row r="80" customFormat="false" ht="15" hidden="false" customHeight="false" outlineLevel="0" collapsed="false">
      <c r="A80" s="30" t="str">
        <f aca="true">IF(INDIRECT("office_form!A"&amp;ROW())="","",TEXT(INDIRECT("office_form!A"&amp;ROW()),"yyyy-mm-dd""T""hh:mm:ss"))</f>
        <v/>
      </c>
      <c r="B80" s="30" t="str">
        <f aca="true">IF(INDIRECT("office_form!A"&amp;ROW())="","",config!$B$36)</f>
        <v/>
      </c>
      <c r="C80" s="30" t="str">
        <f aca="true">IF(INDIRECT("office_form!A"&amp;ROW())="","",IF(INDIRECT("office_form!B"&amp;ROW())="","",INDIRECT("office_form!B"&amp;ROW())))</f>
        <v/>
      </c>
      <c r="D80" s="30" t="str">
        <f aca="true">IF(INDIRECT("office_form!A"&amp;ROW())="","",IF(INDIRECT("office_form!C"&amp;ROW())="","",INDIRECT("office_form!C"&amp;ROW())))</f>
        <v/>
      </c>
      <c r="E80" s="30" t="str">
        <f aca="true">IF(INDIRECT("office_form!A"&amp;ROW())="","",IF(INDIRECT("office_form!D"&amp;ROW())="","",INDIRECT("office_form!D"&amp;ROW())))</f>
        <v/>
      </c>
      <c r="F80" s="30" t="str">
        <f aca="true">IF(INDIRECT("office_form!A"&amp;ROW())="","",IF(INDIRECT("office_form!E"&amp;ROW())="","",INDIRECT("office_form!E"&amp;ROW())))</f>
        <v/>
      </c>
      <c r="G80" s="30" t="str">
        <f aca="true">IF(INDIRECT("office_form!A"&amp;ROW())="","",IF(INDIRECT("office_form!F"&amp;ROW())="","",INDIRECT("office_form!F"&amp;ROW())))</f>
        <v/>
      </c>
      <c r="H80" s="30" t="str">
        <f aca="true">IF(INDIRECT("office_form!A"&amp;ROW())="","",IF(INDIRECT("office_form!G"&amp;ROW())="","",INDIRECT("office_form!G"&amp;ROW())))</f>
        <v/>
      </c>
      <c r="I80" s="30" t="str">
        <f aca="true">IF(INDIRECT("office_form!A"&amp;ROW())="","",IF(INDIRECT("office_form!H"&amp;ROW())="","",INDIRECT("office_form!H"&amp;ROW())))</f>
        <v/>
      </c>
      <c r="J80" s="30" t="str">
        <f aca="true">IF(INDIRECT("office_form!A"&amp;ROW())="","",IF(INDIRECT("office_form!I"&amp;ROW())="","",INDIRECT("office_form!I"&amp;ROW())))</f>
        <v/>
      </c>
      <c r="K80" s="30" t="str">
        <f aca="true">IF(INDIRECT("office_form!A"&amp;ROW())="","",IF($M80="Y",$D80,IF(INDIRECT("office_form!K"&amp;ROW())="","",INDIRECT("office_form!K"&amp;ROW()))))</f>
        <v/>
      </c>
      <c r="L80" s="30" t="str">
        <f aca="true">IF(INDIRECT("office_form!A"&amp;ROW())="","",IF($M80="Y",$E80,IF(INDIRECT("office_form!L"&amp;ROW())="","",INDIRECT("office_form!L"&amp;ROW()))))</f>
        <v/>
      </c>
      <c r="M80" s="30" t="str">
        <f aca="true">IF(INDIRECT("office_form!A"&amp;ROW())="","",IF(IF(INDIRECT("office_form!J"&amp;ROW())="","",INDIRECT("office_form!J"&amp;ROW()))="Yes, me","Y",IF(IF(INDIRECT("office_form!J"&amp;ROW())="","",INDIRECT("office_form!J"&amp;ROW()))="Someone else","N","")))</f>
        <v/>
      </c>
      <c r="N80"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30" t="str">
        <f aca="true">IF(INDIRECT("office_form!A"&amp;ROW())="","",IF(INDIRECT("office_form!N"&amp;ROW())="","",INDIRECT("office_form!N"&amp;ROW())))</f>
        <v/>
      </c>
      <c r="P80" s="30" t="str">
        <f aca="true">IF(INDIRECT("office_form!A"&amp;ROW())="","",IF(IF(INDIRECT("office_form!O"&amp;ROW())="","",INDIRECT("office_form!O"&amp;ROW()))="Yes","yes",IF(IF(INDIRECT("office_form!O"&amp;ROW())="","",INDIRECT("office_form!O"&amp;ROW()))="No","no",IF(IF(INDIRECT("office_form!O"&amp;ROW())="","",INDIRECT("office_form!O"&amp;ROW()))="Not sure","unsure",""))))</f>
        <v/>
      </c>
      <c r="Q80" s="30" t="str">
        <f aca="true">IF(INDIRECT("office_form!A"&amp;ROW())="","",IF(IF(INDIRECT("office_form!P"&amp;ROW())="","",INDIRECT("office_form!P"&amp;ROW()))="Slack","slack",IF(IF(INDIRECT("office_form!P"&amp;ROW())="","",INDIRECT("office_form!P"&amp;ROW()))="Email","email",IF(IF(INDIRECT("office_form!P"&amp;ROW())="","",INDIRECT("office_form!P"&amp;ROW()))="Other","other",""))))</f>
        <v/>
      </c>
      <c r="R80"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30" t="str">
        <f aca="true">IF(INDIRECT("office_form!A"&amp;ROW())="","",IF(INDIRECT("office_form!R"&amp;ROW())="","",INDIRECT("office_form!R"&amp;ROW())))</f>
        <v/>
      </c>
      <c r="T80" s="30" t="str">
        <f aca="true">IF(INDIRECT("office_form!A"&amp;ROW())="","",IF(INDIRECT("office_form!S"&amp;ROW())="","",INDIRECT("office_form!S"&amp;ROW())))</f>
        <v/>
      </c>
      <c r="U80" s="30" t="str">
        <f aca="true">IF(INDIRECT("office_form!A"&amp;ROW())="","","founder")</f>
        <v/>
      </c>
    </row>
    <row r="81" customFormat="false" ht="15" hidden="false" customHeight="false" outlineLevel="0" collapsed="false">
      <c r="A81" s="30" t="str">
        <f aca="true">IF(INDIRECT("office_form!A"&amp;ROW())="","",TEXT(INDIRECT("office_form!A"&amp;ROW()),"yyyy-mm-dd""T""hh:mm:ss"))</f>
        <v/>
      </c>
      <c r="B81" s="30" t="str">
        <f aca="true">IF(INDIRECT("office_form!A"&amp;ROW())="","",config!$B$36)</f>
        <v/>
      </c>
      <c r="C81" s="30" t="str">
        <f aca="true">IF(INDIRECT("office_form!A"&amp;ROW())="","",IF(INDIRECT("office_form!B"&amp;ROW())="","",INDIRECT("office_form!B"&amp;ROW())))</f>
        <v/>
      </c>
      <c r="D81" s="30" t="str">
        <f aca="true">IF(INDIRECT("office_form!A"&amp;ROW())="","",IF(INDIRECT("office_form!C"&amp;ROW())="","",INDIRECT("office_form!C"&amp;ROW())))</f>
        <v/>
      </c>
      <c r="E81" s="30" t="str">
        <f aca="true">IF(INDIRECT("office_form!A"&amp;ROW())="","",IF(INDIRECT("office_form!D"&amp;ROW())="","",INDIRECT("office_form!D"&amp;ROW())))</f>
        <v/>
      </c>
      <c r="F81" s="30" t="str">
        <f aca="true">IF(INDIRECT("office_form!A"&amp;ROW())="","",IF(INDIRECT("office_form!E"&amp;ROW())="","",INDIRECT("office_form!E"&amp;ROW())))</f>
        <v/>
      </c>
      <c r="G81" s="30" t="str">
        <f aca="true">IF(INDIRECT("office_form!A"&amp;ROW())="","",IF(INDIRECT("office_form!F"&amp;ROW())="","",INDIRECT("office_form!F"&amp;ROW())))</f>
        <v/>
      </c>
      <c r="H81" s="30" t="str">
        <f aca="true">IF(INDIRECT("office_form!A"&amp;ROW())="","",IF(INDIRECT("office_form!G"&amp;ROW())="","",INDIRECT("office_form!G"&amp;ROW())))</f>
        <v/>
      </c>
      <c r="I81" s="30" t="str">
        <f aca="true">IF(INDIRECT("office_form!A"&amp;ROW())="","",IF(INDIRECT("office_form!H"&amp;ROW())="","",INDIRECT("office_form!H"&amp;ROW())))</f>
        <v/>
      </c>
      <c r="J81" s="30" t="str">
        <f aca="true">IF(INDIRECT("office_form!A"&amp;ROW())="","",IF(INDIRECT("office_form!I"&amp;ROW())="","",INDIRECT("office_form!I"&amp;ROW())))</f>
        <v/>
      </c>
      <c r="K81" s="30" t="str">
        <f aca="true">IF(INDIRECT("office_form!A"&amp;ROW())="","",IF($M81="Y",$D81,IF(INDIRECT("office_form!K"&amp;ROW())="","",INDIRECT("office_form!K"&amp;ROW()))))</f>
        <v/>
      </c>
      <c r="L81" s="30" t="str">
        <f aca="true">IF(INDIRECT("office_form!A"&amp;ROW())="","",IF($M81="Y",$E81,IF(INDIRECT("office_form!L"&amp;ROW())="","",INDIRECT("office_form!L"&amp;ROW()))))</f>
        <v/>
      </c>
      <c r="M81" s="30" t="str">
        <f aca="true">IF(INDIRECT("office_form!A"&amp;ROW())="","",IF(IF(INDIRECT("office_form!J"&amp;ROW())="","",INDIRECT("office_form!J"&amp;ROW()))="Yes, me","Y",IF(IF(INDIRECT("office_form!J"&amp;ROW())="","",INDIRECT("office_form!J"&amp;ROW()))="Someone else","N","")))</f>
        <v/>
      </c>
      <c r="N81" s="30" t="str">
        <f aca="true">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30" t="str">
        <f aca="true">IF(INDIRECT("office_form!A"&amp;ROW())="","",IF(INDIRECT("office_form!N"&amp;ROW())="","",INDIRECT("office_form!N"&amp;ROW())))</f>
        <v/>
      </c>
      <c r="P81" s="30" t="str">
        <f aca="true">IF(INDIRECT("office_form!A"&amp;ROW())="","",IF(IF(INDIRECT("office_form!O"&amp;ROW())="","",INDIRECT("office_form!O"&amp;ROW()))="Yes","yes",IF(IF(INDIRECT("office_form!O"&amp;ROW())="","",INDIRECT("office_form!O"&amp;ROW()))="No","no",IF(IF(INDIRECT("office_form!O"&amp;ROW())="","",INDIRECT("office_form!O"&amp;ROW()))="Not sure","unsure",""))))</f>
        <v/>
      </c>
      <c r="Q81" s="30" t="str">
        <f aca="true">IF(INDIRECT("office_form!A"&amp;ROW())="","",IF(IF(INDIRECT("office_form!P"&amp;ROW())="","",INDIRECT("office_form!P"&amp;ROW()))="Slack","slack",IF(IF(INDIRECT("office_form!P"&amp;ROW())="","",INDIRECT("office_form!P"&amp;ROW()))="Email","email",IF(IF(INDIRECT("office_form!P"&amp;ROW())="","",INDIRECT("office_form!P"&amp;ROW()))="Other","other",""))))</f>
        <v/>
      </c>
      <c r="R81" s="30" t="str">
        <f aca="false">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30" t="str">
        <f aca="true">IF(INDIRECT("office_form!A"&amp;ROW())="","",IF(INDIRECT("office_form!R"&amp;ROW())="","",INDIRECT("office_form!R"&amp;ROW())))</f>
        <v/>
      </c>
      <c r="T81" s="30" t="str">
        <f aca="true">IF(INDIRECT("office_form!A"&amp;ROW())="","",IF(INDIRECT("office_form!S"&amp;ROW())="","",INDIRECT("office_form!S"&amp;ROW())))</f>
        <v/>
      </c>
      <c r="U81" s="30" t="str">
        <f aca="true">IF(INDIRECT("office_form!A"&amp;ROW())="","","founder")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AA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s>
  <sheetData>
    <row r="1" customFormat="false" ht="15" hidden="false" customHeight="false" outlineLevel="0" collapsed="false">
      <c r="A1" s="29" t="s">
        <v>1416</v>
      </c>
      <c r="B1" s="29" t="s">
        <v>1417</v>
      </c>
      <c r="C1" s="29" t="s">
        <v>411</v>
      </c>
      <c r="D1" s="29" t="s">
        <v>599</v>
      </c>
      <c r="E1" s="29" t="s">
        <v>601</v>
      </c>
      <c r="F1" s="29" t="s">
        <v>602</v>
      </c>
      <c r="G1" s="29" t="s">
        <v>603</v>
      </c>
      <c r="H1" s="29" t="s">
        <v>604</v>
      </c>
      <c r="I1" s="29" t="s">
        <v>365</v>
      </c>
      <c r="J1" s="29" t="s">
        <v>412</v>
      </c>
      <c r="K1" s="29" t="s">
        <v>600</v>
      </c>
      <c r="L1" s="29" t="s">
        <v>606</v>
      </c>
      <c r="M1" s="29" t="s">
        <v>605</v>
      </c>
      <c r="N1" s="29" t="s">
        <v>607</v>
      </c>
      <c r="O1" s="29" t="s">
        <v>1476</v>
      </c>
      <c r="P1" s="29" t="s">
        <v>1477</v>
      </c>
      <c r="Q1" s="29" t="s">
        <v>608</v>
      </c>
      <c r="R1" s="29" t="s">
        <v>609</v>
      </c>
      <c r="S1" s="29" t="s">
        <v>610</v>
      </c>
      <c r="T1" s="29" t="s">
        <v>611</v>
      </c>
      <c r="U1" s="29" t="s">
        <v>612</v>
      </c>
      <c r="V1" s="29" t="s">
        <v>613</v>
      </c>
      <c r="W1" s="29" t="s">
        <v>614</v>
      </c>
      <c r="X1" s="29" t="s">
        <v>615</v>
      </c>
      <c r="Y1" s="29" t="s">
        <v>616</v>
      </c>
      <c r="Z1" s="29" t="s">
        <v>305</v>
      </c>
      <c r="AA1" s="29" t="s">
        <v>823</v>
      </c>
    </row>
    <row r="2" customFormat="false" ht="15" hidden="false" customHeight="false" outlineLevel="0" collapsed="false">
      <c r="A2" s="30" t="str">
        <f aca="true">IF(INDIRECT("brand_form!A"&amp;ROW())="","",TEXT(INDIRECT("brand_form!A"&amp;ROW()),"yyyy-mm-dd""T""hh:mm:ss"))</f>
        <v>2026-11-19T14:05:00</v>
      </c>
      <c r="B2" s="30" t="str">
        <f aca="true">IF(INDIRECT("brand_form!A"&amp;ROW())="","",config!$B$35)</f>
        <v>brand-gform-1.0</v>
      </c>
      <c r="C2" s="30" t="str">
        <f aca="true">IF(INDIRECT("brand_form!A"&amp;ROW())="","",IF(INDIRECT("brand_form!B"&amp;ROW())="","",INDIRECT("brand_form!B"&amp;ROW())))</f>
        <v>SAMPLE Northbound</v>
      </c>
      <c r="D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https://example.com/northbound</v>
      </c>
      <c r="E2" s="30" t="str">
        <f aca="true">IF(INDIRECT("brand_form!A"&amp;ROW())="","",IF(INDIRECT("brand_form!G"&amp;ROW())="","",INDIRECT("brand_form!G"&amp;ROW())))</f>
        <v>SAMPLE Founder of Northbound</v>
      </c>
      <c r="F2" s="30" t="str">
        <f aca="true">IF(INDIRECT("brand_form!A"&amp;ROW())="","",IF(INDIRECT("brand_form!H"&amp;ROW())="","",INDIRECT("brand_form!H"&amp;ROW())))</f>
        <v>SAMPLE Co-founder</v>
      </c>
      <c r="G2" s="30" t="str">
        <f aca="true">IF(INDIRECT("brand_form!A"&amp;ROW())="","",IF(INDIRECT("brand_form!I"&amp;ROW())="","",INDIRECT("brand_form!I"&amp;ROW())))</f>
        <v>SAMPLE-002@example.com</v>
      </c>
      <c r="H2" s="30" t="str">
        <f aca="true">IF(INDIRECT("brand_form!A"&amp;ROW())="","",IF(INDIRECT("brand_form!J"&amp;ROW())="","",INDIRECT("brand_form!J"&amp;ROW())))</f>
        <v>SAMPLE (718) 555-0102</v>
      </c>
      <c r="I2" s="30" t="str">
        <f aca="true">IF(INDIRECT("brand_form!A"&amp;ROW())="","",IF(INDIRECT("brand_form!D"&amp;ROW())="","",INDIRECT("brand_form!D"&amp;ROW())))</f>
        <v>SAMPLE Grapefruit Sparkling Water, 12 oz cans</v>
      </c>
      <c r="J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sparkling-soda</v>
      </c>
      <c r="K2" s="30" t="str">
        <f aca="true">IF(INDIRECT("brand_form!A"&amp;ROW())="","",IF(INDIRECT("brand_form!F"&amp;ROW())="","",INDIRECT("brand_form!F"&amp;ROW())))</f>
        <v>SAMPLE Brooklyn, NY</v>
      </c>
      <c r="L2" s="30" t="str">
        <f aca="true">IF(INDIRECT("brand_form!A"&amp;ROW())="","",IF(INDIRECT("brand_form!M"&amp;ROW())="","",INDIRECT("brand_form!M"&amp;ROW())))</f>
        <v>SAMPLE Example Market, 1 Example Street</v>
      </c>
      <c r="M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https://example.com/northbound/shop</v>
      </c>
      <c r="N2" s="30" t="str">
        <f aca="true">IF(INDIRECT("brand_form!A"&amp;ROW())="","",IF(IF(INDIRECT("brand_form!O"&amp;ROW())="","",INDIRECT("brand_form!O"&amp;ROW()))="Yes","Y",IF(IF(INDIRECT("brand_form!O"&amp;ROW())="","",INDIRECT("brand_form!O"&amp;ROW()))="No","N","")))</f>
        <v>Y</v>
      </c>
      <c r="O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Next available drop</v>
      </c>
      <c r="P2" s="30" t="str">
        <f aca="true">IF(INDIRECT("brand_form!A"&amp;ROW())="","",IF(IF(INDIRECT("brand_form!K"&amp;ROW())="","",INDIRECT("brand_form!K"&amp;ROW()))="I do","Y",IF(IF(INDIRECT("brand_form!K"&amp;ROW())="","",INDIRECT("brand_form!K"&amp;ROW()))="Someone else","N","")))</f>
        <v>Y</v>
      </c>
      <c r="Q2" s="30" t="str">
        <f aca="true">IF(INDIRECT("brand_form!A"&amp;ROW())="","",IF($P2="Y",$E2&amp;", "&amp;$F2,IF(INDIRECT("brand_form!L"&amp;ROW())="","",INDIRECT("brand_form!L"&amp;ROW()))))</f>
        <v>SAMPLE Founder of Northbound, SAMPLE Co-founder</v>
      </c>
      <c r="R2" s="30" t="str">
        <f aca="true">IF(INDIRECT("brand_form!A"&amp;ROW())="","",IF(IF(INDIRECT("brand_form!Q"&amp;ROW())="","",INDIRECT("brand_form!Q"&amp;ROW()))="Yes","Y",IF(IF(INDIRECT("brand_form!Q"&amp;ROW())="","",INDIRECT("brand_form!Q"&amp;ROW()))="No","N",IF(IF(INDIRECT("brand_form!Q"&amp;ROW())="","",INDIRECT("brand_form!Q"&amp;ROW()))="Not sure","unsure",""))))</f>
        <v>Y</v>
      </c>
      <c r="S2" s="30" t="str">
        <f aca="true">IF(INDIRECT("brand_form!A"&amp;ROW())="","",IF(IF(INDIRECT("brand_form!R"&amp;ROW())="","",INDIRECT("brand_form!R"&amp;ROW()))="Yes","Y",IF(IF(INDIRECT("brand_form!R"&amp;ROW())="","",INDIRECT("brand_form!R"&amp;ROW()))="No","N",IF(IF(INDIRECT("brand_form!R"&amp;ROW())="","",INDIRECT("brand_form!R"&amp;ROW()))="Not sure","unsure",""))))</f>
        <v>Y</v>
      </c>
      <c r="T2" s="30" t="str">
        <f aca="true">IF(INDIRECT("brand_form!A"&amp;ROW())="","",IF(IF(INDIRECT("brand_form!S"&amp;ROW())="","",INDIRECT("brand_form!S"&amp;ROW()))="Yes","Y",IF(IF(INDIRECT("brand_form!S"&amp;ROW())="","",INDIRECT("brand_form!S"&amp;ROW()))="No","N",IF(IF(INDIRECT("brand_form!S"&amp;ROW())="","",INDIRECT("brand_form!S"&amp;ROW()))="Not sure","unsure",""))))</f>
        <v>Y</v>
      </c>
      <c r="U2" s="30" t="str">
        <f aca="true">IF(INDIRECT("brand_form!A"&amp;ROW())="","",IF(IF(INDIRECT("brand_form!T"&amp;ROW())="","",INDIRECT("brand_form!T"&amp;ROW()))="Yes","Y",IF(IF(INDIRECT("brand_form!T"&amp;ROW())="","",INDIRECT("brand_form!T"&amp;ROW()))="No","N",IF(IF(INDIRECT("brand_form!T"&amp;ROW())="","",INDIRECT("brand_form!T"&amp;ROW()))="Not sure","unsure",""))))</f>
        <v>Y</v>
      </c>
      <c r="V2" s="30" t="str">
        <f aca="true">IF(INDIRECT("brand_form!A"&amp;ROW())="","",IF(IF(INDIRECT("brand_form!U"&amp;ROW())="","",INDIRECT("brand_form!U"&amp;ROW()))="Yes","Y",IF(IF(INDIRECT("brand_form!U"&amp;ROW())="","",INDIRECT("brand_form!U"&amp;ROW()))="No","N",IF(IF(INDIRECT("brand_form!U"&amp;ROW())="","",INDIRECT("brand_form!U"&amp;ROW()))="Not sure","unsure",""))))</f>
        <v>Y</v>
      </c>
      <c r="W2" s="30" t="str">
        <f aca="true">IF(INDIRECT("brand_form!A"&amp;ROW())="","",IF(IF(INDIRECT("brand_form!V"&amp;ROW())="","",INDIRECT("brand_form!V"&amp;ROW()))="Yes","Y",IF(IF(INDIRECT("brand_form!V"&amp;ROW())="","",INDIRECT("brand_form!V"&amp;ROW()))="No","N",IF(IF(INDIRECT("brand_form!V"&amp;ROW())="","",INDIRECT("brand_form!V"&amp;ROW()))="Not sure","unsure",""))))</f>
        <v>Y</v>
      </c>
      <c r="X2" s="30" t="str">
        <f aca="true">IF(INDIRECT("brand_form!A"&amp;ROW())="","",IF(INDIRECT("brand_form!W"&amp;ROW())="","",INDIRECT("brand_form!W"&amp;ROW())))</f>
        <v>SAMPLE new placement at a store near the cluster</v>
      </c>
      <c r="Y2" s="30" t="str">
        <f aca="true">IF(INDIRECT("brand_form!A"&amp;ROW())="","",IF(IF(INDIRECT("brand_form!X"&amp;ROW())="","",INDIRECT("brand_form!X"&amp;ROW()))&lt;&gt;"","Y",""))</f>
        <v>Y</v>
      </c>
      <c r="Z2" s="30" t="str">
        <f aca="true">IF(INDIRECT("brand_form!A"&amp;ROW())="","",IF(INDIRECT("brand_form!Y"&amp;ROW())="","",INDIRECT("brand_form!Y"&amp;ROW())))</f>
        <v/>
      </c>
      <c r="AA2" s="30" t="str">
        <f aca="true">IF(INDIRECT("brand_form!A"&amp;ROW())="","","founder")</f>
        <v>founder</v>
      </c>
    </row>
    <row r="3" customFormat="false" ht="15" hidden="false" customHeight="false" outlineLevel="0" collapsed="false">
      <c r="A3" s="30" t="str">
        <f aca="true">IF(INDIRECT("brand_form!A"&amp;ROW())="","",TEXT(INDIRECT("brand_form!A"&amp;ROW()),"yyyy-mm-dd""T""hh:mm:ss"))</f>
        <v/>
      </c>
      <c r="B3" s="30" t="str">
        <f aca="true">IF(INDIRECT("brand_form!A"&amp;ROW())="","",config!$B$35)</f>
        <v/>
      </c>
      <c r="C3" s="30" t="str">
        <f aca="true">IF(INDIRECT("brand_form!A"&amp;ROW())="","",IF(INDIRECT("brand_form!B"&amp;ROW())="","",INDIRECT("brand_form!B"&amp;ROW())))</f>
        <v/>
      </c>
      <c r="D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 s="30" t="str">
        <f aca="true">IF(INDIRECT("brand_form!A"&amp;ROW())="","",IF(INDIRECT("brand_form!G"&amp;ROW())="","",INDIRECT("brand_form!G"&amp;ROW())))</f>
        <v/>
      </c>
      <c r="F3" s="30" t="str">
        <f aca="true">IF(INDIRECT("brand_form!A"&amp;ROW())="","",IF(INDIRECT("brand_form!H"&amp;ROW())="","",INDIRECT("brand_form!H"&amp;ROW())))</f>
        <v/>
      </c>
      <c r="G3" s="30" t="str">
        <f aca="true">IF(INDIRECT("brand_form!A"&amp;ROW())="","",IF(INDIRECT("brand_form!I"&amp;ROW())="","",INDIRECT("brand_form!I"&amp;ROW())))</f>
        <v/>
      </c>
      <c r="H3" s="30" t="str">
        <f aca="true">IF(INDIRECT("brand_form!A"&amp;ROW())="","",IF(INDIRECT("brand_form!J"&amp;ROW())="","",INDIRECT("brand_form!J"&amp;ROW())))</f>
        <v/>
      </c>
      <c r="I3" s="30" t="str">
        <f aca="true">IF(INDIRECT("brand_form!A"&amp;ROW())="","",IF(INDIRECT("brand_form!D"&amp;ROW())="","",INDIRECT("brand_form!D"&amp;ROW())))</f>
        <v/>
      </c>
      <c r="J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30" t="str">
        <f aca="true">IF(INDIRECT("brand_form!A"&amp;ROW())="","",IF(INDIRECT("brand_form!F"&amp;ROW())="","",INDIRECT("brand_form!F"&amp;ROW())))</f>
        <v/>
      </c>
      <c r="L3" s="30" t="str">
        <f aca="true">IF(INDIRECT("brand_form!A"&amp;ROW())="","",IF(INDIRECT("brand_form!M"&amp;ROW())="","",INDIRECT("brand_form!M"&amp;ROW())))</f>
        <v/>
      </c>
      <c r="M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 s="30" t="str">
        <f aca="true">IF(INDIRECT("brand_form!A"&amp;ROW())="","",IF(IF(INDIRECT("brand_form!O"&amp;ROW())="","",INDIRECT("brand_form!O"&amp;ROW()))="Yes","Y",IF(IF(INDIRECT("brand_form!O"&amp;ROW())="","",INDIRECT("brand_form!O"&amp;ROW()))="No","N","")))</f>
        <v/>
      </c>
      <c r="O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30" t="str">
        <f aca="true">IF(INDIRECT("brand_form!A"&amp;ROW())="","",IF(IF(INDIRECT("brand_form!K"&amp;ROW())="","",INDIRECT("brand_form!K"&amp;ROW()))="I do","Y",IF(IF(INDIRECT("brand_form!K"&amp;ROW())="","",INDIRECT("brand_form!K"&amp;ROW()))="Someone else","N","")))</f>
        <v/>
      </c>
      <c r="Q3" s="30" t="str">
        <f aca="true">IF(INDIRECT("brand_form!A"&amp;ROW())="","",IF($P3="Y",$E3&amp;", "&amp;$F3,IF(INDIRECT("brand_form!L"&amp;ROW())="","",INDIRECT("brand_form!L"&amp;ROW()))))</f>
        <v/>
      </c>
      <c r="R3" s="30" t="str">
        <f aca="true">IF(INDIRECT("brand_form!A"&amp;ROW())="","",IF(IF(INDIRECT("brand_form!Q"&amp;ROW())="","",INDIRECT("brand_form!Q"&amp;ROW()))="Yes","Y",IF(IF(INDIRECT("brand_form!Q"&amp;ROW())="","",INDIRECT("brand_form!Q"&amp;ROW()))="No","N",IF(IF(INDIRECT("brand_form!Q"&amp;ROW())="","",INDIRECT("brand_form!Q"&amp;ROW()))="Not sure","unsure",""))))</f>
        <v/>
      </c>
      <c r="S3" s="30" t="str">
        <f aca="true">IF(INDIRECT("brand_form!A"&amp;ROW())="","",IF(IF(INDIRECT("brand_form!R"&amp;ROW())="","",INDIRECT("brand_form!R"&amp;ROW()))="Yes","Y",IF(IF(INDIRECT("brand_form!R"&amp;ROW())="","",INDIRECT("brand_form!R"&amp;ROW()))="No","N",IF(IF(INDIRECT("brand_form!R"&amp;ROW())="","",INDIRECT("brand_form!R"&amp;ROW()))="Not sure","unsure",""))))</f>
        <v/>
      </c>
      <c r="T3" s="30" t="str">
        <f aca="true">IF(INDIRECT("brand_form!A"&amp;ROW())="","",IF(IF(INDIRECT("brand_form!S"&amp;ROW())="","",INDIRECT("brand_form!S"&amp;ROW()))="Yes","Y",IF(IF(INDIRECT("brand_form!S"&amp;ROW())="","",INDIRECT("brand_form!S"&amp;ROW()))="No","N",IF(IF(INDIRECT("brand_form!S"&amp;ROW())="","",INDIRECT("brand_form!S"&amp;ROW()))="Not sure","unsure",""))))</f>
        <v/>
      </c>
      <c r="U3" s="30" t="str">
        <f aca="true">IF(INDIRECT("brand_form!A"&amp;ROW())="","",IF(IF(INDIRECT("brand_form!T"&amp;ROW())="","",INDIRECT("brand_form!T"&amp;ROW()))="Yes","Y",IF(IF(INDIRECT("brand_form!T"&amp;ROW())="","",INDIRECT("brand_form!T"&amp;ROW()))="No","N",IF(IF(INDIRECT("brand_form!T"&amp;ROW())="","",INDIRECT("brand_form!T"&amp;ROW()))="Not sure","unsure",""))))</f>
        <v/>
      </c>
      <c r="V3" s="30" t="str">
        <f aca="true">IF(INDIRECT("brand_form!A"&amp;ROW())="","",IF(IF(INDIRECT("brand_form!U"&amp;ROW())="","",INDIRECT("brand_form!U"&amp;ROW()))="Yes","Y",IF(IF(INDIRECT("brand_form!U"&amp;ROW())="","",INDIRECT("brand_form!U"&amp;ROW()))="No","N",IF(IF(INDIRECT("brand_form!U"&amp;ROW())="","",INDIRECT("brand_form!U"&amp;ROW()))="Not sure","unsure",""))))</f>
        <v/>
      </c>
      <c r="W3" s="30" t="str">
        <f aca="true">IF(INDIRECT("brand_form!A"&amp;ROW())="","",IF(IF(INDIRECT("brand_form!V"&amp;ROW())="","",INDIRECT("brand_form!V"&amp;ROW()))="Yes","Y",IF(IF(INDIRECT("brand_form!V"&amp;ROW())="","",INDIRECT("brand_form!V"&amp;ROW()))="No","N",IF(IF(INDIRECT("brand_form!V"&amp;ROW())="","",INDIRECT("brand_form!V"&amp;ROW()))="Not sure","unsure",""))))</f>
        <v/>
      </c>
      <c r="X3" s="30" t="str">
        <f aca="true">IF(INDIRECT("brand_form!A"&amp;ROW())="","",IF(INDIRECT("brand_form!W"&amp;ROW())="","",INDIRECT("brand_form!W"&amp;ROW())))</f>
        <v/>
      </c>
      <c r="Y3" s="30" t="str">
        <f aca="true">IF(INDIRECT("brand_form!A"&amp;ROW())="","",IF(IF(INDIRECT("brand_form!X"&amp;ROW())="","",INDIRECT("brand_form!X"&amp;ROW()))&lt;&gt;"","Y",""))</f>
        <v/>
      </c>
      <c r="Z3" s="30" t="str">
        <f aca="true">IF(INDIRECT("brand_form!A"&amp;ROW())="","",IF(INDIRECT("brand_form!Y"&amp;ROW())="","",INDIRECT("brand_form!Y"&amp;ROW())))</f>
        <v/>
      </c>
      <c r="AA3" s="30" t="str">
        <f aca="true">IF(INDIRECT("brand_form!A"&amp;ROW())="","","founder")</f>
        <v/>
      </c>
    </row>
    <row r="4" customFormat="false" ht="15" hidden="false" customHeight="false" outlineLevel="0" collapsed="false">
      <c r="A4" s="30" t="str">
        <f aca="true">IF(INDIRECT("brand_form!A"&amp;ROW())="","",TEXT(INDIRECT("brand_form!A"&amp;ROW()),"yyyy-mm-dd""T""hh:mm:ss"))</f>
        <v/>
      </c>
      <c r="B4" s="30" t="str">
        <f aca="true">IF(INDIRECT("brand_form!A"&amp;ROW())="","",config!$B$35)</f>
        <v/>
      </c>
      <c r="C4" s="30" t="str">
        <f aca="true">IF(INDIRECT("brand_form!A"&amp;ROW())="","",IF(INDIRECT("brand_form!B"&amp;ROW())="","",INDIRECT("brand_form!B"&amp;ROW())))</f>
        <v/>
      </c>
      <c r="D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 s="30" t="str">
        <f aca="true">IF(INDIRECT("brand_form!A"&amp;ROW())="","",IF(INDIRECT("brand_form!G"&amp;ROW())="","",INDIRECT("brand_form!G"&amp;ROW())))</f>
        <v/>
      </c>
      <c r="F4" s="30" t="str">
        <f aca="true">IF(INDIRECT("brand_form!A"&amp;ROW())="","",IF(INDIRECT("brand_form!H"&amp;ROW())="","",INDIRECT("brand_form!H"&amp;ROW())))</f>
        <v/>
      </c>
      <c r="G4" s="30" t="str">
        <f aca="true">IF(INDIRECT("brand_form!A"&amp;ROW())="","",IF(INDIRECT("brand_form!I"&amp;ROW())="","",INDIRECT("brand_form!I"&amp;ROW())))</f>
        <v/>
      </c>
      <c r="H4" s="30" t="str">
        <f aca="true">IF(INDIRECT("brand_form!A"&amp;ROW())="","",IF(INDIRECT("brand_form!J"&amp;ROW())="","",INDIRECT("brand_form!J"&amp;ROW())))</f>
        <v/>
      </c>
      <c r="I4" s="30" t="str">
        <f aca="true">IF(INDIRECT("brand_form!A"&amp;ROW())="","",IF(INDIRECT("brand_form!D"&amp;ROW())="","",INDIRECT("brand_form!D"&amp;ROW())))</f>
        <v/>
      </c>
      <c r="J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30" t="str">
        <f aca="true">IF(INDIRECT("brand_form!A"&amp;ROW())="","",IF(INDIRECT("brand_form!F"&amp;ROW())="","",INDIRECT("brand_form!F"&amp;ROW())))</f>
        <v/>
      </c>
      <c r="L4" s="30" t="str">
        <f aca="true">IF(INDIRECT("brand_form!A"&amp;ROW())="","",IF(INDIRECT("brand_form!M"&amp;ROW())="","",INDIRECT("brand_form!M"&amp;ROW())))</f>
        <v/>
      </c>
      <c r="M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 s="30" t="str">
        <f aca="true">IF(INDIRECT("brand_form!A"&amp;ROW())="","",IF(IF(INDIRECT("brand_form!O"&amp;ROW())="","",INDIRECT("brand_form!O"&amp;ROW()))="Yes","Y",IF(IF(INDIRECT("brand_form!O"&amp;ROW())="","",INDIRECT("brand_form!O"&amp;ROW()))="No","N","")))</f>
        <v/>
      </c>
      <c r="O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30" t="str">
        <f aca="true">IF(INDIRECT("brand_form!A"&amp;ROW())="","",IF(IF(INDIRECT("brand_form!K"&amp;ROW())="","",INDIRECT("brand_form!K"&amp;ROW()))="I do","Y",IF(IF(INDIRECT("brand_form!K"&amp;ROW())="","",INDIRECT("brand_form!K"&amp;ROW()))="Someone else","N","")))</f>
        <v/>
      </c>
      <c r="Q4" s="30" t="str">
        <f aca="true">IF(INDIRECT("brand_form!A"&amp;ROW())="","",IF($P4="Y",$E4&amp;", "&amp;$F4,IF(INDIRECT("brand_form!L"&amp;ROW())="","",INDIRECT("brand_form!L"&amp;ROW()))))</f>
        <v/>
      </c>
      <c r="R4" s="30" t="str">
        <f aca="true">IF(INDIRECT("brand_form!A"&amp;ROW())="","",IF(IF(INDIRECT("brand_form!Q"&amp;ROW())="","",INDIRECT("brand_form!Q"&amp;ROW()))="Yes","Y",IF(IF(INDIRECT("brand_form!Q"&amp;ROW())="","",INDIRECT("brand_form!Q"&amp;ROW()))="No","N",IF(IF(INDIRECT("brand_form!Q"&amp;ROW())="","",INDIRECT("brand_form!Q"&amp;ROW()))="Not sure","unsure",""))))</f>
        <v/>
      </c>
      <c r="S4" s="30" t="str">
        <f aca="true">IF(INDIRECT("brand_form!A"&amp;ROW())="","",IF(IF(INDIRECT("brand_form!R"&amp;ROW())="","",INDIRECT("brand_form!R"&amp;ROW()))="Yes","Y",IF(IF(INDIRECT("brand_form!R"&amp;ROW())="","",INDIRECT("brand_form!R"&amp;ROW()))="No","N",IF(IF(INDIRECT("brand_form!R"&amp;ROW())="","",INDIRECT("brand_form!R"&amp;ROW()))="Not sure","unsure",""))))</f>
        <v/>
      </c>
      <c r="T4" s="30" t="str">
        <f aca="true">IF(INDIRECT("brand_form!A"&amp;ROW())="","",IF(IF(INDIRECT("brand_form!S"&amp;ROW())="","",INDIRECT("brand_form!S"&amp;ROW()))="Yes","Y",IF(IF(INDIRECT("brand_form!S"&amp;ROW())="","",INDIRECT("brand_form!S"&amp;ROW()))="No","N",IF(IF(INDIRECT("brand_form!S"&amp;ROW())="","",INDIRECT("brand_form!S"&amp;ROW()))="Not sure","unsure",""))))</f>
        <v/>
      </c>
      <c r="U4" s="30" t="str">
        <f aca="true">IF(INDIRECT("brand_form!A"&amp;ROW())="","",IF(IF(INDIRECT("brand_form!T"&amp;ROW())="","",INDIRECT("brand_form!T"&amp;ROW()))="Yes","Y",IF(IF(INDIRECT("brand_form!T"&amp;ROW())="","",INDIRECT("brand_form!T"&amp;ROW()))="No","N",IF(IF(INDIRECT("brand_form!T"&amp;ROW())="","",INDIRECT("brand_form!T"&amp;ROW()))="Not sure","unsure",""))))</f>
        <v/>
      </c>
      <c r="V4" s="30" t="str">
        <f aca="true">IF(INDIRECT("brand_form!A"&amp;ROW())="","",IF(IF(INDIRECT("brand_form!U"&amp;ROW())="","",INDIRECT("brand_form!U"&amp;ROW()))="Yes","Y",IF(IF(INDIRECT("brand_form!U"&amp;ROW())="","",INDIRECT("brand_form!U"&amp;ROW()))="No","N",IF(IF(INDIRECT("brand_form!U"&amp;ROW())="","",INDIRECT("brand_form!U"&amp;ROW()))="Not sure","unsure",""))))</f>
        <v/>
      </c>
      <c r="W4" s="30" t="str">
        <f aca="true">IF(INDIRECT("brand_form!A"&amp;ROW())="","",IF(IF(INDIRECT("brand_form!V"&amp;ROW())="","",INDIRECT("brand_form!V"&amp;ROW()))="Yes","Y",IF(IF(INDIRECT("brand_form!V"&amp;ROW())="","",INDIRECT("brand_form!V"&amp;ROW()))="No","N",IF(IF(INDIRECT("brand_form!V"&amp;ROW())="","",INDIRECT("brand_form!V"&amp;ROW()))="Not sure","unsure",""))))</f>
        <v/>
      </c>
      <c r="X4" s="30" t="str">
        <f aca="true">IF(INDIRECT("brand_form!A"&amp;ROW())="","",IF(INDIRECT("brand_form!W"&amp;ROW())="","",INDIRECT("brand_form!W"&amp;ROW())))</f>
        <v/>
      </c>
      <c r="Y4" s="30" t="str">
        <f aca="true">IF(INDIRECT("brand_form!A"&amp;ROW())="","",IF(IF(INDIRECT("brand_form!X"&amp;ROW())="","",INDIRECT("brand_form!X"&amp;ROW()))&lt;&gt;"","Y",""))</f>
        <v/>
      </c>
      <c r="Z4" s="30" t="str">
        <f aca="true">IF(INDIRECT("brand_form!A"&amp;ROW())="","",IF(INDIRECT("brand_form!Y"&amp;ROW())="","",INDIRECT("brand_form!Y"&amp;ROW())))</f>
        <v/>
      </c>
      <c r="AA4" s="30" t="str">
        <f aca="true">IF(INDIRECT("brand_form!A"&amp;ROW())="","","founder")</f>
        <v/>
      </c>
    </row>
    <row r="5" customFormat="false" ht="15" hidden="false" customHeight="false" outlineLevel="0" collapsed="false">
      <c r="A5" s="30" t="str">
        <f aca="true">IF(INDIRECT("brand_form!A"&amp;ROW())="","",TEXT(INDIRECT("brand_form!A"&amp;ROW()),"yyyy-mm-dd""T""hh:mm:ss"))</f>
        <v/>
      </c>
      <c r="B5" s="30" t="str">
        <f aca="true">IF(INDIRECT("brand_form!A"&amp;ROW())="","",config!$B$35)</f>
        <v/>
      </c>
      <c r="C5" s="30" t="str">
        <f aca="true">IF(INDIRECT("brand_form!A"&amp;ROW())="","",IF(INDIRECT("brand_form!B"&amp;ROW())="","",INDIRECT("brand_form!B"&amp;ROW())))</f>
        <v/>
      </c>
      <c r="D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 s="30" t="str">
        <f aca="true">IF(INDIRECT("brand_form!A"&amp;ROW())="","",IF(INDIRECT("brand_form!G"&amp;ROW())="","",INDIRECT("brand_form!G"&amp;ROW())))</f>
        <v/>
      </c>
      <c r="F5" s="30" t="str">
        <f aca="true">IF(INDIRECT("brand_form!A"&amp;ROW())="","",IF(INDIRECT("brand_form!H"&amp;ROW())="","",INDIRECT("brand_form!H"&amp;ROW())))</f>
        <v/>
      </c>
      <c r="G5" s="30" t="str">
        <f aca="true">IF(INDIRECT("brand_form!A"&amp;ROW())="","",IF(INDIRECT("brand_form!I"&amp;ROW())="","",INDIRECT("brand_form!I"&amp;ROW())))</f>
        <v/>
      </c>
      <c r="H5" s="30" t="str">
        <f aca="true">IF(INDIRECT("brand_form!A"&amp;ROW())="","",IF(INDIRECT("brand_form!J"&amp;ROW())="","",INDIRECT("brand_form!J"&amp;ROW())))</f>
        <v/>
      </c>
      <c r="I5" s="30" t="str">
        <f aca="true">IF(INDIRECT("brand_form!A"&amp;ROW())="","",IF(INDIRECT("brand_form!D"&amp;ROW())="","",INDIRECT("brand_form!D"&amp;ROW())))</f>
        <v/>
      </c>
      <c r="J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30" t="str">
        <f aca="true">IF(INDIRECT("brand_form!A"&amp;ROW())="","",IF(INDIRECT("brand_form!F"&amp;ROW())="","",INDIRECT("brand_form!F"&amp;ROW())))</f>
        <v/>
      </c>
      <c r="L5" s="30" t="str">
        <f aca="true">IF(INDIRECT("brand_form!A"&amp;ROW())="","",IF(INDIRECT("brand_form!M"&amp;ROW())="","",INDIRECT("brand_form!M"&amp;ROW())))</f>
        <v/>
      </c>
      <c r="M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 s="30" t="str">
        <f aca="true">IF(INDIRECT("brand_form!A"&amp;ROW())="","",IF(IF(INDIRECT("brand_form!O"&amp;ROW())="","",INDIRECT("brand_form!O"&amp;ROW()))="Yes","Y",IF(IF(INDIRECT("brand_form!O"&amp;ROW())="","",INDIRECT("brand_form!O"&amp;ROW()))="No","N","")))</f>
        <v/>
      </c>
      <c r="O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30" t="str">
        <f aca="true">IF(INDIRECT("brand_form!A"&amp;ROW())="","",IF(IF(INDIRECT("brand_form!K"&amp;ROW())="","",INDIRECT("brand_form!K"&amp;ROW()))="I do","Y",IF(IF(INDIRECT("brand_form!K"&amp;ROW())="","",INDIRECT("brand_form!K"&amp;ROW()))="Someone else","N","")))</f>
        <v/>
      </c>
      <c r="Q5" s="30" t="str">
        <f aca="true">IF(INDIRECT("brand_form!A"&amp;ROW())="","",IF($P5="Y",$E5&amp;", "&amp;$F5,IF(INDIRECT("brand_form!L"&amp;ROW())="","",INDIRECT("brand_form!L"&amp;ROW()))))</f>
        <v/>
      </c>
      <c r="R5" s="30" t="str">
        <f aca="true">IF(INDIRECT("brand_form!A"&amp;ROW())="","",IF(IF(INDIRECT("brand_form!Q"&amp;ROW())="","",INDIRECT("brand_form!Q"&amp;ROW()))="Yes","Y",IF(IF(INDIRECT("brand_form!Q"&amp;ROW())="","",INDIRECT("brand_form!Q"&amp;ROW()))="No","N",IF(IF(INDIRECT("brand_form!Q"&amp;ROW())="","",INDIRECT("brand_form!Q"&amp;ROW()))="Not sure","unsure",""))))</f>
        <v/>
      </c>
      <c r="S5" s="30" t="str">
        <f aca="true">IF(INDIRECT("brand_form!A"&amp;ROW())="","",IF(IF(INDIRECT("brand_form!R"&amp;ROW())="","",INDIRECT("brand_form!R"&amp;ROW()))="Yes","Y",IF(IF(INDIRECT("brand_form!R"&amp;ROW())="","",INDIRECT("brand_form!R"&amp;ROW()))="No","N",IF(IF(INDIRECT("brand_form!R"&amp;ROW())="","",INDIRECT("brand_form!R"&amp;ROW()))="Not sure","unsure",""))))</f>
        <v/>
      </c>
      <c r="T5" s="30" t="str">
        <f aca="true">IF(INDIRECT("brand_form!A"&amp;ROW())="","",IF(IF(INDIRECT("brand_form!S"&amp;ROW())="","",INDIRECT("brand_form!S"&amp;ROW()))="Yes","Y",IF(IF(INDIRECT("brand_form!S"&amp;ROW())="","",INDIRECT("brand_form!S"&amp;ROW()))="No","N",IF(IF(INDIRECT("brand_form!S"&amp;ROW())="","",INDIRECT("brand_form!S"&amp;ROW()))="Not sure","unsure",""))))</f>
        <v/>
      </c>
      <c r="U5" s="30" t="str">
        <f aca="true">IF(INDIRECT("brand_form!A"&amp;ROW())="","",IF(IF(INDIRECT("brand_form!T"&amp;ROW())="","",INDIRECT("brand_form!T"&amp;ROW()))="Yes","Y",IF(IF(INDIRECT("brand_form!T"&amp;ROW())="","",INDIRECT("brand_form!T"&amp;ROW()))="No","N",IF(IF(INDIRECT("brand_form!T"&amp;ROW())="","",INDIRECT("brand_form!T"&amp;ROW()))="Not sure","unsure",""))))</f>
        <v/>
      </c>
      <c r="V5" s="30" t="str">
        <f aca="true">IF(INDIRECT("brand_form!A"&amp;ROW())="","",IF(IF(INDIRECT("brand_form!U"&amp;ROW())="","",INDIRECT("brand_form!U"&amp;ROW()))="Yes","Y",IF(IF(INDIRECT("brand_form!U"&amp;ROW())="","",INDIRECT("brand_form!U"&amp;ROW()))="No","N",IF(IF(INDIRECT("brand_form!U"&amp;ROW())="","",INDIRECT("brand_form!U"&amp;ROW()))="Not sure","unsure",""))))</f>
        <v/>
      </c>
      <c r="W5" s="30" t="str">
        <f aca="true">IF(INDIRECT("brand_form!A"&amp;ROW())="","",IF(IF(INDIRECT("brand_form!V"&amp;ROW())="","",INDIRECT("brand_form!V"&amp;ROW()))="Yes","Y",IF(IF(INDIRECT("brand_form!V"&amp;ROW())="","",INDIRECT("brand_form!V"&amp;ROW()))="No","N",IF(IF(INDIRECT("brand_form!V"&amp;ROW())="","",INDIRECT("brand_form!V"&amp;ROW()))="Not sure","unsure",""))))</f>
        <v/>
      </c>
      <c r="X5" s="30" t="str">
        <f aca="true">IF(INDIRECT("brand_form!A"&amp;ROW())="","",IF(INDIRECT("brand_form!W"&amp;ROW())="","",INDIRECT("brand_form!W"&amp;ROW())))</f>
        <v/>
      </c>
      <c r="Y5" s="30" t="str">
        <f aca="true">IF(INDIRECT("brand_form!A"&amp;ROW())="","",IF(IF(INDIRECT("brand_form!X"&amp;ROW())="","",INDIRECT("brand_form!X"&amp;ROW()))&lt;&gt;"","Y",""))</f>
        <v/>
      </c>
      <c r="Z5" s="30" t="str">
        <f aca="true">IF(INDIRECT("brand_form!A"&amp;ROW())="","",IF(INDIRECT("brand_form!Y"&amp;ROW())="","",INDIRECT("brand_form!Y"&amp;ROW())))</f>
        <v/>
      </c>
      <c r="AA5" s="30" t="str">
        <f aca="true">IF(INDIRECT("brand_form!A"&amp;ROW())="","","founder")</f>
        <v/>
      </c>
    </row>
    <row r="6" customFormat="false" ht="15" hidden="false" customHeight="false" outlineLevel="0" collapsed="false">
      <c r="A6" s="30" t="str">
        <f aca="true">IF(INDIRECT("brand_form!A"&amp;ROW())="","",TEXT(INDIRECT("brand_form!A"&amp;ROW()),"yyyy-mm-dd""T""hh:mm:ss"))</f>
        <v/>
      </c>
      <c r="B6" s="30" t="str">
        <f aca="true">IF(INDIRECT("brand_form!A"&amp;ROW())="","",config!$B$35)</f>
        <v/>
      </c>
      <c r="C6" s="30" t="str">
        <f aca="true">IF(INDIRECT("brand_form!A"&amp;ROW())="","",IF(INDIRECT("brand_form!B"&amp;ROW())="","",INDIRECT("brand_form!B"&amp;ROW())))</f>
        <v/>
      </c>
      <c r="D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 s="30" t="str">
        <f aca="true">IF(INDIRECT("brand_form!A"&amp;ROW())="","",IF(INDIRECT("brand_form!G"&amp;ROW())="","",INDIRECT("brand_form!G"&amp;ROW())))</f>
        <v/>
      </c>
      <c r="F6" s="30" t="str">
        <f aca="true">IF(INDIRECT("brand_form!A"&amp;ROW())="","",IF(INDIRECT("brand_form!H"&amp;ROW())="","",INDIRECT("brand_form!H"&amp;ROW())))</f>
        <v/>
      </c>
      <c r="G6" s="30" t="str">
        <f aca="true">IF(INDIRECT("brand_form!A"&amp;ROW())="","",IF(INDIRECT("brand_form!I"&amp;ROW())="","",INDIRECT("brand_form!I"&amp;ROW())))</f>
        <v/>
      </c>
      <c r="H6" s="30" t="str">
        <f aca="true">IF(INDIRECT("brand_form!A"&amp;ROW())="","",IF(INDIRECT("brand_form!J"&amp;ROW())="","",INDIRECT("brand_form!J"&amp;ROW())))</f>
        <v/>
      </c>
      <c r="I6" s="30" t="str">
        <f aca="true">IF(INDIRECT("brand_form!A"&amp;ROW())="","",IF(INDIRECT("brand_form!D"&amp;ROW())="","",INDIRECT("brand_form!D"&amp;ROW())))</f>
        <v/>
      </c>
      <c r="J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30" t="str">
        <f aca="true">IF(INDIRECT("brand_form!A"&amp;ROW())="","",IF(INDIRECT("brand_form!F"&amp;ROW())="","",INDIRECT("brand_form!F"&amp;ROW())))</f>
        <v/>
      </c>
      <c r="L6" s="30" t="str">
        <f aca="true">IF(INDIRECT("brand_form!A"&amp;ROW())="","",IF(INDIRECT("brand_form!M"&amp;ROW())="","",INDIRECT("brand_form!M"&amp;ROW())))</f>
        <v/>
      </c>
      <c r="M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 s="30" t="str">
        <f aca="true">IF(INDIRECT("brand_form!A"&amp;ROW())="","",IF(IF(INDIRECT("brand_form!O"&amp;ROW())="","",INDIRECT("brand_form!O"&amp;ROW()))="Yes","Y",IF(IF(INDIRECT("brand_form!O"&amp;ROW())="","",INDIRECT("brand_form!O"&amp;ROW()))="No","N","")))</f>
        <v/>
      </c>
      <c r="O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30" t="str">
        <f aca="true">IF(INDIRECT("brand_form!A"&amp;ROW())="","",IF(IF(INDIRECT("brand_form!K"&amp;ROW())="","",INDIRECT("brand_form!K"&amp;ROW()))="I do","Y",IF(IF(INDIRECT("brand_form!K"&amp;ROW())="","",INDIRECT("brand_form!K"&amp;ROW()))="Someone else","N","")))</f>
        <v/>
      </c>
      <c r="Q6" s="30" t="str">
        <f aca="true">IF(INDIRECT("brand_form!A"&amp;ROW())="","",IF($P6="Y",$E6&amp;", "&amp;$F6,IF(INDIRECT("brand_form!L"&amp;ROW())="","",INDIRECT("brand_form!L"&amp;ROW()))))</f>
        <v/>
      </c>
      <c r="R6" s="30" t="str">
        <f aca="true">IF(INDIRECT("brand_form!A"&amp;ROW())="","",IF(IF(INDIRECT("brand_form!Q"&amp;ROW())="","",INDIRECT("brand_form!Q"&amp;ROW()))="Yes","Y",IF(IF(INDIRECT("brand_form!Q"&amp;ROW())="","",INDIRECT("brand_form!Q"&amp;ROW()))="No","N",IF(IF(INDIRECT("brand_form!Q"&amp;ROW())="","",INDIRECT("brand_form!Q"&amp;ROW()))="Not sure","unsure",""))))</f>
        <v/>
      </c>
      <c r="S6" s="30" t="str">
        <f aca="true">IF(INDIRECT("brand_form!A"&amp;ROW())="","",IF(IF(INDIRECT("brand_form!R"&amp;ROW())="","",INDIRECT("brand_form!R"&amp;ROW()))="Yes","Y",IF(IF(INDIRECT("brand_form!R"&amp;ROW())="","",INDIRECT("brand_form!R"&amp;ROW()))="No","N",IF(IF(INDIRECT("brand_form!R"&amp;ROW())="","",INDIRECT("brand_form!R"&amp;ROW()))="Not sure","unsure",""))))</f>
        <v/>
      </c>
      <c r="T6" s="30" t="str">
        <f aca="true">IF(INDIRECT("brand_form!A"&amp;ROW())="","",IF(IF(INDIRECT("brand_form!S"&amp;ROW())="","",INDIRECT("brand_form!S"&amp;ROW()))="Yes","Y",IF(IF(INDIRECT("brand_form!S"&amp;ROW())="","",INDIRECT("brand_form!S"&amp;ROW()))="No","N",IF(IF(INDIRECT("brand_form!S"&amp;ROW())="","",INDIRECT("brand_form!S"&amp;ROW()))="Not sure","unsure",""))))</f>
        <v/>
      </c>
      <c r="U6" s="30" t="str">
        <f aca="true">IF(INDIRECT("brand_form!A"&amp;ROW())="","",IF(IF(INDIRECT("brand_form!T"&amp;ROW())="","",INDIRECT("brand_form!T"&amp;ROW()))="Yes","Y",IF(IF(INDIRECT("brand_form!T"&amp;ROW())="","",INDIRECT("brand_form!T"&amp;ROW()))="No","N",IF(IF(INDIRECT("brand_form!T"&amp;ROW())="","",INDIRECT("brand_form!T"&amp;ROW()))="Not sure","unsure",""))))</f>
        <v/>
      </c>
      <c r="V6" s="30" t="str">
        <f aca="true">IF(INDIRECT("brand_form!A"&amp;ROW())="","",IF(IF(INDIRECT("brand_form!U"&amp;ROW())="","",INDIRECT("brand_form!U"&amp;ROW()))="Yes","Y",IF(IF(INDIRECT("brand_form!U"&amp;ROW())="","",INDIRECT("brand_form!U"&amp;ROW()))="No","N",IF(IF(INDIRECT("brand_form!U"&amp;ROW())="","",INDIRECT("brand_form!U"&amp;ROW()))="Not sure","unsure",""))))</f>
        <v/>
      </c>
      <c r="W6" s="30" t="str">
        <f aca="true">IF(INDIRECT("brand_form!A"&amp;ROW())="","",IF(IF(INDIRECT("brand_form!V"&amp;ROW())="","",INDIRECT("brand_form!V"&amp;ROW()))="Yes","Y",IF(IF(INDIRECT("brand_form!V"&amp;ROW())="","",INDIRECT("brand_form!V"&amp;ROW()))="No","N",IF(IF(INDIRECT("brand_form!V"&amp;ROW())="","",INDIRECT("brand_form!V"&amp;ROW()))="Not sure","unsure",""))))</f>
        <v/>
      </c>
      <c r="X6" s="30" t="str">
        <f aca="true">IF(INDIRECT("brand_form!A"&amp;ROW())="","",IF(INDIRECT("brand_form!W"&amp;ROW())="","",INDIRECT("brand_form!W"&amp;ROW())))</f>
        <v/>
      </c>
      <c r="Y6" s="30" t="str">
        <f aca="true">IF(INDIRECT("brand_form!A"&amp;ROW())="","",IF(IF(INDIRECT("brand_form!X"&amp;ROW())="","",INDIRECT("brand_form!X"&amp;ROW()))&lt;&gt;"","Y",""))</f>
        <v/>
      </c>
      <c r="Z6" s="30" t="str">
        <f aca="true">IF(INDIRECT("brand_form!A"&amp;ROW())="","",IF(INDIRECT("brand_form!Y"&amp;ROW())="","",INDIRECT("brand_form!Y"&amp;ROW())))</f>
        <v/>
      </c>
      <c r="AA6" s="30" t="str">
        <f aca="true">IF(INDIRECT("brand_form!A"&amp;ROW())="","","founder")</f>
        <v/>
      </c>
    </row>
    <row r="7" customFormat="false" ht="15" hidden="false" customHeight="false" outlineLevel="0" collapsed="false">
      <c r="A7" s="30" t="str">
        <f aca="true">IF(INDIRECT("brand_form!A"&amp;ROW())="","",TEXT(INDIRECT("brand_form!A"&amp;ROW()),"yyyy-mm-dd""T""hh:mm:ss"))</f>
        <v/>
      </c>
      <c r="B7" s="30" t="str">
        <f aca="true">IF(INDIRECT("brand_form!A"&amp;ROW())="","",config!$B$35)</f>
        <v/>
      </c>
      <c r="C7" s="30" t="str">
        <f aca="true">IF(INDIRECT("brand_form!A"&amp;ROW())="","",IF(INDIRECT("brand_form!B"&amp;ROW())="","",INDIRECT("brand_form!B"&amp;ROW())))</f>
        <v/>
      </c>
      <c r="D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 s="30" t="str">
        <f aca="true">IF(INDIRECT("brand_form!A"&amp;ROW())="","",IF(INDIRECT("brand_form!G"&amp;ROW())="","",INDIRECT("brand_form!G"&amp;ROW())))</f>
        <v/>
      </c>
      <c r="F7" s="30" t="str">
        <f aca="true">IF(INDIRECT("brand_form!A"&amp;ROW())="","",IF(INDIRECT("brand_form!H"&amp;ROW())="","",INDIRECT("brand_form!H"&amp;ROW())))</f>
        <v/>
      </c>
      <c r="G7" s="30" t="str">
        <f aca="true">IF(INDIRECT("brand_form!A"&amp;ROW())="","",IF(INDIRECT("brand_form!I"&amp;ROW())="","",INDIRECT("brand_form!I"&amp;ROW())))</f>
        <v/>
      </c>
      <c r="H7" s="30" t="str">
        <f aca="true">IF(INDIRECT("brand_form!A"&amp;ROW())="","",IF(INDIRECT("brand_form!J"&amp;ROW())="","",INDIRECT("brand_form!J"&amp;ROW())))</f>
        <v/>
      </c>
      <c r="I7" s="30" t="str">
        <f aca="true">IF(INDIRECT("brand_form!A"&amp;ROW())="","",IF(INDIRECT("brand_form!D"&amp;ROW())="","",INDIRECT("brand_form!D"&amp;ROW())))</f>
        <v/>
      </c>
      <c r="J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30" t="str">
        <f aca="true">IF(INDIRECT("brand_form!A"&amp;ROW())="","",IF(INDIRECT("brand_form!F"&amp;ROW())="","",INDIRECT("brand_form!F"&amp;ROW())))</f>
        <v/>
      </c>
      <c r="L7" s="30" t="str">
        <f aca="true">IF(INDIRECT("brand_form!A"&amp;ROW())="","",IF(INDIRECT("brand_form!M"&amp;ROW())="","",INDIRECT("brand_form!M"&amp;ROW())))</f>
        <v/>
      </c>
      <c r="M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 s="30" t="str">
        <f aca="true">IF(INDIRECT("brand_form!A"&amp;ROW())="","",IF(IF(INDIRECT("brand_form!O"&amp;ROW())="","",INDIRECT("brand_form!O"&amp;ROW()))="Yes","Y",IF(IF(INDIRECT("brand_form!O"&amp;ROW())="","",INDIRECT("brand_form!O"&amp;ROW()))="No","N","")))</f>
        <v/>
      </c>
      <c r="O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30" t="str">
        <f aca="true">IF(INDIRECT("brand_form!A"&amp;ROW())="","",IF(IF(INDIRECT("brand_form!K"&amp;ROW())="","",INDIRECT("brand_form!K"&amp;ROW()))="I do","Y",IF(IF(INDIRECT("brand_form!K"&amp;ROW())="","",INDIRECT("brand_form!K"&amp;ROW()))="Someone else","N","")))</f>
        <v/>
      </c>
      <c r="Q7" s="30" t="str">
        <f aca="true">IF(INDIRECT("brand_form!A"&amp;ROW())="","",IF($P7="Y",$E7&amp;", "&amp;$F7,IF(INDIRECT("brand_form!L"&amp;ROW())="","",INDIRECT("brand_form!L"&amp;ROW()))))</f>
        <v/>
      </c>
      <c r="R7" s="30" t="str">
        <f aca="true">IF(INDIRECT("brand_form!A"&amp;ROW())="","",IF(IF(INDIRECT("brand_form!Q"&amp;ROW())="","",INDIRECT("brand_form!Q"&amp;ROW()))="Yes","Y",IF(IF(INDIRECT("brand_form!Q"&amp;ROW())="","",INDIRECT("brand_form!Q"&amp;ROW()))="No","N",IF(IF(INDIRECT("brand_form!Q"&amp;ROW())="","",INDIRECT("brand_form!Q"&amp;ROW()))="Not sure","unsure",""))))</f>
        <v/>
      </c>
      <c r="S7" s="30" t="str">
        <f aca="true">IF(INDIRECT("brand_form!A"&amp;ROW())="","",IF(IF(INDIRECT("brand_form!R"&amp;ROW())="","",INDIRECT("brand_form!R"&amp;ROW()))="Yes","Y",IF(IF(INDIRECT("brand_form!R"&amp;ROW())="","",INDIRECT("brand_form!R"&amp;ROW()))="No","N",IF(IF(INDIRECT("brand_form!R"&amp;ROW())="","",INDIRECT("brand_form!R"&amp;ROW()))="Not sure","unsure",""))))</f>
        <v/>
      </c>
      <c r="T7" s="30" t="str">
        <f aca="true">IF(INDIRECT("brand_form!A"&amp;ROW())="","",IF(IF(INDIRECT("brand_form!S"&amp;ROW())="","",INDIRECT("brand_form!S"&amp;ROW()))="Yes","Y",IF(IF(INDIRECT("brand_form!S"&amp;ROW())="","",INDIRECT("brand_form!S"&amp;ROW()))="No","N",IF(IF(INDIRECT("brand_form!S"&amp;ROW())="","",INDIRECT("brand_form!S"&amp;ROW()))="Not sure","unsure",""))))</f>
        <v/>
      </c>
      <c r="U7" s="30" t="str">
        <f aca="true">IF(INDIRECT("brand_form!A"&amp;ROW())="","",IF(IF(INDIRECT("brand_form!T"&amp;ROW())="","",INDIRECT("brand_form!T"&amp;ROW()))="Yes","Y",IF(IF(INDIRECT("brand_form!T"&amp;ROW())="","",INDIRECT("brand_form!T"&amp;ROW()))="No","N",IF(IF(INDIRECT("brand_form!T"&amp;ROW())="","",INDIRECT("brand_form!T"&amp;ROW()))="Not sure","unsure",""))))</f>
        <v/>
      </c>
      <c r="V7" s="30" t="str">
        <f aca="true">IF(INDIRECT("brand_form!A"&amp;ROW())="","",IF(IF(INDIRECT("brand_form!U"&amp;ROW())="","",INDIRECT("brand_form!U"&amp;ROW()))="Yes","Y",IF(IF(INDIRECT("brand_form!U"&amp;ROW())="","",INDIRECT("brand_form!U"&amp;ROW()))="No","N",IF(IF(INDIRECT("brand_form!U"&amp;ROW())="","",INDIRECT("brand_form!U"&amp;ROW()))="Not sure","unsure",""))))</f>
        <v/>
      </c>
      <c r="W7" s="30" t="str">
        <f aca="true">IF(INDIRECT("brand_form!A"&amp;ROW())="","",IF(IF(INDIRECT("brand_form!V"&amp;ROW())="","",INDIRECT("brand_form!V"&amp;ROW()))="Yes","Y",IF(IF(INDIRECT("brand_form!V"&amp;ROW())="","",INDIRECT("brand_form!V"&amp;ROW()))="No","N",IF(IF(INDIRECT("brand_form!V"&amp;ROW())="","",INDIRECT("brand_form!V"&amp;ROW()))="Not sure","unsure",""))))</f>
        <v/>
      </c>
      <c r="X7" s="30" t="str">
        <f aca="true">IF(INDIRECT("brand_form!A"&amp;ROW())="","",IF(INDIRECT("brand_form!W"&amp;ROW())="","",INDIRECT("brand_form!W"&amp;ROW())))</f>
        <v/>
      </c>
      <c r="Y7" s="30" t="str">
        <f aca="true">IF(INDIRECT("brand_form!A"&amp;ROW())="","",IF(IF(INDIRECT("brand_form!X"&amp;ROW())="","",INDIRECT("brand_form!X"&amp;ROW()))&lt;&gt;"","Y",""))</f>
        <v/>
      </c>
      <c r="Z7" s="30" t="str">
        <f aca="true">IF(INDIRECT("brand_form!A"&amp;ROW())="","",IF(INDIRECT("brand_form!Y"&amp;ROW())="","",INDIRECT("brand_form!Y"&amp;ROW())))</f>
        <v/>
      </c>
      <c r="AA7" s="30" t="str">
        <f aca="true">IF(INDIRECT("brand_form!A"&amp;ROW())="","","founder")</f>
        <v/>
      </c>
    </row>
    <row r="8" customFormat="false" ht="15" hidden="false" customHeight="false" outlineLevel="0" collapsed="false">
      <c r="A8" s="30" t="str">
        <f aca="true">IF(INDIRECT("brand_form!A"&amp;ROW())="","",TEXT(INDIRECT("brand_form!A"&amp;ROW()),"yyyy-mm-dd""T""hh:mm:ss"))</f>
        <v/>
      </c>
      <c r="B8" s="30" t="str">
        <f aca="true">IF(INDIRECT("brand_form!A"&amp;ROW())="","",config!$B$35)</f>
        <v/>
      </c>
      <c r="C8" s="30" t="str">
        <f aca="true">IF(INDIRECT("brand_form!A"&amp;ROW())="","",IF(INDIRECT("brand_form!B"&amp;ROW())="","",INDIRECT("brand_form!B"&amp;ROW())))</f>
        <v/>
      </c>
      <c r="D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 s="30" t="str">
        <f aca="true">IF(INDIRECT("brand_form!A"&amp;ROW())="","",IF(INDIRECT("brand_form!G"&amp;ROW())="","",INDIRECT("brand_form!G"&amp;ROW())))</f>
        <v/>
      </c>
      <c r="F8" s="30" t="str">
        <f aca="true">IF(INDIRECT("brand_form!A"&amp;ROW())="","",IF(INDIRECT("brand_form!H"&amp;ROW())="","",INDIRECT("brand_form!H"&amp;ROW())))</f>
        <v/>
      </c>
      <c r="G8" s="30" t="str">
        <f aca="true">IF(INDIRECT("brand_form!A"&amp;ROW())="","",IF(INDIRECT("brand_form!I"&amp;ROW())="","",INDIRECT("brand_form!I"&amp;ROW())))</f>
        <v/>
      </c>
      <c r="H8" s="30" t="str">
        <f aca="true">IF(INDIRECT("brand_form!A"&amp;ROW())="","",IF(INDIRECT("brand_form!J"&amp;ROW())="","",INDIRECT("brand_form!J"&amp;ROW())))</f>
        <v/>
      </c>
      <c r="I8" s="30" t="str">
        <f aca="true">IF(INDIRECT("brand_form!A"&amp;ROW())="","",IF(INDIRECT("brand_form!D"&amp;ROW())="","",INDIRECT("brand_form!D"&amp;ROW())))</f>
        <v/>
      </c>
      <c r="J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30" t="str">
        <f aca="true">IF(INDIRECT("brand_form!A"&amp;ROW())="","",IF(INDIRECT("brand_form!F"&amp;ROW())="","",INDIRECT("brand_form!F"&amp;ROW())))</f>
        <v/>
      </c>
      <c r="L8" s="30" t="str">
        <f aca="true">IF(INDIRECT("brand_form!A"&amp;ROW())="","",IF(INDIRECT("brand_form!M"&amp;ROW())="","",INDIRECT("brand_form!M"&amp;ROW())))</f>
        <v/>
      </c>
      <c r="M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 s="30" t="str">
        <f aca="true">IF(INDIRECT("brand_form!A"&amp;ROW())="","",IF(IF(INDIRECT("brand_form!O"&amp;ROW())="","",INDIRECT("brand_form!O"&amp;ROW()))="Yes","Y",IF(IF(INDIRECT("brand_form!O"&amp;ROW())="","",INDIRECT("brand_form!O"&amp;ROW()))="No","N","")))</f>
        <v/>
      </c>
      <c r="O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30" t="str">
        <f aca="true">IF(INDIRECT("brand_form!A"&amp;ROW())="","",IF(IF(INDIRECT("brand_form!K"&amp;ROW())="","",INDIRECT("brand_form!K"&amp;ROW()))="I do","Y",IF(IF(INDIRECT("brand_form!K"&amp;ROW())="","",INDIRECT("brand_form!K"&amp;ROW()))="Someone else","N","")))</f>
        <v/>
      </c>
      <c r="Q8" s="30" t="str">
        <f aca="true">IF(INDIRECT("brand_form!A"&amp;ROW())="","",IF($P8="Y",$E8&amp;", "&amp;$F8,IF(INDIRECT("brand_form!L"&amp;ROW())="","",INDIRECT("brand_form!L"&amp;ROW()))))</f>
        <v/>
      </c>
      <c r="R8" s="30" t="str">
        <f aca="true">IF(INDIRECT("brand_form!A"&amp;ROW())="","",IF(IF(INDIRECT("brand_form!Q"&amp;ROW())="","",INDIRECT("brand_form!Q"&amp;ROW()))="Yes","Y",IF(IF(INDIRECT("brand_form!Q"&amp;ROW())="","",INDIRECT("brand_form!Q"&amp;ROW()))="No","N",IF(IF(INDIRECT("brand_form!Q"&amp;ROW())="","",INDIRECT("brand_form!Q"&amp;ROW()))="Not sure","unsure",""))))</f>
        <v/>
      </c>
      <c r="S8" s="30" t="str">
        <f aca="true">IF(INDIRECT("brand_form!A"&amp;ROW())="","",IF(IF(INDIRECT("brand_form!R"&amp;ROW())="","",INDIRECT("brand_form!R"&amp;ROW()))="Yes","Y",IF(IF(INDIRECT("brand_form!R"&amp;ROW())="","",INDIRECT("brand_form!R"&amp;ROW()))="No","N",IF(IF(INDIRECT("brand_form!R"&amp;ROW())="","",INDIRECT("brand_form!R"&amp;ROW()))="Not sure","unsure",""))))</f>
        <v/>
      </c>
      <c r="T8" s="30" t="str">
        <f aca="true">IF(INDIRECT("brand_form!A"&amp;ROW())="","",IF(IF(INDIRECT("brand_form!S"&amp;ROW())="","",INDIRECT("brand_form!S"&amp;ROW()))="Yes","Y",IF(IF(INDIRECT("brand_form!S"&amp;ROW())="","",INDIRECT("brand_form!S"&amp;ROW()))="No","N",IF(IF(INDIRECT("brand_form!S"&amp;ROW())="","",INDIRECT("brand_form!S"&amp;ROW()))="Not sure","unsure",""))))</f>
        <v/>
      </c>
      <c r="U8" s="30" t="str">
        <f aca="true">IF(INDIRECT("brand_form!A"&amp;ROW())="","",IF(IF(INDIRECT("brand_form!T"&amp;ROW())="","",INDIRECT("brand_form!T"&amp;ROW()))="Yes","Y",IF(IF(INDIRECT("brand_form!T"&amp;ROW())="","",INDIRECT("brand_form!T"&amp;ROW()))="No","N",IF(IF(INDIRECT("brand_form!T"&amp;ROW())="","",INDIRECT("brand_form!T"&amp;ROW()))="Not sure","unsure",""))))</f>
        <v/>
      </c>
      <c r="V8" s="30" t="str">
        <f aca="true">IF(INDIRECT("brand_form!A"&amp;ROW())="","",IF(IF(INDIRECT("brand_form!U"&amp;ROW())="","",INDIRECT("brand_form!U"&amp;ROW()))="Yes","Y",IF(IF(INDIRECT("brand_form!U"&amp;ROW())="","",INDIRECT("brand_form!U"&amp;ROW()))="No","N",IF(IF(INDIRECT("brand_form!U"&amp;ROW())="","",INDIRECT("brand_form!U"&amp;ROW()))="Not sure","unsure",""))))</f>
        <v/>
      </c>
      <c r="W8" s="30" t="str">
        <f aca="true">IF(INDIRECT("brand_form!A"&amp;ROW())="","",IF(IF(INDIRECT("brand_form!V"&amp;ROW())="","",INDIRECT("brand_form!V"&amp;ROW()))="Yes","Y",IF(IF(INDIRECT("brand_form!V"&amp;ROW())="","",INDIRECT("brand_form!V"&amp;ROW()))="No","N",IF(IF(INDIRECT("brand_form!V"&amp;ROW())="","",INDIRECT("brand_form!V"&amp;ROW()))="Not sure","unsure",""))))</f>
        <v/>
      </c>
      <c r="X8" s="30" t="str">
        <f aca="true">IF(INDIRECT("brand_form!A"&amp;ROW())="","",IF(INDIRECT("brand_form!W"&amp;ROW())="","",INDIRECT("brand_form!W"&amp;ROW())))</f>
        <v/>
      </c>
      <c r="Y8" s="30" t="str">
        <f aca="true">IF(INDIRECT("brand_form!A"&amp;ROW())="","",IF(IF(INDIRECT("brand_form!X"&amp;ROW())="","",INDIRECT("brand_form!X"&amp;ROW()))&lt;&gt;"","Y",""))</f>
        <v/>
      </c>
      <c r="Z8" s="30" t="str">
        <f aca="true">IF(INDIRECT("brand_form!A"&amp;ROW())="","",IF(INDIRECT("brand_form!Y"&amp;ROW())="","",INDIRECT("brand_form!Y"&amp;ROW())))</f>
        <v/>
      </c>
      <c r="AA8" s="30" t="str">
        <f aca="true">IF(INDIRECT("brand_form!A"&amp;ROW())="","","founder")</f>
        <v/>
      </c>
    </row>
    <row r="9" customFormat="false" ht="15" hidden="false" customHeight="false" outlineLevel="0" collapsed="false">
      <c r="A9" s="30" t="str">
        <f aca="true">IF(INDIRECT("brand_form!A"&amp;ROW())="","",TEXT(INDIRECT("brand_form!A"&amp;ROW()),"yyyy-mm-dd""T""hh:mm:ss"))</f>
        <v/>
      </c>
      <c r="B9" s="30" t="str">
        <f aca="true">IF(INDIRECT("brand_form!A"&amp;ROW())="","",config!$B$35)</f>
        <v/>
      </c>
      <c r="C9" s="30" t="str">
        <f aca="true">IF(INDIRECT("brand_form!A"&amp;ROW())="","",IF(INDIRECT("brand_form!B"&amp;ROW())="","",INDIRECT("brand_form!B"&amp;ROW())))</f>
        <v/>
      </c>
      <c r="D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9" s="30" t="str">
        <f aca="true">IF(INDIRECT("brand_form!A"&amp;ROW())="","",IF(INDIRECT("brand_form!G"&amp;ROW())="","",INDIRECT("brand_form!G"&amp;ROW())))</f>
        <v/>
      </c>
      <c r="F9" s="30" t="str">
        <f aca="true">IF(INDIRECT("brand_form!A"&amp;ROW())="","",IF(INDIRECT("brand_form!H"&amp;ROW())="","",INDIRECT("brand_form!H"&amp;ROW())))</f>
        <v/>
      </c>
      <c r="G9" s="30" t="str">
        <f aca="true">IF(INDIRECT("brand_form!A"&amp;ROW())="","",IF(INDIRECT("brand_form!I"&amp;ROW())="","",INDIRECT("brand_form!I"&amp;ROW())))</f>
        <v/>
      </c>
      <c r="H9" s="30" t="str">
        <f aca="true">IF(INDIRECT("brand_form!A"&amp;ROW())="","",IF(INDIRECT("brand_form!J"&amp;ROW())="","",INDIRECT("brand_form!J"&amp;ROW())))</f>
        <v/>
      </c>
      <c r="I9" s="30" t="str">
        <f aca="true">IF(INDIRECT("brand_form!A"&amp;ROW())="","",IF(INDIRECT("brand_form!D"&amp;ROW())="","",INDIRECT("brand_form!D"&amp;ROW())))</f>
        <v/>
      </c>
      <c r="J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30" t="str">
        <f aca="true">IF(INDIRECT("brand_form!A"&amp;ROW())="","",IF(INDIRECT("brand_form!F"&amp;ROW())="","",INDIRECT("brand_form!F"&amp;ROW())))</f>
        <v/>
      </c>
      <c r="L9" s="30" t="str">
        <f aca="true">IF(INDIRECT("brand_form!A"&amp;ROW())="","",IF(INDIRECT("brand_form!M"&amp;ROW())="","",INDIRECT("brand_form!M"&amp;ROW())))</f>
        <v/>
      </c>
      <c r="M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9" s="30" t="str">
        <f aca="true">IF(INDIRECT("brand_form!A"&amp;ROW())="","",IF(IF(INDIRECT("brand_form!O"&amp;ROW())="","",INDIRECT("brand_form!O"&amp;ROW()))="Yes","Y",IF(IF(INDIRECT("brand_form!O"&amp;ROW())="","",INDIRECT("brand_form!O"&amp;ROW()))="No","N","")))</f>
        <v/>
      </c>
      <c r="O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30" t="str">
        <f aca="true">IF(INDIRECT("brand_form!A"&amp;ROW())="","",IF(IF(INDIRECT("brand_form!K"&amp;ROW())="","",INDIRECT("brand_form!K"&amp;ROW()))="I do","Y",IF(IF(INDIRECT("brand_form!K"&amp;ROW())="","",INDIRECT("brand_form!K"&amp;ROW()))="Someone else","N","")))</f>
        <v/>
      </c>
      <c r="Q9" s="30" t="str">
        <f aca="true">IF(INDIRECT("brand_form!A"&amp;ROW())="","",IF($P9="Y",$E9&amp;", "&amp;$F9,IF(INDIRECT("brand_form!L"&amp;ROW())="","",INDIRECT("brand_form!L"&amp;ROW()))))</f>
        <v/>
      </c>
      <c r="R9" s="30" t="str">
        <f aca="true">IF(INDIRECT("brand_form!A"&amp;ROW())="","",IF(IF(INDIRECT("brand_form!Q"&amp;ROW())="","",INDIRECT("brand_form!Q"&amp;ROW()))="Yes","Y",IF(IF(INDIRECT("brand_form!Q"&amp;ROW())="","",INDIRECT("brand_form!Q"&amp;ROW()))="No","N",IF(IF(INDIRECT("brand_form!Q"&amp;ROW())="","",INDIRECT("brand_form!Q"&amp;ROW()))="Not sure","unsure",""))))</f>
        <v/>
      </c>
      <c r="S9" s="30" t="str">
        <f aca="true">IF(INDIRECT("brand_form!A"&amp;ROW())="","",IF(IF(INDIRECT("brand_form!R"&amp;ROW())="","",INDIRECT("brand_form!R"&amp;ROW()))="Yes","Y",IF(IF(INDIRECT("brand_form!R"&amp;ROW())="","",INDIRECT("brand_form!R"&amp;ROW()))="No","N",IF(IF(INDIRECT("brand_form!R"&amp;ROW())="","",INDIRECT("brand_form!R"&amp;ROW()))="Not sure","unsure",""))))</f>
        <v/>
      </c>
      <c r="T9" s="30" t="str">
        <f aca="true">IF(INDIRECT("brand_form!A"&amp;ROW())="","",IF(IF(INDIRECT("brand_form!S"&amp;ROW())="","",INDIRECT("brand_form!S"&amp;ROW()))="Yes","Y",IF(IF(INDIRECT("brand_form!S"&amp;ROW())="","",INDIRECT("brand_form!S"&amp;ROW()))="No","N",IF(IF(INDIRECT("brand_form!S"&amp;ROW())="","",INDIRECT("brand_form!S"&amp;ROW()))="Not sure","unsure",""))))</f>
        <v/>
      </c>
      <c r="U9" s="30" t="str">
        <f aca="true">IF(INDIRECT("brand_form!A"&amp;ROW())="","",IF(IF(INDIRECT("brand_form!T"&amp;ROW())="","",INDIRECT("brand_form!T"&amp;ROW()))="Yes","Y",IF(IF(INDIRECT("brand_form!T"&amp;ROW())="","",INDIRECT("brand_form!T"&amp;ROW()))="No","N",IF(IF(INDIRECT("brand_form!T"&amp;ROW())="","",INDIRECT("brand_form!T"&amp;ROW()))="Not sure","unsure",""))))</f>
        <v/>
      </c>
      <c r="V9" s="30" t="str">
        <f aca="true">IF(INDIRECT("brand_form!A"&amp;ROW())="","",IF(IF(INDIRECT("brand_form!U"&amp;ROW())="","",INDIRECT("brand_form!U"&amp;ROW()))="Yes","Y",IF(IF(INDIRECT("brand_form!U"&amp;ROW())="","",INDIRECT("brand_form!U"&amp;ROW()))="No","N",IF(IF(INDIRECT("brand_form!U"&amp;ROW())="","",INDIRECT("brand_form!U"&amp;ROW()))="Not sure","unsure",""))))</f>
        <v/>
      </c>
      <c r="W9" s="30" t="str">
        <f aca="true">IF(INDIRECT("brand_form!A"&amp;ROW())="","",IF(IF(INDIRECT("brand_form!V"&amp;ROW())="","",INDIRECT("brand_form!V"&amp;ROW()))="Yes","Y",IF(IF(INDIRECT("brand_form!V"&amp;ROW())="","",INDIRECT("brand_form!V"&amp;ROW()))="No","N",IF(IF(INDIRECT("brand_form!V"&amp;ROW())="","",INDIRECT("brand_form!V"&amp;ROW()))="Not sure","unsure",""))))</f>
        <v/>
      </c>
      <c r="X9" s="30" t="str">
        <f aca="true">IF(INDIRECT("brand_form!A"&amp;ROW())="","",IF(INDIRECT("brand_form!W"&amp;ROW())="","",INDIRECT("brand_form!W"&amp;ROW())))</f>
        <v/>
      </c>
      <c r="Y9" s="30" t="str">
        <f aca="true">IF(INDIRECT("brand_form!A"&amp;ROW())="","",IF(IF(INDIRECT("brand_form!X"&amp;ROW())="","",INDIRECT("brand_form!X"&amp;ROW()))&lt;&gt;"","Y",""))</f>
        <v/>
      </c>
      <c r="Z9" s="30" t="str">
        <f aca="true">IF(INDIRECT("brand_form!A"&amp;ROW())="","",IF(INDIRECT("brand_form!Y"&amp;ROW())="","",INDIRECT("brand_form!Y"&amp;ROW())))</f>
        <v/>
      </c>
      <c r="AA9" s="30" t="str">
        <f aca="true">IF(INDIRECT("brand_form!A"&amp;ROW())="","","founder")</f>
        <v/>
      </c>
    </row>
    <row r="10" customFormat="false" ht="15" hidden="false" customHeight="false" outlineLevel="0" collapsed="false">
      <c r="A10" s="30" t="str">
        <f aca="true">IF(INDIRECT("brand_form!A"&amp;ROW())="","",TEXT(INDIRECT("brand_form!A"&amp;ROW()),"yyyy-mm-dd""T""hh:mm:ss"))</f>
        <v/>
      </c>
      <c r="B10" s="30" t="str">
        <f aca="true">IF(INDIRECT("brand_form!A"&amp;ROW())="","",config!$B$35)</f>
        <v/>
      </c>
      <c r="C10" s="30" t="str">
        <f aca="true">IF(INDIRECT("brand_form!A"&amp;ROW())="","",IF(INDIRECT("brand_form!B"&amp;ROW())="","",INDIRECT("brand_form!B"&amp;ROW())))</f>
        <v/>
      </c>
      <c r="D1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0" s="30" t="str">
        <f aca="true">IF(INDIRECT("brand_form!A"&amp;ROW())="","",IF(INDIRECT("brand_form!G"&amp;ROW())="","",INDIRECT("brand_form!G"&amp;ROW())))</f>
        <v/>
      </c>
      <c r="F10" s="30" t="str">
        <f aca="true">IF(INDIRECT("brand_form!A"&amp;ROW())="","",IF(INDIRECT("brand_form!H"&amp;ROW())="","",INDIRECT("brand_form!H"&amp;ROW())))</f>
        <v/>
      </c>
      <c r="G10" s="30" t="str">
        <f aca="true">IF(INDIRECT("brand_form!A"&amp;ROW())="","",IF(INDIRECT("brand_form!I"&amp;ROW())="","",INDIRECT("brand_form!I"&amp;ROW())))</f>
        <v/>
      </c>
      <c r="H10" s="30" t="str">
        <f aca="true">IF(INDIRECT("brand_form!A"&amp;ROW())="","",IF(INDIRECT("brand_form!J"&amp;ROW())="","",INDIRECT("brand_form!J"&amp;ROW())))</f>
        <v/>
      </c>
      <c r="I10" s="30" t="str">
        <f aca="true">IF(INDIRECT("brand_form!A"&amp;ROW())="","",IF(INDIRECT("brand_form!D"&amp;ROW())="","",INDIRECT("brand_form!D"&amp;ROW())))</f>
        <v/>
      </c>
      <c r="J1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30" t="str">
        <f aca="true">IF(INDIRECT("brand_form!A"&amp;ROW())="","",IF(INDIRECT("brand_form!F"&amp;ROW())="","",INDIRECT("brand_form!F"&amp;ROW())))</f>
        <v/>
      </c>
      <c r="L10" s="30" t="str">
        <f aca="true">IF(INDIRECT("brand_form!A"&amp;ROW())="","",IF(INDIRECT("brand_form!M"&amp;ROW())="","",INDIRECT("brand_form!M"&amp;ROW())))</f>
        <v/>
      </c>
      <c r="M1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0" s="30" t="str">
        <f aca="true">IF(INDIRECT("brand_form!A"&amp;ROW())="","",IF(IF(INDIRECT("brand_form!O"&amp;ROW())="","",INDIRECT("brand_form!O"&amp;ROW()))="Yes","Y",IF(IF(INDIRECT("brand_form!O"&amp;ROW())="","",INDIRECT("brand_form!O"&amp;ROW()))="No","N","")))</f>
        <v/>
      </c>
      <c r="O1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30" t="str">
        <f aca="true">IF(INDIRECT("brand_form!A"&amp;ROW())="","",IF(IF(INDIRECT("brand_form!K"&amp;ROW())="","",INDIRECT("brand_form!K"&amp;ROW()))="I do","Y",IF(IF(INDIRECT("brand_form!K"&amp;ROW())="","",INDIRECT("brand_form!K"&amp;ROW()))="Someone else","N","")))</f>
        <v/>
      </c>
      <c r="Q10" s="30" t="str">
        <f aca="true">IF(INDIRECT("brand_form!A"&amp;ROW())="","",IF($P10="Y",$E10&amp;", "&amp;$F10,IF(INDIRECT("brand_form!L"&amp;ROW())="","",INDIRECT("brand_form!L"&amp;ROW()))))</f>
        <v/>
      </c>
      <c r="R10" s="30" t="str">
        <f aca="true">IF(INDIRECT("brand_form!A"&amp;ROW())="","",IF(IF(INDIRECT("brand_form!Q"&amp;ROW())="","",INDIRECT("brand_form!Q"&amp;ROW()))="Yes","Y",IF(IF(INDIRECT("brand_form!Q"&amp;ROW())="","",INDIRECT("brand_form!Q"&amp;ROW()))="No","N",IF(IF(INDIRECT("brand_form!Q"&amp;ROW())="","",INDIRECT("brand_form!Q"&amp;ROW()))="Not sure","unsure",""))))</f>
        <v/>
      </c>
      <c r="S10" s="30" t="str">
        <f aca="true">IF(INDIRECT("brand_form!A"&amp;ROW())="","",IF(IF(INDIRECT("brand_form!R"&amp;ROW())="","",INDIRECT("brand_form!R"&amp;ROW()))="Yes","Y",IF(IF(INDIRECT("brand_form!R"&amp;ROW())="","",INDIRECT("brand_form!R"&amp;ROW()))="No","N",IF(IF(INDIRECT("brand_form!R"&amp;ROW())="","",INDIRECT("brand_form!R"&amp;ROW()))="Not sure","unsure",""))))</f>
        <v/>
      </c>
      <c r="T10" s="30" t="str">
        <f aca="true">IF(INDIRECT("brand_form!A"&amp;ROW())="","",IF(IF(INDIRECT("brand_form!S"&amp;ROW())="","",INDIRECT("brand_form!S"&amp;ROW()))="Yes","Y",IF(IF(INDIRECT("brand_form!S"&amp;ROW())="","",INDIRECT("brand_form!S"&amp;ROW()))="No","N",IF(IF(INDIRECT("brand_form!S"&amp;ROW())="","",INDIRECT("brand_form!S"&amp;ROW()))="Not sure","unsure",""))))</f>
        <v/>
      </c>
      <c r="U10" s="30" t="str">
        <f aca="true">IF(INDIRECT("brand_form!A"&amp;ROW())="","",IF(IF(INDIRECT("brand_form!T"&amp;ROW())="","",INDIRECT("brand_form!T"&amp;ROW()))="Yes","Y",IF(IF(INDIRECT("brand_form!T"&amp;ROW())="","",INDIRECT("brand_form!T"&amp;ROW()))="No","N",IF(IF(INDIRECT("brand_form!T"&amp;ROW())="","",INDIRECT("brand_form!T"&amp;ROW()))="Not sure","unsure",""))))</f>
        <v/>
      </c>
      <c r="V10" s="30" t="str">
        <f aca="true">IF(INDIRECT("brand_form!A"&amp;ROW())="","",IF(IF(INDIRECT("brand_form!U"&amp;ROW())="","",INDIRECT("brand_form!U"&amp;ROW()))="Yes","Y",IF(IF(INDIRECT("brand_form!U"&amp;ROW())="","",INDIRECT("brand_form!U"&amp;ROW()))="No","N",IF(IF(INDIRECT("brand_form!U"&amp;ROW())="","",INDIRECT("brand_form!U"&amp;ROW()))="Not sure","unsure",""))))</f>
        <v/>
      </c>
      <c r="W10" s="30" t="str">
        <f aca="true">IF(INDIRECT("brand_form!A"&amp;ROW())="","",IF(IF(INDIRECT("brand_form!V"&amp;ROW())="","",INDIRECT("brand_form!V"&amp;ROW()))="Yes","Y",IF(IF(INDIRECT("brand_form!V"&amp;ROW())="","",INDIRECT("brand_form!V"&amp;ROW()))="No","N",IF(IF(INDIRECT("brand_form!V"&amp;ROW())="","",INDIRECT("brand_form!V"&amp;ROW()))="Not sure","unsure",""))))</f>
        <v/>
      </c>
      <c r="X10" s="30" t="str">
        <f aca="true">IF(INDIRECT("brand_form!A"&amp;ROW())="","",IF(INDIRECT("brand_form!W"&amp;ROW())="","",INDIRECT("brand_form!W"&amp;ROW())))</f>
        <v/>
      </c>
      <c r="Y10" s="30" t="str">
        <f aca="true">IF(INDIRECT("brand_form!A"&amp;ROW())="","",IF(IF(INDIRECT("brand_form!X"&amp;ROW())="","",INDIRECT("brand_form!X"&amp;ROW()))&lt;&gt;"","Y",""))</f>
        <v/>
      </c>
      <c r="Z10" s="30" t="str">
        <f aca="true">IF(INDIRECT("brand_form!A"&amp;ROW())="","",IF(INDIRECT("brand_form!Y"&amp;ROW())="","",INDIRECT("brand_form!Y"&amp;ROW())))</f>
        <v/>
      </c>
      <c r="AA10" s="30" t="str">
        <f aca="true">IF(INDIRECT("brand_form!A"&amp;ROW())="","","founder")</f>
        <v/>
      </c>
    </row>
    <row r="11" customFormat="false" ht="15" hidden="false" customHeight="false" outlineLevel="0" collapsed="false">
      <c r="A11" s="30" t="str">
        <f aca="true">IF(INDIRECT("brand_form!A"&amp;ROW())="","",TEXT(INDIRECT("brand_form!A"&amp;ROW()),"yyyy-mm-dd""T""hh:mm:ss"))</f>
        <v/>
      </c>
      <c r="B11" s="30" t="str">
        <f aca="true">IF(INDIRECT("brand_form!A"&amp;ROW())="","",config!$B$35)</f>
        <v/>
      </c>
      <c r="C11" s="30" t="str">
        <f aca="true">IF(INDIRECT("brand_form!A"&amp;ROW())="","",IF(INDIRECT("brand_form!B"&amp;ROW())="","",INDIRECT("brand_form!B"&amp;ROW())))</f>
        <v/>
      </c>
      <c r="D1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1" s="30" t="str">
        <f aca="true">IF(INDIRECT("brand_form!A"&amp;ROW())="","",IF(INDIRECT("brand_form!G"&amp;ROW())="","",INDIRECT("brand_form!G"&amp;ROW())))</f>
        <v/>
      </c>
      <c r="F11" s="30" t="str">
        <f aca="true">IF(INDIRECT("brand_form!A"&amp;ROW())="","",IF(INDIRECT("brand_form!H"&amp;ROW())="","",INDIRECT("brand_form!H"&amp;ROW())))</f>
        <v/>
      </c>
      <c r="G11" s="30" t="str">
        <f aca="true">IF(INDIRECT("brand_form!A"&amp;ROW())="","",IF(INDIRECT("brand_form!I"&amp;ROW())="","",INDIRECT("brand_form!I"&amp;ROW())))</f>
        <v/>
      </c>
      <c r="H11" s="30" t="str">
        <f aca="true">IF(INDIRECT("brand_form!A"&amp;ROW())="","",IF(INDIRECT("brand_form!J"&amp;ROW())="","",INDIRECT("brand_form!J"&amp;ROW())))</f>
        <v/>
      </c>
      <c r="I11" s="30" t="str">
        <f aca="true">IF(INDIRECT("brand_form!A"&amp;ROW())="","",IF(INDIRECT("brand_form!D"&amp;ROW())="","",INDIRECT("brand_form!D"&amp;ROW())))</f>
        <v/>
      </c>
      <c r="J1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30" t="str">
        <f aca="true">IF(INDIRECT("brand_form!A"&amp;ROW())="","",IF(INDIRECT("brand_form!F"&amp;ROW())="","",INDIRECT("brand_form!F"&amp;ROW())))</f>
        <v/>
      </c>
      <c r="L11" s="30" t="str">
        <f aca="true">IF(INDIRECT("brand_form!A"&amp;ROW())="","",IF(INDIRECT("brand_form!M"&amp;ROW())="","",INDIRECT("brand_form!M"&amp;ROW())))</f>
        <v/>
      </c>
      <c r="M1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1" s="30" t="str">
        <f aca="true">IF(INDIRECT("brand_form!A"&amp;ROW())="","",IF(IF(INDIRECT("brand_form!O"&amp;ROW())="","",INDIRECT("brand_form!O"&amp;ROW()))="Yes","Y",IF(IF(INDIRECT("brand_form!O"&amp;ROW())="","",INDIRECT("brand_form!O"&amp;ROW()))="No","N","")))</f>
        <v/>
      </c>
      <c r="O1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30" t="str">
        <f aca="true">IF(INDIRECT("brand_form!A"&amp;ROW())="","",IF(IF(INDIRECT("brand_form!K"&amp;ROW())="","",INDIRECT("brand_form!K"&amp;ROW()))="I do","Y",IF(IF(INDIRECT("brand_form!K"&amp;ROW())="","",INDIRECT("brand_form!K"&amp;ROW()))="Someone else","N","")))</f>
        <v/>
      </c>
      <c r="Q11" s="30" t="str">
        <f aca="true">IF(INDIRECT("brand_form!A"&amp;ROW())="","",IF($P11="Y",$E11&amp;", "&amp;$F11,IF(INDIRECT("brand_form!L"&amp;ROW())="","",INDIRECT("brand_form!L"&amp;ROW()))))</f>
        <v/>
      </c>
      <c r="R11" s="30" t="str">
        <f aca="true">IF(INDIRECT("brand_form!A"&amp;ROW())="","",IF(IF(INDIRECT("brand_form!Q"&amp;ROW())="","",INDIRECT("brand_form!Q"&amp;ROW()))="Yes","Y",IF(IF(INDIRECT("brand_form!Q"&amp;ROW())="","",INDIRECT("brand_form!Q"&amp;ROW()))="No","N",IF(IF(INDIRECT("brand_form!Q"&amp;ROW())="","",INDIRECT("brand_form!Q"&amp;ROW()))="Not sure","unsure",""))))</f>
        <v/>
      </c>
      <c r="S11" s="30" t="str">
        <f aca="true">IF(INDIRECT("brand_form!A"&amp;ROW())="","",IF(IF(INDIRECT("brand_form!R"&amp;ROW())="","",INDIRECT("brand_form!R"&amp;ROW()))="Yes","Y",IF(IF(INDIRECT("brand_form!R"&amp;ROW())="","",INDIRECT("brand_form!R"&amp;ROW()))="No","N",IF(IF(INDIRECT("brand_form!R"&amp;ROW())="","",INDIRECT("brand_form!R"&amp;ROW()))="Not sure","unsure",""))))</f>
        <v/>
      </c>
      <c r="T11" s="30" t="str">
        <f aca="true">IF(INDIRECT("brand_form!A"&amp;ROW())="","",IF(IF(INDIRECT("brand_form!S"&amp;ROW())="","",INDIRECT("brand_form!S"&amp;ROW()))="Yes","Y",IF(IF(INDIRECT("brand_form!S"&amp;ROW())="","",INDIRECT("brand_form!S"&amp;ROW()))="No","N",IF(IF(INDIRECT("brand_form!S"&amp;ROW())="","",INDIRECT("brand_form!S"&amp;ROW()))="Not sure","unsure",""))))</f>
        <v/>
      </c>
      <c r="U11" s="30" t="str">
        <f aca="true">IF(INDIRECT("brand_form!A"&amp;ROW())="","",IF(IF(INDIRECT("brand_form!T"&amp;ROW())="","",INDIRECT("brand_form!T"&amp;ROW()))="Yes","Y",IF(IF(INDIRECT("brand_form!T"&amp;ROW())="","",INDIRECT("brand_form!T"&amp;ROW()))="No","N",IF(IF(INDIRECT("brand_form!T"&amp;ROW())="","",INDIRECT("brand_form!T"&amp;ROW()))="Not sure","unsure",""))))</f>
        <v/>
      </c>
      <c r="V11" s="30" t="str">
        <f aca="true">IF(INDIRECT("brand_form!A"&amp;ROW())="","",IF(IF(INDIRECT("brand_form!U"&amp;ROW())="","",INDIRECT("brand_form!U"&amp;ROW()))="Yes","Y",IF(IF(INDIRECT("brand_form!U"&amp;ROW())="","",INDIRECT("brand_form!U"&amp;ROW()))="No","N",IF(IF(INDIRECT("brand_form!U"&amp;ROW())="","",INDIRECT("brand_form!U"&amp;ROW()))="Not sure","unsure",""))))</f>
        <v/>
      </c>
      <c r="W11" s="30" t="str">
        <f aca="true">IF(INDIRECT("brand_form!A"&amp;ROW())="","",IF(IF(INDIRECT("brand_form!V"&amp;ROW())="","",INDIRECT("brand_form!V"&amp;ROW()))="Yes","Y",IF(IF(INDIRECT("brand_form!V"&amp;ROW())="","",INDIRECT("brand_form!V"&amp;ROW()))="No","N",IF(IF(INDIRECT("brand_form!V"&amp;ROW())="","",INDIRECT("brand_form!V"&amp;ROW()))="Not sure","unsure",""))))</f>
        <v/>
      </c>
      <c r="X11" s="30" t="str">
        <f aca="true">IF(INDIRECT("brand_form!A"&amp;ROW())="","",IF(INDIRECT("brand_form!W"&amp;ROW())="","",INDIRECT("brand_form!W"&amp;ROW())))</f>
        <v/>
      </c>
      <c r="Y11" s="30" t="str">
        <f aca="true">IF(INDIRECT("brand_form!A"&amp;ROW())="","",IF(IF(INDIRECT("brand_form!X"&amp;ROW())="","",INDIRECT("brand_form!X"&amp;ROW()))&lt;&gt;"","Y",""))</f>
        <v/>
      </c>
      <c r="Z11" s="30" t="str">
        <f aca="true">IF(INDIRECT("brand_form!A"&amp;ROW())="","",IF(INDIRECT("brand_form!Y"&amp;ROW())="","",INDIRECT("brand_form!Y"&amp;ROW())))</f>
        <v/>
      </c>
      <c r="AA11" s="30" t="str">
        <f aca="true">IF(INDIRECT("brand_form!A"&amp;ROW())="","","founder")</f>
        <v/>
      </c>
    </row>
    <row r="12" customFormat="false" ht="15" hidden="false" customHeight="false" outlineLevel="0" collapsed="false">
      <c r="A12" s="30" t="str">
        <f aca="true">IF(INDIRECT("brand_form!A"&amp;ROW())="","",TEXT(INDIRECT("brand_form!A"&amp;ROW()),"yyyy-mm-dd""T""hh:mm:ss"))</f>
        <v/>
      </c>
      <c r="B12" s="30" t="str">
        <f aca="true">IF(INDIRECT("brand_form!A"&amp;ROW())="","",config!$B$35)</f>
        <v/>
      </c>
      <c r="C12" s="30" t="str">
        <f aca="true">IF(INDIRECT("brand_form!A"&amp;ROW())="","",IF(INDIRECT("brand_form!B"&amp;ROW())="","",INDIRECT("brand_form!B"&amp;ROW())))</f>
        <v/>
      </c>
      <c r="D1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2" s="30" t="str">
        <f aca="true">IF(INDIRECT("brand_form!A"&amp;ROW())="","",IF(INDIRECT("brand_form!G"&amp;ROW())="","",INDIRECT("brand_form!G"&amp;ROW())))</f>
        <v/>
      </c>
      <c r="F12" s="30" t="str">
        <f aca="true">IF(INDIRECT("brand_form!A"&amp;ROW())="","",IF(INDIRECT("brand_form!H"&amp;ROW())="","",INDIRECT("brand_form!H"&amp;ROW())))</f>
        <v/>
      </c>
      <c r="G12" s="30" t="str">
        <f aca="true">IF(INDIRECT("brand_form!A"&amp;ROW())="","",IF(INDIRECT("brand_form!I"&amp;ROW())="","",INDIRECT("brand_form!I"&amp;ROW())))</f>
        <v/>
      </c>
      <c r="H12" s="30" t="str">
        <f aca="true">IF(INDIRECT("brand_form!A"&amp;ROW())="","",IF(INDIRECT("brand_form!J"&amp;ROW())="","",INDIRECT("brand_form!J"&amp;ROW())))</f>
        <v/>
      </c>
      <c r="I12" s="30" t="str">
        <f aca="true">IF(INDIRECT("brand_form!A"&amp;ROW())="","",IF(INDIRECT("brand_form!D"&amp;ROW())="","",INDIRECT("brand_form!D"&amp;ROW())))</f>
        <v/>
      </c>
      <c r="J1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30" t="str">
        <f aca="true">IF(INDIRECT("brand_form!A"&amp;ROW())="","",IF(INDIRECT("brand_form!F"&amp;ROW())="","",INDIRECT("brand_form!F"&amp;ROW())))</f>
        <v/>
      </c>
      <c r="L12" s="30" t="str">
        <f aca="true">IF(INDIRECT("brand_form!A"&amp;ROW())="","",IF(INDIRECT("brand_form!M"&amp;ROW())="","",INDIRECT("brand_form!M"&amp;ROW())))</f>
        <v/>
      </c>
      <c r="M1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2" s="30" t="str">
        <f aca="true">IF(INDIRECT("brand_form!A"&amp;ROW())="","",IF(IF(INDIRECT("brand_form!O"&amp;ROW())="","",INDIRECT("brand_form!O"&amp;ROW()))="Yes","Y",IF(IF(INDIRECT("brand_form!O"&amp;ROW())="","",INDIRECT("brand_form!O"&amp;ROW()))="No","N","")))</f>
        <v/>
      </c>
      <c r="O1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30" t="str">
        <f aca="true">IF(INDIRECT("brand_form!A"&amp;ROW())="","",IF(IF(INDIRECT("brand_form!K"&amp;ROW())="","",INDIRECT("brand_form!K"&amp;ROW()))="I do","Y",IF(IF(INDIRECT("brand_form!K"&amp;ROW())="","",INDIRECT("brand_form!K"&amp;ROW()))="Someone else","N","")))</f>
        <v/>
      </c>
      <c r="Q12" s="30" t="str">
        <f aca="true">IF(INDIRECT("brand_form!A"&amp;ROW())="","",IF($P12="Y",$E12&amp;", "&amp;$F12,IF(INDIRECT("brand_form!L"&amp;ROW())="","",INDIRECT("brand_form!L"&amp;ROW()))))</f>
        <v/>
      </c>
      <c r="R12" s="30" t="str">
        <f aca="true">IF(INDIRECT("brand_form!A"&amp;ROW())="","",IF(IF(INDIRECT("brand_form!Q"&amp;ROW())="","",INDIRECT("brand_form!Q"&amp;ROW()))="Yes","Y",IF(IF(INDIRECT("brand_form!Q"&amp;ROW())="","",INDIRECT("brand_form!Q"&amp;ROW()))="No","N",IF(IF(INDIRECT("brand_form!Q"&amp;ROW())="","",INDIRECT("brand_form!Q"&amp;ROW()))="Not sure","unsure",""))))</f>
        <v/>
      </c>
      <c r="S12" s="30" t="str">
        <f aca="true">IF(INDIRECT("brand_form!A"&amp;ROW())="","",IF(IF(INDIRECT("brand_form!R"&amp;ROW())="","",INDIRECT("brand_form!R"&amp;ROW()))="Yes","Y",IF(IF(INDIRECT("brand_form!R"&amp;ROW())="","",INDIRECT("brand_form!R"&amp;ROW()))="No","N",IF(IF(INDIRECT("brand_form!R"&amp;ROW())="","",INDIRECT("brand_form!R"&amp;ROW()))="Not sure","unsure",""))))</f>
        <v/>
      </c>
      <c r="T12" s="30" t="str">
        <f aca="true">IF(INDIRECT("brand_form!A"&amp;ROW())="","",IF(IF(INDIRECT("brand_form!S"&amp;ROW())="","",INDIRECT("brand_form!S"&amp;ROW()))="Yes","Y",IF(IF(INDIRECT("brand_form!S"&amp;ROW())="","",INDIRECT("brand_form!S"&amp;ROW()))="No","N",IF(IF(INDIRECT("brand_form!S"&amp;ROW())="","",INDIRECT("brand_form!S"&amp;ROW()))="Not sure","unsure",""))))</f>
        <v/>
      </c>
      <c r="U12" s="30" t="str">
        <f aca="true">IF(INDIRECT("brand_form!A"&amp;ROW())="","",IF(IF(INDIRECT("brand_form!T"&amp;ROW())="","",INDIRECT("brand_form!T"&amp;ROW()))="Yes","Y",IF(IF(INDIRECT("brand_form!T"&amp;ROW())="","",INDIRECT("brand_form!T"&amp;ROW()))="No","N",IF(IF(INDIRECT("brand_form!T"&amp;ROW())="","",INDIRECT("brand_form!T"&amp;ROW()))="Not sure","unsure",""))))</f>
        <v/>
      </c>
      <c r="V12" s="30" t="str">
        <f aca="true">IF(INDIRECT("brand_form!A"&amp;ROW())="","",IF(IF(INDIRECT("brand_form!U"&amp;ROW())="","",INDIRECT("brand_form!U"&amp;ROW()))="Yes","Y",IF(IF(INDIRECT("brand_form!U"&amp;ROW())="","",INDIRECT("brand_form!U"&amp;ROW()))="No","N",IF(IF(INDIRECT("brand_form!U"&amp;ROW())="","",INDIRECT("brand_form!U"&amp;ROW()))="Not sure","unsure",""))))</f>
        <v/>
      </c>
      <c r="W12" s="30" t="str">
        <f aca="true">IF(INDIRECT("brand_form!A"&amp;ROW())="","",IF(IF(INDIRECT("brand_form!V"&amp;ROW())="","",INDIRECT("brand_form!V"&amp;ROW()))="Yes","Y",IF(IF(INDIRECT("brand_form!V"&amp;ROW())="","",INDIRECT("brand_form!V"&amp;ROW()))="No","N",IF(IF(INDIRECT("brand_form!V"&amp;ROW())="","",INDIRECT("brand_form!V"&amp;ROW()))="Not sure","unsure",""))))</f>
        <v/>
      </c>
      <c r="X12" s="30" t="str">
        <f aca="true">IF(INDIRECT("brand_form!A"&amp;ROW())="","",IF(INDIRECT("brand_form!W"&amp;ROW())="","",INDIRECT("brand_form!W"&amp;ROW())))</f>
        <v/>
      </c>
      <c r="Y12" s="30" t="str">
        <f aca="true">IF(INDIRECT("brand_form!A"&amp;ROW())="","",IF(IF(INDIRECT("brand_form!X"&amp;ROW())="","",INDIRECT("brand_form!X"&amp;ROW()))&lt;&gt;"","Y",""))</f>
        <v/>
      </c>
      <c r="Z12" s="30" t="str">
        <f aca="true">IF(INDIRECT("brand_form!A"&amp;ROW())="","",IF(INDIRECT("brand_form!Y"&amp;ROW())="","",INDIRECT("brand_form!Y"&amp;ROW())))</f>
        <v/>
      </c>
      <c r="AA12" s="30" t="str">
        <f aca="true">IF(INDIRECT("brand_form!A"&amp;ROW())="","","founder")</f>
        <v/>
      </c>
    </row>
    <row r="13" customFormat="false" ht="15" hidden="false" customHeight="false" outlineLevel="0" collapsed="false">
      <c r="A13" s="30" t="str">
        <f aca="true">IF(INDIRECT("brand_form!A"&amp;ROW())="","",TEXT(INDIRECT("brand_form!A"&amp;ROW()),"yyyy-mm-dd""T""hh:mm:ss"))</f>
        <v/>
      </c>
      <c r="B13" s="30" t="str">
        <f aca="true">IF(INDIRECT("brand_form!A"&amp;ROW())="","",config!$B$35)</f>
        <v/>
      </c>
      <c r="C13" s="30" t="str">
        <f aca="true">IF(INDIRECT("brand_form!A"&amp;ROW())="","",IF(INDIRECT("brand_form!B"&amp;ROW())="","",INDIRECT("brand_form!B"&amp;ROW())))</f>
        <v/>
      </c>
      <c r="D1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3" s="30" t="str">
        <f aca="true">IF(INDIRECT("brand_form!A"&amp;ROW())="","",IF(INDIRECT("brand_form!G"&amp;ROW())="","",INDIRECT("brand_form!G"&amp;ROW())))</f>
        <v/>
      </c>
      <c r="F13" s="30" t="str">
        <f aca="true">IF(INDIRECT("brand_form!A"&amp;ROW())="","",IF(INDIRECT("brand_form!H"&amp;ROW())="","",INDIRECT("brand_form!H"&amp;ROW())))</f>
        <v/>
      </c>
      <c r="G13" s="30" t="str">
        <f aca="true">IF(INDIRECT("brand_form!A"&amp;ROW())="","",IF(INDIRECT("brand_form!I"&amp;ROW())="","",INDIRECT("brand_form!I"&amp;ROW())))</f>
        <v/>
      </c>
      <c r="H13" s="30" t="str">
        <f aca="true">IF(INDIRECT("brand_form!A"&amp;ROW())="","",IF(INDIRECT("brand_form!J"&amp;ROW())="","",INDIRECT("brand_form!J"&amp;ROW())))</f>
        <v/>
      </c>
      <c r="I13" s="30" t="str">
        <f aca="true">IF(INDIRECT("brand_form!A"&amp;ROW())="","",IF(INDIRECT("brand_form!D"&amp;ROW())="","",INDIRECT("brand_form!D"&amp;ROW())))</f>
        <v/>
      </c>
      <c r="J1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30" t="str">
        <f aca="true">IF(INDIRECT("brand_form!A"&amp;ROW())="","",IF(INDIRECT("brand_form!F"&amp;ROW())="","",INDIRECT("brand_form!F"&amp;ROW())))</f>
        <v/>
      </c>
      <c r="L13" s="30" t="str">
        <f aca="true">IF(INDIRECT("brand_form!A"&amp;ROW())="","",IF(INDIRECT("brand_form!M"&amp;ROW())="","",INDIRECT("brand_form!M"&amp;ROW())))</f>
        <v/>
      </c>
      <c r="M1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3" s="30" t="str">
        <f aca="true">IF(INDIRECT("brand_form!A"&amp;ROW())="","",IF(IF(INDIRECT("brand_form!O"&amp;ROW())="","",INDIRECT("brand_form!O"&amp;ROW()))="Yes","Y",IF(IF(INDIRECT("brand_form!O"&amp;ROW())="","",INDIRECT("brand_form!O"&amp;ROW()))="No","N","")))</f>
        <v/>
      </c>
      <c r="O1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30" t="str">
        <f aca="true">IF(INDIRECT("brand_form!A"&amp;ROW())="","",IF(IF(INDIRECT("brand_form!K"&amp;ROW())="","",INDIRECT("brand_form!K"&amp;ROW()))="I do","Y",IF(IF(INDIRECT("brand_form!K"&amp;ROW())="","",INDIRECT("brand_form!K"&amp;ROW()))="Someone else","N","")))</f>
        <v/>
      </c>
      <c r="Q13" s="30" t="str">
        <f aca="true">IF(INDIRECT("brand_form!A"&amp;ROW())="","",IF($P13="Y",$E13&amp;", "&amp;$F13,IF(INDIRECT("brand_form!L"&amp;ROW())="","",INDIRECT("brand_form!L"&amp;ROW()))))</f>
        <v/>
      </c>
      <c r="R13" s="30" t="str">
        <f aca="true">IF(INDIRECT("brand_form!A"&amp;ROW())="","",IF(IF(INDIRECT("brand_form!Q"&amp;ROW())="","",INDIRECT("brand_form!Q"&amp;ROW()))="Yes","Y",IF(IF(INDIRECT("brand_form!Q"&amp;ROW())="","",INDIRECT("brand_form!Q"&amp;ROW()))="No","N",IF(IF(INDIRECT("brand_form!Q"&amp;ROW())="","",INDIRECT("brand_form!Q"&amp;ROW()))="Not sure","unsure",""))))</f>
        <v/>
      </c>
      <c r="S13" s="30" t="str">
        <f aca="true">IF(INDIRECT("brand_form!A"&amp;ROW())="","",IF(IF(INDIRECT("brand_form!R"&amp;ROW())="","",INDIRECT("brand_form!R"&amp;ROW()))="Yes","Y",IF(IF(INDIRECT("brand_form!R"&amp;ROW())="","",INDIRECT("brand_form!R"&amp;ROW()))="No","N",IF(IF(INDIRECT("brand_form!R"&amp;ROW())="","",INDIRECT("brand_form!R"&amp;ROW()))="Not sure","unsure",""))))</f>
        <v/>
      </c>
      <c r="T13" s="30" t="str">
        <f aca="true">IF(INDIRECT("brand_form!A"&amp;ROW())="","",IF(IF(INDIRECT("brand_form!S"&amp;ROW())="","",INDIRECT("brand_form!S"&amp;ROW()))="Yes","Y",IF(IF(INDIRECT("brand_form!S"&amp;ROW())="","",INDIRECT("brand_form!S"&amp;ROW()))="No","N",IF(IF(INDIRECT("brand_form!S"&amp;ROW())="","",INDIRECT("brand_form!S"&amp;ROW()))="Not sure","unsure",""))))</f>
        <v/>
      </c>
      <c r="U13" s="30" t="str">
        <f aca="true">IF(INDIRECT("brand_form!A"&amp;ROW())="","",IF(IF(INDIRECT("brand_form!T"&amp;ROW())="","",INDIRECT("brand_form!T"&amp;ROW()))="Yes","Y",IF(IF(INDIRECT("brand_form!T"&amp;ROW())="","",INDIRECT("brand_form!T"&amp;ROW()))="No","N",IF(IF(INDIRECT("brand_form!T"&amp;ROW())="","",INDIRECT("brand_form!T"&amp;ROW()))="Not sure","unsure",""))))</f>
        <v/>
      </c>
      <c r="V13" s="30" t="str">
        <f aca="true">IF(INDIRECT("brand_form!A"&amp;ROW())="","",IF(IF(INDIRECT("brand_form!U"&amp;ROW())="","",INDIRECT("brand_form!U"&amp;ROW()))="Yes","Y",IF(IF(INDIRECT("brand_form!U"&amp;ROW())="","",INDIRECT("brand_form!U"&amp;ROW()))="No","N",IF(IF(INDIRECT("brand_form!U"&amp;ROW())="","",INDIRECT("brand_form!U"&amp;ROW()))="Not sure","unsure",""))))</f>
        <v/>
      </c>
      <c r="W13" s="30" t="str">
        <f aca="true">IF(INDIRECT("brand_form!A"&amp;ROW())="","",IF(IF(INDIRECT("brand_form!V"&amp;ROW())="","",INDIRECT("brand_form!V"&amp;ROW()))="Yes","Y",IF(IF(INDIRECT("brand_form!V"&amp;ROW())="","",INDIRECT("brand_form!V"&amp;ROW()))="No","N",IF(IF(INDIRECT("brand_form!V"&amp;ROW())="","",INDIRECT("brand_form!V"&amp;ROW()))="Not sure","unsure",""))))</f>
        <v/>
      </c>
      <c r="X13" s="30" t="str">
        <f aca="true">IF(INDIRECT("brand_form!A"&amp;ROW())="","",IF(INDIRECT("brand_form!W"&amp;ROW())="","",INDIRECT("brand_form!W"&amp;ROW())))</f>
        <v/>
      </c>
      <c r="Y13" s="30" t="str">
        <f aca="true">IF(INDIRECT("brand_form!A"&amp;ROW())="","",IF(IF(INDIRECT("brand_form!X"&amp;ROW())="","",INDIRECT("brand_form!X"&amp;ROW()))&lt;&gt;"","Y",""))</f>
        <v/>
      </c>
      <c r="Z13" s="30" t="str">
        <f aca="true">IF(INDIRECT("brand_form!A"&amp;ROW())="","",IF(INDIRECT("brand_form!Y"&amp;ROW())="","",INDIRECT("brand_form!Y"&amp;ROW())))</f>
        <v/>
      </c>
      <c r="AA13" s="30" t="str">
        <f aca="true">IF(INDIRECT("brand_form!A"&amp;ROW())="","","founder")</f>
        <v/>
      </c>
    </row>
    <row r="14" customFormat="false" ht="15" hidden="false" customHeight="false" outlineLevel="0" collapsed="false">
      <c r="A14" s="30" t="str">
        <f aca="true">IF(INDIRECT("brand_form!A"&amp;ROW())="","",TEXT(INDIRECT("brand_form!A"&amp;ROW()),"yyyy-mm-dd""T""hh:mm:ss"))</f>
        <v/>
      </c>
      <c r="B14" s="30" t="str">
        <f aca="true">IF(INDIRECT("brand_form!A"&amp;ROW())="","",config!$B$35)</f>
        <v/>
      </c>
      <c r="C14" s="30" t="str">
        <f aca="true">IF(INDIRECT("brand_form!A"&amp;ROW())="","",IF(INDIRECT("brand_form!B"&amp;ROW())="","",INDIRECT("brand_form!B"&amp;ROW())))</f>
        <v/>
      </c>
      <c r="D1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4" s="30" t="str">
        <f aca="true">IF(INDIRECT("brand_form!A"&amp;ROW())="","",IF(INDIRECT("brand_form!G"&amp;ROW())="","",INDIRECT("brand_form!G"&amp;ROW())))</f>
        <v/>
      </c>
      <c r="F14" s="30" t="str">
        <f aca="true">IF(INDIRECT("brand_form!A"&amp;ROW())="","",IF(INDIRECT("brand_form!H"&amp;ROW())="","",INDIRECT("brand_form!H"&amp;ROW())))</f>
        <v/>
      </c>
      <c r="G14" s="30" t="str">
        <f aca="true">IF(INDIRECT("brand_form!A"&amp;ROW())="","",IF(INDIRECT("brand_form!I"&amp;ROW())="","",INDIRECT("brand_form!I"&amp;ROW())))</f>
        <v/>
      </c>
      <c r="H14" s="30" t="str">
        <f aca="true">IF(INDIRECT("brand_form!A"&amp;ROW())="","",IF(INDIRECT("brand_form!J"&amp;ROW())="","",INDIRECT("brand_form!J"&amp;ROW())))</f>
        <v/>
      </c>
      <c r="I14" s="30" t="str">
        <f aca="true">IF(INDIRECT("brand_form!A"&amp;ROW())="","",IF(INDIRECT("brand_form!D"&amp;ROW())="","",INDIRECT("brand_form!D"&amp;ROW())))</f>
        <v/>
      </c>
      <c r="J1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30" t="str">
        <f aca="true">IF(INDIRECT("brand_form!A"&amp;ROW())="","",IF(INDIRECT("brand_form!F"&amp;ROW())="","",INDIRECT("brand_form!F"&amp;ROW())))</f>
        <v/>
      </c>
      <c r="L14" s="30" t="str">
        <f aca="true">IF(INDIRECT("brand_form!A"&amp;ROW())="","",IF(INDIRECT("brand_form!M"&amp;ROW())="","",INDIRECT("brand_form!M"&amp;ROW())))</f>
        <v/>
      </c>
      <c r="M1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4" s="30" t="str">
        <f aca="true">IF(INDIRECT("brand_form!A"&amp;ROW())="","",IF(IF(INDIRECT("brand_form!O"&amp;ROW())="","",INDIRECT("brand_form!O"&amp;ROW()))="Yes","Y",IF(IF(INDIRECT("brand_form!O"&amp;ROW())="","",INDIRECT("brand_form!O"&amp;ROW()))="No","N","")))</f>
        <v/>
      </c>
      <c r="O1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30" t="str">
        <f aca="true">IF(INDIRECT("brand_form!A"&amp;ROW())="","",IF(IF(INDIRECT("brand_form!K"&amp;ROW())="","",INDIRECT("brand_form!K"&amp;ROW()))="I do","Y",IF(IF(INDIRECT("brand_form!K"&amp;ROW())="","",INDIRECT("brand_form!K"&amp;ROW()))="Someone else","N","")))</f>
        <v/>
      </c>
      <c r="Q14" s="30" t="str">
        <f aca="true">IF(INDIRECT("brand_form!A"&amp;ROW())="","",IF($P14="Y",$E14&amp;", "&amp;$F14,IF(INDIRECT("brand_form!L"&amp;ROW())="","",INDIRECT("brand_form!L"&amp;ROW()))))</f>
        <v/>
      </c>
      <c r="R14" s="30" t="str">
        <f aca="true">IF(INDIRECT("brand_form!A"&amp;ROW())="","",IF(IF(INDIRECT("brand_form!Q"&amp;ROW())="","",INDIRECT("brand_form!Q"&amp;ROW()))="Yes","Y",IF(IF(INDIRECT("brand_form!Q"&amp;ROW())="","",INDIRECT("brand_form!Q"&amp;ROW()))="No","N",IF(IF(INDIRECT("brand_form!Q"&amp;ROW())="","",INDIRECT("brand_form!Q"&amp;ROW()))="Not sure","unsure",""))))</f>
        <v/>
      </c>
      <c r="S14" s="30" t="str">
        <f aca="true">IF(INDIRECT("brand_form!A"&amp;ROW())="","",IF(IF(INDIRECT("brand_form!R"&amp;ROW())="","",INDIRECT("brand_form!R"&amp;ROW()))="Yes","Y",IF(IF(INDIRECT("brand_form!R"&amp;ROW())="","",INDIRECT("brand_form!R"&amp;ROW()))="No","N",IF(IF(INDIRECT("brand_form!R"&amp;ROW())="","",INDIRECT("brand_form!R"&amp;ROW()))="Not sure","unsure",""))))</f>
        <v/>
      </c>
      <c r="T14" s="30" t="str">
        <f aca="true">IF(INDIRECT("brand_form!A"&amp;ROW())="","",IF(IF(INDIRECT("brand_form!S"&amp;ROW())="","",INDIRECT("brand_form!S"&amp;ROW()))="Yes","Y",IF(IF(INDIRECT("brand_form!S"&amp;ROW())="","",INDIRECT("brand_form!S"&amp;ROW()))="No","N",IF(IF(INDIRECT("brand_form!S"&amp;ROW())="","",INDIRECT("brand_form!S"&amp;ROW()))="Not sure","unsure",""))))</f>
        <v/>
      </c>
      <c r="U14" s="30" t="str">
        <f aca="true">IF(INDIRECT("brand_form!A"&amp;ROW())="","",IF(IF(INDIRECT("brand_form!T"&amp;ROW())="","",INDIRECT("brand_form!T"&amp;ROW()))="Yes","Y",IF(IF(INDIRECT("brand_form!T"&amp;ROW())="","",INDIRECT("brand_form!T"&amp;ROW()))="No","N",IF(IF(INDIRECT("brand_form!T"&amp;ROW())="","",INDIRECT("brand_form!T"&amp;ROW()))="Not sure","unsure",""))))</f>
        <v/>
      </c>
      <c r="V14" s="30" t="str">
        <f aca="true">IF(INDIRECT("brand_form!A"&amp;ROW())="","",IF(IF(INDIRECT("brand_form!U"&amp;ROW())="","",INDIRECT("brand_form!U"&amp;ROW()))="Yes","Y",IF(IF(INDIRECT("brand_form!U"&amp;ROW())="","",INDIRECT("brand_form!U"&amp;ROW()))="No","N",IF(IF(INDIRECT("brand_form!U"&amp;ROW())="","",INDIRECT("brand_form!U"&amp;ROW()))="Not sure","unsure",""))))</f>
        <v/>
      </c>
      <c r="W14" s="30" t="str">
        <f aca="true">IF(INDIRECT("brand_form!A"&amp;ROW())="","",IF(IF(INDIRECT("brand_form!V"&amp;ROW())="","",INDIRECT("brand_form!V"&amp;ROW()))="Yes","Y",IF(IF(INDIRECT("brand_form!V"&amp;ROW())="","",INDIRECT("brand_form!V"&amp;ROW()))="No","N",IF(IF(INDIRECT("brand_form!V"&amp;ROW())="","",INDIRECT("brand_form!V"&amp;ROW()))="Not sure","unsure",""))))</f>
        <v/>
      </c>
      <c r="X14" s="30" t="str">
        <f aca="true">IF(INDIRECT("brand_form!A"&amp;ROW())="","",IF(INDIRECT("brand_form!W"&amp;ROW())="","",INDIRECT("brand_form!W"&amp;ROW())))</f>
        <v/>
      </c>
      <c r="Y14" s="30" t="str">
        <f aca="true">IF(INDIRECT("brand_form!A"&amp;ROW())="","",IF(IF(INDIRECT("brand_form!X"&amp;ROW())="","",INDIRECT("brand_form!X"&amp;ROW()))&lt;&gt;"","Y",""))</f>
        <v/>
      </c>
      <c r="Z14" s="30" t="str">
        <f aca="true">IF(INDIRECT("brand_form!A"&amp;ROW())="","",IF(INDIRECT("brand_form!Y"&amp;ROW())="","",INDIRECT("brand_form!Y"&amp;ROW())))</f>
        <v/>
      </c>
      <c r="AA14" s="30" t="str">
        <f aca="true">IF(INDIRECT("brand_form!A"&amp;ROW())="","","founder")</f>
        <v/>
      </c>
    </row>
    <row r="15" customFormat="false" ht="15" hidden="false" customHeight="false" outlineLevel="0" collapsed="false">
      <c r="A15" s="30" t="str">
        <f aca="true">IF(INDIRECT("brand_form!A"&amp;ROW())="","",TEXT(INDIRECT("brand_form!A"&amp;ROW()),"yyyy-mm-dd""T""hh:mm:ss"))</f>
        <v/>
      </c>
      <c r="B15" s="30" t="str">
        <f aca="true">IF(INDIRECT("brand_form!A"&amp;ROW())="","",config!$B$35)</f>
        <v/>
      </c>
      <c r="C15" s="30" t="str">
        <f aca="true">IF(INDIRECT("brand_form!A"&amp;ROW())="","",IF(INDIRECT("brand_form!B"&amp;ROW())="","",INDIRECT("brand_form!B"&amp;ROW())))</f>
        <v/>
      </c>
      <c r="D1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5" s="30" t="str">
        <f aca="true">IF(INDIRECT("brand_form!A"&amp;ROW())="","",IF(INDIRECT("brand_form!G"&amp;ROW())="","",INDIRECT("brand_form!G"&amp;ROW())))</f>
        <v/>
      </c>
      <c r="F15" s="30" t="str">
        <f aca="true">IF(INDIRECT("brand_form!A"&amp;ROW())="","",IF(INDIRECT("brand_form!H"&amp;ROW())="","",INDIRECT("brand_form!H"&amp;ROW())))</f>
        <v/>
      </c>
      <c r="G15" s="30" t="str">
        <f aca="true">IF(INDIRECT("brand_form!A"&amp;ROW())="","",IF(INDIRECT("brand_form!I"&amp;ROW())="","",INDIRECT("brand_form!I"&amp;ROW())))</f>
        <v/>
      </c>
      <c r="H15" s="30" t="str">
        <f aca="true">IF(INDIRECT("brand_form!A"&amp;ROW())="","",IF(INDIRECT("brand_form!J"&amp;ROW())="","",INDIRECT("brand_form!J"&amp;ROW())))</f>
        <v/>
      </c>
      <c r="I15" s="30" t="str">
        <f aca="true">IF(INDIRECT("brand_form!A"&amp;ROW())="","",IF(INDIRECT("brand_form!D"&amp;ROW())="","",INDIRECT("brand_form!D"&amp;ROW())))</f>
        <v/>
      </c>
      <c r="J1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30" t="str">
        <f aca="true">IF(INDIRECT("brand_form!A"&amp;ROW())="","",IF(INDIRECT("brand_form!F"&amp;ROW())="","",INDIRECT("brand_form!F"&amp;ROW())))</f>
        <v/>
      </c>
      <c r="L15" s="30" t="str">
        <f aca="true">IF(INDIRECT("brand_form!A"&amp;ROW())="","",IF(INDIRECT("brand_form!M"&amp;ROW())="","",INDIRECT("brand_form!M"&amp;ROW())))</f>
        <v/>
      </c>
      <c r="M1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5" s="30" t="str">
        <f aca="true">IF(INDIRECT("brand_form!A"&amp;ROW())="","",IF(IF(INDIRECT("brand_form!O"&amp;ROW())="","",INDIRECT("brand_form!O"&amp;ROW()))="Yes","Y",IF(IF(INDIRECT("brand_form!O"&amp;ROW())="","",INDIRECT("brand_form!O"&amp;ROW()))="No","N","")))</f>
        <v/>
      </c>
      <c r="O1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30" t="str">
        <f aca="true">IF(INDIRECT("brand_form!A"&amp;ROW())="","",IF(IF(INDIRECT("brand_form!K"&amp;ROW())="","",INDIRECT("brand_form!K"&amp;ROW()))="I do","Y",IF(IF(INDIRECT("brand_form!K"&amp;ROW())="","",INDIRECT("brand_form!K"&amp;ROW()))="Someone else","N","")))</f>
        <v/>
      </c>
      <c r="Q15" s="30" t="str">
        <f aca="true">IF(INDIRECT("brand_form!A"&amp;ROW())="","",IF($P15="Y",$E15&amp;", "&amp;$F15,IF(INDIRECT("brand_form!L"&amp;ROW())="","",INDIRECT("brand_form!L"&amp;ROW()))))</f>
        <v/>
      </c>
      <c r="R15" s="30" t="str">
        <f aca="true">IF(INDIRECT("brand_form!A"&amp;ROW())="","",IF(IF(INDIRECT("brand_form!Q"&amp;ROW())="","",INDIRECT("brand_form!Q"&amp;ROW()))="Yes","Y",IF(IF(INDIRECT("brand_form!Q"&amp;ROW())="","",INDIRECT("brand_form!Q"&amp;ROW()))="No","N",IF(IF(INDIRECT("brand_form!Q"&amp;ROW())="","",INDIRECT("brand_form!Q"&amp;ROW()))="Not sure","unsure",""))))</f>
        <v/>
      </c>
      <c r="S15" s="30" t="str">
        <f aca="true">IF(INDIRECT("brand_form!A"&amp;ROW())="","",IF(IF(INDIRECT("brand_form!R"&amp;ROW())="","",INDIRECT("brand_form!R"&amp;ROW()))="Yes","Y",IF(IF(INDIRECT("brand_form!R"&amp;ROW())="","",INDIRECT("brand_form!R"&amp;ROW()))="No","N",IF(IF(INDIRECT("brand_form!R"&amp;ROW())="","",INDIRECT("brand_form!R"&amp;ROW()))="Not sure","unsure",""))))</f>
        <v/>
      </c>
      <c r="T15" s="30" t="str">
        <f aca="true">IF(INDIRECT("brand_form!A"&amp;ROW())="","",IF(IF(INDIRECT("brand_form!S"&amp;ROW())="","",INDIRECT("brand_form!S"&amp;ROW()))="Yes","Y",IF(IF(INDIRECT("brand_form!S"&amp;ROW())="","",INDIRECT("brand_form!S"&amp;ROW()))="No","N",IF(IF(INDIRECT("brand_form!S"&amp;ROW())="","",INDIRECT("brand_form!S"&amp;ROW()))="Not sure","unsure",""))))</f>
        <v/>
      </c>
      <c r="U15" s="30" t="str">
        <f aca="true">IF(INDIRECT("brand_form!A"&amp;ROW())="","",IF(IF(INDIRECT("brand_form!T"&amp;ROW())="","",INDIRECT("brand_form!T"&amp;ROW()))="Yes","Y",IF(IF(INDIRECT("brand_form!T"&amp;ROW())="","",INDIRECT("brand_form!T"&amp;ROW()))="No","N",IF(IF(INDIRECT("brand_form!T"&amp;ROW())="","",INDIRECT("brand_form!T"&amp;ROW()))="Not sure","unsure",""))))</f>
        <v/>
      </c>
      <c r="V15" s="30" t="str">
        <f aca="true">IF(INDIRECT("brand_form!A"&amp;ROW())="","",IF(IF(INDIRECT("brand_form!U"&amp;ROW())="","",INDIRECT("brand_form!U"&amp;ROW()))="Yes","Y",IF(IF(INDIRECT("brand_form!U"&amp;ROW())="","",INDIRECT("brand_form!U"&amp;ROW()))="No","N",IF(IF(INDIRECT("brand_form!U"&amp;ROW())="","",INDIRECT("brand_form!U"&amp;ROW()))="Not sure","unsure",""))))</f>
        <v/>
      </c>
      <c r="W15" s="30" t="str">
        <f aca="true">IF(INDIRECT("brand_form!A"&amp;ROW())="","",IF(IF(INDIRECT("brand_form!V"&amp;ROW())="","",INDIRECT("brand_form!V"&amp;ROW()))="Yes","Y",IF(IF(INDIRECT("brand_form!V"&amp;ROW())="","",INDIRECT("brand_form!V"&amp;ROW()))="No","N",IF(IF(INDIRECT("brand_form!V"&amp;ROW())="","",INDIRECT("brand_form!V"&amp;ROW()))="Not sure","unsure",""))))</f>
        <v/>
      </c>
      <c r="X15" s="30" t="str">
        <f aca="true">IF(INDIRECT("brand_form!A"&amp;ROW())="","",IF(INDIRECT("brand_form!W"&amp;ROW())="","",INDIRECT("brand_form!W"&amp;ROW())))</f>
        <v/>
      </c>
      <c r="Y15" s="30" t="str">
        <f aca="true">IF(INDIRECT("brand_form!A"&amp;ROW())="","",IF(IF(INDIRECT("brand_form!X"&amp;ROW())="","",INDIRECT("brand_form!X"&amp;ROW()))&lt;&gt;"","Y",""))</f>
        <v/>
      </c>
      <c r="Z15" s="30" t="str">
        <f aca="true">IF(INDIRECT("brand_form!A"&amp;ROW())="","",IF(INDIRECT("brand_form!Y"&amp;ROW())="","",INDIRECT("brand_form!Y"&amp;ROW())))</f>
        <v/>
      </c>
      <c r="AA15" s="30" t="str">
        <f aca="true">IF(INDIRECT("brand_form!A"&amp;ROW())="","","founder")</f>
        <v/>
      </c>
    </row>
    <row r="16" customFormat="false" ht="15" hidden="false" customHeight="false" outlineLevel="0" collapsed="false">
      <c r="A16" s="30" t="str">
        <f aca="true">IF(INDIRECT("brand_form!A"&amp;ROW())="","",TEXT(INDIRECT("brand_form!A"&amp;ROW()),"yyyy-mm-dd""T""hh:mm:ss"))</f>
        <v/>
      </c>
      <c r="B16" s="30" t="str">
        <f aca="true">IF(INDIRECT("brand_form!A"&amp;ROW())="","",config!$B$35)</f>
        <v/>
      </c>
      <c r="C16" s="30" t="str">
        <f aca="true">IF(INDIRECT("brand_form!A"&amp;ROW())="","",IF(INDIRECT("brand_form!B"&amp;ROW())="","",INDIRECT("brand_form!B"&amp;ROW())))</f>
        <v/>
      </c>
      <c r="D1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6" s="30" t="str">
        <f aca="true">IF(INDIRECT("brand_form!A"&amp;ROW())="","",IF(INDIRECT("brand_form!G"&amp;ROW())="","",INDIRECT("brand_form!G"&amp;ROW())))</f>
        <v/>
      </c>
      <c r="F16" s="30" t="str">
        <f aca="true">IF(INDIRECT("brand_form!A"&amp;ROW())="","",IF(INDIRECT("brand_form!H"&amp;ROW())="","",INDIRECT("brand_form!H"&amp;ROW())))</f>
        <v/>
      </c>
      <c r="G16" s="30" t="str">
        <f aca="true">IF(INDIRECT("brand_form!A"&amp;ROW())="","",IF(INDIRECT("brand_form!I"&amp;ROW())="","",INDIRECT("brand_form!I"&amp;ROW())))</f>
        <v/>
      </c>
      <c r="H16" s="30" t="str">
        <f aca="true">IF(INDIRECT("brand_form!A"&amp;ROW())="","",IF(INDIRECT("brand_form!J"&amp;ROW())="","",INDIRECT("brand_form!J"&amp;ROW())))</f>
        <v/>
      </c>
      <c r="I16" s="30" t="str">
        <f aca="true">IF(INDIRECT("brand_form!A"&amp;ROW())="","",IF(INDIRECT("brand_form!D"&amp;ROW())="","",INDIRECT("brand_form!D"&amp;ROW())))</f>
        <v/>
      </c>
      <c r="J1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30" t="str">
        <f aca="true">IF(INDIRECT("brand_form!A"&amp;ROW())="","",IF(INDIRECT("brand_form!F"&amp;ROW())="","",INDIRECT("brand_form!F"&amp;ROW())))</f>
        <v/>
      </c>
      <c r="L16" s="30" t="str">
        <f aca="true">IF(INDIRECT("brand_form!A"&amp;ROW())="","",IF(INDIRECT("brand_form!M"&amp;ROW())="","",INDIRECT("brand_form!M"&amp;ROW())))</f>
        <v/>
      </c>
      <c r="M1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6" s="30" t="str">
        <f aca="true">IF(INDIRECT("brand_form!A"&amp;ROW())="","",IF(IF(INDIRECT("brand_form!O"&amp;ROW())="","",INDIRECT("brand_form!O"&amp;ROW()))="Yes","Y",IF(IF(INDIRECT("brand_form!O"&amp;ROW())="","",INDIRECT("brand_form!O"&amp;ROW()))="No","N","")))</f>
        <v/>
      </c>
      <c r="O1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30" t="str">
        <f aca="true">IF(INDIRECT("brand_form!A"&amp;ROW())="","",IF(IF(INDIRECT("brand_form!K"&amp;ROW())="","",INDIRECT("brand_form!K"&amp;ROW()))="I do","Y",IF(IF(INDIRECT("brand_form!K"&amp;ROW())="","",INDIRECT("brand_form!K"&amp;ROW()))="Someone else","N","")))</f>
        <v/>
      </c>
      <c r="Q16" s="30" t="str">
        <f aca="true">IF(INDIRECT("brand_form!A"&amp;ROW())="","",IF($P16="Y",$E16&amp;", "&amp;$F16,IF(INDIRECT("brand_form!L"&amp;ROW())="","",INDIRECT("brand_form!L"&amp;ROW()))))</f>
        <v/>
      </c>
      <c r="R16" s="30" t="str">
        <f aca="true">IF(INDIRECT("brand_form!A"&amp;ROW())="","",IF(IF(INDIRECT("brand_form!Q"&amp;ROW())="","",INDIRECT("brand_form!Q"&amp;ROW()))="Yes","Y",IF(IF(INDIRECT("brand_form!Q"&amp;ROW())="","",INDIRECT("brand_form!Q"&amp;ROW()))="No","N",IF(IF(INDIRECT("brand_form!Q"&amp;ROW())="","",INDIRECT("brand_form!Q"&amp;ROW()))="Not sure","unsure",""))))</f>
        <v/>
      </c>
      <c r="S16" s="30" t="str">
        <f aca="true">IF(INDIRECT("brand_form!A"&amp;ROW())="","",IF(IF(INDIRECT("brand_form!R"&amp;ROW())="","",INDIRECT("brand_form!R"&amp;ROW()))="Yes","Y",IF(IF(INDIRECT("brand_form!R"&amp;ROW())="","",INDIRECT("brand_form!R"&amp;ROW()))="No","N",IF(IF(INDIRECT("brand_form!R"&amp;ROW())="","",INDIRECT("brand_form!R"&amp;ROW()))="Not sure","unsure",""))))</f>
        <v/>
      </c>
      <c r="T16" s="30" t="str">
        <f aca="true">IF(INDIRECT("brand_form!A"&amp;ROW())="","",IF(IF(INDIRECT("brand_form!S"&amp;ROW())="","",INDIRECT("brand_form!S"&amp;ROW()))="Yes","Y",IF(IF(INDIRECT("brand_form!S"&amp;ROW())="","",INDIRECT("brand_form!S"&amp;ROW()))="No","N",IF(IF(INDIRECT("brand_form!S"&amp;ROW())="","",INDIRECT("brand_form!S"&amp;ROW()))="Not sure","unsure",""))))</f>
        <v/>
      </c>
      <c r="U16" s="30" t="str">
        <f aca="true">IF(INDIRECT("brand_form!A"&amp;ROW())="","",IF(IF(INDIRECT("brand_form!T"&amp;ROW())="","",INDIRECT("brand_form!T"&amp;ROW()))="Yes","Y",IF(IF(INDIRECT("brand_form!T"&amp;ROW())="","",INDIRECT("brand_form!T"&amp;ROW()))="No","N",IF(IF(INDIRECT("brand_form!T"&amp;ROW())="","",INDIRECT("brand_form!T"&amp;ROW()))="Not sure","unsure",""))))</f>
        <v/>
      </c>
      <c r="V16" s="30" t="str">
        <f aca="true">IF(INDIRECT("brand_form!A"&amp;ROW())="","",IF(IF(INDIRECT("brand_form!U"&amp;ROW())="","",INDIRECT("brand_form!U"&amp;ROW()))="Yes","Y",IF(IF(INDIRECT("brand_form!U"&amp;ROW())="","",INDIRECT("brand_form!U"&amp;ROW()))="No","N",IF(IF(INDIRECT("brand_form!U"&amp;ROW())="","",INDIRECT("brand_form!U"&amp;ROW()))="Not sure","unsure",""))))</f>
        <v/>
      </c>
      <c r="W16" s="30" t="str">
        <f aca="true">IF(INDIRECT("brand_form!A"&amp;ROW())="","",IF(IF(INDIRECT("brand_form!V"&amp;ROW())="","",INDIRECT("brand_form!V"&amp;ROW()))="Yes","Y",IF(IF(INDIRECT("brand_form!V"&amp;ROW())="","",INDIRECT("brand_form!V"&amp;ROW()))="No","N",IF(IF(INDIRECT("brand_form!V"&amp;ROW())="","",INDIRECT("brand_form!V"&amp;ROW()))="Not sure","unsure",""))))</f>
        <v/>
      </c>
      <c r="X16" s="30" t="str">
        <f aca="true">IF(INDIRECT("brand_form!A"&amp;ROW())="","",IF(INDIRECT("brand_form!W"&amp;ROW())="","",INDIRECT("brand_form!W"&amp;ROW())))</f>
        <v/>
      </c>
      <c r="Y16" s="30" t="str">
        <f aca="true">IF(INDIRECT("brand_form!A"&amp;ROW())="","",IF(IF(INDIRECT("brand_form!X"&amp;ROW())="","",INDIRECT("brand_form!X"&amp;ROW()))&lt;&gt;"","Y",""))</f>
        <v/>
      </c>
      <c r="Z16" s="30" t="str">
        <f aca="true">IF(INDIRECT("brand_form!A"&amp;ROW())="","",IF(INDIRECT("brand_form!Y"&amp;ROW())="","",INDIRECT("brand_form!Y"&amp;ROW())))</f>
        <v/>
      </c>
      <c r="AA16" s="30" t="str">
        <f aca="true">IF(INDIRECT("brand_form!A"&amp;ROW())="","","founder")</f>
        <v/>
      </c>
    </row>
    <row r="17" customFormat="false" ht="15" hidden="false" customHeight="false" outlineLevel="0" collapsed="false">
      <c r="A17" s="30" t="str">
        <f aca="true">IF(INDIRECT("brand_form!A"&amp;ROW())="","",TEXT(INDIRECT("brand_form!A"&amp;ROW()),"yyyy-mm-dd""T""hh:mm:ss"))</f>
        <v/>
      </c>
      <c r="B17" s="30" t="str">
        <f aca="true">IF(INDIRECT("brand_form!A"&amp;ROW())="","",config!$B$35)</f>
        <v/>
      </c>
      <c r="C17" s="30" t="str">
        <f aca="true">IF(INDIRECT("brand_form!A"&amp;ROW())="","",IF(INDIRECT("brand_form!B"&amp;ROW())="","",INDIRECT("brand_form!B"&amp;ROW())))</f>
        <v/>
      </c>
      <c r="D1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7" s="30" t="str">
        <f aca="true">IF(INDIRECT("brand_form!A"&amp;ROW())="","",IF(INDIRECT("brand_form!G"&amp;ROW())="","",INDIRECT("brand_form!G"&amp;ROW())))</f>
        <v/>
      </c>
      <c r="F17" s="30" t="str">
        <f aca="true">IF(INDIRECT("brand_form!A"&amp;ROW())="","",IF(INDIRECT("brand_form!H"&amp;ROW())="","",INDIRECT("brand_form!H"&amp;ROW())))</f>
        <v/>
      </c>
      <c r="G17" s="30" t="str">
        <f aca="true">IF(INDIRECT("brand_form!A"&amp;ROW())="","",IF(INDIRECT("brand_form!I"&amp;ROW())="","",INDIRECT("brand_form!I"&amp;ROW())))</f>
        <v/>
      </c>
      <c r="H17" s="30" t="str">
        <f aca="true">IF(INDIRECT("brand_form!A"&amp;ROW())="","",IF(INDIRECT("brand_form!J"&amp;ROW())="","",INDIRECT("brand_form!J"&amp;ROW())))</f>
        <v/>
      </c>
      <c r="I17" s="30" t="str">
        <f aca="true">IF(INDIRECT("brand_form!A"&amp;ROW())="","",IF(INDIRECT("brand_form!D"&amp;ROW())="","",INDIRECT("brand_form!D"&amp;ROW())))</f>
        <v/>
      </c>
      <c r="J1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30" t="str">
        <f aca="true">IF(INDIRECT("brand_form!A"&amp;ROW())="","",IF(INDIRECT("brand_form!F"&amp;ROW())="","",INDIRECT("brand_form!F"&amp;ROW())))</f>
        <v/>
      </c>
      <c r="L17" s="30" t="str">
        <f aca="true">IF(INDIRECT("brand_form!A"&amp;ROW())="","",IF(INDIRECT("brand_form!M"&amp;ROW())="","",INDIRECT("brand_form!M"&amp;ROW())))</f>
        <v/>
      </c>
      <c r="M1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7" s="30" t="str">
        <f aca="true">IF(INDIRECT("brand_form!A"&amp;ROW())="","",IF(IF(INDIRECT("brand_form!O"&amp;ROW())="","",INDIRECT("brand_form!O"&amp;ROW()))="Yes","Y",IF(IF(INDIRECT("brand_form!O"&amp;ROW())="","",INDIRECT("brand_form!O"&amp;ROW()))="No","N","")))</f>
        <v/>
      </c>
      <c r="O1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30" t="str">
        <f aca="true">IF(INDIRECT("brand_form!A"&amp;ROW())="","",IF(IF(INDIRECT("brand_form!K"&amp;ROW())="","",INDIRECT("brand_form!K"&amp;ROW()))="I do","Y",IF(IF(INDIRECT("brand_form!K"&amp;ROW())="","",INDIRECT("brand_form!K"&amp;ROW()))="Someone else","N","")))</f>
        <v/>
      </c>
      <c r="Q17" s="30" t="str">
        <f aca="true">IF(INDIRECT("brand_form!A"&amp;ROW())="","",IF($P17="Y",$E17&amp;", "&amp;$F17,IF(INDIRECT("brand_form!L"&amp;ROW())="","",INDIRECT("brand_form!L"&amp;ROW()))))</f>
        <v/>
      </c>
      <c r="R17" s="30" t="str">
        <f aca="true">IF(INDIRECT("brand_form!A"&amp;ROW())="","",IF(IF(INDIRECT("brand_form!Q"&amp;ROW())="","",INDIRECT("brand_form!Q"&amp;ROW()))="Yes","Y",IF(IF(INDIRECT("brand_form!Q"&amp;ROW())="","",INDIRECT("brand_form!Q"&amp;ROW()))="No","N",IF(IF(INDIRECT("brand_form!Q"&amp;ROW())="","",INDIRECT("brand_form!Q"&amp;ROW()))="Not sure","unsure",""))))</f>
        <v/>
      </c>
      <c r="S17" s="30" t="str">
        <f aca="true">IF(INDIRECT("brand_form!A"&amp;ROW())="","",IF(IF(INDIRECT("brand_form!R"&amp;ROW())="","",INDIRECT("brand_form!R"&amp;ROW()))="Yes","Y",IF(IF(INDIRECT("brand_form!R"&amp;ROW())="","",INDIRECT("brand_form!R"&amp;ROW()))="No","N",IF(IF(INDIRECT("brand_form!R"&amp;ROW())="","",INDIRECT("brand_form!R"&amp;ROW()))="Not sure","unsure",""))))</f>
        <v/>
      </c>
      <c r="T17" s="30" t="str">
        <f aca="true">IF(INDIRECT("brand_form!A"&amp;ROW())="","",IF(IF(INDIRECT("brand_form!S"&amp;ROW())="","",INDIRECT("brand_form!S"&amp;ROW()))="Yes","Y",IF(IF(INDIRECT("brand_form!S"&amp;ROW())="","",INDIRECT("brand_form!S"&amp;ROW()))="No","N",IF(IF(INDIRECT("brand_form!S"&amp;ROW())="","",INDIRECT("brand_form!S"&amp;ROW()))="Not sure","unsure",""))))</f>
        <v/>
      </c>
      <c r="U17" s="30" t="str">
        <f aca="true">IF(INDIRECT("brand_form!A"&amp;ROW())="","",IF(IF(INDIRECT("brand_form!T"&amp;ROW())="","",INDIRECT("brand_form!T"&amp;ROW()))="Yes","Y",IF(IF(INDIRECT("brand_form!T"&amp;ROW())="","",INDIRECT("brand_form!T"&amp;ROW()))="No","N",IF(IF(INDIRECT("brand_form!T"&amp;ROW())="","",INDIRECT("brand_form!T"&amp;ROW()))="Not sure","unsure",""))))</f>
        <v/>
      </c>
      <c r="V17" s="30" t="str">
        <f aca="true">IF(INDIRECT("brand_form!A"&amp;ROW())="","",IF(IF(INDIRECT("brand_form!U"&amp;ROW())="","",INDIRECT("brand_form!U"&amp;ROW()))="Yes","Y",IF(IF(INDIRECT("brand_form!U"&amp;ROW())="","",INDIRECT("brand_form!U"&amp;ROW()))="No","N",IF(IF(INDIRECT("brand_form!U"&amp;ROW())="","",INDIRECT("brand_form!U"&amp;ROW()))="Not sure","unsure",""))))</f>
        <v/>
      </c>
      <c r="W17" s="30" t="str">
        <f aca="true">IF(INDIRECT("brand_form!A"&amp;ROW())="","",IF(IF(INDIRECT("brand_form!V"&amp;ROW())="","",INDIRECT("brand_form!V"&amp;ROW()))="Yes","Y",IF(IF(INDIRECT("brand_form!V"&amp;ROW())="","",INDIRECT("brand_form!V"&amp;ROW()))="No","N",IF(IF(INDIRECT("brand_form!V"&amp;ROW())="","",INDIRECT("brand_form!V"&amp;ROW()))="Not sure","unsure",""))))</f>
        <v/>
      </c>
      <c r="X17" s="30" t="str">
        <f aca="true">IF(INDIRECT("brand_form!A"&amp;ROW())="","",IF(INDIRECT("brand_form!W"&amp;ROW())="","",INDIRECT("brand_form!W"&amp;ROW())))</f>
        <v/>
      </c>
      <c r="Y17" s="30" t="str">
        <f aca="true">IF(INDIRECT("brand_form!A"&amp;ROW())="","",IF(IF(INDIRECT("brand_form!X"&amp;ROW())="","",INDIRECT("brand_form!X"&amp;ROW()))&lt;&gt;"","Y",""))</f>
        <v/>
      </c>
      <c r="Z17" s="30" t="str">
        <f aca="true">IF(INDIRECT("brand_form!A"&amp;ROW())="","",IF(INDIRECT("brand_form!Y"&amp;ROW())="","",INDIRECT("brand_form!Y"&amp;ROW())))</f>
        <v/>
      </c>
      <c r="AA17" s="30" t="str">
        <f aca="true">IF(INDIRECT("brand_form!A"&amp;ROW())="","","founder")</f>
        <v/>
      </c>
    </row>
    <row r="18" customFormat="false" ht="15" hidden="false" customHeight="false" outlineLevel="0" collapsed="false">
      <c r="A18" s="30" t="str">
        <f aca="true">IF(INDIRECT("brand_form!A"&amp;ROW())="","",TEXT(INDIRECT("brand_form!A"&amp;ROW()),"yyyy-mm-dd""T""hh:mm:ss"))</f>
        <v/>
      </c>
      <c r="B18" s="30" t="str">
        <f aca="true">IF(INDIRECT("brand_form!A"&amp;ROW())="","",config!$B$35)</f>
        <v/>
      </c>
      <c r="C18" s="30" t="str">
        <f aca="true">IF(INDIRECT("brand_form!A"&amp;ROW())="","",IF(INDIRECT("brand_form!B"&amp;ROW())="","",INDIRECT("brand_form!B"&amp;ROW())))</f>
        <v/>
      </c>
      <c r="D1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8" s="30" t="str">
        <f aca="true">IF(INDIRECT("brand_form!A"&amp;ROW())="","",IF(INDIRECT("brand_form!G"&amp;ROW())="","",INDIRECT("brand_form!G"&amp;ROW())))</f>
        <v/>
      </c>
      <c r="F18" s="30" t="str">
        <f aca="true">IF(INDIRECT("brand_form!A"&amp;ROW())="","",IF(INDIRECT("brand_form!H"&amp;ROW())="","",INDIRECT("brand_form!H"&amp;ROW())))</f>
        <v/>
      </c>
      <c r="G18" s="30" t="str">
        <f aca="true">IF(INDIRECT("brand_form!A"&amp;ROW())="","",IF(INDIRECT("brand_form!I"&amp;ROW())="","",INDIRECT("brand_form!I"&amp;ROW())))</f>
        <v/>
      </c>
      <c r="H18" s="30" t="str">
        <f aca="true">IF(INDIRECT("brand_form!A"&amp;ROW())="","",IF(INDIRECT("brand_form!J"&amp;ROW())="","",INDIRECT("brand_form!J"&amp;ROW())))</f>
        <v/>
      </c>
      <c r="I18" s="30" t="str">
        <f aca="true">IF(INDIRECT("brand_form!A"&amp;ROW())="","",IF(INDIRECT("brand_form!D"&amp;ROW())="","",INDIRECT("brand_form!D"&amp;ROW())))</f>
        <v/>
      </c>
      <c r="J1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30" t="str">
        <f aca="true">IF(INDIRECT("brand_form!A"&amp;ROW())="","",IF(INDIRECT("brand_form!F"&amp;ROW())="","",INDIRECT("brand_form!F"&amp;ROW())))</f>
        <v/>
      </c>
      <c r="L18" s="30" t="str">
        <f aca="true">IF(INDIRECT("brand_form!A"&amp;ROW())="","",IF(INDIRECT("brand_form!M"&amp;ROW())="","",INDIRECT("brand_form!M"&amp;ROW())))</f>
        <v/>
      </c>
      <c r="M1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8" s="30" t="str">
        <f aca="true">IF(INDIRECT("brand_form!A"&amp;ROW())="","",IF(IF(INDIRECT("brand_form!O"&amp;ROW())="","",INDIRECT("brand_form!O"&amp;ROW()))="Yes","Y",IF(IF(INDIRECT("brand_form!O"&amp;ROW())="","",INDIRECT("brand_form!O"&amp;ROW()))="No","N","")))</f>
        <v/>
      </c>
      <c r="O1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30" t="str">
        <f aca="true">IF(INDIRECT("brand_form!A"&amp;ROW())="","",IF(IF(INDIRECT("brand_form!K"&amp;ROW())="","",INDIRECT("brand_form!K"&amp;ROW()))="I do","Y",IF(IF(INDIRECT("brand_form!K"&amp;ROW())="","",INDIRECT("brand_form!K"&amp;ROW()))="Someone else","N","")))</f>
        <v/>
      </c>
      <c r="Q18" s="30" t="str">
        <f aca="true">IF(INDIRECT("brand_form!A"&amp;ROW())="","",IF($P18="Y",$E18&amp;", "&amp;$F18,IF(INDIRECT("brand_form!L"&amp;ROW())="","",INDIRECT("brand_form!L"&amp;ROW()))))</f>
        <v/>
      </c>
      <c r="R18" s="30" t="str">
        <f aca="true">IF(INDIRECT("brand_form!A"&amp;ROW())="","",IF(IF(INDIRECT("brand_form!Q"&amp;ROW())="","",INDIRECT("brand_form!Q"&amp;ROW()))="Yes","Y",IF(IF(INDIRECT("brand_form!Q"&amp;ROW())="","",INDIRECT("brand_form!Q"&amp;ROW()))="No","N",IF(IF(INDIRECT("brand_form!Q"&amp;ROW())="","",INDIRECT("brand_form!Q"&amp;ROW()))="Not sure","unsure",""))))</f>
        <v/>
      </c>
      <c r="S18" s="30" t="str">
        <f aca="true">IF(INDIRECT("brand_form!A"&amp;ROW())="","",IF(IF(INDIRECT("brand_form!R"&amp;ROW())="","",INDIRECT("brand_form!R"&amp;ROW()))="Yes","Y",IF(IF(INDIRECT("brand_form!R"&amp;ROW())="","",INDIRECT("brand_form!R"&amp;ROW()))="No","N",IF(IF(INDIRECT("brand_form!R"&amp;ROW())="","",INDIRECT("brand_form!R"&amp;ROW()))="Not sure","unsure",""))))</f>
        <v/>
      </c>
      <c r="T18" s="30" t="str">
        <f aca="true">IF(INDIRECT("brand_form!A"&amp;ROW())="","",IF(IF(INDIRECT("brand_form!S"&amp;ROW())="","",INDIRECT("brand_form!S"&amp;ROW()))="Yes","Y",IF(IF(INDIRECT("brand_form!S"&amp;ROW())="","",INDIRECT("brand_form!S"&amp;ROW()))="No","N",IF(IF(INDIRECT("brand_form!S"&amp;ROW())="","",INDIRECT("brand_form!S"&amp;ROW()))="Not sure","unsure",""))))</f>
        <v/>
      </c>
      <c r="U18" s="30" t="str">
        <f aca="true">IF(INDIRECT("brand_form!A"&amp;ROW())="","",IF(IF(INDIRECT("brand_form!T"&amp;ROW())="","",INDIRECT("brand_form!T"&amp;ROW()))="Yes","Y",IF(IF(INDIRECT("brand_form!T"&amp;ROW())="","",INDIRECT("brand_form!T"&amp;ROW()))="No","N",IF(IF(INDIRECT("brand_form!T"&amp;ROW())="","",INDIRECT("brand_form!T"&amp;ROW()))="Not sure","unsure",""))))</f>
        <v/>
      </c>
      <c r="V18" s="30" t="str">
        <f aca="true">IF(INDIRECT("brand_form!A"&amp;ROW())="","",IF(IF(INDIRECT("brand_form!U"&amp;ROW())="","",INDIRECT("brand_form!U"&amp;ROW()))="Yes","Y",IF(IF(INDIRECT("brand_form!U"&amp;ROW())="","",INDIRECT("brand_form!U"&amp;ROW()))="No","N",IF(IF(INDIRECT("brand_form!U"&amp;ROW())="","",INDIRECT("brand_form!U"&amp;ROW()))="Not sure","unsure",""))))</f>
        <v/>
      </c>
      <c r="W18" s="30" t="str">
        <f aca="true">IF(INDIRECT("brand_form!A"&amp;ROW())="","",IF(IF(INDIRECT("brand_form!V"&amp;ROW())="","",INDIRECT("brand_form!V"&amp;ROW()))="Yes","Y",IF(IF(INDIRECT("brand_form!V"&amp;ROW())="","",INDIRECT("brand_form!V"&amp;ROW()))="No","N",IF(IF(INDIRECT("brand_form!V"&amp;ROW())="","",INDIRECT("brand_form!V"&amp;ROW()))="Not sure","unsure",""))))</f>
        <v/>
      </c>
      <c r="X18" s="30" t="str">
        <f aca="true">IF(INDIRECT("brand_form!A"&amp;ROW())="","",IF(INDIRECT("brand_form!W"&amp;ROW())="","",INDIRECT("brand_form!W"&amp;ROW())))</f>
        <v/>
      </c>
      <c r="Y18" s="30" t="str">
        <f aca="true">IF(INDIRECT("brand_form!A"&amp;ROW())="","",IF(IF(INDIRECT("brand_form!X"&amp;ROW())="","",INDIRECT("brand_form!X"&amp;ROW()))&lt;&gt;"","Y",""))</f>
        <v/>
      </c>
      <c r="Z18" s="30" t="str">
        <f aca="true">IF(INDIRECT("brand_form!A"&amp;ROW())="","",IF(INDIRECT("brand_form!Y"&amp;ROW())="","",INDIRECT("brand_form!Y"&amp;ROW())))</f>
        <v/>
      </c>
      <c r="AA18" s="30" t="str">
        <f aca="true">IF(INDIRECT("brand_form!A"&amp;ROW())="","","founder")</f>
        <v/>
      </c>
    </row>
    <row r="19" customFormat="false" ht="15" hidden="false" customHeight="false" outlineLevel="0" collapsed="false">
      <c r="A19" s="30" t="str">
        <f aca="true">IF(INDIRECT("brand_form!A"&amp;ROW())="","",TEXT(INDIRECT("brand_form!A"&amp;ROW()),"yyyy-mm-dd""T""hh:mm:ss"))</f>
        <v/>
      </c>
      <c r="B19" s="30" t="str">
        <f aca="true">IF(INDIRECT("brand_form!A"&amp;ROW())="","",config!$B$35)</f>
        <v/>
      </c>
      <c r="C19" s="30" t="str">
        <f aca="true">IF(INDIRECT("brand_form!A"&amp;ROW())="","",IF(INDIRECT("brand_form!B"&amp;ROW())="","",INDIRECT("brand_form!B"&amp;ROW())))</f>
        <v/>
      </c>
      <c r="D1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19" s="30" t="str">
        <f aca="true">IF(INDIRECT("brand_form!A"&amp;ROW())="","",IF(INDIRECT("brand_form!G"&amp;ROW())="","",INDIRECT("brand_form!G"&amp;ROW())))</f>
        <v/>
      </c>
      <c r="F19" s="30" t="str">
        <f aca="true">IF(INDIRECT("brand_form!A"&amp;ROW())="","",IF(INDIRECT("brand_form!H"&amp;ROW())="","",INDIRECT("brand_form!H"&amp;ROW())))</f>
        <v/>
      </c>
      <c r="G19" s="30" t="str">
        <f aca="true">IF(INDIRECT("brand_form!A"&amp;ROW())="","",IF(INDIRECT("brand_form!I"&amp;ROW())="","",INDIRECT("brand_form!I"&amp;ROW())))</f>
        <v/>
      </c>
      <c r="H19" s="30" t="str">
        <f aca="true">IF(INDIRECT("brand_form!A"&amp;ROW())="","",IF(INDIRECT("brand_form!J"&amp;ROW())="","",INDIRECT("brand_form!J"&amp;ROW())))</f>
        <v/>
      </c>
      <c r="I19" s="30" t="str">
        <f aca="true">IF(INDIRECT("brand_form!A"&amp;ROW())="","",IF(INDIRECT("brand_form!D"&amp;ROW())="","",INDIRECT("brand_form!D"&amp;ROW())))</f>
        <v/>
      </c>
      <c r="J1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30" t="str">
        <f aca="true">IF(INDIRECT("brand_form!A"&amp;ROW())="","",IF(INDIRECT("brand_form!F"&amp;ROW())="","",INDIRECT("brand_form!F"&amp;ROW())))</f>
        <v/>
      </c>
      <c r="L19" s="30" t="str">
        <f aca="true">IF(INDIRECT("brand_form!A"&amp;ROW())="","",IF(INDIRECT("brand_form!M"&amp;ROW())="","",INDIRECT("brand_form!M"&amp;ROW())))</f>
        <v/>
      </c>
      <c r="M1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19" s="30" t="str">
        <f aca="true">IF(INDIRECT("brand_form!A"&amp;ROW())="","",IF(IF(INDIRECT("brand_form!O"&amp;ROW())="","",INDIRECT("brand_form!O"&amp;ROW()))="Yes","Y",IF(IF(INDIRECT("brand_form!O"&amp;ROW())="","",INDIRECT("brand_form!O"&amp;ROW()))="No","N","")))</f>
        <v/>
      </c>
      <c r="O1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30" t="str">
        <f aca="true">IF(INDIRECT("brand_form!A"&amp;ROW())="","",IF(IF(INDIRECT("brand_form!K"&amp;ROW())="","",INDIRECT("brand_form!K"&amp;ROW()))="I do","Y",IF(IF(INDIRECT("brand_form!K"&amp;ROW())="","",INDIRECT("brand_form!K"&amp;ROW()))="Someone else","N","")))</f>
        <v/>
      </c>
      <c r="Q19" s="30" t="str">
        <f aca="true">IF(INDIRECT("brand_form!A"&amp;ROW())="","",IF($P19="Y",$E19&amp;", "&amp;$F19,IF(INDIRECT("brand_form!L"&amp;ROW())="","",INDIRECT("brand_form!L"&amp;ROW()))))</f>
        <v/>
      </c>
      <c r="R19" s="30" t="str">
        <f aca="true">IF(INDIRECT("brand_form!A"&amp;ROW())="","",IF(IF(INDIRECT("brand_form!Q"&amp;ROW())="","",INDIRECT("brand_form!Q"&amp;ROW()))="Yes","Y",IF(IF(INDIRECT("brand_form!Q"&amp;ROW())="","",INDIRECT("brand_form!Q"&amp;ROW()))="No","N",IF(IF(INDIRECT("brand_form!Q"&amp;ROW())="","",INDIRECT("brand_form!Q"&amp;ROW()))="Not sure","unsure",""))))</f>
        <v/>
      </c>
      <c r="S19" s="30" t="str">
        <f aca="true">IF(INDIRECT("brand_form!A"&amp;ROW())="","",IF(IF(INDIRECT("brand_form!R"&amp;ROW())="","",INDIRECT("brand_form!R"&amp;ROW()))="Yes","Y",IF(IF(INDIRECT("brand_form!R"&amp;ROW())="","",INDIRECT("brand_form!R"&amp;ROW()))="No","N",IF(IF(INDIRECT("brand_form!R"&amp;ROW())="","",INDIRECT("brand_form!R"&amp;ROW()))="Not sure","unsure",""))))</f>
        <v/>
      </c>
      <c r="T19" s="30" t="str">
        <f aca="true">IF(INDIRECT("brand_form!A"&amp;ROW())="","",IF(IF(INDIRECT("brand_form!S"&amp;ROW())="","",INDIRECT("brand_form!S"&amp;ROW()))="Yes","Y",IF(IF(INDIRECT("brand_form!S"&amp;ROW())="","",INDIRECT("brand_form!S"&amp;ROW()))="No","N",IF(IF(INDIRECT("brand_form!S"&amp;ROW())="","",INDIRECT("brand_form!S"&amp;ROW()))="Not sure","unsure",""))))</f>
        <v/>
      </c>
      <c r="U19" s="30" t="str">
        <f aca="true">IF(INDIRECT("brand_form!A"&amp;ROW())="","",IF(IF(INDIRECT("brand_form!T"&amp;ROW())="","",INDIRECT("brand_form!T"&amp;ROW()))="Yes","Y",IF(IF(INDIRECT("brand_form!T"&amp;ROW())="","",INDIRECT("brand_form!T"&amp;ROW()))="No","N",IF(IF(INDIRECT("brand_form!T"&amp;ROW())="","",INDIRECT("brand_form!T"&amp;ROW()))="Not sure","unsure",""))))</f>
        <v/>
      </c>
      <c r="V19" s="30" t="str">
        <f aca="true">IF(INDIRECT("brand_form!A"&amp;ROW())="","",IF(IF(INDIRECT("brand_form!U"&amp;ROW())="","",INDIRECT("brand_form!U"&amp;ROW()))="Yes","Y",IF(IF(INDIRECT("brand_form!U"&amp;ROW())="","",INDIRECT("brand_form!U"&amp;ROW()))="No","N",IF(IF(INDIRECT("brand_form!U"&amp;ROW())="","",INDIRECT("brand_form!U"&amp;ROW()))="Not sure","unsure",""))))</f>
        <v/>
      </c>
      <c r="W19" s="30" t="str">
        <f aca="true">IF(INDIRECT("brand_form!A"&amp;ROW())="","",IF(IF(INDIRECT("brand_form!V"&amp;ROW())="","",INDIRECT("brand_form!V"&amp;ROW()))="Yes","Y",IF(IF(INDIRECT("brand_form!V"&amp;ROW())="","",INDIRECT("brand_form!V"&amp;ROW()))="No","N",IF(IF(INDIRECT("brand_form!V"&amp;ROW())="","",INDIRECT("brand_form!V"&amp;ROW()))="Not sure","unsure",""))))</f>
        <v/>
      </c>
      <c r="X19" s="30" t="str">
        <f aca="true">IF(INDIRECT("brand_form!A"&amp;ROW())="","",IF(INDIRECT("brand_form!W"&amp;ROW())="","",INDIRECT("brand_form!W"&amp;ROW())))</f>
        <v/>
      </c>
      <c r="Y19" s="30" t="str">
        <f aca="true">IF(INDIRECT("brand_form!A"&amp;ROW())="","",IF(IF(INDIRECT("brand_form!X"&amp;ROW())="","",INDIRECT("brand_form!X"&amp;ROW()))&lt;&gt;"","Y",""))</f>
        <v/>
      </c>
      <c r="Z19" s="30" t="str">
        <f aca="true">IF(INDIRECT("brand_form!A"&amp;ROW())="","",IF(INDIRECT("brand_form!Y"&amp;ROW())="","",INDIRECT("brand_form!Y"&amp;ROW())))</f>
        <v/>
      </c>
      <c r="AA19" s="30" t="str">
        <f aca="true">IF(INDIRECT("brand_form!A"&amp;ROW())="","","founder")</f>
        <v/>
      </c>
    </row>
    <row r="20" customFormat="false" ht="15" hidden="false" customHeight="false" outlineLevel="0" collapsed="false">
      <c r="A20" s="30" t="str">
        <f aca="true">IF(INDIRECT("brand_form!A"&amp;ROW())="","",TEXT(INDIRECT("brand_form!A"&amp;ROW()),"yyyy-mm-dd""T""hh:mm:ss"))</f>
        <v/>
      </c>
      <c r="B20" s="30" t="str">
        <f aca="true">IF(INDIRECT("brand_form!A"&amp;ROW())="","",config!$B$35)</f>
        <v/>
      </c>
      <c r="C20" s="30" t="str">
        <f aca="true">IF(INDIRECT("brand_form!A"&amp;ROW())="","",IF(INDIRECT("brand_form!B"&amp;ROW())="","",INDIRECT("brand_form!B"&amp;ROW())))</f>
        <v/>
      </c>
      <c r="D2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0" s="30" t="str">
        <f aca="true">IF(INDIRECT("brand_form!A"&amp;ROW())="","",IF(INDIRECT("brand_form!G"&amp;ROW())="","",INDIRECT("brand_form!G"&amp;ROW())))</f>
        <v/>
      </c>
      <c r="F20" s="30" t="str">
        <f aca="true">IF(INDIRECT("brand_form!A"&amp;ROW())="","",IF(INDIRECT("brand_form!H"&amp;ROW())="","",INDIRECT("brand_form!H"&amp;ROW())))</f>
        <v/>
      </c>
      <c r="G20" s="30" t="str">
        <f aca="true">IF(INDIRECT("brand_form!A"&amp;ROW())="","",IF(INDIRECT("brand_form!I"&amp;ROW())="","",INDIRECT("brand_form!I"&amp;ROW())))</f>
        <v/>
      </c>
      <c r="H20" s="30" t="str">
        <f aca="true">IF(INDIRECT("brand_form!A"&amp;ROW())="","",IF(INDIRECT("brand_form!J"&amp;ROW())="","",INDIRECT("brand_form!J"&amp;ROW())))</f>
        <v/>
      </c>
      <c r="I20" s="30" t="str">
        <f aca="true">IF(INDIRECT("brand_form!A"&amp;ROW())="","",IF(INDIRECT("brand_form!D"&amp;ROW())="","",INDIRECT("brand_form!D"&amp;ROW())))</f>
        <v/>
      </c>
      <c r="J2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30" t="str">
        <f aca="true">IF(INDIRECT("brand_form!A"&amp;ROW())="","",IF(INDIRECT("brand_form!F"&amp;ROW())="","",INDIRECT("brand_form!F"&amp;ROW())))</f>
        <v/>
      </c>
      <c r="L20" s="30" t="str">
        <f aca="true">IF(INDIRECT("brand_form!A"&amp;ROW())="","",IF(INDIRECT("brand_form!M"&amp;ROW())="","",INDIRECT("brand_form!M"&amp;ROW())))</f>
        <v/>
      </c>
      <c r="M2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0" s="30" t="str">
        <f aca="true">IF(INDIRECT("brand_form!A"&amp;ROW())="","",IF(IF(INDIRECT("brand_form!O"&amp;ROW())="","",INDIRECT("brand_form!O"&amp;ROW()))="Yes","Y",IF(IF(INDIRECT("brand_form!O"&amp;ROW())="","",INDIRECT("brand_form!O"&amp;ROW()))="No","N","")))</f>
        <v/>
      </c>
      <c r="O2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30" t="str">
        <f aca="true">IF(INDIRECT("brand_form!A"&amp;ROW())="","",IF(IF(INDIRECT("brand_form!K"&amp;ROW())="","",INDIRECT("brand_form!K"&amp;ROW()))="I do","Y",IF(IF(INDIRECT("brand_form!K"&amp;ROW())="","",INDIRECT("brand_form!K"&amp;ROW()))="Someone else","N","")))</f>
        <v/>
      </c>
      <c r="Q20" s="30" t="str">
        <f aca="true">IF(INDIRECT("brand_form!A"&amp;ROW())="","",IF($P20="Y",$E20&amp;", "&amp;$F20,IF(INDIRECT("brand_form!L"&amp;ROW())="","",INDIRECT("brand_form!L"&amp;ROW()))))</f>
        <v/>
      </c>
      <c r="R20" s="30" t="str">
        <f aca="true">IF(INDIRECT("brand_form!A"&amp;ROW())="","",IF(IF(INDIRECT("brand_form!Q"&amp;ROW())="","",INDIRECT("brand_form!Q"&amp;ROW()))="Yes","Y",IF(IF(INDIRECT("brand_form!Q"&amp;ROW())="","",INDIRECT("brand_form!Q"&amp;ROW()))="No","N",IF(IF(INDIRECT("brand_form!Q"&amp;ROW())="","",INDIRECT("brand_form!Q"&amp;ROW()))="Not sure","unsure",""))))</f>
        <v/>
      </c>
      <c r="S20" s="30" t="str">
        <f aca="true">IF(INDIRECT("brand_form!A"&amp;ROW())="","",IF(IF(INDIRECT("brand_form!R"&amp;ROW())="","",INDIRECT("brand_form!R"&amp;ROW()))="Yes","Y",IF(IF(INDIRECT("brand_form!R"&amp;ROW())="","",INDIRECT("brand_form!R"&amp;ROW()))="No","N",IF(IF(INDIRECT("brand_form!R"&amp;ROW())="","",INDIRECT("brand_form!R"&amp;ROW()))="Not sure","unsure",""))))</f>
        <v/>
      </c>
      <c r="T20" s="30" t="str">
        <f aca="true">IF(INDIRECT("brand_form!A"&amp;ROW())="","",IF(IF(INDIRECT("brand_form!S"&amp;ROW())="","",INDIRECT("brand_form!S"&amp;ROW()))="Yes","Y",IF(IF(INDIRECT("brand_form!S"&amp;ROW())="","",INDIRECT("brand_form!S"&amp;ROW()))="No","N",IF(IF(INDIRECT("brand_form!S"&amp;ROW())="","",INDIRECT("brand_form!S"&amp;ROW()))="Not sure","unsure",""))))</f>
        <v/>
      </c>
      <c r="U20" s="30" t="str">
        <f aca="true">IF(INDIRECT("brand_form!A"&amp;ROW())="","",IF(IF(INDIRECT("brand_form!T"&amp;ROW())="","",INDIRECT("brand_form!T"&amp;ROW()))="Yes","Y",IF(IF(INDIRECT("brand_form!T"&amp;ROW())="","",INDIRECT("brand_form!T"&amp;ROW()))="No","N",IF(IF(INDIRECT("brand_form!T"&amp;ROW())="","",INDIRECT("brand_form!T"&amp;ROW()))="Not sure","unsure",""))))</f>
        <v/>
      </c>
      <c r="V20" s="30" t="str">
        <f aca="true">IF(INDIRECT("brand_form!A"&amp;ROW())="","",IF(IF(INDIRECT("brand_form!U"&amp;ROW())="","",INDIRECT("brand_form!U"&amp;ROW()))="Yes","Y",IF(IF(INDIRECT("brand_form!U"&amp;ROW())="","",INDIRECT("brand_form!U"&amp;ROW()))="No","N",IF(IF(INDIRECT("brand_form!U"&amp;ROW())="","",INDIRECT("brand_form!U"&amp;ROW()))="Not sure","unsure",""))))</f>
        <v/>
      </c>
      <c r="W20" s="30" t="str">
        <f aca="true">IF(INDIRECT("brand_form!A"&amp;ROW())="","",IF(IF(INDIRECT("brand_form!V"&amp;ROW())="","",INDIRECT("brand_form!V"&amp;ROW()))="Yes","Y",IF(IF(INDIRECT("brand_form!V"&amp;ROW())="","",INDIRECT("brand_form!V"&amp;ROW()))="No","N",IF(IF(INDIRECT("brand_form!V"&amp;ROW())="","",INDIRECT("brand_form!V"&amp;ROW()))="Not sure","unsure",""))))</f>
        <v/>
      </c>
      <c r="X20" s="30" t="str">
        <f aca="true">IF(INDIRECT("brand_form!A"&amp;ROW())="","",IF(INDIRECT("brand_form!W"&amp;ROW())="","",INDIRECT("brand_form!W"&amp;ROW())))</f>
        <v/>
      </c>
      <c r="Y20" s="30" t="str">
        <f aca="true">IF(INDIRECT("brand_form!A"&amp;ROW())="","",IF(IF(INDIRECT("brand_form!X"&amp;ROW())="","",INDIRECT("brand_form!X"&amp;ROW()))&lt;&gt;"","Y",""))</f>
        <v/>
      </c>
      <c r="Z20" s="30" t="str">
        <f aca="true">IF(INDIRECT("brand_form!A"&amp;ROW())="","",IF(INDIRECT("brand_form!Y"&amp;ROW())="","",INDIRECT("brand_form!Y"&amp;ROW())))</f>
        <v/>
      </c>
      <c r="AA20" s="30" t="str">
        <f aca="true">IF(INDIRECT("brand_form!A"&amp;ROW())="","","founder")</f>
        <v/>
      </c>
    </row>
    <row r="21" customFormat="false" ht="15" hidden="false" customHeight="false" outlineLevel="0" collapsed="false">
      <c r="A21" s="30" t="str">
        <f aca="true">IF(INDIRECT("brand_form!A"&amp;ROW())="","",TEXT(INDIRECT("brand_form!A"&amp;ROW()),"yyyy-mm-dd""T""hh:mm:ss"))</f>
        <v/>
      </c>
      <c r="B21" s="30" t="str">
        <f aca="true">IF(INDIRECT("brand_form!A"&amp;ROW())="","",config!$B$35)</f>
        <v/>
      </c>
      <c r="C21" s="30" t="str">
        <f aca="true">IF(INDIRECT("brand_form!A"&amp;ROW())="","",IF(INDIRECT("brand_form!B"&amp;ROW())="","",INDIRECT("brand_form!B"&amp;ROW())))</f>
        <v/>
      </c>
      <c r="D2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1" s="30" t="str">
        <f aca="true">IF(INDIRECT("brand_form!A"&amp;ROW())="","",IF(INDIRECT("brand_form!G"&amp;ROW())="","",INDIRECT("brand_form!G"&amp;ROW())))</f>
        <v/>
      </c>
      <c r="F21" s="30" t="str">
        <f aca="true">IF(INDIRECT("brand_form!A"&amp;ROW())="","",IF(INDIRECT("brand_form!H"&amp;ROW())="","",INDIRECT("brand_form!H"&amp;ROW())))</f>
        <v/>
      </c>
      <c r="G21" s="30" t="str">
        <f aca="true">IF(INDIRECT("brand_form!A"&amp;ROW())="","",IF(INDIRECT("brand_form!I"&amp;ROW())="","",INDIRECT("brand_form!I"&amp;ROW())))</f>
        <v/>
      </c>
      <c r="H21" s="30" t="str">
        <f aca="true">IF(INDIRECT("brand_form!A"&amp;ROW())="","",IF(INDIRECT("brand_form!J"&amp;ROW())="","",INDIRECT("brand_form!J"&amp;ROW())))</f>
        <v/>
      </c>
      <c r="I21" s="30" t="str">
        <f aca="true">IF(INDIRECT("brand_form!A"&amp;ROW())="","",IF(INDIRECT("brand_form!D"&amp;ROW())="","",INDIRECT("brand_form!D"&amp;ROW())))</f>
        <v/>
      </c>
      <c r="J2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30" t="str">
        <f aca="true">IF(INDIRECT("brand_form!A"&amp;ROW())="","",IF(INDIRECT("brand_form!F"&amp;ROW())="","",INDIRECT("brand_form!F"&amp;ROW())))</f>
        <v/>
      </c>
      <c r="L21" s="30" t="str">
        <f aca="true">IF(INDIRECT("brand_form!A"&amp;ROW())="","",IF(INDIRECT("brand_form!M"&amp;ROW())="","",INDIRECT("brand_form!M"&amp;ROW())))</f>
        <v/>
      </c>
      <c r="M2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1" s="30" t="str">
        <f aca="true">IF(INDIRECT("brand_form!A"&amp;ROW())="","",IF(IF(INDIRECT("brand_form!O"&amp;ROW())="","",INDIRECT("brand_form!O"&amp;ROW()))="Yes","Y",IF(IF(INDIRECT("brand_form!O"&amp;ROW())="","",INDIRECT("brand_form!O"&amp;ROW()))="No","N","")))</f>
        <v/>
      </c>
      <c r="O2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30" t="str">
        <f aca="true">IF(INDIRECT("brand_form!A"&amp;ROW())="","",IF(IF(INDIRECT("brand_form!K"&amp;ROW())="","",INDIRECT("brand_form!K"&amp;ROW()))="I do","Y",IF(IF(INDIRECT("brand_form!K"&amp;ROW())="","",INDIRECT("brand_form!K"&amp;ROW()))="Someone else","N","")))</f>
        <v/>
      </c>
      <c r="Q21" s="30" t="str">
        <f aca="true">IF(INDIRECT("brand_form!A"&amp;ROW())="","",IF($P21="Y",$E21&amp;", "&amp;$F21,IF(INDIRECT("brand_form!L"&amp;ROW())="","",INDIRECT("brand_form!L"&amp;ROW()))))</f>
        <v/>
      </c>
      <c r="R21" s="30" t="str">
        <f aca="true">IF(INDIRECT("brand_form!A"&amp;ROW())="","",IF(IF(INDIRECT("brand_form!Q"&amp;ROW())="","",INDIRECT("brand_form!Q"&amp;ROW()))="Yes","Y",IF(IF(INDIRECT("brand_form!Q"&amp;ROW())="","",INDIRECT("brand_form!Q"&amp;ROW()))="No","N",IF(IF(INDIRECT("brand_form!Q"&amp;ROW())="","",INDIRECT("brand_form!Q"&amp;ROW()))="Not sure","unsure",""))))</f>
        <v/>
      </c>
      <c r="S21" s="30" t="str">
        <f aca="true">IF(INDIRECT("brand_form!A"&amp;ROW())="","",IF(IF(INDIRECT("brand_form!R"&amp;ROW())="","",INDIRECT("brand_form!R"&amp;ROW()))="Yes","Y",IF(IF(INDIRECT("brand_form!R"&amp;ROW())="","",INDIRECT("brand_form!R"&amp;ROW()))="No","N",IF(IF(INDIRECT("brand_form!R"&amp;ROW())="","",INDIRECT("brand_form!R"&amp;ROW()))="Not sure","unsure",""))))</f>
        <v/>
      </c>
      <c r="T21" s="30" t="str">
        <f aca="true">IF(INDIRECT("brand_form!A"&amp;ROW())="","",IF(IF(INDIRECT("brand_form!S"&amp;ROW())="","",INDIRECT("brand_form!S"&amp;ROW()))="Yes","Y",IF(IF(INDIRECT("brand_form!S"&amp;ROW())="","",INDIRECT("brand_form!S"&amp;ROW()))="No","N",IF(IF(INDIRECT("brand_form!S"&amp;ROW())="","",INDIRECT("brand_form!S"&amp;ROW()))="Not sure","unsure",""))))</f>
        <v/>
      </c>
      <c r="U21" s="30" t="str">
        <f aca="true">IF(INDIRECT("brand_form!A"&amp;ROW())="","",IF(IF(INDIRECT("brand_form!T"&amp;ROW())="","",INDIRECT("brand_form!T"&amp;ROW()))="Yes","Y",IF(IF(INDIRECT("brand_form!T"&amp;ROW())="","",INDIRECT("brand_form!T"&amp;ROW()))="No","N",IF(IF(INDIRECT("brand_form!T"&amp;ROW())="","",INDIRECT("brand_form!T"&amp;ROW()))="Not sure","unsure",""))))</f>
        <v/>
      </c>
      <c r="V21" s="30" t="str">
        <f aca="true">IF(INDIRECT("brand_form!A"&amp;ROW())="","",IF(IF(INDIRECT("brand_form!U"&amp;ROW())="","",INDIRECT("brand_form!U"&amp;ROW()))="Yes","Y",IF(IF(INDIRECT("brand_form!U"&amp;ROW())="","",INDIRECT("brand_form!U"&amp;ROW()))="No","N",IF(IF(INDIRECT("brand_form!U"&amp;ROW())="","",INDIRECT("brand_form!U"&amp;ROW()))="Not sure","unsure",""))))</f>
        <v/>
      </c>
      <c r="W21" s="30" t="str">
        <f aca="true">IF(INDIRECT("brand_form!A"&amp;ROW())="","",IF(IF(INDIRECT("brand_form!V"&amp;ROW())="","",INDIRECT("brand_form!V"&amp;ROW()))="Yes","Y",IF(IF(INDIRECT("brand_form!V"&amp;ROW())="","",INDIRECT("brand_form!V"&amp;ROW()))="No","N",IF(IF(INDIRECT("brand_form!V"&amp;ROW())="","",INDIRECT("brand_form!V"&amp;ROW()))="Not sure","unsure",""))))</f>
        <v/>
      </c>
      <c r="X21" s="30" t="str">
        <f aca="true">IF(INDIRECT("brand_form!A"&amp;ROW())="","",IF(INDIRECT("brand_form!W"&amp;ROW())="","",INDIRECT("brand_form!W"&amp;ROW())))</f>
        <v/>
      </c>
      <c r="Y21" s="30" t="str">
        <f aca="true">IF(INDIRECT("brand_form!A"&amp;ROW())="","",IF(IF(INDIRECT("brand_form!X"&amp;ROW())="","",INDIRECT("brand_form!X"&amp;ROW()))&lt;&gt;"","Y",""))</f>
        <v/>
      </c>
      <c r="Z21" s="30" t="str">
        <f aca="true">IF(INDIRECT("brand_form!A"&amp;ROW())="","",IF(INDIRECT("brand_form!Y"&amp;ROW())="","",INDIRECT("brand_form!Y"&amp;ROW())))</f>
        <v/>
      </c>
      <c r="AA21" s="30" t="str">
        <f aca="true">IF(INDIRECT("brand_form!A"&amp;ROW())="","","founder")</f>
        <v/>
      </c>
    </row>
    <row r="22" customFormat="false" ht="15" hidden="false" customHeight="false" outlineLevel="0" collapsed="false">
      <c r="A22" s="30" t="str">
        <f aca="true">IF(INDIRECT("brand_form!A"&amp;ROW())="","",TEXT(INDIRECT("brand_form!A"&amp;ROW()),"yyyy-mm-dd""T""hh:mm:ss"))</f>
        <v/>
      </c>
      <c r="B22" s="30" t="str">
        <f aca="true">IF(INDIRECT("brand_form!A"&amp;ROW())="","",config!$B$35)</f>
        <v/>
      </c>
      <c r="C22" s="30" t="str">
        <f aca="true">IF(INDIRECT("brand_form!A"&amp;ROW())="","",IF(INDIRECT("brand_form!B"&amp;ROW())="","",INDIRECT("brand_form!B"&amp;ROW())))</f>
        <v/>
      </c>
      <c r="D2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2" s="30" t="str">
        <f aca="true">IF(INDIRECT("brand_form!A"&amp;ROW())="","",IF(INDIRECT("brand_form!G"&amp;ROW())="","",INDIRECT("brand_form!G"&amp;ROW())))</f>
        <v/>
      </c>
      <c r="F22" s="30" t="str">
        <f aca="true">IF(INDIRECT("brand_form!A"&amp;ROW())="","",IF(INDIRECT("brand_form!H"&amp;ROW())="","",INDIRECT("brand_form!H"&amp;ROW())))</f>
        <v/>
      </c>
      <c r="G22" s="30" t="str">
        <f aca="true">IF(INDIRECT("brand_form!A"&amp;ROW())="","",IF(INDIRECT("brand_form!I"&amp;ROW())="","",INDIRECT("brand_form!I"&amp;ROW())))</f>
        <v/>
      </c>
      <c r="H22" s="30" t="str">
        <f aca="true">IF(INDIRECT("brand_form!A"&amp;ROW())="","",IF(INDIRECT("brand_form!J"&amp;ROW())="","",INDIRECT("brand_form!J"&amp;ROW())))</f>
        <v/>
      </c>
      <c r="I22" s="30" t="str">
        <f aca="true">IF(INDIRECT("brand_form!A"&amp;ROW())="","",IF(INDIRECT("brand_form!D"&amp;ROW())="","",INDIRECT("brand_form!D"&amp;ROW())))</f>
        <v/>
      </c>
      <c r="J2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30" t="str">
        <f aca="true">IF(INDIRECT("brand_form!A"&amp;ROW())="","",IF(INDIRECT("brand_form!F"&amp;ROW())="","",INDIRECT("brand_form!F"&amp;ROW())))</f>
        <v/>
      </c>
      <c r="L22" s="30" t="str">
        <f aca="true">IF(INDIRECT("brand_form!A"&amp;ROW())="","",IF(INDIRECT("brand_form!M"&amp;ROW())="","",INDIRECT("brand_form!M"&amp;ROW())))</f>
        <v/>
      </c>
      <c r="M2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2" s="30" t="str">
        <f aca="true">IF(INDIRECT("brand_form!A"&amp;ROW())="","",IF(IF(INDIRECT("brand_form!O"&amp;ROW())="","",INDIRECT("brand_form!O"&amp;ROW()))="Yes","Y",IF(IF(INDIRECT("brand_form!O"&amp;ROW())="","",INDIRECT("brand_form!O"&amp;ROW()))="No","N","")))</f>
        <v/>
      </c>
      <c r="O2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30" t="str">
        <f aca="true">IF(INDIRECT("brand_form!A"&amp;ROW())="","",IF(IF(INDIRECT("brand_form!K"&amp;ROW())="","",INDIRECT("brand_form!K"&amp;ROW()))="I do","Y",IF(IF(INDIRECT("brand_form!K"&amp;ROW())="","",INDIRECT("brand_form!K"&amp;ROW()))="Someone else","N","")))</f>
        <v/>
      </c>
      <c r="Q22" s="30" t="str">
        <f aca="true">IF(INDIRECT("brand_form!A"&amp;ROW())="","",IF($P22="Y",$E22&amp;", "&amp;$F22,IF(INDIRECT("brand_form!L"&amp;ROW())="","",INDIRECT("brand_form!L"&amp;ROW()))))</f>
        <v/>
      </c>
      <c r="R22" s="30" t="str">
        <f aca="true">IF(INDIRECT("brand_form!A"&amp;ROW())="","",IF(IF(INDIRECT("brand_form!Q"&amp;ROW())="","",INDIRECT("brand_form!Q"&amp;ROW()))="Yes","Y",IF(IF(INDIRECT("brand_form!Q"&amp;ROW())="","",INDIRECT("brand_form!Q"&amp;ROW()))="No","N",IF(IF(INDIRECT("brand_form!Q"&amp;ROW())="","",INDIRECT("brand_form!Q"&amp;ROW()))="Not sure","unsure",""))))</f>
        <v/>
      </c>
      <c r="S22" s="30" t="str">
        <f aca="true">IF(INDIRECT("brand_form!A"&amp;ROW())="","",IF(IF(INDIRECT("brand_form!R"&amp;ROW())="","",INDIRECT("brand_form!R"&amp;ROW()))="Yes","Y",IF(IF(INDIRECT("brand_form!R"&amp;ROW())="","",INDIRECT("brand_form!R"&amp;ROW()))="No","N",IF(IF(INDIRECT("brand_form!R"&amp;ROW())="","",INDIRECT("brand_form!R"&amp;ROW()))="Not sure","unsure",""))))</f>
        <v/>
      </c>
      <c r="T22" s="30" t="str">
        <f aca="true">IF(INDIRECT("brand_form!A"&amp;ROW())="","",IF(IF(INDIRECT("brand_form!S"&amp;ROW())="","",INDIRECT("brand_form!S"&amp;ROW()))="Yes","Y",IF(IF(INDIRECT("brand_form!S"&amp;ROW())="","",INDIRECT("brand_form!S"&amp;ROW()))="No","N",IF(IF(INDIRECT("brand_form!S"&amp;ROW())="","",INDIRECT("brand_form!S"&amp;ROW()))="Not sure","unsure",""))))</f>
        <v/>
      </c>
      <c r="U22" s="30" t="str">
        <f aca="true">IF(INDIRECT("brand_form!A"&amp;ROW())="","",IF(IF(INDIRECT("brand_form!T"&amp;ROW())="","",INDIRECT("brand_form!T"&amp;ROW()))="Yes","Y",IF(IF(INDIRECT("brand_form!T"&amp;ROW())="","",INDIRECT("brand_form!T"&amp;ROW()))="No","N",IF(IF(INDIRECT("brand_form!T"&amp;ROW())="","",INDIRECT("brand_form!T"&amp;ROW()))="Not sure","unsure",""))))</f>
        <v/>
      </c>
      <c r="V22" s="30" t="str">
        <f aca="true">IF(INDIRECT("brand_form!A"&amp;ROW())="","",IF(IF(INDIRECT("brand_form!U"&amp;ROW())="","",INDIRECT("brand_form!U"&amp;ROW()))="Yes","Y",IF(IF(INDIRECT("brand_form!U"&amp;ROW())="","",INDIRECT("brand_form!U"&amp;ROW()))="No","N",IF(IF(INDIRECT("brand_form!U"&amp;ROW())="","",INDIRECT("brand_form!U"&amp;ROW()))="Not sure","unsure",""))))</f>
        <v/>
      </c>
      <c r="W22" s="30" t="str">
        <f aca="true">IF(INDIRECT("brand_form!A"&amp;ROW())="","",IF(IF(INDIRECT("brand_form!V"&amp;ROW())="","",INDIRECT("brand_form!V"&amp;ROW()))="Yes","Y",IF(IF(INDIRECT("brand_form!V"&amp;ROW())="","",INDIRECT("brand_form!V"&amp;ROW()))="No","N",IF(IF(INDIRECT("brand_form!V"&amp;ROW())="","",INDIRECT("brand_form!V"&amp;ROW()))="Not sure","unsure",""))))</f>
        <v/>
      </c>
      <c r="X22" s="30" t="str">
        <f aca="true">IF(INDIRECT("brand_form!A"&amp;ROW())="","",IF(INDIRECT("brand_form!W"&amp;ROW())="","",INDIRECT("brand_form!W"&amp;ROW())))</f>
        <v/>
      </c>
      <c r="Y22" s="30" t="str">
        <f aca="true">IF(INDIRECT("brand_form!A"&amp;ROW())="","",IF(IF(INDIRECT("brand_form!X"&amp;ROW())="","",INDIRECT("brand_form!X"&amp;ROW()))&lt;&gt;"","Y",""))</f>
        <v/>
      </c>
      <c r="Z22" s="30" t="str">
        <f aca="true">IF(INDIRECT("brand_form!A"&amp;ROW())="","",IF(INDIRECT("brand_form!Y"&amp;ROW())="","",INDIRECT("brand_form!Y"&amp;ROW())))</f>
        <v/>
      </c>
      <c r="AA22" s="30" t="str">
        <f aca="true">IF(INDIRECT("brand_form!A"&amp;ROW())="","","founder")</f>
        <v/>
      </c>
    </row>
    <row r="23" customFormat="false" ht="15" hidden="false" customHeight="false" outlineLevel="0" collapsed="false">
      <c r="A23" s="30" t="str">
        <f aca="true">IF(INDIRECT("brand_form!A"&amp;ROW())="","",TEXT(INDIRECT("brand_form!A"&amp;ROW()),"yyyy-mm-dd""T""hh:mm:ss"))</f>
        <v/>
      </c>
      <c r="B23" s="30" t="str">
        <f aca="true">IF(INDIRECT("brand_form!A"&amp;ROW())="","",config!$B$35)</f>
        <v/>
      </c>
      <c r="C23" s="30" t="str">
        <f aca="true">IF(INDIRECT("brand_form!A"&amp;ROW())="","",IF(INDIRECT("brand_form!B"&amp;ROW())="","",INDIRECT("brand_form!B"&amp;ROW())))</f>
        <v/>
      </c>
      <c r="D2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3" s="30" t="str">
        <f aca="true">IF(INDIRECT("brand_form!A"&amp;ROW())="","",IF(INDIRECT("brand_form!G"&amp;ROW())="","",INDIRECT("brand_form!G"&amp;ROW())))</f>
        <v/>
      </c>
      <c r="F23" s="30" t="str">
        <f aca="true">IF(INDIRECT("brand_form!A"&amp;ROW())="","",IF(INDIRECT("brand_form!H"&amp;ROW())="","",INDIRECT("brand_form!H"&amp;ROW())))</f>
        <v/>
      </c>
      <c r="G23" s="30" t="str">
        <f aca="true">IF(INDIRECT("brand_form!A"&amp;ROW())="","",IF(INDIRECT("brand_form!I"&amp;ROW())="","",INDIRECT("brand_form!I"&amp;ROW())))</f>
        <v/>
      </c>
      <c r="H23" s="30" t="str">
        <f aca="true">IF(INDIRECT("brand_form!A"&amp;ROW())="","",IF(INDIRECT("brand_form!J"&amp;ROW())="","",INDIRECT("brand_form!J"&amp;ROW())))</f>
        <v/>
      </c>
      <c r="I23" s="30" t="str">
        <f aca="true">IF(INDIRECT("brand_form!A"&amp;ROW())="","",IF(INDIRECT("brand_form!D"&amp;ROW())="","",INDIRECT("brand_form!D"&amp;ROW())))</f>
        <v/>
      </c>
      <c r="J2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30" t="str">
        <f aca="true">IF(INDIRECT("brand_form!A"&amp;ROW())="","",IF(INDIRECT("brand_form!F"&amp;ROW())="","",INDIRECT("brand_form!F"&amp;ROW())))</f>
        <v/>
      </c>
      <c r="L23" s="30" t="str">
        <f aca="true">IF(INDIRECT("brand_form!A"&amp;ROW())="","",IF(INDIRECT("brand_form!M"&amp;ROW())="","",INDIRECT("brand_form!M"&amp;ROW())))</f>
        <v/>
      </c>
      <c r="M2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3" s="30" t="str">
        <f aca="true">IF(INDIRECT("brand_form!A"&amp;ROW())="","",IF(IF(INDIRECT("brand_form!O"&amp;ROW())="","",INDIRECT("brand_form!O"&amp;ROW()))="Yes","Y",IF(IF(INDIRECT("brand_form!O"&amp;ROW())="","",INDIRECT("brand_form!O"&amp;ROW()))="No","N","")))</f>
        <v/>
      </c>
      <c r="O2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30" t="str">
        <f aca="true">IF(INDIRECT("brand_form!A"&amp;ROW())="","",IF(IF(INDIRECT("brand_form!K"&amp;ROW())="","",INDIRECT("brand_form!K"&amp;ROW()))="I do","Y",IF(IF(INDIRECT("brand_form!K"&amp;ROW())="","",INDIRECT("brand_form!K"&amp;ROW()))="Someone else","N","")))</f>
        <v/>
      </c>
      <c r="Q23" s="30" t="str">
        <f aca="true">IF(INDIRECT("brand_form!A"&amp;ROW())="","",IF($P23="Y",$E23&amp;", "&amp;$F23,IF(INDIRECT("brand_form!L"&amp;ROW())="","",INDIRECT("brand_form!L"&amp;ROW()))))</f>
        <v/>
      </c>
      <c r="R23" s="30" t="str">
        <f aca="true">IF(INDIRECT("brand_form!A"&amp;ROW())="","",IF(IF(INDIRECT("brand_form!Q"&amp;ROW())="","",INDIRECT("brand_form!Q"&amp;ROW()))="Yes","Y",IF(IF(INDIRECT("brand_form!Q"&amp;ROW())="","",INDIRECT("brand_form!Q"&amp;ROW()))="No","N",IF(IF(INDIRECT("brand_form!Q"&amp;ROW())="","",INDIRECT("brand_form!Q"&amp;ROW()))="Not sure","unsure",""))))</f>
        <v/>
      </c>
      <c r="S23" s="30" t="str">
        <f aca="true">IF(INDIRECT("brand_form!A"&amp;ROW())="","",IF(IF(INDIRECT("brand_form!R"&amp;ROW())="","",INDIRECT("brand_form!R"&amp;ROW()))="Yes","Y",IF(IF(INDIRECT("brand_form!R"&amp;ROW())="","",INDIRECT("brand_form!R"&amp;ROW()))="No","N",IF(IF(INDIRECT("brand_form!R"&amp;ROW())="","",INDIRECT("brand_form!R"&amp;ROW()))="Not sure","unsure",""))))</f>
        <v/>
      </c>
      <c r="T23" s="30" t="str">
        <f aca="true">IF(INDIRECT("brand_form!A"&amp;ROW())="","",IF(IF(INDIRECT("brand_form!S"&amp;ROW())="","",INDIRECT("brand_form!S"&amp;ROW()))="Yes","Y",IF(IF(INDIRECT("brand_form!S"&amp;ROW())="","",INDIRECT("brand_form!S"&amp;ROW()))="No","N",IF(IF(INDIRECT("brand_form!S"&amp;ROW())="","",INDIRECT("brand_form!S"&amp;ROW()))="Not sure","unsure",""))))</f>
        <v/>
      </c>
      <c r="U23" s="30" t="str">
        <f aca="true">IF(INDIRECT("brand_form!A"&amp;ROW())="","",IF(IF(INDIRECT("brand_form!T"&amp;ROW())="","",INDIRECT("brand_form!T"&amp;ROW()))="Yes","Y",IF(IF(INDIRECT("brand_form!T"&amp;ROW())="","",INDIRECT("brand_form!T"&amp;ROW()))="No","N",IF(IF(INDIRECT("brand_form!T"&amp;ROW())="","",INDIRECT("brand_form!T"&amp;ROW()))="Not sure","unsure",""))))</f>
        <v/>
      </c>
      <c r="V23" s="30" t="str">
        <f aca="true">IF(INDIRECT("brand_form!A"&amp;ROW())="","",IF(IF(INDIRECT("brand_form!U"&amp;ROW())="","",INDIRECT("brand_form!U"&amp;ROW()))="Yes","Y",IF(IF(INDIRECT("brand_form!U"&amp;ROW())="","",INDIRECT("brand_form!U"&amp;ROW()))="No","N",IF(IF(INDIRECT("brand_form!U"&amp;ROW())="","",INDIRECT("brand_form!U"&amp;ROW()))="Not sure","unsure",""))))</f>
        <v/>
      </c>
      <c r="W23" s="30" t="str">
        <f aca="true">IF(INDIRECT("brand_form!A"&amp;ROW())="","",IF(IF(INDIRECT("brand_form!V"&amp;ROW())="","",INDIRECT("brand_form!V"&amp;ROW()))="Yes","Y",IF(IF(INDIRECT("brand_form!V"&amp;ROW())="","",INDIRECT("brand_form!V"&amp;ROW()))="No","N",IF(IF(INDIRECT("brand_form!V"&amp;ROW())="","",INDIRECT("brand_form!V"&amp;ROW()))="Not sure","unsure",""))))</f>
        <v/>
      </c>
      <c r="X23" s="30" t="str">
        <f aca="true">IF(INDIRECT("brand_form!A"&amp;ROW())="","",IF(INDIRECT("brand_form!W"&amp;ROW())="","",INDIRECT("brand_form!W"&amp;ROW())))</f>
        <v/>
      </c>
      <c r="Y23" s="30" t="str">
        <f aca="true">IF(INDIRECT("brand_form!A"&amp;ROW())="","",IF(IF(INDIRECT("brand_form!X"&amp;ROW())="","",INDIRECT("brand_form!X"&amp;ROW()))&lt;&gt;"","Y",""))</f>
        <v/>
      </c>
      <c r="Z23" s="30" t="str">
        <f aca="true">IF(INDIRECT("brand_form!A"&amp;ROW())="","",IF(INDIRECT("brand_form!Y"&amp;ROW())="","",INDIRECT("brand_form!Y"&amp;ROW())))</f>
        <v/>
      </c>
      <c r="AA23" s="30" t="str">
        <f aca="true">IF(INDIRECT("brand_form!A"&amp;ROW())="","","founder")</f>
        <v/>
      </c>
    </row>
    <row r="24" customFormat="false" ht="15" hidden="false" customHeight="false" outlineLevel="0" collapsed="false">
      <c r="A24" s="30" t="str">
        <f aca="true">IF(INDIRECT("brand_form!A"&amp;ROW())="","",TEXT(INDIRECT("brand_form!A"&amp;ROW()),"yyyy-mm-dd""T""hh:mm:ss"))</f>
        <v/>
      </c>
      <c r="B24" s="30" t="str">
        <f aca="true">IF(INDIRECT("brand_form!A"&amp;ROW())="","",config!$B$35)</f>
        <v/>
      </c>
      <c r="C24" s="30" t="str">
        <f aca="true">IF(INDIRECT("brand_form!A"&amp;ROW())="","",IF(INDIRECT("brand_form!B"&amp;ROW())="","",INDIRECT("brand_form!B"&amp;ROW())))</f>
        <v/>
      </c>
      <c r="D2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4" s="30" t="str">
        <f aca="true">IF(INDIRECT("brand_form!A"&amp;ROW())="","",IF(INDIRECT("brand_form!G"&amp;ROW())="","",INDIRECT("brand_form!G"&amp;ROW())))</f>
        <v/>
      </c>
      <c r="F24" s="30" t="str">
        <f aca="true">IF(INDIRECT("brand_form!A"&amp;ROW())="","",IF(INDIRECT("brand_form!H"&amp;ROW())="","",INDIRECT("brand_form!H"&amp;ROW())))</f>
        <v/>
      </c>
      <c r="G24" s="30" t="str">
        <f aca="true">IF(INDIRECT("brand_form!A"&amp;ROW())="","",IF(INDIRECT("brand_form!I"&amp;ROW())="","",INDIRECT("brand_form!I"&amp;ROW())))</f>
        <v/>
      </c>
      <c r="H24" s="30" t="str">
        <f aca="true">IF(INDIRECT("brand_form!A"&amp;ROW())="","",IF(INDIRECT("brand_form!J"&amp;ROW())="","",INDIRECT("brand_form!J"&amp;ROW())))</f>
        <v/>
      </c>
      <c r="I24" s="30" t="str">
        <f aca="true">IF(INDIRECT("brand_form!A"&amp;ROW())="","",IF(INDIRECT("brand_form!D"&amp;ROW())="","",INDIRECT("brand_form!D"&amp;ROW())))</f>
        <v/>
      </c>
      <c r="J2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30" t="str">
        <f aca="true">IF(INDIRECT("brand_form!A"&amp;ROW())="","",IF(INDIRECT("brand_form!F"&amp;ROW())="","",INDIRECT("brand_form!F"&amp;ROW())))</f>
        <v/>
      </c>
      <c r="L24" s="30" t="str">
        <f aca="true">IF(INDIRECT("brand_form!A"&amp;ROW())="","",IF(INDIRECT("brand_form!M"&amp;ROW())="","",INDIRECT("brand_form!M"&amp;ROW())))</f>
        <v/>
      </c>
      <c r="M2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4" s="30" t="str">
        <f aca="true">IF(INDIRECT("brand_form!A"&amp;ROW())="","",IF(IF(INDIRECT("brand_form!O"&amp;ROW())="","",INDIRECT("brand_form!O"&amp;ROW()))="Yes","Y",IF(IF(INDIRECT("brand_form!O"&amp;ROW())="","",INDIRECT("brand_form!O"&amp;ROW()))="No","N","")))</f>
        <v/>
      </c>
      <c r="O2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30" t="str">
        <f aca="true">IF(INDIRECT("brand_form!A"&amp;ROW())="","",IF(IF(INDIRECT("brand_form!K"&amp;ROW())="","",INDIRECT("brand_form!K"&amp;ROW()))="I do","Y",IF(IF(INDIRECT("brand_form!K"&amp;ROW())="","",INDIRECT("brand_form!K"&amp;ROW()))="Someone else","N","")))</f>
        <v/>
      </c>
      <c r="Q24" s="30" t="str">
        <f aca="true">IF(INDIRECT("brand_form!A"&amp;ROW())="","",IF($P24="Y",$E24&amp;", "&amp;$F24,IF(INDIRECT("brand_form!L"&amp;ROW())="","",INDIRECT("brand_form!L"&amp;ROW()))))</f>
        <v/>
      </c>
      <c r="R24" s="30" t="str">
        <f aca="true">IF(INDIRECT("brand_form!A"&amp;ROW())="","",IF(IF(INDIRECT("brand_form!Q"&amp;ROW())="","",INDIRECT("brand_form!Q"&amp;ROW()))="Yes","Y",IF(IF(INDIRECT("brand_form!Q"&amp;ROW())="","",INDIRECT("brand_form!Q"&amp;ROW()))="No","N",IF(IF(INDIRECT("brand_form!Q"&amp;ROW())="","",INDIRECT("brand_form!Q"&amp;ROW()))="Not sure","unsure",""))))</f>
        <v/>
      </c>
      <c r="S24" s="30" t="str">
        <f aca="true">IF(INDIRECT("brand_form!A"&amp;ROW())="","",IF(IF(INDIRECT("brand_form!R"&amp;ROW())="","",INDIRECT("brand_form!R"&amp;ROW()))="Yes","Y",IF(IF(INDIRECT("brand_form!R"&amp;ROW())="","",INDIRECT("brand_form!R"&amp;ROW()))="No","N",IF(IF(INDIRECT("brand_form!R"&amp;ROW())="","",INDIRECT("brand_form!R"&amp;ROW()))="Not sure","unsure",""))))</f>
        <v/>
      </c>
      <c r="T24" s="30" t="str">
        <f aca="true">IF(INDIRECT("brand_form!A"&amp;ROW())="","",IF(IF(INDIRECT("brand_form!S"&amp;ROW())="","",INDIRECT("brand_form!S"&amp;ROW()))="Yes","Y",IF(IF(INDIRECT("brand_form!S"&amp;ROW())="","",INDIRECT("brand_form!S"&amp;ROW()))="No","N",IF(IF(INDIRECT("brand_form!S"&amp;ROW())="","",INDIRECT("brand_form!S"&amp;ROW()))="Not sure","unsure",""))))</f>
        <v/>
      </c>
      <c r="U24" s="30" t="str">
        <f aca="true">IF(INDIRECT("brand_form!A"&amp;ROW())="","",IF(IF(INDIRECT("brand_form!T"&amp;ROW())="","",INDIRECT("brand_form!T"&amp;ROW()))="Yes","Y",IF(IF(INDIRECT("brand_form!T"&amp;ROW())="","",INDIRECT("brand_form!T"&amp;ROW()))="No","N",IF(IF(INDIRECT("brand_form!T"&amp;ROW())="","",INDIRECT("brand_form!T"&amp;ROW()))="Not sure","unsure",""))))</f>
        <v/>
      </c>
      <c r="V24" s="30" t="str">
        <f aca="true">IF(INDIRECT("brand_form!A"&amp;ROW())="","",IF(IF(INDIRECT("brand_form!U"&amp;ROW())="","",INDIRECT("brand_form!U"&amp;ROW()))="Yes","Y",IF(IF(INDIRECT("brand_form!U"&amp;ROW())="","",INDIRECT("brand_form!U"&amp;ROW()))="No","N",IF(IF(INDIRECT("brand_form!U"&amp;ROW())="","",INDIRECT("brand_form!U"&amp;ROW()))="Not sure","unsure",""))))</f>
        <v/>
      </c>
      <c r="W24" s="30" t="str">
        <f aca="true">IF(INDIRECT("brand_form!A"&amp;ROW())="","",IF(IF(INDIRECT("brand_form!V"&amp;ROW())="","",INDIRECT("brand_form!V"&amp;ROW()))="Yes","Y",IF(IF(INDIRECT("brand_form!V"&amp;ROW())="","",INDIRECT("brand_form!V"&amp;ROW()))="No","N",IF(IF(INDIRECT("brand_form!V"&amp;ROW())="","",INDIRECT("brand_form!V"&amp;ROW()))="Not sure","unsure",""))))</f>
        <v/>
      </c>
      <c r="X24" s="30" t="str">
        <f aca="true">IF(INDIRECT("brand_form!A"&amp;ROW())="","",IF(INDIRECT("brand_form!W"&amp;ROW())="","",INDIRECT("brand_form!W"&amp;ROW())))</f>
        <v/>
      </c>
      <c r="Y24" s="30" t="str">
        <f aca="true">IF(INDIRECT("brand_form!A"&amp;ROW())="","",IF(IF(INDIRECT("brand_form!X"&amp;ROW())="","",INDIRECT("brand_form!X"&amp;ROW()))&lt;&gt;"","Y",""))</f>
        <v/>
      </c>
      <c r="Z24" s="30" t="str">
        <f aca="true">IF(INDIRECT("brand_form!A"&amp;ROW())="","",IF(INDIRECT("brand_form!Y"&amp;ROW())="","",INDIRECT("brand_form!Y"&amp;ROW())))</f>
        <v/>
      </c>
      <c r="AA24" s="30" t="str">
        <f aca="true">IF(INDIRECT("brand_form!A"&amp;ROW())="","","founder")</f>
        <v/>
      </c>
    </row>
    <row r="25" customFormat="false" ht="15" hidden="false" customHeight="false" outlineLevel="0" collapsed="false">
      <c r="A25" s="30" t="str">
        <f aca="true">IF(INDIRECT("brand_form!A"&amp;ROW())="","",TEXT(INDIRECT("brand_form!A"&amp;ROW()),"yyyy-mm-dd""T""hh:mm:ss"))</f>
        <v/>
      </c>
      <c r="B25" s="30" t="str">
        <f aca="true">IF(INDIRECT("brand_form!A"&amp;ROW())="","",config!$B$35)</f>
        <v/>
      </c>
      <c r="C25" s="30" t="str">
        <f aca="true">IF(INDIRECT("brand_form!A"&amp;ROW())="","",IF(INDIRECT("brand_form!B"&amp;ROW())="","",INDIRECT("brand_form!B"&amp;ROW())))</f>
        <v/>
      </c>
      <c r="D2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5" s="30" t="str">
        <f aca="true">IF(INDIRECT("brand_form!A"&amp;ROW())="","",IF(INDIRECT("brand_form!G"&amp;ROW())="","",INDIRECT("brand_form!G"&amp;ROW())))</f>
        <v/>
      </c>
      <c r="F25" s="30" t="str">
        <f aca="true">IF(INDIRECT("brand_form!A"&amp;ROW())="","",IF(INDIRECT("brand_form!H"&amp;ROW())="","",INDIRECT("brand_form!H"&amp;ROW())))</f>
        <v/>
      </c>
      <c r="G25" s="30" t="str">
        <f aca="true">IF(INDIRECT("brand_form!A"&amp;ROW())="","",IF(INDIRECT("brand_form!I"&amp;ROW())="","",INDIRECT("brand_form!I"&amp;ROW())))</f>
        <v/>
      </c>
      <c r="H25" s="30" t="str">
        <f aca="true">IF(INDIRECT("brand_form!A"&amp;ROW())="","",IF(INDIRECT("brand_form!J"&amp;ROW())="","",INDIRECT("brand_form!J"&amp;ROW())))</f>
        <v/>
      </c>
      <c r="I25" s="30" t="str">
        <f aca="true">IF(INDIRECT("brand_form!A"&amp;ROW())="","",IF(INDIRECT("brand_form!D"&amp;ROW())="","",INDIRECT("brand_form!D"&amp;ROW())))</f>
        <v/>
      </c>
      <c r="J2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30" t="str">
        <f aca="true">IF(INDIRECT("brand_form!A"&amp;ROW())="","",IF(INDIRECT("brand_form!F"&amp;ROW())="","",INDIRECT("brand_form!F"&amp;ROW())))</f>
        <v/>
      </c>
      <c r="L25" s="30" t="str">
        <f aca="true">IF(INDIRECT("brand_form!A"&amp;ROW())="","",IF(INDIRECT("brand_form!M"&amp;ROW())="","",INDIRECT("brand_form!M"&amp;ROW())))</f>
        <v/>
      </c>
      <c r="M2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5" s="30" t="str">
        <f aca="true">IF(INDIRECT("brand_form!A"&amp;ROW())="","",IF(IF(INDIRECT("brand_form!O"&amp;ROW())="","",INDIRECT("brand_form!O"&amp;ROW()))="Yes","Y",IF(IF(INDIRECT("brand_form!O"&amp;ROW())="","",INDIRECT("brand_form!O"&amp;ROW()))="No","N","")))</f>
        <v/>
      </c>
      <c r="O2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30" t="str">
        <f aca="true">IF(INDIRECT("brand_form!A"&amp;ROW())="","",IF(IF(INDIRECT("brand_form!K"&amp;ROW())="","",INDIRECT("brand_form!K"&amp;ROW()))="I do","Y",IF(IF(INDIRECT("brand_form!K"&amp;ROW())="","",INDIRECT("brand_form!K"&amp;ROW()))="Someone else","N","")))</f>
        <v/>
      </c>
      <c r="Q25" s="30" t="str">
        <f aca="true">IF(INDIRECT("brand_form!A"&amp;ROW())="","",IF($P25="Y",$E25&amp;", "&amp;$F25,IF(INDIRECT("brand_form!L"&amp;ROW())="","",INDIRECT("brand_form!L"&amp;ROW()))))</f>
        <v/>
      </c>
      <c r="R25" s="30" t="str">
        <f aca="true">IF(INDIRECT("brand_form!A"&amp;ROW())="","",IF(IF(INDIRECT("brand_form!Q"&amp;ROW())="","",INDIRECT("brand_form!Q"&amp;ROW()))="Yes","Y",IF(IF(INDIRECT("brand_form!Q"&amp;ROW())="","",INDIRECT("brand_form!Q"&amp;ROW()))="No","N",IF(IF(INDIRECT("brand_form!Q"&amp;ROW())="","",INDIRECT("brand_form!Q"&amp;ROW()))="Not sure","unsure",""))))</f>
        <v/>
      </c>
      <c r="S25" s="30" t="str">
        <f aca="true">IF(INDIRECT("brand_form!A"&amp;ROW())="","",IF(IF(INDIRECT("brand_form!R"&amp;ROW())="","",INDIRECT("brand_form!R"&amp;ROW()))="Yes","Y",IF(IF(INDIRECT("brand_form!R"&amp;ROW())="","",INDIRECT("brand_form!R"&amp;ROW()))="No","N",IF(IF(INDIRECT("brand_form!R"&amp;ROW())="","",INDIRECT("brand_form!R"&amp;ROW()))="Not sure","unsure",""))))</f>
        <v/>
      </c>
      <c r="T25" s="30" t="str">
        <f aca="true">IF(INDIRECT("brand_form!A"&amp;ROW())="","",IF(IF(INDIRECT("brand_form!S"&amp;ROW())="","",INDIRECT("brand_form!S"&amp;ROW()))="Yes","Y",IF(IF(INDIRECT("brand_form!S"&amp;ROW())="","",INDIRECT("brand_form!S"&amp;ROW()))="No","N",IF(IF(INDIRECT("brand_form!S"&amp;ROW())="","",INDIRECT("brand_form!S"&amp;ROW()))="Not sure","unsure",""))))</f>
        <v/>
      </c>
      <c r="U25" s="30" t="str">
        <f aca="true">IF(INDIRECT("brand_form!A"&amp;ROW())="","",IF(IF(INDIRECT("brand_form!T"&amp;ROW())="","",INDIRECT("brand_form!T"&amp;ROW()))="Yes","Y",IF(IF(INDIRECT("brand_form!T"&amp;ROW())="","",INDIRECT("brand_form!T"&amp;ROW()))="No","N",IF(IF(INDIRECT("brand_form!T"&amp;ROW())="","",INDIRECT("brand_form!T"&amp;ROW()))="Not sure","unsure",""))))</f>
        <v/>
      </c>
      <c r="V25" s="30" t="str">
        <f aca="true">IF(INDIRECT("brand_form!A"&amp;ROW())="","",IF(IF(INDIRECT("brand_form!U"&amp;ROW())="","",INDIRECT("brand_form!U"&amp;ROW()))="Yes","Y",IF(IF(INDIRECT("brand_form!U"&amp;ROW())="","",INDIRECT("brand_form!U"&amp;ROW()))="No","N",IF(IF(INDIRECT("brand_form!U"&amp;ROW())="","",INDIRECT("brand_form!U"&amp;ROW()))="Not sure","unsure",""))))</f>
        <v/>
      </c>
      <c r="W25" s="30" t="str">
        <f aca="true">IF(INDIRECT("brand_form!A"&amp;ROW())="","",IF(IF(INDIRECT("brand_form!V"&amp;ROW())="","",INDIRECT("brand_form!V"&amp;ROW()))="Yes","Y",IF(IF(INDIRECT("brand_form!V"&amp;ROW())="","",INDIRECT("brand_form!V"&amp;ROW()))="No","N",IF(IF(INDIRECT("brand_form!V"&amp;ROW())="","",INDIRECT("brand_form!V"&amp;ROW()))="Not sure","unsure",""))))</f>
        <v/>
      </c>
      <c r="X25" s="30" t="str">
        <f aca="true">IF(INDIRECT("brand_form!A"&amp;ROW())="","",IF(INDIRECT("brand_form!W"&amp;ROW())="","",INDIRECT("brand_form!W"&amp;ROW())))</f>
        <v/>
      </c>
      <c r="Y25" s="30" t="str">
        <f aca="true">IF(INDIRECT("brand_form!A"&amp;ROW())="","",IF(IF(INDIRECT("brand_form!X"&amp;ROW())="","",INDIRECT("brand_form!X"&amp;ROW()))&lt;&gt;"","Y",""))</f>
        <v/>
      </c>
      <c r="Z25" s="30" t="str">
        <f aca="true">IF(INDIRECT("brand_form!A"&amp;ROW())="","",IF(INDIRECT("brand_form!Y"&amp;ROW())="","",INDIRECT("brand_form!Y"&amp;ROW())))</f>
        <v/>
      </c>
      <c r="AA25" s="30" t="str">
        <f aca="true">IF(INDIRECT("brand_form!A"&amp;ROW())="","","founder")</f>
        <v/>
      </c>
    </row>
    <row r="26" customFormat="false" ht="15" hidden="false" customHeight="false" outlineLevel="0" collapsed="false">
      <c r="A26" s="30" t="str">
        <f aca="true">IF(INDIRECT("brand_form!A"&amp;ROW())="","",TEXT(INDIRECT("brand_form!A"&amp;ROW()),"yyyy-mm-dd""T""hh:mm:ss"))</f>
        <v/>
      </c>
      <c r="B26" s="30" t="str">
        <f aca="true">IF(INDIRECT("brand_form!A"&amp;ROW())="","",config!$B$35)</f>
        <v/>
      </c>
      <c r="C26" s="30" t="str">
        <f aca="true">IF(INDIRECT("brand_form!A"&amp;ROW())="","",IF(INDIRECT("brand_form!B"&amp;ROW())="","",INDIRECT("brand_form!B"&amp;ROW())))</f>
        <v/>
      </c>
      <c r="D2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6" s="30" t="str">
        <f aca="true">IF(INDIRECT("brand_form!A"&amp;ROW())="","",IF(INDIRECT("brand_form!G"&amp;ROW())="","",INDIRECT("brand_form!G"&amp;ROW())))</f>
        <v/>
      </c>
      <c r="F26" s="30" t="str">
        <f aca="true">IF(INDIRECT("brand_form!A"&amp;ROW())="","",IF(INDIRECT("brand_form!H"&amp;ROW())="","",INDIRECT("brand_form!H"&amp;ROW())))</f>
        <v/>
      </c>
      <c r="G26" s="30" t="str">
        <f aca="true">IF(INDIRECT("brand_form!A"&amp;ROW())="","",IF(INDIRECT("brand_form!I"&amp;ROW())="","",INDIRECT("brand_form!I"&amp;ROW())))</f>
        <v/>
      </c>
      <c r="H26" s="30" t="str">
        <f aca="true">IF(INDIRECT("brand_form!A"&amp;ROW())="","",IF(INDIRECT("brand_form!J"&amp;ROW())="","",INDIRECT("brand_form!J"&amp;ROW())))</f>
        <v/>
      </c>
      <c r="I26" s="30" t="str">
        <f aca="true">IF(INDIRECT("brand_form!A"&amp;ROW())="","",IF(INDIRECT("brand_form!D"&amp;ROW())="","",INDIRECT("brand_form!D"&amp;ROW())))</f>
        <v/>
      </c>
      <c r="J2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30" t="str">
        <f aca="true">IF(INDIRECT("brand_form!A"&amp;ROW())="","",IF(INDIRECT("brand_form!F"&amp;ROW())="","",INDIRECT("brand_form!F"&amp;ROW())))</f>
        <v/>
      </c>
      <c r="L26" s="30" t="str">
        <f aca="true">IF(INDIRECT("brand_form!A"&amp;ROW())="","",IF(INDIRECT("brand_form!M"&amp;ROW())="","",INDIRECT("brand_form!M"&amp;ROW())))</f>
        <v/>
      </c>
      <c r="M2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6" s="30" t="str">
        <f aca="true">IF(INDIRECT("brand_form!A"&amp;ROW())="","",IF(IF(INDIRECT("brand_form!O"&amp;ROW())="","",INDIRECT("brand_form!O"&amp;ROW()))="Yes","Y",IF(IF(INDIRECT("brand_form!O"&amp;ROW())="","",INDIRECT("brand_form!O"&amp;ROW()))="No","N","")))</f>
        <v/>
      </c>
      <c r="O2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30" t="str">
        <f aca="true">IF(INDIRECT("brand_form!A"&amp;ROW())="","",IF(IF(INDIRECT("brand_form!K"&amp;ROW())="","",INDIRECT("brand_form!K"&amp;ROW()))="I do","Y",IF(IF(INDIRECT("brand_form!K"&amp;ROW())="","",INDIRECT("brand_form!K"&amp;ROW()))="Someone else","N","")))</f>
        <v/>
      </c>
      <c r="Q26" s="30" t="str">
        <f aca="true">IF(INDIRECT("brand_form!A"&amp;ROW())="","",IF($P26="Y",$E26&amp;", "&amp;$F26,IF(INDIRECT("brand_form!L"&amp;ROW())="","",INDIRECT("brand_form!L"&amp;ROW()))))</f>
        <v/>
      </c>
      <c r="R26" s="30" t="str">
        <f aca="true">IF(INDIRECT("brand_form!A"&amp;ROW())="","",IF(IF(INDIRECT("brand_form!Q"&amp;ROW())="","",INDIRECT("brand_form!Q"&amp;ROW()))="Yes","Y",IF(IF(INDIRECT("brand_form!Q"&amp;ROW())="","",INDIRECT("brand_form!Q"&amp;ROW()))="No","N",IF(IF(INDIRECT("brand_form!Q"&amp;ROW())="","",INDIRECT("brand_form!Q"&amp;ROW()))="Not sure","unsure",""))))</f>
        <v/>
      </c>
      <c r="S26" s="30" t="str">
        <f aca="true">IF(INDIRECT("brand_form!A"&amp;ROW())="","",IF(IF(INDIRECT("brand_form!R"&amp;ROW())="","",INDIRECT("brand_form!R"&amp;ROW()))="Yes","Y",IF(IF(INDIRECT("brand_form!R"&amp;ROW())="","",INDIRECT("brand_form!R"&amp;ROW()))="No","N",IF(IF(INDIRECT("brand_form!R"&amp;ROW())="","",INDIRECT("brand_form!R"&amp;ROW()))="Not sure","unsure",""))))</f>
        <v/>
      </c>
      <c r="T26" s="30" t="str">
        <f aca="true">IF(INDIRECT("brand_form!A"&amp;ROW())="","",IF(IF(INDIRECT("brand_form!S"&amp;ROW())="","",INDIRECT("brand_form!S"&amp;ROW()))="Yes","Y",IF(IF(INDIRECT("brand_form!S"&amp;ROW())="","",INDIRECT("brand_form!S"&amp;ROW()))="No","N",IF(IF(INDIRECT("brand_form!S"&amp;ROW())="","",INDIRECT("brand_form!S"&amp;ROW()))="Not sure","unsure",""))))</f>
        <v/>
      </c>
      <c r="U26" s="30" t="str">
        <f aca="true">IF(INDIRECT("brand_form!A"&amp;ROW())="","",IF(IF(INDIRECT("brand_form!T"&amp;ROW())="","",INDIRECT("brand_form!T"&amp;ROW()))="Yes","Y",IF(IF(INDIRECT("brand_form!T"&amp;ROW())="","",INDIRECT("brand_form!T"&amp;ROW()))="No","N",IF(IF(INDIRECT("brand_form!T"&amp;ROW())="","",INDIRECT("brand_form!T"&amp;ROW()))="Not sure","unsure",""))))</f>
        <v/>
      </c>
      <c r="V26" s="30" t="str">
        <f aca="true">IF(INDIRECT("brand_form!A"&amp;ROW())="","",IF(IF(INDIRECT("brand_form!U"&amp;ROW())="","",INDIRECT("brand_form!U"&amp;ROW()))="Yes","Y",IF(IF(INDIRECT("brand_form!U"&amp;ROW())="","",INDIRECT("brand_form!U"&amp;ROW()))="No","N",IF(IF(INDIRECT("brand_form!U"&amp;ROW())="","",INDIRECT("brand_form!U"&amp;ROW()))="Not sure","unsure",""))))</f>
        <v/>
      </c>
      <c r="W26" s="30" t="str">
        <f aca="true">IF(INDIRECT("brand_form!A"&amp;ROW())="","",IF(IF(INDIRECT("brand_form!V"&amp;ROW())="","",INDIRECT("brand_form!V"&amp;ROW()))="Yes","Y",IF(IF(INDIRECT("brand_form!V"&amp;ROW())="","",INDIRECT("brand_form!V"&amp;ROW()))="No","N",IF(IF(INDIRECT("brand_form!V"&amp;ROW())="","",INDIRECT("brand_form!V"&amp;ROW()))="Not sure","unsure",""))))</f>
        <v/>
      </c>
      <c r="X26" s="30" t="str">
        <f aca="true">IF(INDIRECT("brand_form!A"&amp;ROW())="","",IF(INDIRECT("brand_form!W"&amp;ROW())="","",INDIRECT("brand_form!W"&amp;ROW())))</f>
        <v/>
      </c>
      <c r="Y26" s="30" t="str">
        <f aca="true">IF(INDIRECT("brand_form!A"&amp;ROW())="","",IF(IF(INDIRECT("brand_form!X"&amp;ROW())="","",INDIRECT("brand_form!X"&amp;ROW()))&lt;&gt;"","Y",""))</f>
        <v/>
      </c>
      <c r="Z26" s="30" t="str">
        <f aca="true">IF(INDIRECT("brand_form!A"&amp;ROW())="","",IF(INDIRECT("brand_form!Y"&amp;ROW())="","",INDIRECT("brand_form!Y"&amp;ROW())))</f>
        <v/>
      </c>
      <c r="AA26" s="30" t="str">
        <f aca="true">IF(INDIRECT("brand_form!A"&amp;ROW())="","","founder")</f>
        <v/>
      </c>
    </row>
    <row r="27" customFormat="false" ht="15" hidden="false" customHeight="false" outlineLevel="0" collapsed="false">
      <c r="A27" s="30" t="str">
        <f aca="true">IF(INDIRECT("brand_form!A"&amp;ROW())="","",TEXT(INDIRECT("brand_form!A"&amp;ROW()),"yyyy-mm-dd""T""hh:mm:ss"))</f>
        <v/>
      </c>
      <c r="B27" s="30" t="str">
        <f aca="true">IF(INDIRECT("brand_form!A"&amp;ROW())="","",config!$B$35)</f>
        <v/>
      </c>
      <c r="C27" s="30" t="str">
        <f aca="true">IF(INDIRECT("brand_form!A"&amp;ROW())="","",IF(INDIRECT("brand_form!B"&amp;ROW())="","",INDIRECT("brand_form!B"&amp;ROW())))</f>
        <v/>
      </c>
      <c r="D2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7" s="30" t="str">
        <f aca="true">IF(INDIRECT("brand_form!A"&amp;ROW())="","",IF(INDIRECT("brand_form!G"&amp;ROW())="","",INDIRECT("brand_form!G"&amp;ROW())))</f>
        <v/>
      </c>
      <c r="F27" s="30" t="str">
        <f aca="true">IF(INDIRECT("brand_form!A"&amp;ROW())="","",IF(INDIRECT("brand_form!H"&amp;ROW())="","",INDIRECT("brand_form!H"&amp;ROW())))</f>
        <v/>
      </c>
      <c r="G27" s="30" t="str">
        <f aca="true">IF(INDIRECT("brand_form!A"&amp;ROW())="","",IF(INDIRECT("brand_form!I"&amp;ROW())="","",INDIRECT("brand_form!I"&amp;ROW())))</f>
        <v/>
      </c>
      <c r="H27" s="30" t="str">
        <f aca="true">IF(INDIRECT("brand_form!A"&amp;ROW())="","",IF(INDIRECT("brand_form!J"&amp;ROW())="","",INDIRECT("brand_form!J"&amp;ROW())))</f>
        <v/>
      </c>
      <c r="I27" s="30" t="str">
        <f aca="true">IF(INDIRECT("brand_form!A"&amp;ROW())="","",IF(INDIRECT("brand_form!D"&amp;ROW())="","",INDIRECT("brand_form!D"&amp;ROW())))</f>
        <v/>
      </c>
      <c r="J2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30" t="str">
        <f aca="true">IF(INDIRECT("brand_form!A"&amp;ROW())="","",IF(INDIRECT("brand_form!F"&amp;ROW())="","",INDIRECT("brand_form!F"&amp;ROW())))</f>
        <v/>
      </c>
      <c r="L27" s="30" t="str">
        <f aca="true">IF(INDIRECT("brand_form!A"&amp;ROW())="","",IF(INDIRECT("brand_form!M"&amp;ROW())="","",INDIRECT("brand_form!M"&amp;ROW())))</f>
        <v/>
      </c>
      <c r="M2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7" s="30" t="str">
        <f aca="true">IF(INDIRECT("brand_form!A"&amp;ROW())="","",IF(IF(INDIRECT("brand_form!O"&amp;ROW())="","",INDIRECT("brand_form!O"&amp;ROW()))="Yes","Y",IF(IF(INDIRECT("brand_form!O"&amp;ROW())="","",INDIRECT("brand_form!O"&amp;ROW()))="No","N","")))</f>
        <v/>
      </c>
      <c r="O2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30" t="str">
        <f aca="true">IF(INDIRECT("brand_form!A"&amp;ROW())="","",IF(IF(INDIRECT("brand_form!K"&amp;ROW())="","",INDIRECT("brand_form!K"&amp;ROW()))="I do","Y",IF(IF(INDIRECT("brand_form!K"&amp;ROW())="","",INDIRECT("brand_form!K"&amp;ROW()))="Someone else","N","")))</f>
        <v/>
      </c>
      <c r="Q27" s="30" t="str">
        <f aca="true">IF(INDIRECT("brand_form!A"&amp;ROW())="","",IF($P27="Y",$E27&amp;", "&amp;$F27,IF(INDIRECT("brand_form!L"&amp;ROW())="","",INDIRECT("brand_form!L"&amp;ROW()))))</f>
        <v/>
      </c>
      <c r="R27" s="30" t="str">
        <f aca="true">IF(INDIRECT("brand_form!A"&amp;ROW())="","",IF(IF(INDIRECT("brand_form!Q"&amp;ROW())="","",INDIRECT("brand_form!Q"&amp;ROW()))="Yes","Y",IF(IF(INDIRECT("brand_form!Q"&amp;ROW())="","",INDIRECT("brand_form!Q"&amp;ROW()))="No","N",IF(IF(INDIRECT("brand_form!Q"&amp;ROW())="","",INDIRECT("brand_form!Q"&amp;ROW()))="Not sure","unsure",""))))</f>
        <v/>
      </c>
      <c r="S27" s="30" t="str">
        <f aca="true">IF(INDIRECT("brand_form!A"&amp;ROW())="","",IF(IF(INDIRECT("brand_form!R"&amp;ROW())="","",INDIRECT("brand_form!R"&amp;ROW()))="Yes","Y",IF(IF(INDIRECT("brand_form!R"&amp;ROW())="","",INDIRECT("brand_form!R"&amp;ROW()))="No","N",IF(IF(INDIRECT("brand_form!R"&amp;ROW())="","",INDIRECT("brand_form!R"&amp;ROW()))="Not sure","unsure",""))))</f>
        <v/>
      </c>
      <c r="T27" s="30" t="str">
        <f aca="true">IF(INDIRECT("brand_form!A"&amp;ROW())="","",IF(IF(INDIRECT("brand_form!S"&amp;ROW())="","",INDIRECT("brand_form!S"&amp;ROW()))="Yes","Y",IF(IF(INDIRECT("brand_form!S"&amp;ROW())="","",INDIRECT("brand_form!S"&amp;ROW()))="No","N",IF(IF(INDIRECT("brand_form!S"&amp;ROW())="","",INDIRECT("brand_form!S"&amp;ROW()))="Not sure","unsure",""))))</f>
        <v/>
      </c>
      <c r="U27" s="30" t="str">
        <f aca="true">IF(INDIRECT("brand_form!A"&amp;ROW())="","",IF(IF(INDIRECT("brand_form!T"&amp;ROW())="","",INDIRECT("brand_form!T"&amp;ROW()))="Yes","Y",IF(IF(INDIRECT("brand_form!T"&amp;ROW())="","",INDIRECT("brand_form!T"&amp;ROW()))="No","N",IF(IF(INDIRECT("brand_form!T"&amp;ROW())="","",INDIRECT("brand_form!T"&amp;ROW()))="Not sure","unsure",""))))</f>
        <v/>
      </c>
      <c r="V27" s="30" t="str">
        <f aca="true">IF(INDIRECT("brand_form!A"&amp;ROW())="","",IF(IF(INDIRECT("brand_form!U"&amp;ROW())="","",INDIRECT("brand_form!U"&amp;ROW()))="Yes","Y",IF(IF(INDIRECT("brand_form!U"&amp;ROW())="","",INDIRECT("brand_form!U"&amp;ROW()))="No","N",IF(IF(INDIRECT("brand_form!U"&amp;ROW())="","",INDIRECT("brand_form!U"&amp;ROW()))="Not sure","unsure",""))))</f>
        <v/>
      </c>
      <c r="W27" s="30" t="str">
        <f aca="true">IF(INDIRECT("brand_form!A"&amp;ROW())="","",IF(IF(INDIRECT("brand_form!V"&amp;ROW())="","",INDIRECT("brand_form!V"&amp;ROW()))="Yes","Y",IF(IF(INDIRECT("brand_form!V"&amp;ROW())="","",INDIRECT("brand_form!V"&amp;ROW()))="No","N",IF(IF(INDIRECT("brand_form!V"&amp;ROW())="","",INDIRECT("brand_form!V"&amp;ROW()))="Not sure","unsure",""))))</f>
        <v/>
      </c>
      <c r="X27" s="30" t="str">
        <f aca="true">IF(INDIRECT("brand_form!A"&amp;ROW())="","",IF(INDIRECT("brand_form!W"&amp;ROW())="","",INDIRECT("brand_form!W"&amp;ROW())))</f>
        <v/>
      </c>
      <c r="Y27" s="30" t="str">
        <f aca="true">IF(INDIRECT("brand_form!A"&amp;ROW())="","",IF(IF(INDIRECT("brand_form!X"&amp;ROW())="","",INDIRECT("brand_form!X"&amp;ROW()))&lt;&gt;"","Y",""))</f>
        <v/>
      </c>
      <c r="Z27" s="30" t="str">
        <f aca="true">IF(INDIRECT("brand_form!A"&amp;ROW())="","",IF(INDIRECT("brand_form!Y"&amp;ROW())="","",INDIRECT("brand_form!Y"&amp;ROW())))</f>
        <v/>
      </c>
      <c r="AA27" s="30" t="str">
        <f aca="true">IF(INDIRECT("brand_form!A"&amp;ROW())="","","founder")</f>
        <v/>
      </c>
    </row>
    <row r="28" customFormat="false" ht="15" hidden="false" customHeight="false" outlineLevel="0" collapsed="false">
      <c r="A28" s="30" t="str">
        <f aca="true">IF(INDIRECT("brand_form!A"&amp;ROW())="","",TEXT(INDIRECT("brand_form!A"&amp;ROW()),"yyyy-mm-dd""T""hh:mm:ss"))</f>
        <v/>
      </c>
      <c r="B28" s="30" t="str">
        <f aca="true">IF(INDIRECT("brand_form!A"&amp;ROW())="","",config!$B$35)</f>
        <v/>
      </c>
      <c r="C28" s="30" t="str">
        <f aca="true">IF(INDIRECT("brand_form!A"&amp;ROW())="","",IF(INDIRECT("brand_form!B"&amp;ROW())="","",INDIRECT("brand_form!B"&amp;ROW())))</f>
        <v/>
      </c>
      <c r="D2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8" s="30" t="str">
        <f aca="true">IF(INDIRECT("brand_form!A"&amp;ROW())="","",IF(INDIRECT("brand_form!G"&amp;ROW())="","",INDIRECT("brand_form!G"&amp;ROW())))</f>
        <v/>
      </c>
      <c r="F28" s="30" t="str">
        <f aca="true">IF(INDIRECT("brand_form!A"&amp;ROW())="","",IF(INDIRECT("brand_form!H"&amp;ROW())="","",INDIRECT("brand_form!H"&amp;ROW())))</f>
        <v/>
      </c>
      <c r="G28" s="30" t="str">
        <f aca="true">IF(INDIRECT("brand_form!A"&amp;ROW())="","",IF(INDIRECT("brand_form!I"&amp;ROW())="","",INDIRECT("brand_form!I"&amp;ROW())))</f>
        <v/>
      </c>
      <c r="H28" s="30" t="str">
        <f aca="true">IF(INDIRECT("brand_form!A"&amp;ROW())="","",IF(INDIRECT("brand_form!J"&amp;ROW())="","",INDIRECT("brand_form!J"&amp;ROW())))</f>
        <v/>
      </c>
      <c r="I28" s="30" t="str">
        <f aca="true">IF(INDIRECT("brand_form!A"&amp;ROW())="","",IF(INDIRECT("brand_form!D"&amp;ROW())="","",INDIRECT("brand_form!D"&amp;ROW())))</f>
        <v/>
      </c>
      <c r="J2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30" t="str">
        <f aca="true">IF(INDIRECT("brand_form!A"&amp;ROW())="","",IF(INDIRECT("brand_form!F"&amp;ROW())="","",INDIRECT("brand_form!F"&amp;ROW())))</f>
        <v/>
      </c>
      <c r="L28" s="30" t="str">
        <f aca="true">IF(INDIRECT("brand_form!A"&amp;ROW())="","",IF(INDIRECT("brand_form!M"&amp;ROW())="","",INDIRECT("brand_form!M"&amp;ROW())))</f>
        <v/>
      </c>
      <c r="M2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8" s="30" t="str">
        <f aca="true">IF(INDIRECT("brand_form!A"&amp;ROW())="","",IF(IF(INDIRECT("brand_form!O"&amp;ROW())="","",INDIRECT("brand_form!O"&amp;ROW()))="Yes","Y",IF(IF(INDIRECT("brand_form!O"&amp;ROW())="","",INDIRECT("brand_form!O"&amp;ROW()))="No","N","")))</f>
        <v/>
      </c>
      <c r="O2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30" t="str">
        <f aca="true">IF(INDIRECT("brand_form!A"&amp;ROW())="","",IF(IF(INDIRECT("brand_form!K"&amp;ROW())="","",INDIRECT("brand_form!K"&amp;ROW()))="I do","Y",IF(IF(INDIRECT("brand_form!K"&amp;ROW())="","",INDIRECT("brand_form!K"&amp;ROW()))="Someone else","N","")))</f>
        <v/>
      </c>
      <c r="Q28" s="30" t="str">
        <f aca="true">IF(INDIRECT("brand_form!A"&amp;ROW())="","",IF($P28="Y",$E28&amp;", "&amp;$F28,IF(INDIRECT("brand_form!L"&amp;ROW())="","",INDIRECT("brand_form!L"&amp;ROW()))))</f>
        <v/>
      </c>
      <c r="R28" s="30" t="str">
        <f aca="true">IF(INDIRECT("brand_form!A"&amp;ROW())="","",IF(IF(INDIRECT("brand_form!Q"&amp;ROW())="","",INDIRECT("brand_form!Q"&amp;ROW()))="Yes","Y",IF(IF(INDIRECT("brand_form!Q"&amp;ROW())="","",INDIRECT("brand_form!Q"&amp;ROW()))="No","N",IF(IF(INDIRECT("brand_form!Q"&amp;ROW())="","",INDIRECT("brand_form!Q"&amp;ROW()))="Not sure","unsure",""))))</f>
        <v/>
      </c>
      <c r="S28" s="30" t="str">
        <f aca="true">IF(INDIRECT("brand_form!A"&amp;ROW())="","",IF(IF(INDIRECT("brand_form!R"&amp;ROW())="","",INDIRECT("brand_form!R"&amp;ROW()))="Yes","Y",IF(IF(INDIRECT("brand_form!R"&amp;ROW())="","",INDIRECT("brand_form!R"&amp;ROW()))="No","N",IF(IF(INDIRECT("brand_form!R"&amp;ROW())="","",INDIRECT("brand_form!R"&amp;ROW()))="Not sure","unsure",""))))</f>
        <v/>
      </c>
      <c r="T28" s="30" t="str">
        <f aca="true">IF(INDIRECT("brand_form!A"&amp;ROW())="","",IF(IF(INDIRECT("brand_form!S"&amp;ROW())="","",INDIRECT("brand_form!S"&amp;ROW()))="Yes","Y",IF(IF(INDIRECT("brand_form!S"&amp;ROW())="","",INDIRECT("brand_form!S"&amp;ROW()))="No","N",IF(IF(INDIRECT("brand_form!S"&amp;ROW())="","",INDIRECT("brand_form!S"&amp;ROW()))="Not sure","unsure",""))))</f>
        <v/>
      </c>
      <c r="U28" s="30" t="str">
        <f aca="true">IF(INDIRECT("brand_form!A"&amp;ROW())="","",IF(IF(INDIRECT("brand_form!T"&amp;ROW())="","",INDIRECT("brand_form!T"&amp;ROW()))="Yes","Y",IF(IF(INDIRECT("brand_form!T"&amp;ROW())="","",INDIRECT("brand_form!T"&amp;ROW()))="No","N",IF(IF(INDIRECT("brand_form!T"&amp;ROW())="","",INDIRECT("brand_form!T"&amp;ROW()))="Not sure","unsure",""))))</f>
        <v/>
      </c>
      <c r="V28" s="30" t="str">
        <f aca="true">IF(INDIRECT("brand_form!A"&amp;ROW())="","",IF(IF(INDIRECT("brand_form!U"&amp;ROW())="","",INDIRECT("brand_form!U"&amp;ROW()))="Yes","Y",IF(IF(INDIRECT("brand_form!U"&amp;ROW())="","",INDIRECT("brand_form!U"&amp;ROW()))="No","N",IF(IF(INDIRECT("brand_form!U"&amp;ROW())="","",INDIRECT("brand_form!U"&amp;ROW()))="Not sure","unsure",""))))</f>
        <v/>
      </c>
      <c r="W28" s="30" t="str">
        <f aca="true">IF(INDIRECT("brand_form!A"&amp;ROW())="","",IF(IF(INDIRECT("brand_form!V"&amp;ROW())="","",INDIRECT("brand_form!V"&amp;ROW()))="Yes","Y",IF(IF(INDIRECT("brand_form!V"&amp;ROW())="","",INDIRECT("brand_form!V"&amp;ROW()))="No","N",IF(IF(INDIRECT("brand_form!V"&amp;ROW())="","",INDIRECT("brand_form!V"&amp;ROW()))="Not sure","unsure",""))))</f>
        <v/>
      </c>
      <c r="X28" s="30" t="str">
        <f aca="true">IF(INDIRECT("brand_form!A"&amp;ROW())="","",IF(INDIRECT("brand_form!W"&amp;ROW())="","",INDIRECT("brand_form!W"&amp;ROW())))</f>
        <v/>
      </c>
      <c r="Y28" s="30" t="str">
        <f aca="true">IF(INDIRECT("brand_form!A"&amp;ROW())="","",IF(IF(INDIRECT("brand_form!X"&amp;ROW())="","",INDIRECT("brand_form!X"&amp;ROW()))&lt;&gt;"","Y",""))</f>
        <v/>
      </c>
      <c r="Z28" s="30" t="str">
        <f aca="true">IF(INDIRECT("brand_form!A"&amp;ROW())="","",IF(INDIRECT("brand_form!Y"&amp;ROW())="","",INDIRECT("brand_form!Y"&amp;ROW())))</f>
        <v/>
      </c>
      <c r="AA28" s="30" t="str">
        <f aca="true">IF(INDIRECT("brand_form!A"&amp;ROW())="","","founder")</f>
        <v/>
      </c>
    </row>
    <row r="29" customFormat="false" ht="15" hidden="false" customHeight="false" outlineLevel="0" collapsed="false">
      <c r="A29" s="30" t="str">
        <f aca="true">IF(INDIRECT("brand_form!A"&amp;ROW())="","",TEXT(INDIRECT("brand_form!A"&amp;ROW()),"yyyy-mm-dd""T""hh:mm:ss"))</f>
        <v/>
      </c>
      <c r="B29" s="30" t="str">
        <f aca="true">IF(INDIRECT("brand_form!A"&amp;ROW())="","",config!$B$35)</f>
        <v/>
      </c>
      <c r="C29" s="30" t="str">
        <f aca="true">IF(INDIRECT("brand_form!A"&amp;ROW())="","",IF(INDIRECT("brand_form!B"&amp;ROW())="","",INDIRECT("brand_form!B"&amp;ROW())))</f>
        <v/>
      </c>
      <c r="D2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29" s="30" t="str">
        <f aca="true">IF(INDIRECT("brand_form!A"&amp;ROW())="","",IF(INDIRECT("brand_form!G"&amp;ROW())="","",INDIRECT("brand_form!G"&amp;ROW())))</f>
        <v/>
      </c>
      <c r="F29" s="30" t="str">
        <f aca="true">IF(INDIRECT("brand_form!A"&amp;ROW())="","",IF(INDIRECT("brand_form!H"&amp;ROW())="","",INDIRECT("brand_form!H"&amp;ROW())))</f>
        <v/>
      </c>
      <c r="G29" s="30" t="str">
        <f aca="true">IF(INDIRECT("brand_form!A"&amp;ROW())="","",IF(INDIRECT("brand_form!I"&amp;ROW())="","",INDIRECT("brand_form!I"&amp;ROW())))</f>
        <v/>
      </c>
      <c r="H29" s="30" t="str">
        <f aca="true">IF(INDIRECT("brand_form!A"&amp;ROW())="","",IF(INDIRECT("brand_form!J"&amp;ROW())="","",INDIRECT("brand_form!J"&amp;ROW())))</f>
        <v/>
      </c>
      <c r="I29" s="30" t="str">
        <f aca="true">IF(INDIRECT("brand_form!A"&amp;ROW())="","",IF(INDIRECT("brand_form!D"&amp;ROW())="","",INDIRECT("brand_form!D"&amp;ROW())))</f>
        <v/>
      </c>
      <c r="J2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30" t="str">
        <f aca="true">IF(INDIRECT("brand_form!A"&amp;ROW())="","",IF(INDIRECT("brand_form!F"&amp;ROW())="","",INDIRECT("brand_form!F"&amp;ROW())))</f>
        <v/>
      </c>
      <c r="L29" s="30" t="str">
        <f aca="true">IF(INDIRECT("brand_form!A"&amp;ROW())="","",IF(INDIRECT("brand_form!M"&amp;ROW())="","",INDIRECT("brand_form!M"&amp;ROW())))</f>
        <v/>
      </c>
      <c r="M2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29" s="30" t="str">
        <f aca="true">IF(INDIRECT("brand_form!A"&amp;ROW())="","",IF(IF(INDIRECT("brand_form!O"&amp;ROW())="","",INDIRECT("brand_form!O"&amp;ROW()))="Yes","Y",IF(IF(INDIRECT("brand_form!O"&amp;ROW())="","",INDIRECT("brand_form!O"&amp;ROW()))="No","N","")))</f>
        <v/>
      </c>
      <c r="O2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30" t="str">
        <f aca="true">IF(INDIRECT("brand_form!A"&amp;ROW())="","",IF(IF(INDIRECT("brand_form!K"&amp;ROW())="","",INDIRECT("brand_form!K"&amp;ROW()))="I do","Y",IF(IF(INDIRECT("brand_form!K"&amp;ROW())="","",INDIRECT("brand_form!K"&amp;ROW()))="Someone else","N","")))</f>
        <v/>
      </c>
      <c r="Q29" s="30" t="str">
        <f aca="true">IF(INDIRECT("brand_form!A"&amp;ROW())="","",IF($P29="Y",$E29&amp;", "&amp;$F29,IF(INDIRECT("brand_form!L"&amp;ROW())="","",INDIRECT("brand_form!L"&amp;ROW()))))</f>
        <v/>
      </c>
      <c r="R29" s="30" t="str">
        <f aca="true">IF(INDIRECT("brand_form!A"&amp;ROW())="","",IF(IF(INDIRECT("brand_form!Q"&amp;ROW())="","",INDIRECT("brand_form!Q"&amp;ROW()))="Yes","Y",IF(IF(INDIRECT("brand_form!Q"&amp;ROW())="","",INDIRECT("brand_form!Q"&amp;ROW()))="No","N",IF(IF(INDIRECT("brand_form!Q"&amp;ROW())="","",INDIRECT("brand_form!Q"&amp;ROW()))="Not sure","unsure",""))))</f>
        <v/>
      </c>
      <c r="S29" s="30" t="str">
        <f aca="true">IF(INDIRECT("brand_form!A"&amp;ROW())="","",IF(IF(INDIRECT("brand_form!R"&amp;ROW())="","",INDIRECT("brand_form!R"&amp;ROW()))="Yes","Y",IF(IF(INDIRECT("brand_form!R"&amp;ROW())="","",INDIRECT("brand_form!R"&amp;ROW()))="No","N",IF(IF(INDIRECT("brand_form!R"&amp;ROW())="","",INDIRECT("brand_form!R"&amp;ROW()))="Not sure","unsure",""))))</f>
        <v/>
      </c>
      <c r="T29" s="30" t="str">
        <f aca="true">IF(INDIRECT("brand_form!A"&amp;ROW())="","",IF(IF(INDIRECT("brand_form!S"&amp;ROW())="","",INDIRECT("brand_form!S"&amp;ROW()))="Yes","Y",IF(IF(INDIRECT("brand_form!S"&amp;ROW())="","",INDIRECT("brand_form!S"&amp;ROW()))="No","N",IF(IF(INDIRECT("brand_form!S"&amp;ROW())="","",INDIRECT("brand_form!S"&amp;ROW()))="Not sure","unsure",""))))</f>
        <v/>
      </c>
      <c r="U29" s="30" t="str">
        <f aca="true">IF(INDIRECT("brand_form!A"&amp;ROW())="","",IF(IF(INDIRECT("brand_form!T"&amp;ROW())="","",INDIRECT("brand_form!T"&amp;ROW()))="Yes","Y",IF(IF(INDIRECT("brand_form!T"&amp;ROW())="","",INDIRECT("brand_form!T"&amp;ROW()))="No","N",IF(IF(INDIRECT("brand_form!T"&amp;ROW())="","",INDIRECT("brand_form!T"&amp;ROW()))="Not sure","unsure",""))))</f>
        <v/>
      </c>
      <c r="V29" s="30" t="str">
        <f aca="true">IF(INDIRECT("brand_form!A"&amp;ROW())="","",IF(IF(INDIRECT("brand_form!U"&amp;ROW())="","",INDIRECT("brand_form!U"&amp;ROW()))="Yes","Y",IF(IF(INDIRECT("brand_form!U"&amp;ROW())="","",INDIRECT("brand_form!U"&amp;ROW()))="No","N",IF(IF(INDIRECT("brand_form!U"&amp;ROW())="","",INDIRECT("brand_form!U"&amp;ROW()))="Not sure","unsure",""))))</f>
        <v/>
      </c>
      <c r="W29" s="30" t="str">
        <f aca="true">IF(INDIRECT("brand_form!A"&amp;ROW())="","",IF(IF(INDIRECT("brand_form!V"&amp;ROW())="","",INDIRECT("brand_form!V"&amp;ROW()))="Yes","Y",IF(IF(INDIRECT("brand_form!V"&amp;ROW())="","",INDIRECT("brand_form!V"&amp;ROW()))="No","N",IF(IF(INDIRECT("brand_form!V"&amp;ROW())="","",INDIRECT("brand_form!V"&amp;ROW()))="Not sure","unsure",""))))</f>
        <v/>
      </c>
      <c r="X29" s="30" t="str">
        <f aca="true">IF(INDIRECT("brand_form!A"&amp;ROW())="","",IF(INDIRECT("brand_form!W"&amp;ROW())="","",INDIRECT("brand_form!W"&amp;ROW())))</f>
        <v/>
      </c>
      <c r="Y29" s="30" t="str">
        <f aca="true">IF(INDIRECT("brand_form!A"&amp;ROW())="","",IF(IF(INDIRECT("brand_form!X"&amp;ROW())="","",INDIRECT("brand_form!X"&amp;ROW()))&lt;&gt;"","Y",""))</f>
        <v/>
      </c>
      <c r="Z29" s="30" t="str">
        <f aca="true">IF(INDIRECT("brand_form!A"&amp;ROW())="","",IF(INDIRECT("brand_form!Y"&amp;ROW())="","",INDIRECT("brand_form!Y"&amp;ROW())))</f>
        <v/>
      </c>
      <c r="AA29" s="30" t="str">
        <f aca="true">IF(INDIRECT("brand_form!A"&amp;ROW())="","","founder")</f>
        <v/>
      </c>
    </row>
    <row r="30" customFormat="false" ht="15" hidden="false" customHeight="false" outlineLevel="0" collapsed="false">
      <c r="A30" s="30" t="str">
        <f aca="true">IF(INDIRECT("brand_form!A"&amp;ROW())="","",TEXT(INDIRECT("brand_form!A"&amp;ROW()),"yyyy-mm-dd""T""hh:mm:ss"))</f>
        <v/>
      </c>
      <c r="B30" s="30" t="str">
        <f aca="true">IF(INDIRECT("brand_form!A"&amp;ROW())="","",config!$B$35)</f>
        <v/>
      </c>
      <c r="C30" s="30" t="str">
        <f aca="true">IF(INDIRECT("brand_form!A"&amp;ROW())="","",IF(INDIRECT("brand_form!B"&amp;ROW())="","",INDIRECT("brand_form!B"&amp;ROW())))</f>
        <v/>
      </c>
      <c r="D3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0" s="30" t="str">
        <f aca="true">IF(INDIRECT("brand_form!A"&amp;ROW())="","",IF(INDIRECT("brand_form!G"&amp;ROW())="","",INDIRECT("brand_form!G"&amp;ROW())))</f>
        <v/>
      </c>
      <c r="F30" s="30" t="str">
        <f aca="true">IF(INDIRECT("brand_form!A"&amp;ROW())="","",IF(INDIRECT("brand_form!H"&amp;ROW())="","",INDIRECT("brand_form!H"&amp;ROW())))</f>
        <v/>
      </c>
      <c r="G30" s="30" t="str">
        <f aca="true">IF(INDIRECT("brand_form!A"&amp;ROW())="","",IF(INDIRECT("brand_form!I"&amp;ROW())="","",INDIRECT("brand_form!I"&amp;ROW())))</f>
        <v/>
      </c>
      <c r="H30" s="30" t="str">
        <f aca="true">IF(INDIRECT("brand_form!A"&amp;ROW())="","",IF(INDIRECT("brand_form!J"&amp;ROW())="","",INDIRECT("brand_form!J"&amp;ROW())))</f>
        <v/>
      </c>
      <c r="I30" s="30" t="str">
        <f aca="true">IF(INDIRECT("brand_form!A"&amp;ROW())="","",IF(INDIRECT("brand_form!D"&amp;ROW())="","",INDIRECT("brand_form!D"&amp;ROW())))</f>
        <v/>
      </c>
      <c r="J3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30" t="str">
        <f aca="true">IF(INDIRECT("brand_form!A"&amp;ROW())="","",IF(INDIRECT("brand_form!F"&amp;ROW())="","",INDIRECT("brand_form!F"&amp;ROW())))</f>
        <v/>
      </c>
      <c r="L30" s="30" t="str">
        <f aca="true">IF(INDIRECT("brand_form!A"&amp;ROW())="","",IF(INDIRECT("brand_form!M"&amp;ROW())="","",INDIRECT("brand_form!M"&amp;ROW())))</f>
        <v/>
      </c>
      <c r="M3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0" s="30" t="str">
        <f aca="true">IF(INDIRECT("brand_form!A"&amp;ROW())="","",IF(IF(INDIRECT("brand_form!O"&amp;ROW())="","",INDIRECT("brand_form!O"&amp;ROW()))="Yes","Y",IF(IF(INDIRECT("brand_form!O"&amp;ROW())="","",INDIRECT("brand_form!O"&amp;ROW()))="No","N","")))</f>
        <v/>
      </c>
      <c r="O3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30" t="str">
        <f aca="true">IF(INDIRECT("brand_form!A"&amp;ROW())="","",IF(IF(INDIRECT("brand_form!K"&amp;ROW())="","",INDIRECT("brand_form!K"&amp;ROW()))="I do","Y",IF(IF(INDIRECT("brand_form!K"&amp;ROW())="","",INDIRECT("brand_form!K"&amp;ROW()))="Someone else","N","")))</f>
        <v/>
      </c>
      <c r="Q30" s="30" t="str">
        <f aca="true">IF(INDIRECT("brand_form!A"&amp;ROW())="","",IF($P30="Y",$E30&amp;", "&amp;$F30,IF(INDIRECT("brand_form!L"&amp;ROW())="","",INDIRECT("brand_form!L"&amp;ROW()))))</f>
        <v/>
      </c>
      <c r="R30" s="30" t="str">
        <f aca="true">IF(INDIRECT("brand_form!A"&amp;ROW())="","",IF(IF(INDIRECT("brand_form!Q"&amp;ROW())="","",INDIRECT("brand_form!Q"&amp;ROW()))="Yes","Y",IF(IF(INDIRECT("brand_form!Q"&amp;ROW())="","",INDIRECT("brand_form!Q"&amp;ROW()))="No","N",IF(IF(INDIRECT("brand_form!Q"&amp;ROW())="","",INDIRECT("brand_form!Q"&amp;ROW()))="Not sure","unsure",""))))</f>
        <v/>
      </c>
      <c r="S30" s="30" t="str">
        <f aca="true">IF(INDIRECT("brand_form!A"&amp;ROW())="","",IF(IF(INDIRECT("brand_form!R"&amp;ROW())="","",INDIRECT("brand_form!R"&amp;ROW()))="Yes","Y",IF(IF(INDIRECT("brand_form!R"&amp;ROW())="","",INDIRECT("brand_form!R"&amp;ROW()))="No","N",IF(IF(INDIRECT("brand_form!R"&amp;ROW())="","",INDIRECT("brand_form!R"&amp;ROW()))="Not sure","unsure",""))))</f>
        <v/>
      </c>
      <c r="T30" s="30" t="str">
        <f aca="true">IF(INDIRECT("brand_form!A"&amp;ROW())="","",IF(IF(INDIRECT("brand_form!S"&amp;ROW())="","",INDIRECT("brand_form!S"&amp;ROW()))="Yes","Y",IF(IF(INDIRECT("brand_form!S"&amp;ROW())="","",INDIRECT("brand_form!S"&amp;ROW()))="No","N",IF(IF(INDIRECT("brand_form!S"&amp;ROW())="","",INDIRECT("brand_form!S"&amp;ROW()))="Not sure","unsure",""))))</f>
        <v/>
      </c>
      <c r="U30" s="30" t="str">
        <f aca="true">IF(INDIRECT("brand_form!A"&amp;ROW())="","",IF(IF(INDIRECT("brand_form!T"&amp;ROW())="","",INDIRECT("brand_form!T"&amp;ROW()))="Yes","Y",IF(IF(INDIRECT("brand_form!T"&amp;ROW())="","",INDIRECT("brand_form!T"&amp;ROW()))="No","N",IF(IF(INDIRECT("brand_form!T"&amp;ROW())="","",INDIRECT("brand_form!T"&amp;ROW()))="Not sure","unsure",""))))</f>
        <v/>
      </c>
      <c r="V30" s="30" t="str">
        <f aca="true">IF(INDIRECT("brand_form!A"&amp;ROW())="","",IF(IF(INDIRECT("brand_form!U"&amp;ROW())="","",INDIRECT("brand_form!U"&amp;ROW()))="Yes","Y",IF(IF(INDIRECT("brand_form!U"&amp;ROW())="","",INDIRECT("brand_form!U"&amp;ROW()))="No","N",IF(IF(INDIRECT("brand_form!U"&amp;ROW())="","",INDIRECT("brand_form!U"&amp;ROW()))="Not sure","unsure",""))))</f>
        <v/>
      </c>
      <c r="W30" s="30" t="str">
        <f aca="true">IF(INDIRECT("brand_form!A"&amp;ROW())="","",IF(IF(INDIRECT("brand_form!V"&amp;ROW())="","",INDIRECT("brand_form!V"&amp;ROW()))="Yes","Y",IF(IF(INDIRECT("brand_form!V"&amp;ROW())="","",INDIRECT("brand_form!V"&amp;ROW()))="No","N",IF(IF(INDIRECT("brand_form!V"&amp;ROW())="","",INDIRECT("brand_form!V"&amp;ROW()))="Not sure","unsure",""))))</f>
        <v/>
      </c>
      <c r="X30" s="30" t="str">
        <f aca="true">IF(INDIRECT("brand_form!A"&amp;ROW())="","",IF(INDIRECT("brand_form!W"&amp;ROW())="","",INDIRECT("brand_form!W"&amp;ROW())))</f>
        <v/>
      </c>
      <c r="Y30" s="30" t="str">
        <f aca="true">IF(INDIRECT("brand_form!A"&amp;ROW())="","",IF(IF(INDIRECT("brand_form!X"&amp;ROW())="","",INDIRECT("brand_form!X"&amp;ROW()))&lt;&gt;"","Y",""))</f>
        <v/>
      </c>
      <c r="Z30" s="30" t="str">
        <f aca="true">IF(INDIRECT("brand_form!A"&amp;ROW())="","",IF(INDIRECT("brand_form!Y"&amp;ROW())="","",INDIRECT("brand_form!Y"&amp;ROW())))</f>
        <v/>
      </c>
      <c r="AA30" s="30" t="str">
        <f aca="true">IF(INDIRECT("brand_form!A"&amp;ROW())="","","founder")</f>
        <v/>
      </c>
    </row>
    <row r="31" customFormat="false" ht="15" hidden="false" customHeight="false" outlineLevel="0" collapsed="false">
      <c r="A31" s="30" t="str">
        <f aca="true">IF(INDIRECT("brand_form!A"&amp;ROW())="","",TEXT(INDIRECT("brand_form!A"&amp;ROW()),"yyyy-mm-dd""T""hh:mm:ss"))</f>
        <v/>
      </c>
      <c r="B31" s="30" t="str">
        <f aca="true">IF(INDIRECT("brand_form!A"&amp;ROW())="","",config!$B$35)</f>
        <v/>
      </c>
      <c r="C31" s="30" t="str">
        <f aca="true">IF(INDIRECT("brand_form!A"&amp;ROW())="","",IF(INDIRECT("brand_form!B"&amp;ROW())="","",INDIRECT("brand_form!B"&amp;ROW())))</f>
        <v/>
      </c>
      <c r="D3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1" s="30" t="str">
        <f aca="true">IF(INDIRECT("brand_form!A"&amp;ROW())="","",IF(INDIRECT("brand_form!G"&amp;ROW())="","",INDIRECT("brand_form!G"&amp;ROW())))</f>
        <v/>
      </c>
      <c r="F31" s="30" t="str">
        <f aca="true">IF(INDIRECT("brand_form!A"&amp;ROW())="","",IF(INDIRECT("brand_form!H"&amp;ROW())="","",INDIRECT("brand_form!H"&amp;ROW())))</f>
        <v/>
      </c>
      <c r="G31" s="30" t="str">
        <f aca="true">IF(INDIRECT("brand_form!A"&amp;ROW())="","",IF(INDIRECT("brand_form!I"&amp;ROW())="","",INDIRECT("brand_form!I"&amp;ROW())))</f>
        <v/>
      </c>
      <c r="H31" s="30" t="str">
        <f aca="true">IF(INDIRECT("brand_form!A"&amp;ROW())="","",IF(INDIRECT("brand_form!J"&amp;ROW())="","",INDIRECT("brand_form!J"&amp;ROW())))</f>
        <v/>
      </c>
      <c r="I31" s="30" t="str">
        <f aca="true">IF(INDIRECT("brand_form!A"&amp;ROW())="","",IF(INDIRECT("brand_form!D"&amp;ROW())="","",INDIRECT("brand_form!D"&amp;ROW())))</f>
        <v/>
      </c>
      <c r="J3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30" t="str">
        <f aca="true">IF(INDIRECT("brand_form!A"&amp;ROW())="","",IF(INDIRECT("brand_form!F"&amp;ROW())="","",INDIRECT("brand_form!F"&amp;ROW())))</f>
        <v/>
      </c>
      <c r="L31" s="30" t="str">
        <f aca="true">IF(INDIRECT("brand_form!A"&amp;ROW())="","",IF(INDIRECT("brand_form!M"&amp;ROW())="","",INDIRECT("brand_form!M"&amp;ROW())))</f>
        <v/>
      </c>
      <c r="M3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1" s="30" t="str">
        <f aca="true">IF(INDIRECT("brand_form!A"&amp;ROW())="","",IF(IF(INDIRECT("brand_form!O"&amp;ROW())="","",INDIRECT("brand_form!O"&amp;ROW()))="Yes","Y",IF(IF(INDIRECT("brand_form!O"&amp;ROW())="","",INDIRECT("brand_form!O"&amp;ROW()))="No","N","")))</f>
        <v/>
      </c>
      <c r="O3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30" t="str">
        <f aca="true">IF(INDIRECT("brand_form!A"&amp;ROW())="","",IF(IF(INDIRECT("brand_form!K"&amp;ROW())="","",INDIRECT("brand_form!K"&amp;ROW()))="I do","Y",IF(IF(INDIRECT("brand_form!K"&amp;ROW())="","",INDIRECT("brand_form!K"&amp;ROW()))="Someone else","N","")))</f>
        <v/>
      </c>
      <c r="Q31" s="30" t="str">
        <f aca="true">IF(INDIRECT("brand_form!A"&amp;ROW())="","",IF($P31="Y",$E31&amp;", "&amp;$F31,IF(INDIRECT("brand_form!L"&amp;ROW())="","",INDIRECT("brand_form!L"&amp;ROW()))))</f>
        <v/>
      </c>
      <c r="R31" s="30" t="str">
        <f aca="true">IF(INDIRECT("brand_form!A"&amp;ROW())="","",IF(IF(INDIRECT("brand_form!Q"&amp;ROW())="","",INDIRECT("brand_form!Q"&amp;ROW()))="Yes","Y",IF(IF(INDIRECT("brand_form!Q"&amp;ROW())="","",INDIRECT("brand_form!Q"&amp;ROW()))="No","N",IF(IF(INDIRECT("brand_form!Q"&amp;ROW())="","",INDIRECT("brand_form!Q"&amp;ROW()))="Not sure","unsure",""))))</f>
        <v/>
      </c>
      <c r="S31" s="30" t="str">
        <f aca="true">IF(INDIRECT("brand_form!A"&amp;ROW())="","",IF(IF(INDIRECT("brand_form!R"&amp;ROW())="","",INDIRECT("brand_form!R"&amp;ROW()))="Yes","Y",IF(IF(INDIRECT("brand_form!R"&amp;ROW())="","",INDIRECT("brand_form!R"&amp;ROW()))="No","N",IF(IF(INDIRECT("brand_form!R"&amp;ROW())="","",INDIRECT("brand_form!R"&amp;ROW()))="Not sure","unsure",""))))</f>
        <v/>
      </c>
      <c r="T31" s="30" t="str">
        <f aca="true">IF(INDIRECT("brand_form!A"&amp;ROW())="","",IF(IF(INDIRECT("brand_form!S"&amp;ROW())="","",INDIRECT("brand_form!S"&amp;ROW()))="Yes","Y",IF(IF(INDIRECT("brand_form!S"&amp;ROW())="","",INDIRECT("brand_form!S"&amp;ROW()))="No","N",IF(IF(INDIRECT("brand_form!S"&amp;ROW())="","",INDIRECT("brand_form!S"&amp;ROW()))="Not sure","unsure",""))))</f>
        <v/>
      </c>
      <c r="U31" s="30" t="str">
        <f aca="true">IF(INDIRECT("brand_form!A"&amp;ROW())="","",IF(IF(INDIRECT("brand_form!T"&amp;ROW())="","",INDIRECT("brand_form!T"&amp;ROW()))="Yes","Y",IF(IF(INDIRECT("brand_form!T"&amp;ROW())="","",INDIRECT("brand_form!T"&amp;ROW()))="No","N",IF(IF(INDIRECT("brand_form!T"&amp;ROW())="","",INDIRECT("brand_form!T"&amp;ROW()))="Not sure","unsure",""))))</f>
        <v/>
      </c>
      <c r="V31" s="30" t="str">
        <f aca="true">IF(INDIRECT("brand_form!A"&amp;ROW())="","",IF(IF(INDIRECT("brand_form!U"&amp;ROW())="","",INDIRECT("brand_form!U"&amp;ROW()))="Yes","Y",IF(IF(INDIRECT("brand_form!U"&amp;ROW())="","",INDIRECT("brand_form!U"&amp;ROW()))="No","N",IF(IF(INDIRECT("brand_form!U"&amp;ROW())="","",INDIRECT("brand_form!U"&amp;ROW()))="Not sure","unsure",""))))</f>
        <v/>
      </c>
      <c r="W31" s="30" t="str">
        <f aca="true">IF(INDIRECT("brand_form!A"&amp;ROW())="","",IF(IF(INDIRECT("brand_form!V"&amp;ROW())="","",INDIRECT("brand_form!V"&amp;ROW()))="Yes","Y",IF(IF(INDIRECT("brand_form!V"&amp;ROW())="","",INDIRECT("brand_form!V"&amp;ROW()))="No","N",IF(IF(INDIRECT("brand_form!V"&amp;ROW())="","",INDIRECT("brand_form!V"&amp;ROW()))="Not sure","unsure",""))))</f>
        <v/>
      </c>
      <c r="X31" s="30" t="str">
        <f aca="true">IF(INDIRECT("brand_form!A"&amp;ROW())="","",IF(INDIRECT("brand_form!W"&amp;ROW())="","",INDIRECT("brand_form!W"&amp;ROW())))</f>
        <v/>
      </c>
      <c r="Y31" s="30" t="str">
        <f aca="true">IF(INDIRECT("brand_form!A"&amp;ROW())="","",IF(IF(INDIRECT("brand_form!X"&amp;ROW())="","",INDIRECT("brand_form!X"&amp;ROW()))&lt;&gt;"","Y",""))</f>
        <v/>
      </c>
      <c r="Z31" s="30" t="str">
        <f aca="true">IF(INDIRECT("brand_form!A"&amp;ROW())="","",IF(INDIRECT("brand_form!Y"&amp;ROW())="","",INDIRECT("brand_form!Y"&amp;ROW())))</f>
        <v/>
      </c>
      <c r="AA31" s="30" t="str">
        <f aca="true">IF(INDIRECT("brand_form!A"&amp;ROW())="","","founder")</f>
        <v/>
      </c>
    </row>
    <row r="32" customFormat="false" ht="15" hidden="false" customHeight="false" outlineLevel="0" collapsed="false">
      <c r="A32" s="30" t="str">
        <f aca="true">IF(INDIRECT("brand_form!A"&amp;ROW())="","",TEXT(INDIRECT("brand_form!A"&amp;ROW()),"yyyy-mm-dd""T""hh:mm:ss"))</f>
        <v/>
      </c>
      <c r="B32" s="30" t="str">
        <f aca="true">IF(INDIRECT("brand_form!A"&amp;ROW())="","",config!$B$35)</f>
        <v/>
      </c>
      <c r="C32" s="30" t="str">
        <f aca="true">IF(INDIRECT("brand_form!A"&amp;ROW())="","",IF(INDIRECT("brand_form!B"&amp;ROW())="","",INDIRECT("brand_form!B"&amp;ROW())))</f>
        <v/>
      </c>
      <c r="D3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2" s="30" t="str">
        <f aca="true">IF(INDIRECT("brand_form!A"&amp;ROW())="","",IF(INDIRECT("brand_form!G"&amp;ROW())="","",INDIRECT("brand_form!G"&amp;ROW())))</f>
        <v/>
      </c>
      <c r="F32" s="30" t="str">
        <f aca="true">IF(INDIRECT("brand_form!A"&amp;ROW())="","",IF(INDIRECT("brand_form!H"&amp;ROW())="","",INDIRECT("brand_form!H"&amp;ROW())))</f>
        <v/>
      </c>
      <c r="G32" s="30" t="str">
        <f aca="true">IF(INDIRECT("brand_form!A"&amp;ROW())="","",IF(INDIRECT("brand_form!I"&amp;ROW())="","",INDIRECT("brand_form!I"&amp;ROW())))</f>
        <v/>
      </c>
      <c r="H32" s="30" t="str">
        <f aca="true">IF(INDIRECT("brand_form!A"&amp;ROW())="","",IF(INDIRECT("brand_form!J"&amp;ROW())="","",INDIRECT("brand_form!J"&amp;ROW())))</f>
        <v/>
      </c>
      <c r="I32" s="30" t="str">
        <f aca="true">IF(INDIRECT("brand_form!A"&amp;ROW())="","",IF(INDIRECT("brand_form!D"&amp;ROW())="","",INDIRECT("brand_form!D"&amp;ROW())))</f>
        <v/>
      </c>
      <c r="J3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30" t="str">
        <f aca="true">IF(INDIRECT("brand_form!A"&amp;ROW())="","",IF(INDIRECT("brand_form!F"&amp;ROW())="","",INDIRECT("brand_form!F"&amp;ROW())))</f>
        <v/>
      </c>
      <c r="L32" s="30" t="str">
        <f aca="true">IF(INDIRECT("brand_form!A"&amp;ROW())="","",IF(INDIRECT("brand_form!M"&amp;ROW())="","",INDIRECT("brand_form!M"&amp;ROW())))</f>
        <v/>
      </c>
      <c r="M3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2" s="30" t="str">
        <f aca="true">IF(INDIRECT("brand_form!A"&amp;ROW())="","",IF(IF(INDIRECT("brand_form!O"&amp;ROW())="","",INDIRECT("brand_form!O"&amp;ROW()))="Yes","Y",IF(IF(INDIRECT("brand_form!O"&amp;ROW())="","",INDIRECT("brand_form!O"&amp;ROW()))="No","N","")))</f>
        <v/>
      </c>
      <c r="O3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30" t="str">
        <f aca="true">IF(INDIRECT("brand_form!A"&amp;ROW())="","",IF(IF(INDIRECT("brand_form!K"&amp;ROW())="","",INDIRECT("brand_form!K"&amp;ROW()))="I do","Y",IF(IF(INDIRECT("brand_form!K"&amp;ROW())="","",INDIRECT("brand_form!K"&amp;ROW()))="Someone else","N","")))</f>
        <v/>
      </c>
      <c r="Q32" s="30" t="str">
        <f aca="true">IF(INDIRECT("brand_form!A"&amp;ROW())="","",IF($P32="Y",$E32&amp;", "&amp;$F32,IF(INDIRECT("brand_form!L"&amp;ROW())="","",INDIRECT("brand_form!L"&amp;ROW()))))</f>
        <v/>
      </c>
      <c r="R32" s="30" t="str">
        <f aca="true">IF(INDIRECT("brand_form!A"&amp;ROW())="","",IF(IF(INDIRECT("brand_form!Q"&amp;ROW())="","",INDIRECT("brand_form!Q"&amp;ROW()))="Yes","Y",IF(IF(INDIRECT("brand_form!Q"&amp;ROW())="","",INDIRECT("brand_form!Q"&amp;ROW()))="No","N",IF(IF(INDIRECT("brand_form!Q"&amp;ROW())="","",INDIRECT("brand_form!Q"&amp;ROW()))="Not sure","unsure",""))))</f>
        <v/>
      </c>
      <c r="S32" s="30" t="str">
        <f aca="true">IF(INDIRECT("brand_form!A"&amp;ROW())="","",IF(IF(INDIRECT("brand_form!R"&amp;ROW())="","",INDIRECT("brand_form!R"&amp;ROW()))="Yes","Y",IF(IF(INDIRECT("brand_form!R"&amp;ROW())="","",INDIRECT("brand_form!R"&amp;ROW()))="No","N",IF(IF(INDIRECT("brand_form!R"&amp;ROW())="","",INDIRECT("brand_form!R"&amp;ROW()))="Not sure","unsure",""))))</f>
        <v/>
      </c>
      <c r="T32" s="30" t="str">
        <f aca="true">IF(INDIRECT("brand_form!A"&amp;ROW())="","",IF(IF(INDIRECT("brand_form!S"&amp;ROW())="","",INDIRECT("brand_form!S"&amp;ROW()))="Yes","Y",IF(IF(INDIRECT("brand_form!S"&amp;ROW())="","",INDIRECT("brand_form!S"&amp;ROW()))="No","N",IF(IF(INDIRECT("brand_form!S"&amp;ROW())="","",INDIRECT("brand_form!S"&amp;ROW()))="Not sure","unsure",""))))</f>
        <v/>
      </c>
      <c r="U32" s="30" t="str">
        <f aca="true">IF(INDIRECT("brand_form!A"&amp;ROW())="","",IF(IF(INDIRECT("brand_form!T"&amp;ROW())="","",INDIRECT("brand_form!T"&amp;ROW()))="Yes","Y",IF(IF(INDIRECT("brand_form!T"&amp;ROW())="","",INDIRECT("brand_form!T"&amp;ROW()))="No","N",IF(IF(INDIRECT("brand_form!T"&amp;ROW())="","",INDIRECT("brand_form!T"&amp;ROW()))="Not sure","unsure",""))))</f>
        <v/>
      </c>
      <c r="V32" s="30" t="str">
        <f aca="true">IF(INDIRECT("brand_form!A"&amp;ROW())="","",IF(IF(INDIRECT("brand_form!U"&amp;ROW())="","",INDIRECT("brand_form!U"&amp;ROW()))="Yes","Y",IF(IF(INDIRECT("brand_form!U"&amp;ROW())="","",INDIRECT("brand_form!U"&amp;ROW()))="No","N",IF(IF(INDIRECT("brand_form!U"&amp;ROW())="","",INDIRECT("brand_form!U"&amp;ROW()))="Not sure","unsure",""))))</f>
        <v/>
      </c>
      <c r="W32" s="30" t="str">
        <f aca="true">IF(INDIRECT("brand_form!A"&amp;ROW())="","",IF(IF(INDIRECT("brand_form!V"&amp;ROW())="","",INDIRECT("brand_form!V"&amp;ROW()))="Yes","Y",IF(IF(INDIRECT("brand_form!V"&amp;ROW())="","",INDIRECT("brand_form!V"&amp;ROW()))="No","N",IF(IF(INDIRECT("brand_form!V"&amp;ROW())="","",INDIRECT("brand_form!V"&amp;ROW()))="Not sure","unsure",""))))</f>
        <v/>
      </c>
      <c r="X32" s="30" t="str">
        <f aca="true">IF(INDIRECT("brand_form!A"&amp;ROW())="","",IF(INDIRECT("brand_form!W"&amp;ROW())="","",INDIRECT("brand_form!W"&amp;ROW())))</f>
        <v/>
      </c>
      <c r="Y32" s="30" t="str">
        <f aca="true">IF(INDIRECT("brand_form!A"&amp;ROW())="","",IF(IF(INDIRECT("brand_form!X"&amp;ROW())="","",INDIRECT("brand_form!X"&amp;ROW()))&lt;&gt;"","Y",""))</f>
        <v/>
      </c>
      <c r="Z32" s="30" t="str">
        <f aca="true">IF(INDIRECT("brand_form!A"&amp;ROW())="","",IF(INDIRECT("brand_form!Y"&amp;ROW())="","",INDIRECT("brand_form!Y"&amp;ROW())))</f>
        <v/>
      </c>
      <c r="AA32" s="30" t="str">
        <f aca="true">IF(INDIRECT("brand_form!A"&amp;ROW())="","","founder")</f>
        <v/>
      </c>
    </row>
    <row r="33" customFormat="false" ht="15" hidden="false" customHeight="false" outlineLevel="0" collapsed="false">
      <c r="A33" s="30" t="str">
        <f aca="true">IF(INDIRECT("brand_form!A"&amp;ROW())="","",TEXT(INDIRECT("brand_form!A"&amp;ROW()),"yyyy-mm-dd""T""hh:mm:ss"))</f>
        <v/>
      </c>
      <c r="B33" s="30" t="str">
        <f aca="true">IF(INDIRECT("brand_form!A"&amp;ROW())="","",config!$B$35)</f>
        <v/>
      </c>
      <c r="C33" s="30" t="str">
        <f aca="true">IF(INDIRECT("brand_form!A"&amp;ROW())="","",IF(INDIRECT("brand_form!B"&amp;ROW())="","",INDIRECT("brand_form!B"&amp;ROW())))</f>
        <v/>
      </c>
      <c r="D3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3" s="30" t="str">
        <f aca="true">IF(INDIRECT("brand_form!A"&amp;ROW())="","",IF(INDIRECT("brand_form!G"&amp;ROW())="","",INDIRECT("brand_form!G"&amp;ROW())))</f>
        <v/>
      </c>
      <c r="F33" s="30" t="str">
        <f aca="true">IF(INDIRECT("brand_form!A"&amp;ROW())="","",IF(INDIRECT("brand_form!H"&amp;ROW())="","",INDIRECT("brand_form!H"&amp;ROW())))</f>
        <v/>
      </c>
      <c r="G33" s="30" t="str">
        <f aca="true">IF(INDIRECT("brand_form!A"&amp;ROW())="","",IF(INDIRECT("brand_form!I"&amp;ROW())="","",INDIRECT("brand_form!I"&amp;ROW())))</f>
        <v/>
      </c>
      <c r="H33" s="30" t="str">
        <f aca="true">IF(INDIRECT("brand_form!A"&amp;ROW())="","",IF(INDIRECT("brand_form!J"&amp;ROW())="","",INDIRECT("brand_form!J"&amp;ROW())))</f>
        <v/>
      </c>
      <c r="I33" s="30" t="str">
        <f aca="true">IF(INDIRECT("brand_form!A"&amp;ROW())="","",IF(INDIRECT("brand_form!D"&amp;ROW())="","",INDIRECT("brand_form!D"&amp;ROW())))</f>
        <v/>
      </c>
      <c r="J3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30" t="str">
        <f aca="true">IF(INDIRECT("brand_form!A"&amp;ROW())="","",IF(INDIRECT("brand_form!F"&amp;ROW())="","",INDIRECT("brand_form!F"&amp;ROW())))</f>
        <v/>
      </c>
      <c r="L33" s="30" t="str">
        <f aca="true">IF(INDIRECT("brand_form!A"&amp;ROW())="","",IF(INDIRECT("brand_form!M"&amp;ROW())="","",INDIRECT("brand_form!M"&amp;ROW())))</f>
        <v/>
      </c>
      <c r="M3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3" s="30" t="str">
        <f aca="true">IF(INDIRECT("brand_form!A"&amp;ROW())="","",IF(IF(INDIRECT("brand_form!O"&amp;ROW())="","",INDIRECT("brand_form!O"&amp;ROW()))="Yes","Y",IF(IF(INDIRECT("brand_form!O"&amp;ROW())="","",INDIRECT("brand_form!O"&amp;ROW()))="No","N","")))</f>
        <v/>
      </c>
      <c r="O3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30" t="str">
        <f aca="true">IF(INDIRECT("brand_form!A"&amp;ROW())="","",IF(IF(INDIRECT("brand_form!K"&amp;ROW())="","",INDIRECT("brand_form!K"&amp;ROW()))="I do","Y",IF(IF(INDIRECT("brand_form!K"&amp;ROW())="","",INDIRECT("brand_form!K"&amp;ROW()))="Someone else","N","")))</f>
        <v/>
      </c>
      <c r="Q33" s="30" t="str">
        <f aca="true">IF(INDIRECT("brand_form!A"&amp;ROW())="","",IF($P33="Y",$E33&amp;", "&amp;$F33,IF(INDIRECT("brand_form!L"&amp;ROW())="","",INDIRECT("brand_form!L"&amp;ROW()))))</f>
        <v/>
      </c>
      <c r="R33" s="30" t="str">
        <f aca="true">IF(INDIRECT("brand_form!A"&amp;ROW())="","",IF(IF(INDIRECT("brand_form!Q"&amp;ROW())="","",INDIRECT("brand_form!Q"&amp;ROW()))="Yes","Y",IF(IF(INDIRECT("brand_form!Q"&amp;ROW())="","",INDIRECT("brand_form!Q"&amp;ROW()))="No","N",IF(IF(INDIRECT("brand_form!Q"&amp;ROW())="","",INDIRECT("brand_form!Q"&amp;ROW()))="Not sure","unsure",""))))</f>
        <v/>
      </c>
      <c r="S33" s="30" t="str">
        <f aca="true">IF(INDIRECT("brand_form!A"&amp;ROW())="","",IF(IF(INDIRECT("brand_form!R"&amp;ROW())="","",INDIRECT("brand_form!R"&amp;ROW()))="Yes","Y",IF(IF(INDIRECT("brand_form!R"&amp;ROW())="","",INDIRECT("brand_form!R"&amp;ROW()))="No","N",IF(IF(INDIRECT("brand_form!R"&amp;ROW())="","",INDIRECT("brand_form!R"&amp;ROW()))="Not sure","unsure",""))))</f>
        <v/>
      </c>
      <c r="T33" s="30" t="str">
        <f aca="true">IF(INDIRECT("brand_form!A"&amp;ROW())="","",IF(IF(INDIRECT("brand_form!S"&amp;ROW())="","",INDIRECT("brand_form!S"&amp;ROW()))="Yes","Y",IF(IF(INDIRECT("brand_form!S"&amp;ROW())="","",INDIRECT("brand_form!S"&amp;ROW()))="No","N",IF(IF(INDIRECT("brand_form!S"&amp;ROW())="","",INDIRECT("brand_form!S"&amp;ROW()))="Not sure","unsure",""))))</f>
        <v/>
      </c>
      <c r="U33" s="30" t="str">
        <f aca="true">IF(INDIRECT("brand_form!A"&amp;ROW())="","",IF(IF(INDIRECT("brand_form!T"&amp;ROW())="","",INDIRECT("brand_form!T"&amp;ROW()))="Yes","Y",IF(IF(INDIRECT("brand_form!T"&amp;ROW())="","",INDIRECT("brand_form!T"&amp;ROW()))="No","N",IF(IF(INDIRECT("brand_form!T"&amp;ROW())="","",INDIRECT("brand_form!T"&amp;ROW()))="Not sure","unsure",""))))</f>
        <v/>
      </c>
      <c r="V33" s="30" t="str">
        <f aca="true">IF(INDIRECT("brand_form!A"&amp;ROW())="","",IF(IF(INDIRECT("brand_form!U"&amp;ROW())="","",INDIRECT("brand_form!U"&amp;ROW()))="Yes","Y",IF(IF(INDIRECT("brand_form!U"&amp;ROW())="","",INDIRECT("brand_form!U"&amp;ROW()))="No","N",IF(IF(INDIRECT("brand_form!U"&amp;ROW())="","",INDIRECT("brand_form!U"&amp;ROW()))="Not sure","unsure",""))))</f>
        <v/>
      </c>
      <c r="W33" s="30" t="str">
        <f aca="true">IF(INDIRECT("brand_form!A"&amp;ROW())="","",IF(IF(INDIRECT("brand_form!V"&amp;ROW())="","",INDIRECT("brand_form!V"&amp;ROW()))="Yes","Y",IF(IF(INDIRECT("brand_form!V"&amp;ROW())="","",INDIRECT("brand_form!V"&amp;ROW()))="No","N",IF(IF(INDIRECT("brand_form!V"&amp;ROW())="","",INDIRECT("brand_form!V"&amp;ROW()))="Not sure","unsure",""))))</f>
        <v/>
      </c>
      <c r="X33" s="30" t="str">
        <f aca="true">IF(INDIRECT("brand_form!A"&amp;ROW())="","",IF(INDIRECT("brand_form!W"&amp;ROW())="","",INDIRECT("brand_form!W"&amp;ROW())))</f>
        <v/>
      </c>
      <c r="Y33" s="30" t="str">
        <f aca="true">IF(INDIRECT("brand_form!A"&amp;ROW())="","",IF(IF(INDIRECT("brand_form!X"&amp;ROW())="","",INDIRECT("brand_form!X"&amp;ROW()))&lt;&gt;"","Y",""))</f>
        <v/>
      </c>
      <c r="Z33" s="30" t="str">
        <f aca="true">IF(INDIRECT("brand_form!A"&amp;ROW())="","",IF(INDIRECT("brand_form!Y"&amp;ROW())="","",INDIRECT("brand_form!Y"&amp;ROW())))</f>
        <v/>
      </c>
      <c r="AA33" s="30" t="str">
        <f aca="true">IF(INDIRECT("brand_form!A"&amp;ROW())="","","founder")</f>
        <v/>
      </c>
    </row>
    <row r="34" customFormat="false" ht="15" hidden="false" customHeight="false" outlineLevel="0" collapsed="false">
      <c r="A34" s="30" t="str">
        <f aca="true">IF(INDIRECT("brand_form!A"&amp;ROW())="","",TEXT(INDIRECT("brand_form!A"&amp;ROW()),"yyyy-mm-dd""T""hh:mm:ss"))</f>
        <v/>
      </c>
      <c r="B34" s="30" t="str">
        <f aca="true">IF(INDIRECT("brand_form!A"&amp;ROW())="","",config!$B$35)</f>
        <v/>
      </c>
      <c r="C34" s="30" t="str">
        <f aca="true">IF(INDIRECT("brand_form!A"&amp;ROW())="","",IF(INDIRECT("brand_form!B"&amp;ROW())="","",INDIRECT("brand_form!B"&amp;ROW())))</f>
        <v/>
      </c>
      <c r="D3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4" s="30" t="str">
        <f aca="true">IF(INDIRECT("brand_form!A"&amp;ROW())="","",IF(INDIRECT("brand_form!G"&amp;ROW())="","",INDIRECT("brand_form!G"&amp;ROW())))</f>
        <v/>
      </c>
      <c r="F34" s="30" t="str">
        <f aca="true">IF(INDIRECT("brand_form!A"&amp;ROW())="","",IF(INDIRECT("brand_form!H"&amp;ROW())="","",INDIRECT("brand_form!H"&amp;ROW())))</f>
        <v/>
      </c>
      <c r="G34" s="30" t="str">
        <f aca="true">IF(INDIRECT("brand_form!A"&amp;ROW())="","",IF(INDIRECT("brand_form!I"&amp;ROW())="","",INDIRECT("brand_form!I"&amp;ROW())))</f>
        <v/>
      </c>
      <c r="H34" s="30" t="str">
        <f aca="true">IF(INDIRECT("brand_form!A"&amp;ROW())="","",IF(INDIRECT("brand_form!J"&amp;ROW())="","",INDIRECT("brand_form!J"&amp;ROW())))</f>
        <v/>
      </c>
      <c r="I34" s="30" t="str">
        <f aca="true">IF(INDIRECT("brand_form!A"&amp;ROW())="","",IF(INDIRECT("brand_form!D"&amp;ROW())="","",INDIRECT("brand_form!D"&amp;ROW())))</f>
        <v/>
      </c>
      <c r="J3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30" t="str">
        <f aca="true">IF(INDIRECT("brand_form!A"&amp;ROW())="","",IF(INDIRECT("brand_form!F"&amp;ROW())="","",INDIRECT("brand_form!F"&amp;ROW())))</f>
        <v/>
      </c>
      <c r="L34" s="30" t="str">
        <f aca="true">IF(INDIRECT("brand_form!A"&amp;ROW())="","",IF(INDIRECT("brand_form!M"&amp;ROW())="","",INDIRECT("brand_form!M"&amp;ROW())))</f>
        <v/>
      </c>
      <c r="M3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4" s="30" t="str">
        <f aca="true">IF(INDIRECT("brand_form!A"&amp;ROW())="","",IF(IF(INDIRECT("brand_form!O"&amp;ROW())="","",INDIRECT("brand_form!O"&amp;ROW()))="Yes","Y",IF(IF(INDIRECT("brand_form!O"&amp;ROW())="","",INDIRECT("brand_form!O"&amp;ROW()))="No","N","")))</f>
        <v/>
      </c>
      <c r="O3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30" t="str">
        <f aca="true">IF(INDIRECT("brand_form!A"&amp;ROW())="","",IF(IF(INDIRECT("brand_form!K"&amp;ROW())="","",INDIRECT("brand_form!K"&amp;ROW()))="I do","Y",IF(IF(INDIRECT("brand_form!K"&amp;ROW())="","",INDIRECT("brand_form!K"&amp;ROW()))="Someone else","N","")))</f>
        <v/>
      </c>
      <c r="Q34" s="30" t="str">
        <f aca="true">IF(INDIRECT("brand_form!A"&amp;ROW())="","",IF($P34="Y",$E34&amp;", "&amp;$F34,IF(INDIRECT("brand_form!L"&amp;ROW())="","",INDIRECT("brand_form!L"&amp;ROW()))))</f>
        <v/>
      </c>
      <c r="R34" s="30" t="str">
        <f aca="true">IF(INDIRECT("brand_form!A"&amp;ROW())="","",IF(IF(INDIRECT("brand_form!Q"&amp;ROW())="","",INDIRECT("brand_form!Q"&amp;ROW()))="Yes","Y",IF(IF(INDIRECT("brand_form!Q"&amp;ROW())="","",INDIRECT("brand_form!Q"&amp;ROW()))="No","N",IF(IF(INDIRECT("brand_form!Q"&amp;ROW())="","",INDIRECT("brand_form!Q"&amp;ROW()))="Not sure","unsure",""))))</f>
        <v/>
      </c>
      <c r="S34" s="30" t="str">
        <f aca="true">IF(INDIRECT("brand_form!A"&amp;ROW())="","",IF(IF(INDIRECT("brand_form!R"&amp;ROW())="","",INDIRECT("brand_form!R"&amp;ROW()))="Yes","Y",IF(IF(INDIRECT("brand_form!R"&amp;ROW())="","",INDIRECT("brand_form!R"&amp;ROW()))="No","N",IF(IF(INDIRECT("brand_form!R"&amp;ROW())="","",INDIRECT("brand_form!R"&amp;ROW()))="Not sure","unsure",""))))</f>
        <v/>
      </c>
      <c r="T34" s="30" t="str">
        <f aca="true">IF(INDIRECT("brand_form!A"&amp;ROW())="","",IF(IF(INDIRECT("brand_form!S"&amp;ROW())="","",INDIRECT("brand_form!S"&amp;ROW()))="Yes","Y",IF(IF(INDIRECT("brand_form!S"&amp;ROW())="","",INDIRECT("brand_form!S"&amp;ROW()))="No","N",IF(IF(INDIRECT("brand_form!S"&amp;ROW())="","",INDIRECT("brand_form!S"&amp;ROW()))="Not sure","unsure",""))))</f>
        <v/>
      </c>
      <c r="U34" s="30" t="str">
        <f aca="true">IF(INDIRECT("brand_form!A"&amp;ROW())="","",IF(IF(INDIRECT("brand_form!T"&amp;ROW())="","",INDIRECT("brand_form!T"&amp;ROW()))="Yes","Y",IF(IF(INDIRECT("brand_form!T"&amp;ROW())="","",INDIRECT("brand_form!T"&amp;ROW()))="No","N",IF(IF(INDIRECT("brand_form!T"&amp;ROW())="","",INDIRECT("brand_form!T"&amp;ROW()))="Not sure","unsure",""))))</f>
        <v/>
      </c>
      <c r="V34" s="30" t="str">
        <f aca="true">IF(INDIRECT("brand_form!A"&amp;ROW())="","",IF(IF(INDIRECT("brand_form!U"&amp;ROW())="","",INDIRECT("brand_form!U"&amp;ROW()))="Yes","Y",IF(IF(INDIRECT("brand_form!U"&amp;ROW())="","",INDIRECT("brand_form!U"&amp;ROW()))="No","N",IF(IF(INDIRECT("brand_form!U"&amp;ROW())="","",INDIRECT("brand_form!U"&amp;ROW()))="Not sure","unsure",""))))</f>
        <v/>
      </c>
      <c r="W34" s="30" t="str">
        <f aca="true">IF(INDIRECT("brand_form!A"&amp;ROW())="","",IF(IF(INDIRECT("brand_form!V"&amp;ROW())="","",INDIRECT("brand_form!V"&amp;ROW()))="Yes","Y",IF(IF(INDIRECT("brand_form!V"&amp;ROW())="","",INDIRECT("brand_form!V"&amp;ROW()))="No","N",IF(IF(INDIRECT("brand_form!V"&amp;ROW())="","",INDIRECT("brand_form!V"&amp;ROW()))="Not sure","unsure",""))))</f>
        <v/>
      </c>
      <c r="X34" s="30" t="str">
        <f aca="true">IF(INDIRECT("brand_form!A"&amp;ROW())="","",IF(INDIRECT("brand_form!W"&amp;ROW())="","",INDIRECT("brand_form!W"&amp;ROW())))</f>
        <v/>
      </c>
      <c r="Y34" s="30" t="str">
        <f aca="true">IF(INDIRECT("brand_form!A"&amp;ROW())="","",IF(IF(INDIRECT("brand_form!X"&amp;ROW())="","",INDIRECT("brand_form!X"&amp;ROW()))&lt;&gt;"","Y",""))</f>
        <v/>
      </c>
      <c r="Z34" s="30" t="str">
        <f aca="true">IF(INDIRECT("brand_form!A"&amp;ROW())="","",IF(INDIRECT("brand_form!Y"&amp;ROW())="","",INDIRECT("brand_form!Y"&amp;ROW())))</f>
        <v/>
      </c>
      <c r="AA34" s="30" t="str">
        <f aca="true">IF(INDIRECT("brand_form!A"&amp;ROW())="","","founder")</f>
        <v/>
      </c>
    </row>
    <row r="35" customFormat="false" ht="15" hidden="false" customHeight="false" outlineLevel="0" collapsed="false">
      <c r="A35" s="30" t="str">
        <f aca="true">IF(INDIRECT("brand_form!A"&amp;ROW())="","",TEXT(INDIRECT("brand_form!A"&amp;ROW()),"yyyy-mm-dd""T""hh:mm:ss"))</f>
        <v/>
      </c>
      <c r="B35" s="30" t="str">
        <f aca="true">IF(INDIRECT("brand_form!A"&amp;ROW())="","",config!$B$35)</f>
        <v/>
      </c>
      <c r="C35" s="30" t="str">
        <f aca="true">IF(INDIRECT("brand_form!A"&amp;ROW())="","",IF(INDIRECT("brand_form!B"&amp;ROW())="","",INDIRECT("brand_form!B"&amp;ROW())))</f>
        <v/>
      </c>
      <c r="D3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5" s="30" t="str">
        <f aca="true">IF(INDIRECT("brand_form!A"&amp;ROW())="","",IF(INDIRECT("brand_form!G"&amp;ROW())="","",INDIRECT("brand_form!G"&amp;ROW())))</f>
        <v/>
      </c>
      <c r="F35" s="30" t="str">
        <f aca="true">IF(INDIRECT("brand_form!A"&amp;ROW())="","",IF(INDIRECT("brand_form!H"&amp;ROW())="","",INDIRECT("brand_form!H"&amp;ROW())))</f>
        <v/>
      </c>
      <c r="G35" s="30" t="str">
        <f aca="true">IF(INDIRECT("brand_form!A"&amp;ROW())="","",IF(INDIRECT("brand_form!I"&amp;ROW())="","",INDIRECT("brand_form!I"&amp;ROW())))</f>
        <v/>
      </c>
      <c r="H35" s="30" t="str">
        <f aca="true">IF(INDIRECT("brand_form!A"&amp;ROW())="","",IF(INDIRECT("brand_form!J"&amp;ROW())="","",INDIRECT("brand_form!J"&amp;ROW())))</f>
        <v/>
      </c>
      <c r="I35" s="30" t="str">
        <f aca="true">IF(INDIRECT("brand_form!A"&amp;ROW())="","",IF(INDIRECT("brand_form!D"&amp;ROW())="","",INDIRECT("brand_form!D"&amp;ROW())))</f>
        <v/>
      </c>
      <c r="J3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30" t="str">
        <f aca="true">IF(INDIRECT("brand_form!A"&amp;ROW())="","",IF(INDIRECT("brand_form!F"&amp;ROW())="","",INDIRECT("brand_form!F"&amp;ROW())))</f>
        <v/>
      </c>
      <c r="L35" s="30" t="str">
        <f aca="true">IF(INDIRECT("brand_form!A"&amp;ROW())="","",IF(INDIRECT("brand_form!M"&amp;ROW())="","",INDIRECT("brand_form!M"&amp;ROW())))</f>
        <v/>
      </c>
      <c r="M3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5" s="30" t="str">
        <f aca="true">IF(INDIRECT("brand_form!A"&amp;ROW())="","",IF(IF(INDIRECT("brand_form!O"&amp;ROW())="","",INDIRECT("brand_form!O"&amp;ROW()))="Yes","Y",IF(IF(INDIRECT("brand_form!O"&amp;ROW())="","",INDIRECT("brand_form!O"&amp;ROW()))="No","N","")))</f>
        <v/>
      </c>
      <c r="O3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30" t="str">
        <f aca="true">IF(INDIRECT("brand_form!A"&amp;ROW())="","",IF(IF(INDIRECT("brand_form!K"&amp;ROW())="","",INDIRECT("brand_form!K"&amp;ROW()))="I do","Y",IF(IF(INDIRECT("brand_form!K"&amp;ROW())="","",INDIRECT("brand_form!K"&amp;ROW()))="Someone else","N","")))</f>
        <v/>
      </c>
      <c r="Q35" s="30" t="str">
        <f aca="true">IF(INDIRECT("brand_form!A"&amp;ROW())="","",IF($P35="Y",$E35&amp;", "&amp;$F35,IF(INDIRECT("brand_form!L"&amp;ROW())="","",INDIRECT("brand_form!L"&amp;ROW()))))</f>
        <v/>
      </c>
      <c r="R35" s="30" t="str">
        <f aca="true">IF(INDIRECT("brand_form!A"&amp;ROW())="","",IF(IF(INDIRECT("brand_form!Q"&amp;ROW())="","",INDIRECT("brand_form!Q"&amp;ROW()))="Yes","Y",IF(IF(INDIRECT("brand_form!Q"&amp;ROW())="","",INDIRECT("brand_form!Q"&amp;ROW()))="No","N",IF(IF(INDIRECT("brand_form!Q"&amp;ROW())="","",INDIRECT("brand_form!Q"&amp;ROW()))="Not sure","unsure",""))))</f>
        <v/>
      </c>
      <c r="S35" s="30" t="str">
        <f aca="true">IF(INDIRECT("brand_form!A"&amp;ROW())="","",IF(IF(INDIRECT("brand_form!R"&amp;ROW())="","",INDIRECT("brand_form!R"&amp;ROW()))="Yes","Y",IF(IF(INDIRECT("brand_form!R"&amp;ROW())="","",INDIRECT("brand_form!R"&amp;ROW()))="No","N",IF(IF(INDIRECT("brand_form!R"&amp;ROW())="","",INDIRECT("brand_form!R"&amp;ROW()))="Not sure","unsure",""))))</f>
        <v/>
      </c>
      <c r="T35" s="30" t="str">
        <f aca="true">IF(INDIRECT("brand_form!A"&amp;ROW())="","",IF(IF(INDIRECT("brand_form!S"&amp;ROW())="","",INDIRECT("brand_form!S"&amp;ROW()))="Yes","Y",IF(IF(INDIRECT("brand_form!S"&amp;ROW())="","",INDIRECT("brand_form!S"&amp;ROW()))="No","N",IF(IF(INDIRECT("brand_form!S"&amp;ROW())="","",INDIRECT("brand_form!S"&amp;ROW()))="Not sure","unsure",""))))</f>
        <v/>
      </c>
      <c r="U35" s="30" t="str">
        <f aca="true">IF(INDIRECT("brand_form!A"&amp;ROW())="","",IF(IF(INDIRECT("brand_form!T"&amp;ROW())="","",INDIRECT("brand_form!T"&amp;ROW()))="Yes","Y",IF(IF(INDIRECT("brand_form!T"&amp;ROW())="","",INDIRECT("brand_form!T"&amp;ROW()))="No","N",IF(IF(INDIRECT("brand_form!T"&amp;ROW())="","",INDIRECT("brand_form!T"&amp;ROW()))="Not sure","unsure",""))))</f>
        <v/>
      </c>
      <c r="V35" s="30" t="str">
        <f aca="true">IF(INDIRECT("brand_form!A"&amp;ROW())="","",IF(IF(INDIRECT("brand_form!U"&amp;ROW())="","",INDIRECT("brand_form!U"&amp;ROW()))="Yes","Y",IF(IF(INDIRECT("brand_form!U"&amp;ROW())="","",INDIRECT("brand_form!U"&amp;ROW()))="No","N",IF(IF(INDIRECT("brand_form!U"&amp;ROW())="","",INDIRECT("brand_form!U"&amp;ROW()))="Not sure","unsure",""))))</f>
        <v/>
      </c>
      <c r="W35" s="30" t="str">
        <f aca="true">IF(INDIRECT("brand_form!A"&amp;ROW())="","",IF(IF(INDIRECT("brand_form!V"&amp;ROW())="","",INDIRECT("brand_form!V"&amp;ROW()))="Yes","Y",IF(IF(INDIRECT("brand_form!V"&amp;ROW())="","",INDIRECT("brand_form!V"&amp;ROW()))="No","N",IF(IF(INDIRECT("brand_form!V"&amp;ROW())="","",INDIRECT("brand_form!V"&amp;ROW()))="Not sure","unsure",""))))</f>
        <v/>
      </c>
      <c r="X35" s="30" t="str">
        <f aca="true">IF(INDIRECT("brand_form!A"&amp;ROW())="","",IF(INDIRECT("brand_form!W"&amp;ROW())="","",INDIRECT("brand_form!W"&amp;ROW())))</f>
        <v/>
      </c>
      <c r="Y35" s="30" t="str">
        <f aca="true">IF(INDIRECT("brand_form!A"&amp;ROW())="","",IF(IF(INDIRECT("brand_form!X"&amp;ROW())="","",INDIRECT("brand_form!X"&amp;ROW()))&lt;&gt;"","Y",""))</f>
        <v/>
      </c>
      <c r="Z35" s="30" t="str">
        <f aca="true">IF(INDIRECT("brand_form!A"&amp;ROW())="","",IF(INDIRECT("brand_form!Y"&amp;ROW())="","",INDIRECT("brand_form!Y"&amp;ROW())))</f>
        <v/>
      </c>
      <c r="AA35" s="30" t="str">
        <f aca="true">IF(INDIRECT("brand_form!A"&amp;ROW())="","","founder")</f>
        <v/>
      </c>
    </row>
    <row r="36" customFormat="false" ht="15" hidden="false" customHeight="false" outlineLevel="0" collapsed="false">
      <c r="A36" s="30" t="str">
        <f aca="true">IF(INDIRECT("brand_form!A"&amp;ROW())="","",TEXT(INDIRECT("brand_form!A"&amp;ROW()),"yyyy-mm-dd""T""hh:mm:ss"))</f>
        <v/>
      </c>
      <c r="B36" s="30" t="str">
        <f aca="true">IF(INDIRECT("brand_form!A"&amp;ROW())="","",config!$B$35)</f>
        <v/>
      </c>
      <c r="C36" s="30" t="str">
        <f aca="true">IF(INDIRECT("brand_form!A"&amp;ROW())="","",IF(INDIRECT("brand_form!B"&amp;ROW())="","",INDIRECT("brand_form!B"&amp;ROW())))</f>
        <v/>
      </c>
      <c r="D3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6" s="30" t="str">
        <f aca="true">IF(INDIRECT("brand_form!A"&amp;ROW())="","",IF(INDIRECT("brand_form!G"&amp;ROW())="","",INDIRECT("brand_form!G"&amp;ROW())))</f>
        <v/>
      </c>
      <c r="F36" s="30" t="str">
        <f aca="true">IF(INDIRECT("brand_form!A"&amp;ROW())="","",IF(INDIRECT("brand_form!H"&amp;ROW())="","",INDIRECT("brand_form!H"&amp;ROW())))</f>
        <v/>
      </c>
      <c r="G36" s="30" t="str">
        <f aca="true">IF(INDIRECT("brand_form!A"&amp;ROW())="","",IF(INDIRECT("brand_form!I"&amp;ROW())="","",INDIRECT("brand_form!I"&amp;ROW())))</f>
        <v/>
      </c>
      <c r="H36" s="30" t="str">
        <f aca="true">IF(INDIRECT("brand_form!A"&amp;ROW())="","",IF(INDIRECT("brand_form!J"&amp;ROW())="","",INDIRECT("brand_form!J"&amp;ROW())))</f>
        <v/>
      </c>
      <c r="I36" s="30" t="str">
        <f aca="true">IF(INDIRECT("brand_form!A"&amp;ROW())="","",IF(INDIRECT("brand_form!D"&amp;ROW())="","",INDIRECT("brand_form!D"&amp;ROW())))</f>
        <v/>
      </c>
      <c r="J3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30" t="str">
        <f aca="true">IF(INDIRECT("brand_form!A"&amp;ROW())="","",IF(INDIRECT("brand_form!F"&amp;ROW())="","",INDIRECT("brand_form!F"&amp;ROW())))</f>
        <v/>
      </c>
      <c r="L36" s="30" t="str">
        <f aca="true">IF(INDIRECT("brand_form!A"&amp;ROW())="","",IF(INDIRECT("brand_form!M"&amp;ROW())="","",INDIRECT("brand_form!M"&amp;ROW())))</f>
        <v/>
      </c>
      <c r="M3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6" s="30" t="str">
        <f aca="true">IF(INDIRECT("brand_form!A"&amp;ROW())="","",IF(IF(INDIRECT("brand_form!O"&amp;ROW())="","",INDIRECT("brand_form!O"&amp;ROW()))="Yes","Y",IF(IF(INDIRECT("brand_form!O"&amp;ROW())="","",INDIRECT("brand_form!O"&amp;ROW()))="No","N","")))</f>
        <v/>
      </c>
      <c r="O3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30" t="str">
        <f aca="true">IF(INDIRECT("brand_form!A"&amp;ROW())="","",IF(IF(INDIRECT("brand_form!K"&amp;ROW())="","",INDIRECT("brand_form!K"&amp;ROW()))="I do","Y",IF(IF(INDIRECT("brand_form!K"&amp;ROW())="","",INDIRECT("brand_form!K"&amp;ROW()))="Someone else","N","")))</f>
        <v/>
      </c>
      <c r="Q36" s="30" t="str">
        <f aca="true">IF(INDIRECT("brand_form!A"&amp;ROW())="","",IF($P36="Y",$E36&amp;", "&amp;$F36,IF(INDIRECT("brand_form!L"&amp;ROW())="","",INDIRECT("brand_form!L"&amp;ROW()))))</f>
        <v/>
      </c>
      <c r="R36" s="30" t="str">
        <f aca="true">IF(INDIRECT("brand_form!A"&amp;ROW())="","",IF(IF(INDIRECT("brand_form!Q"&amp;ROW())="","",INDIRECT("brand_form!Q"&amp;ROW()))="Yes","Y",IF(IF(INDIRECT("brand_form!Q"&amp;ROW())="","",INDIRECT("brand_form!Q"&amp;ROW()))="No","N",IF(IF(INDIRECT("brand_form!Q"&amp;ROW())="","",INDIRECT("brand_form!Q"&amp;ROW()))="Not sure","unsure",""))))</f>
        <v/>
      </c>
      <c r="S36" s="30" t="str">
        <f aca="true">IF(INDIRECT("brand_form!A"&amp;ROW())="","",IF(IF(INDIRECT("brand_form!R"&amp;ROW())="","",INDIRECT("brand_form!R"&amp;ROW()))="Yes","Y",IF(IF(INDIRECT("brand_form!R"&amp;ROW())="","",INDIRECT("brand_form!R"&amp;ROW()))="No","N",IF(IF(INDIRECT("brand_form!R"&amp;ROW())="","",INDIRECT("brand_form!R"&amp;ROW()))="Not sure","unsure",""))))</f>
        <v/>
      </c>
      <c r="T36" s="30" t="str">
        <f aca="true">IF(INDIRECT("brand_form!A"&amp;ROW())="","",IF(IF(INDIRECT("brand_form!S"&amp;ROW())="","",INDIRECT("brand_form!S"&amp;ROW()))="Yes","Y",IF(IF(INDIRECT("brand_form!S"&amp;ROW())="","",INDIRECT("brand_form!S"&amp;ROW()))="No","N",IF(IF(INDIRECT("brand_form!S"&amp;ROW())="","",INDIRECT("brand_form!S"&amp;ROW()))="Not sure","unsure",""))))</f>
        <v/>
      </c>
      <c r="U36" s="30" t="str">
        <f aca="true">IF(INDIRECT("brand_form!A"&amp;ROW())="","",IF(IF(INDIRECT("brand_form!T"&amp;ROW())="","",INDIRECT("brand_form!T"&amp;ROW()))="Yes","Y",IF(IF(INDIRECT("brand_form!T"&amp;ROW())="","",INDIRECT("brand_form!T"&amp;ROW()))="No","N",IF(IF(INDIRECT("brand_form!T"&amp;ROW())="","",INDIRECT("brand_form!T"&amp;ROW()))="Not sure","unsure",""))))</f>
        <v/>
      </c>
      <c r="V36" s="30" t="str">
        <f aca="true">IF(INDIRECT("brand_form!A"&amp;ROW())="","",IF(IF(INDIRECT("brand_form!U"&amp;ROW())="","",INDIRECT("brand_form!U"&amp;ROW()))="Yes","Y",IF(IF(INDIRECT("brand_form!U"&amp;ROW())="","",INDIRECT("brand_form!U"&amp;ROW()))="No","N",IF(IF(INDIRECT("brand_form!U"&amp;ROW())="","",INDIRECT("brand_form!U"&amp;ROW()))="Not sure","unsure",""))))</f>
        <v/>
      </c>
      <c r="W36" s="30" t="str">
        <f aca="true">IF(INDIRECT("brand_form!A"&amp;ROW())="","",IF(IF(INDIRECT("brand_form!V"&amp;ROW())="","",INDIRECT("brand_form!V"&amp;ROW()))="Yes","Y",IF(IF(INDIRECT("brand_form!V"&amp;ROW())="","",INDIRECT("brand_form!V"&amp;ROW()))="No","N",IF(IF(INDIRECT("brand_form!V"&amp;ROW())="","",INDIRECT("brand_form!V"&amp;ROW()))="Not sure","unsure",""))))</f>
        <v/>
      </c>
      <c r="X36" s="30" t="str">
        <f aca="true">IF(INDIRECT("brand_form!A"&amp;ROW())="","",IF(INDIRECT("brand_form!W"&amp;ROW())="","",INDIRECT("brand_form!W"&amp;ROW())))</f>
        <v/>
      </c>
      <c r="Y36" s="30" t="str">
        <f aca="true">IF(INDIRECT("brand_form!A"&amp;ROW())="","",IF(IF(INDIRECT("brand_form!X"&amp;ROW())="","",INDIRECT("brand_form!X"&amp;ROW()))&lt;&gt;"","Y",""))</f>
        <v/>
      </c>
      <c r="Z36" s="30" t="str">
        <f aca="true">IF(INDIRECT("brand_form!A"&amp;ROW())="","",IF(INDIRECT("brand_form!Y"&amp;ROW())="","",INDIRECT("brand_form!Y"&amp;ROW())))</f>
        <v/>
      </c>
      <c r="AA36" s="30" t="str">
        <f aca="true">IF(INDIRECT("brand_form!A"&amp;ROW())="","","founder")</f>
        <v/>
      </c>
    </row>
    <row r="37" customFormat="false" ht="15" hidden="false" customHeight="false" outlineLevel="0" collapsed="false">
      <c r="A37" s="30" t="str">
        <f aca="true">IF(INDIRECT("brand_form!A"&amp;ROW())="","",TEXT(INDIRECT("brand_form!A"&amp;ROW()),"yyyy-mm-dd""T""hh:mm:ss"))</f>
        <v/>
      </c>
      <c r="B37" s="30" t="str">
        <f aca="true">IF(INDIRECT("brand_form!A"&amp;ROW())="","",config!$B$35)</f>
        <v/>
      </c>
      <c r="C37" s="30" t="str">
        <f aca="true">IF(INDIRECT("brand_form!A"&amp;ROW())="","",IF(INDIRECT("brand_form!B"&amp;ROW())="","",INDIRECT("brand_form!B"&amp;ROW())))</f>
        <v/>
      </c>
      <c r="D3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7" s="30" t="str">
        <f aca="true">IF(INDIRECT("brand_form!A"&amp;ROW())="","",IF(INDIRECT("brand_form!G"&amp;ROW())="","",INDIRECT("brand_form!G"&amp;ROW())))</f>
        <v/>
      </c>
      <c r="F37" s="30" t="str">
        <f aca="true">IF(INDIRECT("brand_form!A"&amp;ROW())="","",IF(INDIRECT("brand_form!H"&amp;ROW())="","",INDIRECT("brand_form!H"&amp;ROW())))</f>
        <v/>
      </c>
      <c r="G37" s="30" t="str">
        <f aca="true">IF(INDIRECT("brand_form!A"&amp;ROW())="","",IF(INDIRECT("brand_form!I"&amp;ROW())="","",INDIRECT("brand_form!I"&amp;ROW())))</f>
        <v/>
      </c>
      <c r="H37" s="30" t="str">
        <f aca="true">IF(INDIRECT("brand_form!A"&amp;ROW())="","",IF(INDIRECT("brand_form!J"&amp;ROW())="","",INDIRECT("brand_form!J"&amp;ROW())))</f>
        <v/>
      </c>
      <c r="I37" s="30" t="str">
        <f aca="true">IF(INDIRECT("brand_form!A"&amp;ROW())="","",IF(INDIRECT("brand_form!D"&amp;ROW())="","",INDIRECT("brand_form!D"&amp;ROW())))</f>
        <v/>
      </c>
      <c r="J3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30" t="str">
        <f aca="true">IF(INDIRECT("brand_form!A"&amp;ROW())="","",IF(INDIRECT("brand_form!F"&amp;ROW())="","",INDIRECT("brand_form!F"&amp;ROW())))</f>
        <v/>
      </c>
      <c r="L37" s="30" t="str">
        <f aca="true">IF(INDIRECT("brand_form!A"&amp;ROW())="","",IF(INDIRECT("brand_form!M"&amp;ROW())="","",INDIRECT("brand_form!M"&amp;ROW())))</f>
        <v/>
      </c>
      <c r="M3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7" s="30" t="str">
        <f aca="true">IF(INDIRECT("brand_form!A"&amp;ROW())="","",IF(IF(INDIRECT("brand_form!O"&amp;ROW())="","",INDIRECT("brand_form!O"&amp;ROW()))="Yes","Y",IF(IF(INDIRECT("brand_form!O"&amp;ROW())="","",INDIRECT("brand_form!O"&amp;ROW()))="No","N","")))</f>
        <v/>
      </c>
      <c r="O3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30" t="str">
        <f aca="true">IF(INDIRECT("brand_form!A"&amp;ROW())="","",IF(IF(INDIRECT("brand_form!K"&amp;ROW())="","",INDIRECT("brand_form!K"&amp;ROW()))="I do","Y",IF(IF(INDIRECT("brand_form!K"&amp;ROW())="","",INDIRECT("brand_form!K"&amp;ROW()))="Someone else","N","")))</f>
        <v/>
      </c>
      <c r="Q37" s="30" t="str">
        <f aca="true">IF(INDIRECT("brand_form!A"&amp;ROW())="","",IF($P37="Y",$E37&amp;", "&amp;$F37,IF(INDIRECT("brand_form!L"&amp;ROW())="","",INDIRECT("brand_form!L"&amp;ROW()))))</f>
        <v/>
      </c>
      <c r="R37" s="30" t="str">
        <f aca="true">IF(INDIRECT("brand_form!A"&amp;ROW())="","",IF(IF(INDIRECT("brand_form!Q"&amp;ROW())="","",INDIRECT("brand_form!Q"&amp;ROW()))="Yes","Y",IF(IF(INDIRECT("brand_form!Q"&amp;ROW())="","",INDIRECT("brand_form!Q"&amp;ROW()))="No","N",IF(IF(INDIRECT("brand_form!Q"&amp;ROW())="","",INDIRECT("brand_form!Q"&amp;ROW()))="Not sure","unsure",""))))</f>
        <v/>
      </c>
      <c r="S37" s="30" t="str">
        <f aca="true">IF(INDIRECT("brand_form!A"&amp;ROW())="","",IF(IF(INDIRECT("brand_form!R"&amp;ROW())="","",INDIRECT("brand_form!R"&amp;ROW()))="Yes","Y",IF(IF(INDIRECT("brand_form!R"&amp;ROW())="","",INDIRECT("brand_form!R"&amp;ROW()))="No","N",IF(IF(INDIRECT("brand_form!R"&amp;ROW())="","",INDIRECT("brand_form!R"&amp;ROW()))="Not sure","unsure",""))))</f>
        <v/>
      </c>
      <c r="T37" s="30" t="str">
        <f aca="true">IF(INDIRECT("brand_form!A"&amp;ROW())="","",IF(IF(INDIRECT("brand_form!S"&amp;ROW())="","",INDIRECT("brand_form!S"&amp;ROW()))="Yes","Y",IF(IF(INDIRECT("brand_form!S"&amp;ROW())="","",INDIRECT("brand_form!S"&amp;ROW()))="No","N",IF(IF(INDIRECT("brand_form!S"&amp;ROW())="","",INDIRECT("brand_form!S"&amp;ROW()))="Not sure","unsure",""))))</f>
        <v/>
      </c>
      <c r="U37" s="30" t="str">
        <f aca="true">IF(INDIRECT("brand_form!A"&amp;ROW())="","",IF(IF(INDIRECT("brand_form!T"&amp;ROW())="","",INDIRECT("brand_form!T"&amp;ROW()))="Yes","Y",IF(IF(INDIRECT("brand_form!T"&amp;ROW())="","",INDIRECT("brand_form!T"&amp;ROW()))="No","N",IF(IF(INDIRECT("brand_form!T"&amp;ROW())="","",INDIRECT("brand_form!T"&amp;ROW()))="Not sure","unsure",""))))</f>
        <v/>
      </c>
      <c r="V37" s="30" t="str">
        <f aca="true">IF(INDIRECT("brand_form!A"&amp;ROW())="","",IF(IF(INDIRECT("brand_form!U"&amp;ROW())="","",INDIRECT("brand_form!U"&amp;ROW()))="Yes","Y",IF(IF(INDIRECT("brand_form!U"&amp;ROW())="","",INDIRECT("brand_form!U"&amp;ROW()))="No","N",IF(IF(INDIRECT("brand_form!U"&amp;ROW())="","",INDIRECT("brand_form!U"&amp;ROW()))="Not sure","unsure",""))))</f>
        <v/>
      </c>
      <c r="W37" s="30" t="str">
        <f aca="true">IF(INDIRECT("brand_form!A"&amp;ROW())="","",IF(IF(INDIRECT("brand_form!V"&amp;ROW())="","",INDIRECT("brand_form!V"&amp;ROW()))="Yes","Y",IF(IF(INDIRECT("brand_form!V"&amp;ROW())="","",INDIRECT("brand_form!V"&amp;ROW()))="No","N",IF(IF(INDIRECT("brand_form!V"&amp;ROW())="","",INDIRECT("brand_form!V"&amp;ROW()))="Not sure","unsure",""))))</f>
        <v/>
      </c>
      <c r="X37" s="30" t="str">
        <f aca="true">IF(INDIRECT("brand_form!A"&amp;ROW())="","",IF(INDIRECT("brand_form!W"&amp;ROW())="","",INDIRECT("brand_form!W"&amp;ROW())))</f>
        <v/>
      </c>
      <c r="Y37" s="30" t="str">
        <f aca="true">IF(INDIRECT("brand_form!A"&amp;ROW())="","",IF(IF(INDIRECT("brand_form!X"&amp;ROW())="","",INDIRECT("brand_form!X"&amp;ROW()))&lt;&gt;"","Y",""))</f>
        <v/>
      </c>
      <c r="Z37" s="30" t="str">
        <f aca="true">IF(INDIRECT("brand_form!A"&amp;ROW())="","",IF(INDIRECT("brand_form!Y"&amp;ROW())="","",INDIRECT("brand_form!Y"&amp;ROW())))</f>
        <v/>
      </c>
      <c r="AA37" s="30" t="str">
        <f aca="true">IF(INDIRECT("brand_form!A"&amp;ROW())="","","founder")</f>
        <v/>
      </c>
    </row>
    <row r="38" customFormat="false" ht="15" hidden="false" customHeight="false" outlineLevel="0" collapsed="false">
      <c r="A38" s="30" t="str">
        <f aca="true">IF(INDIRECT("brand_form!A"&amp;ROW())="","",TEXT(INDIRECT("brand_form!A"&amp;ROW()),"yyyy-mm-dd""T""hh:mm:ss"))</f>
        <v/>
      </c>
      <c r="B38" s="30" t="str">
        <f aca="true">IF(INDIRECT("brand_form!A"&amp;ROW())="","",config!$B$35)</f>
        <v/>
      </c>
      <c r="C38" s="30" t="str">
        <f aca="true">IF(INDIRECT("brand_form!A"&amp;ROW())="","",IF(INDIRECT("brand_form!B"&amp;ROW())="","",INDIRECT("brand_form!B"&amp;ROW())))</f>
        <v/>
      </c>
      <c r="D3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8" s="30" t="str">
        <f aca="true">IF(INDIRECT("brand_form!A"&amp;ROW())="","",IF(INDIRECT("brand_form!G"&amp;ROW())="","",INDIRECT("brand_form!G"&amp;ROW())))</f>
        <v/>
      </c>
      <c r="F38" s="30" t="str">
        <f aca="true">IF(INDIRECT("brand_form!A"&amp;ROW())="","",IF(INDIRECT("brand_form!H"&amp;ROW())="","",INDIRECT("brand_form!H"&amp;ROW())))</f>
        <v/>
      </c>
      <c r="G38" s="30" t="str">
        <f aca="true">IF(INDIRECT("brand_form!A"&amp;ROW())="","",IF(INDIRECT("brand_form!I"&amp;ROW())="","",INDIRECT("brand_form!I"&amp;ROW())))</f>
        <v/>
      </c>
      <c r="H38" s="30" t="str">
        <f aca="true">IF(INDIRECT("brand_form!A"&amp;ROW())="","",IF(INDIRECT("brand_form!J"&amp;ROW())="","",INDIRECT("brand_form!J"&amp;ROW())))</f>
        <v/>
      </c>
      <c r="I38" s="30" t="str">
        <f aca="true">IF(INDIRECT("brand_form!A"&amp;ROW())="","",IF(INDIRECT("brand_form!D"&amp;ROW())="","",INDIRECT("brand_form!D"&amp;ROW())))</f>
        <v/>
      </c>
      <c r="J3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30" t="str">
        <f aca="true">IF(INDIRECT("brand_form!A"&amp;ROW())="","",IF(INDIRECT("brand_form!F"&amp;ROW())="","",INDIRECT("brand_form!F"&amp;ROW())))</f>
        <v/>
      </c>
      <c r="L38" s="30" t="str">
        <f aca="true">IF(INDIRECT("brand_form!A"&amp;ROW())="","",IF(INDIRECT("brand_form!M"&amp;ROW())="","",INDIRECT("brand_form!M"&amp;ROW())))</f>
        <v/>
      </c>
      <c r="M3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8" s="30" t="str">
        <f aca="true">IF(INDIRECT("brand_form!A"&amp;ROW())="","",IF(IF(INDIRECT("brand_form!O"&amp;ROW())="","",INDIRECT("brand_form!O"&amp;ROW()))="Yes","Y",IF(IF(INDIRECT("brand_form!O"&amp;ROW())="","",INDIRECT("brand_form!O"&amp;ROW()))="No","N","")))</f>
        <v/>
      </c>
      <c r="O3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30" t="str">
        <f aca="true">IF(INDIRECT("brand_form!A"&amp;ROW())="","",IF(IF(INDIRECT("brand_form!K"&amp;ROW())="","",INDIRECT("brand_form!K"&amp;ROW()))="I do","Y",IF(IF(INDIRECT("brand_form!K"&amp;ROW())="","",INDIRECT("brand_form!K"&amp;ROW()))="Someone else","N","")))</f>
        <v/>
      </c>
      <c r="Q38" s="30" t="str">
        <f aca="true">IF(INDIRECT("brand_form!A"&amp;ROW())="","",IF($P38="Y",$E38&amp;", "&amp;$F38,IF(INDIRECT("brand_form!L"&amp;ROW())="","",INDIRECT("brand_form!L"&amp;ROW()))))</f>
        <v/>
      </c>
      <c r="R38" s="30" t="str">
        <f aca="true">IF(INDIRECT("brand_form!A"&amp;ROW())="","",IF(IF(INDIRECT("brand_form!Q"&amp;ROW())="","",INDIRECT("brand_form!Q"&amp;ROW()))="Yes","Y",IF(IF(INDIRECT("brand_form!Q"&amp;ROW())="","",INDIRECT("brand_form!Q"&amp;ROW()))="No","N",IF(IF(INDIRECT("brand_form!Q"&amp;ROW())="","",INDIRECT("brand_form!Q"&amp;ROW()))="Not sure","unsure",""))))</f>
        <v/>
      </c>
      <c r="S38" s="30" t="str">
        <f aca="true">IF(INDIRECT("brand_form!A"&amp;ROW())="","",IF(IF(INDIRECT("brand_form!R"&amp;ROW())="","",INDIRECT("brand_form!R"&amp;ROW()))="Yes","Y",IF(IF(INDIRECT("brand_form!R"&amp;ROW())="","",INDIRECT("brand_form!R"&amp;ROW()))="No","N",IF(IF(INDIRECT("brand_form!R"&amp;ROW())="","",INDIRECT("brand_form!R"&amp;ROW()))="Not sure","unsure",""))))</f>
        <v/>
      </c>
      <c r="T38" s="30" t="str">
        <f aca="true">IF(INDIRECT("brand_form!A"&amp;ROW())="","",IF(IF(INDIRECT("brand_form!S"&amp;ROW())="","",INDIRECT("brand_form!S"&amp;ROW()))="Yes","Y",IF(IF(INDIRECT("brand_form!S"&amp;ROW())="","",INDIRECT("brand_form!S"&amp;ROW()))="No","N",IF(IF(INDIRECT("brand_form!S"&amp;ROW())="","",INDIRECT("brand_form!S"&amp;ROW()))="Not sure","unsure",""))))</f>
        <v/>
      </c>
      <c r="U38" s="30" t="str">
        <f aca="true">IF(INDIRECT("brand_form!A"&amp;ROW())="","",IF(IF(INDIRECT("brand_form!T"&amp;ROW())="","",INDIRECT("brand_form!T"&amp;ROW()))="Yes","Y",IF(IF(INDIRECT("brand_form!T"&amp;ROW())="","",INDIRECT("brand_form!T"&amp;ROW()))="No","N",IF(IF(INDIRECT("brand_form!T"&amp;ROW())="","",INDIRECT("brand_form!T"&amp;ROW()))="Not sure","unsure",""))))</f>
        <v/>
      </c>
      <c r="V38" s="30" t="str">
        <f aca="true">IF(INDIRECT("brand_form!A"&amp;ROW())="","",IF(IF(INDIRECT("brand_form!U"&amp;ROW())="","",INDIRECT("brand_form!U"&amp;ROW()))="Yes","Y",IF(IF(INDIRECT("brand_form!U"&amp;ROW())="","",INDIRECT("brand_form!U"&amp;ROW()))="No","N",IF(IF(INDIRECT("brand_form!U"&amp;ROW())="","",INDIRECT("brand_form!U"&amp;ROW()))="Not sure","unsure",""))))</f>
        <v/>
      </c>
      <c r="W38" s="30" t="str">
        <f aca="true">IF(INDIRECT("brand_form!A"&amp;ROW())="","",IF(IF(INDIRECT("brand_form!V"&amp;ROW())="","",INDIRECT("brand_form!V"&amp;ROW()))="Yes","Y",IF(IF(INDIRECT("brand_form!V"&amp;ROW())="","",INDIRECT("brand_form!V"&amp;ROW()))="No","N",IF(IF(INDIRECT("brand_form!V"&amp;ROW())="","",INDIRECT("brand_form!V"&amp;ROW()))="Not sure","unsure",""))))</f>
        <v/>
      </c>
      <c r="X38" s="30" t="str">
        <f aca="true">IF(INDIRECT("brand_form!A"&amp;ROW())="","",IF(INDIRECT("brand_form!W"&amp;ROW())="","",INDIRECT("brand_form!W"&amp;ROW())))</f>
        <v/>
      </c>
      <c r="Y38" s="30" t="str">
        <f aca="true">IF(INDIRECT("brand_form!A"&amp;ROW())="","",IF(IF(INDIRECT("brand_form!X"&amp;ROW())="","",INDIRECT("brand_form!X"&amp;ROW()))&lt;&gt;"","Y",""))</f>
        <v/>
      </c>
      <c r="Z38" s="30" t="str">
        <f aca="true">IF(INDIRECT("brand_form!A"&amp;ROW())="","",IF(INDIRECT("brand_form!Y"&amp;ROW())="","",INDIRECT("brand_form!Y"&amp;ROW())))</f>
        <v/>
      </c>
      <c r="AA38" s="30" t="str">
        <f aca="true">IF(INDIRECT("brand_form!A"&amp;ROW())="","","founder")</f>
        <v/>
      </c>
    </row>
    <row r="39" customFormat="false" ht="15" hidden="false" customHeight="false" outlineLevel="0" collapsed="false">
      <c r="A39" s="30" t="str">
        <f aca="true">IF(INDIRECT("brand_form!A"&amp;ROW())="","",TEXT(INDIRECT("brand_form!A"&amp;ROW()),"yyyy-mm-dd""T""hh:mm:ss"))</f>
        <v/>
      </c>
      <c r="B39" s="30" t="str">
        <f aca="true">IF(INDIRECT("brand_form!A"&amp;ROW())="","",config!$B$35)</f>
        <v/>
      </c>
      <c r="C39" s="30" t="str">
        <f aca="true">IF(INDIRECT("brand_form!A"&amp;ROW())="","",IF(INDIRECT("brand_form!B"&amp;ROW())="","",INDIRECT("brand_form!B"&amp;ROW())))</f>
        <v/>
      </c>
      <c r="D3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39" s="30" t="str">
        <f aca="true">IF(INDIRECT("brand_form!A"&amp;ROW())="","",IF(INDIRECT("brand_form!G"&amp;ROW())="","",INDIRECT("brand_form!G"&amp;ROW())))</f>
        <v/>
      </c>
      <c r="F39" s="30" t="str">
        <f aca="true">IF(INDIRECT("brand_form!A"&amp;ROW())="","",IF(INDIRECT("brand_form!H"&amp;ROW())="","",INDIRECT("brand_form!H"&amp;ROW())))</f>
        <v/>
      </c>
      <c r="G39" s="30" t="str">
        <f aca="true">IF(INDIRECT("brand_form!A"&amp;ROW())="","",IF(INDIRECT("brand_form!I"&amp;ROW())="","",INDIRECT("brand_form!I"&amp;ROW())))</f>
        <v/>
      </c>
      <c r="H39" s="30" t="str">
        <f aca="true">IF(INDIRECT("brand_form!A"&amp;ROW())="","",IF(INDIRECT("brand_form!J"&amp;ROW())="","",INDIRECT("brand_form!J"&amp;ROW())))</f>
        <v/>
      </c>
      <c r="I39" s="30" t="str">
        <f aca="true">IF(INDIRECT("brand_form!A"&amp;ROW())="","",IF(INDIRECT("brand_form!D"&amp;ROW())="","",INDIRECT("brand_form!D"&amp;ROW())))</f>
        <v/>
      </c>
      <c r="J3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30" t="str">
        <f aca="true">IF(INDIRECT("brand_form!A"&amp;ROW())="","",IF(INDIRECT("brand_form!F"&amp;ROW())="","",INDIRECT("brand_form!F"&amp;ROW())))</f>
        <v/>
      </c>
      <c r="L39" s="30" t="str">
        <f aca="true">IF(INDIRECT("brand_form!A"&amp;ROW())="","",IF(INDIRECT("brand_form!M"&amp;ROW())="","",INDIRECT("brand_form!M"&amp;ROW())))</f>
        <v/>
      </c>
      <c r="M3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39" s="30" t="str">
        <f aca="true">IF(INDIRECT("brand_form!A"&amp;ROW())="","",IF(IF(INDIRECT("brand_form!O"&amp;ROW())="","",INDIRECT("brand_form!O"&amp;ROW()))="Yes","Y",IF(IF(INDIRECT("brand_form!O"&amp;ROW())="","",INDIRECT("brand_form!O"&amp;ROW()))="No","N","")))</f>
        <v/>
      </c>
      <c r="O3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30" t="str">
        <f aca="true">IF(INDIRECT("brand_form!A"&amp;ROW())="","",IF(IF(INDIRECT("brand_form!K"&amp;ROW())="","",INDIRECT("brand_form!K"&amp;ROW()))="I do","Y",IF(IF(INDIRECT("brand_form!K"&amp;ROW())="","",INDIRECT("brand_form!K"&amp;ROW()))="Someone else","N","")))</f>
        <v/>
      </c>
      <c r="Q39" s="30" t="str">
        <f aca="true">IF(INDIRECT("brand_form!A"&amp;ROW())="","",IF($P39="Y",$E39&amp;", "&amp;$F39,IF(INDIRECT("brand_form!L"&amp;ROW())="","",INDIRECT("brand_form!L"&amp;ROW()))))</f>
        <v/>
      </c>
      <c r="R39" s="30" t="str">
        <f aca="true">IF(INDIRECT("brand_form!A"&amp;ROW())="","",IF(IF(INDIRECT("brand_form!Q"&amp;ROW())="","",INDIRECT("brand_form!Q"&amp;ROW()))="Yes","Y",IF(IF(INDIRECT("brand_form!Q"&amp;ROW())="","",INDIRECT("brand_form!Q"&amp;ROW()))="No","N",IF(IF(INDIRECT("brand_form!Q"&amp;ROW())="","",INDIRECT("brand_form!Q"&amp;ROW()))="Not sure","unsure",""))))</f>
        <v/>
      </c>
      <c r="S39" s="30" t="str">
        <f aca="true">IF(INDIRECT("brand_form!A"&amp;ROW())="","",IF(IF(INDIRECT("brand_form!R"&amp;ROW())="","",INDIRECT("brand_form!R"&amp;ROW()))="Yes","Y",IF(IF(INDIRECT("brand_form!R"&amp;ROW())="","",INDIRECT("brand_form!R"&amp;ROW()))="No","N",IF(IF(INDIRECT("brand_form!R"&amp;ROW())="","",INDIRECT("brand_form!R"&amp;ROW()))="Not sure","unsure",""))))</f>
        <v/>
      </c>
      <c r="T39" s="30" t="str">
        <f aca="true">IF(INDIRECT("brand_form!A"&amp;ROW())="","",IF(IF(INDIRECT("brand_form!S"&amp;ROW())="","",INDIRECT("brand_form!S"&amp;ROW()))="Yes","Y",IF(IF(INDIRECT("brand_form!S"&amp;ROW())="","",INDIRECT("brand_form!S"&amp;ROW()))="No","N",IF(IF(INDIRECT("brand_form!S"&amp;ROW())="","",INDIRECT("brand_form!S"&amp;ROW()))="Not sure","unsure",""))))</f>
        <v/>
      </c>
      <c r="U39" s="30" t="str">
        <f aca="true">IF(INDIRECT("brand_form!A"&amp;ROW())="","",IF(IF(INDIRECT("brand_form!T"&amp;ROW())="","",INDIRECT("brand_form!T"&amp;ROW()))="Yes","Y",IF(IF(INDIRECT("brand_form!T"&amp;ROW())="","",INDIRECT("brand_form!T"&amp;ROW()))="No","N",IF(IF(INDIRECT("brand_form!T"&amp;ROW())="","",INDIRECT("brand_form!T"&amp;ROW()))="Not sure","unsure",""))))</f>
        <v/>
      </c>
      <c r="V39" s="30" t="str">
        <f aca="true">IF(INDIRECT("brand_form!A"&amp;ROW())="","",IF(IF(INDIRECT("brand_form!U"&amp;ROW())="","",INDIRECT("brand_form!U"&amp;ROW()))="Yes","Y",IF(IF(INDIRECT("brand_form!U"&amp;ROW())="","",INDIRECT("brand_form!U"&amp;ROW()))="No","N",IF(IF(INDIRECT("brand_form!U"&amp;ROW())="","",INDIRECT("brand_form!U"&amp;ROW()))="Not sure","unsure",""))))</f>
        <v/>
      </c>
      <c r="W39" s="30" t="str">
        <f aca="true">IF(INDIRECT("brand_form!A"&amp;ROW())="","",IF(IF(INDIRECT("brand_form!V"&amp;ROW())="","",INDIRECT("brand_form!V"&amp;ROW()))="Yes","Y",IF(IF(INDIRECT("brand_form!V"&amp;ROW())="","",INDIRECT("brand_form!V"&amp;ROW()))="No","N",IF(IF(INDIRECT("brand_form!V"&amp;ROW())="","",INDIRECT("brand_form!V"&amp;ROW()))="Not sure","unsure",""))))</f>
        <v/>
      </c>
      <c r="X39" s="30" t="str">
        <f aca="true">IF(INDIRECT("brand_form!A"&amp;ROW())="","",IF(INDIRECT("brand_form!W"&amp;ROW())="","",INDIRECT("brand_form!W"&amp;ROW())))</f>
        <v/>
      </c>
      <c r="Y39" s="30" t="str">
        <f aca="true">IF(INDIRECT("brand_form!A"&amp;ROW())="","",IF(IF(INDIRECT("brand_form!X"&amp;ROW())="","",INDIRECT("brand_form!X"&amp;ROW()))&lt;&gt;"","Y",""))</f>
        <v/>
      </c>
      <c r="Z39" s="30" t="str">
        <f aca="true">IF(INDIRECT("brand_form!A"&amp;ROW())="","",IF(INDIRECT("brand_form!Y"&amp;ROW())="","",INDIRECT("brand_form!Y"&amp;ROW())))</f>
        <v/>
      </c>
      <c r="AA39" s="30" t="str">
        <f aca="true">IF(INDIRECT("brand_form!A"&amp;ROW())="","","founder")</f>
        <v/>
      </c>
    </row>
    <row r="40" customFormat="false" ht="15" hidden="false" customHeight="false" outlineLevel="0" collapsed="false">
      <c r="A40" s="30" t="str">
        <f aca="true">IF(INDIRECT("brand_form!A"&amp;ROW())="","",TEXT(INDIRECT("brand_form!A"&amp;ROW()),"yyyy-mm-dd""T""hh:mm:ss"))</f>
        <v/>
      </c>
      <c r="B40" s="30" t="str">
        <f aca="true">IF(INDIRECT("brand_form!A"&amp;ROW())="","",config!$B$35)</f>
        <v/>
      </c>
      <c r="C40" s="30" t="str">
        <f aca="true">IF(INDIRECT("brand_form!A"&amp;ROW())="","",IF(INDIRECT("brand_form!B"&amp;ROW())="","",INDIRECT("brand_form!B"&amp;ROW())))</f>
        <v/>
      </c>
      <c r="D4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0" s="30" t="str">
        <f aca="true">IF(INDIRECT("brand_form!A"&amp;ROW())="","",IF(INDIRECT("brand_form!G"&amp;ROW())="","",INDIRECT("brand_form!G"&amp;ROW())))</f>
        <v/>
      </c>
      <c r="F40" s="30" t="str">
        <f aca="true">IF(INDIRECT("brand_form!A"&amp;ROW())="","",IF(INDIRECT("brand_form!H"&amp;ROW())="","",INDIRECT("brand_form!H"&amp;ROW())))</f>
        <v/>
      </c>
      <c r="G40" s="30" t="str">
        <f aca="true">IF(INDIRECT("brand_form!A"&amp;ROW())="","",IF(INDIRECT("brand_form!I"&amp;ROW())="","",INDIRECT("brand_form!I"&amp;ROW())))</f>
        <v/>
      </c>
      <c r="H40" s="30" t="str">
        <f aca="true">IF(INDIRECT("brand_form!A"&amp;ROW())="","",IF(INDIRECT("brand_form!J"&amp;ROW())="","",INDIRECT("brand_form!J"&amp;ROW())))</f>
        <v/>
      </c>
      <c r="I40" s="30" t="str">
        <f aca="true">IF(INDIRECT("brand_form!A"&amp;ROW())="","",IF(INDIRECT("brand_form!D"&amp;ROW())="","",INDIRECT("brand_form!D"&amp;ROW())))</f>
        <v/>
      </c>
      <c r="J4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30" t="str">
        <f aca="true">IF(INDIRECT("brand_form!A"&amp;ROW())="","",IF(INDIRECT("brand_form!F"&amp;ROW())="","",INDIRECT("brand_form!F"&amp;ROW())))</f>
        <v/>
      </c>
      <c r="L40" s="30" t="str">
        <f aca="true">IF(INDIRECT("brand_form!A"&amp;ROW())="","",IF(INDIRECT("brand_form!M"&amp;ROW())="","",INDIRECT("brand_form!M"&amp;ROW())))</f>
        <v/>
      </c>
      <c r="M4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0" s="30" t="str">
        <f aca="true">IF(INDIRECT("brand_form!A"&amp;ROW())="","",IF(IF(INDIRECT("brand_form!O"&amp;ROW())="","",INDIRECT("brand_form!O"&amp;ROW()))="Yes","Y",IF(IF(INDIRECT("brand_form!O"&amp;ROW())="","",INDIRECT("brand_form!O"&amp;ROW()))="No","N","")))</f>
        <v/>
      </c>
      <c r="O4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30" t="str">
        <f aca="true">IF(INDIRECT("brand_form!A"&amp;ROW())="","",IF(IF(INDIRECT("brand_form!K"&amp;ROW())="","",INDIRECT("brand_form!K"&amp;ROW()))="I do","Y",IF(IF(INDIRECT("brand_form!K"&amp;ROW())="","",INDIRECT("brand_form!K"&amp;ROW()))="Someone else","N","")))</f>
        <v/>
      </c>
      <c r="Q40" s="30" t="str">
        <f aca="true">IF(INDIRECT("brand_form!A"&amp;ROW())="","",IF($P40="Y",$E40&amp;", "&amp;$F40,IF(INDIRECT("brand_form!L"&amp;ROW())="","",INDIRECT("brand_form!L"&amp;ROW()))))</f>
        <v/>
      </c>
      <c r="R40" s="30" t="str">
        <f aca="true">IF(INDIRECT("brand_form!A"&amp;ROW())="","",IF(IF(INDIRECT("brand_form!Q"&amp;ROW())="","",INDIRECT("brand_form!Q"&amp;ROW()))="Yes","Y",IF(IF(INDIRECT("brand_form!Q"&amp;ROW())="","",INDIRECT("brand_form!Q"&amp;ROW()))="No","N",IF(IF(INDIRECT("brand_form!Q"&amp;ROW())="","",INDIRECT("brand_form!Q"&amp;ROW()))="Not sure","unsure",""))))</f>
        <v/>
      </c>
      <c r="S40" s="30" t="str">
        <f aca="true">IF(INDIRECT("brand_form!A"&amp;ROW())="","",IF(IF(INDIRECT("brand_form!R"&amp;ROW())="","",INDIRECT("brand_form!R"&amp;ROW()))="Yes","Y",IF(IF(INDIRECT("brand_form!R"&amp;ROW())="","",INDIRECT("brand_form!R"&amp;ROW()))="No","N",IF(IF(INDIRECT("brand_form!R"&amp;ROW())="","",INDIRECT("brand_form!R"&amp;ROW()))="Not sure","unsure",""))))</f>
        <v/>
      </c>
      <c r="T40" s="30" t="str">
        <f aca="true">IF(INDIRECT("brand_form!A"&amp;ROW())="","",IF(IF(INDIRECT("brand_form!S"&amp;ROW())="","",INDIRECT("brand_form!S"&amp;ROW()))="Yes","Y",IF(IF(INDIRECT("brand_form!S"&amp;ROW())="","",INDIRECT("brand_form!S"&amp;ROW()))="No","N",IF(IF(INDIRECT("brand_form!S"&amp;ROW())="","",INDIRECT("brand_form!S"&amp;ROW()))="Not sure","unsure",""))))</f>
        <v/>
      </c>
      <c r="U40" s="30" t="str">
        <f aca="true">IF(INDIRECT("brand_form!A"&amp;ROW())="","",IF(IF(INDIRECT("brand_form!T"&amp;ROW())="","",INDIRECT("brand_form!T"&amp;ROW()))="Yes","Y",IF(IF(INDIRECT("brand_form!T"&amp;ROW())="","",INDIRECT("brand_form!T"&amp;ROW()))="No","N",IF(IF(INDIRECT("brand_form!T"&amp;ROW())="","",INDIRECT("brand_form!T"&amp;ROW()))="Not sure","unsure",""))))</f>
        <v/>
      </c>
      <c r="V40" s="30" t="str">
        <f aca="true">IF(INDIRECT("brand_form!A"&amp;ROW())="","",IF(IF(INDIRECT("brand_form!U"&amp;ROW())="","",INDIRECT("brand_form!U"&amp;ROW()))="Yes","Y",IF(IF(INDIRECT("brand_form!U"&amp;ROW())="","",INDIRECT("brand_form!U"&amp;ROW()))="No","N",IF(IF(INDIRECT("brand_form!U"&amp;ROW())="","",INDIRECT("brand_form!U"&amp;ROW()))="Not sure","unsure",""))))</f>
        <v/>
      </c>
      <c r="W40" s="30" t="str">
        <f aca="true">IF(INDIRECT("brand_form!A"&amp;ROW())="","",IF(IF(INDIRECT("brand_form!V"&amp;ROW())="","",INDIRECT("brand_form!V"&amp;ROW()))="Yes","Y",IF(IF(INDIRECT("brand_form!V"&amp;ROW())="","",INDIRECT("brand_form!V"&amp;ROW()))="No","N",IF(IF(INDIRECT("brand_form!V"&amp;ROW())="","",INDIRECT("brand_form!V"&amp;ROW()))="Not sure","unsure",""))))</f>
        <v/>
      </c>
      <c r="X40" s="30" t="str">
        <f aca="true">IF(INDIRECT("brand_form!A"&amp;ROW())="","",IF(INDIRECT("brand_form!W"&amp;ROW())="","",INDIRECT("brand_form!W"&amp;ROW())))</f>
        <v/>
      </c>
      <c r="Y40" s="30" t="str">
        <f aca="true">IF(INDIRECT("brand_form!A"&amp;ROW())="","",IF(IF(INDIRECT("brand_form!X"&amp;ROW())="","",INDIRECT("brand_form!X"&amp;ROW()))&lt;&gt;"","Y",""))</f>
        <v/>
      </c>
      <c r="Z40" s="30" t="str">
        <f aca="true">IF(INDIRECT("brand_form!A"&amp;ROW())="","",IF(INDIRECT("brand_form!Y"&amp;ROW())="","",INDIRECT("brand_form!Y"&amp;ROW())))</f>
        <v/>
      </c>
      <c r="AA40" s="30" t="str">
        <f aca="true">IF(INDIRECT("brand_form!A"&amp;ROW())="","","founder")</f>
        <v/>
      </c>
    </row>
    <row r="41" customFormat="false" ht="15" hidden="false" customHeight="false" outlineLevel="0" collapsed="false">
      <c r="A41" s="30" t="str">
        <f aca="true">IF(INDIRECT("brand_form!A"&amp;ROW())="","",TEXT(INDIRECT("brand_form!A"&amp;ROW()),"yyyy-mm-dd""T""hh:mm:ss"))</f>
        <v/>
      </c>
      <c r="B41" s="30" t="str">
        <f aca="true">IF(INDIRECT("brand_form!A"&amp;ROW())="","",config!$B$35)</f>
        <v/>
      </c>
      <c r="C41" s="30" t="str">
        <f aca="true">IF(INDIRECT("brand_form!A"&amp;ROW())="","",IF(INDIRECT("brand_form!B"&amp;ROW())="","",INDIRECT("brand_form!B"&amp;ROW())))</f>
        <v/>
      </c>
      <c r="D4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1" s="30" t="str">
        <f aca="true">IF(INDIRECT("brand_form!A"&amp;ROW())="","",IF(INDIRECT("brand_form!G"&amp;ROW())="","",INDIRECT("brand_form!G"&amp;ROW())))</f>
        <v/>
      </c>
      <c r="F41" s="30" t="str">
        <f aca="true">IF(INDIRECT("brand_form!A"&amp;ROW())="","",IF(INDIRECT("brand_form!H"&amp;ROW())="","",INDIRECT("brand_form!H"&amp;ROW())))</f>
        <v/>
      </c>
      <c r="G41" s="30" t="str">
        <f aca="true">IF(INDIRECT("brand_form!A"&amp;ROW())="","",IF(INDIRECT("brand_form!I"&amp;ROW())="","",INDIRECT("brand_form!I"&amp;ROW())))</f>
        <v/>
      </c>
      <c r="H41" s="30" t="str">
        <f aca="true">IF(INDIRECT("brand_form!A"&amp;ROW())="","",IF(INDIRECT("brand_form!J"&amp;ROW())="","",INDIRECT("brand_form!J"&amp;ROW())))</f>
        <v/>
      </c>
      <c r="I41" s="30" t="str">
        <f aca="true">IF(INDIRECT("brand_form!A"&amp;ROW())="","",IF(INDIRECT("brand_form!D"&amp;ROW())="","",INDIRECT("brand_form!D"&amp;ROW())))</f>
        <v/>
      </c>
      <c r="J4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30" t="str">
        <f aca="true">IF(INDIRECT("brand_form!A"&amp;ROW())="","",IF(INDIRECT("brand_form!F"&amp;ROW())="","",INDIRECT("brand_form!F"&amp;ROW())))</f>
        <v/>
      </c>
      <c r="L41" s="30" t="str">
        <f aca="true">IF(INDIRECT("brand_form!A"&amp;ROW())="","",IF(INDIRECT("brand_form!M"&amp;ROW())="","",INDIRECT("brand_form!M"&amp;ROW())))</f>
        <v/>
      </c>
      <c r="M4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1" s="30" t="str">
        <f aca="true">IF(INDIRECT("brand_form!A"&amp;ROW())="","",IF(IF(INDIRECT("brand_form!O"&amp;ROW())="","",INDIRECT("brand_form!O"&amp;ROW()))="Yes","Y",IF(IF(INDIRECT("brand_form!O"&amp;ROW())="","",INDIRECT("brand_form!O"&amp;ROW()))="No","N","")))</f>
        <v/>
      </c>
      <c r="O4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30" t="str">
        <f aca="true">IF(INDIRECT("brand_form!A"&amp;ROW())="","",IF(IF(INDIRECT("brand_form!K"&amp;ROW())="","",INDIRECT("brand_form!K"&amp;ROW()))="I do","Y",IF(IF(INDIRECT("brand_form!K"&amp;ROW())="","",INDIRECT("brand_form!K"&amp;ROW()))="Someone else","N","")))</f>
        <v/>
      </c>
      <c r="Q41" s="30" t="str">
        <f aca="true">IF(INDIRECT("brand_form!A"&amp;ROW())="","",IF($P41="Y",$E41&amp;", "&amp;$F41,IF(INDIRECT("brand_form!L"&amp;ROW())="","",INDIRECT("brand_form!L"&amp;ROW()))))</f>
        <v/>
      </c>
      <c r="R41" s="30" t="str">
        <f aca="true">IF(INDIRECT("brand_form!A"&amp;ROW())="","",IF(IF(INDIRECT("brand_form!Q"&amp;ROW())="","",INDIRECT("brand_form!Q"&amp;ROW()))="Yes","Y",IF(IF(INDIRECT("brand_form!Q"&amp;ROW())="","",INDIRECT("brand_form!Q"&amp;ROW()))="No","N",IF(IF(INDIRECT("brand_form!Q"&amp;ROW())="","",INDIRECT("brand_form!Q"&amp;ROW()))="Not sure","unsure",""))))</f>
        <v/>
      </c>
      <c r="S41" s="30" t="str">
        <f aca="true">IF(INDIRECT("brand_form!A"&amp;ROW())="","",IF(IF(INDIRECT("brand_form!R"&amp;ROW())="","",INDIRECT("brand_form!R"&amp;ROW()))="Yes","Y",IF(IF(INDIRECT("brand_form!R"&amp;ROW())="","",INDIRECT("brand_form!R"&amp;ROW()))="No","N",IF(IF(INDIRECT("brand_form!R"&amp;ROW())="","",INDIRECT("brand_form!R"&amp;ROW()))="Not sure","unsure",""))))</f>
        <v/>
      </c>
      <c r="T41" s="30" t="str">
        <f aca="true">IF(INDIRECT("brand_form!A"&amp;ROW())="","",IF(IF(INDIRECT("brand_form!S"&amp;ROW())="","",INDIRECT("brand_form!S"&amp;ROW()))="Yes","Y",IF(IF(INDIRECT("brand_form!S"&amp;ROW())="","",INDIRECT("brand_form!S"&amp;ROW()))="No","N",IF(IF(INDIRECT("brand_form!S"&amp;ROW())="","",INDIRECT("brand_form!S"&amp;ROW()))="Not sure","unsure",""))))</f>
        <v/>
      </c>
      <c r="U41" s="30" t="str">
        <f aca="true">IF(INDIRECT("brand_form!A"&amp;ROW())="","",IF(IF(INDIRECT("brand_form!T"&amp;ROW())="","",INDIRECT("brand_form!T"&amp;ROW()))="Yes","Y",IF(IF(INDIRECT("brand_form!T"&amp;ROW())="","",INDIRECT("brand_form!T"&amp;ROW()))="No","N",IF(IF(INDIRECT("brand_form!T"&amp;ROW())="","",INDIRECT("brand_form!T"&amp;ROW()))="Not sure","unsure",""))))</f>
        <v/>
      </c>
      <c r="V41" s="30" t="str">
        <f aca="true">IF(INDIRECT("brand_form!A"&amp;ROW())="","",IF(IF(INDIRECT("brand_form!U"&amp;ROW())="","",INDIRECT("brand_form!U"&amp;ROW()))="Yes","Y",IF(IF(INDIRECT("brand_form!U"&amp;ROW())="","",INDIRECT("brand_form!U"&amp;ROW()))="No","N",IF(IF(INDIRECT("brand_form!U"&amp;ROW())="","",INDIRECT("brand_form!U"&amp;ROW()))="Not sure","unsure",""))))</f>
        <v/>
      </c>
      <c r="W41" s="30" t="str">
        <f aca="true">IF(INDIRECT("brand_form!A"&amp;ROW())="","",IF(IF(INDIRECT("brand_form!V"&amp;ROW())="","",INDIRECT("brand_form!V"&amp;ROW()))="Yes","Y",IF(IF(INDIRECT("brand_form!V"&amp;ROW())="","",INDIRECT("brand_form!V"&amp;ROW()))="No","N",IF(IF(INDIRECT("brand_form!V"&amp;ROW())="","",INDIRECT("brand_form!V"&amp;ROW()))="Not sure","unsure",""))))</f>
        <v/>
      </c>
      <c r="X41" s="30" t="str">
        <f aca="true">IF(INDIRECT("brand_form!A"&amp;ROW())="","",IF(INDIRECT("brand_form!W"&amp;ROW())="","",INDIRECT("brand_form!W"&amp;ROW())))</f>
        <v/>
      </c>
      <c r="Y41" s="30" t="str">
        <f aca="true">IF(INDIRECT("brand_form!A"&amp;ROW())="","",IF(IF(INDIRECT("brand_form!X"&amp;ROW())="","",INDIRECT("brand_form!X"&amp;ROW()))&lt;&gt;"","Y",""))</f>
        <v/>
      </c>
      <c r="Z41" s="30" t="str">
        <f aca="true">IF(INDIRECT("brand_form!A"&amp;ROW())="","",IF(INDIRECT("brand_form!Y"&amp;ROW())="","",INDIRECT("brand_form!Y"&amp;ROW())))</f>
        <v/>
      </c>
      <c r="AA41" s="30" t="str">
        <f aca="true">IF(INDIRECT("brand_form!A"&amp;ROW())="","","founder")</f>
        <v/>
      </c>
    </row>
    <row r="42" customFormat="false" ht="15" hidden="false" customHeight="false" outlineLevel="0" collapsed="false">
      <c r="A42" s="30" t="str">
        <f aca="true">IF(INDIRECT("brand_form!A"&amp;ROW())="","",TEXT(INDIRECT("brand_form!A"&amp;ROW()),"yyyy-mm-dd""T""hh:mm:ss"))</f>
        <v/>
      </c>
      <c r="B42" s="30" t="str">
        <f aca="true">IF(INDIRECT("brand_form!A"&amp;ROW())="","",config!$B$35)</f>
        <v/>
      </c>
      <c r="C42" s="30" t="str">
        <f aca="true">IF(INDIRECT("brand_form!A"&amp;ROW())="","",IF(INDIRECT("brand_form!B"&amp;ROW())="","",INDIRECT("brand_form!B"&amp;ROW())))</f>
        <v/>
      </c>
      <c r="D4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2" s="30" t="str">
        <f aca="true">IF(INDIRECT("brand_form!A"&amp;ROW())="","",IF(INDIRECT("brand_form!G"&amp;ROW())="","",INDIRECT("brand_form!G"&amp;ROW())))</f>
        <v/>
      </c>
      <c r="F42" s="30" t="str">
        <f aca="true">IF(INDIRECT("brand_form!A"&amp;ROW())="","",IF(INDIRECT("brand_form!H"&amp;ROW())="","",INDIRECT("brand_form!H"&amp;ROW())))</f>
        <v/>
      </c>
      <c r="G42" s="30" t="str">
        <f aca="true">IF(INDIRECT("brand_form!A"&amp;ROW())="","",IF(INDIRECT("brand_form!I"&amp;ROW())="","",INDIRECT("brand_form!I"&amp;ROW())))</f>
        <v/>
      </c>
      <c r="H42" s="30" t="str">
        <f aca="true">IF(INDIRECT("brand_form!A"&amp;ROW())="","",IF(INDIRECT("brand_form!J"&amp;ROW())="","",INDIRECT("brand_form!J"&amp;ROW())))</f>
        <v/>
      </c>
      <c r="I42" s="30" t="str">
        <f aca="true">IF(INDIRECT("brand_form!A"&amp;ROW())="","",IF(INDIRECT("brand_form!D"&amp;ROW())="","",INDIRECT("brand_form!D"&amp;ROW())))</f>
        <v/>
      </c>
      <c r="J4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30" t="str">
        <f aca="true">IF(INDIRECT("brand_form!A"&amp;ROW())="","",IF(INDIRECT("brand_form!F"&amp;ROW())="","",INDIRECT("brand_form!F"&amp;ROW())))</f>
        <v/>
      </c>
      <c r="L42" s="30" t="str">
        <f aca="true">IF(INDIRECT("brand_form!A"&amp;ROW())="","",IF(INDIRECT("brand_form!M"&amp;ROW())="","",INDIRECT("brand_form!M"&amp;ROW())))</f>
        <v/>
      </c>
      <c r="M4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2" s="30" t="str">
        <f aca="true">IF(INDIRECT("brand_form!A"&amp;ROW())="","",IF(IF(INDIRECT("brand_form!O"&amp;ROW())="","",INDIRECT("brand_form!O"&amp;ROW()))="Yes","Y",IF(IF(INDIRECT("brand_form!O"&amp;ROW())="","",INDIRECT("brand_form!O"&amp;ROW()))="No","N","")))</f>
        <v/>
      </c>
      <c r="O4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30" t="str">
        <f aca="true">IF(INDIRECT("brand_form!A"&amp;ROW())="","",IF(IF(INDIRECT("brand_form!K"&amp;ROW())="","",INDIRECT("brand_form!K"&amp;ROW()))="I do","Y",IF(IF(INDIRECT("brand_form!K"&amp;ROW())="","",INDIRECT("brand_form!K"&amp;ROW()))="Someone else","N","")))</f>
        <v/>
      </c>
      <c r="Q42" s="30" t="str">
        <f aca="true">IF(INDIRECT("brand_form!A"&amp;ROW())="","",IF($P42="Y",$E42&amp;", "&amp;$F42,IF(INDIRECT("brand_form!L"&amp;ROW())="","",INDIRECT("brand_form!L"&amp;ROW()))))</f>
        <v/>
      </c>
      <c r="R42" s="30" t="str">
        <f aca="true">IF(INDIRECT("brand_form!A"&amp;ROW())="","",IF(IF(INDIRECT("brand_form!Q"&amp;ROW())="","",INDIRECT("brand_form!Q"&amp;ROW()))="Yes","Y",IF(IF(INDIRECT("brand_form!Q"&amp;ROW())="","",INDIRECT("brand_form!Q"&amp;ROW()))="No","N",IF(IF(INDIRECT("brand_form!Q"&amp;ROW())="","",INDIRECT("brand_form!Q"&amp;ROW()))="Not sure","unsure",""))))</f>
        <v/>
      </c>
      <c r="S42" s="30" t="str">
        <f aca="true">IF(INDIRECT("brand_form!A"&amp;ROW())="","",IF(IF(INDIRECT("brand_form!R"&amp;ROW())="","",INDIRECT("brand_form!R"&amp;ROW()))="Yes","Y",IF(IF(INDIRECT("brand_form!R"&amp;ROW())="","",INDIRECT("brand_form!R"&amp;ROW()))="No","N",IF(IF(INDIRECT("brand_form!R"&amp;ROW())="","",INDIRECT("brand_form!R"&amp;ROW()))="Not sure","unsure",""))))</f>
        <v/>
      </c>
      <c r="T42" s="30" t="str">
        <f aca="true">IF(INDIRECT("brand_form!A"&amp;ROW())="","",IF(IF(INDIRECT("brand_form!S"&amp;ROW())="","",INDIRECT("brand_form!S"&amp;ROW()))="Yes","Y",IF(IF(INDIRECT("brand_form!S"&amp;ROW())="","",INDIRECT("brand_form!S"&amp;ROW()))="No","N",IF(IF(INDIRECT("brand_form!S"&amp;ROW())="","",INDIRECT("brand_form!S"&amp;ROW()))="Not sure","unsure",""))))</f>
        <v/>
      </c>
      <c r="U42" s="30" t="str">
        <f aca="true">IF(INDIRECT("brand_form!A"&amp;ROW())="","",IF(IF(INDIRECT("brand_form!T"&amp;ROW())="","",INDIRECT("brand_form!T"&amp;ROW()))="Yes","Y",IF(IF(INDIRECT("brand_form!T"&amp;ROW())="","",INDIRECT("brand_form!T"&amp;ROW()))="No","N",IF(IF(INDIRECT("brand_form!T"&amp;ROW())="","",INDIRECT("brand_form!T"&amp;ROW()))="Not sure","unsure",""))))</f>
        <v/>
      </c>
      <c r="V42" s="30" t="str">
        <f aca="true">IF(INDIRECT("brand_form!A"&amp;ROW())="","",IF(IF(INDIRECT("brand_form!U"&amp;ROW())="","",INDIRECT("brand_form!U"&amp;ROW()))="Yes","Y",IF(IF(INDIRECT("brand_form!U"&amp;ROW())="","",INDIRECT("brand_form!U"&amp;ROW()))="No","N",IF(IF(INDIRECT("brand_form!U"&amp;ROW())="","",INDIRECT("brand_form!U"&amp;ROW()))="Not sure","unsure",""))))</f>
        <v/>
      </c>
      <c r="W42" s="30" t="str">
        <f aca="true">IF(INDIRECT("brand_form!A"&amp;ROW())="","",IF(IF(INDIRECT("brand_form!V"&amp;ROW())="","",INDIRECT("brand_form!V"&amp;ROW()))="Yes","Y",IF(IF(INDIRECT("brand_form!V"&amp;ROW())="","",INDIRECT("brand_form!V"&amp;ROW()))="No","N",IF(IF(INDIRECT("brand_form!V"&amp;ROW())="","",INDIRECT("brand_form!V"&amp;ROW()))="Not sure","unsure",""))))</f>
        <v/>
      </c>
      <c r="X42" s="30" t="str">
        <f aca="true">IF(INDIRECT("brand_form!A"&amp;ROW())="","",IF(INDIRECT("brand_form!W"&amp;ROW())="","",INDIRECT("brand_form!W"&amp;ROW())))</f>
        <v/>
      </c>
      <c r="Y42" s="30" t="str">
        <f aca="true">IF(INDIRECT("brand_form!A"&amp;ROW())="","",IF(IF(INDIRECT("brand_form!X"&amp;ROW())="","",INDIRECT("brand_form!X"&amp;ROW()))&lt;&gt;"","Y",""))</f>
        <v/>
      </c>
      <c r="Z42" s="30" t="str">
        <f aca="true">IF(INDIRECT("brand_form!A"&amp;ROW())="","",IF(INDIRECT("brand_form!Y"&amp;ROW())="","",INDIRECT("brand_form!Y"&amp;ROW())))</f>
        <v/>
      </c>
      <c r="AA42" s="30" t="str">
        <f aca="true">IF(INDIRECT("brand_form!A"&amp;ROW())="","","founder")</f>
        <v/>
      </c>
    </row>
    <row r="43" customFormat="false" ht="15" hidden="false" customHeight="false" outlineLevel="0" collapsed="false">
      <c r="A43" s="30" t="str">
        <f aca="true">IF(INDIRECT("brand_form!A"&amp;ROW())="","",TEXT(INDIRECT("brand_form!A"&amp;ROW()),"yyyy-mm-dd""T""hh:mm:ss"))</f>
        <v/>
      </c>
      <c r="B43" s="30" t="str">
        <f aca="true">IF(INDIRECT("brand_form!A"&amp;ROW())="","",config!$B$35)</f>
        <v/>
      </c>
      <c r="C43" s="30" t="str">
        <f aca="true">IF(INDIRECT("brand_form!A"&amp;ROW())="","",IF(INDIRECT("brand_form!B"&amp;ROW())="","",INDIRECT("brand_form!B"&amp;ROW())))</f>
        <v/>
      </c>
      <c r="D4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3" s="30" t="str">
        <f aca="true">IF(INDIRECT("brand_form!A"&amp;ROW())="","",IF(INDIRECT("brand_form!G"&amp;ROW())="","",INDIRECT("brand_form!G"&amp;ROW())))</f>
        <v/>
      </c>
      <c r="F43" s="30" t="str">
        <f aca="true">IF(INDIRECT("brand_form!A"&amp;ROW())="","",IF(INDIRECT("brand_form!H"&amp;ROW())="","",INDIRECT("brand_form!H"&amp;ROW())))</f>
        <v/>
      </c>
      <c r="G43" s="30" t="str">
        <f aca="true">IF(INDIRECT("brand_form!A"&amp;ROW())="","",IF(INDIRECT("brand_form!I"&amp;ROW())="","",INDIRECT("brand_form!I"&amp;ROW())))</f>
        <v/>
      </c>
      <c r="H43" s="30" t="str">
        <f aca="true">IF(INDIRECT("brand_form!A"&amp;ROW())="","",IF(INDIRECT("brand_form!J"&amp;ROW())="","",INDIRECT("brand_form!J"&amp;ROW())))</f>
        <v/>
      </c>
      <c r="I43" s="30" t="str">
        <f aca="true">IF(INDIRECT("brand_form!A"&amp;ROW())="","",IF(INDIRECT("brand_form!D"&amp;ROW())="","",INDIRECT("brand_form!D"&amp;ROW())))</f>
        <v/>
      </c>
      <c r="J4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30" t="str">
        <f aca="true">IF(INDIRECT("brand_form!A"&amp;ROW())="","",IF(INDIRECT("brand_form!F"&amp;ROW())="","",INDIRECT("brand_form!F"&amp;ROW())))</f>
        <v/>
      </c>
      <c r="L43" s="30" t="str">
        <f aca="true">IF(INDIRECT("brand_form!A"&amp;ROW())="","",IF(INDIRECT("brand_form!M"&amp;ROW())="","",INDIRECT("brand_form!M"&amp;ROW())))</f>
        <v/>
      </c>
      <c r="M4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3" s="30" t="str">
        <f aca="true">IF(INDIRECT("brand_form!A"&amp;ROW())="","",IF(IF(INDIRECT("brand_form!O"&amp;ROW())="","",INDIRECT("brand_form!O"&amp;ROW()))="Yes","Y",IF(IF(INDIRECT("brand_form!O"&amp;ROW())="","",INDIRECT("brand_form!O"&amp;ROW()))="No","N","")))</f>
        <v/>
      </c>
      <c r="O4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30" t="str">
        <f aca="true">IF(INDIRECT("brand_form!A"&amp;ROW())="","",IF(IF(INDIRECT("brand_form!K"&amp;ROW())="","",INDIRECT("brand_form!K"&amp;ROW()))="I do","Y",IF(IF(INDIRECT("brand_form!K"&amp;ROW())="","",INDIRECT("brand_form!K"&amp;ROW()))="Someone else","N","")))</f>
        <v/>
      </c>
      <c r="Q43" s="30" t="str">
        <f aca="true">IF(INDIRECT("brand_form!A"&amp;ROW())="","",IF($P43="Y",$E43&amp;", "&amp;$F43,IF(INDIRECT("brand_form!L"&amp;ROW())="","",INDIRECT("brand_form!L"&amp;ROW()))))</f>
        <v/>
      </c>
      <c r="R43" s="30" t="str">
        <f aca="true">IF(INDIRECT("brand_form!A"&amp;ROW())="","",IF(IF(INDIRECT("brand_form!Q"&amp;ROW())="","",INDIRECT("brand_form!Q"&amp;ROW()))="Yes","Y",IF(IF(INDIRECT("brand_form!Q"&amp;ROW())="","",INDIRECT("brand_form!Q"&amp;ROW()))="No","N",IF(IF(INDIRECT("brand_form!Q"&amp;ROW())="","",INDIRECT("brand_form!Q"&amp;ROW()))="Not sure","unsure",""))))</f>
        <v/>
      </c>
      <c r="S43" s="30" t="str">
        <f aca="true">IF(INDIRECT("brand_form!A"&amp;ROW())="","",IF(IF(INDIRECT("brand_form!R"&amp;ROW())="","",INDIRECT("brand_form!R"&amp;ROW()))="Yes","Y",IF(IF(INDIRECT("brand_form!R"&amp;ROW())="","",INDIRECT("brand_form!R"&amp;ROW()))="No","N",IF(IF(INDIRECT("brand_form!R"&amp;ROW())="","",INDIRECT("brand_form!R"&amp;ROW()))="Not sure","unsure",""))))</f>
        <v/>
      </c>
      <c r="T43" s="30" t="str">
        <f aca="true">IF(INDIRECT("brand_form!A"&amp;ROW())="","",IF(IF(INDIRECT("brand_form!S"&amp;ROW())="","",INDIRECT("brand_form!S"&amp;ROW()))="Yes","Y",IF(IF(INDIRECT("brand_form!S"&amp;ROW())="","",INDIRECT("brand_form!S"&amp;ROW()))="No","N",IF(IF(INDIRECT("brand_form!S"&amp;ROW())="","",INDIRECT("brand_form!S"&amp;ROW()))="Not sure","unsure",""))))</f>
        <v/>
      </c>
      <c r="U43" s="30" t="str">
        <f aca="true">IF(INDIRECT("brand_form!A"&amp;ROW())="","",IF(IF(INDIRECT("brand_form!T"&amp;ROW())="","",INDIRECT("brand_form!T"&amp;ROW()))="Yes","Y",IF(IF(INDIRECT("brand_form!T"&amp;ROW())="","",INDIRECT("brand_form!T"&amp;ROW()))="No","N",IF(IF(INDIRECT("brand_form!T"&amp;ROW())="","",INDIRECT("brand_form!T"&amp;ROW()))="Not sure","unsure",""))))</f>
        <v/>
      </c>
      <c r="V43" s="30" t="str">
        <f aca="true">IF(INDIRECT("brand_form!A"&amp;ROW())="","",IF(IF(INDIRECT("brand_form!U"&amp;ROW())="","",INDIRECT("brand_form!U"&amp;ROW()))="Yes","Y",IF(IF(INDIRECT("brand_form!U"&amp;ROW())="","",INDIRECT("brand_form!U"&amp;ROW()))="No","N",IF(IF(INDIRECT("brand_form!U"&amp;ROW())="","",INDIRECT("brand_form!U"&amp;ROW()))="Not sure","unsure",""))))</f>
        <v/>
      </c>
      <c r="W43" s="30" t="str">
        <f aca="true">IF(INDIRECT("brand_form!A"&amp;ROW())="","",IF(IF(INDIRECT("brand_form!V"&amp;ROW())="","",INDIRECT("brand_form!V"&amp;ROW()))="Yes","Y",IF(IF(INDIRECT("brand_form!V"&amp;ROW())="","",INDIRECT("brand_form!V"&amp;ROW()))="No","N",IF(IF(INDIRECT("brand_form!V"&amp;ROW())="","",INDIRECT("brand_form!V"&amp;ROW()))="Not sure","unsure",""))))</f>
        <v/>
      </c>
      <c r="X43" s="30" t="str">
        <f aca="true">IF(INDIRECT("brand_form!A"&amp;ROW())="","",IF(INDIRECT("brand_form!W"&amp;ROW())="","",INDIRECT("brand_form!W"&amp;ROW())))</f>
        <v/>
      </c>
      <c r="Y43" s="30" t="str">
        <f aca="true">IF(INDIRECT("brand_form!A"&amp;ROW())="","",IF(IF(INDIRECT("brand_form!X"&amp;ROW())="","",INDIRECT("brand_form!X"&amp;ROW()))&lt;&gt;"","Y",""))</f>
        <v/>
      </c>
      <c r="Z43" s="30" t="str">
        <f aca="true">IF(INDIRECT("brand_form!A"&amp;ROW())="","",IF(INDIRECT("brand_form!Y"&amp;ROW())="","",INDIRECT("brand_form!Y"&amp;ROW())))</f>
        <v/>
      </c>
      <c r="AA43" s="30" t="str">
        <f aca="true">IF(INDIRECT("brand_form!A"&amp;ROW())="","","founder")</f>
        <v/>
      </c>
    </row>
    <row r="44" customFormat="false" ht="15" hidden="false" customHeight="false" outlineLevel="0" collapsed="false">
      <c r="A44" s="30" t="str">
        <f aca="true">IF(INDIRECT("brand_form!A"&amp;ROW())="","",TEXT(INDIRECT("brand_form!A"&amp;ROW()),"yyyy-mm-dd""T""hh:mm:ss"))</f>
        <v/>
      </c>
      <c r="B44" s="30" t="str">
        <f aca="true">IF(INDIRECT("brand_form!A"&amp;ROW())="","",config!$B$35)</f>
        <v/>
      </c>
      <c r="C44" s="30" t="str">
        <f aca="true">IF(INDIRECT("brand_form!A"&amp;ROW())="","",IF(INDIRECT("brand_form!B"&amp;ROW())="","",INDIRECT("brand_form!B"&amp;ROW())))</f>
        <v/>
      </c>
      <c r="D4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4" s="30" t="str">
        <f aca="true">IF(INDIRECT("brand_form!A"&amp;ROW())="","",IF(INDIRECT("brand_form!G"&amp;ROW())="","",INDIRECT("brand_form!G"&amp;ROW())))</f>
        <v/>
      </c>
      <c r="F44" s="30" t="str">
        <f aca="true">IF(INDIRECT("brand_form!A"&amp;ROW())="","",IF(INDIRECT("brand_form!H"&amp;ROW())="","",INDIRECT("brand_form!H"&amp;ROW())))</f>
        <v/>
      </c>
      <c r="G44" s="30" t="str">
        <f aca="true">IF(INDIRECT("brand_form!A"&amp;ROW())="","",IF(INDIRECT("brand_form!I"&amp;ROW())="","",INDIRECT("brand_form!I"&amp;ROW())))</f>
        <v/>
      </c>
      <c r="H44" s="30" t="str">
        <f aca="true">IF(INDIRECT("brand_form!A"&amp;ROW())="","",IF(INDIRECT("brand_form!J"&amp;ROW())="","",INDIRECT("brand_form!J"&amp;ROW())))</f>
        <v/>
      </c>
      <c r="I44" s="30" t="str">
        <f aca="true">IF(INDIRECT("brand_form!A"&amp;ROW())="","",IF(INDIRECT("brand_form!D"&amp;ROW())="","",INDIRECT("brand_form!D"&amp;ROW())))</f>
        <v/>
      </c>
      <c r="J4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30" t="str">
        <f aca="true">IF(INDIRECT("brand_form!A"&amp;ROW())="","",IF(INDIRECT("brand_form!F"&amp;ROW())="","",INDIRECT("brand_form!F"&amp;ROW())))</f>
        <v/>
      </c>
      <c r="L44" s="30" t="str">
        <f aca="true">IF(INDIRECT("brand_form!A"&amp;ROW())="","",IF(INDIRECT("brand_form!M"&amp;ROW())="","",INDIRECT("brand_form!M"&amp;ROW())))</f>
        <v/>
      </c>
      <c r="M4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4" s="30" t="str">
        <f aca="true">IF(INDIRECT("brand_form!A"&amp;ROW())="","",IF(IF(INDIRECT("brand_form!O"&amp;ROW())="","",INDIRECT("brand_form!O"&amp;ROW()))="Yes","Y",IF(IF(INDIRECT("brand_form!O"&amp;ROW())="","",INDIRECT("brand_form!O"&amp;ROW()))="No","N","")))</f>
        <v/>
      </c>
      <c r="O4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30" t="str">
        <f aca="true">IF(INDIRECT("brand_form!A"&amp;ROW())="","",IF(IF(INDIRECT("brand_form!K"&amp;ROW())="","",INDIRECT("brand_form!K"&amp;ROW()))="I do","Y",IF(IF(INDIRECT("brand_form!K"&amp;ROW())="","",INDIRECT("brand_form!K"&amp;ROW()))="Someone else","N","")))</f>
        <v/>
      </c>
      <c r="Q44" s="30" t="str">
        <f aca="true">IF(INDIRECT("brand_form!A"&amp;ROW())="","",IF($P44="Y",$E44&amp;", "&amp;$F44,IF(INDIRECT("brand_form!L"&amp;ROW())="","",INDIRECT("brand_form!L"&amp;ROW()))))</f>
        <v/>
      </c>
      <c r="R44" s="30" t="str">
        <f aca="true">IF(INDIRECT("brand_form!A"&amp;ROW())="","",IF(IF(INDIRECT("brand_form!Q"&amp;ROW())="","",INDIRECT("brand_form!Q"&amp;ROW()))="Yes","Y",IF(IF(INDIRECT("brand_form!Q"&amp;ROW())="","",INDIRECT("brand_form!Q"&amp;ROW()))="No","N",IF(IF(INDIRECT("brand_form!Q"&amp;ROW())="","",INDIRECT("brand_form!Q"&amp;ROW()))="Not sure","unsure",""))))</f>
        <v/>
      </c>
      <c r="S44" s="30" t="str">
        <f aca="true">IF(INDIRECT("brand_form!A"&amp;ROW())="","",IF(IF(INDIRECT("brand_form!R"&amp;ROW())="","",INDIRECT("brand_form!R"&amp;ROW()))="Yes","Y",IF(IF(INDIRECT("brand_form!R"&amp;ROW())="","",INDIRECT("brand_form!R"&amp;ROW()))="No","N",IF(IF(INDIRECT("brand_form!R"&amp;ROW())="","",INDIRECT("brand_form!R"&amp;ROW()))="Not sure","unsure",""))))</f>
        <v/>
      </c>
      <c r="T44" s="30" t="str">
        <f aca="true">IF(INDIRECT("brand_form!A"&amp;ROW())="","",IF(IF(INDIRECT("brand_form!S"&amp;ROW())="","",INDIRECT("brand_form!S"&amp;ROW()))="Yes","Y",IF(IF(INDIRECT("brand_form!S"&amp;ROW())="","",INDIRECT("brand_form!S"&amp;ROW()))="No","N",IF(IF(INDIRECT("brand_form!S"&amp;ROW())="","",INDIRECT("brand_form!S"&amp;ROW()))="Not sure","unsure",""))))</f>
        <v/>
      </c>
      <c r="U44" s="30" t="str">
        <f aca="true">IF(INDIRECT("brand_form!A"&amp;ROW())="","",IF(IF(INDIRECT("brand_form!T"&amp;ROW())="","",INDIRECT("brand_form!T"&amp;ROW()))="Yes","Y",IF(IF(INDIRECT("brand_form!T"&amp;ROW())="","",INDIRECT("brand_form!T"&amp;ROW()))="No","N",IF(IF(INDIRECT("brand_form!T"&amp;ROW())="","",INDIRECT("brand_form!T"&amp;ROW()))="Not sure","unsure",""))))</f>
        <v/>
      </c>
      <c r="V44" s="30" t="str">
        <f aca="true">IF(INDIRECT("brand_form!A"&amp;ROW())="","",IF(IF(INDIRECT("brand_form!U"&amp;ROW())="","",INDIRECT("brand_form!U"&amp;ROW()))="Yes","Y",IF(IF(INDIRECT("brand_form!U"&amp;ROW())="","",INDIRECT("brand_form!U"&amp;ROW()))="No","N",IF(IF(INDIRECT("brand_form!U"&amp;ROW())="","",INDIRECT("brand_form!U"&amp;ROW()))="Not sure","unsure",""))))</f>
        <v/>
      </c>
      <c r="W44" s="30" t="str">
        <f aca="true">IF(INDIRECT("brand_form!A"&amp;ROW())="","",IF(IF(INDIRECT("brand_form!V"&amp;ROW())="","",INDIRECT("brand_form!V"&amp;ROW()))="Yes","Y",IF(IF(INDIRECT("brand_form!V"&amp;ROW())="","",INDIRECT("brand_form!V"&amp;ROW()))="No","N",IF(IF(INDIRECT("brand_form!V"&amp;ROW())="","",INDIRECT("brand_form!V"&amp;ROW()))="Not sure","unsure",""))))</f>
        <v/>
      </c>
      <c r="X44" s="30" t="str">
        <f aca="true">IF(INDIRECT("brand_form!A"&amp;ROW())="","",IF(INDIRECT("brand_form!W"&amp;ROW())="","",INDIRECT("brand_form!W"&amp;ROW())))</f>
        <v/>
      </c>
      <c r="Y44" s="30" t="str">
        <f aca="true">IF(INDIRECT("brand_form!A"&amp;ROW())="","",IF(IF(INDIRECT("brand_form!X"&amp;ROW())="","",INDIRECT("brand_form!X"&amp;ROW()))&lt;&gt;"","Y",""))</f>
        <v/>
      </c>
      <c r="Z44" s="30" t="str">
        <f aca="true">IF(INDIRECT("brand_form!A"&amp;ROW())="","",IF(INDIRECT("brand_form!Y"&amp;ROW())="","",INDIRECT("brand_form!Y"&amp;ROW())))</f>
        <v/>
      </c>
      <c r="AA44" s="30" t="str">
        <f aca="true">IF(INDIRECT("brand_form!A"&amp;ROW())="","","founder")</f>
        <v/>
      </c>
    </row>
    <row r="45" customFormat="false" ht="15" hidden="false" customHeight="false" outlineLevel="0" collapsed="false">
      <c r="A45" s="30" t="str">
        <f aca="true">IF(INDIRECT("brand_form!A"&amp;ROW())="","",TEXT(INDIRECT("brand_form!A"&amp;ROW()),"yyyy-mm-dd""T""hh:mm:ss"))</f>
        <v/>
      </c>
      <c r="B45" s="30" t="str">
        <f aca="true">IF(INDIRECT("brand_form!A"&amp;ROW())="","",config!$B$35)</f>
        <v/>
      </c>
      <c r="C45" s="30" t="str">
        <f aca="true">IF(INDIRECT("brand_form!A"&amp;ROW())="","",IF(INDIRECT("brand_form!B"&amp;ROW())="","",INDIRECT("brand_form!B"&amp;ROW())))</f>
        <v/>
      </c>
      <c r="D4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5" s="30" t="str">
        <f aca="true">IF(INDIRECT("brand_form!A"&amp;ROW())="","",IF(INDIRECT("brand_form!G"&amp;ROW())="","",INDIRECT("brand_form!G"&amp;ROW())))</f>
        <v/>
      </c>
      <c r="F45" s="30" t="str">
        <f aca="true">IF(INDIRECT("brand_form!A"&amp;ROW())="","",IF(INDIRECT("brand_form!H"&amp;ROW())="","",INDIRECT("brand_form!H"&amp;ROW())))</f>
        <v/>
      </c>
      <c r="G45" s="30" t="str">
        <f aca="true">IF(INDIRECT("brand_form!A"&amp;ROW())="","",IF(INDIRECT("brand_form!I"&amp;ROW())="","",INDIRECT("brand_form!I"&amp;ROW())))</f>
        <v/>
      </c>
      <c r="H45" s="30" t="str">
        <f aca="true">IF(INDIRECT("brand_form!A"&amp;ROW())="","",IF(INDIRECT("brand_form!J"&amp;ROW())="","",INDIRECT("brand_form!J"&amp;ROW())))</f>
        <v/>
      </c>
      <c r="I45" s="30" t="str">
        <f aca="true">IF(INDIRECT("brand_form!A"&amp;ROW())="","",IF(INDIRECT("brand_form!D"&amp;ROW())="","",INDIRECT("brand_form!D"&amp;ROW())))</f>
        <v/>
      </c>
      <c r="J4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30" t="str">
        <f aca="true">IF(INDIRECT("brand_form!A"&amp;ROW())="","",IF(INDIRECT("brand_form!F"&amp;ROW())="","",INDIRECT("brand_form!F"&amp;ROW())))</f>
        <v/>
      </c>
      <c r="L45" s="30" t="str">
        <f aca="true">IF(INDIRECT("brand_form!A"&amp;ROW())="","",IF(INDIRECT("brand_form!M"&amp;ROW())="","",INDIRECT("brand_form!M"&amp;ROW())))</f>
        <v/>
      </c>
      <c r="M4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5" s="30" t="str">
        <f aca="true">IF(INDIRECT("brand_form!A"&amp;ROW())="","",IF(IF(INDIRECT("brand_form!O"&amp;ROW())="","",INDIRECT("brand_form!O"&amp;ROW()))="Yes","Y",IF(IF(INDIRECT("brand_form!O"&amp;ROW())="","",INDIRECT("brand_form!O"&amp;ROW()))="No","N","")))</f>
        <v/>
      </c>
      <c r="O4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30" t="str">
        <f aca="true">IF(INDIRECT("brand_form!A"&amp;ROW())="","",IF(IF(INDIRECT("brand_form!K"&amp;ROW())="","",INDIRECT("brand_form!K"&amp;ROW()))="I do","Y",IF(IF(INDIRECT("brand_form!K"&amp;ROW())="","",INDIRECT("brand_form!K"&amp;ROW()))="Someone else","N","")))</f>
        <v/>
      </c>
      <c r="Q45" s="30" t="str">
        <f aca="true">IF(INDIRECT("brand_form!A"&amp;ROW())="","",IF($P45="Y",$E45&amp;", "&amp;$F45,IF(INDIRECT("brand_form!L"&amp;ROW())="","",INDIRECT("brand_form!L"&amp;ROW()))))</f>
        <v/>
      </c>
      <c r="R45" s="30" t="str">
        <f aca="true">IF(INDIRECT("brand_form!A"&amp;ROW())="","",IF(IF(INDIRECT("brand_form!Q"&amp;ROW())="","",INDIRECT("brand_form!Q"&amp;ROW()))="Yes","Y",IF(IF(INDIRECT("brand_form!Q"&amp;ROW())="","",INDIRECT("brand_form!Q"&amp;ROW()))="No","N",IF(IF(INDIRECT("brand_form!Q"&amp;ROW())="","",INDIRECT("brand_form!Q"&amp;ROW()))="Not sure","unsure",""))))</f>
        <v/>
      </c>
      <c r="S45" s="30" t="str">
        <f aca="true">IF(INDIRECT("brand_form!A"&amp;ROW())="","",IF(IF(INDIRECT("brand_form!R"&amp;ROW())="","",INDIRECT("brand_form!R"&amp;ROW()))="Yes","Y",IF(IF(INDIRECT("brand_form!R"&amp;ROW())="","",INDIRECT("brand_form!R"&amp;ROW()))="No","N",IF(IF(INDIRECT("brand_form!R"&amp;ROW())="","",INDIRECT("brand_form!R"&amp;ROW()))="Not sure","unsure",""))))</f>
        <v/>
      </c>
      <c r="T45" s="30" t="str">
        <f aca="true">IF(INDIRECT("brand_form!A"&amp;ROW())="","",IF(IF(INDIRECT("brand_form!S"&amp;ROW())="","",INDIRECT("brand_form!S"&amp;ROW()))="Yes","Y",IF(IF(INDIRECT("brand_form!S"&amp;ROW())="","",INDIRECT("brand_form!S"&amp;ROW()))="No","N",IF(IF(INDIRECT("brand_form!S"&amp;ROW())="","",INDIRECT("brand_form!S"&amp;ROW()))="Not sure","unsure",""))))</f>
        <v/>
      </c>
      <c r="U45" s="30" t="str">
        <f aca="true">IF(INDIRECT("brand_form!A"&amp;ROW())="","",IF(IF(INDIRECT("brand_form!T"&amp;ROW())="","",INDIRECT("brand_form!T"&amp;ROW()))="Yes","Y",IF(IF(INDIRECT("brand_form!T"&amp;ROW())="","",INDIRECT("brand_form!T"&amp;ROW()))="No","N",IF(IF(INDIRECT("brand_form!T"&amp;ROW())="","",INDIRECT("brand_form!T"&amp;ROW()))="Not sure","unsure",""))))</f>
        <v/>
      </c>
      <c r="V45" s="30" t="str">
        <f aca="true">IF(INDIRECT("brand_form!A"&amp;ROW())="","",IF(IF(INDIRECT("brand_form!U"&amp;ROW())="","",INDIRECT("brand_form!U"&amp;ROW()))="Yes","Y",IF(IF(INDIRECT("brand_form!U"&amp;ROW())="","",INDIRECT("brand_form!U"&amp;ROW()))="No","N",IF(IF(INDIRECT("brand_form!U"&amp;ROW())="","",INDIRECT("brand_form!U"&amp;ROW()))="Not sure","unsure",""))))</f>
        <v/>
      </c>
      <c r="W45" s="30" t="str">
        <f aca="true">IF(INDIRECT("brand_form!A"&amp;ROW())="","",IF(IF(INDIRECT("brand_form!V"&amp;ROW())="","",INDIRECT("brand_form!V"&amp;ROW()))="Yes","Y",IF(IF(INDIRECT("brand_form!V"&amp;ROW())="","",INDIRECT("brand_form!V"&amp;ROW()))="No","N",IF(IF(INDIRECT("brand_form!V"&amp;ROW())="","",INDIRECT("brand_form!V"&amp;ROW()))="Not sure","unsure",""))))</f>
        <v/>
      </c>
      <c r="X45" s="30" t="str">
        <f aca="true">IF(INDIRECT("brand_form!A"&amp;ROW())="","",IF(INDIRECT("brand_form!W"&amp;ROW())="","",INDIRECT("brand_form!W"&amp;ROW())))</f>
        <v/>
      </c>
      <c r="Y45" s="30" t="str">
        <f aca="true">IF(INDIRECT("brand_form!A"&amp;ROW())="","",IF(IF(INDIRECT("brand_form!X"&amp;ROW())="","",INDIRECT("brand_form!X"&amp;ROW()))&lt;&gt;"","Y",""))</f>
        <v/>
      </c>
      <c r="Z45" s="30" t="str">
        <f aca="true">IF(INDIRECT("brand_form!A"&amp;ROW())="","",IF(INDIRECT("brand_form!Y"&amp;ROW())="","",INDIRECT("brand_form!Y"&amp;ROW())))</f>
        <v/>
      </c>
      <c r="AA45" s="30" t="str">
        <f aca="true">IF(INDIRECT("brand_form!A"&amp;ROW())="","","founder")</f>
        <v/>
      </c>
    </row>
    <row r="46" customFormat="false" ht="15" hidden="false" customHeight="false" outlineLevel="0" collapsed="false">
      <c r="A46" s="30" t="str">
        <f aca="true">IF(INDIRECT("brand_form!A"&amp;ROW())="","",TEXT(INDIRECT("brand_form!A"&amp;ROW()),"yyyy-mm-dd""T""hh:mm:ss"))</f>
        <v/>
      </c>
      <c r="B46" s="30" t="str">
        <f aca="true">IF(INDIRECT("brand_form!A"&amp;ROW())="","",config!$B$35)</f>
        <v/>
      </c>
      <c r="C46" s="30" t="str">
        <f aca="true">IF(INDIRECT("brand_form!A"&amp;ROW())="","",IF(INDIRECT("brand_form!B"&amp;ROW())="","",INDIRECT("brand_form!B"&amp;ROW())))</f>
        <v/>
      </c>
      <c r="D4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6" s="30" t="str">
        <f aca="true">IF(INDIRECT("brand_form!A"&amp;ROW())="","",IF(INDIRECT("brand_form!G"&amp;ROW())="","",INDIRECT("brand_form!G"&amp;ROW())))</f>
        <v/>
      </c>
      <c r="F46" s="30" t="str">
        <f aca="true">IF(INDIRECT("brand_form!A"&amp;ROW())="","",IF(INDIRECT("brand_form!H"&amp;ROW())="","",INDIRECT("brand_form!H"&amp;ROW())))</f>
        <v/>
      </c>
      <c r="G46" s="30" t="str">
        <f aca="true">IF(INDIRECT("brand_form!A"&amp;ROW())="","",IF(INDIRECT("brand_form!I"&amp;ROW())="","",INDIRECT("brand_form!I"&amp;ROW())))</f>
        <v/>
      </c>
      <c r="H46" s="30" t="str">
        <f aca="true">IF(INDIRECT("brand_form!A"&amp;ROW())="","",IF(INDIRECT("brand_form!J"&amp;ROW())="","",INDIRECT("brand_form!J"&amp;ROW())))</f>
        <v/>
      </c>
      <c r="I46" s="30" t="str">
        <f aca="true">IF(INDIRECT("brand_form!A"&amp;ROW())="","",IF(INDIRECT("brand_form!D"&amp;ROW())="","",INDIRECT("brand_form!D"&amp;ROW())))</f>
        <v/>
      </c>
      <c r="J4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30" t="str">
        <f aca="true">IF(INDIRECT("brand_form!A"&amp;ROW())="","",IF(INDIRECT("brand_form!F"&amp;ROW())="","",INDIRECT("brand_form!F"&amp;ROW())))</f>
        <v/>
      </c>
      <c r="L46" s="30" t="str">
        <f aca="true">IF(INDIRECT("brand_form!A"&amp;ROW())="","",IF(INDIRECT("brand_form!M"&amp;ROW())="","",INDIRECT("brand_form!M"&amp;ROW())))</f>
        <v/>
      </c>
      <c r="M4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6" s="30" t="str">
        <f aca="true">IF(INDIRECT("brand_form!A"&amp;ROW())="","",IF(IF(INDIRECT("brand_form!O"&amp;ROW())="","",INDIRECT("brand_form!O"&amp;ROW()))="Yes","Y",IF(IF(INDIRECT("brand_form!O"&amp;ROW())="","",INDIRECT("brand_form!O"&amp;ROW()))="No","N","")))</f>
        <v/>
      </c>
      <c r="O4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30" t="str">
        <f aca="true">IF(INDIRECT("brand_form!A"&amp;ROW())="","",IF(IF(INDIRECT("brand_form!K"&amp;ROW())="","",INDIRECT("brand_form!K"&amp;ROW()))="I do","Y",IF(IF(INDIRECT("brand_form!K"&amp;ROW())="","",INDIRECT("brand_form!K"&amp;ROW()))="Someone else","N","")))</f>
        <v/>
      </c>
      <c r="Q46" s="30" t="str">
        <f aca="true">IF(INDIRECT("brand_form!A"&amp;ROW())="","",IF($P46="Y",$E46&amp;", "&amp;$F46,IF(INDIRECT("brand_form!L"&amp;ROW())="","",INDIRECT("brand_form!L"&amp;ROW()))))</f>
        <v/>
      </c>
      <c r="R46" s="30" t="str">
        <f aca="true">IF(INDIRECT("brand_form!A"&amp;ROW())="","",IF(IF(INDIRECT("brand_form!Q"&amp;ROW())="","",INDIRECT("brand_form!Q"&amp;ROW()))="Yes","Y",IF(IF(INDIRECT("brand_form!Q"&amp;ROW())="","",INDIRECT("brand_form!Q"&amp;ROW()))="No","N",IF(IF(INDIRECT("brand_form!Q"&amp;ROW())="","",INDIRECT("brand_form!Q"&amp;ROW()))="Not sure","unsure",""))))</f>
        <v/>
      </c>
      <c r="S46" s="30" t="str">
        <f aca="true">IF(INDIRECT("brand_form!A"&amp;ROW())="","",IF(IF(INDIRECT("brand_form!R"&amp;ROW())="","",INDIRECT("brand_form!R"&amp;ROW()))="Yes","Y",IF(IF(INDIRECT("brand_form!R"&amp;ROW())="","",INDIRECT("brand_form!R"&amp;ROW()))="No","N",IF(IF(INDIRECT("brand_form!R"&amp;ROW())="","",INDIRECT("brand_form!R"&amp;ROW()))="Not sure","unsure",""))))</f>
        <v/>
      </c>
      <c r="T46" s="30" t="str">
        <f aca="true">IF(INDIRECT("brand_form!A"&amp;ROW())="","",IF(IF(INDIRECT("brand_form!S"&amp;ROW())="","",INDIRECT("brand_form!S"&amp;ROW()))="Yes","Y",IF(IF(INDIRECT("brand_form!S"&amp;ROW())="","",INDIRECT("brand_form!S"&amp;ROW()))="No","N",IF(IF(INDIRECT("brand_form!S"&amp;ROW())="","",INDIRECT("brand_form!S"&amp;ROW()))="Not sure","unsure",""))))</f>
        <v/>
      </c>
      <c r="U46" s="30" t="str">
        <f aca="true">IF(INDIRECT("brand_form!A"&amp;ROW())="","",IF(IF(INDIRECT("brand_form!T"&amp;ROW())="","",INDIRECT("brand_form!T"&amp;ROW()))="Yes","Y",IF(IF(INDIRECT("brand_form!T"&amp;ROW())="","",INDIRECT("brand_form!T"&amp;ROW()))="No","N",IF(IF(INDIRECT("brand_form!T"&amp;ROW())="","",INDIRECT("brand_form!T"&amp;ROW()))="Not sure","unsure",""))))</f>
        <v/>
      </c>
      <c r="V46" s="30" t="str">
        <f aca="true">IF(INDIRECT("brand_form!A"&amp;ROW())="","",IF(IF(INDIRECT("brand_form!U"&amp;ROW())="","",INDIRECT("brand_form!U"&amp;ROW()))="Yes","Y",IF(IF(INDIRECT("brand_form!U"&amp;ROW())="","",INDIRECT("brand_form!U"&amp;ROW()))="No","N",IF(IF(INDIRECT("brand_form!U"&amp;ROW())="","",INDIRECT("brand_form!U"&amp;ROW()))="Not sure","unsure",""))))</f>
        <v/>
      </c>
      <c r="W46" s="30" t="str">
        <f aca="true">IF(INDIRECT("brand_form!A"&amp;ROW())="","",IF(IF(INDIRECT("brand_form!V"&amp;ROW())="","",INDIRECT("brand_form!V"&amp;ROW()))="Yes","Y",IF(IF(INDIRECT("brand_form!V"&amp;ROW())="","",INDIRECT("brand_form!V"&amp;ROW()))="No","N",IF(IF(INDIRECT("brand_form!V"&amp;ROW())="","",INDIRECT("brand_form!V"&amp;ROW()))="Not sure","unsure",""))))</f>
        <v/>
      </c>
      <c r="X46" s="30" t="str">
        <f aca="true">IF(INDIRECT("brand_form!A"&amp;ROW())="","",IF(INDIRECT("brand_form!W"&amp;ROW())="","",INDIRECT("brand_form!W"&amp;ROW())))</f>
        <v/>
      </c>
      <c r="Y46" s="30" t="str">
        <f aca="true">IF(INDIRECT("brand_form!A"&amp;ROW())="","",IF(IF(INDIRECT("brand_form!X"&amp;ROW())="","",INDIRECT("brand_form!X"&amp;ROW()))&lt;&gt;"","Y",""))</f>
        <v/>
      </c>
      <c r="Z46" s="30" t="str">
        <f aca="true">IF(INDIRECT("brand_form!A"&amp;ROW())="","",IF(INDIRECT("brand_form!Y"&amp;ROW())="","",INDIRECT("brand_form!Y"&amp;ROW())))</f>
        <v/>
      </c>
      <c r="AA46" s="30" t="str">
        <f aca="true">IF(INDIRECT("brand_form!A"&amp;ROW())="","","founder")</f>
        <v/>
      </c>
    </row>
    <row r="47" customFormat="false" ht="15" hidden="false" customHeight="false" outlineLevel="0" collapsed="false">
      <c r="A47" s="30" t="str">
        <f aca="true">IF(INDIRECT("brand_form!A"&amp;ROW())="","",TEXT(INDIRECT("brand_form!A"&amp;ROW()),"yyyy-mm-dd""T""hh:mm:ss"))</f>
        <v/>
      </c>
      <c r="B47" s="30" t="str">
        <f aca="true">IF(INDIRECT("brand_form!A"&amp;ROW())="","",config!$B$35)</f>
        <v/>
      </c>
      <c r="C47" s="30" t="str">
        <f aca="true">IF(INDIRECT("brand_form!A"&amp;ROW())="","",IF(INDIRECT("brand_form!B"&amp;ROW())="","",INDIRECT("brand_form!B"&amp;ROW())))</f>
        <v/>
      </c>
      <c r="D4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7" s="30" t="str">
        <f aca="true">IF(INDIRECT("brand_form!A"&amp;ROW())="","",IF(INDIRECT("brand_form!G"&amp;ROW())="","",INDIRECT("brand_form!G"&amp;ROW())))</f>
        <v/>
      </c>
      <c r="F47" s="30" t="str">
        <f aca="true">IF(INDIRECT("brand_form!A"&amp;ROW())="","",IF(INDIRECT("brand_form!H"&amp;ROW())="","",INDIRECT("brand_form!H"&amp;ROW())))</f>
        <v/>
      </c>
      <c r="G47" s="30" t="str">
        <f aca="true">IF(INDIRECT("brand_form!A"&amp;ROW())="","",IF(INDIRECT("brand_form!I"&amp;ROW())="","",INDIRECT("brand_form!I"&amp;ROW())))</f>
        <v/>
      </c>
      <c r="H47" s="30" t="str">
        <f aca="true">IF(INDIRECT("brand_form!A"&amp;ROW())="","",IF(INDIRECT("brand_form!J"&amp;ROW())="","",INDIRECT("brand_form!J"&amp;ROW())))</f>
        <v/>
      </c>
      <c r="I47" s="30" t="str">
        <f aca="true">IF(INDIRECT("brand_form!A"&amp;ROW())="","",IF(INDIRECT("brand_form!D"&amp;ROW())="","",INDIRECT("brand_form!D"&amp;ROW())))</f>
        <v/>
      </c>
      <c r="J4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30" t="str">
        <f aca="true">IF(INDIRECT("brand_form!A"&amp;ROW())="","",IF(INDIRECT("brand_form!F"&amp;ROW())="","",INDIRECT("brand_form!F"&amp;ROW())))</f>
        <v/>
      </c>
      <c r="L47" s="30" t="str">
        <f aca="true">IF(INDIRECT("brand_form!A"&amp;ROW())="","",IF(INDIRECT("brand_form!M"&amp;ROW())="","",INDIRECT("brand_form!M"&amp;ROW())))</f>
        <v/>
      </c>
      <c r="M4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7" s="30" t="str">
        <f aca="true">IF(INDIRECT("brand_form!A"&amp;ROW())="","",IF(IF(INDIRECT("brand_form!O"&amp;ROW())="","",INDIRECT("brand_form!O"&amp;ROW()))="Yes","Y",IF(IF(INDIRECT("brand_form!O"&amp;ROW())="","",INDIRECT("brand_form!O"&amp;ROW()))="No","N","")))</f>
        <v/>
      </c>
      <c r="O4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30" t="str">
        <f aca="true">IF(INDIRECT("brand_form!A"&amp;ROW())="","",IF(IF(INDIRECT("brand_form!K"&amp;ROW())="","",INDIRECT("brand_form!K"&amp;ROW()))="I do","Y",IF(IF(INDIRECT("brand_form!K"&amp;ROW())="","",INDIRECT("brand_form!K"&amp;ROW()))="Someone else","N","")))</f>
        <v/>
      </c>
      <c r="Q47" s="30" t="str">
        <f aca="true">IF(INDIRECT("brand_form!A"&amp;ROW())="","",IF($P47="Y",$E47&amp;", "&amp;$F47,IF(INDIRECT("brand_form!L"&amp;ROW())="","",INDIRECT("brand_form!L"&amp;ROW()))))</f>
        <v/>
      </c>
      <c r="R47" s="30" t="str">
        <f aca="true">IF(INDIRECT("brand_form!A"&amp;ROW())="","",IF(IF(INDIRECT("brand_form!Q"&amp;ROW())="","",INDIRECT("brand_form!Q"&amp;ROW()))="Yes","Y",IF(IF(INDIRECT("brand_form!Q"&amp;ROW())="","",INDIRECT("brand_form!Q"&amp;ROW()))="No","N",IF(IF(INDIRECT("brand_form!Q"&amp;ROW())="","",INDIRECT("brand_form!Q"&amp;ROW()))="Not sure","unsure",""))))</f>
        <v/>
      </c>
      <c r="S47" s="30" t="str">
        <f aca="true">IF(INDIRECT("brand_form!A"&amp;ROW())="","",IF(IF(INDIRECT("brand_form!R"&amp;ROW())="","",INDIRECT("brand_form!R"&amp;ROW()))="Yes","Y",IF(IF(INDIRECT("brand_form!R"&amp;ROW())="","",INDIRECT("brand_form!R"&amp;ROW()))="No","N",IF(IF(INDIRECT("brand_form!R"&amp;ROW())="","",INDIRECT("brand_form!R"&amp;ROW()))="Not sure","unsure",""))))</f>
        <v/>
      </c>
      <c r="T47" s="30" t="str">
        <f aca="true">IF(INDIRECT("brand_form!A"&amp;ROW())="","",IF(IF(INDIRECT("brand_form!S"&amp;ROW())="","",INDIRECT("brand_form!S"&amp;ROW()))="Yes","Y",IF(IF(INDIRECT("brand_form!S"&amp;ROW())="","",INDIRECT("brand_form!S"&amp;ROW()))="No","N",IF(IF(INDIRECT("brand_form!S"&amp;ROW())="","",INDIRECT("brand_form!S"&amp;ROW()))="Not sure","unsure",""))))</f>
        <v/>
      </c>
      <c r="U47" s="30" t="str">
        <f aca="true">IF(INDIRECT("brand_form!A"&amp;ROW())="","",IF(IF(INDIRECT("brand_form!T"&amp;ROW())="","",INDIRECT("brand_form!T"&amp;ROW()))="Yes","Y",IF(IF(INDIRECT("brand_form!T"&amp;ROW())="","",INDIRECT("brand_form!T"&amp;ROW()))="No","N",IF(IF(INDIRECT("brand_form!T"&amp;ROW())="","",INDIRECT("brand_form!T"&amp;ROW()))="Not sure","unsure",""))))</f>
        <v/>
      </c>
      <c r="V47" s="30" t="str">
        <f aca="true">IF(INDIRECT("brand_form!A"&amp;ROW())="","",IF(IF(INDIRECT("brand_form!U"&amp;ROW())="","",INDIRECT("brand_form!U"&amp;ROW()))="Yes","Y",IF(IF(INDIRECT("brand_form!U"&amp;ROW())="","",INDIRECT("brand_form!U"&amp;ROW()))="No","N",IF(IF(INDIRECT("brand_form!U"&amp;ROW())="","",INDIRECT("brand_form!U"&amp;ROW()))="Not sure","unsure",""))))</f>
        <v/>
      </c>
      <c r="W47" s="30" t="str">
        <f aca="true">IF(INDIRECT("brand_form!A"&amp;ROW())="","",IF(IF(INDIRECT("brand_form!V"&amp;ROW())="","",INDIRECT("brand_form!V"&amp;ROW()))="Yes","Y",IF(IF(INDIRECT("brand_form!V"&amp;ROW())="","",INDIRECT("brand_form!V"&amp;ROW()))="No","N",IF(IF(INDIRECT("brand_form!V"&amp;ROW())="","",INDIRECT("brand_form!V"&amp;ROW()))="Not sure","unsure",""))))</f>
        <v/>
      </c>
      <c r="X47" s="30" t="str">
        <f aca="true">IF(INDIRECT("brand_form!A"&amp;ROW())="","",IF(INDIRECT("brand_form!W"&amp;ROW())="","",INDIRECT("brand_form!W"&amp;ROW())))</f>
        <v/>
      </c>
      <c r="Y47" s="30" t="str">
        <f aca="true">IF(INDIRECT("brand_form!A"&amp;ROW())="","",IF(IF(INDIRECT("brand_form!X"&amp;ROW())="","",INDIRECT("brand_form!X"&amp;ROW()))&lt;&gt;"","Y",""))</f>
        <v/>
      </c>
      <c r="Z47" s="30" t="str">
        <f aca="true">IF(INDIRECT("brand_form!A"&amp;ROW())="","",IF(INDIRECT("brand_form!Y"&amp;ROW())="","",INDIRECT("brand_form!Y"&amp;ROW())))</f>
        <v/>
      </c>
      <c r="AA47" s="30" t="str">
        <f aca="true">IF(INDIRECT("brand_form!A"&amp;ROW())="","","founder")</f>
        <v/>
      </c>
    </row>
    <row r="48" customFormat="false" ht="15" hidden="false" customHeight="false" outlineLevel="0" collapsed="false">
      <c r="A48" s="30" t="str">
        <f aca="true">IF(INDIRECT("brand_form!A"&amp;ROW())="","",TEXT(INDIRECT("brand_form!A"&amp;ROW()),"yyyy-mm-dd""T""hh:mm:ss"))</f>
        <v/>
      </c>
      <c r="B48" s="30" t="str">
        <f aca="true">IF(INDIRECT("brand_form!A"&amp;ROW())="","",config!$B$35)</f>
        <v/>
      </c>
      <c r="C48" s="30" t="str">
        <f aca="true">IF(INDIRECT("brand_form!A"&amp;ROW())="","",IF(INDIRECT("brand_form!B"&amp;ROW())="","",INDIRECT("brand_form!B"&amp;ROW())))</f>
        <v/>
      </c>
      <c r="D4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8" s="30" t="str">
        <f aca="true">IF(INDIRECT("brand_form!A"&amp;ROW())="","",IF(INDIRECT("brand_form!G"&amp;ROW())="","",INDIRECT("brand_form!G"&amp;ROW())))</f>
        <v/>
      </c>
      <c r="F48" s="30" t="str">
        <f aca="true">IF(INDIRECT("brand_form!A"&amp;ROW())="","",IF(INDIRECT("brand_form!H"&amp;ROW())="","",INDIRECT("brand_form!H"&amp;ROW())))</f>
        <v/>
      </c>
      <c r="G48" s="30" t="str">
        <f aca="true">IF(INDIRECT("brand_form!A"&amp;ROW())="","",IF(INDIRECT("brand_form!I"&amp;ROW())="","",INDIRECT("brand_form!I"&amp;ROW())))</f>
        <v/>
      </c>
      <c r="H48" s="30" t="str">
        <f aca="true">IF(INDIRECT("brand_form!A"&amp;ROW())="","",IF(INDIRECT("brand_form!J"&amp;ROW())="","",INDIRECT("brand_form!J"&amp;ROW())))</f>
        <v/>
      </c>
      <c r="I48" s="30" t="str">
        <f aca="true">IF(INDIRECT("brand_form!A"&amp;ROW())="","",IF(INDIRECT("brand_form!D"&amp;ROW())="","",INDIRECT("brand_form!D"&amp;ROW())))</f>
        <v/>
      </c>
      <c r="J4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30" t="str">
        <f aca="true">IF(INDIRECT("brand_form!A"&amp;ROW())="","",IF(INDIRECT("brand_form!F"&amp;ROW())="","",INDIRECT("brand_form!F"&amp;ROW())))</f>
        <v/>
      </c>
      <c r="L48" s="30" t="str">
        <f aca="true">IF(INDIRECT("brand_form!A"&amp;ROW())="","",IF(INDIRECT("brand_form!M"&amp;ROW())="","",INDIRECT("brand_form!M"&amp;ROW())))</f>
        <v/>
      </c>
      <c r="M4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8" s="30" t="str">
        <f aca="true">IF(INDIRECT("brand_form!A"&amp;ROW())="","",IF(IF(INDIRECT("brand_form!O"&amp;ROW())="","",INDIRECT("brand_form!O"&amp;ROW()))="Yes","Y",IF(IF(INDIRECT("brand_form!O"&amp;ROW())="","",INDIRECT("brand_form!O"&amp;ROW()))="No","N","")))</f>
        <v/>
      </c>
      <c r="O4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30" t="str">
        <f aca="true">IF(INDIRECT("brand_form!A"&amp;ROW())="","",IF(IF(INDIRECT("brand_form!K"&amp;ROW())="","",INDIRECT("brand_form!K"&amp;ROW()))="I do","Y",IF(IF(INDIRECT("brand_form!K"&amp;ROW())="","",INDIRECT("brand_form!K"&amp;ROW()))="Someone else","N","")))</f>
        <v/>
      </c>
      <c r="Q48" s="30" t="str">
        <f aca="true">IF(INDIRECT("brand_form!A"&amp;ROW())="","",IF($P48="Y",$E48&amp;", "&amp;$F48,IF(INDIRECT("brand_form!L"&amp;ROW())="","",INDIRECT("brand_form!L"&amp;ROW()))))</f>
        <v/>
      </c>
      <c r="R48" s="30" t="str">
        <f aca="true">IF(INDIRECT("brand_form!A"&amp;ROW())="","",IF(IF(INDIRECT("brand_form!Q"&amp;ROW())="","",INDIRECT("brand_form!Q"&amp;ROW()))="Yes","Y",IF(IF(INDIRECT("brand_form!Q"&amp;ROW())="","",INDIRECT("brand_form!Q"&amp;ROW()))="No","N",IF(IF(INDIRECT("brand_form!Q"&amp;ROW())="","",INDIRECT("brand_form!Q"&amp;ROW()))="Not sure","unsure",""))))</f>
        <v/>
      </c>
      <c r="S48" s="30" t="str">
        <f aca="true">IF(INDIRECT("brand_form!A"&amp;ROW())="","",IF(IF(INDIRECT("brand_form!R"&amp;ROW())="","",INDIRECT("brand_form!R"&amp;ROW()))="Yes","Y",IF(IF(INDIRECT("brand_form!R"&amp;ROW())="","",INDIRECT("brand_form!R"&amp;ROW()))="No","N",IF(IF(INDIRECT("brand_form!R"&amp;ROW())="","",INDIRECT("brand_form!R"&amp;ROW()))="Not sure","unsure",""))))</f>
        <v/>
      </c>
      <c r="T48" s="30" t="str">
        <f aca="true">IF(INDIRECT("brand_form!A"&amp;ROW())="","",IF(IF(INDIRECT("brand_form!S"&amp;ROW())="","",INDIRECT("brand_form!S"&amp;ROW()))="Yes","Y",IF(IF(INDIRECT("brand_form!S"&amp;ROW())="","",INDIRECT("brand_form!S"&amp;ROW()))="No","N",IF(IF(INDIRECT("brand_form!S"&amp;ROW())="","",INDIRECT("brand_form!S"&amp;ROW()))="Not sure","unsure",""))))</f>
        <v/>
      </c>
      <c r="U48" s="30" t="str">
        <f aca="true">IF(INDIRECT("brand_form!A"&amp;ROW())="","",IF(IF(INDIRECT("brand_form!T"&amp;ROW())="","",INDIRECT("brand_form!T"&amp;ROW()))="Yes","Y",IF(IF(INDIRECT("brand_form!T"&amp;ROW())="","",INDIRECT("brand_form!T"&amp;ROW()))="No","N",IF(IF(INDIRECT("brand_form!T"&amp;ROW())="","",INDIRECT("brand_form!T"&amp;ROW()))="Not sure","unsure",""))))</f>
        <v/>
      </c>
      <c r="V48" s="30" t="str">
        <f aca="true">IF(INDIRECT("brand_form!A"&amp;ROW())="","",IF(IF(INDIRECT("brand_form!U"&amp;ROW())="","",INDIRECT("brand_form!U"&amp;ROW()))="Yes","Y",IF(IF(INDIRECT("brand_form!U"&amp;ROW())="","",INDIRECT("brand_form!U"&amp;ROW()))="No","N",IF(IF(INDIRECT("brand_form!U"&amp;ROW())="","",INDIRECT("brand_form!U"&amp;ROW()))="Not sure","unsure",""))))</f>
        <v/>
      </c>
      <c r="W48" s="30" t="str">
        <f aca="true">IF(INDIRECT("brand_form!A"&amp;ROW())="","",IF(IF(INDIRECT("brand_form!V"&amp;ROW())="","",INDIRECT("brand_form!V"&amp;ROW()))="Yes","Y",IF(IF(INDIRECT("brand_form!V"&amp;ROW())="","",INDIRECT("brand_form!V"&amp;ROW()))="No","N",IF(IF(INDIRECT("brand_form!V"&amp;ROW())="","",INDIRECT("brand_form!V"&amp;ROW()))="Not sure","unsure",""))))</f>
        <v/>
      </c>
      <c r="X48" s="30" t="str">
        <f aca="true">IF(INDIRECT("brand_form!A"&amp;ROW())="","",IF(INDIRECT("brand_form!W"&amp;ROW())="","",INDIRECT("brand_form!W"&amp;ROW())))</f>
        <v/>
      </c>
      <c r="Y48" s="30" t="str">
        <f aca="true">IF(INDIRECT("brand_form!A"&amp;ROW())="","",IF(IF(INDIRECT("brand_form!X"&amp;ROW())="","",INDIRECT("brand_form!X"&amp;ROW()))&lt;&gt;"","Y",""))</f>
        <v/>
      </c>
      <c r="Z48" s="30" t="str">
        <f aca="true">IF(INDIRECT("brand_form!A"&amp;ROW())="","",IF(INDIRECT("brand_form!Y"&amp;ROW())="","",INDIRECT("brand_form!Y"&amp;ROW())))</f>
        <v/>
      </c>
      <c r="AA48" s="30" t="str">
        <f aca="true">IF(INDIRECT("brand_form!A"&amp;ROW())="","","founder")</f>
        <v/>
      </c>
    </row>
    <row r="49" customFormat="false" ht="15" hidden="false" customHeight="false" outlineLevel="0" collapsed="false">
      <c r="A49" s="30" t="str">
        <f aca="true">IF(INDIRECT("brand_form!A"&amp;ROW())="","",TEXT(INDIRECT("brand_form!A"&amp;ROW()),"yyyy-mm-dd""T""hh:mm:ss"))</f>
        <v/>
      </c>
      <c r="B49" s="30" t="str">
        <f aca="true">IF(INDIRECT("brand_form!A"&amp;ROW())="","",config!$B$35)</f>
        <v/>
      </c>
      <c r="C49" s="30" t="str">
        <f aca="true">IF(INDIRECT("brand_form!A"&amp;ROW())="","",IF(INDIRECT("brand_form!B"&amp;ROW())="","",INDIRECT("brand_form!B"&amp;ROW())))</f>
        <v/>
      </c>
      <c r="D4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49" s="30" t="str">
        <f aca="true">IF(INDIRECT("brand_form!A"&amp;ROW())="","",IF(INDIRECT("brand_form!G"&amp;ROW())="","",INDIRECT("brand_form!G"&amp;ROW())))</f>
        <v/>
      </c>
      <c r="F49" s="30" t="str">
        <f aca="true">IF(INDIRECT("brand_form!A"&amp;ROW())="","",IF(INDIRECT("brand_form!H"&amp;ROW())="","",INDIRECT("brand_form!H"&amp;ROW())))</f>
        <v/>
      </c>
      <c r="G49" s="30" t="str">
        <f aca="true">IF(INDIRECT("brand_form!A"&amp;ROW())="","",IF(INDIRECT("brand_form!I"&amp;ROW())="","",INDIRECT("brand_form!I"&amp;ROW())))</f>
        <v/>
      </c>
      <c r="H49" s="30" t="str">
        <f aca="true">IF(INDIRECT("brand_form!A"&amp;ROW())="","",IF(INDIRECT("brand_form!J"&amp;ROW())="","",INDIRECT("brand_form!J"&amp;ROW())))</f>
        <v/>
      </c>
      <c r="I49" s="30" t="str">
        <f aca="true">IF(INDIRECT("brand_form!A"&amp;ROW())="","",IF(INDIRECT("brand_form!D"&amp;ROW())="","",INDIRECT("brand_form!D"&amp;ROW())))</f>
        <v/>
      </c>
      <c r="J4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30" t="str">
        <f aca="true">IF(INDIRECT("brand_form!A"&amp;ROW())="","",IF(INDIRECT("brand_form!F"&amp;ROW())="","",INDIRECT("brand_form!F"&amp;ROW())))</f>
        <v/>
      </c>
      <c r="L49" s="30" t="str">
        <f aca="true">IF(INDIRECT("brand_form!A"&amp;ROW())="","",IF(INDIRECT("brand_form!M"&amp;ROW())="","",INDIRECT("brand_form!M"&amp;ROW())))</f>
        <v/>
      </c>
      <c r="M4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49" s="30" t="str">
        <f aca="true">IF(INDIRECT("brand_form!A"&amp;ROW())="","",IF(IF(INDIRECT("brand_form!O"&amp;ROW())="","",INDIRECT("brand_form!O"&amp;ROW()))="Yes","Y",IF(IF(INDIRECT("brand_form!O"&amp;ROW())="","",INDIRECT("brand_form!O"&amp;ROW()))="No","N","")))</f>
        <v/>
      </c>
      <c r="O4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30" t="str">
        <f aca="true">IF(INDIRECT("brand_form!A"&amp;ROW())="","",IF(IF(INDIRECT("brand_form!K"&amp;ROW())="","",INDIRECT("brand_form!K"&amp;ROW()))="I do","Y",IF(IF(INDIRECT("brand_form!K"&amp;ROW())="","",INDIRECT("brand_form!K"&amp;ROW()))="Someone else","N","")))</f>
        <v/>
      </c>
      <c r="Q49" s="30" t="str">
        <f aca="true">IF(INDIRECT("brand_form!A"&amp;ROW())="","",IF($P49="Y",$E49&amp;", "&amp;$F49,IF(INDIRECT("brand_form!L"&amp;ROW())="","",INDIRECT("brand_form!L"&amp;ROW()))))</f>
        <v/>
      </c>
      <c r="R49" s="30" t="str">
        <f aca="true">IF(INDIRECT("brand_form!A"&amp;ROW())="","",IF(IF(INDIRECT("brand_form!Q"&amp;ROW())="","",INDIRECT("brand_form!Q"&amp;ROW()))="Yes","Y",IF(IF(INDIRECT("brand_form!Q"&amp;ROW())="","",INDIRECT("brand_form!Q"&amp;ROW()))="No","N",IF(IF(INDIRECT("brand_form!Q"&amp;ROW())="","",INDIRECT("brand_form!Q"&amp;ROW()))="Not sure","unsure",""))))</f>
        <v/>
      </c>
      <c r="S49" s="30" t="str">
        <f aca="true">IF(INDIRECT("brand_form!A"&amp;ROW())="","",IF(IF(INDIRECT("brand_form!R"&amp;ROW())="","",INDIRECT("brand_form!R"&amp;ROW()))="Yes","Y",IF(IF(INDIRECT("brand_form!R"&amp;ROW())="","",INDIRECT("brand_form!R"&amp;ROW()))="No","N",IF(IF(INDIRECT("brand_form!R"&amp;ROW())="","",INDIRECT("brand_form!R"&amp;ROW()))="Not sure","unsure",""))))</f>
        <v/>
      </c>
      <c r="T49" s="30" t="str">
        <f aca="true">IF(INDIRECT("brand_form!A"&amp;ROW())="","",IF(IF(INDIRECT("brand_form!S"&amp;ROW())="","",INDIRECT("brand_form!S"&amp;ROW()))="Yes","Y",IF(IF(INDIRECT("brand_form!S"&amp;ROW())="","",INDIRECT("brand_form!S"&amp;ROW()))="No","N",IF(IF(INDIRECT("brand_form!S"&amp;ROW())="","",INDIRECT("brand_form!S"&amp;ROW()))="Not sure","unsure",""))))</f>
        <v/>
      </c>
      <c r="U49" s="30" t="str">
        <f aca="true">IF(INDIRECT("brand_form!A"&amp;ROW())="","",IF(IF(INDIRECT("brand_form!T"&amp;ROW())="","",INDIRECT("brand_form!T"&amp;ROW()))="Yes","Y",IF(IF(INDIRECT("brand_form!T"&amp;ROW())="","",INDIRECT("brand_form!T"&amp;ROW()))="No","N",IF(IF(INDIRECT("brand_form!T"&amp;ROW())="","",INDIRECT("brand_form!T"&amp;ROW()))="Not sure","unsure",""))))</f>
        <v/>
      </c>
      <c r="V49" s="30" t="str">
        <f aca="true">IF(INDIRECT("brand_form!A"&amp;ROW())="","",IF(IF(INDIRECT("brand_form!U"&amp;ROW())="","",INDIRECT("brand_form!U"&amp;ROW()))="Yes","Y",IF(IF(INDIRECT("brand_form!U"&amp;ROW())="","",INDIRECT("brand_form!U"&amp;ROW()))="No","N",IF(IF(INDIRECT("brand_form!U"&amp;ROW())="","",INDIRECT("brand_form!U"&amp;ROW()))="Not sure","unsure",""))))</f>
        <v/>
      </c>
      <c r="W49" s="30" t="str">
        <f aca="true">IF(INDIRECT("brand_form!A"&amp;ROW())="","",IF(IF(INDIRECT("brand_form!V"&amp;ROW())="","",INDIRECT("brand_form!V"&amp;ROW()))="Yes","Y",IF(IF(INDIRECT("brand_form!V"&amp;ROW())="","",INDIRECT("brand_form!V"&amp;ROW()))="No","N",IF(IF(INDIRECT("brand_form!V"&amp;ROW())="","",INDIRECT("brand_form!V"&amp;ROW()))="Not sure","unsure",""))))</f>
        <v/>
      </c>
      <c r="X49" s="30" t="str">
        <f aca="true">IF(INDIRECT("brand_form!A"&amp;ROW())="","",IF(INDIRECT("brand_form!W"&amp;ROW())="","",INDIRECT("brand_form!W"&amp;ROW())))</f>
        <v/>
      </c>
      <c r="Y49" s="30" t="str">
        <f aca="true">IF(INDIRECT("brand_form!A"&amp;ROW())="","",IF(IF(INDIRECT("brand_form!X"&amp;ROW())="","",INDIRECT("brand_form!X"&amp;ROW()))&lt;&gt;"","Y",""))</f>
        <v/>
      </c>
      <c r="Z49" s="30" t="str">
        <f aca="true">IF(INDIRECT("brand_form!A"&amp;ROW())="","",IF(INDIRECT("brand_form!Y"&amp;ROW())="","",INDIRECT("brand_form!Y"&amp;ROW())))</f>
        <v/>
      </c>
      <c r="AA49" s="30" t="str">
        <f aca="true">IF(INDIRECT("brand_form!A"&amp;ROW())="","","founder")</f>
        <v/>
      </c>
    </row>
    <row r="50" customFormat="false" ht="15" hidden="false" customHeight="false" outlineLevel="0" collapsed="false">
      <c r="A50" s="30" t="str">
        <f aca="true">IF(INDIRECT("brand_form!A"&amp;ROW())="","",TEXT(INDIRECT("brand_form!A"&amp;ROW()),"yyyy-mm-dd""T""hh:mm:ss"))</f>
        <v/>
      </c>
      <c r="B50" s="30" t="str">
        <f aca="true">IF(INDIRECT("brand_form!A"&amp;ROW())="","",config!$B$35)</f>
        <v/>
      </c>
      <c r="C50" s="30" t="str">
        <f aca="true">IF(INDIRECT("brand_form!A"&amp;ROW())="","",IF(INDIRECT("brand_form!B"&amp;ROW())="","",INDIRECT("brand_form!B"&amp;ROW())))</f>
        <v/>
      </c>
      <c r="D5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0" s="30" t="str">
        <f aca="true">IF(INDIRECT("brand_form!A"&amp;ROW())="","",IF(INDIRECT("brand_form!G"&amp;ROW())="","",INDIRECT("brand_form!G"&amp;ROW())))</f>
        <v/>
      </c>
      <c r="F50" s="30" t="str">
        <f aca="true">IF(INDIRECT("brand_form!A"&amp;ROW())="","",IF(INDIRECT("brand_form!H"&amp;ROW())="","",INDIRECT("brand_form!H"&amp;ROW())))</f>
        <v/>
      </c>
      <c r="G50" s="30" t="str">
        <f aca="true">IF(INDIRECT("brand_form!A"&amp;ROW())="","",IF(INDIRECT("brand_form!I"&amp;ROW())="","",INDIRECT("brand_form!I"&amp;ROW())))</f>
        <v/>
      </c>
      <c r="H50" s="30" t="str">
        <f aca="true">IF(INDIRECT("brand_form!A"&amp;ROW())="","",IF(INDIRECT("brand_form!J"&amp;ROW())="","",INDIRECT("brand_form!J"&amp;ROW())))</f>
        <v/>
      </c>
      <c r="I50" s="30" t="str">
        <f aca="true">IF(INDIRECT("brand_form!A"&amp;ROW())="","",IF(INDIRECT("brand_form!D"&amp;ROW())="","",INDIRECT("brand_form!D"&amp;ROW())))</f>
        <v/>
      </c>
      <c r="J5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30" t="str">
        <f aca="true">IF(INDIRECT("brand_form!A"&amp;ROW())="","",IF(INDIRECT("brand_form!F"&amp;ROW())="","",INDIRECT("brand_form!F"&amp;ROW())))</f>
        <v/>
      </c>
      <c r="L50" s="30" t="str">
        <f aca="true">IF(INDIRECT("brand_form!A"&amp;ROW())="","",IF(INDIRECT("brand_form!M"&amp;ROW())="","",INDIRECT("brand_form!M"&amp;ROW())))</f>
        <v/>
      </c>
      <c r="M5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0" s="30" t="str">
        <f aca="true">IF(INDIRECT("brand_form!A"&amp;ROW())="","",IF(IF(INDIRECT("brand_form!O"&amp;ROW())="","",INDIRECT("brand_form!O"&amp;ROW()))="Yes","Y",IF(IF(INDIRECT("brand_form!O"&amp;ROW())="","",INDIRECT("brand_form!O"&amp;ROW()))="No","N","")))</f>
        <v/>
      </c>
      <c r="O5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30" t="str">
        <f aca="true">IF(INDIRECT("brand_form!A"&amp;ROW())="","",IF(IF(INDIRECT("brand_form!K"&amp;ROW())="","",INDIRECT("brand_form!K"&amp;ROW()))="I do","Y",IF(IF(INDIRECT("brand_form!K"&amp;ROW())="","",INDIRECT("brand_form!K"&amp;ROW()))="Someone else","N","")))</f>
        <v/>
      </c>
      <c r="Q50" s="30" t="str">
        <f aca="true">IF(INDIRECT("brand_form!A"&amp;ROW())="","",IF($P50="Y",$E50&amp;", "&amp;$F50,IF(INDIRECT("brand_form!L"&amp;ROW())="","",INDIRECT("brand_form!L"&amp;ROW()))))</f>
        <v/>
      </c>
      <c r="R50" s="30" t="str">
        <f aca="true">IF(INDIRECT("brand_form!A"&amp;ROW())="","",IF(IF(INDIRECT("brand_form!Q"&amp;ROW())="","",INDIRECT("brand_form!Q"&amp;ROW()))="Yes","Y",IF(IF(INDIRECT("brand_form!Q"&amp;ROW())="","",INDIRECT("brand_form!Q"&amp;ROW()))="No","N",IF(IF(INDIRECT("brand_form!Q"&amp;ROW())="","",INDIRECT("brand_form!Q"&amp;ROW()))="Not sure","unsure",""))))</f>
        <v/>
      </c>
      <c r="S50" s="30" t="str">
        <f aca="true">IF(INDIRECT("brand_form!A"&amp;ROW())="","",IF(IF(INDIRECT("brand_form!R"&amp;ROW())="","",INDIRECT("brand_form!R"&amp;ROW()))="Yes","Y",IF(IF(INDIRECT("brand_form!R"&amp;ROW())="","",INDIRECT("brand_form!R"&amp;ROW()))="No","N",IF(IF(INDIRECT("brand_form!R"&amp;ROW())="","",INDIRECT("brand_form!R"&amp;ROW()))="Not sure","unsure",""))))</f>
        <v/>
      </c>
      <c r="T50" s="30" t="str">
        <f aca="true">IF(INDIRECT("brand_form!A"&amp;ROW())="","",IF(IF(INDIRECT("brand_form!S"&amp;ROW())="","",INDIRECT("brand_form!S"&amp;ROW()))="Yes","Y",IF(IF(INDIRECT("brand_form!S"&amp;ROW())="","",INDIRECT("brand_form!S"&amp;ROW()))="No","N",IF(IF(INDIRECT("brand_form!S"&amp;ROW())="","",INDIRECT("brand_form!S"&amp;ROW()))="Not sure","unsure",""))))</f>
        <v/>
      </c>
      <c r="U50" s="30" t="str">
        <f aca="true">IF(INDIRECT("brand_form!A"&amp;ROW())="","",IF(IF(INDIRECT("brand_form!T"&amp;ROW())="","",INDIRECT("brand_form!T"&amp;ROW()))="Yes","Y",IF(IF(INDIRECT("brand_form!T"&amp;ROW())="","",INDIRECT("brand_form!T"&amp;ROW()))="No","N",IF(IF(INDIRECT("brand_form!T"&amp;ROW())="","",INDIRECT("brand_form!T"&amp;ROW()))="Not sure","unsure",""))))</f>
        <v/>
      </c>
      <c r="V50" s="30" t="str">
        <f aca="true">IF(INDIRECT("brand_form!A"&amp;ROW())="","",IF(IF(INDIRECT("brand_form!U"&amp;ROW())="","",INDIRECT("brand_form!U"&amp;ROW()))="Yes","Y",IF(IF(INDIRECT("brand_form!U"&amp;ROW())="","",INDIRECT("brand_form!U"&amp;ROW()))="No","N",IF(IF(INDIRECT("brand_form!U"&amp;ROW())="","",INDIRECT("brand_form!U"&amp;ROW()))="Not sure","unsure",""))))</f>
        <v/>
      </c>
      <c r="W50" s="30" t="str">
        <f aca="true">IF(INDIRECT("brand_form!A"&amp;ROW())="","",IF(IF(INDIRECT("brand_form!V"&amp;ROW())="","",INDIRECT("brand_form!V"&amp;ROW()))="Yes","Y",IF(IF(INDIRECT("brand_form!V"&amp;ROW())="","",INDIRECT("brand_form!V"&amp;ROW()))="No","N",IF(IF(INDIRECT("brand_form!V"&amp;ROW())="","",INDIRECT("brand_form!V"&amp;ROW()))="Not sure","unsure",""))))</f>
        <v/>
      </c>
      <c r="X50" s="30" t="str">
        <f aca="true">IF(INDIRECT("brand_form!A"&amp;ROW())="","",IF(INDIRECT("brand_form!W"&amp;ROW())="","",INDIRECT("brand_form!W"&amp;ROW())))</f>
        <v/>
      </c>
      <c r="Y50" s="30" t="str">
        <f aca="true">IF(INDIRECT("brand_form!A"&amp;ROW())="","",IF(IF(INDIRECT("brand_form!X"&amp;ROW())="","",INDIRECT("brand_form!X"&amp;ROW()))&lt;&gt;"","Y",""))</f>
        <v/>
      </c>
      <c r="Z50" s="30" t="str">
        <f aca="true">IF(INDIRECT("brand_form!A"&amp;ROW())="","",IF(INDIRECT("brand_form!Y"&amp;ROW())="","",INDIRECT("brand_form!Y"&amp;ROW())))</f>
        <v/>
      </c>
      <c r="AA50" s="30" t="str">
        <f aca="true">IF(INDIRECT("brand_form!A"&amp;ROW())="","","founder")</f>
        <v/>
      </c>
    </row>
    <row r="51" customFormat="false" ht="15" hidden="false" customHeight="false" outlineLevel="0" collapsed="false">
      <c r="A51" s="30" t="str">
        <f aca="true">IF(INDIRECT("brand_form!A"&amp;ROW())="","",TEXT(INDIRECT("brand_form!A"&amp;ROW()),"yyyy-mm-dd""T""hh:mm:ss"))</f>
        <v/>
      </c>
      <c r="B51" s="30" t="str">
        <f aca="true">IF(INDIRECT("brand_form!A"&amp;ROW())="","",config!$B$35)</f>
        <v/>
      </c>
      <c r="C51" s="30" t="str">
        <f aca="true">IF(INDIRECT("brand_form!A"&amp;ROW())="","",IF(INDIRECT("brand_form!B"&amp;ROW())="","",INDIRECT("brand_form!B"&amp;ROW())))</f>
        <v/>
      </c>
      <c r="D5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1" s="30" t="str">
        <f aca="true">IF(INDIRECT("brand_form!A"&amp;ROW())="","",IF(INDIRECT("brand_form!G"&amp;ROW())="","",INDIRECT("brand_form!G"&amp;ROW())))</f>
        <v/>
      </c>
      <c r="F51" s="30" t="str">
        <f aca="true">IF(INDIRECT("brand_form!A"&amp;ROW())="","",IF(INDIRECT("brand_form!H"&amp;ROW())="","",INDIRECT("brand_form!H"&amp;ROW())))</f>
        <v/>
      </c>
      <c r="G51" s="30" t="str">
        <f aca="true">IF(INDIRECT("brand_form!A"&amp;ROW())="","",IF(INDIRECT("brand_form!I"&amp;ROW())="","",INDIRECT("brand_form!I"&amp;ROW())))</f>
        <v/>
      </c>
      <c r="H51" s="30" t="str">
        <f aca="true">IF(INDIRECT("brand_form!A"&amp;ROW())="","",IF(INDIRECT("brand_form!J"&amp;ROW())="","",INDIRECT("brand_form!J"&amp;ROW())))</f>
        <v/>
      </c>
      <c r="I51" s="30" t="str">
        <f aca="true">IF(INDIRECT("brand_form!A"&amp;ROW())="","",IF(INDIRECT("brand_form!D"&amp;ROW())="","",INDIRECT("brand_form!D"&amp;ROW())))</f>
        <v/>
      </c>
      <c r="J5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30" t="str">
        <f aca="true">IF(INDIRECT("brand_form!A"&amp;ROW())="","",IF(INDIRECT("brand_form!F"&amp;ROW())="","",INDIRECT("brand_form!F"&amp;ROW())))</f>
        <v/>
      </c>
      <c r="L51" s="30" t="str">
        <f aca="true">IF(INDIRECT("brand_form!A"&amp;ROW())="","",IF(INDIRECT("brand_form!M"&amp;ROW())="","",INDIRECT("brand_form!M"&amp;ROW())))</f>
        <v/>
      </c>
      <c r="M5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1" s="30" t="str">
        <f aca="true">IF(INDIRECT("brand_form!A"&amp;ROW())="","",IF(IF(INDIRECT("brand_form!O"&amp;ROW())="","",INDIRECT("brand_form!O"&amp;ROW()))="Yes","Y",IF(IF(INDIRECT("brand_form!O"&amp;ROW())="","",INDIRECT("brand_form!O"&amp;ROW()))="No","N","")))</f>
        <v/>
      </c>
      <c r="O5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30" t="str">
        <f aca="true">IF(INDIRECT("brand_form!A"&amp;ROW())="","",IF(IF(INDIRECT("brand_form!K"&amp;ROW())="","",INDIRECT("brand_form!K"&amp;ROW()))="I do","Y",IF(IF(INDIRECT("brand_form!K"&amp;ROW())="","",INDIRECT("brand_form!K"&amp;ROW()))="Someone else","N","")))</f>
        <v/>
      </c>
      <c r="Q51" s="30" t="str">
        <f aca="true">IF(INDIRECT("brand_form!A"&amp;ROW())="","",IF($P51="Y",$E51&amp;", "&amp;$F51,IF(INDIRECT("brand_form!L"&amp;ROW())="","",INDIRECT("brand_form!L"&amp;ROW()))))</f>
        <v/>
      </c>
      <c r="R51" s="30" t="str">
        <f aca="true">IF(INDIRECT("brand_form!A"&amp;ROW())="","",IF(IF(INDIRECT("brand_form!Q"&amp;ROW())="","",INDIRECT("brand_form!Q"&amp;ROW()))="Yes","Y",IF(IF(INDIRECT("brand_form!Q"&amp;ROW())="","",INDIRECT("brand_form!Q"&amp;ROW()))="No","N",IF(IF(INDIRECT("brand_form!Q"&amp;ROW())="","",INDIRECT("brand_form!Q"&amp;ROW()))="Not sure","unsure",""))))</f>
        <v/>
      </c>
      <c r="S51" s="30" t="str">
        <f aca="true">IF(INDIRECT("brand_form!A"&amp;ROW())="","",IF(IF(INDIRECT("brand_form!R"&amp;ROW())="","",INDIRECT("brand_form!R"&amp;ROW()))="Yes","Y",IF(IF(INDIRECT("brand_form!R"&amp;ROW())="","",INDIRECT("brand_form!R"&amp;ROW()))="No","N",IF(IF(INDIRECT("brand_form!R"&amp;ROW())="","",INDIRECT("brand_form!R"&amp;ROW()))="Not sure","unsure",""))))</f>
        <v/>
      </c>
      <c r="T51" s="30" t="str">
        <f aca="true">IF(INDIRECT("brand_form!A"&amp;ROW())="","",IF(IF(INDIRECT("brand_form!S"&amp;ROW())="","",INDIRECT("brand_form!S"&amp;ROW()))="Yes","Y",IF(IF(INDIRECT("brand_form!S"&amp;ROW())="","",INDIRECT("brand_form!S"&amp;ROW()))="No","N",IF(IF(INDIRECT("brand_form!S"&amp;ROW())="","",INDIRECT("brand_form!S"&amp;ROW()))="Not sure","unsure",""))))</f>
        <v/>
      </c>
      <c r="U51" s="30" t="str">
        <f aca="true">IF(INDIRECT("brand_form!A"&amp;ROW())="","",IF(IF(INDIRECT("brand_form!T"&amp;ROW())="","",INDIRECT("brand_form!T"&amp;ROW()))="Yes","Y",IF(IF(INDIRECT("brand_form!T"&amp;ROW())="","",INDIRECT("brand_form!T"&amp;ROW()))="No","N",IF(IF(INDIRECT("brand_form!T"&amp;ROW())="","",INDIRECT("brand_form!T"&amp;ROW()))="Not sure","unsure",""))))</f>
        <v/>
      </c>
      <c r="V51" s="30" t="str">
        <f aca="true">IF(INDIRECT("brand_form!A"&amp;ROW())="","",IF(IF(INDIRECT("brand_form!U"&amp;ROW())="","",INDIRECT("brand_form!U"&amp;ROW()))="Yes","Y",IF(IF(INDIRECT("brand_form!U"&amp;ROW())="","",INDIRECT("brand_form!U"&amp;ROW()))="No","N",IF(IF(INDIRECT("brand_form!U"&amp;ROW())="","",INDIRECT("brand_form!U"&amp;ROW()))="Not sure","unsure",""))))</f>
        <v/>
      </c>
      <c r="W51" s="30" t="str">
        <f aca="true">IF(INDIRECT("brand_form!A"&amp;ROW())="","",IF(IF(INDIRECT("brand_form!V"&amp;ROW())="","",INDIRECT("brand_form!V"&amp;ROW()))="Yes","Y",IF(IF(INDIRECT("brand_form!V"&amp;ROW())="","",INDIRECT("brand_form!V"&amp;ROW()))="No","N",IF(IF(INDIRECT("brand_form!V"&amp;ROW())="","",INDIRECT("brand_form!V"&amp;ROW()))="Not sure","unsure",""))))</f>
        <v/>
      </c>
      <c r="X51" s="30" t="str">
        <f aca="true">IF(INDIRECT("brand_form!A"&amp;ROW())="","",IF(INDIRECT("brand_form!W"&amp;ROW())="","",INDIRECT("brand_form!W"&amp;ROW())))</f>
        <v/>
      </c>
      <c r="Y51" s="30" t="str">
        <f aca="true">IF(INDIRECT("brand_form!A"&amp;ROW())="","",IF(IF(INDIRECT("brand_form!X"&amp;ROW())="","",INDIRECT("brand_form!X"&amp;ROW()))&lt;&gt;"","Y",""))</f>
        <v/>
      </c>
      <c r="Z51" s="30" t="str">
        <f aca="true">IF(INDIRECT("brand_form!A"&amp;ROW())="","",IF(INDIRECT("brand_form!Y"&amp;ROW())="","",INDIRECT("brand_form!Y"&amp;ROW())))</f>
        <v/>
      </c>
      <c r="AA51" s="30" t="str">
        <f aca="true">IF(INDIRECT("brand_form!A"&amp;ROW())="","","founder")</f>
        <v/>
      </c>
    </row>
    <row r="52" customFormat="false" ht="15" hidden="false" customHeight="false" outlineLevel="0" collapsed="false">
      <c r="A52" s="30" t="str">
        <f aca="true">IF(INDIRECT("brand_form!A"&amp;ROW())="","",TEXT(INDIRECT("brand_form!A"&amp;ROW()),"yyyy-mm-dd""T""hh:mm:ss"))</f>
        <v/>
      </c>
      <c r="B52" s="30" t="str">
        <f aca="true">IF(INDIRECT("brand_form!A"&amp;ROW())="","",config!$B$35)</f>
        <v/>
      </c>
      <c r="C52" s="30" t="str">
        <f aca="true">IF(INDIRECT("brand_form!A"&amp;ROW())="","",IF(INDIRECT("brand_form!B"&amp;ROW())="","",INDIRECT("brand_form!B"&amp;ROW())))</f>
        <v/>
      </c>
      <c r="D5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2" s="30" t="str">
        <f aca="true">IF(INDIRECT("brand_form!A"&amp;ROW())="","",IF(INDIRECT("brand_form!G"&amp;ROW())="","",INDIRECT("brand_form!G"&amp;ROW())))</f>
        <v/>
      </c>
      <c r="F52" s="30" t="str">
        <f aca="true">IF(INDIRECT("brand_form!A"&amp;ROW())="","",IF(INDIRECT("brand_form!H"&amp;ROW())="","",INDIRECT("brand_form!H"&amp;ROW())))</f>
        <v/>
      </c>
      <c r="G52" s="30" t="str">
        <f aca="true">IF(INDIRECT("brand_form!A"&amp;ROW())="","",IF(INDIRECT("brand_form!I"&amp;ROW())="","",INDIRECT("brand_form!I"&amp;ROW())))</f>
        <v/>
      </c>
      <c r="H52" s="30" t="str">
        <f aca="true">IF(INDIRECT("brand_form!A"&amp;ROW())="","",IF(INDIRECT("brand_form!J"&amp;ROW())="","",INDIRECT("brand_form!J"&amp;ROW())))</f>
        <v/>
      </c>
      <c r="I52" s="30" t="str">
        <f aca="true">IF(INDIRECT("brand_form!A"&amp;ROW())="","",IF(INDIRECT("brand_form!D"&amp;ROW())="","",INDIRECT("brand_form!D"&amp;ROW())))</f>
        <v/>
      </c>
      <c r="J5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30" t="str">
        <f aca="true">IF(INDIRECT("brand_form!A"&amp;ROW())="","",IF(INDIRECT("brand_form!F"&amp;ROW())="","",INDIRECT("brand_form!F"&amp;ROW())))</f>
        <v/>
      </c>
      <c r="L52" s="30" t="str">
        <f aca="true">IF(INDIRECT("brand_form!A"&amp;ROW())="","",IF(INDIRECT("brand_form!M"&amp;ROW())="","",INDIRECT("brand_form!M"&amp;ROW())))</f>
        <v/>
      </c>
      <c r="M5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2" s="30" t="str">
        <f aca="true">IF(INDIRECT("brand_form!A"&amp;ROW())="","",IF(IF(INDIRECT("brand_form!O"&amp;ROW())="","",INDIRECT("brand_form!O"&amp;ROW()))="Yes","Y",IF(IF(INDIRECT("brand_form!O"&amp;ROW())="","",INDIRECT("brand_form!O"&amp;ROW()))="No","N","")))</f>
        <v/>
      </c>
      <c r="O5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30" t="str">
        <f aca="true">IF(INDIRECT("brand_form!A"&amp;ROW())="","",IF(IF(INDIRECT("brand_form!K"&amp;ROW())="","",INDIRECT("brand_form!K"&amp;ROW()))="I do","Y",IF(IF(INDIRECT("brand_form!K"&amp;ROW())="","",INDIRECT("brand_form!K"&amp;ROW()))="Someone else","N","")))</f>
        <v/>
      </c>
      <c r="Q52" s="30" t="str">
        <f aca="true">IF(INDIRECT("brand_form!A"&amp;ROW())="","",IF($P52="Y",$E52&amp;", "&amp;$F52,IF(INDIRECT("brand_form!L"&amp;ROW())="","",INDIRECT("brand_form!L"&amp;ROW()))))</f>
        <v/>
      </c>
      <c r="R52" s="30" t="str">
        <f aca="true">IF(INDIRECT("brand_form!A"&amp;ROW())="","",IF(IF(INDIRECT("brand_form!Q"&amp;ROW())="","",INDIRECT("brand_form!Q"&amp;ROW()))="Yes","Y",IF(IF(INDIRECT("brand_form!Q"&amp;ROW())="","",INDIRECT("brand_form!Q"&amp;ROW()))="No","N",IF(IF(INDIRECT("brand_form!Q"&amp;ROW())="","",INDIRECT("brand_form!Q"&amp;ROW()))="Not sure","unsure",""))))</f>
        <v/>
      </c>
      <c r="S52" s="30" t="str">
        <f aca="true">IF(INDIRECT("brand_form!A"&amp;ROW())="","",IF(IF(INDIRECT("brand_form!R"&amp;ROW())="","",INDIRECT("brand_form!R"&amp;ROW()))="Yes","Y",IF(IF(INDIRECT("brand_form!R"&amp;ROW())="","",INDIRECT("brand_form!R"&amp;ROW()))="No","N",IF(IF(INDIRECT("brand_form!R"&amp;ROW())="","",INDIRECT("brand_form!R"&amp;ROW()))="Not sure","unsure",""))))</f>
        <v/>
      </c>
      <c r="T52" s="30" t="str">
        <f aca="true">IF(INDIRECT("brand_form!A"&amp;ROW())="","",IF(IF(INDIRECT("brand_form!S"&amp;ROW())="","",INDIRECT("brand_form!S"&amp;ROW()))="Yes","Y",IF(IF(INDIRECT("brand_form!S"&amp;ROW())="","",INDIRECT("brand_form!S"&amp;ROW()))="No","N",IF(IF(INDIRECT("brand_form!S"&amp;ROW())="","",INDIRECT("brand_form!S"&amp;ROW()))="Not sure","unsure",""))))</f>
        <v/>
      </c>
      <c r="U52" s="30" t="str">
        <f aca="true">IF(INDIRECT("brand_form!A"&amp;ROW())="","",IF(IF(INDIRECT("brand_form!T"&amp;ROW())="","",INDIRECT("brand_form!T"&amp;ROW()))="Yes","Y",IF(IF(INDIRECT("brand_form!T"&amp;ROW())="","",INDIRECT("brand_form!T"&amp;ROW()))="No","N",IF(IF(INDIRECT("brand_form!T"&amp;ROW())="","",INDIRECT("brand_form!T"&amp;ROW()))="Not sure","unsure",""))))</f>
        <v/>
      </c>
      <c r="V52" s="30" t="str">
        <f aca="true">IF(INDIRECT("brand_form!A"&amp;ROW())="","",IF(IF(INDIRECT("brand_form!U"&amp;ROW())="","",INDIRECT("brand_form!U"&amp;ROW()))="Yes","Y",IF(IF(INDIRECT("brand_form!U"&amp;ROW())="","",INDIRECT("brand_form!U"&amp;ROW()))="No","N",IF(IF(INDIRECT("brand_form!U"&amp;ROW())="","",INDIRECT("brand_form!U"&amp;ROW()))="Not sure","unsure",""))))</f>
        <v/>
      </c>
      <c r="W52" s="30" t="str">
        <f aca="true">IF(INDIRECT("brand_form!A"&amp;ROW())="","",IF(IF(INDIRECT("brand_form!V"&amp;ROW())="","",INDIRECT("brand_form!V"&amp;ROW()))="Yes","Y",IF(IF(INDIRECT("brand_form!V"&amp;ROW())="","",INDIRECT("brand_form!V"&amp;ROW()))="No","N",IF(IF(INDIRECT("brand_form!V"&amp;ROW())="","",INDIRECT("brand_form!V"&amp;ROW()))="Not sure","unsure",""))))</f>
        <v/>
      </c>
      <c r="X52" s="30" t="str">
        <f aca="true">IF(INDIRECT("brand_form!A"&amp;ROW())="","",IF(INDIRECT("brand_form!W"&amp;ROW())="","",INDIRECT("brand_form!W"&amp;ROW())))</f>
        <v/>
      </c>
      <c r="Y52" s="30" t="str">
        <f aca="true">IF(INDIRECT("brand_form!A"&amp;ROW())="","",IF(IF(INDIRECT("brand_form!X"&amp;ROW())="","",INDIRECT("brand_form!X"&amp;ROW()))&lt;&gt;"","Y",""))</f>
        <v/>
      </c>
      <c r="Z52" s="30" t="str">
        <f aca="true">IF(INDIRECT("brand_form!A"&amp;ROW())="","",IF(INDIRECT("brand_form!Y"&amp;ROW())="","",INDIRECT("brand_form!Y"&amp;ROW())))</f>
        <v/>
      </c>
      <c r="AA52" s="30" t="str">
        <f aca="true">IF(INDIRECT("brand_form!A"&amp;ROW())="","","founder")</f>
        <v/>
      </c>
    </row>
    <row r="53" customFormat="false" ht="15" hidden="false" customHeight="false" outlineLevel="0" collapsed="false">
      <c r="A53" s="30" t="str">
        <f aca="true">IF(INDIRECT("brand_form!A"&amp;ROW())="","",TEXT(INDIRECT("brand_form!A"&amp;ROW()),"yyyy-mm-dd""T""hh:mm:ss"))</f>
        <v/>
      </c>
      <c r="B53" s="30" t="str">
        <f aca="true">IF(INDIRECT("brand_form!A"&amp;ROW())="","",config!$B$35)</f>
        <v/>
      </c>
      <c r="C53" s="30" t="str">
        <f aca="true">IF(INDIRECT("brand_form!A"&amp;ROW())="","",IF(INDIRECT("brand_form!B"&amp;ROW())="","",INDIRECT("brand_form!B"&amp;ROW())))</f>
        <v/>
      </c>
      <c r="D5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3" s="30" t="str">
        <f aca="true">IF(INDIRECT("brand_form!A"&amp;ROW())="","",IF(INDIRECT("brand_form!G"&amp;ROW())="","",INDIRECT("brand_form!G"&amp;ROW())))</f>
        <v/>
      </c>
      <c r="F53" s="30" t="str">
        <f aca="true">IF(INDIRECT("brand_form!A"&amp;ROW())="","",IF(INDIRECT("brand_form!H"&amp;ROW())="","",INDIRECT("brand_form!H"&amp;ROW())))</f>
        <v/>
      </c>
      <c r="G53" s="30" t="str">
        <f aca="true">IF(INDIRECT("brand_form!A"&amp;ROW())="","",IF(INDIRECT("brand_form!I"&amp;ROW())="","",INDIRECT("brand_form!I"&amp;ROW())))</f>
        <v/>
      </c>
      <c r="H53" s="30" t="str">
        <f aca="true">IF(INDIRECT("brand_form!A"&amp;ROW())="","",IF(INDIRECT("brand_form!J"&amp;ROW())="","",INDIRECT("brand_form!J"&amp;ROW())))</f>
        <v/>
      </c>
      <c r="I53" s="30" t="str">
        <f aca="true">IF(INDIRECT("brand_form!A"&amp;ROW())="","",IF(INDIRECT("brand_form!D"&amp;ROW())="","",INDIRECT("brand_form!D"&amp;ROW())))</f>
        <v/>
      </c>
      <c r="J5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30" t="str">
        <f aca="true">IF(INDIRECT("brand_form!A"&amp;ROW())="","",IF(INDIRECT("brand_form!F"&amp;ROW())="","",INDIRECT("brand_form!F"&amp;ROW())))</f>
        <v/>
      </c>
      <c r="L53" s="30" t="str">
        <f aca="true">IF(INDIRECT("brand_form!A"&amp;ROW())="","",IF(INDIRECT("brand_form!M"&amp;ROW())="","",INDIRECT("brand_form!M"&amp;ROW())))</f>
        <v/>
      </c>
      <c r="M5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3" s="30" t="str">
        <f aca="true">IF(INDIRECT("brand_form!A"&amp;ROW())="","",IF(IF(INDIRECT("brand_form!O"&amp;ROW())="","",INDIRECT("brand_form!O"&amp;ROW()))="Yes","Y",IF(IF(INDIRECT("brand_form!O"&amp;ROW())="","",INDIRECT("brand_form!O"&amp;ROW()))="No","N","")))</f>
        <v/>
      </c>
      <c r="O5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30" t="str">
        <f aca="true">IF(INDIRECT("brand_form!A"&amp;ROW())="","",IF(IF(INDIRECT("brand_form!K"&amp;ROW())="","",INDIRECT("brand_form!K"&amp;ROW()))="I do","Y",IF(IF(INDIRECT("brand_form!K"&amp;ROW())="","",INDIRECT("brand_form!K"&amp;ROW()))="Someone else","N","")))</f>
        <v/>
      </c>
      <c r="Q53" s="30" t="str">
        <f aca="true">IF(INDIRECT("brand_form!A"&amp;ROW())="","",IF($P53="Y",$E53&amp;", "&amp;$F53,IF(INDIRECT("brand_form!L"&amp;ROW())="","",INDIRECT("brand_form!L"&amp;ROW()))))</f>
        <v/>
      </c>
      <c r="R53" s="30" t="str">
        <f aca="true">IF(INDIRECT("brand_form!A"&amp;ROW())="","",IF(IF(INDIRECT("brand_form!Q"&amp;ROW())="","",INDIRECT("brand_form!Q"&amp;ROW()))="Yes","Y",IF(IF(INDIRECT("brand_form!Q"&amp;ROW())="","",INDIRECT("brand_form!Q"&amp;ROW()))="No","N",IF(IF(INDIRECT("brand_form!Q"&amp;ROW())="","",INDIRECT("brand_form!Q"&amp;ROW()))="Not sure","unsure",""))))</f>
        <v/>
      </c>
      <c r="S53" s="30" t="str">
        <f aca="true">IF(INDIRECT("brand_form!A"&amp;ROW())="","",IF(IF(INDIRECT("brand_form!R"&amp;ROW())="","",INDIRECT("brand_form!R"&amp;ROW()))="Yes","Y",IF(IF(INDIRECT("brand_form!R"&amp;ROW())="","",INDIRECT("brand_form!R"&amp;ROW()))="No","N",IF(IF(INDIRECT("brand_form!R"&amp;ROW())="","",INDIRECT("brand_form!R"&amp;ROW()))="Not sure","unsure",""))))</f>
        <v/>
      </c>
      <c r="T53" s="30" t="str">
        <f aca="true">IF(INDIRECT("brand_form!A"&amp;ROW())="","",IF(IF(INDIRECT("brand_form!S"&amp;ROW())="","",INDIRECT("brand_form!S"&amp;ROW()))="Yes","Y",IF(IF(INDIRECT("brand_form!S"&amp;ROW())="","",INDIRECT("brand_form!S"&amp;ROW()))="No","N",IF(IF(INDIRECT("brand_form!S"&amp;ROW())="","",INDIRECT("brand_form!S"&amp;ROW()))="Not sure","unsure",""))))</f>
        <v/>
      </c>
      <c r="U53" s="30" t="str">
        <f aca="true">IF(INDIRECT("brand_form!A"&amp;ROW())="","",IF(IF(INDIRECT("brand_form!T"&amp;ROW())="","",INDIRECT("brand_form!T"&amp;ROW()))="Yes","Y",IF(IF(INDIRECT("brand_form!T"&amp;ROW())="","",INDIRECT("brand_form!T"&amp;ROW()))="No","N",IF(IF(INDIRECT("brand_form!T"&amp;ROW())="","",INDIRECT("brand_form!T"&amp;ROW()))="Not sure","unsure",""))))</f>
        <v/>
      </c>
      <c r="V53" s="30" t="str">
        <f aca="true">IF(INDIRECT("brand_form!A"&amp;ROW())="","",IF(IF(INDIRECT("brand_form!U"&amp;ROW())="","",INDIRECT("brand_form!U"&amp;ROW()))="Yes","Y",IF(IF(INDIRECT("brand_form!U"&amp;ROW())="","",INDIRECT("brand_form!U"&amp;ROW()))="No","N",IF(IF(INDIRECT("brand_form!U"&amp;ROW())="","",INDIRECT("brand_form!U"&amp;ROW()))="Not sure","unsure",""))))</f>
        <v/>
      </c>
      <c r="W53" s="30" t="str">
        <f aca="true">IF(INDIRECT("brand_form!A"&amp;ROW())="","",IF(IF(INDIRECT("brand_form!V"&amp;ROW())="","",INDIRECT("brand_form!V"&amp;ROW()))="Yes","Y",IF(IF(INDIRECT("brand_form!V"&amp;ROW())="","",INDIRECT("brand_form!V"&amp;ROW()))="No","N",IF(IF(INDIRECT("brand_form!V"&amp;ROW())="","",INDIRECT("brand_form!V"&amp;ROW()))="Not sure","unsure",""))))</f>
        <v/>
      </c>
      <c r="X53" s="30" t="str">
        <f aca="true">IF(INDIRECT("brand_form!A"&amp;ROW())="","",IF(INDIRECT("brand_form!W"&amp;ROW())="","",INDIRECT("brand_form!W"&amp;ROW())))</f>
        <v/>
      </c>
      <c r="Y53" s="30" t="str">
        <f aca="true">IF(INDIRECT("brand_form!A"&amp;ROW())="","",IF(IF(INDIRECT("brand_form!X"&amp;ROW())="","",INDIRECT("brand_form!X"&amp;ROW()))&lt;&gt;"","Y",""))</f>
        <v/>
      </c>
      <c r="Z53" s="30" t="str">
        <f aca="true">IF(INDIRECT("brand_form!A"&amp;ROW())="","",IF(INDIRECT("brand_form!Y"&amp;ROW())="","",INDIRECT("brand_form!Y"&amp;ROW())))</f>
        <v/>
      </c>
      <c r="AA53" s="30" t="str">
        <f aca="true">IF(INDIRECT("brand_form!A"&amp;ROW())="","","founder")</f>
        <v/>
      </c>
    </row>
    <row r="54" customFormat="false" ht="15" hidden="false" customHeight="false" outlineLevel="0" collapsed="false">
      <c r="A54" s="30" t="str">
        <f aca="true">IF(INDIRECT("brand_form!A"&amp;ROW())="","",TEXT(INDIRECT("brand_form!A"&amp;ROW()),"yyyy-mm-dd""T""hh:mm:ss"))</f>
        <v/>
      </c>
      <c r="B54" s="30" t="str">
        <f aca="true">IF(INDIRECT("brand_form!A"&amp;ROW())="","",config!$B$35)</f>
        <v/>
      </c>
      <c r="C54" s="30" t="str">
        <f aca="true">IF(INDIRECT("brand_form!A"&amp;ROW())="","",IF(INDIRECT("brand_form!B"&amp;ROW())="","",INDIRECT("brand_form!B"&amp;ROW())))</f>
        <v/>
      </c>
      <c r="D5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4" s="30" t="str">
        <f aca="true">IF(INDIRECT("brand_form!A"&amp;ROW())="","",IF(INDIRECT("brand_form!G"&amp;ROW())="","",INDIRECT("brand_form!G"&amp;ROW())))</f>
        <v/>
      </c>
      <c r="F54" s="30" t="str">
        <f aca="true">IF(INDIRECT("brand_form!A"&amp;ROW())="","",IF(INDIRECT("brand_form!H"&amp;ROW())="","",INDIRECT("brand_form!H"&amp;ROW())))</f>
        <v/>
      </c>
      <c r="G54" s="30" t="str">
        <f aca="true">IF(INDIRECT("brand_form!A"&amp;ROW())="","",IF(INDIRECT("brand_form!I"&amp;ROW())="","",INDIRECT("brand_form!I"&amp;ROW())))</f>
        <v/>
      </c>
      <c r="H54" s="30" t="str">
        <f aca="true">IF(INDIRECT("brand_form!A"&amp;ROW())="","",IF(INDIRECT("brand_form!J"&amp;ROW())="","",INDIRECT("brand_form!J"&amp;ROW())))</f>
        <v/>
      </c>
      <c r="I54" s="30" t="str">
        <f aca="true">IF(INDIRECT("brand_form!A"&amp;ROW())="","",IF(INDIRECT("brand_form!D"&amp;ROW())="","",INDIRECT("brand_form!D"&amp;ROW())))</f>
        <v/>
      </c>
      <c r="J5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30" t="str">
        <f aca="true">IF(INDIRECT("brand_form!A"&amp;ROW())="","",IF(INDIRECT("brand_form!F"&amp;ROW())="","",INDIRECT("brand_form!F"&amp;ROW())))</f>
        <v/>
      </c>
      <c r="L54" s="30" t="str">
        <f aca="true">IF(INDIRECT("brand_form!A"&amp;ROW())="","",IF(INDIRECT("brand_form!M"&amp;ROW())="","",INDIRECT("brand_form!M"&amp;ROW())))</f>
        <v/>
      </c>
      <c r="M5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4" s="30" t="str">
        <f aca="true">IF(INDIRECT("brand_form!A"&amp;ROW())="","",IF(IF(INDIRECT("brand_form!O"&amp;ROW())="","",INDIRECT("brand_form!O"&amp;ROW()))="Yes","Y",IF(IF(INDIRECT("brand_form!O"&amp;ROW())="","",INDIRECT("brand_form!O"&amp;ROW()))="No","N","")))</f>
        <v/>
      </c>
      <c r="O5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30" t="str">
        <f aca="true">IF(INDIRECT("brand_form!A"&amp;ROW())="","",IF(IF(INDIRECT("brand_form!K"&amp;ROW())="","",INDIRECT("brand_form!K"&amp;ROW()))="I do","Y",IF(IF(INDIRECT("brand_form!K"&amp;ROW())="","",INDIRECT("brand_form!K"&amp;ROW()))="Someone else","N","")))</f>
        <v/>
      </c>
      <c r="Q54" s="30" t="str">
        <f aca="true">IF(INDIRECT("brand_form!A"&amp;ROW())="","",IF($P54="Y",$E54&amp;", "&amp;$F54,IF(INDIRECT("brand_form!L"&amp;ROW())="","",INDIRECT("brand_form!L"&amp;ROW()))))</f>
        <v/>
      </c>
      <c r="R54" s="30" t="str">
        <f aca="true">IF(INDIRECT("brand_form!A"&amp;ROW())="","",IF(IF(INDIRECT("brand_form!Q"&amp;ROW())="","",INDIRECT("brand_form!Q"&amp;ROW()))="Yes","Y",IF(IF(INDIRECT("brand_form!Q"&amp;ROW())="","",INDIRECT("brand_form!Q"&amp;ROW()))="No","N",IF(IF(INDIRECT("brand_form!Q"&amp;ROW())="","",INDIRECT("brand_form!Q"&amp;ROW()))="Not sure","unsure",""))))</f>
        <v/>
      </c>
      <c r="S54" s="30" t="str">
        <f aca="true">IF(INDIRECT("brand_form!A"&amp;ROW())="","",IF(IF(INDIRECT("brand_form!R"&amp;ROW())="","",INDIRECT("brand_form!R"&amp;ROW()))="Yes","Y",IF(IF(INDIRECT("brand_form!R"&amp;ROW())="","",INDIRECT("brand_form!R"&amp;ROW()))="No","N",IF(IF(INDIRECT("brand_form!R"&amp;ROW())="","",INDIRECT("brand_form!R"&amp;ROW()))="Not sure","unsure",""))))</f>
        <v/>
      </c>
      <c r="T54" s="30" t="str">
        <f aca="true">IF(INDIRECT("brand_form!A"&amp;ROW())="","",IF(IF(INDIRECT("brand_form!S"&amp;ROW())="","",INDIRECT("brand_form!S"&amp;ROW()))="Yes","Y",IF(IF(INDIRECT("brand_form!S"&amp;ROW())="","",INDIRECT("brand_form!S"&amp;ROW()))="No","N",IF(IF(INDIRECT("brand_form!S"&amp;ROW())="","",INDIRECT("brand_form!S"&amp;ROW()))="Not sure","unsure",""))))</f>
        <v/>
      </c>
      <c r="U54" s="30" t="str">
        <f aca="true">IF(INDIRECT("brand_form!A"&amp;ROW())="","",IF(IF(INDIRECT("brand_form!T"&amp;ROW())="","",INDIRECT("brand_form!T"&amp;ROW()))="Yes","Y",IF(IF(INDIRECT("brand_form!T"&amp;ROW())="","",INDIRECT("brand_form!T"&amp;ROW()))="No","N",IF(IF(INDIRECT("brand_form!T"&amp;ROW())="","",INDIRECT("brand_form!T"&amp;ROW()))="Not sure","unsure",""))))</f>
        <v/>
      </c>
      <c r="V54" s="30" t="str">
        <f aca="true">IF(INDIRECT("brand_form!A"&amp;ROW())="","",IF(IF(INDIRECT("brand_form!U"&amp;ROW())="","",INDIRECT("brand_form!U"&amp;ROW()))="Yes","Y",IF(IF(INDIRECT("brand_form!U"&amp;ROW())="","",INDIRECT("brand_form!U"&amp;ROW()))="No","N",IF(IF(INDIRECT("brand_form!U"&amp;ROW())="","",INDIRECT("brand_form!U"&amp;ROW()))="Not sure","unsure",""))))</f>
        <v/>
      </c>
      <c r="W54" s="30" t="str">
        <f aca="true">IF(INDIRECT("brand_form!A"&amp;ROW())="","",IF(IF(INDIRECT("brand_form!V"&amp;ROW())="","",INDIRECT("brand_form!V"&amp;ROW()))="Yes","Y",IF(IF(INDIRECT("brand_form!V"&amp;ROW())="","",INDIRECT("brand_form!V"&amp;ROW()))="No","N",IF(IF(INDIRECT("brand_form!V"&amp;ROW())="","",INDIRECT("brand_form!V"&amp;ROW()))="Not sure","unsure",""))))</f>
        <v/>
      </c>
      <c r="X54" s="30" t="str">
        <f aca="true">IF(INDIRECT("brand_form!A"&amp;ROW())="","",IF(INDIRECT("brand_form!W"&amp;ROW())="","",INDIRECT("brand_form!W"&amp;ROW())))</f>
        <v/>
      </c>
      <c r="Y54" s="30" t="str">
        <f aca="true">IF(INDIRECT("brand_form!A"&amp;ROW())="","",IF(IF(INDIRECT("brand_form!X"&amp;ROW())="","",INDIRECT("brand_form!X"&amp;ROW()))&lt;&gt;"","Y",""))</f>
        <v/>
      </c>
      <c r="Z54" s="30" t="str">
        <f aca="true">IF(INDIRECT("brand_form!A"&amp;ROW())="","",IF(INDIRECT("brand_form!Y"&amp;ROW())="","",INDIRECT("brand_form!Y"&amp;ROW())))</f>
        <v/>
      </c>
      <c r="AA54" s="30" t="str">
        <f aca="true">IF(INDIRECT("brand_form!A"&amp;ROW())="","","founder")</f>
        <v/>
      </c>
    </row>
    <row r="55" customFormat="false" ht="15" hidden="false" customHeight="false" outlineLevel="0" collapsed="false">
      <c r="A55" s="30" t="str">
        <f aca="true">IF(INDIRECT("brand_form!A"&amp;ROW())="","",TEXT(INDIRECT("brand_form!A"&amp;ROW()),"yyyy-mm-dd""T""hh:mm:ss"))</f>
        <v/>
      </c>
      <c r="B55" s="30" t="str">
        <f aca="true">IF(INDIRECT("brand_form!A"&amp;ROW())="","",config!$B$35)</f>
        <v/>
      </c>
      <c r="C55" s="30" t="str">
        <f aca="true">IF(INDIRECT("brand_form!A"&amp;ROW())="","",IF(INDIRECT("brand_form!B"&amp;ROW())="","",INDIRECT("brand_form!B"&amp;ROW())))</f>
        <v/>
      </c>
      <c r="D5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5" s="30" t="str">
        <f aca="true">IF(INDIRECT("brand_form!A"&amp;ROW())="","",IF(INDIRECT("brand_form!G"&amp;ROW())="","",INDIRECT("brand_form!G"&amp;ROW())))</f>
        <v/>
      </c>
      <c r="F55" s="30" t="str">
        <f aca="true">IF(INDIRECT("brand_form!A"&amp;ROW())="","",IF(INDIRECT("brand_form!H"&amp;ROW())="","",INDIRECT("brand_form!H"&amp;ROW())))</f>
        <v/>
      </c>
      <c r="G55" s="30" t="str">
        <f aca="true">IF(INDIRECT("brand_form!A"&amp;ROW())="","",IF(INDIRECT("brand_form!I"&amp;ROW())="","",INDIRECT("brand_form!I"&amp;ROW())))</f>
        <v/>
      </c>
      <c r="H55" s="30" t="str">
        <f aca="true">IF(INDIRECT("brand_form!A"&amp;ROW())="","",IF(INDIRECT("brand_form!J"&amp;ROW())="","",INDIRECT("brand_form!J"&amp;ROW())))</f>
        <v/>
      </c>
      <c r="I55" s="30" t="str">
        <f aca="true">IF(INDIRECT("brand_form!A"&amp;ROW())="","",IF(INDIRECT("brand_form!D"&amp;ROW())="","",INDIRECT("brand_form!D"&amp;ROW())))</f>
        <v/>
      </c>
      <c r="J5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30" t="str">
        <f aca="true">IF(INDIRECT("brand_form!A"&amp;ROW())="","",IF(INDIRECT("brand_form!F"&amp;ROW())="","",INDIRECT("brand_form!F"&amp;ROW())))</f>
        <v/>
      </c>
      <c r="L55" s="30" t="str">
        <f aca="true">IF(INDIRECT("brand_form!A"&amp;ROW())="","",IF(INDIRECT("brand_form!M"&amp;ROW())="","",INDIRECT("brand_form!M"&amp;ROW())))</f>
        <v/>
      </c>
      <c r="M5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5" s="30" t="str">
        <f aca="true">IF(INDIRECT("brand_form!A"&amp;ROW())="","",IF(IF(INDIRECT("brand_form!O"&amp;ROW())="","",INDIRECT("brand_form!O"&amp;ROW()))="Yes","Y",IF(IF(INDIRECT("brand_form!O"&amp;ROW())="","",INDIRECT("brand_form!O"&amp;ROW()))="No","N","")))</f>
        <v/>
      </c>
      <c r="O5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30" t="str">
        <f aca="true">IF(INDIRECT("brand_form!A"&amp;ROW())="","",IF(IF(INDIRECT("brand_form!K"&amp;ROW())="","",INDIRECT("brand_form!K"&amp;ROW()))="I do","Y",IF(IF(INDIRECT("brand_form!K"&amp;ROW())="","",INDIRECT("brand_form!K"&amp;ROW()))="Someone else","N","")))</f>
        <v/>
      </c>
      <c r="Q55" s="30" t="str">
        <f aca="true">IF(INDIRECT("brand_form!A"&amp;ROW())="","",IF($P55="Y",$E55&amp;", "&amp;$F55,IF(INDIRECT("brand_form!L"&amp;ROW())="","",INDIRECT("brand_form!L"&amp;ROW()))))</f>
        <v/>
      </c>
      <c r="R55" s="30" t="str">
        <f aca="true">IF(INDIRECT("brand_form!A"&amp;ROW())="","",IF(IF(INDIRECT("brand_form!Q"&amp;ROW())="","",INDIRECT("brand_form!Q"&amp;ROW()))="Yes","Y",IF(IF(INDIRECT("brand_form!Q"&amp;ROW())="","",INDIRECT("brand_form!Q"&amp;ROW()))="No","N",IF(IF(INDIRECT("brand_form!Q"&amp;ROW())="","",INDIRECT("brand_form!Q"&amp;ROW()))="Not sure","unsure",""))))</f>
        <v/>
      </c>
      <c r="S55" s="30" t="str">
        <f aca="true">IF(INDIRECT("brand_form!A"&amp;ROW())="","",IF(IF(INDIRECT("brand_form!R"&amp;ROW())="","",INDIRECT("brand_form!R"&amp;ROW()))="Yes","Y",IF(IF(INDIRECT("brand_form!R"&amp;ROW())="","",INDIRECT("brand_form!R"&amp;ROW()))="No","N",IF(IF(INDIRECT("brand_form!R"&amp;ROW())="","",INDIRECT("brand_form!R"&amp;ROW()))="Not sure","unsure",""))))</f>
        <v/>
      </c>
      <c r="T55" s="30" t="str">
        <f aca="true">IF(INDIRECT("brand_form!A"&amp;ROW())="","",IF(IF(INDIRECT("brand_form!S"&amp;ROW())="","",INDIRECT("brand_form!S"&amp;ROW()))="Yes","Y",IF(IF(INDIRECT("brand_form!S"&amp;ROW())="","",INDIRECT("brand_form!S"&amp;ROW()))="No","N",IF(IF(INDIRECT("brand_form!S"&amp;ROW())="","",INDIRECT("brand_form!S"&amp;ROW()))="Not sure","unsure",""))))</f>
        <v/>
      </c>
      <c r="U55" s="30" t="str">
        <f aca="true">IF(INDIRECT("brand_form!A"&amp;ROW())="","",IF(IF(INDIRECT("brand_form!T"&amp;ROW())="","",INDIRECT("brand_form!T"&amp;ROW()))="Yes","Y",IF(IF(INDIRECT("brand_form!T"&amp;ROW())="","",INDIRECT("brand_form!T"&amp;ROW()))="No","N",IF(IF(INDIRECT("brand_form!T"&amp;ROW())="","",INDIRECT("brand_form!T"&amp;ROW()))="Not sure","unsure",""))))</f>
        <v/>
      </c>
      <c r="V55" s="30" t="str">
        <f aca="true">IF(INDIRECT("brand_form!A"&amp;ROW())="","",IF(IF(INDIRECT("brand_form!U"&amp;ROW())="","",INDIRECT("brand_form!U"&amp;ROW()))="Yes","Y",IF(IF(INDIRECT("brand_form!U"&amp;ROW())="","",INDIRECT("brand_form!U"&amp;ROW()))="No","N",IF(IF(INDIRECT("brand_form!U"&amp;ROW())="","",INDIRECT("brand_form!U"&amp;ROW()))="Not sure","unsure",""))))</f>
        <v/>
      </c>
      <c r="W55" s="30" t="str">
        <f aca="true">IF(INDIRECT("brand_form!A"&amp;ROW())="","",IF(IF(INDIRECT("brand_form!V"&amp;ROW())="","",INDIRECT("brand_form!V"&amp;ROW()))="Yes","Y",IF(IF(INDIRECT("brand_form!V"&amp;ROW())="","",INDIRECT("brand_form!V"&amp;ROW()))="No","N",IF(IF(INDIRECT("brand_form!V"&amp;ROW())="","",INDIRECT("brand_form!V"&amp;ROW()))="Not sure","unsure",""))))</f>
        <v/>
      </c>
      <c r="X55" s="30" t="str">
        <f aca="true">IF(INDIRECT("brand_form!A"&amp;ROW())="","",IF(INDIRECT("brand_form!W"&amp;ROW())="","",INDIRECT("brand_form!W"&amp;ROW())))</f>
        <v/>
      </c>
      <c r="Y55" s="30" t="str">
        <f aca="true">IF(INDIRECT("brand_form!A"&amp;ROW())="","",IF(IF(INDIRECT("brand_form!X"&amp;ROW())="","",INDIRECT("brand_form!X"&amp;ROW()))&lt;&gt;"","Y",""))</f>
        <v/>
      </c>
      <c r="Z55" s="30" t="str">
        <f aca="true">IF(INDIRECT("brand_form!A"&amp;ROW())="","",IF(INDIRECT("brand_form!Y"&amp;ROW())="","",INDIRECT("brand_form!Y"&amp;ROW())))</f>
        <v/>
      </c>
      <c r="AA55" s="30" t="str">
        <f aca="true">IF(INDIRECT("brand_form!A"&amp;ROW())="","","founder")</f>
        <v/>
      </c>
    </row>
    <row r="56" customFormat="false" ht="15" hidden="false" customHeight="false" outlineLevel="0" collapsed="false">
      <c r="A56" s="30" t="str">
        <f aca="true">IF(INDIRECT("brand_form!A"&amp;ROW())="","",TEXT(INDIRECT("brand_form!A"&amp;ROW()),"yyyy-mm-dd""T""hh:mm:ss"))</f>
        <v/>
      </c>
      <c r="B56" s="30" t="str">
        <f aca="true">IF(INDIRECT("brand_form!A"&amp;ROW())="","",config!$B$35)</f>
        <v/>
      </c>
      <c r="C56" s="30" t="str">
        <f aca="true">IF(INDIRECT("brand_form!A"&amp;ROW())="","",IF(INDIRECT("brand_form!B"&amp;ROW())="","",INDIRECT("brand_form!B"&amp;ROW())))</f>
        <v/>
      </c>
      <c r="D5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6" s="30" t="str">
        <f aca="true">IF(INDIRECT("brand_form!A"&amp;ROW())="","",IF(INDIRECT("brand_form!G"&amp;ROW())="","",INDIRECT("brand_form!G"&amp;ROW())))</f>
        <v/>
      </c>
      <c r="F56" s="30" t="str">
        <f aca="true">IF(INDIRECT("brand_form!A"&amp;ROW())="","",IF(INDIRECT("brand_form!H"&amp;ROW())="","",INDIRECT("brand_form!H"&amp;ROW())))</f>
        <v/>
      </c>
      <c r="G56" s="30" t="str">
        <f aca="true">IF(INDIRECT("brand_form!A"&amp;ROW())="","",IF(INDIRECT("brand_form!I"&amp;ROW())="","",INDIRECT("brand_form!I"&amp;ROW())))</f>
        <v/>
      </c>
      <c r="H56" s="30" t="str">
        <f aca="true">IF(INDIRECT("brand_form!A"&amp;ROW())="","",IF(INDIRECT("brand_form!J"&amp;ROW())="","",INDIRECT("brand_form!J"&amp;ROW())))</f>
        <v/>
      </c>
      <c r="I56" s="30" t="str">
        <f aca="true">IF(INDIRECT("brand_form!A"&amp;ROW())="","",IF(INDIRECT("brand_form!D"&amp;ROW())="","",INDIRECT("brand_form!D"&amp;ROW())))</f>
        <v/>
      </c>
      <c r="J5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30" t="str">
        <f aca="true">IF(INDIRECT("brand_form!A"&amp;ROW())="","",IF(INDIRECT("brand_form!F"&amp;ROW())="","",INDIRECT("brand_form!F"&amp;ROW())))</f>
        <v/>
      </c>
      <c r="L56" s="30" t="str">
        <f aca="true">IF(INDIRECT("brand_form!A"&amp;ROW())="","",IF(INDIRECT("brand_form!M"&amp;ROW())="","",INDIRECT("brand_form!M"&amp;ROW())))</f>
        <v/>
      </c>
      <c r="M5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6" s="30" t="str">
        <f aca="true">IF(INDIRECT("brand_form!A"&amp;ROW())="","",IF(IF(INDIRECT("brand_form!O"&amp;ROW())="","",INDIRECT("brand_form!O"&amp;ROW()))="Yes","Y",IF(IF(INDIRECT("brand_form!O"&amp;ROW())="","",INDIRECT("brand_form!O"&amp;ROW()))="No","N","")))</f>
        <v/>
      </c>
      <c r="O5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30" t="str">
        <f aca="true">IF(INDIRECT("brand_form!A"&amp;ROW())="","",IF(IF(INDIRECT("brand_form!K"&amp;ROW())="","",INDIRECT("brand_form!K"&amp;ROW()))="I do","Y",IF(IF(INDIRECT("brand_form!K"&amp;ROW())="","",INDIRECT("brand_form!K"&amp;ROW()))="Someone else","N","")))</f>
        <v/>
      </c>
      <c r="Q56" s="30" t="str">
        <f aca="true">IF(INDIRECT("brand_form!A"&amp;ROW())="","",IF($P56="Y",$E56&amp;", "&amp;$F56,IF(INDIRECT("brand_form!L"&amp;ROW())="","",INDIRECT("brand_form!L"&amp;ROW()))))</f>
        <v/>
      </c>
      <c r="R56" s="30" t="str">
        <f aca="true">IF(INDIRECT("brand_form!A"&amp;ROW())="","",IF(IF(INDIRECT("brand_form!Q"&amp;ROW())="","",INDIRECT("brand_form!Q"&amp;ROW()))="Yes","Y",IF(IF(INDIRECT("brand_form!Q"&amp;ROW())="","",INDIRECT("brand_form!Q"&amp;ROW()))="No","N",IF(IF(INDIRECT("brand_form!Q"&amp;ROW())="","",INDIRECT("brand_form!Q"&amp;ROW()))="Not sure","unsure",""))))</f>
        <v/>
      </c>
      <c r="S56" s="30" t="str">
        <f aca="true">IF(INDIRECT("brand_form!A"&amp;ROW())="","",IF(IF(INDIRECT("brand_form!R"&amp;ROW())="","",INDIRECT("brand_form!R"&amp;ROW()))="Yes","Y",IF(IF(INDIRECT("brand_form!R"&amp;ROW())="","",INDIRECT("brand_form!R"&amp;ROW()))="No","N",IF(IF(INDIRECT("brand_form!R"&amp;ROW())="","",INDIRECT("brand_form!R"&amp;ROW()))="Not sure","unsure",""))))</f>
        <v/>
      </c>
      <c r="T56" s="30" t="str">
        <f aca="true">IF(INDIRECT("brand_form!A"&amp;ROW())="","",IF(IF(INDIRECT("brand_form!S"&amp;ROW())="","",INDIRECT("brand_form!S"&amp;ROW()))="Yes","Y",IF(IF(INDIRECT("brand_form!S"&amp;ROW())="","",INDIRECT("brand_form!S"&amp;ROW()))="No","N",IF(IF(INDIRECT("brand_form!S"&amp;ROW())="","",INDIRECT("brand_form!S"&amp;ROW()))="Not sure","unsure",""))))</f>
        <v/>
      </c>
      <c r="U56" s="30" t="str">
        <f aca="true">IF(INDIRECT("brand_form!A"&amp;ROW())="","",IF(IF(INDIRECT("brand_form!T"&amp;ROW())="","",INDIRECT("brand_form!T"&amp;ROW()))="Yes","Y",IF(IF(INDIRECT("brand_form!T"&amp;ROW())="","",INDIRECT("brand_form!T"&amp;ROW()))="No","N",IF(IF(INDIRECT("brand_form!T"&amp;ROW())="","",INDIRECT("brand_form!T"&amp;ROW()))="Not sure","unsure",""))))</f>
        <v/>
      </c>
      <c r="V56" s="30" t="str">
        <f aca="true">IF(INDIRECT("brand_form!A"&amp;ROW())="","",IF(IF(INDIRECT("brand_form!U"&amp;ROW())="","",INDIRECT("brand_form!U"&amp;ROW()))="Yes","Y",IF(IF(INDIRECT("brand_form!U"&amp;ROW())="","",INDIRECT("brand_form!U"&amp;ROW()))="No","N",IF(IF(INDIRECT("brand_form!U"&amp;ROW())="","",INDIRECT("brand_form!U"&amp;ROW()))="Not sure","unsure",""))))</f>
        <v/>
      </c>
      <c r="W56" s="30" t="str">
        <f aca="true">IF(INDIRECT("brand_form!A"&amp;ROW())="","",IF(IF(INDIRECT("brand_form!V"&amp;ROW())="","",INDIRECT("brand_form!V"&amp;ROW()))="Yes","Y",IF(IF(INDIRECT("brand_form!V"&amp;ROW())="","",INDIRECT("brand_form!V"&amp;ROW()))="No","N",IF(IF(INDIRECT("brand_form!V"&amp;ROW())="","",INDIRECT("brand_form!V"&amp;ROW()))="Not sure","unsure",""))))</f>
        <v/>
      </c>
      <c r="X56" s="30" t="str">
        <f aca="true">IF(INDIRECT("brand_form!A"&amp;ROW())="","",IF(INDIRECT("brand_form!W"&amp;ROW())="","",INDIRECT("brand_form!W"&amp;ROW())))</f>
        <v/>
      </c>
      <c r="Y56" s="30" t="str">
        <f aca="true">IF(INDIRECT("brand_form!A"&amp;ROW())="","",IF(IF(INDIRECT("brand_form!X"&amp;ROW())="","",INDIRECT("brand_form!X"&amp;ROW()))&lt;&gt;"","Y",""))</f>
        <v/>
      </c>
      <c r="Z56" s="30" t="str">
        <f aca="true">IF(INDIRECT("brand_form!A"&amp;ROW())="","",IF(INDIRECT("brand_form!Y"&amp;ROW())="","",INDIRECT("brand_form!Y"&amp;ROW())))</f>
        <v/>
      </c>
      <c r="AA56" s="30" t="str">
        <f aca="true">IF(INDIRECT("brand_form!A"&amp;ROW())="","","founder")</f>
        <v/>
      </c>
    </row>
    <row r="57" customFormat="false" ht="15" hidden="false" customHeight="false" outlineLevel="0" collapsed="false">
      <c r="A57" s="30" t="str">
        <f aca="true">IF(INDIRECT("brand_form!A"&amp;ROW())="","",TEXT(INDIRECT("brand_form!A"&amp;ROW()),"yyyy-mm-dd""T""hh:mm:ss"))</f>
        <v/>
      </c>
      <c r="B57" s="30" t="str">
        <f aca="true">IF(INDIRECT("brand_form!A"&amp;ROW())="","",config!$B$35)</f>
        <v/>
      </c>
      <c r="C57" s="30" t="str">
        <f aca="true">IF(INDIRECT("brand_form!A"&amp;ROW())="","",IF(INDIRECT("brand_form!B"&amp;ROW())="","",INDIRECT("brand_form!B"&amp;ROW())))</f>
        <v/>
      </c>
      <c r="D5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7" s="30" t="str">
        <f aca="true">IF(INDIRECT("brand_form!A"&amp;ROW())="","",IF(INDIRECT("brand_form!G"&amp;ROW())="","",INDIRECT("brand_form!G"&amp;ROW())))</f>
        <v/>
      </c>
      <c r="F57" s="30" t="str">
        <f aca="true">IF(INDIRECT("brand_form!A"&amp;ROW())="","",IF(INDIRECT("brand_form!H"&amp;ROW())="","",INDIRECT("brand_form!H"&amp;ROW())))</f>
        <v/>
      </c>
      <c r="G57" s="30" t="str">
        <f aca="true">IF(INDIRECT("brand_form!A"&amp;ROW())="","",IF(INDIRECT("brand_form!I"&amp;ROW())="","",INDIRECT("brand_form!I"&amp;ROW())))</f>
        <v/>
      </c>
      <c r="H57" s="30" t="str">
        <f aca="true">IF(INDIRECT("brand_form!A"&amp;ROW())="","",IF(INDIRECT("brand_form!J"&amp;ROW())="","",INDIRECT("brand_form!J"&amp;ROW())))</f>
        <v/>
      </c>
      <c r="I57" s="30" t="str">
        <f aca="true">IF(INDIRECT("brand_form!A"&amp;ROW())="","",IF(INDIRECT("brand_form!D"&amp;ROW())="","",INDIRECT("brand_form!D"&amp;ROW())))</f>
        <v/>
      </c>
      <c r="J5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30" t="str">
        <f aca="true">IF(INDIRECT("brand_form!A"&amp;ROW())="","",IF(INDIRECT("brand_form!F"&amp;ROW())="","",INDIRECT("brand_form!F"&amp;ROW())))</f>
        <v/>
      </c>
      <c r="L57" s="30" t="str">
        <f aca="true">IF(INDIRECT("brand_form!A"&amp;ROW())="","",IF(INDIRECT("brand_form!M"&amp;ROW())="","",INDIRECT("brand_form!M"&amp;ROW())))</f>
        <v/>
      </c>
      <c r="M5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7" s="30" t="str">
        <f aca="true">IF(INDIRECT("brand_form!A"&amp;ROW())="","",IF(IF(INDIRECT("brand_form!O"&amp;ROW())="","",INDIRECT("brand_form!O"&amp;ROW()))="Yes","Y",IF(IF(INDIRECT("brand_form!O"&amp;ROW())="","",INDIRECT("brand_form!O"&amp;ROW()))="No","N","")))</f>
        <v/>
      </c>
      <c r="O5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30" t="str">
        <f aca="true">IF(INDIRECT("brand_form!A"&amp;ROW())="","",IF(IF(INDIRECT("brand_form!K"&amp;ROW())="","",INDIRECT("brand_form!K"&amp;ROW()))="I do","Y",IF(IF(INDIRECT("brand_form!K"&amp;ROW())="","",INDIRECT("brand_form!K"&amp;ROW()))="Someone else","N","")))</f>
        <v/>
      </c>
      <c r="Q57" s="30" t="str">
        <f aca="true">IF(INDIRECT("brand_form!A"&amp;ROW())="","",IF($P57="Y",$E57&amp;", "&amp;$F57,IF(INDIRECT("brand_form!L"&amp;ROW())="","",INDIRECT("brand_form!L"&amp;ROW()))))</f>
        <v/>
      </c>
      <c r="R57" s="30" t="str">
        <f aca="true">IF(INDIRECT("brand_form!A"&amp;ROW())="","",IF(IF(INDIRECT("brand_form!Q"&amp;ROW())="","",INDIRECT("brand_form!Q"&amp;ROW()))="Yes","Y",IF(IF(INDIRECT("brand_form!Q"&amp;ROW())="","",INDIRECT("brand_form!Q"&amp;ROW()))="No","N",IF(IF(INDIRECT("brand_form!Q"&amp;ROW())="","",INDIRECT("brand_form!Q"&amp;ROW()))="Not sure","unsure",""))))</f>
        <v/>
      </c>
      <c r="S57" s="30" t="str">
        <f aca="true">IF(INDIRECT("brand_form!A"&amp;ROW())="","",IF(IF(INDIRECT("brand_form!R"&amp;ROW())="","",INDIRECT("brand_form!R"&amp;ROW()))="Yes","Y",IF(IF(INDIRECT("brand_form!R"&amp;ROW())="","",INDIRECT("brand_form!R"&amp;ROW()))="No","N",IF(IF(INDIRECT("brand_form!R"&amp;ROW())="","",INDIRECT("brand_form!R"&amp;ROW()))="Not sure","unsure",""))))</f>
        <v/>
      </c>
      <c r="T57" s="30" t="str">
        <f aca="true">IF(INDIRECT("brand_form!A"&amp;ROW())="","",IF(IF(INDIRECT("brand_form!S"&amp;ROW())="","",INDIRECT("brand_form!S"&amp;ROW()))="Yes","Y",IF(IF(INDIRECT("brand_form!S"&amp;ROW())="","",INDIRECT("brand_form!S"&amp;ROW()))="No","N",IF(IF(INDIRECT("brand_form!S"&amp;ROW())="","",INDIRECT("brand_form!S"&amp;ROW()))="Not sure","unsure",""))))</f>
        <v/>
      </c>
      <c r="U57" s="30" t="str">
        <f aca="true">IF(INDIRECT("brand_form!A"&amp;ROW())="","",IF(IF(INDIRECT("brand_form!T"&amp;ROW())="","",INDIRECT("brand_form!T"&amp;ROW()))="Yes","Y",IF(IF(INDIRECT("brand_form!T"&amp;ROW())="","",INDIRECT("brand_form!T"&amp;ROW()))="No","N",IF(IF(INDIRECT("brand_form!T"&amp;ROW())="","",INDIRECT("brand_form!T"&amp;ROW()))="Not sure","unsure",""))))</f>
        <v/>
      </c>
      <c r="V57" s="30" t="str">
        <f aca="true">IF(INDIRECT("brand_form!A"&amp;ROW())="","",IF(IF(INDIRECT("brand_form!U"&amp;ROW())="","",INDIRECT("brand_form!U"&amp;ROW()))="Yes","Y",IF(IF(INDIRECT("brand_form!U"&amp;ROW())="","",INDIRECT("brand_form!U"&amp;ROW()))="No","N",IF(IF(INDIRECT("brand_form!U"&amp;ROW())="","",INDIRECT("brand_form!U"&amp;ROW()))="Not sure","unsure",""))))</f>
        <v/>
      </c>
      <c r="W57" s="30" t="str">
        <f aca="true">IF(INDIRECT("brand_form!A"&amp;ROW())="","",IF(IF(INDIRECT("brand_form!V"&amp;ROW())="","",INDIRECT("brand_form!V"&amp;ROW()))="Yes","Y",IF(IF(INDIRECT("brand_form!V"&amp;ROW())="","",INDIRECT("brand_form!V"&amp;ROW()))="No","N",IF(IF(INDIRECT("brand_form!V"&amp;ROW())="","",INDIRECT("brand_form!V"&amp;ROW()))="Not sure","unsure",""))))</f>
        <v/>
      </c>
      <c r="X57" s="30" t="str">
        <f aca="true">IF(INDIRECT("brand_form!A"&amp;ROW())="","",IF(INDIRECT("brand_form!W"&amp;ROW())="","",INDIRECT("brand_form!W"&amp;ROW())))</f>
        <v/>
      </c>
      <c r="Y57" s="30" t="str">
        <f aca="true">IF(INDIRECT("brand_form!A"&amp;ROW())="","",IF(IF(INDIRECT("brand_form!X"&amp;ROW())="","",INDIRECT("brand_form!X"&amp;ROW()))&lt;&gt;"","Y",""))</f>
        <v/>
      </c>
      <c r="Z57" s="30" t="str">
        <f aca="true">IF(INDIRECT("brand_form!A"&amp;ROW())="","",IF(INDIRECT("brand_form!Y"&amp;ROW())="","",INDIRECT("brand_form!Y"&amp;ROW())))</f>
        <v/>
      </c>
      <c r="AA57" s="30" t="str">
        <f aca="true">IF(INDIRECT("brand_form!A"&amp;ROW())="","","founder")</f>
        <v/>
      </c>
    </row>
    <row r="58" customFormat="false" ht="15" hidden="false" customHeight="false" outlineLevel="0" collapsed="false">
      <c r="A58" s="30" t="str">
        <f aca="true">IF(INDIRECT("brand_form!A"&amp;ROW())="","",TEXT(INDIRECT("brand_form!A"&amp;ROW()),"yyyy-mm-dd""T""hh:mm:ss"))</f>
        <v/>
      </c>
      <c r="B58" s="30" t="str">
        <f aca="true">IF(INDIRECT("brand_form!A"&amp;ROW())="","",config!$B$35)</f>
        <v/>
      </c>
      <c r="C58" s="30" t="str">
        <f aca="true">IF(INDIRECT("brand_form!A"&amp;ROW())="","",IF(INDIRECT("brand_form!B"&amp;ROW())="","",INDIRECT("brand_form!B"&amp;ROW())))</f>
        <v/>
      </c>
      <c r="D5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8" s="30" t="str">
        <f aca="true">IF(INDIRECT("brand_form!A"&amp;ROW())="","",IF(INDIRECT("brand_form!G"&amp;ROW())="","",INDIRECT("brand_form!G"&amp;ROW())))</f>
        <v/>
      </c>
      <c r="F58" s="30" t="str">
        <f aca="true">IF(INDIRECT("brand_form!A"&amp;ROW())="","",IF(INDIRECT("brand_form!H"&amp;ROW())="","",INDIRECT("brand_form!H"&amp;ROW())))</f>
        <v/>
      </c>
      <c r="G58" s="30" t="str">
        <f aca="true">IF(INDIRECT("brand_form!A"&amp;ROW())="","",IF(INDIRECT("brand_form!I"&amp;ROW())="","",INDIRECT("brand_form!I"&amp;ROW())))</f>
        <v/>
      </c>
      <c r="H58" s="30" t="str">
        <f aca="true">IF(INDIRECT("brand_form!A"&amp;ROW())="","",IF(INDIRECT("brand_form!J"&amp;ROW())="","",INDIRECT("brand_form!J"&amp;ROW())))</f>
        <v/>
      </c>
      <c r="I58" s="30" t="str">
        <f aca="true">IF(INDIRECT("brand_form!A"&amp;ROW())="","",IF(INDIRECT("brand_form!D"&amp;ROW())="","",INDIRECT("brand_form!D"&amp;ROW())))</f>
        <v/>
      </c>
      <c r="J5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30" t="str">
        <f aca="true">IF(INDIRECT("brand_form!A"&amp;ROW())="","",IF(INDIRECT("brand_form!F"&amp;ROW())="","",INDIRECT("brand_form!F"&amp;ROW())))</f>
        <v/>
      </c>
      <c r="L58" s="30" t="str">
        <f aca="true">IF(INDIRECT("brand_form!A"&amp;ROW())="","",IF(INDIRECT("brand_form!M"&amp;ROW())="","",INDIRECT("brand_form!M"&amp;ROW())))</f>
        <v/>
      </c>
      <c r="M5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8" s="30" t="str">
        <f aca="true">IF(INDIRECT("brand_form!A"&amp;ROW())="","",IF(IF(INDIRECT("brand_form!O"&amp;ROW())="","",INDIRECT("brand_form!O"&amp;ROW()))="Yes","Y",IF(IF(INDIRECT("brand_form!O"&amp;ROW())="","",INDIRECT("brand_form!O"&amp;ROW()))="No","N","")))</f>
        <v/>
      </c>
      <c r="O5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30" t="str">
        <f aca="true">IF(INDIRECT("brand_form!A"&amp;ROW())="","",IF(IF(INDIRECT("brand_form!K"&amp;ROW())="","",INDIRECT("brand_form!K"&amp;ROW()))="I do","Y",IF(IF(INDIRECT("brand_form!K"&amp;ROW())="","",INDIRECT("brand_form!K"&amp;ROW()))="Someone else","N","")))</f>
        <v/>
      </c>
      <c r="Q58" s="30" t="str">
        <f aca="true">IF(INDIRECT("brand_form!A"&amp;ROW())="","",IF($P58="Y",$E58&amp;", "&amp;$F58,IF(INDIRECT("brand_form!L"&amp;ROW())="","",INDIRECT("brand_form!L"&amp;ROW()))))</f>
        <v/>
      </c>
      <c r="R58" s="30" t="str">
        <f aca="true">IF(INDIRECT("brand_form!A"&amp;ROW())="","",IF(IF(INDIRECT("brand_form!Q"&amp;ROW())="","",INDIRECT("brand_form!Q"&amp;ROW()))="Yes","Y",IF(IF(INDIRECT("brand_form!Q"&amp;ROW())="","",INDIRECT("brand_form!Q"&amp;ROW()))="No","N",IF(IF(INDIRECT("brand_form!Q"&amp;ROW())="","",INDIRECT("brand_form!Q"&amp;ROW()))="Not sure","unsure",""))))</f>
        <v/>
      </c>
      <c r="S58" s="30" t="str">
        <f aca="true">IF(INDIRECT("brand_form!A"&amp;ROW())="","",IF(IF(INDIRECT("brand_form!R"&amp;ROW())="","",INDIRECT("brand_form!R"&amp;ROW()))="Yes","Y",IF(IF(INDIRECT("brand_form!R"&amp;ROW())="","",INDIRECT("brand_form!R"&amp;ROW()))="No","N",IF(IF(INDIRECT("brand_form!R"&amp;ROW())="","",INDIRECT("brand_form!R"&amp;ROW()))="Not sure","unsure",""))))</f>
        <v/>
      </c>
      <c r="T58" s="30" t="str">
        <f aca="true">IF(INDIRECT("brand_form!A"&amp;ROW())="","",IF(IF(INDIRECT("brand_form!S"&amp;ROW())="","",INDIRECT("brand_form!S"&amp;ROW()))="Yes","Y",IF(IF(INDIRECT("brand_form!S"&amp;ROW())="","",INDIRECT("brand_form!S"&amp;ROW()))="No","N",IF(IF(INDIRECT("brand_form!S"&amp;ROW())="","",INDIRECT("brand_form!S"&amp;ROW()))="Not sure","unsure",""))))</f>
        <v/>
      </c>
      <c r="U58" s="30" t="str">
        <f aca="true">IF(INDIRECT("brand_form!A"&amp;ROW())="","",IF(IF(INDIRECT("brand_form!T"&amp;ROW())="","",INDIRECT("brand_form!T"&amp;ROW()))="Yes","Y",IF(IF(INDIRECT("brand_form!T"&amp;ROW())="","",INDIRECT("brand_form!T"&amp;ROW()))="No","N",IF(IF(INDIRECT("brand_form!T"&amp;ROW())="","",INDIRECT("brand_form!T"&amp;ROW()))="Not sure","unsure",""))))</f>
        <v/>
      </c>
      <c r="V58" s="30" t="str">
        <f aca="true">IF(INDIRECT("brand_form!A"&amp;ROW())="","",IF(IF(INDIRECT("brand_form!U"&amp;ROW())="","",INDIRECT("brand_form!U"&amp;ROW()))="Yes","Y",IF(IF(INDIRECT("brand_form!U"&amp;ROW())="","",INDIRECT("brand_form!U"&amp;ROW()))="No","N",IF(IF(INDIRECT("brand_form!U"&amp;ROW())="","",INDIRECT("brand_form!U"&amp;ROW()))="Not sure","unsure",""))))</f>
        <v/>
      </c>
      <c r="W58" s="30" t="str">
        <f aca="true">IF(INDIRECT("brand_form!A"&amp;ROW())="","",IF(IF(INDIRECT("brand_form!V"&amp;ROW())="","",INDIRECT("brand_form!V"&amp;ROW()))="Yes","Y",IF(IF(INDIRECT("brand_form!V"&amp;ROW())="","",INDIRECT("brand_form!V"&amp;ROW()))="No","N",IF(IF(INDIRECT("brand_form!V"&amp;ROW())="","",INDIRECT("brand_form!V"&amp;ROW()))="Not sure","unsure",""))))</f>
        <v/>
      </c>
      <c r="X58" s="30" t="str">
        <f aca="true">IF(INDIRECT("brand_form!A"&amp;ROW())="","",IF(INDIRECT("brand_form!W"&amp;ROW())="","",INDIRECT("brand_form!W"&amp;ROW())))</f>
        <v/>
      </c>
      <c r="Y58" s="30" t="str">
        <f aca="true">IF(INDIRECT("brand_form!A"&amp;ROW())="","",IF(IF(INDIRECT("brand_form!X"&amp;ROW())="","",INDIRECT("brand_form!X"&amp;ROW()))&lt;&gt;"","Y",""))</f>
        <v/>
      </c>
      <c r="Z58" s="30" t="str">
        <f aca="true">IF(INDIRECT("brand_form!A"&amp;ROW())="","",IF(INDIRECT("brand_form!Y"&amp;ROW())="","",INDIRECT("brand_form!Y"&amp;ROW())))</f>
        <v/>
      </c>
      <c r="AA58" s="30" t="str">
        <f aca="true">IF(INDIRECT("brand_form!A"&amp;ROW())="","","founder")</f>
        <v/>
      </c>
    </row>
    <row r="59" customFormat="false" ht="15" hidden="false" customHeight="false" outlineLevel="0" collapsed="false">
      <c r="A59" s="30" t="str">
        <f aca="true">IF(INDIRECT("brand_form!A"&amp;ROW())="","",TEXT(INDIRECT("brand_form!A"&amp;ROW()),"yyyy-mm-dd""T""hh:mm:ss"))</f>
        <v/>
      </c>
      <c r="B59" s="30" t="str">
        <f aca="true">IF(INDIRECT("brand_form!A"&amp;ROW())="","",config!$B$35)</f>
        <v/>
      </c>
      <c r="C59" s="30" t="str">
        <f aca="true">IF(INDIRECT("brand_form!A"&amp;ROW())="","",IF(INDIRECT("brand_form!B"&amp;ROW())="","",INDIRECT("brand_form!B"&amp;ROW())))</f>
        <v/>
      </c>
      <c r="D5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59" s="30" t="str">
        <f aca="true">IF(INDIRECT("brand_form!A"&amp;ROW())="","",IF(INDIRECT("brand_form!G"&amp;ROW())="","",INDIRECT("brand_form!G"&amp;ROW())))</f>
        <v/>
      </c>
      <c r="F59" s="30" t="str">
        <f aca="true">IF(INDIRECT("brand_form!A"&amp;ROW())="","",IF(INDIRECT("brand_form!H"&amp;ROW())="","",INDIRECT("brand_form!H"&amp;ROW())))</f>
        <v/>
      </c>
      <c r="G59" s="30" t="str">
        <f aca="true">IF(INDIRECT("brand_form!A"&amp;ROW())="","",IF(INDIRECT("brand_form!I"&amp;ROW())="","",INDIRECT("brand_form!I"&amp;ROW())))</f>
        <v/>
      </c>
      <c r="H59" s="30" t="str">
        <f aca="true">IF(INDIRECT("brand_form!A"&amp;ROW())="","",IF(INDIRECT("brand_form!J"&amp;ROW())="","",INDIRECT("brand_form!J"&amp;ROW())))</f>
        <v/>
      </c>
      <c r="I59" s="30" t="str">
        <f aca="true">IF(INDIRECT("brand_form!A"&amp;ROW())="","",IF(INDIRECT("brand_form!D"&amp;ROW())="","",INDIRECT("brand_form!D"&amp;ROW())))</f>
        <v/>
      </c>
      <c r="J5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30" t="str">
        <f aca="true">IF(INDIRECT("brand_form!A"&amp;ROW())="","",IF(INDIRECT("brand_form!F"&amp;ROW())="","",INDIRECT("brand_form!F"&amp;ROW())))</f>
        <v/>
      </c>
      <c r="L59" s="30" t="str">
        <f aca="true">IF(INDIRECT("brand_form!A"&amp;ROW())="","",IF(INDIRECT("brand_form!M"&amp;ROW())="","",INDIRECT("brand_form!M"&amp;ROW())))</f>
        <v/>
      </c>
      <c r="M5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59" s="30" t="str">
        <f aca="true">IF(INDIRECT("brand_form!A"&amp;ROW())="","",IF(IF(INDIRECT("brand_form!O"&amp;ROW())="","",INDIRECT("brand_form!O"&amp;ROW()))="Yes","Y",IF(IF(INDIRECT("brand_form!O"&amp;ROW())="","",INDIRECT("brand_form!O"&amp;ROW()))="No","N","")))</f>
        <v/>
      </c>
      <c r="O5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30" t="str">
        <f aca="true">IF(INDIRECT("brand_form!A"&amp;ROW())="","",IF(IF(INDIRECT("brand_form!K"&amp;ROW())="","",INDIRECT("brand_form!K"&amp;ROW()))="I do","Y",IF(IF(INDIRECT("brand_form!K"&amp;ROW())="","",INDIRECT("brand_form!K"&amp;ROW()))="Someone else","N","")))</f>
        <v/>
      </c>
      <c r="Q59" s="30" t="str">
        <f aca="true">IF(INDIRECT("brand_form!A"&amp;ROW())="","",IF($P59="Y",$E59&amp;", "&amp;$F59,IF(INDIRECT("brand_form!L"&amp;ROW())="","",INDIRECT("brand_form!L"&amp;ROW()))))</f>
        <v/>
      </c>
      <c r="R59" s="30" t="str">
        <f aca="true">IF(INDIRECT("brand_form!A"&amp;ROW())="","",IF(IF(INDIRECT("brand_form!Q"&amp;ROW())="","",INDIRECT("brand_form!Q"&amp;ROW()))="Yes","Y",IF(IF(INDIRECT("brand_form!Q"&amp;ROW())="","",INDIRECT("brand_form!Q"&amp;ROW()))="No","N",IF(IF(INDIRECT("brand_form!Q"&amp;ROW())="","",INDIRECT("brand_form!Q"&amp;ROW()))="Not sure","unsure",""))))</f>
        <v/>
      </c>
      <c r="S59" s="30" t="str">
        <f aca="true">IF(INDIRECT("brand_form!A"&amp;ROW())="","",IF(IF(INDIRECT("brand_form!R"&amp;ROW())="","",INDIRECT("brand_form!R"&amp;ROW()))="Yes","Y",IF(IF(INDIRECT("brand_form!R"&amp;ROW())="","",INDIRECT("brand_form!R"&amp;ROW()))="No","N",IF(IF(INDIRECT("brand_form!R"&amp;ROW())="","",INDIRECT("brand_form!R"&amp;ROW()))="Not sure","unsure",""))))</f>
        <v/>
      </c>
      <c r="T59" s="30" t="str">
        <f aca="true">IF(INDIRECT("brand_form!A"&amp;ROW())="","",IF(IF(INDIRECT("brand_form!S"&amp;ROW())="","",INDIRECT("brand_form!S"&amp;ROW()))="Yes","Y",IF(IF(INDIRECT("brand_form!S"&amp;ROW())="","",INDIRECT("brand_form!S"&amp;ROW()))="No","N",IF(IF(INDIRECT("brand_form!S"&amp;ROW())="","",INDIRECT("brand_form!S"&amp;ROW()))="Not sure","unsure",""))))</f>
        <v/>
      </c>
      <c r="U59" s="30" t="str">
        <f aca="true">IF(INDIRECT("brand_form!A"&amp;ROW())="","",IF(IF(INDIRECT("brand_form!T"&amp;ROW())="","",INDIRECT("brand_form!T"&amp;ROW()))="Yes","Y",IF(IF(INDIRECT("brand_form!T"&amp;ROW())="","",INDIRECT("brand_form!T"&amp;ROW()))="No","N",IF(IF(INDIRECT("brand_form!T"&amp;ROW())="","",INDIRECT("brand_form!T"&amp;ROW()))="Not sure","unsure",""))))</f>
        <v/>
      </c>
      <c r="V59" s="30" t="str">
        <f aca="true">IF(INDIRECT("brand_form!A"&amp;ROW())="","",IF(IF(INDIRECT("brand_form!U"&amp;ROW())="","",INDIRECT("brand_form!U"&amp;ROW()))="Yes","Y",IF(IF(INDIRECT("brand_form!U"&amp;ROW())="","",INDIRECT("brand_form!U"&amp;ROW()))="No","N",IF(IF(INDIRECT("brand_form!U"&amp;ROW())="","",INDIRECT("brand_form!U"&amp;ROW()))="Not sure","unsure",""))))</f>
        <v/>
      </c>
      <c r="W59" s="30" t="str">
        <f aca="true">IF(INDIRECT("brand_form!A"&amp;ROW())="","",IF(IF(INDIRECT("brand_form!V"&amp;ROW())="","",INDIRECT("brand_form!V"&amp;ROW()))="Yes","Y",IF(IF(INDIRECT("brand_form!V"&amp;ROW())="","",INDIRECT("brand_form!V"&amp;ROW()))="No","N",IF(IF(INDIRECT("brand_form!V"&amp;ROW())="","",INDIRECT("brand_form!V"&amp;ROW()))="Not sure","unsure",""))))</f>
        <v/>
      </c>
      <c r="X59" s="30" t="str">
        <f aca="true">IF(INDIRECT("brand_form!A"&amp;ROW())="","",IF(INDIRECT("brand_form!W"&amp;ROW())="","",INDIRECT("brand_form!W"&amp;ROW())))</f>
        <v/>
      </c>
      <c r="Y59" s="30" t="str">
        <f aca="true">IF(INDIRECT("brand_form!A"&amp;ROW())="","",IF(IF(INDIRECT("brand_form!X"&amp;ROW())="","",INDIRECT("brand_form!X"&amp;ROW()))&lt;&gt;"","Y",""))</f>
        <v/>
      </c>
      <c r="Z59" s="30" t="str">
        <f aca="true">IF(INDIRECT("brand_form!A"&amp;ROW())="","",IF(INDIRECT("brand_form!Y"&amp;ROW())="","",INDIRECT("brand_form!Y"&amp;ROW())))</f>
        <v/>
      </c>
      <c r="AA59" s="30" t="str">
        <f aca="true">IF(INDIRECT("brand_form!A"&amp;ROW())="","","founder")</f>
        <v/>
      </c>
    </row>
    <row r="60" customFormat="false" ht="15" hidden="false" customHeight="false" outlineLevel="0" collapsed="false">
      <c r="A60" s="30" t="str">
        <f aca="true">IF(INDIRECT("brand_form!A"&amp;ROW())="","",TEXT(INDIRECT("brand_form!A"&amp;ROW()),"yyyy-mm-dd""T""hh:mm:ss"))</f>
        <v/>
      </c>
      <c r="B60" s="30" t="str">
        <f aca="true">IF(INDIRECT("brand_form!A"&amp;ROW())="","",config!$B$35)</f>
        <v/>
      </c>
      <c r="C60" s="30" t="str">
        <f aca="true">IF(INDIRECT("brand_form!A"&amp;ROW())="","",IF(INDIRECT("brand_form!B"&amp;ROW())="","",INDIRECT("brand_form!B"&amp;ROW())))</f>
        <v/>
      </c>
      <c r="D6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0" s="30" t="str">
        <f aca="true">IF(INDIRECT("brand_form!A"&amp;ROW())="","",IF(INDIRECT("brand_form!G"&amp;ROW())="","",INDIRECT("brand_form!G"&amp;ROW())))</f>
        <v/>
      </c>
      <c r="F60" s="30" t="str">
        <f aca="true">IF(INDIRECT("brand_form!A"&amp;ROW())="","",IF(INDIRECT("brand_form!H"&amp;ROW())="","",INDIRECT("brand_form!H"&amp;ROW())))</f>
        <v/>
      </c>
      <c r="G60" s="30" t="str">
        <f aca="true">IF(INDIRECT("brand_form!A"&amp;ROW())="","",IF(INDIRECT("brand_form!I"&amp;ROW())="","",INDIRECT("brand_form!I"&amp;ROW())))</f>
        <v/>
      </c>
      <c r="H60" s="30" t="str">
        <f aca="true">IF(INDIRECT("brand_form!A"&amp;ROW())="","",IF(INDIRECT("brand_form!J"&amp;ROW())="","",INDIRECT("brand_form!J"&amp;ROW())))</f>
        <v/>
      </c>
      <c r="I60" s="30" t="str">
        <f aca="true">IF(INDIRECT("brand_form!A"&amp;ROW())="","",IF(INDIRECT("brand_form!D"&amp;ROW())="","",INDIRECT("brand_form!D"&amp;ROW())))</f>
        <v/>
      </c>
      <c r="J6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30" t="str">
        <f aca="true">IF(INDIRECT("brand_form!A"&amp;ROW())="","",IF(INDIRECT("brand_form!F"&amp;ROW())="","",INDIRECT("brand_form!F"&amp;ROW())))</f>
        <v/>
      </c>
      <c r="L60" s="30" t="str">
        <f aca="true">IF(INDIRECT("brand_form!A"&amp;ROW())="","",IF(INDIRECT("brand_form!M"&amp;ROW())="","",INDIRECT("brand_form!M"&amp;ROW())))</f>
        <v/>
      </c>
      <c r="M6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0" s="30" t="str">
        <f aca="true">IF(INDIRECT("brand_form!A"&amp;ROW())="","",IF(IF(INDIRECT("brand_form!O"&amp;ROW())="","",INDIRECT("brand_form!O"&amp;ROW()))="Yes","Y",IF(IF(INDIRECT("brand_form!O"&amp;ROW())="","",INDIRECT("brand_form!O"&amp;ROW()))="No","N","")))</f>
        <v/>
      </c>
      <c r="O6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30" t="str">
        <f aca="true">IF(INDIRECT("brand_form!A"&amp;ROW())="","",IF(IF(INDIRECT("brand_form!K"&amp;ROW())="","",INDIRECT("brand_form!K"&amp;ROW()))="I do","Y",IF(IF(INDIRECT("brand_form!K"&amp;ROW())="","",INDIRECT("brand_form!K"&amp;ROW()))="Someone else","N","")))</f>
        <v/>
      </c>
      <c r="Q60" s="30" t="str">
        <f aca="true">IF(INDIRECT("brand_form!A"&amp;ROW())="","",IF($P60="Y",$E60&amp;", "&amp;$F60,IF(INDIRECT("brand_form!L"&amp;ROW())="","",INDIRECT("brand_form!L"&amp;ROW()))))</f>
        <v/>
      </c>
      <c r="R60" s="30" t="str">
        <f aca="true">IF(INDIRECT("brand_form!A"&amp;ROW())="","",IF(IF(INDIRECT("brand_form!Q"&amp;ROW())="","",INDIRECT("brand_form!Q"&amp;ROW()))="Yes","Y",IF(IF(INDIRECT("brand_form!Q"&amp;ROW())="","",INDIRECT("brand_form!Q"&amp;ROW()))="No","N",IF(IF(INDIRECT("brand_form!Q"&amp;ROW())="","",INDIRECT("brand_form!Q"&amp;ROW()))="Not sure","unsure",""))))</f>
        <v/>
      </c>
      <c r="S60" s="30" t="str">
        <f aca="true">IF(INDIRECT("brand_form!A"&amp;ROW())="","",IF(IF(INDIRECT("brand_form!R"&amp;ROW())="","",INDIRECT("brand_form!R"&amp;ROW()))="Yes","Y",IF(IF(INDIRECT("brand_form!R"&amp;ROW())="","",INDIRECT("brand_form!R"&amp;ROW()))="No","N",IF(IF(INDIRECT("brand_form!R"&amp;ROW())="","",INDIRECT("brand_form!R"&amp;ROW()))="Not sure","unsure",""))))</f>
        <v/>
      </c>
      <c r="T60" s="30" t="str">
        <f aca="true">IF(INDIRECT("brand_form!A"&amp;ROW())="","",IF(IF(INDIRECT("brand_form!S"&amp;ROW())="","",INDIRECT("brand_form!S"&amp;ROW()))="Yes","Y",IF(IF(INDIRECT("brand_form!S"&amp;ROW())="","",INDIRECT("brand_form!S"&amp;ROW()))="No","N",IF(IF(INDIRECT("brand_form!S"&amp;ROW())="","",INDIRECT("brand_form!S"&amp;ROW()))="Not sure","unsure",""))))</f>
        <v/>
      </c>
      <c r="U60" s="30" t="str">
        <f aca="true">IF(INDIRECT("brand_form!A"&amp;ROW())="","",IF(IF(INDIRECT("brand_form!T"&amp;ROW())="","",INDIRECT("brand_form!T"&amp;ROW()))="Yes","Y",IF(IF(INDIRECT("brand_form!T"&amp;ROW())="","",INDIRECT("brand_form!T"&amp;ROW()))="No","N",IF(IF(INDIRECT("brand_form!T"&amp;ROW())="","",INDIRECT("brand_form!T"&amp;ROW()))="Not sure","unsure",""))))</f>
        <v/>
      </c>
      <c r="V60" s="30" t="str">
        <f aca="true">IF(INDIRECT("brand_form!A"&amp;ROW())="","",IF(IF(INDIRECT("brand_form!U"&amp;ROW())="","",INDIRECT("brand_form!U"&amp;ROW()))="Yes","Y",IF(IF(INDIRECT("brand_form!U"&amp;ROW())="","",INDIRECT("brand_form!U"&amp;ROW()))="No","N",IF(IF(INDIRECT("brand_form!U"&amp;ROW())="","",INDIRECT("brand_form!U"&amp;ROW()))="Not sure","unsure",""))))</f>
        <v/>
      </c>
      <c r="W60" s="30" t="str">
        <f aca="true">IF(INDIRECT("brand_form!A"&amp;ROW())="","",IF(IF(INDIRECT("brand_form!V"&amp;ROW())="","",INDIRECT("brand_form!V"&amp;ROW()))="Yes","Y",IF(IF(INDIRECT("brand_form!V"&amp;ROW())="","",INDIRECT("brand_form!V"&amp;ROW()))="No","N",IF(IF(INDIRECT("brand_form!V"&amp;ROW())="","",INDIRECT("brand_form!V"&amp;ROW()))="Not sure","unsure",""))))</f>
        <v/>
      </c>
      <c r="X60" s="30" t="str">
        <f aca="true">IF(INDIRECT("brand_form!A"&amp;ROW())="","",IF(INDIRECT("brand_form!W"&amp;ROW())="","",INDIRECT("brand_form!W"&amp;ROW())))</f>
        <v/>
      </c>
      <c r="Y60" s="30" t="str">
        <f aca="true">IF(INDIRECT("brand_form!A"&amp;ROW())="","",IF(IF(INDIRECT("brand_form!X"&amp;ROW())="","",INDIRECT("brand_form!X"&amp;ROW()))&lt;&gt;"","Y",""))</f>
        <v/>
      </c>
      <c r="Z60" s="30" t="str">
        <f aca="true">IF(INDIRECT("brand_form!A"&amp;ROW())="","",IF(INDIRECT("brand_form!Y"&amp;ROW())="","",INDIRECT("brand_form!Y"&amp;ROW())))</f>
        <v/>
      </c>
      <c r="AA60" s="30" t="str">
        <f aca="true">IF(INDIRECT("brand_form!A"&amp;ROW())="","","founder")</f>
        <v/>
      </c>
    </row>
    <row r="61" customFormat="false" ht="15" hidden="false" customHeight="false" outlineLevel="0" collapsed="false">
      <c r="A61" s="30" t="str">
        <f aca="true">IF(INDIRECT("brand_form!A"&amp;ROW())="","",TEXT(INDIRECT("brand_form!A"&amp;ROW()),"yyyy-mm-dd""T""hh:mm:ss"))</f>
        <v/>
      </c>
      <c r="B61" s="30" t="str">
        <f aca="true">IF(INDIRECT("brand_form!A"&amp;ROW())="","",config!$B$35)</f>
        <v/>
      </c>
      <c r="C61" s="30" t="str">
        <f aca="true">IF(INDIRECT("brand_form!A"&amp;ROW())="","",IF(INDIRECT("brand_form!B"&amp;ROW())="","",INDIRECT("brand_form!B"&amp;ROW())))</f>
        <v/>
      </c>
      <c r="D6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1" s="30" t="str">
        <f aca="true">IF(INDIRECT("brand_form!A"&amp;ROW())="","",IF(INDIRECT("brand_form!G"&amp;ROW())="","",INDIRECT("brand_form!G"&amp;ROW())))</f>
        <v/>
      </c>
      <c r="F61" s="30" t="str">
        <f aca="true">IF(INDIRECT("brand_form!A"&amp;ROW())="","",IF(INDIRECT("brand_form!H"&amp;ROW())="","",INDIRECT("brand_form!H"&amp;ROW())))</f>
        <v/>
      </c>
      <c r="G61" s="30" t="str">
        <f aca="true">IF(INDIRECT("brand_form!A"&amp;ROW())="","",IF(INDIRECT("brand_form!I"&amp;ROW())="","",INDIRECT("brand_form!I"&amp;ROW())))</f>
        <v/>
      </c>
      <c r="H61" s="30" t="str">
        <f aca="true">IF(INDIRECT("brand_form!A"&amp;ROW())="","",IF(INDIRECT("brand_form!J"&amp;ROW())="","",INDIRECT("brand_form!J"&amp;ROW())))</f>
        <v/>
      </c>
      <c r="I61" s="30" t="str">
        <f aca="true">IF(INDIRECT("brand_form!A"&amp;ROW())="","",IF(INDIRECT("brand_form!D"&amp;ROW())="","",INDIRECT("brand_form!D"&amp;ROW())))</f>
        <v/>
      </c>
      <c r="J6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30" t="str">
        <f aca="true">IF(INDIRECT("brand_form!A"&amp;ROW())="","",IF(INDIRECT("brand_form!F"&amp;ROW())="","",INDIRECT("brand_form!F"&amp;ROW())))</f>
        <v/>
      </c>
      <c r="L61" s="30" t="str">
        <f aca="true">IF(INDIRECT("brand_form!A"&amp;ROW())="","",IF(INDIRECT("brand_form!M"&amp;ROW())="","",INDIRECT("brand_form!M"&amp;ROW())))</f>
        <v/>
      </c>
      <c r="M6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1" s="30" t="str">
        <f aca="true">IF(INDIRECT("brand_form!A"&amp;ROW())="","",IF(IF(INDIRECT("brand_form!O"&amp;ROW())="","",INDIRECT("brand_form!O"&amp;ROW()))="Yes","Y",IF(IF(INDIRECT("brand_form!O"&amp;ROW())="","",INDIRECT("brand_form!O"&amp;ROW()))="No","N","")))</f>
        <v/>
      </c>
      <c r="O6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30" t="str">
        <f aca="true">IF(INDIRECT("brand_form!A"&amp;ROW())="","",IF(IF(INDIRECT("brand_form!K"&amp;ROW())="","",INDIRECT("brand_form!K"&amp;ROW()))="I do","Y",IF(IF(INDIRECT("brand_form!K"&amp;ROW())="","",INDIRECT("brand_form!K"&amp;ROW()))="Someone else","N","")))</f>
        <v/>
      </c>
      <c r="Q61" s="30" t="str">
        <f aca="true">IF(INDIRECT("brand_form!A"&amp;ROW())="","",IF($P61="Y",$E61&amp;", "&amp;$F61,IF(INDIRECT("brand_form!L"&amp;ROW())="","",INDIRECT("brand_form!L"&amp;ROW()))))</f>
        <v/>
      </c>
      <c r="R61" s="30" t="str">
        <f aca="true">IF(INDIRECT("brand_form!A"&amp;ROW())="","",IF(IF(INDIRECT("brand_form!Q"&amp;ROW())="","",INDIRECT("brand_form!Q"&amp;ROW()))="Yes","Y",IF(IF(INDIRECT("brand_form!Q"&amp;ROW())="","",INDIRECT("brand_form!Q"&amp;ROW()))="No","N",IF(IF(INDIRECT("brand_form!Q"&amp;ROW())="","",INDIRECT("brand_form!Q"&amp;ROW()))="Not sure","unsure",""))))</f>
        <v/>
      </c>
      <c r="S61" s="30" t="str">
        <f aca="true">IF(INDIRECT("brand_form!A"&amp;ROW())="","",IF(IF(INDIRECT("brand_form!R"&amp;ROW())="","",INDIRECT("brand_form!R"&amp;ROW()))="Yes","Y",IF(IF(INDIRECT("brand_form!R"&amp;ROW())="","",INDIRECT("brand_form!R"&amp;ROW()))="No","N",IF(IF(INDIRECT("brand_form!R"&amp;ROW())="","",INDIRECT("brand_form!R"&amp;ROW()))="Not sure","unsure",""))))</f>
        <v/>
      </c>
      <c r="T61" s="30" t="str">
        <f aca="true">IF(INDIRECT("brand_form!A"&amp;ROW())="","",IF(IF(INDIRECT("brand_form!S"&amp;ROW())="","",INDIRECT("brand_form!S"&amp;ROW()))="Yes","Y",IF(IF(INDIRECT("brand_form!S"&amp;ROW())="","",INDIRECT("brand_form!S"&amp;ROW()))="No","N",IF(IF(INDIRECT("brand_form!S"&amp;ROW())="","",INDIRECT("brand_form!S"&amp;ROW()))="Not sure","unsure",""))))</f>
        <v/>
      </c>
      <c r="U61" s="30" t="str">
        <f aca="true">IF(INDIRECT("brand_form!A"&amp;ROW())="","",IF(IF(INDIRECT("brand_form!T"&amp;ROW())="","",INDIRECT("brand_form!T"&amp;ROW()))="Yes","Y",IF(IF(INDIRECT("brand_form!T"&amp;ROW())="","",INDIRECT("brand_form!T"&amp;ROW()))="No","N",IF(IF(INDIRECT("brand_form!T"&amp;ROW())="","",INDIRECT("brand_form!T"&amp;ROW()))="Not sure","unsure",""))))</f>
        <v/>
      </c>
      <c r="V61" s="30" t="str">
        <f aca="true">IF(INDIRECT("brand_form!A"&amp;ROW())="","",IF(IF(INDIRECT("brand_form!U"&amp;ROW())="","",INDIRECT("brand_form!U"&amp;ROW()))="Yes","Y",IF(IF(INDIRECT("brand_form!U"&amp;ROW())="","",INDIRECT("brand_form!U"&amp;ROW()))="No","N",IF(IF(INDIRECT("brand_form!U"&amp;ROW())="","",INDIRECT("brand_form!U"&amp;ROW()))="Not sure","unsure",""))))</f>
        <v/>
      </c>
      <c r="W61" s="30" t="str">
        <f aca="true">IF(INDIRECT("brand_form!A"&amp;ROW())="","",IF(IF(INDIRECT("brand_form!V"&amp;ROW())="","",INDIRECT("brand_form!V"&amp;ROW()))="Yes","Y",IF(IF(INDIRECT("brand_form!V"&amp;ROW())="","",INDIRECT("brand_form!V"&amp;ROW()))="No","N",IF(IF(INDIRECT("brand_form!V"&amp;ROW())="","",INDIRECT("brand_form!V"&amp;ROW()))="Not sure","unsure",""))))</f>
        <v/>
      </c>
      <c r="X61" s="30" t="str">
        <f aca="true">IF(INDIRECT("brand_form!A"&amp;ROW())="","",IF(INDIRECT("brand_form!W"&amp;ROW())="","",INDIRECT("brand_form!W"&amp;ROW())))</f>
        <v/>
      </c>
      <c r="Y61" s="30" t="str">
        <f aca="true">IF(INDIRECT("brand_form!A"&amp;ROW())="","",IF(IF(INDIRECT("brand_form!X"&amp;ROW())="","",INDIRECT("brand_form!X"&amp;ROW()))&lt;&gt;"","Y",""))</f>
        <v/>
      </c>
      <c r="Z61" s="30" t="str">
        <f aca="true">IF(INDIRECT("brand_form!A"&amp;ROW())="","",IF(INDIRECT("brand_form!Y"&amp;ROW())="","",INDIRECT("brand_form!Y"&amp;ROW())))</f>
        <v/>
      </c>
      <c r="AA61" s="30" t="str">
        <f aca="true">IF(INDIRECT("brand_form!A"&amp;ROW())="","","founder")</f>
        <v/>
      </c>
    </row>
    <row r="62" customFormat="false" ht="15" hidden="false" customHeight="false" outlineLevel="0" collapsed="false">
      <c r="A62" s="30" t="str">
        <f aca="true">IF(INDIRECT("brand_form!A"&amp;ROW())="","",TEXT(INDIRECT("brand_form!A"&amp;ROW()),"yyyy-mm-dd""T""hh:mm:ss"))</f>
        <v/>
      </c>
      <c r="B62" s="30" t="str">
        <f aca="true">IF(INDIRECT("brand_form!A"&amp;ROW())="","",config!$B$35)</f>
        <v/>
      </c>
      <c r="C62" s="30" t="str">
        <f aca="true">IF(INDIRECT("brand_form!A"&amp;ROW())="","",IF(INDIRECT("brand_form!B"&amp;ROW())="","",INDIRECT("brand_form!B"&amp;ROW())))</f>
        <v/>
      </c>
      <c r="D6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2" s="30" t="str">
        <f aca="true">IF(INDIRECT("brand_form!A"&amp;ROW())="","",IF(INDIRECT("brand_form!G"&amp;ROW())="","",INDIRECT("brand_form!G"&amp;ROW())))</f>
        <v/>
      </c>
      <c r="F62" s="30" t="str">
        <f aca="true">IF(INDIRECT("brand_form!A"&amp;ROW())="","",IF(INDIRECT("brand_form!H"&amp;ROW())="","",INDIRECT("brand_form!H"&amp;ROW())))</f>
        <v/>
      </c>
      <c r="G62" s="30" t="str">
        <f aca="true">IF(INDIRECT("brand_form!A"&amp;ROW())="","",IF(INDIRECT("brand_form!I"&amp;ROW())="","",INDIRECT("brand_form!I"&amp;ROW())))</f>
        <v/>
      </c>
      <c r="H62" s="30" t="str">
        <f aca="true">IF(INDIRECT("brand_form!A"&amp;ROW())="","",IF(INDIRECT("brand_form!J"&amp;ROW())="","",INDIRECT("brand_form!J"&amp;ROW())))</f>
        <v/>
      </c>
      <c r="I62" s="30" t="str">
        <f aca="true">IF(INDIRECT("brand_form!A"&amp;ROW())="","",IF(INDIRECT("brand_form!D"&amp;ROW())="","",INDIRECT("brand_form!D"&amp;ROW())))</f>
        <v/>
      </c>
      <c r="J6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30" t="str">
        <f aca="true">IF(INDIRECT("brand_form!A"&amp;ROW())="","",IF(INDIRECT("brand_form!F"&amp;ROW())="","",INDIRECT("brand_form!F"&amp;ROW())))</f>
        <v/>
      </c>
      <c r="L62" s="30" t="str">
        <f aca="true">IF(INDIRECT("brand_form!A"&amp;ROW())="","",IF(INDIRECT("brand_form!M"&amp;ROW())="","",INDIRECT("brand_form!M"&amp;ROW())))</f>
        <v/>
      </c>
      <c r="M6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2" s="30" t="str">
        <f aca="true">IF(INDIRECT("brand_form!A"&amp;ROW())="","",IF(IF(INDIRECT("brand_form!O"&amp;ROW())="","",INDIRECT("brand_form!O"&amp;ROW()))="Yes","Y",IF(IF(INDIRECT("brand_form!O"&amp;ROW())="","",INDIRECT("brand_form!O"&amp;ROW()))="No","N","")))</f>
        <v/>
      </c>
      <c r="O6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30" t="str">
        <f aca="true">IF(INDIRECT("brand_form!A"&amp;ROW())="","",IF(IF(INDIRECT("brand_form!K"&amp;ROW())="","",INDIRECT("brand_form!K"&amp;ROW()))="I do","Y",IF(IF(INDIRECT("brand_form!K"&amp;ROW())="","",INDIRECT("brand_form!K"&amp;ROW()))="Someone else","N","")))</f>
        <v/>
      </c>
      <c r="Q62" s="30" t="str">
        <f aca="true">IF(INDIRECT("brand_form!A"&amp;ROW())="","",IF($P62="Y",$E62&amp;", "&amp;$F62,IF(INDIRECT("brand_form!L"&amp;ROW())="","",INDIRECT("brand_form!L"&amp;ROW()))))</f>
        <v/>
      </c>
      <c r="R62" s="30" t="str">
        <f aca="true">IF(INDIRECT("brand_form!A"&amp;ROW())="","",IF(IF(INDIRECT("brand_form!Q"&amp;ROW())="","",INDIRECT("brand_form!Q"&amp;ROW()))="Yes","Y",IF(IF(INDIRECT("brand_form!Q"&amp;ROW())="","",INDIRECT("brand_form!Q"&amp;ROW()))="No","N",IF(IF(INDIRECT("brand_form!Q"&amp;ROW())="","",INDIRECT("brand_form!Q"&amp;ROW()))="Not sure","unsure",""))))</f>
        <v/>
      </c>
      <c r="S62" s="30" t="str">
        <f aca="true">IF(INDIRECT("brand_form!A"&amp;ROW())="","",IF(IF(INDIRECT("brand_form!R"&amp;ROW())="","",INDIRECT("brand_form!R"&amp;ROW()))="Yes","Y",IF(IF(INDIRECT("brand_form!R"&amp;ROW())="","",INDIRECT("brand_form!R"&amp;ROW()))="No","N",IF(IF(INDIRECT("brand_form!R"&amp;ROW())="","",INDIRECT("brand_form!R"&amp;ROW()))="Not sure","unsure",""))))</f>
        <v/>
      </c>
      <c r="T62" s="30" t="str">
        <f aca="true">IF(INDIRECT("brand_form!A"&amp;ROW())="","",IF(IF(INDIRECT("brand_form!S"&amp;ROW())="","",INDIRECT("brand_form!S"&amp;ROW()))="Yes","Y",IF(IF(INDIRECT("brand_form!S"&amp;ROW())="","",INDIRECT("brand_form!S"&amp;ROW()))="No","N",IF(IF(INDIRECT("brand_form!S"&amp;ROW())="","",INDIRECT("brand_form!S"&amp;ROW()))="Not sure","unsure",""))))</f>
        <v/>
      </c>
      <c r="U62" s="30" t="str">
        <f aca="true">IF(INDIRECT("brand_form!A"&amp;ROW())="","",IF(IF(INDIRECT("brand_form!T"&amp;ROW())="","",INDIRECT("brand_form!T"&amp;ROW()))="Yes","Y",IF(IF(INDIRECT("brand_form!T"&amp;ROW())="","",INDIRECT("brand_form!T"&amp;ROW()))="No","N",IF(IF(INDIRECT("brand_form!T"&amp;ROW())="","",INDIRECT("brand_form!T"&amp;ROW()))="Not sure","unsure",""))))</f>
        <v/>
      </c>
      <c r="V62" s="30" t="str">
        <f aca="true">IF(INDIRECT("brand_form!A"&amp;ROW())="","",IF(IF(INDIRECT("brand_form!U"&amp;ROW())="","",INDIRECT("brand_form!U"&amp;ROW()))="Yes","Y",IF(IF(INDIRECT("brand_form!U"&amp;ROW())="","",INDIRECT("brand_form!U"&amp;ROW()))="No","N",IF(IF(INDIRECT("brand_form!U"&amp;ROW())="","",INDIRECT("brand_form!U"&amp;ROW()))="Not sure","unsure",""))))</f>
        <v/>
      </c>
      <c r="W62" s="30" t="str">
        <f aca="true">IF(INDIRECT("brand_form!A"&amp;ROW())="","",IF(IF(INDIRECT("brand_form!V"&amp;ROW())="","",INDIRECT("brand_form!V"&amp;ROW()))="Yes","Y",IF(IF(INDIRECT("brand_form!V"&amp;ROW())="","",INDIRECT("brand_form!V"&amp;ROW()))="No","N",IF(IF(INDIRECT("brand_form!V"&amp;ROW())="","",INDIRECT("brand_form!V"&amp;ROW()))="Not sure","unsure",""))))</f>
        <v/>
      </c>
      <c r="X62" s="30" t="str">
        <f aca="true">IF(INDIRECT("brand_form!A"&amp;ROW())="","",IF(INDIRECT("brand_form!W"&amp;ROW())="","",INDIRECT("brand_form!W"&amp;ROW())))</f>
        <v/>
      </c>
      <c r="Y62" s="30" t="str">
        <f aca="true">IF(INDIRECT("brand_form!A"&amp;ROW())="","",IF(IF(INDIRECT("brand_form!X"&amp;ROW())="","",INDIRECT("brand_form!X"&amp;ROW()))&lt;&gt;"","Y",""))</f>
        <v/>
      </c>
      <c r="Z62" s="30" t="str">
        <f aca="true">IF(INDIRECT("brand_form!A"&amp;ROW())="","",IF(INDIRECT("brand_form!Y"&amp;ROW())="","",INDIRECT("brand_form!Y"&amp;ROW())))</f>
        <v/>
      </c>
      <c r="AA62" s="30" t="str">
        <f aca="true">IF(INDIRECT("brand_form!A"&amp;ROW())="","","founder")</f>
        <v/>
      </c>
    </row>
    <row r="63" customFormat="false" ht="15" hidden="false" customHeight="false" outlineLevel="0" collapsed="false">
      <c r="A63" s="30" t="str">
        <f aca="true">IF(INDIRECT("brand_form!A"&amp;ROW())="","",TEXT(INDIRECT("brand_form!A"&amp;ROW()),"yyyy-mm-dd""T""hh:mm:ss"))</f>
        <v/>
      </c>
      <c r="B63" s="30" t="str">
        <f aca="true">IF(INDIRECT("brand_form!A"&amp;ROW())="","",config!$B$35)</f>
        <v/>
      </c>
      <c r="C63" s="30" t="str">
        <f aca="true">IF(INDIRECT("brand_form!A"&amp;ROW())="","",IF(INDIRECT("brand_form!B"&amp;ROW())="","",INDIRECT("brand_form!B"&amp;ROW())))</f>
        <v/>
      </c>
      <c r="D6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3" s="30" t="str">
        <f aca="true">IF(INDIRECT("brand_form!A"&amp;ROW())="","",IF(INDIRECT("brand_form!G"&amp;ROW())="","",INDIRECT("brand_form!G"&amp;ROW())))</f>
        <v/>
      </c>
      <c r="F63" s="30" t="str">
        <f aca="true">IF(INDIRECT("brand_form!A"&amp;ROW())="","",IF(INDIRECT("brand_form!H"&amp;ROW())="","",INDIRECT("brand_form!H"&amp;ROW())))</f>
        <v/>
      </c>
      <c r="G63" s="30" t="str">
        <f aca="true">IF(INDIRECT("brand_form!A"&amp;ROW())="","",IF(INDIRECT("brand_form!I"&amp;ROW())="","",INDIRECT("brand_form!I"&amp;ROW())))</f>
        <v/>
      </c>
      <c r="H63" s="30" t="str">
        <f aca="true">IF(INDIRECT("brand_form!A"&amp;ROW())="","",IF(INDIRECT("brand_form!J"&amp;ROW())="","",INDIRECT("brand_form!J"&amp;ROW())))</f>
        <v/>
      </c>
      <c r="I63" s="30" t="str">
        <f aca="true">IF(INDIRECT("brand_form!A"&amp;ROW())="","",IF(INDIRECT("brand_form!D"&amp;ROW())="","",INDIRECT("brand_form!D"&amp;ROW())))</f>
        <v/>
      </c>
      <c r="J6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30" t="str">
        <f aca="true">IF(INDIRECT("brand_form!A"&amp;ROW())="","",IF(INDIRECT("brand_form!F"&amp;ROW())="","",INDIRECT("brand_form!F"&amp;ROW())))</f>
        <v/>
      </c>
      <c r="L63" s="30" t="str">
        <f aca="true">IF(INDIRECT("brand_form!A"&amp;ROW())="","",IF(INDIRECT("brand_form!M"&amp;ROW())="","",INDIRECT("brand_form!M"&amp;ROW())))</f>
        <v/>
      </c>
      <c r="M6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3" s="30" t="str">
        <f aca="true">IF(INDIRECT("brand_form!A"&amp;ROW())="","",IF(IF(INDIRECT("brand_form!O"&amp;ROW())="","",INDIRECT("brand_form!O"&amp;ROW()))="Yes","Y",IF(IF(INDIRECT("brand_form!O"&amp;ROW())="","",INDIRECT("brand_form!O"&amp;ROW()))="No","N","")))</f>
        <v/>
      </c>
      <c r="O6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30" t="str">
        <f aca="true">IF(INDIRECT("brand_form!A"&amp;ROW())="","",IF(IF(INDIRECT("brand_form!K"&amp;ROW())="","",INDIRECT("brand_form!K"&amp;ROW()))="I do","Y",IF(IF(INDIRECT("brand_form!K"&amp;ROW())="","",INDIRECT("brand_form!K"&amp;ROW()))="Someone else","N","")))</f>
        <v/>
      </c>
      <c r="Q63" s="30" t="str">
        <f aca="true">IF(INDIRECT("brand_form!A"&amp;ROW())="","",IF($P63="Y",$E63&amp;", "&amp;$F63,IF(INDIRECT("brand_form!L"&amp;ROW())="","",INDIRECT("brand_form!L"&amp;ROW()))))</f>
        <v/>
      </c>
      <c r="R63" s="30" t="str">
        <f aca="true">IF(INDIRECT("brand_form!A"&amp;ROW())="","",IF(IF(INDIRECT("brand_form!Q"&amp;ROW())="","",INDIRECT("brand_form!Q"&amp;ROW()))="Yes","Y",IF(IF(INDIRECT("brand_form!Q"&amp;ROW())="","",INDIRECT("brand_form!Q"&amp;ROW()))="No","N",IF(IF(INDIRECT("brand_form!Q"&amp;ROW())="","",INDIRECT("brand_form!Q"&amp;ROW()))="Not sure","unsure",""))))</f>
        <v/>
      </c>
      <c r="S63" s="30" t="str">
        <f aca="true">IF(INDIRECT("brand_form!A"&amp;ROW())="","",IF(IF(INDIRECT("brand_form!R"&amp;ROW())="","",INDIRECT("brand_form!R"&amp;ROW()))="Yes","Y",IF(IF(INDIRECT("brand_form!R"&amp;ROW())="","",INDIRECT("brand_form!R"&amp;ROW()))="No","N",IF(IF(INDIRECT("brand_form!R"&amp;ROW())="","",INDIRECT("brand_form!R"&amp;ROW()))="Not sure","unsure",""))))</f>
        <v/>
      </c>
      <c r="T63" s="30" t="str">
        <f aca="true">IF(INDIRECT("brand_form!A"&amp;ROW())="","",IF(IF(INDIRECT("brand_form!S"&amp;ROW())="","",INDIRECT("brand_form!S"&amp;ROW()))="Yes","Y",IF(IF(INDIRECT("brand_form!S"&amp;ROW())="","",INDIRECT("brand_form!S"&amp;ROW()))="No","N",IF(IF(INDIRECT("brand_form!S"&amp;ROW())="","",INDIRECT("brand_form!S"&amp;ROW()))="Not sure","unsure",""))))</f>
        <v/>
      </c>
      <c r="U63" s="30" t="str">
        <f aca="true">IF(INDIRECT("brand_form!A"&amp;ROW())="","",IF(IF(INDIRECT("brand_form!T"&amp;ROW())="","",INDIRECT("brand_form!T"&amp;ROW()))="Yes","Y",IF(IF(INDIRECT("brand_form!T"&amp;ROW())="","",INDIRECT("brand_form!T"&amp;ROW()))="No","N",IF(IF(INDIRECT("brand_form!T"&amp;ROW())="","",INDIRECT("brand_form!T"&amp;ROW()))="Not sure","unsure",""))))</f>
        <v/>
      </c>
      <c r="V63" s="30" t="str">
        <f aca="true">IF(INDIRECT("brand_form!A"&amp;ROW())="","",IF(IF(INDIRECT("brand_form!U"&amp;ROW())="","",INDIRECT("brand_form!U"&amp;ROW()))="Yes","Y",IF(IF(INDIRECT("brand_form!U"&amp;ROW())="","",INDIRECT("brand_form!U"&amp;ROW()))="No","N",IF(IF(INDIRECT("brand_form!U"&amp;ROW())="","",INDIRECT("brand_form!U"&amp;ROW()))="Not sure","unsure",""))))</f>
        <v/>
      </c>
      <c r="W63" s="30" t="str">
        <f aca="true">IF(INDIRECT("brand_form!A"&amp;ROW())="","",IF(IF(INDIRECT("brand_form!V"&amp;ROW())="","",INDIRECT("brand_form!V"&amp;ROW()))="Yes","Y",IF(IF(INDIRECT("brand_form!V"&amp;ROW())="","",INDIRECT("brand_form!V"&amp;ROW()))="No","N",IF(IF(INDIRECT("brand_form!V"&amp;ROW())="","",INDIRECT("brand_form!V"&amp;ROW()))="Not sure","unsure",""))))</f>
        <v/>
      </c>
      <c r="X63" s="30" t="str">
        <f aca="true">IF(INDIRECT("brand_form!A"&amp;ROW())="","",IF(INDIRECT("brand_form!W"&amp;ROW())="","",INDIRECT("brand_form!W"&amp;ROW())))</f>
        <v/>
      </c>
      <c r="Y63" s="30" t="str">
        <f aca="true">IF(INDIRECT("brand_form!A"&amp;ROW())="","",IF(IF(INDIRECT("brand_form!X"&amp;ROW())="","",INDIRECT("brand_form!X"&amp;ROW()))&lt;&gt;"","Y",""))</f>
        <v/>
      </c>
      <c r="Z63" s="30" t="str">
        <f aca="true">IF(INDIRECT("brand_form!A"&amp;ROW())="","",IF(INDIRECT("brand_form!Y"&amp;ROW())="","",INDIRECT("brand_form!Y"&amp;ROW())))</f>
        <v/>
      </c>
      <c r="AA63" s="30" t="str">
        <f aca="true">IF(INDIRECT("brand_form!A"&amp;ROW())="","","founder")</f>
        <v/>
      </c>
    </row>
    <row r="64" customFormat="false" ht="15" hidden="false" customHeight="false" outlineLevel="0" collapsed="false">
      <c r="A64" s="30" t="str">
        <f aca="true">IF(INDIRECT("brand_form!A"&amp;ROW())="","",TEXT(INDIRECT("brand_form!A"&amp;ROW()),"yyyy-mm-dd""T""hh:mm:ss"))</f>
        <v/>
      </c>
      <c r="B64" s="30" t="str">
        <f aca="true">IF(INDIRECT("brand_form!A"&amp;ROW())="","",config!$B$35)</f>
        <v/>
      </c>
      <c r="C64" s="30" t="str">
        <f aca="true">IF(INDIRECT("brand_form!A"&amp;ROW())="","",IF(INDIRECT("brand_form!B"&amp;ROW())="","",INDIRECT("brand_form!B"&amp;ROW())))</f>
        <v/>
      </c>
      <c r="D6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4" s="30" t="str">
        <f aca="true">IF(INDIRECT("brand_form!A"&amp;ROW())="","",IF(INDIRECT("brand_form!G"&amp;ROW())="","",INDIRECT("brand_form!G"&amp;ROW())))</f>
        <v/>
      </c>
      <c r="F64" s="30" t="str">
        <f aca="true">IF(INDIRECT("brand_form!A"&amp;ROW())="","",IF(INDIRECT("brand_form!H"&amp;ROW())="","",INDIRECT("brand_form!H"&amp;ROW())))</f>
        <v/>
      </c>
      <c r="G64" s="30" t="str">
        <f aca="true">IF(INDIRECT("brand_form!A"&amp;ROW())="","",IF(INDIRECT("brand_form!I"&amp;ROW())="","",INDIRECT("brand_form!I"&amp;ROW())))</f>
        <v/>
      </c>
      <c r="H64" s="30" t="str">
        <f aca="true">IF(INDIRECT("brand_form!A"&amp;ROW())="","",IF(INDIRECT("brand_form!J"&amp;ROW())="","",INDIRECT("brand_form!J"&amp;ROW())))</f>
        <v/>
      </c>
      <c r="I64" s="30" t="str">
        <f aca="true">IF(INDIRECT("brand_form!A"&amp;ROW())="","",IF(INDIRECT("brand_form!D"&amp;ROW())="","",INDIRECT("brand_form!D"&amp;ROW())))</f>
        <v/>
      </c>
      <c r="J6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30" t="str">
        <f aca="true">IF(INDIRECT("brand_form!A"&amp;ROW())="","",IF(INDIRECT("brand_form!F"&amp;ROW())="","",INDIRECT("brand_form!F"&amp;ROW())))</f>
        <v/>
      </c>
      <c r="L64" s="30" t="str">
        <f aca="true">IF(INDIRECT("brand_form!A"&amp;ROW())="","",IF(INDIRECT("brand_form!M"&amp;ROW())="","",INDIRECT("brand_form!M"&amp;ROW())))</f>
        <v/>
      </c>
      <c r="M6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4" s="30" t="str">
        <f aca="true">IF(INDIRECT("brand_form!A"&amp;ROW())="","",IF(IF(INDIRECT("brand_form!O"&amp;ROW())="","",INDIRECT("brand_form!O"&amp;ROW()))="Yes","Y",IF(IF(INDIRECT("brand_form!O"&amp;ROW())="","",INDIRECT("brand_form!O"&amp;ROW()))="No","N","")))</f>
        <v/>
      </c>
      <c r="O6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30" t="str">
        <f aca="true">IF(INDIRECT("brand_form!A"&amp;ROW())="","",IF(IF(INDIRECT("brand_form!K"&amp;ROW())="","",INDIRECT("brand_form!K"&amp;ROW()))="I do","Y",IF(IF(INDIRECT("brand_form!K"&amp;ROW())="","",INDIRECT("brand_form!K"&amp;ROW()))="Someone else","N","")))</f>
        <v/>
      </c>
      <c r="Q64" s="30" t="str">
        <f aca="true">IF(INDIRECT("brand_form!A"&amp;ROW())="","",IF($P64="Y",$E64&amp;", "&amp;$F64,IF(INDIRECT("brand_form!L"&amp;ROW())="","",INDIRECT("brand_form!L"&amp;ROW()))))</f>
        <v/>
      </c>
      <c r="R64" s="30" t="str">
        <f aca="true">IF(INDIRECT("brand_form!A"&amp;ROW())="","",IF(IF(INDIRECT("brand_form!Q"&amp;ROW())="","",INDIRECT("brand_form!Q"&amp;ROW()))="Yes","Y",IF(IF(INDIRECT("brand_form!Q"&amp;ROW())="","",INDIRECT("brand_form!Q"&amp;ROW()))="No","N",IF(IF(INDIRECT("brand_form!Q"&amp;ROW())="","",INDIRECT("brand_form!Q"&amp;ROW()))="Not sure","unsure",""))))</f>
        <v/>
      </c>
      <c r="S64" s="30" t="str">
        <f aca="true">IF(INDIRECT("brand_form!A"&amp;ROW())="","",IF(IF(INDIRECT("brand_form!R"&amp;ROW())="","",INDIRECT("brand_form!R"&amp;ROW()))="Yes","Y",IF(IF(INDIRECT("brand_form!R"&amp;ROW())="","",INDIRECT("brand_form!R"&amp;ROW()))="No","N",IF(IF(INDIRECT("brand_form!R"&amp;ROW())="","",INDIRECT("brand_form!R"&amp;ROW()))="Not sure","unsure",""))))</f>
        <v/>
      </c>
      <c r="T64" s="30" t="str">
        <f aca="true">IF(INDIRECT("brand_form!A"&amp;ROW())="","",IF(IF(INDIRECT("brand_form!S"&amp;ROW())="","",INDIRECT("brand_form!S"&amp;ROW()))="Yes","Y",IF(IF(INDIRECT("brand_form!S"&amp;ROW())="","",INDIRECT("brand_form!S"&amp;ROW()))="No","N",IF(IF(INDIRECT("brand_form!S"&amp;ROW())="","",INDIRECT("brand_form!S"&amp;ROW()))="Not sure","unsure",""))))</f>
        <v/>
      </c>
      <c r="U64" s="30" t="str">
        <f aca="true">IF(INDIRECT("brand_form!A"&amp;ROW())="","",IF(IF(INDIRECT("brand_form!T"&amp;ROW())="","",INDIRECT("brand_form!T"&amp;ROW()))="Yes","Y",IF(IF(INDIRECT("brand_form!T"&amp;ROW())="","",INDIRECT("brand_form!T"&amp;ROW()))="No","N",IF(IF(INDIRECT("brand_form!T"&amp;ROW())="","",INDIRECT("brand_form!T"&amp;ROW()))="Not sure","unsure",""))))</f>
        <v/>
      </c>
      <c r="V64" s="30" t="str">
        <f aca="true">IF(INDIRECT("brand_form!A"&amp;ROW())="","",IF(IF(INDIRECT("brand_form!U"&amp;ROW())="","",INDIRECT("brand_form!U"&amp;ROW()))="Yes","Y",IF(IF(INDIRECT("brand_form!U"&amp;ROW())="","",INDIRECT("brand_form!U"&amp;ROW()))="No","N",IF(IF(INDIRECT("brand_form!U"&amp;ROW())="","",INDIRECT("brand_form!U"&amp;ROW()))="Not sure","unsure",""))))</f>
        <v/>
      </c>
      <c r="W64" s="30" t="str">
        <f aca="true">IF(INDIRECT("brand_form!A"&amp;ROW())="","",IF(IF(INDIRECT("brand_form!V"&amp;ROW())="","",INDIRECT("brand_form!V"&amp;ROW()))="Yes","Y",IF(IF(INDIRECT("brand_form!V"&amp;ROW())="","",INDIRECT("brand_form!V"&amp;ROW()))="No","N",IF(IF(INDIRECT("brand_form!V"&amp;ROW())="","",INDIRECT("brand_form!V"&amp;ROW()))="Not sure","unsure",""))))</f>
        <v/>
      </c>
      <c r="X64" s="30" t="str">
        <f aca="true">IF(INDIRECT("brand_form!A"&amp;ROW())="","",IF(INDIRECT("brand_form!W"&amp;ROW())="","",INDIRECT("brand_form!W"&amp;ROW())))</f>
        <v/>
      </c>
      <c r="Y64" s="30" t="str">
        <f aca="true">IF(INDIRECT("brand_form!A"&amp;ROW())="","",IF(IF(INDIRECT("brand_form!X"&amp;ROW())="","",INDIRECT("brand_form!X"&amp;ROW()))&lt;&gt;"","Y",""))</f>
        <v/>
      </c>
      <c r="Z64" s="30" t="str">
        <f aca="true">IF(INDIRECT("brand_form!A"&amp;ROW())="","",IF(INDIRECT("brand_form!Y"&amp;ROW())="","",INDIRECT("brand_form!Y"&amp;ROW())))</f>
        <v/>
      </c>
      <c r="AA64" s="30" t="str">
        <f aca="true">IF(INDIRECT("brand_form!A"&amp;ROW())="","","founder")</f>
        <v/>
      </c>
    </row>
    <row r="65" customFormat="false" ht="15" hidden="false" customHeight="false" outlineLevel="0" collapsed="false">
      <c r="A65" s="30" t="str">
        <f aca="true">IF(INDIRECT("brand_form!A"&amp;ROW())="","",TEXT(INDIRECT("brand_form!A"&amp;ROW()),"yyyy-mm-dd""T""hh:mm:ss"))</f>
        <v/>
      </c>
      <c r="B65" s="30" t="str">
        <f aca="true">IF(INDIRECT("brand_form!A"&amp;ROW())="","",config!$B$35)</f>
        <v/>
      </c>
      <c r="C65" s="30" t="str">
        <f aca="true">IF(INDIRECT("brand_form!A"&amp;ROW())="","",IF(INDIRECT("brand_form!B"&amp;ROW())="","",INDIRECT("brand_form!B"&amp;ROW())))</f>
        <v/>
      </c>
      <c r="D6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5" s="30" t="str">
        <f aca="true">IF(INDIRECT("brand_form!A"&amp;ROW())="","",IF(INDIRECT("brand_form!G"&amp;ROW())="","",INDIRECT("brand_form!G"&amp;ROW())))</f>
        <v/>
      </c>
      <c r="F65" s="30" t="str">
        <f aca="true">IF(INDIRECT("brand_form!A"&amp;ROW())="","",IF(INDIRECT("brand_form!H"&amp;ROW())="","",INDIRECT("brand_form!H"&amp;ROW())))</f>
        <v/>
      </c>
      <c r="G65" s="30" t="str">
        <f aca="true">IF(INDIRECT("brand_form!A"&amp;ROW())="","",IF(INDIRECT("brand_form!I"&amp;ROW())="","",INDIRECT("brand_form!I"&amp;ROW())))</f>
        <v/>
      </c>
      <c r="H65" s="30" t="str">
        <f aca="true">IF(INDIRECT("brand_form!A"&amp;ROW())="","",IF(INDIRECT("brand_form!J"&amp;ROW())="","",INDIRECT("brand_form!J"&amp;ROW())))</f>
        <v/>
      </c>
      <c r="I65" s="30" t="str">
        <f aca="true">IF(INDIRECT("brand_form!A"&amp;ROW())="","",IF(INDIRECT("brand_form!D"&amp;ROW())="","",INDIRECT("brand_form!D"&amp;ROW())))</f>
        <v/>
      </c>
      <c r="J6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30" t="str">
        <f aca="true">IF(INDIRECT("brand_form!A"&amp;ROW())="","",IF(INDIRECT("brand_form!F"&amp;ROW())="","",INDIRECT("brand_form!F"&amp;ROW())))</f>
        <v/>
      </c>
      <c r="L65" s="30" t="str">
        <f aca="true">IF(INDIRECT("brand_form!A"&amp;ROW())="","",IF(INDIRECT("brand_form!M"&amp;ROW())="","",INDIRECT("brand_form!M"&amp;ROW())))</f>
        <v/>
      </c>
      <c r="M6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5" s="30" t="str">
        <f aca="true">IF(INDIRECT("brand_form!A"&amp;ROW())="","",IF(IF(INDIRECT("brand_form!O"&amp;ROW())="","",INDIRECT("brand_form!O"&amp;ROW()))="Yes","Y",IF(IF(INDIRECT("brand_form!O"&amp;ROW())="","",INDIRECT("brand_form!O"&amp;ROW()))="No","N","")))</f>
        <v/>
      </c>
      <c r="O6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30" t="str">
        <f aca="true">IF(INDIRECT("brand_form!A"&amp;ROW())="","",IF(IF(INDIRECT("brand_form!K"&amp;ROW())="","",INDIRECT("brand_form!K"&amp;ROW()))="I do","Y",IF(IF(INDIRECT("brand_form!K"&amp;ROW())="","",INDIRECT("brand_form!K"&amp;ROW()))="Someone else","N","")))</f>
        <v/>
      </c>
      <c r="Q65" s="30" t="str">
        <f aca="true">IF(INDIRECT("brand_form!A"&amp;ROW())="","",IF($P65="Y",$E65&amp;", "&amp;$F65,IF(INDIRECT("brand_form!L"&amp;ROW())="","",INDIRECT("brand_form!L"&amp;ROW()))))</f>
        <v/>
      </c>
      <c r="R65" s="30" t="str">
        <f aca="true">IF(INDIRECT("brand_form!A"&amp;ROW())="","",IF(IF(INDIRECT("brand_form!Q"&amp;ROW())="","",INDIRECT("brand_form!Q"&amp;ROW()))="Yes","Y",IF(IF(INDIRECT("brand_form!Q"&amp;ROW())="","",INDIRECT("brand_form!Q"&amp;ROW()))="No","N",IF(IF(INDIRECT("brand_form!Q"&amp;ROW())="","",INDIRECT("brand_form!Q"&amp;ROW()))="Not sure","unsure",""))))</f>
        <v/>
      </c>
      <c r="S65" s="30" t="str">
        <f aca="true">IF(INDIRECT("brand_form!A"&amp;ROW())="","",IF(IF(INDIRECT("brand_form!R"&amp;ROW())="","",INDIRECT("brand_form!R"&amp;ROW()))="Yes","Y",IF(IF(INDIRECT("brand_form!R"&amp;ROW())="","",INDIRECT("brand_form!R"&amp;ROW()))="No","N",IF(IF(INDIRECT("brand_form!R"&amp;ROW())="","",INDIRECT("brand_form!R"&amp;ROW()))="Not sure","unsure",""))))</f>
        <v/>
      </c>
      <c r="T65" s="30" t="str">
        <f aca="true">IF(INDIRECT("brand_form!A"&amp;ROW())="","",IF(IF(INDIRECT("brand_form!S"&amp;ROW())="","",INDIRECT("brand_form!S"&amp;ROW()))="Yes","Y",IF(IF(INDIRECT("brand_form!S"&amp;ROW())="","",INDIRECT("brand_form!S"&amp;ROW()))="No","N",IF(IF(INDIRECT("brand_form!S"&amp;ROW())="","",INDIRECT("brand_form!S"&amp;ROW()))="Not sure","unsure",""))))</f>
        <v/>
      </c>
      <c r="U65" s="30" t="str">
        <f aca="true">IF(INDIRECT("brand_form!A"&amp;ROW())="","",IF(IF(INDIRECT("brand_form!T"&amp;ROW())="","",INDIRECT("brand_form!T"&amp;ROW()))="Yes","Y",IF(IF(INDIRECT("brand_form!T"&amp;ROW())="","",INDIRECT("brand_form!T"&amp;ROW()))="No","N",IF(IF(INDIRECT("brand_form!T"&amp;ROW())="","",INDIRECT("brand_form!T"&amp;ROW()))="Not sure","unsure",""))))</f>
        <v/>
      </c>
      <c r="V65" s="30" t="str">
        <f aca="true">IF(INDIRECT("brand_form!A"&amp;ROW())="","",IF(IF(INDIRECT("brand_form!U"&amp;ROW())="","",INDIRECT("brand_form!U"&amp;ROW()))="Yes","Y",IF(IF(INDIRECT("brand_form!U"&amp;ROW())="","",INDIRECT("brand_form!U"&amp;ROW()))="No","N",IF(IF(INDIRECT("brand_form!U"&amp;ROW())="","",INDIRECT("brand_form!U"&amp;ROW()))="Not sure","unsure",""))))</f>
        <v/>
      </c>
      <c r="W65" s="30" t="str">
        <f aca="true">IF(INDIRECT("brand_form!A"&amp;ROW())="","",IF(IF(INDIRECT("brand_form!V"&amp;ROW())="","",INDIRECT("brand_form!V"&amp;ROW()))="Yes","Y",IF(IF(INDIRECT("brand_form!V"&amp;ROW())="","",INDIRECT("brand_form!V"&amp;ROW()))="No","N",IF(IF(INDIRECT("brand_form!V"&amp;ROW())="","",INDIRECT("brand_form!V"&amp;ROW()))="Not sure","unsure",""))))</f>
        <v/>
      </c>
      <c r="X65" s="30" t="str">
        <f aca="true">IF(INDIRECT("brand_form!A"&amp;ROW())="","",IF(INDIRECT("brand_form!W"&amp;ROW())="","",INDIRECT("brand_form!W"&amp;ROW())))</f>
        <v/>
      </c>
      <c r="Y65" s="30" t="str">
        <f aca="true">IF(INDIRECT("brand_form!A"&amp;ROW())="","",IF(IF(INDIRECT("brand_form!X"&amp;ROW())="","",INDIRECT("brand_form!X"&amp;ROW()))&lt;&gt;"","Y",""))</f>
        <v/>
      </c>
      <c r="Z65" s="30" t="str">
        <f aca="true">IF(INDIRECT("brand_form!A"&amp;ROW())="","",IF(INDIRECT("brand_form!Y"&amp;ROW())="","",INDIRECT("brand_form!Y"&amp;ROW())))</f>
        <v/>
      </c>
      <c r="AA65" s="30" t="str">
        <f aca="true">IF(INDIRECT("brand_form!A"&amp;ROW())="","","founder")</f>
        <v/>
      </c>
    </row>
    <row r="66" customFormat="false" ht="15" hidden="false" customHeight="false" outlineLevel="0" collapsed="false">
      <c r="A66" s="30" t="str">
        <f aca="true">IF(INDIRECT("brand_form!A"&amp;ROW())="","",TEXT(INDIRECT("brand_form!A"&amp;ROW()),"yyyy-mm-dd""T""hh:mm:ss"))</f>
        <v/>
      </c>
      <c r="B66" s="30" t="str">
        <f aca="true">IF(INDIRECT("brand_form!A"&amp;ROW())="","",config!$B$35)</f>
        <v/>
      </c>
      <c r="C66" s="30" t="str">
        <f aca="true">IF(INDIRECT("brand_form!A"&amp;ROW())="","",IF(INDIRECT("brand_form!B"&amp;ROW())="","",INDIRECT("brand_form!B"&amp;ROW())))</f>
        <v/>
      </c>
      <c r="D6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6" s="30" t="str">
        <f aca="true">IF(INDIRECT("brand_form!A"&amp;ROW())="","",IF(INDIRECT("brand_form!G"&amp;ROW())="","",INDIRECT("brand_form!G"&amp;ROW())))</f>
        <v/>
      </c>
      <c r="F66" s="30" t="str">
        <f aca="true">IF(INDIRECT("brand_form!A"&amp;ROW())="","",IF(INDIRECT("brand_form!H"&amp;ROW())="","",INDIRECT("brand_form!H"&amp;ROW())))</f>
        <v/>
      </c>
      <c r="G66" s="30" t="str">
        <f aca="true">IF(INDIRECT("brand_form!A"&amp;ROW())="","",IF(INDIRECT("brand_form!I"&amp;ROW())="","",INDIRECT("brand_form!I"&amp;ROW())))</f>
        <v/>
      </c>
      <c r="H66" s="30" t="str">
        <f aca="true">IF(INDIRECT("brand_form!A"&amp;ROW())="","",IF(INDIRECT("brand_form!J"&amp;ROW())="","",INDIRECT("brand_form!J"&amp;ROW())))</f>
        <v/>
      </c>
      <c r="I66" s="30" t="str">
        <f aca="true">IF(INDIRECT("brand_form!A"&amp;ROW())="","",IF(INDIRECT("brand_form!D"&amp;ROW())="","",INDIRECT("brand_form!D"&amp;ROW())))</f>
        <v/>
      </c>
      <c r="J6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30" t="str">
        <f aca="true">IF(INDIRECT("brand_form!A"&amp;ROW())="","",IF(INDIRECT("brand_form!F"&amp;ROW())="","",INDIRECT("brand_form!F"&amp;ROW())))</f>
        <v/>
      </c>
      <c r="L66" s="30" t="str">
        <f aca="true">IF(INDIRECT("brand_form!A"&amp;ROW())="","",IF(INDIRECT("brand_form!M"&amp;ROW())="","",INDIRECT("brand_form!M"&amp;ROW())))</f>
        <v/>
      </c>
      <c r="M6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6" s="30" t="str">
        <f aca="true">IF(INDIRECT("brand_form!A"&amp;ROW())="","",IF(IF(INDIRECT("brand_form!O"&amp;ROW())="","",INDIRECT("brand_form!O"&amp;ROW()))="Yes","Y",IF(IF(INDIRECT("brand_form!O"&amp;ROW())="","",INDIRECT("brand_form!O"&amp;ROW()))="No","N","")))</f>
        <v/>
      </c>
      <c r="O6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30" t="str">
        <f aca="true">IF(INDIRECT("brand_form!A"&amp;ROW())="","",IF(IF(INDIRECT("brand_form!K"&amp;ROW())="","",INDIRECT("brand_form!K"&amp;ROW()))="I do","Y",IF(IF(INDIRECT("brand_form!K"&amp;ROW())="","",INDIRECT("brand_form!K"&amp;ROW()))="Someone else","N","")))</f>
        <v/>
      </c>
      <c r="Q66" s="30" t="str">
        <f aca="true">IF(INDIRECT("brand_form!A"&amp;ROW())="","",IF($P66="Y",$E66&amp;", "&amp;$F66,IF(INDIRECT("brand_form!L"&amp;ROW())="","",INDIRECT("brand_form!L"&amp;ROW()))))</f>
        <v/>
      </c>
      <c r="R66" s="30" t="str">
        <f aca="true">IF(INDIRECT("brand_form!A"&amp;ROW())="","",IF(IF(INDIRECT("brand_form!Q"&amp;ROW())="","",INDIRECT("brand_form!Q"&amp;ROW()))="Yes","Y",IF(IF(INDIRECT("brand_form!Q"&amp;ROW())="","",INDIRECT("brand_form!Q"&amp;ROW()))="No","N",IF(IF(INDIRECT("brand_form!Q"&amp;ROW())="","",INDIRECT("brand_form!Q"&amp;ROW()))="Not sure","unsure",""))))</f>
        <v/>
      </c>
      <c r="S66" s="30" t="str">
        <f aca="true">IF(INDIRECT("brand_form!A"&amp;ROW())="","",IF(IF(INDIRECT("brand_form!R"&amp;ROW())="","",INDIRECT("brand_form!R"&amp;ROW()))="Yes","Y",IF(IF(INDIRECT("brand_form!R"&amp;ROW())="","",INDIRECT("brand_form!R"&amp;ROW()))="No","N",IF(IF(INDIRECT("brand_form!R"&amp;ROW())="","",INDIRECT("brand_form!R"&amp;ROW()))="Not sure","unsure",""))))</f>
        <v/>
      </c>
      <c r="T66" s="30" t="str">
        <f aca="true">IF(INDIRECT("brand_form!A"&amp;ROW())="","",IF(IF(INDIRECT("brand_form!S"&amp;ROW())="","",INDIRECT("brand_form!S"&amp;ROW()))="Yes","Y",IF(IF(INDIRECT("brand_form!S"&amp;ROW())="","",INDIRECT("brand_form!S"&amp;ROW()))="No","N",IF(IF(INDIRECT("brand_form!S"&amp;ROW())="","",INDIRECT("brand_form!S"&amp;ROW()))="Not sure","unsure",""))))</f>
        <v/>
      </c>
      <c r="U66" s="30" t="str">
        <f aca="true">IF(INDIRECT("brand_form!A"&amp;ROW())="","",IF(IF(INDIRECT("brand_form!T"&amp;ROW())="","",INDIRECT("brand_form!T"&amp;ROW()))="Yes","Y",IF(IF(INDIRECT("brand_form!T"&amp;ROW())="","",INDIRECT("brand_form!T"&amp;ROW()))="No","N",IF(IF(INDIRECT("brand_form!T"&amp;ROW())="","",INDIRECT("brand_form!T"&amp;ROW()))="Not sure","unsure",""))))</f>
        <v/>
      </c>
      <c r="V66" s="30" t="str">
        <f aca="true">IF(INDIRECT("brand_form!A"&amp;ROW())="","",IF(IF(INDIRECT("brand_form!U"&amp;ROW())="","",INDIRECT("brand_form!U"&amp;ROW()))="Yes","Y",IF(IF(INDIRECT("brand_form!U"&amp;ROW())="","",INDIRECT("brand_form!U"&amp;ROW()))="No","N",IF(IF(INDIRECT("brand_form!U"&amp;ROW())="","",INDIRECT("brand_form!U"&amp;ROW()))="Not sure","unsure",""))))</f>
        <v/>
      </c>
      <c r="W66" s="30" t="str">
        <f aca="true">IF(INDIRECT("brand_form!A"&amp;ROW())="","",IF(IF(INDIRECT("brand_form!V"&amp;ROW())="","",INDIRECT("brand_form!V"&amp;ROW()))="Yes","Y",IF(IF(INDIRECT("brand_form!V"&amp;ROW())="","",INDIRECT("brand_form!V"&amp;ROW()))="No","N",IF(IF(INDIRECT("brand_form!V"&amp;ROW())="","",INDIRECT("brand_form!V"&amp;ROW()))="Not sure","unsure",""))))</f>
        <v/>
      </c>
      <c r="X66" s="30" t="str">
        <f aca="true">IF(INDIRECT("brand_form!A"&amp;ROW())="","",IF(INDIRECT("brand_form!W"&amp;ROW())="","",INDIRECT("brand_form!W"&amp;ROW())))</f>
        <v/>
      </c>
      <c r="Y66" s="30" t="str">
        <f aca="true">IF(INDIRECT("brand_form!A"&amp;ROW())="","",IF(IF(INDIRECT("brand_form!X"&amp;ROW())="","",INDIRECT("brand_form!X"&amp;ROW()))&lt;&gt;"","Y",""))</f>
        <v/>
      </c>
      <c r="Z66" s="30" t="str">
        <f aca="true">IF(INDIRECT("brand_form!A"&amp;ROW())="","",IF(INDIRECT("brand_form!Y"&amp;ROW())="","",INDIRECT("brand_form!Y"&amp;ROW())))</f>
        <v/>
      </c>
      <c r="AA66" s="30" t="str">
        <f aca="true">IF(INDIRECT("brand_form!A"&amp;ROW())="","","founder")</f>
        <v/>
      </c>
    </row>
    <row r="67" customFormat="false" ht="15" hidden="false" customHeight="false" outlineLevel="0" collapsed="false">
      <c r="A67" s="30" t="str">
        <f aca="true">IF(INDIRECT("brand_form!A"&amp;ROW())="","",TEXT(INDIRECT("brand_form!A"&amp;ROW()),"yyyy-mm-dd""T""hh:mm:ss"))</f>
        <v/>
      </c>
      <c r="B67" s="30" t="str">
        <f aca="true">IF(INDIRECT("brand_form!A"&amp;ROW())="","",config!$B$35)</f>
        <v/>
      </c>
      <c r="C67" s="30" t="str">
        <f aca="true">IF(INDIRECT("brand_form!A"&amp;ROW())="","",IF(INDIRECT("brand_form!B"&amp;ROW())="","",INDIRECT("brand_form!B"&amp;ROW())))</f>
        <v/>
      </c>
      <c r="D6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7" s="30" t="str">
        <f aca="true">IF(INDIRECT("brand_form!A"&amp;ROW())="","",IF(INDIRECT("brand_form!G"&amp;ROW())="","",INDIRECT("brand_form!G"&amp;ROW())))</f>
        <v/>
      </c>
      <c r="F67" s="30" t="str">
        <f aca="true">IF(INDIRECT("brand_form!A"&amp;ROW())="","",IF(INDIRECT("brand_form!H"&amp;ROW())="","",INDIRECT("brand_form!H"&amp;ROW())))</f>
        <v/>
      </c>
      <c r="G67" s="30" t="str">
        <f aca="true">IF(INDIRECT("brand_form!A"&amp;ROW())="","",IF(INDIRECT("brand_form!I"&amp;ROW())="","",INDIRECT("brand_form!I"&amp;ROW())))</f>
        <v/>
      </c>
      <c r="H67" s="30" t="str">
        <f aca="true">IF(INDIRECT("brand_form!A"&amp;ROW())="","",IF(INDIRECT("brand_form!J"&amp;ROW())="","",INDIRECT("brand_form!J"&amp;ROW())))</f>
        <v/>
      </c>
      <c r="I67" s="30" t="str">
        <f aca="true">IF(INDIRECT("brand_form!A"&amp;ROW())="","",IF(INDIRECT("brand_form!D"&amp;ROW())="","",INDIRECT("brand_form!D"&amp;ROW())))</f>
        <v/>
      </c>
      <c r="J6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30" t="str">
        <f aca="true">IF(INDIRECT("brand_form!A"&amp;ROW())="","",IF(INDIRECT("brand_form!F"&amp;ROW())="","",INDIRECT("brand_form!F"&amp;ROW())))</f>
        <v/>
      </c>
      <c r="L67" s="30" t="str">
        <f aca="true">IF(INDIRECT("brand_form!A"&amp;ROW())="","",IF(INDIRECT("brand_form!M"&amp;ROW())="","",INDIRECT("brand_form!M"&amp;ROW())))</f>
        <v/>
      </c>
      <c r="M6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7" s="30" t="str">
        <f aca="true">IF(INDIRECT("brand_form!A"&amp;ROW())="","",IF(IF(INDIRECT("brand_form!O"&amp;ROW())="","",INDIRECT("brand_form!O"&amp;ROW()))="Yes","Y",IF(IF(INDIRECT("brand_form!O"&amp;ROW())="","",INDIRECT("brand_form!O"&amp;ROW()))="No","N","")))</f>
        <v/>
      </c>
      <c r="O6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30" t="str">
        <f aca="true">IF(INDIRECT("brand_form!A"&amp;ROW())="","",IF(IF(INDIRECT("brand_form!K"&amp;ROW())="","",INDIRECT("brand_form!K"&amp;ROW()))="I do","Y",IF(IF(INDIRECT("brand_form!K"&amp;ROW())="","",INDIRECT("brand_form!K"&amp;ROW()))="Someone else","N","")))</f>
        <v/>
      </c>
      <c r="Q67" s="30" t="str">
        <f aca="true">IF(INDIRECT("brand_form!A"&amp;ROW())="","",IF($P67="Y",$E67&amp;", "&amp;$F67,IF(INDIRECT("brand_form!L"&amp;ROW())="","",INDIRECT("brand_form!L"&amp;ROW()))))</f>
        <v/>
      </c>
      <c r="R67" s="30" t="str">
        <f aca="true">IF(INDIRECT("brand_form!A"&amp;ROW())="","",IF(IF(INDIRECT("brand_form!Q"&amp;ROW())="","",INDIRECT("brand_form!Q"&amp;ROW()))="Yes","Y",IF(IF(INDIRECT("brand_form!Q"&amp;ROW())="","",INDIRECT("brand_form!Q"&amp;ROW()))="No","N",IF(IF(INDIRECT("brand_form!Q"&amp;ROW())="","",INDIRECT("brand_form!Q"&amp;ROW()))="Not sure","unsure",""))))</f>
        <v/>
      </c>
      <c r="S67" s="30" t="str">
        <f aca="true">IF(INDIRECT("brand_form!A"&amp;ROW())="","",IF(IF(INDIRECT("brand_form!R"&amp;ROW())="","",INDIRECT("brand_form!R"&amp;ROW()))="Yes","Y",IF(IF(INDIRECT("brand_form!R"&amp;ROW())="","",INDIRECT("brand_form!R"&amp;ROW()))="No","N",IF(IF(INDIRECT("brand_form!R"&amp;ROW())="","",INDIRECT("brand_form!R"&amp;ROW()))="Not sure","unsure",""))))</f>
        <v/>
      </c>
      <c r="T67" s="30" t="str">
        <f aca="true">IF(INDIRECT("brand_form!A"&amp;ROW())="","",IF(IF(INDIRECT("brand_form!S"&amp;ROW())="","",INDIRECT("brand_form!S"&amp;ROW()))="Yes","Y",IF(IF(INDIRECT("brand_form!S"&amp;ROW())="","",INDIRECT("brand_form!S"&amp;ROW()))="No","N",IF(IF(INDIRECT("brand_form!S"&amp;ROW())="","",INDIRECT("brand_form!S"&amp;ROW()))="Not sure","unsure",""))))</f>
        <v/>
      </c>
      <c r="U67" s="30" t="str">
        <f aca="true">IF(INDIRECT("brand_form!A"&amp;ROW())="","",IF(IF(INDIRECT("brand_form!T"&amp;ROW())="","",INDIRECT("brand_form!T"&amp;ROW()))="Yes","Y",IF(IF(INDIRECT("brand_form!T"&amp;ROW())="","",INDIRECT("brand_form!T"&amp;ROW()))="No","N",IF(IF(INDIRECT("brand_form!T"&amp;ROW())="","",INDIRECT("brand_form!T"&amp;ROW()))="Not sure","unsure",""))))</f>
        <v/>
      </c>
      <c r="V67" s="30" t="str">
        <f aca="true">IF(INDIRECT("brand_form!A"&amp;ROW())="","",IF(IF(INDIRECT("brand_form!U"&amp;ROW())="","",INDIRECT("brand_form!U"&amp;ROW()))="Yes","Y",IF(IF(INDIRECT("brand_form!U"&amp;ROW())="","",INDIRECT("brand_form!U"&amp;ROW()))="No","N",IF(IF(INDIRECT("brand_form!U"&amp;ROW())="","",INDIRECT("brand_form!U"&amp;ROW()))="Not sure","unsure",""))))</f>
        <v/>
      </c>
      <c r="W67" s="30" t="str">
        <f aca="true">IF(INDIRECT("brand_form!A"&amp;ROW())="","",IF(IF(INDIRECT("brand_form!V"&amp;ROW())="","",INDIRECT("brand_form!V"&amp;ROW()))="Yes","Y",IF(IF(INDIRECT("brand_form!V"&amp;ROW())="","",INDIRECT("brand_form!V"&amp;ROW()))="No","N",IF(IF(INDIRECT("brand_form!V"&amp;ROW())="","",INDIRECT("brand_form!V"&amp;ROW()))="Not sure","unsure",""))))</f>
        <v/>
      </c>
      <c r="X67" s="30" t="str">
        <f aca="true">IF(INDIRECT("brand_form!A"&amp;ROW())="","",IF(INDIRECT("brand_form!W"&amp;ROW())="","",INDIRECT("brand_form!W"&amp;ROW())))</f>
        <v/>
      </c>
      <c r="Y67" s="30" t="str">
        <f aca="true">IF(INDIRECT("brand_form!A"&amp;ROW())="","",IF(IF(INDIRECT("brand_form!X"&amp;ROW())="","",INDIRECT("brand_form!X"&amp;ROW()))&lt;&gt;"","Y",""))</f>
        <v/>
      </c>
      <c r="Z67" s="30" t="str">
        <f aca="true">IF(INDIRECT("brand_form!A"&amp;ROW())="","",IF(INDIRECT("brand_form!Y"&amp;ROW())="","",INDIRECT("brand_form!Y"&amp;ROW())))</f>
        <v/>
      </c>
      <c r="AA67" s="30" t="str">
        <f aca="true">IF(INDIRECT("brand_form!A"&amp;ROW())="","","founder")</f>
        <v/>
      </c>
    </row>
    <row r="68" customFormat="false" ht="15" hidden="false" customHeight="false" outlineLevel="0" collapsed="false">
      <c r="A68" s="30" t="str">
        <f aca="true">IF(INDIRECT("brand_form!A"&amp;ROW())="","",TEXT(INDIRECT("brand_form!A"&amp;ROW()),"yyyy-mm-dd""T""hh:mm:ss"))</f>
        <v/>
      </c>
      <c r="B68" s="30" t="str">
        <f aca="true">IF(INDIRECT("brand_form!A"&amp;ROW())="","",config!$B$35)</f>
        <v/>
      </c>
      <c r="C68" s="30" t="str">
        <f aca="true">IF(INDIRECT("brand_form!A"&amp;ROW())="","",IF(INDIRECT("brand_form!B"&amp;ROW())="","",INDIRECT("brand_form!B"&amp;ROW())))</f>
        <v/>
      </c>
      <c r="D6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8" s="30" t="str">
        <f aca="true">IF(INDIRECT("brand_form!A"&amp;ROW())="","",IF(INDIRECT("brand_form!G"&amp;ROW())="","",INDIRECT("brand_form!G"&amp;ROW())))</f>
        <v/>
      </c>
      <c r="F68" s="30" t="str">
        <f aca="true">IF(INDIRECT("brand_form!A"&amp;ROW())="","",IF(INDIRECT("brand_form!H"&amp;ROW())="","",INDIRECT("brand_form!H"&amp;ROW())))</f>
        <v/>
      </c>
      <c r="G68" s="30" t="str">
        <f aca="true">IF(INDIRECT("brand_form!A"&amp;ROW())="","",IF(INDIRECT("brand_form!I"&amp;ROW())="","",INDIRECT("brand_form!I"&amp;ROW())))</f>
        <v/>
      </c>
      <c r="H68" s="30" t="str">
        <f aca="true">IF(INDIRECT("brand_form!A"&amp;ROW())="","",IF(INDIRECT("brand_form!J"&amp;ROW())="","",INDIRECT("brand_form!J"&amp;ROW())))</f>
        <v/>
      </c>
      <c r="I68" s="30" t="str">
        <f aca="true">IF(INDIRECT("brand_form!A"&amp;ROW())="","",IF(INDIRECT("brand_form!D"&amp;ROW())="","",INDIRECT("brand_form!D"&amp;ROW())))</f>
        <v/>
      </c>
      <c r="J6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30" t="str">
        <f aca="true">IF(INDIRECT("brand_form!A"&amp;ROW())="","",IF(INDIRECT("brand_form!F"&amp;ROW())="","",INDIRECT("brand_form!F"&amp;ROW())))</f>
        <v/>
      </c>
      <c r="L68" s="30" t="str">
        <f aca="true">IF(INDIRECT("brand_form!A"&amp;ROW())="","",IF(INDIRECT("brand_form!M"&amp;ROW())="","",INDIRECT("brand_form!M"&amp;ROW())))</f>
        <v/>
      </c>
      <c r="M6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8" s="30" t="str">
        <f aca="true">IF(INDIRECT("brand_form!A"&amp;ROW())="","",IF(IF(INDIRECT("brand_form!O"&amp;ROW())="","",INDIRECT("brand_form!O"&amp;ROW()))="Yes","Y",IF(IF(INDIRECT("brand_form!O"&amp;ROW())="","",INDIRECT("brand_form!O"&amp;ROW()))="No","N","")))</f>
        <v/>
      </c>
      <c r="O6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30" t="str">
        <f aca="true">IF(INDIRECT("brand_form!A"&amp;ROW())="","",IF(IF(INDIRECT("brand_form!K"&amp;ROW())="","",INDIRECT("brand_form!K"&amp;ROW()))="I do","Y",IF(IF(INDIRECT("brand_form!K"&amp;ROW())="","",INDIRECT("brand_form!K"&amp;ROW()))="Someone else","N","")))</f>
        <v/>
      </c>
      <c r="Q68" s="30" t="str">
        <f aca="true">IF(INDIRECT("brand_form!A"&amp;ROW())="","",IF($P68="Y",$E68&amp;", "&amp;$F68,IF(INDIRECT("brand_form!L"&amp;ROW())="","",INDIRECT("brand_form!L"&amp;ROW()))))</f>
        <v/>
      </c>
      <c r="R68" s="30" t="str">
        <f aca="true">IF(INDIRECT("brand_form!A"&amp;ROW())="","",IF(IF(INDIRECT("brand_form!Q"&amp;ROW())="","",INDIRECT("brand_form!Q"&amp;ROW()))="Yes","Y",IF(IF(INDIRECT("brand_form!Q"&amp;ROW())="","",INDIRECT("brand_form!Q"&amp;ROW()))="No","N",IF(IF(INDIRECT("brand_form!Q"&amp;ROW())="","",INDIRECT("brand_form!Q"&amp;ROW()))="Not sure","unsure",""))))</f>
        <v/>
      </c>
      <c r="S68" s="30" t="str">
        <f aca="true">IF(INDIRECT("brand_form!A"&amp;ROW())="","",IF(IF(INDIRECT("brand_form!R"&amp;ROW())="","",INDIRECT("brand_form!R"&amp;ROW()))="Yes","Y",IF(IF(INDIRECT("brand_form!R"&amp;ROW())="","",INDIRECT("brand_form!R"&amp;ROW()))="No","N",IF(IF(INDIRECT("brand_form!R"&amp;ROW())="","",INDIRECT("brand_form!R"&amp;ROW()))="Not sure","unsure",""))))</f>
        <v/>
      </c>
      <c r="T68" s="30" t="str">
        <f aca="true">IF(INDIRECT("brand_form!A"&amp;ROW())="","",IF(IF(INDIRECT("brand_form!S"&amp;ROW())="","",INDIRECT("brand_form!S"&amp;ROW()))="Yes","Y",IF(IF(INDIRECT("brand_form!S"&amp;ROW())="","",INDIRECT("brand_form!S"&amp;ROW()))="No","N",IF(IF(INDIRECT("brand_form!S"&amp;ROW())="","",INDIRECT("brand_form!S"&amp;ROW()))="Not sure","unsure",""))))</f>
        <v/>
      </c>
      <c r="U68" s="30" t="str">
        <f aca="true">IF(INDIRECT("brand_form!A"&amp;ROW())="","",IF(IF(INDIRECT("brand_form!T"&amp;ROW())="","",INDIRECT("brand_form!T"&amp;ROW()))="Yes","Y",IF(IF(INDIRECT("brand_form!T"&amp;ROW())="","",INDIRECT("brand_form!T"&amp;ROW()))="No","N",IF(IF(INDIRECT("brand_form!T"&amp;ROW())="","",INDIRECT("brand_form!T"&amp;ROW()))="Not sure","unsure",""))))</f>
        <v/>
      </c>
      <c r="V68" s="30" t="str">
        <f aca="true">IF(INDIRECT("brand_form!A"&amp;ROW())="","",IF(IF(INDIRECT("brand_form!U"&amp;ROW())="","",INDIRECT("brand_form!U"&amp;ROW()))="Yes","Y",IF(IF(INDIRECT("brand_form!U"&amp;ROW())="","",INDIRECT("brand_form!U"&amp;ROW()))="No","N",IF(IF(INDIRECT("brand_form!U"&amp;ROW())="","",INDIRECT("brand_form!U"&amp;ROW()))="Not sure","unsure",""))))</f>
        <v/>
      </c>
      <c r="W68" s="30" t="str">
        <f aca="true">IF(INDIRECT("brand_form!A"&amp;ROW())="","",IF(IF(INDIRECT("brand_form!V"&amp;ROW())="","",INDIRECT("brand_form!V"&amp;ROW()))="Yes","Y",IF(IF(INDIRECT("brand_form!V"&amp;ROW())="","",INDIRECT("brand_form!V"&amp;ROW()))="No","N",IF(IF(INDIRECT("brand_form!V"&amp;ROW())="","",INDIRECT("brand_form!V"&amp;ROW()))="Not sure","unsure",""))))</f>
        <v/>
      </c>
      <c r="X68" s="30" t="str">
        <f aca="true">IF(INDIRECT("brand_form!A"&amp;ROW())="","",IF(INDIRECT("brand_form!W"&amp;ROW())="","",INDIRECT("brand_form!W"&amp;ROW())))</f>
        <v/>
      </c>
      <c r="Y68" s="30" t="str">
        <f aca="true">IF(INDIRECT("brand_form!A"&amp;ROW())="","",IF(IF(INDIRECT("brand_form!X"&amp;ROW())="","",INDIRECT("brand_form!X"&amp;ROW()))&lt;&gt;"","Y",""))</f>
        <v/>
      </c>
      <c r="Z68" s="30" t="str">
        <f aca="true">IF(INDIRECT("brand_form!A"&amp;ROW())="","",IF(INDIRECT("brand_form!Y"&amp;ROW())="","",INDIRECT("brand_form!Y"&amp;ROW())))</f>
        <v/>
      </c>
      <c r="AA68" s="30" t="str">
        <f aca="true">IF(INDIRECT("brand_form!A"&amp;ROW())="","","founder")</f>
        <v/>
      </c>
    </row>
    <row r="69" customFormat="false" ht="15" hidden="false" customHeight="false" outlineLevel="0" collapsed="false">
      <c r="A69" s="30" t="str">
        <f aca="true">IF(INDIRECT("brand_form!A"&amp;ROW())="","",TEXT(INDIRECT("brand_form!A"&amp;ROW()),"yyyy-mm-dd""T""hh:mm:ss"))</f>
        <v/>
      </c>
      <c r="B69" s="30" t="str">
        <f aca="true">IF(INDIRECT("brand_form!A"&amp;ROW())="","",config!$B$35)</f>
        <v/>
      </c>
      <c r="C69" s="30" t="str">
        <f aca="true">IF(INDIRECT("brand_form!A"&amp;ROW())="","",IF(INDIRECT("brand_form!B"&amp;ROW())="","",INDIRECT("brand_form!B"&amp;ROW())))</f>
        <v/>
      </c>
      <c r="D6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69" s="30" t="str">
        <f aca="true">IF(INDIRECT("brand_form!A"&amp;ROW())="","",IF(INDIRECT("brand_form!G"&amp;ROW())="","",INDIRECT("brand_form!G"&amp;ROW())))</f>
        <v/>
      </c>
      <c r="F69" s="30" t="str">
        <f aca="true">IF(INDIRECT("brand_form!A"&amp;ROW())="","",IF(INDIRECT("brand_form!H"&amp;ROW())="","",INDIRECT("brand_form!H"&amp;ROW())))</f>
        <v/>
      </c>
      <c r="G69" s="30" t="str">
        <f aca="true">IF(INDIRECT("brand_form!A"&amp;ROW())="","",IF(INDIRECT("brand_form!I"&amp;ROW())="","",INDIRECT("brand_form!I"&amp;ROW())))</f>
        <v/>
      </c>
      <c r="H69" s="30" t="str">
        <f aca="true">IF(INDIRECT("brand_form!A"&amp;ROW())="","",IF(INDIRECT("brand_form!J"&amp;ROW())="","",INDIRECT("brand_form!J"&amp;ROW())))</f>
        <v/>
      </c>
      <c r="I69" s="30" t="str">
        <f aca="true">IF(INDIRECT("brand_form!A"&amp;ROW())="","",IF(INDIRECT("brand_form!D"&amp;ROW())="","",INDIRECT("brand_form!D"&amp;ROW())))</f>
        <v/>
      </c>
      <c r="J6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30" t="str">
        <f aca="true">IF(INDIRECT("brand_form!A"&amp;ROW())="","",IF(INDIRECT("brand_form!F"&amp;ROW())="","",INDIRECT("brand_form!F"&amp;ROW())))</f>
        <v/>
      </c>
      <c r="L69" s="30" t="str">
        <f aca="true">IF(INDIRECT("brand_form!A"&amp;ROW())="","",IF(INDIRECT("brand_form!M"&amp;ROW())="","",INDIRECT("brand_form!M"&amp;ROW())))</f>
        <v/>
      </c>
      <c r="M6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69" s="30" t="str">
        <f aca="true">IF(INDIRECT("brand_form!A"&amp;ROW())="","",IF(IF(INDIRECT("brand_form!O"&amp;ROW())="","",INDIRECT("brand_form!O"&amp;ROW()))="Yes","Y",IF(IF(INDIRECT("brand_form!O"&amp;ROW())="","",INDIRECT("brand_form!O"&amp;ROW()))="No","N","")))</f>
        <v/>
      </c>
      <c r="O6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30" t="str">
        <f aca="true">IF(INDIRECT("brand_form!A"&amp;ROW())="","",IF(IF(INDIRECT("brand_form!K"&amp;ROW())="","",INDIRECT("brand_form!K"&amp;ROW()))="I do","Y",IF(IF(INDIRECT("brand_form!K"&amp;ROW())="","",INDIRECT("brand_form!K"&amp;ROW()))="Someone else","N","")))</f>
        <v/>
      </c>
      <c r="Q69" s="30" t="str">
        <f aca="true">IF(INDIRECT("brand_form!A"&amp;ROW())="","",IF($P69="Y",$E69&amp;", "&amp;$F69,IF(INDIRECT("brand_form!L"&amp;ROW())="","",INDIRECT("brand_form!L"&amp;ROW()))))</f>
        <v/>
      </c>
      <c r="R69" s="30" t="str">
        <f aca="true">IF(INDIRECT("brand_form!A"&amp;ROW())="","",IF(IF(INDIRECT("brand_form!Q"&amp;ROW())="","",INDIRECT("brand_form!Q"&amp;ROW()))="Yes","Y",IF(IF(INDIRECT("brand_form!Q"&amp;ROW())="","",INDIRECT("brand_form!Q"&amp;ROW()))="No","N",IF(IF(INDIRECT("brand_form!Q"&amp;ROW())="","",INDIRECT("brand_form!Q"&amp;ROW()))="Not sure","unsure",""))))</f>
        <v/>
      </c>
      <c r="S69" s="30" t="str">
        <f aca="true">IF(INDIRECT("brand_form!A"&amp;ROW())="","",IF(IF(INDIRECT("brand_form!R"&amp;ROW())="","",INDIRECT("brand_form!R"&amp;ROW()))="Yes","Y",IF(IF(INDIRECT("brand_form!R"&amp;ROW())="","",INDIRECT("brand_form!R"&amp;ROW()))="No","N",IF(IF(INDIRECT("brand_form!R"&amp;ROW())="","",INDIRECT("brand_form!R"&amp;ROW()))="Not sure","unsure",""))))</f>
        <v/>
      </c>
      <c r="T69" s="30" t="str">
        <f aca="true">IF(INDIRECT("brand_form!A"&amp;ROW())="","",IF(IF(INDIRECT("brand_form!S"&amp;ROW())="","",INDIRECT("brand_form!S"&amp;ROW()))="Yes","Y",IF(IF(INDIRECT("brand_form!S"&amp;ROW())="","",INDIRECT("brand_form!S"&amp;ROW()))="No","N",IF(IF(INDIRECT("brand_form!S"&amp;ROW())="","",INDIRECT("brand_form!S"&amp;ROW()))="Not sure","unsure",""))))</f>
        <v/>
      </c>
      <c r="U69" s="30" t="str">
        <f aca="true">IF(INDIRECT("brand_form!A"&amp;ROW())="","",IF(IF(INDIRECT("brand_form!T"&amp;ROW())="","",INDIRECT("brand_form!T"&amp;ROW()))="Yes","Y",IF(IF(INDIRECT("brand_form!T"&amp;ROW())="","",INDIRECT("brand_form!T"&amp;ROW()))="No","N",IF(IF(INDIRECT("brand_form!T"&amp;ROW())="","",INDIRECT("brand_form!T"&amp;ROW()))="Not sure","unsure",""))))</f>
        <v/>
      </c>
      <c r="V69" s="30" t="str">
        <f aca="true">IF(INDIRECT("brand_form!A"&amp;ROW())="","",IF(IF(INDIRECT("brand_form!U"&amp;ROW())="","",INDIRECT("brand_form!U"&amp;ROW()))="Yes","Y",IF(IF(INDIRECT("brand_form!U"&amp;ROW())="","",INDIRECT("brand_form!U"&amp;ROW()))="No","N",IF(IF(INDIRECT("brand_form!U"&amp;ROW())="","",INDIRECT("brand_form!U"&amp;ROW()))="Not sure","unsure",""))))</f>
        <v/>
      </c>
      <c r="W69" s="30" t="str">
        <f aca="true">IF(INDIRECT("brand_form!A"&amp;ROW())="","",IF(IF(INDIRECT("brand_form!V"&amp;ROW())="","",INDIRECT("brand_form!V"&amp;ROW()))="Yes","Y",IF(IF(INDIRECT("brand_form!V"&amp;ROW())="","",INDIRECT("brand_form!V"&amp;ROW()))="No","N",IF(IF(INDIRECT("brand_form!V"&amp;ROW())="","",INDIRECT("brand_form!V"&amp;ROW()))="Not sure","unsure",""))))</f>
        <v/>
      </c>
      <c r="X69" s="30" t="str">
        <f aca="true">IF(INDIRECT("brand_form!A"&amp;ROW())="","",IF(INDIRECT("brand_form!W"&amp;ROW())="","",INDIRECT("brand_form!W"&amp;ROW())))</f>
        <v/>
      </c>
      <c r="Y69" s="30" t="str">
        <f aca="true">IF(INDIRECT("brand_form!A"&amp;ROW())="","",IF(IF(INDIRECT("brand_form!X"&amp;ROW())="","",INDIRECT("brand_form!X"&amp;ROW()))&lt;&gt;"","Y",""))</f>
        <v/>
      </c>
      <c r="Z69" s="30" t="str">
        <f aca="true">IF(INDIRECT("brand_form!A"&amp;ROW())="","",IF(INDIRECT("brand_form!Y"&amp;ROW())="","",INDIRECT("brand_form!Y"&amp;ROW())))</f>
        <v/>
      </c>
      <c r="AA69" s="30" t="str">
        <f aca="true">IF(INDIRECT("brand_form!A"&amp;ROW())="","","founder")</f>
        <v/>
      </c>
    </row>
    <row r="70" customFormat="false" ht="15" hidden="false" customHeight="false" outlineLevel="0" collapsed="false">
      <c r="A70" s="30" t="str">
        <f aca="true">IF(INDIRECT("brand_form!A"&amp;ROW())="","",TEXT(INDIRECT("brand_form!A"&amp;ROW()),"yyyy-mm-dd""T""hh:mm:ss"))</f>
        <v/>
      </c>
      <c r="B70" s="30" t="str">
        <f aca="true">IF(INDIRECT("brand_form!A"&amp;ROW())="","",config!$B$35)</f>
        <v/>
      </c>
      <c r="C70" s="30" t="str">
        <f aca="true">IF(INDIRECT("brand_form!A"&amp;ROW())="","",IF(INDIRECT("brand_form!B"&amp;ROW())="","",INDIRECT("brand_form!B"&amp;ROW())))</f>
        <v/>
      </c>
      <c r="D7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0" s="30" t="str">
        <f aca="true">IF(INDIRECT("brand_form!A"&amp;ROW())="","",IF(INDIRECT("brand_form!G"&amp;ROW())="","",INDIRECT("brand_form!G"&amp;ROW())))</f>
        <v/>
      </c>
      <c r="F70" s="30" t="str">
        <f aca="true">IF(INDIRECT("brand_form!A"&amp;ROW())="","",IF(INDIRECT("brand_form!H"&amp;ROW())="","",INDIRECT("brand_form!H"&amp;ROW())))</f>
        <v/>
      </c>
      <c r="G70" s="30" t="str">
        <f aca="true">IF(INDIRECT("brand_form!A"&amp;ROW())="","",IF(INDIRECT("brand_form!I"&amp;ROW())="","",INDIRECT("brand_form!I"&amp;ROW())))</f>
        <v/>
      </c>
      <c r="H70" s="30" t="str">
        <f aca="true">IF(INDIRECT("brand_form!A"&amp;ROW())="","",IF(INDIRECT("brand_form!J"&amp;ROW())="","",INDIRECT("brand_form!J"&amp;ROW())))</f>
        <v/>
      </c>
      <c r="I70" s="30" t="str">
        <f aca="true">IF(INDIRECT("brand_form!A"&amp;ROW())="","",IF(INDIRECT("brand_form!D"&amp;ROW())="","",INDIRECT("brand_form!D"&amp;ROW())))</f>
        <v/>
      </c>
      <c r="J7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30" t="str">
        <f aca="true">IF(INDIRECT("brand_form!A"&amp;ROW())="","",IF(INDIRECT("brand_form!F"&amp;ROW())="","",INDIRECT("brand_form!F"&amp;ROW())))</f>
        <v/>
      </c>
      <c r="L70" s="30" t="str">
        <f aca="true">IF(INDIRECT("brand_form!A"&amp;ROW())="","",IF(INDIRECT("brand_form!M"&amp;ROW())="","",INDIRECT("brand_form!M"&amp;ROW())))</f>
        <v/>
      </c>
      <c r="M7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0" s="30" t="str">
        <f aca="true">IF(INDIRECT("brand_form!A"&amp;ROW())="","",IF(IF(INDIRECT("brand_form!O"&amp;ROW())="","",INDIRECT("brand_form!O"&amp;ROW()))="Yes","Y",IF(IF(INDIRECT("brand_form!O"&amp;ROW())="","",INDIRECT("brand_form!O"&amp;ROW()))="No","N","")))</f>
        <v/>
      </c>
      <c r="O7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30" t="str">
        <f aca="true">IF(INDIRECT("brand_form!A"&amp;ROW())="","",IF(IF(INDIRECT("brand_form!K"&amp;ROW())="","",INDIRECT("brand_form!K"&amp;ROW()))="I do","Y",IF(IF(INDIRECT("brand_form!K"&amp;ROW())="","",INDIRECT("brand_form!K"&amp;ROW()))="Someone else","N","")))</f>
        <v/>
      </c>
      <c r="Q70" s="30" t="str">
        <f aca="true">IF(INDIRECT("brand_form!A"&amp;ROW())="","",IF($P70="Y",$E70&amp;", "&amp;$F70,IF(INDIRECT("brand_form!L"&amp;ROW())="","",INDIRECT("brand_form!L"&amp;ROW()))))</f>
        <v/>
      </c>
      <c r="R70" s="30" t="str">
        <f aca="true">IF(INDIRECT("brand_form!A"&amp;ROW())="","",IF(IF(INDIRECT("brand_form!Q"&amp;ROW())="","",INDIRECT("brand_form!Q"&amp;ROW()))="Yes","Y",IF(IF(INDIRECT("brand_form!Q"&amp;ROW())="","",INDIRECT("brand_form!Q"&amp;ROW()))="No","N",IF(IF(INDIRECT("brand_form!Q"&amp;ROW())="","",INDIRECT("brand_form!Q"&amp;ROW()))="Not sure","unsure",""))))</f>
        <v/>
      </c>
      <c r="S70" s="30" t="str">
        <f aca="true">IF(INDIRECT("brand_form!A"&amp;ROW())="","",IF(IF(INDIRECT("brand_form!R"&amp;ROW())="","",INDIRECT("brand_form!R"&amp;ROW()))="Yes","Y",IF(IF(INDIRECT("brand_form!R"&amp;ROW())="","",INDIRECT("brand_form!R"&amp;ROW()))="No","N",IF(IF(INDIRECT("brand_form!R"&amp;ROW())="","",INDIRECT("brand_form!R"&amp;ROW()))="Not sure","unsure",""))))</f>
        <v/>
      </c>
      <c r="T70" s="30" t="str">
        <f aca="true">IF(INDIRECT("brand_form!A"&amp;ROW())="","",IF(IF(INDIRECT("brand_form!S"&amp;ROW())="","",INDIRECT("brand_form!S"&amp;ROW()))="Yes","Y",IF(IF(INDIRECT("brand_form!S"&amp;ROW())="","",INDIRECT("brand_form!S"&amp;ROW()))="No","N",IF(IF(INDIRECT("brand_form!S"&amp;ROW())="","",INDIRECT("brand_form!S"&amp;ROW()))="Not sure","unsure",""))))</f>
        <v/>
      </c>
      <c r="U70" s="30" t="str">
        <f aca="true">IF(INDIRECT("brand_form!A"&amp;ROW())="","",IF(IF(INDIRECT("brand_form!T"&amp;ROW())="","",INDIRECT("brand_form!T"&amp;ROW()))="Yes","Y",IF(IF(INDIRECT("brand_form!T"&amp;ROW())="","",INDIRECT("brand_form!T"&amp;ROW()))="No","N",IF(IF(INDIRECT("brand_form!T"&amp;ROW())="","",INDIRECT("brand_form!T"&amp;ROW()))="Not sure","unsure",""))))</f>
        <v/>
      </c>
      <c r="V70" s="30" t="str">
        <f aca="true">IF(INDIRECT("brand_form!A"&amp;ROW())="","",IF(IF(INDIRECT("brand_form!U"&amp;ROW())="","",INDIRECT("brand_form!U"&amp;ROW()))="Yes","Y",IF(IF(INDIRECT("brand_form!U"&amp;ROW())="","",INDIRECT("brand_form!U"&amp;ROW()))="No","N",IF(IF(INDIRECT("brand_form!U"&amp;ROW())="","",INDIRECT("brand_form!U"&amp;ROW()))="Not sure","unsure",""))))</f>
        <v/>
      </c>
      <c r="W70" s="30" t="str">
        <f aca="true">IF(INDIRECT("brand_form!A"&amp;ROW())="","",IF(IF(INDIRECT("brand_form!V"&amp;ROW())="","",INDIRECT("brand_form!V"&amp;ROW()))="Yes","Y",IF(IF(INDIRECT("brand_form!V"&amp;ROW())="","",INDIRECT("brand_form!V"&amp;ROW()))="No","N",IF(IF(INDIRECT("brand_form!V"&amp;ROW())="","",INDIRECT("brand_form!V"&amp;ROW()))="Not sure","unsure",""))))</f>
        <v/>
      </c>
      <c r="X70" s="30" t="str">
        <f aca="true">IF(INDIRECT("brand_form!A"&amp;ROW())="","",IF(INDIRECT("brand_form!W"&amp;ROW())="","",INDIRECT("brand_form!W"&amp;ROW())))</f>
        <v/>
      </c>
      <c r="Y70" s="30" t="str">
        <f aca="true">IF(INDIRECT("brand_form!A"&amp;ROW())="","",IF(IF(INDIRECT("brand_form!X"&amp;ROW())="","",INDIRECT("brand_form!X"&amp;ROW()))&lt;&gt;"","Y",""))</f>
        <v/>
      </c>
      <c r="Z70" s="30" t="str">
        <f aca="true">IF(INDIRECT("brand_form!A"&amp;ROW())="","",IF(INDIRECT("brand_form!Y"&amp;ROW())="","",INDIRECT("brand_form!Y"&amp;ROW())))</f>
        <v/>
      </c>
      <c r="AA70" s="30" t="str">
        <f aca="true">IF(INDIRECT("brand_form!A"&amp;ROW())="","","founder")</f>
        <v/>
      </c>
    </row>
    <row r="71" customFormat="false" ht="15" hidden="false" customHeight="false" outlineLevel="0" collapsed="false">
      <c r="A71" s="30" t="str">
        <f aca="true">IF(INDIRECT("brand_form!A"&amp;ROW())="","",TEXT(INDIRECT("brand_form!A"&amp;ROW()),"yyyy-mm-dd""T""hh:mm:ss"))</f>
        <v/>
      </c>
      <c r="B71" s="30" t="str">
        <f aca="true">IF(INDIRECT("brand_form!A"&amp;ROW())="","",config!$B$35)</f>
        <v/>
      </c>
      <c r="C71" s="30" t="str">
        <f aca="true">IF(INDIRECT("brand_form!A"&amp;ROW())="","",IF(INDIRECT("brand_form!B"&amp;ROW())="","",INDIRECT("brand_form!B"&amp;ROW())))</f>
        <v/>
      </c>
      <c r="D7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1" s="30" t="str">
        <f aca="true">IF(INDIRECT("brand_form!A"&amp;ROW())="","",IF(INDIRECT("brand_form!G"&amp;ROW())="","",INDIRECT("brand_form!G"&amp;ROW())))</f>
        <v/>
      </c>
      <c r="F71" s="30" t="str">
        <f aca="true">IF(INDIRECT("brand_form!A"&amp;ROW())="","",IF(INDIRECT("brand_form!H"&amp;ROW())="","",INDIRECT("brand_form!H"&amp;ROW())))</f>
        <v/>
      </c>
      <c r="G71" s="30" t="str">
        <f aca="true">IF(INDIRECT("brand_form!A"&amp;ROW())="","",IF(INDIRECT("brand_form!I"&amp;ROW())="","",INDIRECT("brand_form!I"&amp;ROW())))</f>
        <v/>
      </c>
      <c r="H71" s="30" t="str">
        <f aca="true">IF(INDIRECT("brand_form!A"&amp;ROW())="","",IF(INDIRECT("brand_form!J"&amp;ROW())="","",INDIRECT("brand_form!J"&amp;ROW())))</f>
        <v/>
      </c>
      <c r="I71" s="30" t="str">
        <f aca="true">IF(INDIRECT("brand_form!A"&amp;ROW())="","",IF(INDIRECT("brand_form!D"&amp;ROW())="","",INDIRECT("brand_form!D"&amp;ROW())))</f>
        <v/>
      </c>
      <c r="J7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30" t="str">
        <f aca="true">IF(INDIRECT("brand_form!A"&amp;ROW())="","",IF(INDIRECT("brand_form!F"&amp;ROW())="","",INDIRECT("brand_form!F"&amp;ROW())))</f>
        <v/>
      </c>
      <c r="L71" s="30" t="str">
        <f aca="true">IF(INDIRECT("brand_form!A"&amp;ROW())="","",IF(INDIRECT("brand_form!M"&amp;ROW())="","",INDIRECT("brand_form!M"&amp;ROW())))</f>
        <v/>
      </c>
      <c r="M7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1" s="30" t="str">
        <f aca="true">IF(INDIRECT("brand_form!A"&amp;ROW())="","",IF(IF(INDIRECT("brand_form!O"&amp;ROW())="","",INDIRECT("brand_form!O"&amp;ROW()))="Yes","Y",IF(IF(INDIRECT("brand_form!O"&amp;ROW())="","",INDIRECT("brand_form!O"&amp;ROW()))="No","N","")))</f>
        <v/>
      </c>
      <c r="O7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30" t="str">
        <f aca="true">IF(INDIRECT("brand_form!A"&amp;ROW())="","",IF(IF(INDIRECT("brand_form!K"&amp;ROW())="","",INDIRECT("brand_form!K"&amp;ROW()))="I do","Y",IF(IF(INDIRECT("brand_form!K"&amp;ROW())="","",INDIRECT("brand_form!K"&amp;ROW()))="Someone else","N","")))</f>
        <v/>
      </c>
      <c r="Q71" s="30" t="str">
        <f aca="true">IF(INDIRECT("brand_form!A"&amp;ROW())="","",IF($P71="Y",$E71&amp;", "&amp;$F71,IF(INDIRECT("brand_form!L"&amp;ROW())="","",INDIRECT("brand_form!L"&amp;ROW()))))</f>
        <v/>
      </c>
      <c r="R71" s="30" t="str">
        <f aca="true">IF(INDIRECT("brand_form!A"&amp;ROW())="","",IF(IF(INDIRECT("brand_form!Q"&amp;ROW())="","",INDIRECT("brand_form!Q"&amp;ROW()))="Yes","Y",IF(IF(INDIRECT("brand_form!Q"&amp;ROW())="","",INDIRECT("brand_form!Q"&amp;ROW()))="No","N",IF(IF(INDIRECT("brand_form!Q"&amp;ROW())="","",INDIRECT("brand_form!Q"&amp;ROW()))="Not sure","unsure",""))))</f>
        <v/>
      </c>
      <c r="S71" s="30" t="str">
        <f aca="true">IF(INDIRECT("brand_form!A"&amp;ROW())="","",IF(IF(INDIRECT("brand_form!R"&amp;ROW())="","",INDIRECT("brand_form!R"&amp;ROW()))="Yes","Y",IF(IF(INDIRECT("brand_form!R"&amp;ROW())="","",INDIRECT("brand_form!R"&amp;ROW()))="No","N",IF(IF(INDIRECT("brand_form!R"&amp;ROW())="","",INDIRECT("brand_form!R"&amp;ROW()))="Not sure","unsure",""))))</f>
        <v/>
      </c>
      <c r="T71" s="30" t="str">
        <f aca="true">IF(INDIRECT("brand_form!A"&amp;ROW())="","",IF(IF(INDIRECT("brand_form!S"&amp;ROW())="","",INDIRECT("brand_form!S"&amp;ROW()))="Yes","Y",IF(IF(INDIRECT("brand_form!S"&amp;ROW())="","",INDIRECT("brand_form!S"&amp;ROW()))="No","N",IF(IF(INDIRECT("brand_form!S"&amp;ROW())="","",INDIRECT("brand_form!S"&amp;ROW()))="Not sure","unsure",""))))</f>
        <v/>
      </c>
      <c r="U71" s="30" t="str">
        <f aca="true">IF(INDIRECT("brand_form!A"&amp;ROW())="","",IF(IF(INDIRECT("brand_form!T"&amp;ROW())="","",INDIRECT("brand_form!T"&amp;ROW()))="Yes","Y",IF(IF(INDIRECT("brand_form!T"&amp;ROW())="","",INDIRECT("brand_form!T"&amp;ROW()))="No","N",IF(IF(INDIRECT("brand_form!T"&amp;ROW())="","",INDIRECT("brand_form!T"&amp;ROW()))="Not sure","unsure",""))))</f>
        <v/>
      </c>
      <c r="V71" s="30" t="str">
        <f aca="true">IF(INDIRECT("brand_form!A"&amp;ROW())="","",IF(IF(INDIRECT("brand_form!U"&amp;ROW())="","",INDIRECT("brand_form!U"&amp;ROW()))="Yes","Y",IF(IF(INDIRECT("brand_form!U"&amp;ROW())="","",INDIRECT("brand_form!U"&amp;ROW()))="No","N",IF(IF(INDIRECT("brand_form!U"&amp;ROW())="","",INDIRECT("brand_form!U"&amp;ROW()))="Not sure","unsure",""))))</f>
        <v/>
      </c>
      <c r="W71" s="30" t="str">
        <f aca="true">IF(INDIRECT("brand_form!A"&amp;ROW())="","",IF(IF(INDIRECT("brand_form!V"&amp;ROW())="","",INDIRECT("brand_form!V"&amp;ROW()))="Yes","Y",IF(IF(INDIRECT("brand_form!V"&amp;ROW())="","",INDIRECT("brand_form!V"&amp;ROW()))="No","N",IF(IF(INDIRECT("brand_form!V"&amp;ROW())="","",INDIRECT("brand_form!V"&amp;ROW()))="Not sure","unsure",""))))</f>
        <v/>
      </c>
      <c r="X71" s="30" t="str">
        <f aca="true">IF(INDIRECT("brand_form!A"&amp;ROW())="","",IF(INDIRECT("brand_form!W"&amp;ROW())="","",INDIRECT("brand_form!W"&amp;ROW())))</f>
        <v/>
      </c>
      <c r="Y71" s="30" t="str">
        <f aca="true">IF(INDIRECT("brand_form!A"&amp;ROW())="","",IF(IF(INDIRECT("brand_form!X"&amp;ROW())="","",INDIRECT("brand_form!X"&amp;ROW()))&lt;&gt;"","Y",""))</f>
        <v/>
      </c>
      <c r="Z71" s="30" t="str">
        <f aca="true">IF(INDIRECT("brand_form!A"&amp;ROW())="","",IF(INDIRECT("brand_form!Y"&amp;ROW())="","",INDIRECT("brand_form!Y"&amp;ROW())))</f>
        <v/>
      </c>
      <c r="AA71" s="30" t="str">
        <f aca="true">IF(INDIRECT("brand_form!A"&amp;ROW())="","","founder")</f>
        <v/>
      </c>
    </row>
    <row r="72" customFormat="false" ht="15" hidden="false" customHeight="false" outlineLevel="0" collapsed="false">
      <c r="A72" s="30" t="str">
        <f aca="true">IF(INDIRECT("brand_form!A"&amp;ROW())="","",TEXT(INDIRECT("brand_form!A"&amp;ROW()),"yyyy-mm-dd""T""hh:mm:ss"))</f>
        <v/>
      </c>
      <c r="B72" s="30" t="str">
        <f aca="true">IF(INDIRECT("brand_form!A"&amp;ROW())="","",config!$B$35)</f>
        <v/>
      </c>
      <c r="C72" s="30" t="str">
        <f aca="true">IF(INDIRECT("brand_form!A"&amp;ROW())="","",IF(INDIRECT("brand_form!B"&amp;ROW())="","",INDIRECT("brand_form!B"&amp;ROW())))</f>
        <v/>
      </c>
      <c r="D72"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2" s="30" t="str">
        <f aca="true">IF(INDIRECT("brand_form!A"&amp;ROW())="","",IF(INDIRECT("brand_form!G"&amp;ROW())="","",INDIRECT("brand_form!G"&amp;ROW())))</f>
        <v/>
      </c>
      <c r="F72" s="30" t="str">
        <f aca="true">IF(INDIRECT("brand_form!A"&amp;ROW())="","",IF(INDIRECT("brand_form!H"&amp;ROW())="","",INDIRECT("brand_form!H"&amp;ROW())))</f>
        <v/>
      </c>
      <c r="G72" s="30" t="str">
        <f aca="true">IF(INDIRECT("brand_form!A"&amp;ROW())="","",IF(INDIRECT("brand_form!I"&amp;ROW())="","",INDIRECT("brand_form!I"&amp;ROW())))</f>
        <v/>
      </c>
      <c r="H72" s="30" t="str">
        <f aca="true">IF(INDIRECT("brand_form!A"&amp;ROW())="","",IF(INDIRECT("brand_form!J"&amp;ROW())="","",INDIRECT("brand_form!J"&amp;ROW())))</f>
        <v/>
      </c>
      <c r="I72" s="30" t="str">
        <f aca="true">IF(INDIRECT("brand_form!A"&amp;ROW())="","",IF(INDIRECT("brand_form!D"&amp;ROW())="","",INDIRECT("brand_form!D"&amp;ROW())))</f>
        <v/>
      </c>
      <c r="J72"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30" t="str">
        <f aca="true">IF(INDIRECT("brand_form!A"&amp;ROW())="","",IF(INDIRECT("brand_form!F"&amp;ROW())="","",INDIRECT("brand_form!F"&amp;ROW())))</f>
        <v/>
      </c>
      <c r="L72" s="30" t="str">
        <f aca="true">IF(INDIRECT("brand_form!A"&amp;ROW())="","",IF(INDIRECT("brand_form!M"&amp;ROW())="","",INDIRECT("brand_form!M"&amp;ROW())))</f>
        <v/>
      </c>
      <c r="M72"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2" s="30" t="str">
        <f aca="true">IF(INDIRECT("brand_form!A"&amp;ROW())="","",IF(IF(INDIRECT("brand_form!O"&amp;ROW())="","",INDIRECT("brand_form!O"&amp;ROW()))="Yes","Y",IF(IF(INDIRECT("brand_form!O"&amp;ROW())="","",INDIRECT("brand_form!O"&amp;ROW()))="No","N","")))</f>
        <v/>
      </c>
      <c r="O72"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30" t="str">
        <f aca="true">IF(INDIRECT("brand_form!A"&amp;ROW())="","",IF(IF(INDIRECT("brand_form!K"&amp;ROW())="","",INDIRECT("brand_form!K"&amp;ROW()))="I do","Y",IF(IF(INDIRECT("brand_form!K"&amp;ROW())="","",INDIRECT("brand_form!K"&amp;ROW()))="Someone else","N","")))</f>
        <v/>
      </c>
      <c r="Q72" s="30" t="str">
        <f aca="true">IF(INDIRECT("brand_form!A"&amp;ROW())="","",IF($P72="Y",$E72&amp;", "&amp;$F72,IF(INDIRECT("brand_form!L"&amp;ROW())="","",INDIRECT("brand_form!L"&amp;ROW()))))</f>
        <v/>
      </c>
      <c r="R72" s="30" t="str">
        <f aca="true">IF(INDIRECT("brand_form!A"&amp;ROW())="","",IF(IF(INDIRECT("brand_form!Q"&amp;ROW())="","",INDIRECT("brand_form!Q"&amp;ROW()))="Yes","Y",IF(IF(INDIRECT("brand_form!Q"&amp;ROW())="","",INDIRECT("brand_form!Q"&amp;ROW()))="No","N",IF(IF(INDIRECT("brand_form!Q"&amp;ROW())="","",INDIRECT("brand_form!Q"&amp;ROW()))="Not sure","unsure",""))))</f>
        <v/>
      </c>
      <c r="S72" s="30" t="str">
        <f aca="true">IF(INDIRECT("brand_form!A"&amp;ROW())="","",IF(IF(INDIRECT("brand_form!R"&amp;ROW())="","",INDIRECT("brand_form!R"&amp;ROW()))="Yes","Y",IF(IF(INDIRECT("brand_form!R"&amp;ROW())="","",INDIRECT("brand_form!R"&amp;ROW()))="No","N",IF(IF(INDIRECT("brand_form!R"&amp;ROW())="","",INDIRECT("brand_form!R"&amp;ROW()))="Not sure","unsure",""))))</f>
        <v/>
      </c>
      <c r="T72" s="30" t="str">
        <f aca="true">IF(INDIRECT("brand_form!A"&amp;ROW())="","",IF(IF(INDIRECT("brand_form!S"&amp;ROW())="","",INDIRECT("brand_form!S"&amp;ROW()))="Yes","Y",IF(IF(INDIRECT("brand_form!S"&amp;ROW())="","",INDIRECT("brand_form!S"&amp;ROW()))="No","N",IF(IF(INDIRECT("brand_form!S"&amp;ROW())="","",INDIRECT("brand_form!S"&amp;ROW()))="Not sure","unsure",""))))</f>
        <v/>
      </c>
      <c r="U72" s="30" t="str">
        <f aca="true">IF(INDIRECT("brand_form!A"&amp;ROW())="","",IF(IF(INDIRECT("brand_form!T"&amp;ROW())="","",INDIRECT("brand_form!T"&amp;ROW()))="Yes","Y",IF(IF(INDIRECT("brand_form!T"&amp;ROW())="","",INDIRECT("brand_form!T"&amp;ROW()))="No","N",IF(IF(INDIRECT("brand_form!T"&amp;ROW())="","",INDIRECT("brand_form!T"&amp;ROW()))="Not sure","unsure",""))))</f>
        <v/>
      </c>
      <c r="V72" s="30" t="str">
        <f aca="true">IF(INDIRECT("brand_form!A"&amp;ROW())="","",IF(IF(INDIRECT("brand_form!U"&amp;ROW())="","",INDIRECT("brand_form!U"&amp;ROW()))="Yes","Y",IF(IF(INDIRECT("brand_form!U"&amp;ROW())="","",INDIRECT("brand_form!U"&amp;ROW()))="No","N",IF(IF(INDIRECT("brand_form!U"&amp;ROW())="","",INDIRECT("brand_form!U"&amp;ROW()))="Not sure","unsure",""))))</f>
        <v/>
      </c>
      <c r="W72" s="30" t="str">
        <f aca="true">IF(INDIRECT("brand_form!A"&amp;ROW())="","",IF(IF(INDIRECT("brand_form!V"&amp;ROW())="","",INDIRECT("brand_form!V"&amp;ROW()))="Yes","Y",IF(IF(INDIRECT("brand_form!V"&amp;ROW())="","",INDIRECT("brand_form!V"&amp;ROW()))="No","N",IF(IF(INDIRECT("brand_form!V"&amp;ROW())="","",INDIRECT("brand_form!V"&amp;ROW()))="Not sure","unsure",""))))</f>
        <v/>
      </c>
      <c r="X72" s="30" t="str">
        <f aca="true">IF(INDIRECT("brand_form!A"&amp;ROW())="","",IF(INDIRECT("brand_form!W"&amp;ROW())="","",INDIRECT("brand_form!W"&amp;ROW())))</f>
        <v/>
      </c>
      <c r="Y72" s="30" t="str">
        <f aca="true">IF(INDIRECT("brand_form!A"&amp;ROW())="","",IF(IF(INDIRECT("brand_form!X"&amp;ROW())="","",INDIRECT("brand_form!X"&amp;ROW()))&lt;&gt;"","Y",""))</f>
        <v/>
      </c>
      <c r="Z72" s="30" t="str">
        <f aca="true">IF(INDIRECT("brand_form!A"&amp;ROW())="","",IF(INDIRECT("brand_form!Y"&amp;ROW())="","",INDIRECT("brand_form!Y"&amp;ROW())))</f>
        <v/>
      </c>
      <c r="AA72" s="30" t="str">
        <f aca="true">IF(INDIRECT("brand_form!A"&amp;ROW())="","","founder")</f>
        <v/>
      </c>
    </row>
    <row r="73" customFormat="false" ht="15" hidden="false" customHeight="false" outlineLevel="0" collapsed="false">
      <c r="A73" s="30" t="str">
        <f aca="true">IF(INDIRECT("brand_form!A"&amp;ROW())="","",TEXT(INDIRECT("brand_form!A"&amp;ROW()),"yyyy-mm-dd""T""hh:mm:ss"))</f>
        <v/>
      </c>
      <c r="B73" s="30" t="str">
        <f aca="true">IF(INDIRECT("brand_form!A"&amp;ROW())="","",config!$B$35)</f>
        <v/>
      </c>
      <c r="C73" s="30" t="str">
        <f aca="true">IF(INDIRECT("brand_form!A"&amp;ROW())="","",IF(INDIRECT("brand_form!B"&amp;ROW())="","",INDIRECT("brand_form!B"&amp;ROW())))</f>
        <v/>
      </c>
      <c r="D73"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3" s="30" t="str">
        <f aca="true">IF(INDIRECT("brand_form!A"&amp;ROW())="","",IF(INDIRECT("brand_form!G"&amp;ROW())="","",INDIRECT("brand_form!G"&amp;ROW())))</f>
        <v/>
      </c>
      <c r="F73" s="30" t="str">
        <f aca="true">IF(INDIRECT("brand_form!A"&amp;ROW())="","",IF(INDIRECT("brand_form!H"&amp;ROW())="","",INDIRECT("brand_form!H"&amp;ROW())))</f>
        <v/>
      </c>
      <c r="G73" s="30" t="str">
        <f aca="true">IF(INDIRECT("brand_form!A"&amp;ROW())="","",IF(INDIRECT("brand_form!I"&amp;ROW())="","",INDIRECT("brand_form!I"&amp;ROW())))</f>
        <v/>
      </c>
      <c r="H73" s="30" t="str">
        <f aca="true">IF(INDIRECT("brand_form!A"&amp;ROW())="","",IF(INDIRECT("brand_form!J"&amp;ROW())="","",INDIRECT("brand_form!J"&amp;ROW())))</f>
        <v/>
      </c>
      <c r="I73" s="30" t="str">
        <f aca="true">IF(INDIRECT("brand_form!A"&amp;ROW())="","",IF(INDIRECT("brand_form!D"&amp;ROW())="","",INDIRECT("brand_form!D"&amp;ROW())))</f>
        <v/>
      </c>
      <c r="J73"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30" t="str">
        <f aca="true">IF(INDIRECT("brand_form!A"&amp;ROW())="","",IF(INDIRECT("brand_form!F"&amp;ROW())="","",INDIRECT("brand_form!F"&amp;ROW())))</f>
        <v/>
      </c>
      <c r="L73" s="30" t="str">
        <f aca="true">IF(INDIRECT("brand_form!A"&amp;ROW())="","",IF(INDIRECT("brand_form!M"&amp;ROW())="","",INDIRECT("brand_form!M"&amp;ROW())))</f>
        <v/>
      </c>
      <c r="M73"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3" s="30" t="str">
        <f aca="true">IF(INDIRECT("brand_form!A"&amp;ROW())="","",IF(IF(INDIRECT("brand_form!O"&amp;ROW())="","",INDIRECT("brand_form!O"&amp;ROW()))="Yes","Y",IF(IF(INDIRECT("brand_form!O"&amp;ROW())="","",INDIRECT("brand_form!O"&amp;ROW()))="No","N","")))</f>
        <v/>
      </c>
      <c r="O73"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30" t="str">
        <f aca="true">IF(INDIRECT("brand_form!A"&amp;ROW())="","",IF(IF(INDIRECT("brand_form!K"&amp;ROW())="","",INDIRECT("brand_form!K"&amp;ROW()))="I do","Y",IF(IF(INDIRECT("brand_form!K"&amp;ROW())="","",INDIRECT("brand_form!K"&amp;ROW()))="Someone else","N","")))</f>
        <v/>
      </c>
      <c r="Q73" s="30" t="str">
        <f aca="true">IF(INDIRECT("brand_form!A"&amp;ROW())="","",IF($P73="Y",$E73&amp;", "&amp;$F73,IF(INDIRECT("brand_form!L"&amp;ROW())="","",INDIRECT("brand_form!L"&amp;ROW()))))</f>
        <v/>
      </c>
      <c r="R73" s="30" t="str">
        <f aca="true">IF(INDIRECT("brand_form!A"&amp;ROW())="","",IF(IF(INDIRECT("brand_form!Q"&amp;ROW())="","",INDIRECT("brand_form!Q"&amp;ROW()))="Yes","Y",IF(IF(INDIRECT("brand_form!Q"&amp;ROW())="","",INDIRECT("brand_form!Q"&amp;ROW()))="No","N",IF(IF(INDIRECT("brand_form!Q"&amp;ROW())="","",INDIRECT("brand_form!Q"&amp;ROW()))="Not sure","unsure",""))))</f>
        <v/>
      </c>
      <c r="S73" s="30" t="str">
        <f aca="true">IF(INDIRECT("brand_form!A"&amp;ROW())="","",IF(IF(INDIRECT("brand_form!R"&amp;ROW())="","",INDIRECT("brand_form!R"&amp;ROW()))="Yes","Y",IF(IF(INDIRECT("brand_form!R"&amp;ROW())="","",INDIRECT("brand_form!R"&amp;ROW()))="No","N",IF(IF(INDIRECT("brand_form!R"&amp;ROW())="","",INDIRECT("brand_form!R"&amp;ROW()))="Not sure","unsure",""))))</f>
        <v/>
      </c>
      <c r="T73" s="30" t="str">
        <f aca="true">IF(INDIRECT("brand_form!A"&amp;ROW())="","",IF(IF(INDIRECT("brand_form!S"&amp;ROW())="","",INDIRECT("brand_form!S"&amp;ROW()))="Yes","Y",IF(IF(INDIRECT("brand_form!S"&amp;ROW())="","",INDIRECT("brand_form!S"&amp;ROW()))="No","N",IF(IF(INDIRECT("brand_form!S"&amp;ROW())="","",INDIRECT("brand_form!S"&amp;ROW()))="Not sure","unsure",""))))</f>
        <v/>
      </c>
      <c r="U73" s="30" t="str">
        <f aca="true">IF(INDIRECT("brand_form!A"&amp;ROW())="","",IF(IF(INDIRECT("brand_form!T"&amp;ROW())="","",INDIRECT("brand_form!T"&amp;ROW()))="Yes","Y",IF(IF(INDIRECT("brand_form!T"&amp;ROW())="","",INDIRECT("brand_form!T"&amp;ROW()))="No","N",IF(IF(INDIRECT("brand_form!T"&amp;ROW())="","",INDIRECT("brand_form!T"&amp;ROW()))="Not sure","unsure",""))))</f>
        <v/>
      </c>
      <c r="V73" s="30" t="str">
        <f aca="true">IF(INDIRECT("brand_form!A"&amp;ROW())="","",IF(IF(INDIRECT("brand_form!U"&amp;ROW())="","",INDIRECT("brand_form!U"&amp;ROW()))="Yes","Y",IF(IF(INDIRECT("brand_form!U"&amp;ROW())="","",INDIRECT("brand_form!U"&amp;ROW()))="No","N",IF(IF(INDIRECT("brand_form!U"&amp;ROW())="","",INDIRECT("brand_form!U"&amp;ROW()))="Not sure","unsure",""))))</f>
        <v/>
      </c>
      <c r="W73" s="30" t="str">
        <f aca="true">IF(INDIRECT("brand_form!A"&amp;ROW())="","",IF(IF(INDIRECT("brand_form!V"&amp;ROW())="","",INDIRECT("brand_form!V"&amp;ROW()))="Yes","Y",IF(IF(INDIRECT("brand_form!V"&amp;ROW())="","",INDIRECT("brand_form!V"&amp;ROW()))="No","N",IF(IF(INDIRECT("brand_form!V"&amp;ROW())="","",INDIRECT("brand_form!V"&amp;ROW()))="Not sure","unsure",""))))</f>
        <v/>
      </c>
      <c r="X73" s="30" t="str">
        <f aca="true">IF(INDIRECT("brand_form!A"&amp;ROW())="","",IF(INDIRECT("brand_form!W"&amp;ROW())="","",INDIRECT("brand_form!W"&amp;ROW())))</f>
        <v/>
      </c>
      <c r="Y73" s="30" t="str">
        <f aca="true">IF(INDIRECT("brand_form!A"&amp;ROW())="","",IF(IF(INDIRECT("brand_form!X"&amp;ROW())="","",INDIRECT("brand_form!X"&amp;ROW()))&lt;&gt;"","Y",""))</f>
        <v/>
      </c>
      <c r="Z73" s="30" t="str">
        <f aca="true">IF(INDIRECT("brand_form!A"&amp;ROW())="","",IF(INDIRECT("brand_form!Y"&amp;ROW())="","",INDIRECT("brand_form!Y"&amp;ROW())))</f>
        <v/>
      </c>
      <c r="AA73" s="30" t="str">
        <f aca="true">IF(INDIRECT("brand_form!A"&amp;ROW())="","","founder")</f>
        <v/>
      </c>
    </row>
    <row r="74" customFormat="false" ht="15" hidden="false" customHeight="false" outlineLevel="0" collapsed="false">
      <c r="A74" s="30" t="str">
        <f aca="true">IF(INDIRECT("brand_form!A"&amp;ROW())="","",TEXT(INDIRECT("brand_form!A"&amp;ROW()),"yyyy-mm-dd""T""hh:mm:ss"))</f>
        <v/>
      </c>
      <c r="B74" s="30" t="str">
        <f aca="true">IF(INDIRECT("brand_form!A"&amp;ROW())="","",config!$B$35)</f>
        <v/>
      </c>
      <c r="C74" s="30" t="str">
        <f aca="true">IF(INDIRECT("brand_form!A"&amp;ROW())="","",IF(INDIRECT("brand_form!B"&amp;ROW())="","",INDIRECT("brand_form!B"&amp;ROW())))</f>
        <v/>
      </c>
      <c r="D74"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4" s="30" t="str">
        <f aca="true">IF(INDIRECT("brand_form!A"&amp;ROW())="","",IF(INDIRECT("brand_form!G"&amp;ROW())="","",INDIRECT("brand_form!G"&amp;ROW())))</f>
        <v/>
      </c>
      <c r="F74" s="30" t="str">
        <f aca="true">IF(INDIRECT("brand_form!A"&amp;ROW())="","",IF(INDIRECT("brand_form!H"&amp;ROW())="","",INDIRECT("brand_form!H"&amp;ROW())))</f>
        <v/>
      </c>
      <c r="G74" s="30" t="str">
        <f aca="true">IF(INDIRECT("brand_form!A"&amp;ROW())="","",IF(INDIRECT("brand_form!I"&amp;ROW())="","",INDIRECT("brand_form!I"&amp;ROW())))</f>
        <v/>
      </c>
      <c r="H74" s="30" t="str">
        <f aca="true">IF(INDIRECT("brand_form!A"&amp;ROW())="","",IF(INDIRECT("brand_form!J"&amp;ROW())="","",INDIRECT("brand_form!J"&amp;ROW())))</f>
        <v/>
      </c>
      <c r="I74" s="30" t="str">
        <f aca="true">IF(INDIRECT("brand_form!A"&amp;ROW())="","",IF(INDIRECT("brand_form!D"&amp;ROW())="","",INDIRECT("brand_form!D"&amp;ROW())))</f>
        <v/>
      </c>
      <c r="J74"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30" t="str">
        <f aca="true">IF(INDIRECT("brand_form!A"&amp;ROW())="","",IF(INDIRECT("brand_form!F"&amp;ROW())="","",INDIRECT("brand_form!F"&amp;ROW())))</f>
        <v/>
      </c>
      <c r="L74" s="30" t="str">
        <f aca="true">IF(INDIRECT("brand_form!A"&amp;ROW())="","",IF(INDIRECT("brand_form!M"&amp;ROW())="","",INDIRECT("brand_form!M"&amp;ROW())))</f>
        <v/>
      </c>
      <c r="M74"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4" s="30" t="str">
        <f aca="true">IF(INDIRECT("brand_form!A"&amp;ROW())="","",IF(IF(INDIRECT("brand_form!O"&amp;ROW())="","",INDIRECT("brand_form!O"&amp;ROW()))="Yes","Y",IF(IF(INDIRECT("brand_form!O"&amp;ROW())="","",INDIRECT("brand_form!O"&amp;ROW()))="No","N","")))</f>
        <v/>
      </c>
      <c r="O74"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30" t="str">
        <f aca="true">IF(INDIRECT("brand_form!A"&amp;ROW())="","",IF(IF(INDIRECT("brand_form!K"&amp;ROW())="","",INDIRECT("brand_form!K"&amp;ROW()))="I do","Y",IF(IF(INDIRECT("brand_form!K"&amp;ROW())="","",INDIRECT("brand_form!K"&amp;ROW()))="Someone else","N","")))</f>
        <v/>
      </c>
      <c r="Q74" s="30" t="str">
        <f aca="true">IF(INDIRECT("brand_form!A"&amp;ROW())="","",IF($P74="Y",$E74&amp;", "&amp;$F74,IF(INDIRECT("brand_form!L"&amp;ROW())="","",INDIRECT("brand_form!L"&amp;ROW()))))</f>
        <v/>
      </c>
      <c r="R74" s="30" t="str">
        <f aca="true">IF(INDIRECT("brand_form!A"&amp;ROW())="","",IF(IF(INDIRECT("brand_form!Q"&amp;ROW())="","",INDIRECT("brand_form!Q"&amp;ROW()))="Yes","Y",IF(IF(INDIRECT("brand_form!Q"&amp;ROW())="","",INDIRECT("brand_form!Q"&amp;ROW()))="No","N",IF(IF(INDIRECT("brand_form!Q"&amp;ROW())="","",INDIRECT("brand_form!Q"&amp;ROW()))="Not sure","unsure",""))))</f>
        <v/>
      </c>
      <c r="S74" s="30" t="str">
        <f aca="true">IF(INDIRECT("brand_form!A"&amp;ROW())="","",IF(IF(INDIRECT("brand_form!R"&amp;ROW())="","",INDIRECT("brand_form!R"&amp;ROW()))="Yes","Y",IF(IF(INDIRECT("brand_form!R"&amp;ROW())="","",INDIRECT("brand_form!R"&amp;ROW()))="No","N",IF(IF(INDIRECT("brand_form!R"&amp;ROW())="","",INDIRECT("brand_form!R"&amp;ROW()))="Not sure","unsure",""))))</f>
        <v/>
      </c>
      <c r="T74" s="30" t="str">
        <f aca="true">IF(INDIRECT("brand_form!A"&amp;ROW())="","",IF(IF(INDIRECT("brand_form!S"&amp;ROW())="","",INDIRECT("brand_form!S"&amp;ROW()))="Yes","Y",IF(IF(INDIRECT("brand_form!S"&amp;ROW())="","",INDIRECT("brand_form!S"&amp;ROW()))="No","N",IF(IF(INDIRECT("brand_form!S"&amp;ROW())="","",INDIRECT("brand_form!S"&amp;ROW()))="Not sure","unsure",""))))</f>
        <v/>
      </c>
      <c r="U74" s="30" t="str">
        <f aca="true">IF(INDIRECT("brand_form!A"&amp;ROW())="","",IF(IF(INDIRECT("brand_form!T"&amp;ROW())="","",INDIRECT("brand_form!T"&amp;ROW()))="Yes","Y",IF(IF(INDIRECT("brand_form!T"&amp;ROW())="","",INDIRECT("brand_form!T"&amp;ROW()))="No","N",IF(IF(INDIRECT("brand_form!T"&amp;ROW())="","",INDIRECT("brand_form!T"&amp;ROW()))="Not sure","unsure",""))))</f>
        <v/>
      </c>
      <c r="V74" s="30" t="str">
        <f aca="true">IF(INDIRECT("brand_form!A"&amp;ROW())="","",IF(IF(INDIRECT("brand_form!U"&amp;ROW())="","",INDIRECT("brand_form!U"&amp;ROW()))="Yes","Y",IF(IF(INDIRECT("brand_form!U"&amp;ROW())="","",INDIRECT("brand_form!U"&amp;ROW()))="No","N",IF(IF(INDIRECT("brand_form!U"&amp;ROW())="","",INDIRECT("brand_form!U"&amp;ROW()))="Not sure","unsure",""))))</f>
        <v/>
      </c>
      <c r="W74" s="30" t="str">
        <f aca="true">IF(INDIRECT("brand_form!A"&amp;ROW())="","",IF(IF(INDIRECT("brand_form!V"&amp;ROW())="","",INDIRECT("brand_form!V"&amp;ROW()))="Yes","Y",IF(IF(INDIRECT("brand_form!V"&amp;ROW())="","",INDIRECT("brand_form!V"&amp;ROW()))="No","N",IF(IF(INDIRECT("brand_form!V"&amp;ROW())="","",INDIRECT("brand_form!V"&amp;ROW()))="Not sure","unsure",""))))</f>
        <v/>
      </c>
      <c r="X74" s="30" t="str">
        <f aca="true">IF(INDIRECT("brand_form!A"&amp;ROW())="","",IF(INDIRECT("brand_form!W"&amp;ROW())="","",INDIRECT("brand_form!W"&amp;ROW())))</f>
        <v/>
      </c>
      <c r="Y74" s="30" t="str">
        <f aca="true">IF(INDIRECT("brand_form!A"&amp;ROW())="","",IF(IF(INDIRECT("brand_form!X"&amp;ROW())="","",INDIRECT("brand_form!X"&amp;ROW()))&lt;&gt;"","Y",""))</f>
        <v/>
      </c>
      <c r="Z74" s="30" t="str">
        <f aca="true">IF(INDIRECT("brand_form!A"&amp;ROW())="","",IF(INDIRECT("brand_form!Y"&amp;ROW())="","",INDIRECT("brand_form!Y"&amp;ROW())))</f>
        <v/>
      </c>
      <c r="AA74" s="30" t="str">
        <f aca="true">IF(INDIRECT("brand_form!A"&amp;ROW())="","","founder")</f>
        <v/>
      </c>
    </row>
    <row r="75" customFormat="false" ht="15" hidden="false" customHeight="false" outlineLevel="0" collapsed="false">
      <c r="A75" s="30" t="str">
        <f aca="true">IF(INDIRECT("brand_form!A"&amp;ROW())="","",TEXT(INDIRECT("brand_form!A"&amp;ROW()),"yyyy-mm-dd""T""hh:mm:ss"))</f>
        <v/>
      </c>
      <c r="B75" s="30" t="str">
        <f aca="true">IF(INDIRECT("brand_form!A"&amp;ROW())="","",config!$B$35)</f>
        <v/>
      </c>
      <c r="C75" s="30" t="str">
        <f aca="true">IF(INDIRECT("brand_form!A"&amp;ROW())="","",IF(INDIRECT("brand_form!B"&amp;ROW())="","",INDIRECT("brand_form!B"&amp;ROW())))</f>
        <v/>
      </c>
      <c r="D75"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5" s="30" t="str">
        <f aca="true">IF(INDIRECT("brand_form!A"&amp;ROW())="","",IF(INDIRECT("brand_form!G"&amp;ROW())="","",INDIRECT("brand_form!G"&amp;ROW())))</f>
        <v/>
      </c>
      <c r="F75" s="30" t="str">
        <f aca="true">IF(INDIRECT("brand_form!A"&amp;ROW())="","",IF(INDIRECT("brand_form!H"&amp;ROW())="","",INDIRECT("brand_form!H"&amp;ROW())))</f>
        <v/>
      </c>
      <c r="G75" s="30" t="str">
        <f aca="true">IF(INDIRECT("brand_form!A"&amp;ROW())="","",IF(INDIRECT("brand_form!I"&amp;ROW())="","",INDIRECT("brand_form!I"&amp;ROW())))</f>
        <v/>
      </c>
      <c r="H75" s="30" t="str">
        <f aca="true">IF(INDIRECT("brand_form!A"&amp;ROW())="","",IF(INDIRECT("brand_form!J"&amp;ROW())="","",INDIRECT("brand_form!J"&amp;ROW())))</f>
        <v/>
      </c>
      <c r="I75" s="30" t="str">
        <f aca="true">IF(INDIRECT("brand_form!A"&amp;ROW())="","",IF(INDIRECT("brand_form!D"&amp;ROW())="","",INDIRECT("brand_form!D"&amp;ROW())))</f>
        <v/>
      </c>
      <c r="J75"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30" t="str">
        <f aca="true">IF(INDIRECT("brand_form!A"&amp;ROW())="","",IF(INDIRECT("brand_form!F"&amp;ROW())="","",INDIRECT("brand_form!F"&amp;ROW())))</f>
        <v/>
      </c>
      <c r="L75" s="30" t="str">
        <f aca="true">IF(INDIRECT("brand_form!A"&amp;ROW())="","",IF(INDIRECT("brand_form!M"&amp;ROW())="","",INDIRECT("brand_form!M"&amp;ROW())))</f>
        <v/>
      </c>
      <c r="M75"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5" s="30" t="str">
        <f aca="true">IF(INDIRECT("brand_form!A"&amp;ROW())="","",IF(IF(INDIRECT("brand_form!O"&amp;ROW())="","",INDIRECT("brand_form!O"&amp;ROW()))="Yes","Y",IF(IF(INDIRECT("brand_form!O"&amp;ROW())="","",INDIRECT("brand_form!O"&amp;ROW()))="No","N","")))</f>
        <v/>
      </c>
      <c r="O75"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30" t="str">
        <f aca="true">IF(INDIRECT("brand_form!A"&amp;ROW())="","",IF(IF(INDIRECT("brand_form!K"&amp;ROW())="","",INDIRECT("brand_form!K"&amp;ROW()))="I do","Y",IF(IF(INDIRECT("brand_form!K"&amp;ROW())="","",INDIRECT("brand_form!K"&amp;ROW()))="Someone else","N","")))</f>
        <v/>
      </c>
      <c r="Q75" s="30" t="str">
        <f aca="true">IF(INDIRECT("brand_form!A"&amp;ROW())="","",IF($P75="Y",$E75&amp;", "&amp;$F75,IF(INDIRECT("brand_form!L"&amp;ROW())="","",INDIRECT("brand_form!L"&amp;ROW()))))</f>
        <v/>
      </c>
      <c r="R75" s="30" t="str">
        <f aca="true">IF(INDIRECT("brand_form!A"&amp;ROW())="","",IF(IF(INDIRECT("brand_form!Q"&amp;ROW())="","",INDIRECT("brand_form!Q"&amp;ROW()))="Yes","Y",IF(IF(INDIRECT("brand_form!Q"&amp;ROW())="","",INDIRECT("brand_form!Q"&amp;ROW()))="No","N",IF(IF(INDIRECT("brand_form!Q"&amp;ROW())="","",INDIRECT("brand_form!Q"&amp;ROW()))="Not sure","unsure",""))))</f>
        <v/>
      </c>
      <c r="S75" s="30" t="str">
        <f aca="true">IF(INDIRECT("brand_form!A"&amp;ROW())="","",IF(IF(INDIRECT("brand_form!R"&amp;ROW())="","",INDIRECT("brand_form!R"&amp;ROW()))="Yes","Y",IF(IF(INDIRECT("brand_form!R"&amp;ROW())="","",INDIRECT("brand_form!R"&amp;ROW()))="No","N",IF(IF(INDIRECT("brand_form!R"&amp;ROW())="","",INDIRECT("brand_form!R"&amp;ROW()))="Not sure","unsure",""))))</f>
        <v/>
      </c>
      <c r="T75" s="30" t="str">
        <f aca="true">IF(INDIRECT("brand_form!A"&amp;ROW())="","",IF(IF(INDIRECT("brand_form!S"&amp;ROW())="","",INDIRECT("brand_form!S"&amp;ROW()))="Yes","Y",IF(IF(INDIRECT("brand_form!S"&amp;ROW())="","",INDIRECT("brand_form!S"&amp;ROW()))="No","N",IF(IF(INDIRECT("brand_form!S"&amp;ROW())="","",INDIRECT("brand_form!S"&amp;ROW()))="Not sure","unsure",""))))</f>
        <v/>
      </c>
      <c r="U75" s="30" t="str">
        <f aca="true">IF(INDIRECT("brand_form!A"&amp;ROW())="","",IF(IF(INDIRECT("brand_form!T"&amp;ROW())="","",INDIRECT("brand_form!T"&amp;ROW()))="Yes","Y",IF(IF(INDIRECT("brand_form!T"&amp;ROW())="","",INDIRECT("brand_form!T"&amp;ROW()))="No","N",IF(IF(INDIRECT("brand_form!T"&amp;ROW())="","",INDIRECT("brand_form!T"&amp;ROW()))="Not sure","unsure",""))))</f>
        <v/>
      </c>
      <c r="V75" s="30" t="str">
        <f aca="true">IF(INDIRECT("brand_form!A"&amp;ROW())="","",IF(IF(INDIRECT("brand_form!U"&amp;ROW())="","",INDIRECT("brand_form!U"&amp;ROW()))="Yes","Y",IF(IF(INDIRECT("brand_form!U"&amp;ROW())="","",INDIRECT("brand_form!U"&amp;ROW()))="No","N",IF(IF(INDIRECT("brand_form!U"&amp;ROW())="","",INDIRECT("brand_form!U"&amp;ROW()))="Not sure","unsure",""))))</f>
        <v/>
      </c>
      <c r="W75" s="30" t="str">
        <f aca="true">IF(INDIRECT("brand_form!A"&amp;ROW())="","",IF(IF(INDIRECT("brand_form!V"&amp;ROW())="","",INDIRECT("brand_form!V"&amp;ROW()))="Yes","Y",IF(IF(INDIRECT("brand_form!V"&amp;ROW())="","",INDIRECT("brand_form!V"&amp;ROW()))="No","N",IF(IF(INDIRECT("brand_form!V"&amp;ROW())="","",INDIRECT("brand_form!V"&amp;ROW()))="Not sure","unsure",""))))</f>
        <v/>
      </c>
      <c r="X75" s="30" t="str">
        <f aca="true">IF(INDIRECT("brand_form!A"&amp;ROW())="","",IF(INDIRECT("brand_form!W"&amp;ROW())="","",INDIRECT("brand_form!W"&amp;ROW())))</f>
        <v/>
      </c>
      <c r="Y75" s="30" t="str">
        <f aca="true">IF(INDIRECT("brand_form!A"&amp;ROW())="","",IF(IF(INDIRECT("brand_form!X"&amp;ROW())="","",INDIRECT("brand_form!X"&amp;ROW()))&lt;&gt;"","Y",""))</f>
        <v/>
      </c>
      <c r="Z75" s="30" t="str">
        <f aca="true">IF(INDIRECT("brand_form!A"&amp;ROW())="","",IF(INDIRECT("brand_form!Y"&amp;ROW())="","",INDIRECT("brand_form!Y"&amp;ROW())))</f>
        <v/>
      </c>
      <c r="AA75" s="30" t="str">
        <f aca="true">IF(INDIRECT("brand_form!A"&amp;ROW())="","","founder")</f>
        <v/>
      </c>
    </row>
    <row r="76" customFormat="false" ht="15" hidden="false" customHeight="false" outlineLevel="0" collapsed="false">
      <c r="A76" s="30" t="str">
        <f aca="true">IF(INDIRECT("brand_form!A"&amp;ROW())="","",TEXT(INDIRECT("brand_form!A"&amp;ROW()),"yyyy-mm-dd""T""hh:mm:ss"))</f>
        <v/>
      </c>
      <c r="B76" s="30" t="str">
        <f aca="true">IF(INDIRECT("brand_form!A"&amp;ROW())="","",config!$B$35)</f>
        <v/>
      </c>
      <c r="C76" s="30" t="str">
        <f aca="true">IF(INDIRECT("brand_form!A"&amp;ROW())="","",IF(INDIRECT("brand_form!B"&amp;ROW())="","",INDIRECT("brand_form!B"&amp;ROW())))</f>
        <v/>
      </c>
      <c r="D76"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6" s="30" t="str">
        <f aca="true">IF(INDIRECT("brand_form!A"&amp;ROW())="","",IF(INDIRECT("brand_form!G"&amp;ROW())="","",INDIRECT("brand_form!G"&amp;ROW())))</f>
        <v/>
      </c>
      <c r="F76" s="30" t="str">
        <f aca="true">IF(INDIRECT("brand_form!A"&amp;ROW())="","",IF(INDIRECT("brand_form!H"&amp;ROW())="","",INDIRECT("brand_form!H"&amp;ROW())))</f>
        <v/>
      </c>
      <c r="G76" s="30" t="str">
        <f aca="true">IF(INDIRECT("brand_form!A"&amp;ROW())="","",IF(INDIRECT("brand_form!I"&amp;ROW())="","",INDIRECT("brand_form!I"&amp;ROW())))</f>
        <v/>
      </c>
      <c r="H76" s="30" t="str">
        <f aca="true">IF(INDIRECT("brand_form!A"&amp;ROW())="","",IF(INDIRECT("brand_form!J"&amp;ROW())="","",INDIRECT("brand_form!J"&amp;ROW())))</f>
        <v/>
      </c>
      <c r="I76" s="30" t="str">
        <f aca="true">IF(INDIRECT("brand_form!A"&amp;ROW())="","",IF(INDIRECT("brand_form!D"&amp;ROW())="","",INDIRECT("brand_form!D"&amp;ROW())))</f>
        <v/>
      </c>
      <c r="J76"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30" t="str">
        <f aca="true">IF(INDIRECT("brand_form!A"&amp;ROW())="","",IF(INDIRECT("brand_form!F"&amp;ROW())="","",INDIRECT("brand_form!F"&amp;ROW())))</f>
        <v/>
      </c>
      <c r="L76" s="30" t="str">
        <f aca="true">IF(INDIRECT("brand_form!A"&amp;ROW())="","",IF(INDIRECT("brand_form!M"&amp;ROW())="","",INDIRECT("brand_form!M"&amp;ROW())))</f>
        <v/>
      </c>
      <c r="M76"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6" s="30" t="str">
        <f aca="true">IF(INDIRECT("brand_form!A"&amp;ROW())="","",IF(IF(INDIRECT("brand_form!O"&amp;ROW())="","",INDIRECT("brand_form!O"&amp;ROW()))="Yes","Y",IF(IF(INDIRECT("brand_form!O"&amp;ROW())="","",INDIRECT("brand_form!O"&amp;ROW()))="No","N","")))</f>
        <v/>
      </c>
      <c r="O76"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30" t="str">
        <f aca="true">IF(INDIRECT("brand_form!A"&amp;ROW())="","",IF(IF(INDIRECT("brand_form!K"&amp;ROW())="","",INDIRECT("brand_form!K"&amp;ROW()))="I do","Y",IF(IF(INDIRECT("brand_form!K"&amp;ROW())="","",INDIRECT("brand_form!K"&amp;ROW()))="Someone else","N","")))</f>
        <v/>
      </c>
      <c r="Q76" s="30" t="str">
        <f aca="true">IF(INDIRECT("brand_form!A"&amp;ROW())="","",IF($P76="Y",$E76&amp;", "&amp;$F76,IF(INDIRECT("brand_form!L"&amp;ROW())="","",INDIRECT("brand_form!L"&amp;ROW()))))</f>
        <v/>
      </c>
      <c r="R76" s="30" t="str">
        <f aca="true">IF(INDIRECT("brand_form!A"&amp;ROW())="","",IF(IF(INDIRECT("brand_form!Q"&amp;ROW())="","",INDIRECT("brand_form!Q"&amp;ROW()))="Yes","Y",IF(IF(INDIRECT("brand_form!Q"&amp;ROW())="","",INDIRECT("brand_form!Q"&amp;ROW()))="No","N",IF(IF(INDIRECT("brand_form!Q"&amp;ROW())="","",INDIRECT("brand_form!Q"&amp;ROW()))="Not sure","unsure",""))))</f>
        <v/>
      </c>
      <c r="S76" s="30" t="str">
        <f aca="true">IF(INDIRECT("brand_form!A"&amp;ROW())="","",IF(IF(INDIRECT("brand_form!R"&amp;ROW())="","",INDIRECT("brand_form!R"&amp;ROW()))="Yes","Y",IF(IF(INDIRECT("brand_form!R"&amp;ROW())="","",INDIRECT("brand_form!R"&amp;ROW()))="No","N",IF(IF(INDIRECT("brand_form!R"&amp;ROW())="","",INDIRECT("brand_form!R"&amp;ROW()))="Not sure","unsure",""))))</f>
        <v/>
      </c>
      <c r="T76" s="30" t="str">
        <f aca="true">IF(INDIRECT("brand_form!A"&amp;ROW())="","",IF(IF(INDIRECT("brand_form!S"&amp;ROW())="","",INDIRECT("brand_form!S"&amp;ROW()))="Yes","Y",IF(IF(INDIRECT("brand_form!S"&amp;ROW())="","",INDIRECT("brand_form!S"&amp;ROW()))="No","N",IF(IF(INDIRECT("brand_form!S"&amp;ROW())="","",INDIRECT("brand_form!S"&amp;ROW()))="Not sure","unsure",""))))</f>
        <v/>
      </c>
      <c r="U76" s="30" t="str">
        <f aca="true">IF(INDIRECT("brand_form!A"&amp;ROW())="","",IF(IF(INDIRECT("brand_form!T"&amp;ROW())="","",INDIRECT("brand_form!T"&amp;ROW()))="Yes","Y",IF(IF(INDIRECT("brand_form!T"&amp;ROW())="","",INDIRECT("brand_form!T"&amp;ROW()))="No","N",IF(IF(INDIRECT("brand_form!T"&amp;ROW())="","",INDIRECT("brand_form!T"&amp;ROW()))="Not sure","unsure",""))))</f>
        <v/>
      </c>
      <c r="V76" s="30" t="str">
        <f aca="true">IF(INDIRECT("brand_form!A"&amp;ROW())="","",IF(IF(INDIRECT("brand_form!U"&amp;ROW())="","",INDIRECT("brand_form!U"&amp;ROW()))="Yes","Y",IF(IF(INDIRECT("brand_form!U"&amp;ROW())="","",INDIRECT("brand_form!U"&amp;ROW()))="No","N",IF(IF(INDIRECT("brand_form!U"&amp;ROW())="","",INDIRECT("brand_form!U"&amp;ROW()))="Not sure","unsure",""))))</f>
        <v/>
      </c>
      <c r="W76" s="30" t="str">
        <f aca="true">IF(INDIRECT("brand_form!A"&amp;ROW())="","",IF(IF(INDIRECT("brand_form!V"&amp;ROW())="","",INDIRECT("brand_form!V"&amp;ROW()))="Yes","Y",IF(IF(INDIRECT("brand_form!V"&amp;ROW())="","",INDIRECT("brand_form!V"&amp;ROW()))="No","N",IF(IF(INDIRECT("brand_form!V"&amp;ROW())="","",INDIRECT("brand_form!V"&amp;ROW()))="Not sure","unsure",""))))</f>
        <v/>
      </c>
      <c r="X76" s="30" t="str">
        <f aca="true">IF(INDIRECT("brand_form!A"&amp;ROW())="","",IF(INDIRECT("brand_form!W"&amp;ROW())="","",INDIRECT("brand_form!W"&amp;ROW())))</f>
        <v/>
      </c>
      <c r="Y76" s="30" t="str">
        <f aca="true">IF(INDIRECT("brand_form!A"&amp;ROW())="","",IF(IF(INDIRECT("brand_form!X"&amp;ROW())="","",INDIRECT("brand_form!X"&amp;ROW()))&lt;&gt;"","Y",""))</f>
        <v/>
      </c>
      <c r="Z76" s="30" t="str">
        <f aca="true">IF(INDIRECT("brand_form!A"&amp;ROW())="","",IF(INDIRECT("brand_form!Y"&amp;ROW())="","",INDIRECT("brand_form!Y"&amp;ROW())))</f>
        <v/>
      </c>
      <c r="AA76" s="30" t="str">
        <f aca="true">IF(INDIRECT("brand_form!A"&amp;ROW())="","","founder")</f>
        <v/>
      </c>
    </row>
    <row r="77" customFormat="false" ht="15" hidden="false" customHeight="false" outlineLevel="0" collapsed="false">
      <c r="A77" s="30" t="str">
        <f aca="true">IF(INDIRECT("brand_form!A"&amp;ROW())="","",TEXT(INDIRECT("brand_form!A"&amp;ROW()),"yyyy-mm-dd""T""hh:mm:ss"))</f>
        <v/>
      </c>
      <c r="B77" s="30" t="str">
        <f aca="true">IF(INDIRECT("brand_form!A"&amp;ROW())="","",config!$B$35)</f>
        <v/>
      </c>
      <c r="C77" s="30" t="str">
        <f aca="true">IF(INDIRECT("brand_form!A"&amp;ROW())="","",IF(INDIRECT("brand_form!B"&amp;ROW())="","",INDIRECT("brand_form!B"&amp;ROW())))</f>
        <v/>
      </c>
      <c r="D77"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7" s="30" t="str">
        <f aca="true">IF(INDIRECT("brand_form!A"&amp;ROW())="","",IF(INDIRECT("brand_form!G"&amp;ROW())="","",INDIRECT("brand_form!G"&amp;ROW())))</f>
        <v/>
      </c>
      <c r="F77" s="30" t="str">
        <f aca="true">IF(INDIRECT("brand_form!A"&amp;ROW())="","",IF(INDIRECT("brand_form!H"&amp;ROW())="","",INDIRECT("brand_form!H"&amp;ROW())))</f>
        <v/>
      </c>
      <c r="G77" s="30" t="str">
        <f aca="true">IF(INDIRECT("brand_form!A"&amp;ROW())="","",IF(INDIRECT("brand_form!I"&amp;ROW())="","",INDIRECT("brand_form!I"&amp;ROW())))</f>
        <v/>
      </c>
      <c r="H77" s="30" t="str">
        <f aca="true">IF(INDIRECT("brand_form!A"&amp;ROW())="","",IF(INDIRECT("brand_form!J"&amp;ROW())="","",INDIRECT("brand_form!J"&amp;ROW())))</f>
        <v/>
      </c>
      <c r="I77" s="30" t="str">
        <f aca="true">IF(INDIRECT("brand_form!A"&amp;ROW())="","",IF(INDIRECT("brand_form!D"&amp;ROW())="","",INDIRECT("brand_form!D"&amp;ROW())))</f>
        <v/>
      </c>
      <c r="J77"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30" t="str">
        <f aca="true">IF(INDIRECT("brand_form!A"&amp;ROW())="","",IF(INDIRECT("brand_form!F"&amp;ROW())="","",INDIRECT("brand_form!F"&amp;ROW())))</f>
        <v/>
      </c>
      <c r="L77" s="30" t="str">
        <f aca="true">IF(INDIRECT("brand_form!A"&amp;ROW())="","",IF(INDIRECT("brand_form!M"&amp;ROW())="","",INDIRECT("brand_form!M"&amp;ROW())))</f>
        <v/>
      </c>
      <c r="M77"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7" s="30" t="str">
        <f aca="true">IF(INDIRECT("brand_form!A"&amp;ROW())="","",IF(IF(INDIRECT("brand_form!O"&amp;ROW())="","",INDIRECT("brand_form!O"&amp;ROW()))="Yes","Y",IF(IF(INDIRECT("brand_form!O"&amp;ROW())="","",INDIRECT("brand_form!O"&amp;ROW()))="No","N","")))</f>
        <v/>
      </c>
      <c r="O77"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30" t="str">
        <f aca="true">IF(INDIRECT("brand_form!A"&amp;ROW())="","",IF(IF(INDIRECT("brand_form!K"&amp;ROW())="","",INDIRECT("brand_form!K"&amp;ROW()))="I do","Y",IF(IF(INDIRECT("brand_form!K"&amp;ROW())="","",INDIRECT("brand_form!K"&amp;ROW()))="Someone else","N","")))</f>
        <v/>
      </c>
      <c r="Q77" s="30" t="str">
        <f aca="true">IF(INDIRECT("brand_form!A"&amp;ROW())="","",IF($P77="Y",$E77&amp;", "&amp;$F77,IF(INDIRECT("brand_form!L"&amp;ROW())="","",INDIRECT("brand_form!L"&amp;ROW()))))</f>
        <v/>
      </c>
      <c r="R77" s="30" t="str">
        <f aca="true">IF(INDIRECT("brand_form!A"&amp;ROW())="","",IF(IF(INDIRECT("brand_form!Q"&amp;ROW())="","",INDIRECT("brand_form!Q"&amp;ROW()))="Yes","Y",IF(IF(INDIRECT("brand_form!Q"&amp;ROW())="","",INDIRECT("brand_form!Q"&amp;ROW()))="No","N",IF(IF(INDIRECT("brand_form!Q"&amp;ROW())="","",INDIRECT("brand_form!Q"&amp;ROW()))="Not sure","unsure",""))))</f>
        <v/>
      </c>
      <c r="S77" s="30" t="str">
        <f aca="true">IF(INDIRECT("brand_form!A"&amp;ROW())="","",IF(IF(INDIRECT("brand_form!R"&amp;ROW())="","",INDIRECT("brand_form!R"&amp;ROW()))="Yes","Y",IF(IF(INDIRECT("brand_form!R"&amp;ROW())="","",INDIRECT("brand_form!R"&amp;ROW()))="No","N",IF(IF(INDIRECT("brand_form!R"&amp;ROW())="","",INDIRECT("brand_form!R"&amp;ROW()))="Not sure","unsure",""))))</f>
        <v/>
      </c>
      <c r="T77" s="30" t="str">
        <f aca="true">IF(INDIRECT("brand_form!A"&amp;ROW())="","",IF(IF(INDIRECT("brand_form!S"&amp;ROW())="","",INDIRECT("brand_form!S"&amp;ROW()))="Yes","Y",IF(IF(INDIRECT("brand_form!S"&amp;ROW())="","",INDIRECT("brand_form!S"&amp;ROW()))="No","N",IF(IF(INDIRECT("brand_form!S"&amp;ROW())="","",INDIRECT("brand_form!S"&amp;ROW()))="Not sure","unsure",""))))</f>
        <v/>
      </c>
      <c r="U77" s="30" t="str">
        <f aca="true">IF(INDIRECT("brand_form!A"&amp;ROW())="","",IF(IF(INDIRECT("brand_form!T"&amp;ROW())="","",INDIRECT("brand_form!T"&amp;ROW()))="Yes","Y",IF(IF(INDIRECT("brand_form!T"&amp;ROW())="","",INDIRECT("brand_form!T"&amp;ROW()))="No","N",IF(IF(INDIRECT("brand_form!T"&amp;ROW())="","",INDIRECT("brand_form!T"&amp;ROW()))="Not sure","unsure",""))))</f>
        <v/>
      </c>
      <c r="V77" s="30" t="str">
        <f aca="true">IF(INDIRECT("brand_form!A"&amp;ROW())="","",IF(IF(INDIRECT("brand_form!U"&amp;ROW())="","",INDIRECT("brand_form!U"&amp;ROW()))="Yes","Y",IF(IF(INDIRECT("brand_form!U"&amp;ROW())="","",INDIRECT("brand_form!U"&amp;ROW()))="No","N",IF(IF(INDIRECT("brand_form!U"&amp;ROW())="","",INDIRECT("brand_form!U"&amp;ROW()))="Not sure","unsure",""))))</f>
        <v/>
      </c>
      <c r="W77" s="30" t="str">
        <f aca="true">IF(INDIRECT("brand_form!A"&amp;ROW())="","",IF(IF(INDIRECT("brand_form!V"&amp;ROW())="","",INDIRECT("brand_form!V"&amp;ROW()))="Yes","Y",IF(IF(INDIRECT("brand_form!V"&amp;ROW())="","",INDIRECT("brand_form!V"&amp;ROW()))="No","N",IF(IF(INDIRECT("brand_form!V"&amp;ROW())="","",INDIRECT("brand_form!V"&amp;ROW()))="Not sure","unsure",""))))</f>
        <v/>
      </c>
      <c r="X77" s="30" t="str">
        <f aca="true">IF(INDIRECT("brand_form!A"&amp;ROW())="","",IF(INDIRECT("brand_form!W"&amp;ROW())="","",INDIRECT("brand_form!W"&amp;ROW())))</f>
        <v/>
      </c>
      <c r="Y77" s="30" t="str">
        <f aca="true">IF(INDIRECT("brand_form!A"&amp;ROW())="","",IF(IF(INDIRECT("brand_form!X"&amp;ROW())="","",INDIRECT("brand_form!X"&amp;ROW()))&lt;&gt;"","Y",""))</f>
        <v/>
      </c>
      <c r="Z77" s="30" t="str">
        <f aca="true">IF(INDIRECT("brand_form!A"&amp;ROW())="","",IF(INDIRECT("brand_form!Y"&amp;ROW())="","",INDIRECT("brand_form!Y"&amp;ROW())))</f>
        <v/>
      </c>
      <c r="AA77" s="30" t="str">
        <f aca="true">IF(INDIRECT("brand_form!A"&amp;ROW())="","","founder")</f>
        <v/>
      </c>
    </row>
    <row r="78" customFormat="false" ht="15" hidden="false" customHeight="false" outlineLevel="0" collapsed="false">
      <c r="A78" s="30" t="str">
        <f aca="true">IF(INDIRECT("brand_form!A"&amp;ROW())="","",TEXT(INDIRECT("brand_form!A"&amp;ROW()),"yyyy-mm-dd""T""hh:mm:ss"))</f>
        <v/>
      </c>
      <c r="B78" s="30" t="str">
        <f aca="true">IF(INDIRECT("brand_form!A"&amp;ROW())="","",config!$B$35)</f>
        <v/>
      </c>
      <c r="C78" s="30" t="str">
        <f aca="true">IF(INDIRECT("brand_form!A"&amp;ROW())="","",IF(INDIRECT("brand_form!B"&amp;ROW())="","",INDIRECT("brand_form!B"&amp;ROW())))</f>
        <v/>
      </c>
      <c r="D78"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8" s="30" t="str">
        <f aca="true">IF(INDIRECT("brand_form!A"&amp;ROW())="","",IF(INDIRECT("brand_form!G"&amp;ROW())="","",INDIRECT("brand_form!G"&amp;ROW())))</f>
        <v/>
      </c>
      <c r="F78" s="30" t="str">
        <f aca="true">IF(INDIRECT("brand_form!A"&amp;ROW())="","",IF(INDIRECT("brand_form!H"&amp;ROW())="","",INDIRECT("brand_form!H"&amp;ROW())))</f>
        <v/>
      </c>
      <c r="G78" s="30" t="str">
        <f aca="true">IF(INDIRECT("brand_form!A"&amp;ROW())="","",IF(INDIRECT("brand_form!I"&amp;ROW())="","",INDIRECT("brand_form!I"&amp;ROW())))</f>
        <v/>
      </c>
      <c r="H78" s="30" t="str">
        <f aca="true">IF(INDIRECT("brand_form!A"&amp;ROW())="","",IF(INDIRECT("brand_form!J"&amp;ROW())="","",INDIRECT("brand_form!J"&amp;ROW())))</f>
        <v/>
      </c>
      <c r="I78" s="30" t="str">
        <f aca="true">IF(INDIRECT("brand_form!A"&amp;ROW())="","",IF(INDIRECT("brand_form!D"&amp;ROW())="","",INDIRECT("brand_form!D"&amp;ROW())))</f>
        <v/>
      </c>
      <c r="J78"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30" t="str">
        <f aca="true">IF(INDIRECT("brand_form!A"&amp;ROW())="","",IF(INDIRECT("brand_form!F"&amp;ROW())="","",INDIRECT("brand_form!F"&amp;ROW())))</f>
        <v/>
      </c>
      <c r="L78" s="30" t="str">
        <f aca="true">IF(INDIRECT("brand_form!A"&amp;ROW())="","",IF(INDIRECT("brand_form!M"&amp;ROW())="","",INDIRECT("brand_form!M"&amp;ROW())))</f>
        <v/>
      </c>
      <c r="M78"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8" s="30" t="str">
        <f aca="true">IF(INDIRECT("brand_form!A"&amp;ROW())="","",IF(IF(INDIRECT("brand_form!O"&amp;ROW())="","",INDIRECT("brand_form!O"&amp;ROW()))="Yes","Y",IF(IF(INDIRECT("brand_form!O"&amp;ROW())="","",INDIRECT("brand_form!O"&amp;ROW()))="No","N","")))</f>
        <v/>
      </c>
      <c r="O78"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30" t="str">
        <f aca="true">IF(INDIRECT("brand_form!A"&amp;ROW())="","",IF(IF(INDIRECT("brand_form!K"&amp;ROW())="","",INDIRECT("brand_form!K"&amp;ROW()))="I do","Y",IF(IF(INDIRECT("brand_form!K"&amp;ROW())="","",INDIRECT("brand_form!K"&amp;ROW()))="Someone else","N","")))</f>
        <v/>
      </c>
      <c r="Q78" s="30" t="str">
        <f aca="true">IF(INDIRECT("brand_form!A"&amp;ROW())="","",IF($P78="Y",$E78&amp;", "&amp;$F78,IF(INDIRECT("brand_form!L"&amp;ROW())="","",INDIRECT("brand_form!L"&amp;ROW()))))</f>
        <v/>
      </c>
      <c r="R78" s="30" t="str">
        <f aca="true">IF(INDIRECT("brand_form!A"&amp;ROW())="","",IF(IF(INDIRECT("brand_form!Q"&amp;ROW())="","",INDIRECT("brand_form!Q"&amp;ROW()))="Yes","Y",IF(IF(INDIRECT("brand_form!Q"&amp;ROW())="","",INDIRECT("brand_form!Q"&amp;ROW()))="No","N",IF(IF(INDIRECT("brand_form!Q"&amp;ROW())="","",INDIRECT("brand_form!Q"&amp;ROW()))="Not sure","unsure",""))))</f>
        <v/>
      </c>
      <c r="S78" s="30" t="str">
        <f aca="true">IF(INDIRECT("brand_form!A"&amp;ROW())="","",IF(IF(INDIRECT("brand_form!R"&amp;ROW())="","",INDIRECT("brand_form!R"&amp;ROW()))="Yes","Y",IF(IF(INDIRECT("brand_form!R"&amp;ROW())="","",INDIRECT("brand_form!R"&amp;ROW()))="No","N",IF(IF(INDIRECT("brand_form!R"&amp;ROW())="","",INDIRECT("brand_form!R"&amp;ROW()))="Not sure","unsure",""))))</f>
        <v/>
      </c>
      <c r="T78" s="30" t="str">
        <f aca="true">IF(INDIRECT("brand_form!A"&amp;ROW())="","",IF(IF(INDIRECT("brand_form!S"&amp;ROW())="","",INDIRECT("brand_form!S"&amp;ROW()))="Yes","Y",IF(IF(INDIRECT("brand_form!S"&amp;ROW())="","",INDIRECT("brand_form!S"&amp;ROW()))="No","N",IF(IF(INDIRECT("brand_form!S"&amp;ROW())="","",INDIRECT("brand_form!S"&amp;ROW()))="Not sure","unsure",""))))</f>
        <v/>
      </c>
      <c r="U78" s="30" t="str">
        <f aca="true">IF(INDIRECT("brand_form!A"&amp;ROW())="","",IF(IF(INDIRECT("brand_form!T"&amp;ROW())="","",INDIRECT("brand_form!T"&amp;ROW()))="Yes","Y",IF(IF(INDIRECT("brand_form!T"&amp;ROW())="","",INDIRECT("brand_form!T"&amp;ROW()))="No","N",IF(IF(INDIRECT("brand_form!T"&amp;ROW())="","",INDIRECT("brand_form!T"&amp;ROW()))="Not sure","unsure",""))))</f>
        <v/>
      </c>
      <c r="V78" s="30" t="str">
        <f aca="true">IF(INDIRECT("brand_form!A"&amp;ROW())="","",IF(IF(INDIRECT("brand_form!U"&amp;ROW())="","",INDIRECT("brand_form!U"&amp;ROW()))="Yes","Y",IF(IF(INDIRECT("brand_form!U"&amp;ROW())="","",INDIRECT("brand_form!U"&amp;ROW()))="No","N",IF(IF(INDIRECT("brand_form!U"&amp;ROW())="","",INDIRECT("brand_form!U"&amp;ROW()))="Not sure","unsure",""))))</f>
        <v/>
      </c>
      <c r="W78" s="30" t="str">
        <f aca="true">IF(INDIRECT("brand_form!A"&amp;ROW())="","",IF(IF(INDIRECT("brand_form!V"&amp;ROW())="","",INDIRECT("brand_form!V"&amp;ROW()))="Yes","Y",IF(IF(INDIRECT("brand_form!V"&amp;ROW())="","",INDIRECT("brand_form!V"&amp;ROW()))="No","N",IF(IF(INDIRECT("brand_form!V"&amp;ROW())="","",INDIRECT("brand_form!V"&amp;ROW()))="Not sure","unsure",""))))</f>
        <v/>
      </c>
      <c r="X78" s="30" t="str">
        <f aca="true">IF(INDIRECT("brand_form!A"&amp;ROW())="","",IF(INDIRECT("brand_form!W"&amp;ROW())="","",INDIRECT("brand_form!W"&amp;ROW())))</f>
        <v/>
      </c>
      <c r="Y78" s="30" t="str">
        <f aca="true">IF(INDIRECT("brand_form!A"&amp;ROW())="","",IF(IF(INDIRECT("brand_form!X"&amp;ROW())="","",INDIRECT("brand_form!X"&amp;ROW()))&lt;&gt;"","Y",""))</f>
        <v/>
      </c>
      <c r="Z78" s="30" t="str">
        <f aca="true">IF(INDIRECT("brand_form!A"&amp;ROW())="","",IF(INDIRECT("brand_form!Y"&amp;ROW())="","",INDIRECT("brand_form!Y"&amp;ROW())))</f>
        <v/>
      </c>
      <c r="AA78" s="30" t="str">
        <f aca="true">IF(INDIRECT("brand_form!A"&amp;ROW())="","","founder")</f>
        <v/>
      </c>
    </row>
    <row r="79" customFormat="false" ht="15" hidden="false" customHeight="false" outlineLevel="0" collapsed="false">
      <c r="A79" s="30" t="str">
        <f aca="true">IF(INDIRECT("brand_form!A"&amp;ROW())="","",TEXT(INDIRECT("brand_form!A"&amp;ROW()),"yyyy-mm-dd""T""hh:mm:ss"))</f>
        <v/>
      </c>
      <c r="B79" s="30" t="str">
        <f aca="true">IF(INDIRECT("brand_form!A"&amp;ROW())="","",config!$B$35)</f>
        <v/>
      </c>
      <c r="C79" s="30" t="str">
        <f aca="true">IF(INDIRECT("brand_form!A"&amp;ROW())="","",IF(INDIRECT("brand_form!B"&amp;ROW())="","",INDIRECT("brand_form!B"&amp;ROW())))</f>
        <v/>
      </c>
      <c r="D79"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79" s="30" t="str">
        <f aca="true">IF(INDIRECT("brand_form!A"&amp;ROW())="","",IF(INDIRECT("brand_form!G"&amp;ROW())="","",INDIRECT("brand_form!G"&amp;ROW())))</f>
        <v/>
      </c>
      <c r="F79" s="30" t="str">
        <f aca="true">IF(INDIRECT("brand_form!A"&amp;ROW())="","",IF(INDIRECT("brand_form!H"&amp;ROW())="","",INDIRECT("brand_form!H"&amp;ROW())))</f>
        <v/>
      </c>
      <c r="G79" s="30" t="str">
        <f aca="true">IF(INDIRECT("brand_form!A"&amp;ROW())="","",IF(INDIRECT("brand_form!I"&amp;ROW())="","",INDIRECT("brand_form!I"&amp;ROW())))</f>
        <v/>
      </c>
      <c r="H79" s="30" t="str">
        <f aca="true">IF(INDIRECT("brand_form!A"&amp;ROW())="","",IF(INDIRECT("brand_form!J"&amp;ROW())="","",INDIRECT("brand_form!J"&amp;ROW())))</f>
        <v/>
      </c>
      <c r="I79" s="30" t="str">
        <f aca="true">IF(INDIRECT("brand_form!A"&amp;ROW())="","",IF(INDIRECT("brand_form!D"&amp;ROW())="","",INDIRECT("brand_form!D"&amp;ROW())))</f>
        <v/>
      </c>
      <c r="J79"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30" t="str">
        <f aca="true">IF(INDIRECT("brand_form!A"&amp;ROW())="","",IF(INDIRECT("brand_form!F"&amp;ROW())="","",INDIRECT("brand_form!F"&amp;ROW())))</f>
        <v/>
      </c>
      <c r="L79" s="30" t="str">
        <f aca="true">IF(INDIRECT("brand_form!A"&amp;ROW())="","",IF(INDIRECT("brand_form!M"&amp;ROW())="","",INDIRECT("brand_form!M"&amp;ROW())))</f>
        <v/>
      </c>
      <c r="M79"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79" s="30" t="str">
        <f aca="true">IF(INDIRECT("brand_form!A"&amp;ROW())="","",IF(IF(INDIRECT("brand_form!O"&amp;ROW())="","",INDIRECT("brand_form!O"&amp;ROW()))="Yes","Y",IF(IF(INDIRECT("brand_form!O"&amp;ROW())="","",INDIRECT("brand_form!O"&amp;ROW()))="No","N","")))</f>
        <v/>
      </c>
      <c r="O79"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30" t="str">
        <f aca="true">IF(INDIRECT("brand_form!A"&amp;ROW())="","",IF(IF(INDIRECT("brand_form!K"&amp;ROW())="","",INDIRECT("brand_form!K"&amp;ROW()))="I do","Y",IF(IF(INDIRECT("brand_form!K"&amp;ROW())="","",INDIRECT("brand_form!K"&amp;ROW()))="Someone else","N","")))</f>
        <v/>
      </c>
      <c r="Q79" s="30" t="str">
        <f aca="true">IF(INDIRECT("brand_form!A"&amp;ROW())="","",IF($P79="Y",$E79&amp;", "&amp;$F79,IF(INDIRECT("brand_form!L"&amp;ROW())="","",INDIRECT("brand_form!L"&amp;ROW()))))</f>
        <v/>
      </c>
      <c r="R79" s="30" t="str">
        <f aca="true">IF(INDIRECT("brand_form!A"&amp;ROW())="","",IF(IF(INDIRECT("brand_form!Q"&amp;ROW())="","",INDIRECT("brand_form!Q"&amp;ROW()))="Yes","Y",IF(IF(INDIRECT("brand_form!Q"&amp;ROW())="","",INDIRECT("brand_form!Q"&amp;ROW()))="No","N",IF(IF(INDIRECT("brand_form!Q"&amp;ROW())="","",INDIRECT("brand_form!Q"&amp;ROW()))="Not sure","unsure",""))))</f>
        <v/>
      </c>
      <c r="S79" s="30" t="str">
        <f aca="true">IF(INDIRECT("brand_form!A"&amp;ROW())="","",IF(IF(INDIRECT("brand_form!R"&amp;ROW())="","",INDIRECT("brand_form!R"&amp;ROW()))="Yes","Y",IF(IF(INDIRECT("brand_form!R"&amp;ROW())="","",INDIRECT("brand_form!R"&amp;ROW()))="No","N",IF(IF(INDIRECT("brand_form!R"&amp;ROW())="","",INDIRECT("brand_form!R"&amp;ROW()))="Not sure","unsure",""))))</f>
        <v/>
      </c>
      <c r="T79" s="30" t="str">
        <f aca="true">IF(INDIRECT("brand_form!A"&amp;ROW())="","",IF(IF(INDIRECT("brand_form!S"&amp;ROW())="","",INDIRECT("brand_form!S"&amp;ROW()))="Yes","Y",IF(IF(INDIRECT("brand_form!S"&amp;ROW())="","",INDIRECT("brand_form!S"&amp;ROW()))="No","N",IF(IF(INDIRECT("brand_form!S"&amp;ROW())="","",INDIRECT("brand_form!S"&amp;ROW()))="Not sure","unsure",""))))</f>
        <v/>
      </c>
      <c r="U79" s="30" t="str">
        <f aca="true">IF(INDIRECT("brand_form!A"&amp;ROW())="","",IF(IF(INDIRECT("brand_form!T"&amp;ROW())="","",INDIRECT("brand_form!T"&amp;ROW()))="Yes","Y",IF(IF(INDIRECT("brand_form!T"&amp;ROW())="","",INDIRECT("brand_form!T"&amp;ROW()))="No","N",IF(IF(INDIRECT("brand_form!T"&amp;ROW())="","",INDIRECT("brand_form!T"&amp;ROW()))="Not sure","unsure",""))))</f>
        <v/>
      </c>
      <c r="V79" s="30" t="str">
        <f aca="true">IF(INDIRECT("brand_form!A"&amp;ROW())="","",IF(IF(INDIRECT("brand_form!U"&amp;ROW())="","",INDIRECT("brand_form!U"&amp;ROW()))="Yes","Y",IF(IF(INDIRECT("brand_form!U"&amp;ROW())="","",INDIRECT("brand_form!U"&amp;ROW()))="No","N",IF(IF(INDIRECT("brand_form!U"&amp;ROW())="","",INDIRECT("brand_form!U"&amp;ROW()))="Not sure","unsure",""))))</f>
        <v/>
      </c>
      <c r="W79" s="30" t="str">
        <f aca="true">IF(INDIRECT("brand_form!A"&amp;ROW())="","",IF(IF(INDIRECT("brand_form!V"&amp;ROW())="","",INDIRECT("brand_form!V"&amp;ROW()))="Yes","Y",IF(IF(INDIRECT("brand_form!V"&amp;ROW())="","",INDIRECT("brand_form!V"&amp;ROW()))="No","N",IF(IF(INDIRECT("brand_form!V"&amp;ROW())="","",INDIRECT("brand_form!V"&amp;ROW()))="Not sure","unsure",""))))</f>
        <v/>
      </c>
      <c r="X79" s="30" t="str">
        <f aca="true">IF(INDIRECT("brand_form!A"&amp;ROW())="","",IF(INDIRECT("brand_form!W"&amp;ROW())="","",INDIRECT("brand_form!W"&amp;ROW())))</f>
        <v/>
      </c>
      <c r="Y79" s="30" t="str">
        <f aca="true">IF(INDIRECT("brand_form!A"&amp;ROW())="","",IF(IF(INDIRECT("brand_form!X"&amp;ROW())="","",INDIRECT("brand_form!X"&amp;ROW()))&lt;&gt;"","Y",""))</f>
        <v/>
      </c>
      <c r="Z79" s="30" t="str">
        <f aca="true">IF(INDIRECT("brand_form!A"&amp;ROW())="","",IF(INDIRECT("brand_form!Y"&amp;ROW())="","",INDIRECT("brand_form!Y"&amp;ROW())))</f>
        <v/>
      </c>
      <c r="AA79" s="30" t="str">
        <f aca="true">IF(INDIRECT("brand_form!A"&amp;ROW())="","","founder")</f>
        <v/>
      </c>
    </row>
    <row r="80" customFormat="false" ht="15" hidden="false" customHeight="false" outlineLevel="0" collapsed="false">
      <c r="A80" s="30" t="str">
        <f aca="true">IF(INDIRECT("brand_form!A"&amp;ROW())="","",TEXT(INDIRECT("brand_form!A"&amp;ROW()),"yyyy-mm-dd""T""hh:mm:ss"))</f>
        <v/>
      </c>
      <c r="B80" s="30" t="str">
        <f aca="true">IF(INDIRECT("brand_form!A"&amp;ROW())="","",config!$B$35)</f>
        <v/>
      </c>
      <c r="C80" s="30" t="str">
        <f aca="true">IF(INDIRECT("brand_form!A"&amp;ROW())="","",IF(INDIRECT("brand_form!B"&amp;ROW())="","",INDIRECT("brand_form!B"&amp;ROW())))</f>
        <v/>
      </c>
      <c r="D80"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0" s="30" t="str">
        <f aca="true">IF(INDIRECT("brand_form!A"&amp;ROW())="","",IF(INDIRECT("brand_form!G"&amp;ROW())="","",INDIRECT("brand_form!G"&amp;ROW())))</f>
        <v/>
      </c>
      <c r="F80" s="30" t="str">
        <f aca="true">IF(INDIRECT("brand_form!A"&amp;ROW())="","",IF(INDIRECT("brand_form!H"&amp;ROW())="","",INDIRECT("brand_form!H"&amp;ROW())))</f>
        <v/>
      </c>
      <c r="G80" s="30" t="str">
        <f aca="true">IF(INDIRECT("brand_form!A"&amp;ROW())="","",IF(INDIRECT("brand_form!I"&amp;ROW())="","",INDIRECT("brand_form!I"&amp;ROW())))</f>
        <v/>
      </c>
      <c r="H80" s="30" t="str">
        <f aca="true">IF(INDIRECT("brand_form!A"&amp;ROW())="","",IF(INDIRECT("brand_form!J"&amp;ROW())="","",INDIRECT("brand_form!J"&amp;ROW())))</f>
        <v/>
      </c>
      <c r="I80" s="30" t="str">
        <f aca="true">IF(INDIRECT("brand_form!A"&amp;ROW())="","",IF(INDIRECT("brand_form!D"&amp;ROW())="","",INDIRECT("brand_form!D"&amp;ROW())))</f>
        <v/>
      </c>
      <c r="J80"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30" t="str">
        <f aca="true">IF(INDIRECT("brand_form!A"&amp;ROW())="","",IF(INDIRECT("brand_form!F"&amp;ROW())="","",INDIRECT("brand_form!F"&amp;ROW())))</f>
        <v/>
      </c>
      <c r="L80" s="30" t="str">
        <f aca="true">IF(INDIRECT("brand_form!A"&amp;ROW())="","",IF(INDIRECT("brand_form!M"&amp;ROW())="","",INDIRECT("brand_form!M"&amp;ROW())))</f>
        <v/>
      </c>
      <c r="M80"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0" s="30" t="str">
        <f aca="true">IF(INDIRECT("brand_form!A"&amp;ROW())="","",IF(IF(INDIRECT("brand_form!O"&amp;ROW())="","",INDIRECT("brand_form!O"&amp;ROW()))="Yes","Y",IF(IF(INDIRECT("brand_form!O"&amp;ROW())="","",INDIRECT("brand_form!O"&amp;ROW()))="No","N","")))</f>
        <v/>
      </c>
      <c r="O80"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30" t="str">
        <f aca="true">IF(INDIRECT("brand_form!A"&amp;ROW())="","",IF(IF(INDIRECT("brand_form!K"&amp;ROW())="","",INDIRECT("brand_form!K"&amp;ROW()))="I do","Y",IF(IF(INDIRECT("brand_form!K"&amp;ROW())="","",INDIRECT("brand_form!K"&amp;ROW()))="Someone else","N","")))</f>
        <v/>
      </c>
      <c r="Q80" s="30" t="str">
        <f aca="true">IF(INDIRECT("brand_form!A"&amp;ROW())="","",IF($P80="Y",$E80&amp;", "&amp;$F80,IF(INDIRECT("brand_form!L"&amp;ROW())="","",INDIRECT("brand_form!L"&amp;ROW()))))</f>
        <v/>
      </c>
      <c r="R80" s="30" t="str">
        <f aca="true">IF(INDIRECT("brand_form!A"&amp;ROW())="","",IF(IF(INDIRECT("brand_form!Q"&amp;ROW())="","",INDIRECT("brand_form!Q"&amp;ROW()))="Yes","Y",IF(IF(INDIRECT("brand_form!Q"&amp;ROW())="","",INDIRECT("brand_form!Q"&amp;ROW()))="No","N",IF(IF(INDIRECT("brand_form!Q"&amp;ROW())="","",INDIRECT("brand_form!Q"&amp;ROW()))="Not sure","unsure",""))))</f>
        <v/>
      </c>
      <c r="S80" s="30" t="str">
        <f aca="true">IF(INDIRECT("brand_form!A"&amp;ROW())="","",IF(IF(INDIRECT("brand_form!R"&amp;ROW())="","",INDIRECT("brand_form!R"&amp;ROW()))="Yes","Y",IF(IF(INDIRECT("brand_form!R"&amp;ROW())="","",INDIRECT("brand_form!R"&amp;ROW()))="No","N",IF(IF(INDIRECT("brand_form!R"&amp;ROW())="","",INDIRECT("brand_form!R"&amp;ROW()))="Not sure","unsure",""))))</f>
        <v/>
      </c>
      <c r="T80" s="30" t="str">
        <f aca="true">IF(INDIRECT("brand_form!A"&amp;ROW())="","",IF(IF(INDIRECT("brand_form!S"&amp;ROW())="","",INDIRECT("brand_form!S"&amp;ROW()))="Yes","Y",IF(IF(INDIRECT("brand_form!S"&amp;ROW())="","",INDIRECT("brand_form!S"&amp;ROW()))="No","N",IF(IF(INDIRECT("brand_form!S"&amp;ROW())="","",INDIRECT("brand_form!S"&amp;ROW()))="Not sure","unsure",""))))</f>
        <v/>
      </c>
      <c r="U80" s="30" t="str">
        <f aca="true">IF(INDIRECT("brand_form!A"&amp;ROW())="","",IF(IF(INDIRECT("brand_form!T"&amp;ROW())="","",INDIRECT("brand_form!T"&amp;ROW()))="Yes","Y",IF(IF(INDIRECT("brand_form!T"&amp;ROW())="","",INDIRECT("brand_form!T"&amp;ROW()))="No","N",IF(IF(INDIRECT("brand_form!T"&amp;ROW())="","",INDIRECT("brand_form!T"&amp;ROW()))="Not sure","unsure",""))))</f>
        <v/>
      </c>
      <c r="V80" s="30" t="str">
        <f aca="true">IF(INDIRECT("brand_form!A"&amp;ROW())="","",IF(IF(INDIRECT("brand_form!U"&amp;ROW())="","",INDIRECT("brand_form!U"&amp;ROW()))="Yes","Y",IF(IF(INDIRECT("brand_form!U"&amp;ROW())="","",INDIRECT("brand_form!U"&amp;ROW()))="No","N",IF(IF(INDIRECT("brand_form!U"&amp;ROW())="","",INDIRECT("brand_form!U"&amp;ROW()))="Not sure","unsure",""))))</f>
        <v/>
      </c>
      <c r="W80" s="30" t="str">
        <f aca="true">IF(INDIRECT("brand_form!A"&amp;ROW())="","",IF(IF(INDIRECT("brand_form!V"&amp;ROW())="","",INDIRECT("brand_form!V"&amp;ROW()))="Yes","Y",IF(IF(INDIRECT("brand_form!V"&amp;ROW())="","",INDIRECT("brand_form!V"&amp;ROW()))="No","N",IF(IF(INDIRECT("brand_form!V"&amp;ROW())="","",INDIRECT("brand_form!V"&amp;ROW()))="Not sure","unsure",""))))</f>
        <v/>
      </c>
      <c r="X80" s="30" t="str">
        <f aca="true">IF(INDIRECT("brand_form!A"&amp;ROW())="","",IF(INDIRECT("brand_form!W"&amp;ROW())="","",INDIRECT("brand_form!W"&amp;ROW())))</f>
        <v/>
      </c>
      <c r="Y80" s="30" t="str">
        <f aca="true">IF(INDIRECT("brand_form!A"&amp;ROW())="","",IF(IF(INDIRECT("brand_form!X"&amp;ROW())="","",INDIRECT("brand_form!X"&amp;ROW()))&lt;&gt;"","Y",""))</f>
        <v/>
      </c>
      <c r="Z80" s="30" t="str">
        <f aca="true">IF(INDIRECT("brand_form!A"&amp;ROW())="","",IF(INDIRECT("brand_form!Y"&amp;ROW())="","",INDIRECT("brand_form!Y"&amp;ROW())))</f>
        <v/>
      </c>
      <c r="AA80" s="30" t="str">
        <f aca="true">IF(INDIRECT("brand_form!A"&amp;ROW())="","","founder")</f>
        <v/>
      </c>
    </row>
    <row r="81" customFormat="false" ht="15" hidden="false" customHeight="false" outlineLevel="0" collapsed="false">
      <c r="A81" s="30" t="str">
        <f aca="true">IF(INDIRECT("brand_form!A"&amp;ROW())="","",TEXT(INDIRECT("brand_form!A"&amp;ROW()),"yyyy-mm-dd""T""hh:mm:ss"))</f>
        <v/>
      </c>
      <c r="B81" s="30" t="str">
        <f aca="true">IF(INDIRECT("brand_form!A"&amp;ROW())="","",config!$B$35)</f>
        <v/>
      </c>
      <c r="C81" s="30" t="str">
        <f aca="true">IF(INDIRECT("brand_form!A"&amp;ROW())="","",IF(INDIRECT("brand_form!B"&amp;ROW())="","",INDIRECT("brand_form!B"&amp;ROW())))</f>
        <v/>
      </c>
      <c r="D81" s="30" t="str">
        <f aca="true">IF(INDIRECT("brand_form!A"&amp;ROW())="","",IF(IF(INDIRECT("brand_form!C"&amp;ROW())="","",INDIRECT("brand_form!C"&amp;ROW()))="","",IF(LEFT(LOWER(IF(INDIRECT("brand_form!C"&amp;ROW())="","",INDIRECT("brand_form!C"&amp;ROW()))),4)="http",IF(INDIRECT("brand_form!C"&amp;ROW())="","",INDIRECT("brand_form!C"&amp;ROW())),"https://"&amp;IF(INDIRECT("brand_form!C"&amp;ROW())="","",INDIRECT("brand_form!C"&amp;ROW())))))</f>
        <v/>
      </c>
      <c r="E81" s="30" t="str">
        <f aca="true">IF(INDIRECT("brand_form!A"&amp;ROW())="","",IF(INDIRECT("brand_form!G"&amp;ROW())="","",INDIRECT("brand_form!G"&amp;ROW())))</f>
        <v/>
      </c>
      <c r="F81" s="30" t="str">
        <f aca="true">IF(INDIRECT("brand_form!A"&amp;ROW())="","",IF(INDIRECT("brand_form!H"&amp;ROW())="","",INDIRECT("brand_form!H"&amp;ROW())))</f>
        <v/>
      </c>
      <c r="G81" s="30" t="str">
        <f aca="true">IF(INDIRECT("brand_form!A"&amp;ROW())="","",IF(INDIRECT("brand_form!I"&amp;ROW())="","",INDIRECT("brand_form!I"&amp;ROW())))</f>
        <v/>
      </c>
      <c r="H81" s="30" t="str">
        <f aca="true">IF(INDIRECT("brand_form!A"&amp;ROW())="","",IF(INDIRECT("brand_form!J"&amp;ROW())="","",INDIRECT("brand_form!J"&amp;ROW())))</f>
        <v/>
      </c>
      <c r="I81" s="30" t="str">
        <f aca="true">IF(INDIRECT("brand_form!A"&amp;ROW())="","",IF(INDIRECT("brand_form!D"&amp;ROW())="","",INDIRECT("brand_form!D"&amp;ROW())))</f>
        <v/>
      </c>
      <c r="J81" s="30" t="str">
        <f aca="true">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30" t="str">
        <f aca="true">IF(INDIRECT("brand_form!A"&amp;ROW())="","",IF(INDIRECT("brand_form!F"&amp;ROW())="","",INDIRECT("brand_form!F"&amp;ROW())))</f>
        <v/>
      </c>
      <c r="L81" s="30" t="str">
        <f aca="true">IF(INDIRECT("brand_form!A"&amp;ROW())="","",IF(INDIRECT("brand_form!M"&amp;ROW())="","",INDIRECT("brand_form!M"&amp;ROW())))</f>
        <v/>
      </c>
      <c r="M81" s="30" t="str">
        <f aca="true">IF(INDIRECT("brand_form!A"&amp;ROW())="","",IF(IF(INDIRECT("brand_form!N"&amp;ROW())="","",INDIRECT("brand_form!N"&amp;ROW()))="","",IF(LEFT(LOWER(IF(INDIRECT("brand_form!N"&amp;ROW())="","",INDIRECT("brand_form!N"&amp;ROW()))),4)="http",IF(INDIRECT("brand_form!N"&amp;ROW())="","",INDIRECT("brand_form!N"&amp;ROW())),"https://"&amp;IF(INDIRECT("brand_form!N"&amp;ROW())="","",INDIRECT("brand_form!N"&amp;ROW())))))</f>
        <v/>
      </c>
      <c r="N81" s="30" t="str">
        <f aca="true">IF(INDIRECT("brand_form!A"&amp;ROW())="","",IF(IF(INDIRECT("brand_form!O"&amp;ROW())="","",INDIRECT("brand_form!O"&amp;ROW()))="Yes","Y",IF(IF(INDIRECT("brand_form!O"&amp;ROW())="","",INDIRECT("brand_form!O"&amp;ROW()))="No","N","")))</f>
        <v/>
      </c>
      <c r="O81" s="30" t="str">
        <f aca="true">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30" t="str">
        <f aca="true">IF(INDIRECT("brand_form!A"&amp;ROW())="","",IF(IF(INDIRECT("brand_form!K"&amp;ROW())="","",INDIRECT("brand_form!K"&amp;ROW()))="I do","Y",IF(IF(INDIRECT("brand_form!K"&amp;ROW())="","",INDIRECT("brand_form!K"&amp;ROW()))="Someone else","N","")))</f>
        <v/>
      </c>
      <c r="Q81" s="30" t="str">
        <f aca="true">IF(INDIRECT("brand_form!A"&amp;ROW())="","",IF($P81="Y",$E81&amp;", "&amp;$F81,IF(INDIRECT("brand_form!L"&amp;ROW())="","",INDIRECT("brand_form!L"&amp;ROW()))))</f>
        <v/>
      </c>
      <c r="R81" s="30" t="str">
        <f aca="true">IF(INDIRECT("brand_form!A"&amp;ROW())="","",IF(IF(INDIRECT("brand_form!Q"&amp;ROW())="","",INDIRECT("brand_form!Q"&amp;ROW()))="Yes","Y",IF(IF(INDIRECT("brand_form!Q"&amp;ROW())="","",INDIRECT("brand_form!Q"&amp;ROW()))="No","N",IF(IF(INDIRECT("brand_form!Q"&amp;ROW())="","",INDIRECT("brand_form!Q"&amp;ROW()))="Not sure","unsure",""))))</f>
        <v/>
      </c>
      <c r="S81" s="30" t="str">
        <f aca="true">IF(INDIRECT("brand_form!A"&amp;ROW())="","",IF(IF(INDIRECT("brand_form!R"&amp;ROW())="","",INDIRECT("brand_form!R"&amp;ROW()))="Yes","Y",IF(IF(INDIRECT("brand_form!R"&amp;ROW())="","",INDIRECT("brand_form!R"&amp;ROW()))="No","N",IF(IF(INDIRECT("brand_form!R"&amp;ROW())="","",INDIRECT("brand_form!R"&amp;ROW()))="Not sure","unsure",""))))</f>
        <v/>
      </c>
      <c r="T81" s="30" t="str">
        <f aca="true">IF(INDIRECT("brand_form!A"&amp;ROW())="","",IF(IF(INDIRECT("brand_form!S"&amp;ROW())="","",INDIRECT("brand_form!S"&amp;ROW()))="Yes","Y",IF(IF(INDIRECT("brand_form!S"&amp;ROW())="","",INDIRECT("brand_form!S"&amp;ROW()))="No","N",IF(IF(INDIRECT("brand_form!S"&amp;ROW())="","",INDIRECT("brand_form!S"&amp;ROW()))="Not sure","unsure",""))))</f>
        <v/>
      </c>
      <c r="U81" s="30" t="str">
        <f aca="true">IF(INDIRECT("brand_form!A"&amp;ROW())="","",IF(IF(INDIRECT("brand_form!T"&amp;ROW())="","",INDIRECT("brand_form!T"&amp;ROW()))="Yes","Y",IF(IF(INDIRECT("brand_form!T"&amp;ROW())="","",INDIRECT("brand_form!T"&amp;ROW()))="No","N",IF(IF(INDIRECT("brand_form!T"&amp;ROW())="","",INDIRECT("brand_form!T"&amp;ROW()))="Not sure","unsure",""))))</f>
        <v/>
      </c>
      <c r="V81" s="30" t="str">
        <f aca="true">IF(INDIRECT("brand_form!A"&amp;ROW())="","",IF(IF(INDIRECT("brand_form!U"&amp;ROW())="","",INDIRECT("brand_form!U"&amp;ROW()))="Yes","Y",IF(IF(INDIRECT("brand_form!U"&amp;ROW())="","",INDIRECT("brand_form!U"&amp;ROW()))="No","N",IF(IF(INDIRECT("brand_form!U"&amp;ROW())="","",INDIRECT("brand_form!U"&amp;ROW()))="Not sure","unsure",""))))</f>
        <v/>
      </c>
      <c r="W81" s="30" t="str">
        <f aca="true">IF(INDIRECT("brand_form!A"&amp;ROW())="","",IF(IF(INDIRECT("brand_form!V"&amp;ROW())="","",INDIRECT("brand_form!V"&amp;ROW()))="Yes","Y",IF(IF(INDIRECT("brand_form!V"&amp;ROW())="","",INDIRECT("brand_form!V"&amp;ROW()))="No","N",IF(IF(INDIRECT("brand_form!V"&amp;ROW())="","",INDIRECT("brand_form!V"&amp;ROW()))="Not sure","unsure",""))))</f>
        <v/>
      </c>
      <c r="X81" s="30" t="str">
        <f aca="true">IF(INDIRECT("brand_form!A"&amp;ROW())="","",IF(INDIRECT("brand_form!W"&amp;ROW())="","",INDIRECT("brand_form!W"&amp;ROW())))</f>
        <v/>
      </c>
      <c r="Y81" s="30" t="str">
        <f aca="true">IF(INDIRECT("brand_form!A"&amp;ROW())="","",IF(IF(INDIRECT("brand_form!X"&amp;ROW())="","",INDIRECT("brand_form!X"&amp;ROW()))&lt;&gt;"","Y",""))</f>
        <v/>
      </c>
      <c r="Z81" s="30" t="str">
        <f aca="true">IF(INDIRECT("brand_form!A"&amp;ROW())="","",IF(INDIRECT("brand_form!Y"&amp;ROW())="","",INDIRECT("brand_form!Y"&amp;ROW())))</f>
        <v/>
      </c>
      <c r="AA81" s="30" t="str">
        <f aca="true">IF(INDIRECT("brand_form!A"&amp;ROW())="","","founder")</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AK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7" min="1" style="0" width="14"/>
  </cols>
  <sheetData>
    <row r="1" customFormat="false" ht="15" hidden="false" customHeight="false" outlineLevel="0" collapsed="false">
      <c r="A1" s="40" t="s">
        <v>1416</v>
      </c>
      <c r="B1" s="40" t="s">
        <v>1417</v>
      </c>
      <c r="C1" s="40" t="s">
        <v>138</v>
      </c>
      <c r="D1" s="40" t="s">
        <v>601</v>
      </c>
      <c r="E1" s="40" t="s">
        <v>602</v>
      </c>
      <c r="F1" s="40" t="s">
        <v>603</v>
      </c>
      <c r="G1" s="40" t="s">
        <v>604</v>
      </c>
      <c r="H1" s="40" t="s">
        <v>654</v>
      </c>
      <c r="I1" s="40" t="s">
        <v>655</v>
      </c>
      <c r="J1" s="40" t="s">
        <v>656</v>
      </c>
      <c r="K1" s="40" t="s">
        <v>657</v>
      </c>
      <c r="L1" s="40" t="s">
        <v>658</v>
      </c>
      <c r="M1" s="40" t="s">
        <v>659</v>
      </c>
      <c r="N1" s="40" t="s">
        <v>660</v>
      </c>
      <c r="O1" s="40" t="s">
        <v>661</v>
      </c>
      <c r="P1" s="40" t="s">
        <v>662</v>
      </c>
      <c r="Q1" s="40" t="s">
        <v>663</v>
      </c>
      <c r="R1" s="40" t="s">
        <v>664</v>
      </c>
      <c r="S1" s="40" t="s">
        <v>665</v>
      </c>
      <c r="T1" s="40" t="s">
        <v>305</v>
      </c>
      <c r="U1" s="40" t="s">
        <v>823</v>
      </c>
      <c r="V1" s="40" t="s">
        <v>642</v>
      </c>
      <c r="W1" s="40" t="s">
        <v>668</v>
      </c>
      <c r="X1" s="40" t="s">
        <v>363</v>
      </c>
      <c r="Y1" s="40" t="s">
        <v>1612</v>
      </c>
      <c r="Z1" s="40" t="s">
        <v>666</v>
      </c>
      <c r="AA1" s="40" t="s">
        <v>1613</v>
      </c>
      <c r="AB1" s="40" t="s">
        <v>1614</v>
      </c>
      <c r="AC1" s="40" t="s">
        <v>1615</v>
      </c>
      <c r="AD1" s="40" t="s">
        <v>669</v>
      </c>
      <c r="AE1" s="40" t="s">
        <v>1616</v>
      </c>
      <c r="AF1" s="40" t="s">
        <v>1617</v>
      </c>
      <c r="AG1" s="40" t="s">
        <v>667</v>
      </c>
      <c r="AH1" s="40" t="s">
        <v>364</v>
      </c>
      <c r="AI1" s="40" t="s">
        <v>643</v>
      </c>
      <c r="AJ1" s="40" t="s">
        <v>676</v>
      </c>
      <c r="AK1" s="40" t="s">
        <v>677</v>
      </c>
    </row>
    <row r="2" customFormat="false" ht="15" hidden="false" customHeight="false" outlineLevel="0" collapsed="false">
      <c r="A2" s="0" t="s">
        <v>1418</v>
      </c>
      <c r="B2" s="0" t="s">
        <v>1419</v>
      </c>
      <c r="C2" s="0" t="s">
        <v>1420</v>
      </c>
      <c r="D2" s="0" t="s">
        <v>1421</v>
      </c>
      <c r="E2" s="0" t="s">
        <v>1422</v>
      </c>
      <c r="F2" s="0" t="s">
        <v>1423</v>
      </c>
      <c r="G2" s="0" t="s">
        <v>1424</v>
      </c>
      <c r="H2" s="0" t="s">
        <v>1425</v>
      </c>
      <c r="I2" s="0" t="s">
        <v>1426</v>
      </c>
      <c r="J2" s="0" t="n">
        <v>52</v>
      </c>
      <c r="K2" s="0" t="s">
        <v>1421</v>
      </c>
      <c r="L2" s="0" t="s">
        <v>1422</v>
      </c>
      <c r="M2" s="0" t="s">
        <v>486</v>
      </c>
      <c r="N2" s="0" t="s">
        <v>1427</v>
      </c>
      <c r="O2" s="0" t="s">
        <v>1428</v>
      </c>
      <c r="P2" s="0" t="s">
        <v>146</v>
      </c>
      <c r="Q2" s="0" t="s">
        <v>1429</v>
      </c>
      <c r="R2" s="0" t="s">
        <v>1430</v>
      </c>
      <c r="T2" s="0" t="s">
        <v>1431</v>
      </c>
      <c r="U2" s="0" t="s">
        <v>599</v>
      </c>
      <c r="V2" s="0" t="s">
        <v>678</v>
      </c>
      <c r="W2" s="0" t="s">
        <v>1618</v>
      </c>
      <c r="X2" s="11" t="n">
        <v>46342</v>
      </c>
      <c r="Y2" s="10" t="s">
        <v>1619</v>
      </c>
      <c r="Z2" s="10" t="s">
        <v>486</v>
      </c>
      <c r="AA2" s="10" t="s">
        <v>1620</v>
      </c>
      <c r="AB2" s="11" t="n">
        <v>46336</v>
      </c>
      <c r="AD2" s="10" t="s">
        <v>1621</v>
      </c>
      <c r="AE2" s="10" t="s">
        <v>1424</v>
      </c>
      <c r="AF2" s="10" t="s">
        <v>1423</v>
      </c>
      <c r="AG2" s="10" t="s">
        <v>507</v>
      </c>
      <c r="AH2" s="10" t="s">
        <v>475</v>
      </c>
    </row>
    <row r="3" customFormat="false" ht="15" hidden="false" customHeight="false" outlineLevel="0" collapsed="false">
      <c r="A3" s="0" t="s">
        <v>1622</v>
      </c>
      <c r="B3" s="0" t="s">
        <v>254</v>
      </c>
      <c r="C3" s="0" t="s">
        <v>1546</v>
      </c>
      <c r="D3" s="0" t="s">
        <v>1547</v>
      </c>
      <c r="E3" s="0" t="s">
        <v>1422</v>
      </c>
      <c r="F3" s="0" t="s">
        <v>1548</v>
      </c>
      <c r="G3" s="0" t="s">
        <v>1549</v>
      </c>
      <c r="H3" s="0" t="s">
        <v>1550</v>
      </c>
      <c r="I3" s="0" t="s">
        <v>1551</v>
      </c>
      <c r="J3" s="0" t="n">
        <v>48</v>
      </c>
      <c r="K3" s="0" t="s">
        <v>1547</v>
      </c>
      <c r="L3" s="0" t="s">
        <v>1422</v>
      </c>
      <c r="M3" s="0" t="s">
        <v>486</v>
      </c>
      <c r="N3" s="0" t="s">
        <v>758</v>
      </c>
      <c r="O3" s="0" t="s">
        <v>1439</v>
      </c>
      <c r="P3" s="0" t="s">
        <v>146</v>
      </c>
      <c r="Q3" s="0" t="s">
        <v>1623</v>
      </c>
      <c r="R3" s="0" t="s">
        <v>1624</v>
      </c>
      <c r="T3" s="0" t="s">
        <v>1431</v>
      </c>
      <c r="U3" s="0" t="s">
        <v>338</v>
      </c>
      <c r="V3" s="0" t="s">
        <v>681</v>
      </c>
      <c r="W3" s="0" t="s">
        <v>1625</v>
      </c>
      <c r="X3" s="11" t="n">
        <v>46344</v>
      </c>
      <c r="Y3" s="10" t="s">
        <v>1626</v>
      </c>
      <c r="Z3" s="10" t="s">
        <v>507</v>
      </c>
      <c r="AA3" s="10" t="s">
        <v>1620</v>
      </c>
      <c r="AB3" s="11" t="n">
        <v>46338</v>
      </c>
      <c r="AD3" s="10" t="s">
        <v>1627</v>
      </c>
      <c r="AE3" s="10" t="s">
        <v>1549</v>
      </c>
      <c r="AF3" s="10" t="s">
        <v>1548</v>
      </c>
      <c r="AG3" s="10" t="s">
        <v>507</v>
      </c>
      <c r="AH3" s="10" t="s">
        <v>475</v>
      </c>
    </row>
    <row r="4" customFormat="false" ht="15" hidden="false" customHeight="false" outlineLevel="0" collapsed="false">
      <c r="A4" s="0" t="s">
        <v>1432</v>
      </c>
      <c r="B4" s="0" t="s">
        <v>1419</v>
      </c>
      <c r="C4" s="0" t="s">
        <v>1433</v>
      </c>
      <c r="D4" s="0" t="s">
        <v>1434</v>
      </c>
      <c r="E4" s="0" t="s">
        <v>1422</v>
      </c>
      <c r="F4" s="0" t="s">
        <v>1435</v>
      </c>
      <c r="G4" s="0" t="s">
        <v>1436</v>
      </c>
      <c r="H4" s="0" t="s">
        <v>1437</v>
      </c>
      <c r="I4" s="0" t="s">
        <v>1438</v>
      </c>
      <c r="J4" s="0" t="n">
        <v>95</v>
      </c>
      <c r="K4" s="0" t="s">
        <v>1434</v>
      </c>
      <c r="L4" s="0" t="s">
        <v>1422</v>
      </c>
      <c r="M4" s="0" t="s">
        <v>486</v>
      </c>
      <c r="N4" s="0" t="s">
        <v>1427</v>
      </c>
      <c r="O4" s="0" t="s">
        <v>1439</v>
      </c>
      <c r="P4" s="0" t="s">
        <v>1440</v>
      </c>
      <c r="Q4" s="0" t="s">
        <v>1429</v>
      </c>
      <c r="R4" s="0" t="s">
        <v>1441</v>
      </c>
      <c r="T4" s="0" t="s">
        <v>1431</v>
      </c>
      <c r="U4" s="0" t="s">
        <v>599</v>
      </c>
      <c r="V4" s="0" t="s">
        <v>683</v>
      </c>
      <c r="W4" s="0" t="s">
        <v>1628</v>
      </c>
      <c r="X4" s="11" t="n">
        <v>46350</v>
      </c>
      <c r="Y4" s="10" t="s">
        <v>1629</v>
      </c>
      <c r="Z4" s="10" t="s">
        <v>486</v>
      </c>
      <c r="AA4" s="10" t="s">
        <v>1630</v>
      </c>
      <c r="AB4" s="11" t="n">
        <v>46344</v>
      </c>
      <c r="AC4" s="0" t="n">
        <v>200</v>
      </c>
      <c r="AD4" s="10" t="s">
        <v>1631</v>
      </c>
      <c r="AE4" s="10" t="s">
        <v>1436</v>
      </c>
      <c r="AF4" s="10" t="s">
        <v>1435</v>
      </c>
      <c r="AG4" s="10" t="s">
        <v>507</v>
      </c>
      <c r="AH4" s="10" t="s">
        <v>475</v>
      </c>
    </row>
    <row r="5" customFormat="false" ht="15" hidden="false" customHeight="false" outlineLevel="0" collapsed="false">
      <c r="A5" s="0" t="s">
        <v>1632</v>
      </c>
      <c r="B5" s="0" t="s">
        <v>254</v>
      </c>
      <c r="C5" s="0" t="s">
        <v>1557</v>
      </c>
      <c r="D5" s="0" t="s">
        <v>1558</v>
      </c>
      <c r="E5" s="0" t="s">
        <v>1422</v>
      </c>
      <c r="F5" s="0" t="s">
        <v>1559</v>
      </c>
      <c r="G5" s="0" t="s">
        <v>1560</v>
      </c>
      <c r="H5" s="0" t="s">
        <v>1561</v>
      </c>
      <c r="I5" s="0" t="s">
        <v>1562</v>
      </c>
      <c r="J5" s="0" t="n">
        <v>110</v>
      </c>
      <c r="K5" s="0" t="s">
        <v>1558</v>
      </c>
      <c r="L5" s="0" t="s">
        <v>1422</v>
      </c>
      <c r="M5" s="0" t="s">
        <v>486</v>
      </c>
      <c r="N5" s="0" t="s">
        <v>1633</v>
      </c>
      <c r="O5" s="0" t="s">
        <v>1449</v>
      </c>
      <c r="P5" s="0" t="s">
        <v>146</v>
      </c>
      <c r="Q5" s="0" t="s">
        <v>1623</v>
      </c>
      <c r="R5" s="0" t="s">
        <v>1634</v>
      </c>
      <c r="T5" s="0" t="s">
        <v>1431</v>
      </c>
      <c r="U5" s="0" t="s">
        <v>338</v>
      </c>
      <c r="V5" s="0" t="s">
        <v>686</v>
      </c>
      <c r="W5" s="0" t="s">
        <v>1635</v>
      </c>
      <c r="X5" s="11" t="n">
        <v>46357</v>
      </c>
      <c r="Y5" s="10" t="s">
        <v>1636</v>
      </c>
      <c r="Z5" s="10" t="s">
        <v>507</v>
      </c>
      <c r="AA5" s="10" t="s">
        <v>1620</v>
      </c>
      <c r="AB5" s="11" t="n">
        <v>46351</v>
      </c>
      <c r="AD5" s="10" t="s">
        <v>1637</v>
      </c>
      <c r="AE5" s="10" t="s">
        <v>1560</v>
      </c>
      <c r="AF5" s="10" t="s">
        <v>1559</v>
      </c>
      <c r="AG5" s="10" t="s">
        <v>507</v>
      </c>
      <c r="AH5" s="10" t="s">
        <v>475</v>
      </c>
    </row>
    <row r="6" customFormat="false" ht="15" hidden="false" customHeight="false" outlineLevel="0" collapsed="false">
      <c r="A6" s="0" t="s">
        <v>1442</v>
      </c>
      <c r="B6" s="0" t="s">
        <v>1419</v>
      </c>
      <c r="C6" s="0" t="s">
        <v>1443</v>
      </c>
      <c r="D6" s="0" t="s">
        <v>1444</v>
      </c>
      <c r="E6" s="0" t="s">
        <v>1422</v>
      </c>
      <c r="F6" s="0" t="s">
        <v>1445</v>
      </c>
      <c r="G6" s="0" t="s">
        <v>1446</v>
      </c>
      <c r="H6" s="0" t="s">
        <v>1447</v>
      </c>
      <c r="I6" s="0" t="s">
        <v>1448</v>
      </c>
      <c r="J6" s="0" t="n">
        <v>190</v>
      </c>
      <c r="K6" s="0" t="s">
        <v>1444</v>
      </c>
      <c r="L6" s="0" t="s">
        <v>1422</v>
      </c>
      <c r="M6" s="0" t="s">
        <v>486</v>
      </c>
      <c r="N6" s="0" t="s">
        <v>758</v>
      </c>
      <c r="O6" s="0" t="s">
        <v>1449</v>
      </c>
      <c r="P6" s="0" t="s">
        <v>496</v>
      </c>
      <c r="Q6" s="0" t="s">
        <v>1429</v>
      </c>
      <c r="R6" s="0" t="s">
        <v>1450</v>
      </c>
      <c r="T6" s="0" t="s">
        <v>1431</v>
      </c>
      <c r="U6" s="0" t="s">
        <v>599</v>
      </c>
      <c r="V6" s="0" t="s">
        <v>688</v>
      </c>
      <c r="W6" s="0" t="s">
        <v>1638</v>
      </c>
      <c r="X6" s="11" t="n">
        <v>46359</v>
      </c>
      <c r="Y6" s="10" t="s">
        <v>1639</v>
      </c>
      <c r="Z6" s="10" t="s">
        <v>507</v>
      </c>
      <c r="AA6" s="10" t="s">
        <v>1620</v>
      </c>
      <c r="AB6" s="11" t="n">
        <v>46353</v>
      </c>
      <c r="AD6" s="10" t="s">
        <v>1640</v>
      </c>
      <c r="AE6" s="10" t="s">
        <v>1446</v>
      </c>
      <c r="AF6" s="10" t="s">
        <v>1445</v>
      </c>
      <c r="AG6" s="10" t="s">
        <v>507</v>
      </c>
      <c r="AH6" s="10" t="s">
        <v>475</v>
      </c>
    </row>
    <row r="7" customFormat="false" ht="15" hidden="false" customHeight="false" outlineLevel="0" collapsed="false">
      <c r="A7" s="0" t="s">
        <v>1451</v>
      </c>
      <c r="B7" s="0" t="s">
        <v>1419</v>
      </c>
      <c r="C7" s="0" t="s">
        <v>1452</v>
      </c>
      <c r="D7" s="0" t="s">
        <v>1453</v>
      </c>
      <c r="E7" s="0" t="s">
        <v>1422</v>
      </c>
      <c r="F7" s="0" t="s">
        <v>1454</v>
      </c>
      <c r="G7" s="0" t="s">
        <v>1455</v>
      </c>
      <c r="H7" s="0" t="s">
        <v>1456</v>
      </c>
      <c r="I7" s="0" t="s">
        <v>1457</v>
      </c>
      <c r="J7" s="0" t="n">
        <v>65</v>
      </c>
      <c r="K7" s="0" t="s">
        <v>1453</v>
      </c>
      <c r="L7" s="0" t="s">
        <v>1422</v>
      </c>
      <c r="M7" s="0" t="s">
        <v>486</v>
      </c>
      <c r="N7" s="0" t="s">
        <v>1427</v>
      </c>
      <c r="O7" s="0" t="s">
        <v>1428</v>
      </c>
      <c r="P7" s="0" t="s">
        <v>146</v>
      </c>
      <c r="Q7" s="0" t="s">
        <v>1429</v>
      </c>
      <c r="R7" s="0" t="s">
        <v>1458</v>
      </c>
      <c r="T7" s="0" t="s">
        <v>1431</v>
      </c>
      <c r="U7" s="0" t="s">
        <v>599</v>
      </c>
      <c r="V7" s="0" t="s">
        <v>690</v>
      </c>
      <c r="W7" s="0" t="s">
        <v>1641</v>
      </c>
      <c r="X7" s="11" t="n">
        <v>46392</v>
      </c>
      <c r="Y7" s="10" t="s">
        <v>1642</v>
      </c>
      <c r="Z7" s="10" t="s">
        <v>507</v>
      </c>
      <c r="AA7" s="10" t="s">
        <v>1620</v>
      </c>
      <c r="AB7" s="11" t="n">
        <v>46386</v>
      </c>
      <c r="AD7" s="10" t="s">
        <v>1621</v>
      </c>
      <c r="AE7" s="10" t="s">
        <v>1455</v>
      </c>
      <c r="AF7" s="10" t="s">
        <v>1454</v>
      </c>
      <c r="AG7" s="10" t="s">
        <v>507</v>
      </c>
      <c r="AH7" s="10" t="s">
        <v>475</v>
      </c>
    </row>
    <row r="8" customFormat="false" ht="15" hidden="false" customHeight="false" outlineLevel="0" collapsed="false">
      <c r="A8" s="0" t="s">
        <v>1459</v>
      </c>
      <c r="B8" s="0" t="s">
        <v>1419</v>
      </c>
      <c r="C8" s="0" t="s">
        <v>1460</v>
      </c>
      <c r="D8" s="0" t="s">
        <v>1461</v>
      </c>
      <c r="E8" s="0" t="s">
        <v>1422</v>
      </c>
      <c r="F8" s="0" t="s">
        <v>1462</v>
      </c>
      <c r="G8" s="0" t="s">
        <v>1463</v>
      </c>
      <c r="H8" s="0" t="s">
        <v>1464</v>
      </c>
      <c r="I8" s="0" t="s">
        <v>1465</v>
      </c>
      <c r="J8" s="0" t="n">
        <v>140</v>
      </c>
      <c r="K8" s="0" t="s">
        <v>1461</v>
      </c>
      <c r="L8" s="0" t="s">
        <v>1422</v>
      </c>
      <c r="M8" s="0" t="s">
        <v>486</v>
      </c>
      <c r="N8" s="0" t="s">
        <v>758</v>
      </c>
      <c r="O8" s="0" t="s">
        <v>1439</v>
      </c>
      <c r="P8" s="0" t="s">
        <v>146</v>
      </c>
      <c r="Q8" s="0" t="s">
        <v>1429</v>
      </c>
      <c r="R8" s="0" t="s">
        <v>1466</v>
      </c>
      <c r="S8" s="0" t="s">
        <v>1467</v>
      </c>
      <c r="T8" s="0" t="s">
        <v>1431</v>
      </c>
      <c r="U8" s="0" t="s">
        <v>599</v>
      </c>
      <c r="V8" s="0" t="s">
        <v>692</v>
      </c>
      <c r="W8" s="0" t="s">
        <v>1643</v>
      </c>
      <c r="X8" s="11" t="n">
        <v>46393</v>
      </c>
      <c r="Y8" s="10" t="s">
        <v>1644</v>
      </c>
      <c r="Z8" s="10" t="s">
        <v>507</v>
      </c>
      <c r="AA8" s="10" t="s">
        <v>1620</v>
      </c>
      <c r="AB8" s="11" t="n">
        <v>46387</v>
      </c>
      <c r="AD8" s="10" t="s">
        <v>1645</v>
      </c>
      <c r="AE8" s="10" t="s">
        <v>1463</v>
      </c>
      <c r="AF8" s="10" t="s">
        <v>1462</v>
      </c>
      <c r="AG8" s="10" t="s">
        <v>507</v>
      </c>
      <c r="AH8" s="10" t="s">
        <v>475</v>
      </c>
    </row>
    <row r="9" customFormat="false" ht="15" hidden="false" customHeight="false" outlineLevel="0" collapsed="false">
      <c r="A9" s="0" t="s">
        <v>1646</v>
      </c>
      <c r="B9" s="0" t="s">
        <v>254</v>
      </c>
      <c r="C9" s="0" t="s">
        <v>1565</v>
      </c>
      <c r="D9" s="0" t="s">
        <v>1566</v>
      </c>
      <c r="E9" s="0" t="s">
        <v>1422</v>
      </c>
      <c r="F9" s="0" t="s">
        <v>1567</v>
      </c>
      <c r="G9" s="0" t="s">
        <v>1568</v>
      </c>
      <c r="H9" s="0" t="s">
        <v>1569</v>
      </c>
      <c r="I9" s="0" t="s">
        <v>1570</v>
      </c>
      <c r="J9" s="0" t="n">
        <v>80</v>
      </c>
      <c r="K9" s="0" t="s">
        <v>1566</v>
      </c>
      <c r="L9" s="0" t="s">
        <v>1422</v>
      </c>
      <c r="M9" s="0" t="s">
        <v>486</v>
      </c>
      <c r="N9" s="0" t="s">
        <v>758</v>
      </c>
      <c r="O9" s="0" t="s">
        <v>1439</v>
      </c>
      <c r="P9" s="0" t="s">
        <v>496</v>
      </c>
      <c r="Q9" s="0" t="s">
        <v>1623</v>
      </c>
      <c r="R9" s="0" t="s">
        <v>1647</v>
      </c>
      <c r="T9" s="0" t="s">
        <v>1431</v>
      </c>
      <c r="U9" s="0" t="s">
        <v>338</v>
      </c>
      <c r="V9" s="0" t="s">
        <v>694</v>
      </c>
      <c r="W9" s="0" t="s">
        <v>1648</v>
      </c>
      <c r="X9" s="11" t="n">
        <v>46394</v>
      </c>
      <c r="Y9" s="10" t="s">
        <v>1649</v>
      </c>
      <c r="Z9" s="10" t="s">
        <v>507</v>
      </c>
      <c r="AA9" s="10" t="s">
        <v>1620</v>
      </c>
      <c r="AB9" s="11" t="n">
        <v>46388</v>
      </c>
      <c r="AD9" s="10" t="s">
        <v>1650</v>
      </c>
      <c r="AE9" s="10" t="s">
        <v>1568</v>
      </c>
      <c r="AF9" s="10" t="s">
        <v>1567</v>
      </c>
      <c r="AG9" s="10" t="s">
        <v>507</v>
      </c>
      <c r="AH9" s="10" t="s">
        <v>475</v>
      </c>
    </row>
    <row r="10" customFormat="false" ht="15" hidden="false" customHeight="false" outlineLevel="0" collapsed="false">
      <c r="A10" s="0" t="s">
        <v>1468</v>
      </c>
      <c r="B10" s="0" t="s">
        <v>1419</v>
      </c>
      <c r="C10" s="0" t="s">
        <v>1469</v>
      </c>
      <c r="D10" s="0" t="s">
        <v>1470</v>
      </c>
      <c r="E10" s="0" t="s">
        <v>1422</v>
      </c>
      <c r="F10" s="0" t="s">
        <v>1471</v>
      </c>
      <c r="G10" s="0" t="s">
        <v>1472</v>
      </c>
      <c r="H10" s="0" t="s">
        <v>1473</v>
      </c>
      <c r="I10" s="0" t="s">
        <v>1474</v>
      </c>
      <c r="J10" s="0" t="n">
        <v>220</v>
      </c>
      <c r="K10" s="0" t="s">
        <v>1470</v>
      </c>
      <c r="L10" s="0" t="s">
        <v>1422</v>
      </c>
      <c r="M10" s="0" t="s">
        <v>486</v>
      </c>
      <c r="N10" s="0" t="s">
        <v>758</v>
      </c>
      <c r="O10" s="0" t="s">
        <v>1449</v>
      </c>
      <c r="P10" s="0" t="s">
        <v>146</v>
      </c>
      <c r="Q10" s="0" t="s">
        <v>1429</v>
      </c>
      <c r="R10" s="0" t="s">
        <v>1475</v>
      </c>
      <c r="T10" s="0" t="s">
        <v>1431</v>
      </c>
      <c r="U10" s="0" t="s">
        <v>599</v>
      </c>
      <c r="V10" s="0" t="s">
        <v>696</v>
      </c>
      <c r="W10" s="0" t="s">
        <v>1651</v>
      </c>
      <c r="X10" s="11" t="n">
        <v>46395</v>
      </c>
      <c r="Y10" s="10" t="s">
        <v>1652</v>
      </c>
      <c r="Z10" s="10" t="s">
        <v>507</v>
      </c>
      <c r="AA10" s="10" t="s">
        <v>1620</v>
      </c>
      <c r="AB10" s="11" t="n">
        <v>46389</v>
      </c>
      <c r="AD10" s="10" t="s">
        <v>1653</v>
      </c>
      <c r="AE10" s="10" t="s">
        <v>1472</v>
      </c>
      <c r="AF10" s="10" t="s">
        <v>1471</v>
      </c>
      <c r="AG10" s="10" t="s">
        <v>507</v>
      </c>
      <c r="AH10" s="10" t="s">
        <v>475</v>
      </c>
    </row>
    <row r="11" customFormat="false" ht="15" hidden="false" customHeight="false" outlineLevel="0" collapsed="false">
      <c r="A11" s="0" t="s">
        <v>1654</v>
      </c>
      <c r="B11" s="0" t="s">
        <v>254</v>
      </c>
      <c r="C11" s="0" t="s">
        <v>1573</v>
      </c>
      <c r="D11" s="0" t="s">
        <v>1574</v>
      </c>
      <c r="E11" s="0" t="s">
        <v>1422</v>
      </c>
      <c r="F11" s="0" t="s">
        <v>1575</v>
      </c>
      <c r="G11" s="0" t="s">
        <v>1576</v>
      </c>
      <c r="H11" s="0" t="s">
        <v>1577</v>
      </c>
      <c r="I11" s="0" t="s">
        <v>1426</v>
      </c>
      <c r="J11" s="0" t="n">
        <v>45</v>
      </c>
      <c r="K11" s="0" t="s">
        <v>1574</v>
      </c>
      <c r="L11" s="0" t="s">
        <v>1422</v>
      </c>
      <c r="M11" s="0" t="s">
        <v>486</v>
      </c>
      <c r="N11" s="0" t="s">
        <v>1427</v>
      </c>
      <c r="O11" s="0" t="s">
        <v>1428</v>
      </c>
      <c r="P11" s="0" t="s">
        <v>146</v>
      </c>
      <c r="Q11" s="0" t="s">
        <v>1623</v>
      </c>
      <c r="R11" s="0" t="s">
        <v>1655</v>
      </c>
      <c r="T11" s="0" t="s">
        <v>1431</v>
      </c>
      <c r="U11" s="0" t="s">
        <v>338</v>
      </c>
      <c r="V11" s="0" t="s">
        <v>698</v>
      </c>
      <c r="W11" s="0" t="s">
        <v>1656</v>
      </c>
      <c r="X11" s="11" t="n">
        <v>46400</v>
      </c>
      <c r="Y11" s="10" t="s">
        <v>1657</v>
      </c>
      <c r="Z11" s="10" t="s">
        <v>507</v>
      </c>
      <c r="AA11" s="10" t="s">
        <v>1620</v>
      </c>
      <c r="AB11" s="11" t="n">
        <v>46394</v>
      </c>
      <c r="AD11" s="10" t="s">
        <v>1658</v>
      </c>
      <c r="AE11" s="10" t="s">
        <v>1576</v>
      </c>
      <c r="AF11" s="10" t="s">
        <v>1575</v>
      </c>
      <c r="AG11" s="10" t="s">
        <v>507</v>
      </c>
      <c r="AH11" s="10" t="s">
        <v>475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B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58" min="1" style="0" width="14"/>
  </cols>
  <sheetData>
    <row r="1" customFormat="false" ht="15" hidden="false" customHeight="false" outlineLevel="0" collapsed="false">
      <c r="A1" s="40" t="s">
        <v>1416</v>
      </c>
      <c r="B1" s="40" t="s">
        <v>1417</v>
      </c>
      <c r="C1" s="40" t="s">
        <v>411</v>
      </c>
      <c r="D1" s="40" t="s">
        <v>599</v>
      </c>
      <c r="E1" s="40" t="s">
        <v>601</v>
      </c>
      <c r="F1" s="40" t="s">
        <v>602</v>
      </c>
      <c r="G1" s="40" t="s">
        <v>603</v>
      </c>
      <c r="H1" s="40" t="s">
        <v>604</v>
      </c>
      <c r="I1" s="40" t="s">
        <v>365</v>
      </c>
      <c r="J1" s="40" t="s">
        <v>412</v>
      </c>
      <c r="K1" s="40" t="s">
        <v>600</v>
      </c>
      <c r="L1" s="40" t="s">
        <v>606</v>
      </c>
      <c r="M1" s="40" t="s">
        <v>605</v>
      </c>
      <c r="N1" s="40" t="s">
        <v>607</v>
      </c>
      <c r="O1" s="40" t="s">
        <v>1476</v>
      </c>
      <c r="P1" s="40" t="s">
        <v>1477</v>
      </c>
      <c r="Q1" s="40" t="s">
        <v>608</v>
      </c>
      <c r="R1" s="40" t="s">
        <v>609</v>
      </c>
      <c r="S1" s="40" t="s">
        <v>610</v>
      </c>
      <c r="T1" s="40" t="s">
        <v>611</v>
      </c>
      <c r="U1" s="40" t="s">
        <v>612</v>
      </c>
      <c r="V1" s="40" t="s">
        <v>613</v>
      </c>
      <c r="W1" s="40" t="s">
        <v>614</v>
      </c>
      <c r="X1" s="40" t="s">
        <v>615</v>
      </c>
      <c r="Y1" s="40" t="s">
        <v>616</v>
      </c>
      <c r="Z1" s="40" t="s">
        <v>305</v>
      </c>
      <c r="AA1" s="40" t="s">
        <v>823</v>
      </c>
      <c r="AB1" s="40" t="s">
        <v>359</v>
      </c>
      <c r="AC1" s="40" t="s">
        <v>668</v>
      </c>
      <c r="AD1" s="40" t="s">
        <v>100</v>
      </c>
      <c r="AE1" s="40" t="s">
        <v>414</v>
      </c>
      <c r="AF1" s="40" t="s">
        <v>1659</v>
      </c>
      <c r="AG1" s="40" t="s">
        <v>415</v>
      </c>
      <c r="AH1" s="40" t="s">
        <v>363</v>
      </c>
      <c r="AI1" s="40" t="s">
        <v>1363</v>
      </c>
      <c r="AJ1" s="40" t="s">
        <v>1660</v>
      </c>
      <c r="AK1" s="40" t="s">
        <v>1661</v>
      </c>
      <c r="AL1" s="40" t="s">
        <v>383</v>
      </c>
      <c r="AM1" s="40" t="s">
        <v>384</v>
      </c>
      <c r="AN1" s="40" t="s">
        <v>385</v>
      </c>
      <c r="AO1" s="40" t="s">
        <v>367</v>
      </c>
      <c r="AP1" s="40" t="s">
        <v>369</v>
      </c>
      <c r="AQ1" s="40" t="s">
        <v>376</v>
      </c>
      <c r="AR1" s="40" t="s">
        <v>377</v>
      </c>
      <c r="AS1" s="40" t="s">
        <v>379</v>
      </c>
      <c r="AT1" s="40" t="s">
        <v>380</v>
      </c>
      <c r="AU1" s="40" t="s">
        <v>1662</v>
      </c>
      <c r="AV1" s="40" t="s">
        <v>358</v>
      </c>
      <c r="AW1" s="40" t="s">
        <v>381</v>
      </c>
      <c r="AX1" s="40" t="s">
        <v>382</v>
      </c>
      <c r="AY1" s="40" t="s">
        <v>593</v>
      </c>
      <c r="AZ1" s="40" t="s">
        <v>594</v>
      </c>
      <c r="BA1" s="40" t="s">
        <v>595</v>
      </c>
      <c r="BB1" s="40" t="s">
        <v>364</v>
      </c>
      <c r="BC1" s="40" t="s">
        <v>598</v>
      </c>
      <c r="BD1" s="40" t="s">
        <v>370</v>
      </c>
      <c r="BE1" s="40" t="s">
        <v>368</v>
      </c>
      <c r="BF1" s="40" t="s">
        <v>378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DEDED"/>
    <pageSetUpPr fitToPage="false"/>
  </sheetPr>
  <dimension ref="A1:P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4"/>
    <col collapsed="false" customWidth="true" hidden="false" outlineLevel="0" max="3" min="3" style="0" width="8"/>
    <col collapsed="false" customWidth="true" hidden="false" outlineLevel="0" max="13" min="4" style="0" width="7"/>
    <col collapsed="false" customWidth="true" hidden="false" outlineLevel="0" max="14" min="14" style="0" width="14"/>
    <col collapsed="false" customWidth="true" hidden="false" outlineLevel="0" max="16" min="15" style="0" width="24"/>
  </cols>
  <sheetData>
    <row r="1" customFormat="false" ht="15" hidden="false" customHeight="false" outlineLevel="0" collapsed="false">
      <c r="A1" s="28" t="s">
        <v>358</v>
      </c>
      <c r="B1" s="28" t="s">
        <v>642</v>
      </c>
      <c r="C1" s="28" t="s">
        <v>436</v>
      </c>
      <c r="D1" s="28" t="s">
        <v>726</v>
      </c>
      <c r="E1" s="28" t="s">
        <v>440</v>
      </c>
      <c r="F1" s="28" t="s">
        <v>441</v>
      </c>
      <c r="G1" s="28" t="s">
        <v>442</v>
      </c>
      <c r="H1" s="28" t="s">
        <v>727</v>
      </c>
      <c r="I1" s="28" t="s">
        <v>728</v>
      </c>
      <c r="J1" s="28" t="s">
        <v>729</v>
      </c>
      <c r="K1" s="28" t="s">
        <v>730</v>
      </c>
      <c r="L1" s="28" t="s">
        <v>731</v>
      </c>
      <c r="M1" s="28" t="s">
        <v>147</v>
      </c>
      <c r="N1" s="28" t="s">
        <v>1663</v>
      </c>
      <c r="O1" s="28" t="s">
        <v>178</v>
      </c>
      <c r="P1" s="29" t="s">
        <v>176</v>
      </c>
    </row>
    <row r="2" customFormat="false" ht="15" hidden="false" customHeight="false" outlineLevel="0" collapsed="false">
      <c r="N2" s="11"/>
      <c r="P2" s="30" t="str">
        <f aca="false">IF($A2="","",$A2&amp;"|"&amp;$B2)</f>
        <v/>
      </c>
    </row>
    <row r="3" customFormat="false" ht="15" hidden="false" customHeight="false" outlineLevel="0" collapsed="false">
      <c r="N3" s="11"/>
      <c r="P3" s="30" t="str">
        <f aca="false">IF($A3="","",$A3&amp;"|"&amp;$B3)</f>
        <v/>
      </c>
    </row>
    <row r="4" customFormat="false" ht="15" hidden="false" customHeight="false" outlineLevel="0" collapsed="false">
      <c r="N4" s="11"/>
      <c r="P4" s="30" t="str">
        <f aca="false">IF($A4="","",$A4&amp;"|"&amp;$B4)</f>
        <v/>
      </c>
    </row>
    <row r="5" customFormat="false" ht="15" hidden="false" customHeight="false" outlineLevel="0" collapsed="false">
      <c r="N5" s="11"/>
      <c r="P5" s="30" t="str">
        <f aca="false">IF($A5="","",$A5&amp;"|"&amp;$B5)</f>
        <v/>
      </c>
    </row>
    <row r="6" customFormat="false" ht="15" hidden="false" customHeight="false" outlineLevel="0" collapsed="false">
      <c r="N6" s="11"/>
      <c r="P6" s="30" t="str">
        <f aca="false">IF($A6="","",$A6&amp;"|"&amp;$B6)</f>
        <v/>
      </c>
    </row>
    <row r="7" customFormat="false" ht="15" hidden="false" customHeight="false" outlineLevel="0" collapsed="false">
      <c r="N7" s="11"/>
      <c r="P7" s="30" t="str">
        <f aca="false">IF($A7="","",$A7&amp;"|"&amp;$B7)</f>
        <v/>
      </c>
    </row>
    <row r="8" customFormat="false" ht="15" hidden="false" customHeight="false" outlineLevel="0" collapsed="false">
      <c r="N8" s="11"/>
      <c r="P8" s="30" t="str">
        <f aca="false">IF($A8="","",$A8&amp;"|"&amp;$B8)</f>
        <v/>
      </c>
    </row>
    <row r="9" customFormat="false" ht="15" hidden="false" customHeight="false" outlineLevel="0" collapsed="false">
      <c r="N9" s="11"/>
      <c r="P9" s="30" t="str">
        <f aca="false">IF($A9="","",$A9&amp;"|"&amp;$B9)</f>
        <v/>
      </c>
    </row>
    <row r="10" customFormat="false" ht="15" hidden="false" customHeight="false" outlineLevel="0" collapsed="false">
      <c r="N10" s="11"/>
      <c r="P10" s="30" t="str">
        <f aca="false">IF($A10="","",$A10&amp;"|"&amp;$B10)</f>
        <v/>
      </c>
    </row>
    <row r="11" customFormat="false" ht="15" hidden="false" customHeight="false" outlineLevel="0" collapsed="false">
      <c r="N11" s="11"/>
      <c r="P11" s="30" t="str">
        <f aca="false">IF($A11="","",$A11&amp;"|"&amp;$B11)</f>
        <v/>
      </c>
    </row>
    <row r="12" customFormat="false" ht="15" hidden="false" customHeight="false" outlineLevel="0" collapsed="false">
      <c r="N12" s="11"/>
      <c r="P12" s="30" t="str">
        <f aca="false">IF($A12="","",$A12&amp;"|"&amp;$B12)</f>
        <v/>
      </c>
    </row>
    <row r="13" customFormat="false" ht="15" hidden="false" customHeight="false" outlineLevel="0" collapsed="false">
      <c r="N13" s="11"/>
      <c r="P13" s="30" t="str">
        <f aca="false">IF($A13="","",$A13&amp;"|"&amp;$B13)</f>
        <v/>
      </c>
    </row>
    <row r="14" customFormat="false" ht="15" hidden="false" customHeight="false" outlineLevel="0" collapsed="false">
      <c r="N14" s="11"/>
      <c r="P14" s="30" t="str">
        <f aca="false">IF($A14="","",$A14&amp;"|"&amp;$B14)</f>
        <v/>
      </c>
    </row>
    <row r="15" customFormat="false" ht="15" hidden="false" customHeight="false" outlineLevel="0" collapsed="false">
      <c r="N15" s="11"/>
      <c r="P15" s="30" t="str">
        <f aca="false">IF($A15="","",$A15&amp;"|"&amp;$B15)</f>
        <v/>
      </c>
    </row>
    <row r="16" customFormat="false" ht="15" hidden="false" customHeight="false" outlineLevel="0" collapsed="false">
      <c r="N16" s="11"/>
      <c r="P16" s="30" t="str">
        <f aca="false">IF($A16="","",$A16&amp;"|"&amp;$B16)</f>
        <v/>
      </c>
    </row>
    <row r="17" customFormat="false" ht="15" hidden="false" customHeight="false" outlineLevel="0" collapsed="false">
      <c r="N17" s="11"/>
      <c r="P17" s="30" t="str">
        <f aca="false">IF($A17="","",$A17&amp;"|"&amp;$B17)</f>
        <v/>
      </c>
    </row>
    <row r="18" customFormat="false" ht="15" hidden="false" customHeight="false" outlineLevel="0" collapsed="false">
      <c r="N18" s="11"/>
      <c r="P18" s="30" t="str">
        <f aca="false">IF($A18="","",$A18&amp;"|"&amp;$B18)</f>
        <v/>
      </c>
    </row>
    <row r="19" customFormat="false" ht="15" hidden="false" customHeight="false" outlineLevel="0" collapsed="false">
      <c r="N19" s="11"/>
      <c r="P19" s="30" t="str">
        <f aca="false">IF($A19="","",$A19&amp;"|"&amp;$B19)</f>
        <v/>
      </c>
    </row>
    <row r="20" customFormat="false" ht="15" hidden="false" customHeight="false" outlineLevel="0" collapsed="false">
      <c r="N20" s="11"/>
      <c r="P20" s="30" t="str">
        <f aca="false">IF($A20="","",$A20&amp;"|"&amp;$B20)</f>
        <v/>
      </c>
    </row>
    <row r="21" customFormat="false" ht="15" hidden="false" customHeight="false" outlineLevel="0" collapsed="false">
      <c r="N21" s="11"/>
      <c r="P21" s="30" t="str">
        <f aca="false">IF($A21="","",$A21&amp;"|"&amp;$B21)</f>
        <v/>
      </c>
    </row>
    <row r="22" customFormat="false" ht="15" hidden="false" customHeight="false" outlineLevel="0" collapsed="false">
      <c r="N22" s="11"/>
      <c r="P22" s="30" t="str">
        <f aca="false">IF($A22="","",$A22&amp;"|"&amp;$B22)</f>
        <v/>
      </c>
    </row>
    <row r="23" customFormat="false" ht="15" hidden="false" customHeight="false" outlineLevel="0" collapsed="false">
      <c r="N23" s="11"/>
      <c r="P23" s="30" t="str">
        <f aca="false">IF($A23="","",$A23&amp;"|"&amp;$B23)</f>
        <v/>
      </c>
    </row>
    <row r="24" customFormat="false" ht="15" hidden="false" customHeight="false" outlineLevel="0" collapsed="false">
      <c r="N24" s="11"/>
      <c r="P24" s="30" t="str">
        <f aca="false">IF($A24="","",$A24&amp;"|"&amp;$B24)</f>
        <v/>
      </c>
    </row>
    <row r="25" customFormat="false" ht="15" hidden="false" customHeight="false" outlineLevel="0" collapsed="false">
      <c r="N25" s="11"/>
      <c r="P25" s="30" t="str">
        <f aca="false">IF($A25="","",$A25&amp;"|"&amp;$B25)</f>
        <v/>
      </c>
    </row>
    <row r="26" customFormat="false" ht="15" hidden="false" customHeight="false" outlineLevel="0" collapsed="false">
      <c r="N26" s="11"/>
      <c r="P26" s="30" t="str">
        <f aca="false">IF($A26="","",$A26&amp;"|"&amp;$B26)</f>
        <v/>
      </c>
    </row>
    <row r="27" customFormat="false" ht="15" hidden="false" customHeight="false" outlineLevel="0" collapsed="false">
      <c r="N27" s="11"/>
      <c r="P27" s="30" t="str">
        <f aca="false">IF($A27="","",$A27&amp;"|"&amp;$B27)</f>
        <v/>
      </c>
    </row>
    <row r="28" customFormat="false" ht="15" hidden="false" customHeight="false" outlineLevel="0" collapsed="false">
      <c r="N28" s="11"/>
      <c r="P28" s="30" t="str">
        <f aca="false">IF($A28="","",$A28&amp;"|"&amp;$B28)</f>
        <v/>
      </c>
    </row>
    <row r="29" customFormat="false" ht="15" hidden="false" customHeight="false" outlineLevel="0" collapsed="false">
      <c r="N29" s="11"/>
      <c r="P29" s="30" t="str">
        <f aca="false">IF($A29="","",$A29&amp;"|"&amp;$B29)</f>
        <v/>
      </c>
    </row>
    <row r="30" customFormat="false" ht="15" hidden="false" customHeight="false" outlineLevel="0" collapsed="false">
      <c r="N30" s="11"/>
      <c r="P30" s="30" t="str">
        <f aca="false">IF($A30="","",$A30&amp;"|"&amp;$B30)</f>
        <v/>
      </c>
    </row>
    <row r="31" customFormat="false" ht="15" hidden="false" customHeight="false" outlineLevel="0" collapsed="false">
      <c r="N31" s="11"/>
      <c r="P31" s="30" t="str">
        <f aca="false">IF($A31="","",$A31&amp;"|"&amp;$B31)</f>
        <v/>
      </c>
    </row>
    <row r="32" customFormat="false" ht="15" hidden="false" customHeight="false" outlineLevel="0" collapsed="false">
      <c r="N32" s="11"/>
      <c r="P32" s="30" t="str">
        <f aca="false">IF($A32="","",$A32&amp;"|"&amp;$B32)</f>
        <v/>
      </c>
    </row>
    <row r="33" customFormat="false" ht="15" hidden="false" customHeight="false" outlineLevel="0" collapsed="false">
      <c r="N33" s="11"/>
      <c r="P33" s="30" t="str">
        <f aca="false">IF($A33="","",$A33&amp;"|"&amp;$B33)</f>
        <v/>
      </c>
    </row>
    <row r="34" customFormat="false" ht="15" hidden="false" customHeight="false" outlineLevel="0" collapsed="false">
      <c r="N34" s="11"/>
      <c r="P34" s="30" t="str">
        <f aca="false">IF($A34="","",$A34&amp;"|"&amp;$B34)</f>
        <v/>
      </c>
    </row>
    <row r="35" customFormat="false" ht="15" hidden="false" customHeight="false" outlineLevel="0" collapsed="false">
      <c r="N35" s="11"/>
      <c r="P35" s="30" t="str">
        <f aca="false">IF($A35="","",$A35&amp;"|"&amp;$B35)</f>
        <v/>
      </c>
    </row>
    <row r="36" customFormat="false" ht="15" hidden="false" customHeight="false" outlineLevel="0" collapsed="false">
      <c r="N36" s="11"/>
      <c r="P36" s="30" t="str">
        <f aca="false">IF($A36="","",$A36&amp;"|"&amp;$B36)</f>
        <v/>
      </c>
    </row>
    <row r="37" customFormat="false" ht="15" hidden="false" customHeight="false" outlineLevel="0" collapsed="false">
      <c r="N37" s="11"/>
      <c r="P37" s="30" t="str">
        <f aca="false">IF($A37="","",$A37&amp;"|"&amp;$B37)</f>
        <v/>
      </c>
    </row>
    <row r="38" customFormat="false" ht="15" hidden="false" customHeight="false" outlineLevel="0" collapsed="false">
      <c r="N38" s="11"/>
      <c r="P38" s="30" t="str">
        <f aca="false">IF($A38="","",$A38&amp;"|"&amp;$B38)</f>
        <v/>
      </c>
    </row>
    <row r="39" customFormat="false" ht="15" hidden="false" customHeight="false" outlineLevel="0" collapsed="false">
      <c r="N39" s="11"/>
      <c r="P39" s="30" t="str">
        <f aca="false">IF($A39="","",$A39&amp;"|"&amp;$B39)</f>
        <v/>
      </c>
    </row>
    <row r="40" customFormat="false" ht="15" hidden="false" customHeight="false" outlineLevel="0" collapsed="false">
      <c r="N40" s="11"/>
      <c r="P40" s="30" t="str">
        <f aca="false">IF($A40="","",$A40&amp;"|"&amp;$B40)</f>
        <v/>
      </c>
    </row>
    <row r="41" customFormat="false" ht="15" hidden="false" customHeight="false" outlineLevel="0" collapsed="false">
      <c r="N41" s="11"/>
      <c r="P41" s="30" t="str">
        <f aca="false">IF($A41="","",$A41&amp;"|"&amp;$B41)</f>
        <v/>
      </c>
    </row>
    <row r="42" customFormat="false" ht="15" hidden="false" customHeight="false" outlineLevel="0" collapsed="false">
      <c r="N42" s="11"/>
      <c r="P42" s="30" t="str">
        <f aca="false">IF($A42="","",$A42&amp;"|"&amp;$B42)</f>
        <v/>
      </c>
    </row>
    <row r="43" customFormat="false" ht="15" hidden="false" customHeight="false" outlineLevel="0" collapsed="false">
      <c r="N43" s="11"/>
      <c r="P43" s="30" t="str">
        <f aca="false">IF($A43="","",$A43&amp;"|"&amp;$B43)</f>
        <v/>
      </c>
    </row>
    <row r="44" customFormat="false" ht="15" hidden="false" customHeight="false" outlineLevel="0" collapsed="false">
      <c r="N44" s="11"/>
      <c r="P44" s="30" t="str">
        <f aca="false">IF($A44="","",$A44&amp;"|"&amp;$B44)</f>
        <v/>
      </c>
    </row>
    <row r="45" customFormat="false" ht="15" hidden="false" customHeight="false" outlineLevel="0" collapsed="false">
      <c r="N45" s="11"/>
      <c r="P45" s="30" t="str">
        <f aca="false">IF($A45="","",$A45&amp;"|"&amp;$B45)</f>
        <v/>
      </c>
    </row>
    <row r="46" customFormat="false" ht="15" hidden="false" customHeight="false" outlineLevel="0" collapsed="false">
      <c r="N46" s="11"/>
      <c r="P46" s="30" t="str">
        <f aca="false">IF($A46="","",$A46&amp;"|"&amp;$B46)</f>
        <v/>
      </c>
    </row>
    <row r="47" customFormat="false" ht="15" hidden="false" customHeight="false" outlineLevel="0" collapsed="false">
      <c r="N47" s="11"/>
      <c r="P47" s="30" t="str">
        <f aca="false">IF($A47="","",$A47&amp;"|"&amp;$B47)</f>
        <v/>
      </c>
    </row>
    <row r="48" customFormat="false" ht="15" hidden="false" customHeight="false" outlineLevel="0" collapsed="false">
      <c r="N48" s="11"/>
      <c r="P48" s="30" t="str">
        <f aca="false">IF($A48="","",$A48&amp;"|"&amp;$B48)</f>
        <v/>
      </c>
    </row>
    <row r="49" customFormat="false" ht="15" hidden="false" customHeight="false" outlineLevel="0" collapsed="false">
      <c r="N49" s="11"/>
      <c r="P49" s="30" t="str">
        <f aca="false">IF($A49="","",$A49&amp;"|"&amp;$B49)</f>
        <v/>
      </c>
    </row>
    <row r="50" customFormat="false" ht="15" hidden="false" customHeight="false" outlineLevel="0" collapsed="false">
      <c r="N50" s="11"/>
      <c r="P50" s="30" t="str">
        <f aca="false">IF($A50="","",$A50&amp;"|"&amp;$B50)</f>
        <v/>
      </c>
    </row>
    <row r="51" customFormat="false" ht="15" hidden="false" customHeight="false" outlineLevel="0" collapsed="false">
      <c r="N51" s="11"/>
      <c r="P51" s="30" t="str">
        <f aca="false">IF($A51="","",$A51&amp;"|"&amp;$B51)</f>
        <v/>
      </c>
    </row>
    <row r="52" customFormat="false" ht="15" hidden="false" customHeight="false" outlineLevel="0" collapsed="false">
      <c r="N52" s="11"/>
      <c r="P52" s="30" t="str">
        <f aca="false">IF($A52="","",$A52&amp;"|"&amp;$B52)</f>
        <v/>
      </c>
    </row>
    <row r="53" customFormat="false" ht="15" hidden="false" customHeight="false" outlineLevel="0" collapsed="false">
      <c r="N53" s="11"/>
      <c r="P53" s="30" t="str">
        <f aca="false">IF($A53="","",$A53&amp;"|"&amp;$B53)</f>
        <v/>
      </c>
    </row>
    <row r="54" customFormat="false" ht="15" hidden="false" customHeight="false" outlineLevel="0" collapsed="false">
      <c r="N54" s="11"/>
      <c r="P54" s="30" t="str">
        <f aca="false">IF($A54="","",$A54&amp;"|"&amp;$B54)</f>
        <v/>
      </c>
    </row>
    <row r="55" customFormat="false" ht="15" hidden="false" customHeight="false" outlineLevel="0" collapsed="false">
      <c r="N55" s="11"/>
      <c r="P55" s="30" t="str">
        <f aca="false">IF($A55="","",$A55&amp;"|"&amp;$B55)</f>
        <v/>
      </c>
    </row>
    <row r="56" customFormat="false" ht="15" hidden="false" customHeight="false" outlineLevel="0" collapsed="false">
      <c r="N56" s="11"/>
      <c r="P56" s="30" t="str">
        <f aca="false">IF($A56="","",$A56&amp;"|"&amp;$B56)</f>
        <v/>
      </c>
    </row>
    <row r="57" customFormat="false" ht="15" hidden="false" customHeight="false" outlineLevel="0" collapsed="false">
      <c r="N57" s="11"/>
      <c r="P57" s="30" t="str">
        <f aca="false">IF($A57="","",$A57&amp;"|"&amp;$B57)</f>
        <v/>
      </c>
    </row>
    <row r="58" customFormat="false" ht="15" hidden="false" customHeight="false" outlineLevel="0" collapsed="false">
      <c r="N58" s="11"/>
      <c r="P58" s="30" t="str">
        <f aca="false">IF($A58="","",$A58&amp;"|"&amp;$B58)</f>
        <v/>
      </c>
    </row>
    <row r="59" customFormat="false" ht="15" hidden="false" customHeight="false" outlineLevel="0" collapsed="false">
      <c r="N59" s="11"/>
      <c r="P59" s="30" t="str">
        <f aca="false">IF($A59="","",$A59&amp;"|"&amp;$B59)</f>
        <v/>
      </c>
    </row>
    <row r="60" customFormat="false" ht="15" hidden="false" customHeight="false" outlineLevel="0" collapsed="false">
      <c r="N60" s="11"/>
      <c r="P60" s="30" t="str">
        <f aca="false">IF($A60="","",$A60&amp;"|"&amp;$B60)</f>
        <v/>
      </c>
    </row>
    <row r="61" customFormat="false" ht="15" hidden="false" customHeight="false" outlineLevel="0" collapsed="false">
      <c r="N61" s="11"/>
      <c r="P61" s="30" t="str">
        <f aca="false">IF($A61="","",$A61&amp;"|"&amp;$B61)</f>
        <v/>
      </c>
    </row>
    <row r="62" customFormat="false" ht="15" hidden="false" customHeight="false" outlineLevel="0" collapsed="false">
      <c r="N62" s="11"/>
      <c r="P62" s="30" t="str">
        <f aca="false">IF($A62="","",$A62&amp;"|"&amp;$B62)</f>
        <v/>
      </c>
    </row>
    <row r="63" customFormat="false" ht="15" hidden="false" customHeight="false" outlineLevel="0" collapsed="false">
      <c r="N63" s="11"/>
      <c r="P63" s="30" t="str">
        <f aca="false">IF($A63="","",$A63&amp;"|"&amp;$B63)</f>
        <v/>
      </c>
    </row>
    <row r="64" customFormat="false" ht="15" hidden="false" customHeight="false" outlineLevel="0" collapsed="false">
      <c r="N64" s="11"/>
      <c r="P64" s="30" t="str">
        <f aca="false">IF($A64="","",$A64&amp;"|"&amp;$B64)</f>
        <v/>
      </c>
    </row>
    <row r="65" customFormat="false" ht="15" hidden="false" customHeight="false" outlineLevel="0" collapsed="false">
      <c r="N65" s="11"/>
      <c r="P65" s="30" t="str">
        <f aca="false">IF($A65="","",$A65&amp;"|"&amp;$B65)</f>
        <v/>
      </c>
    </row>
    <row r="66" customFormat="false" ht="15" hidden="false" customHeight="false" outlineLevel="0" collapsed="false">
      <c r="N66" s="11"/>
      <c r="P66" s="30" t="str">
        <f aca="false">IF($A66="","",$A66&amp;"|"&amp;$B66)</f>
        <v/>
      </c>
    </row>
    <row r="67" customFormat="false" ht="15" hidden="false" customHeight="false" outlineLevel="0" collapsed="false">
      <c r="N67" s="11"/>
      <c r="P67" s="30" t="str">
        <f aca="false">IF($A67="","",$A67&amp;"|"&amp;$B67)</f>
        <v/>
      </c>
    </row>
    <row r="68" customFormat="false" ht="15" hidden="false" customHeight="false" outlineLevel="0" collapsed="false">
      <c r="N68" s="11"/>
      <c r="P68" s="30" t="str">
        <f aca="false">IF($A68="","",$A68&amp;"|"&amp;$B68)</f>
        <v/>
      </c>
    </row>
    <row r="69" customFormat="false" ht="15" hidden="false" customHeight="false" outlineLevel="0" collapsed="false">
      <c r="N69" s="11"/>
      <c r="P69" s="30" t="str">
        <f aca="false">IF($A69="","",$A69&amp;"|"&amp;$B69)</f>
        <v/>
      </c>
    </row>
    <row r="70" customFormat="false" ht="15" hidden="false" customHeight="false" outlineLevel="0" collapsed="false">
      <c r="N70" s="11"/>
      <c r="P70" s="30" t="str">
        <f aca="false">IF($A70="","",$A70&amp;"|"&amp;$B70)</f>
        <v/>
      </c>
    </row>
    <row r="71" customFormat="false" ht="15" hidden="false" customHeight="false" outlineLevel="0" collapsed="false">
      <c r="N71" s="11"/>
      <c r="P71" s="30" t="str">
        <f aca="false">IF($A71="","",$A71&amp;"|"&amp;$B71)</f>
        <v/>
      </c>
    </row>
    <row r="72" customFormat="false" ht="15" hidden="false" customHeight="false" outlineLevel="0" collapsed="false">
      <c r="N72" s="11"/>
      <c r="P72" s="30" t="str">
        <f aca="false">IF($A72="","",$A72&amp;"|"&amp;$B72)</f>
        <v/>
      </c>
    </row>
    <row r="73" customFormat="false" ht="15" hidden="false" customHeight="false" outlineLevel="0" collapsed="false">
      <c r="N73" s="11"/>
      <c r="P73" s="30" t="str">
        <f aca="false">IF($A73="","",$A73&amp;"|"&amp;$B73)</f>
        <v/>
      </c>
    </row>
    <row r="74" customFormat="false" ht="15" hidden="false" customHeight="false" outlineLevel="0" collapsed="false">
      <c r="N74" s="11"/>
      <c r="P74" s="30" t="str">
        <f aca="false">IF($A74="","",$A74&amp;"|"&amp;$B74)</f>
        <v/>
      </c>
    </row>
    <row r="75" customFormat="false" ht="15" hidden="false" customHeight="false" outlineLevel="0" collapsed="false">
      <c r="N75" s="11"/>
      <c r="P75" s="30" t="str">
        <f aca="false">IF($A75="","",$A75&amp;"|"&amp;$B75)</f>
        <v/>
      </c>
    </row>
    <row r="76" customFormat="false" ht="15" hidden="false" customHeight="false" outlineLevel="0" collapsed="false">
      <c r="N76" s="11"/>
      <c r="P76" s="30" t="str">
        <f aca="false">IF($A76="","",$A76&amp;"|"&amp;$B76)</f>
        <v/>
      </c>
    </row>
    <row r="77" customFormat="false" ht="15" hidden="false" customHeight="false" outlineLevel="0" collapsed="false">
      <c r="N77" s="11"/>
      <c r="P77" s="30" t="str">
        <f aca="false">IF($A77="","",$A77&amp;"|"&amp;$B77)</f>
        <v/>
      </c>
    </row>
    <row r="78" customFormat="false" ht="15" hidden="false" customHeight="false" outlineLevel="0" collapsed="false">
      <c r="N78" s="11"/>
      <c r="P78" s="30" t="str">
        <f aca="false">IF($A78="","",$A78&amp;"|"&amp;$B78)</f>
        <v/>
      </c>
    </row>
    <row r="79" customFormat="false" ht="15" hidden="false" customHeight="false" outlineLevel="0" collapsed="false">
      <c r="N79" s="11"/>
      <c r="P79" s="30" t="str">
        <f aca="false">IF($A79="","",$A79&amp;"|"&amp;$B79)</f>
        <v/>
      </c>
    </row>
    <row r="80" customFormat="false" ht="15" hidden="false" customHeight="false" outlineLevel="0" collapsed="false">
      <c r="N80" s="11"/>
      <c r="P80" s="30" t="str">
        <f aca="false">IF($A80="","",$A80&amp;"|"&amp;$B80)</f>
        <v/>
      </c>
    </row>
    <row r="81" customFormat="false" ht="15" hidden="false" customHeight="false" outlineLevel="0" collapsed="false">
      <c r="N81" s="11"/>
      <c r="P81" s="30" t="str">
        <f aca="false">IF($A81="","",$A81&amp;"|"&amp;$B81)</f>
        <v/>
      </c>
    </row>
    <row r="82" customFormat="false" ht="15" hidden="false" customHeight="false" outlineLevel="0" collapsed="false">
      <c r="N82" s="11"/>
      <c r="P82" s="30" t="str">
        <f aca="false">IF($A82="","",$A82&amp;"|"&amp;$B82)</f>
        <v/>
      </c>
    </row>
    <row r="83" customFormat="false" ht="15" hidden="false" customHeight="false" outlineLevel="0" collapsed="false">
      <c r="N83" s="11"/>
      <c r="P83" s="30" t="str">
        <f aca="false">IF($A83="","",$A83&amp;"|"&amp;$B83)</f>
        <v/>
      </c>
    </row>
    <row r="84" customFormat="false" ht="15" hidden="false" customHeight="false" outlineLevel="0" collapsed="false">
      <c r="N84" s="11"/>
      <c r="P84" s="30" t="str">
        <f aca="false">IF($A84="","",$A84&amp;"|"&amp;$B84)</f>
        <v/>
      </c>
    </row>
    <row r="85" customFormat="false" ht="15" hidden="false" customHeight="false" outlineLevel="0" collapsed="false">
      <c r="N85" s="11"/>
      <c r="P85" s="30" t="str">
        <f aca="false">IF($A85="","",$A85&amp;"|"&amp;$B85)</f>
        <v/>
      </c>
    </row>
    <row r="86" customFormat="false" ht="15" hidden="false" customHeight="false" outlineLevel="0" collapsed="false">
      <c r="N86" s="11"/>
      <c r="P86" s="30" t="str">
        <f aca="false">IF($A86="","",$A86&amp;"|"&amp;$B86)</f>
        <v/>
      </c>
    </row>
    <row r="87" customFormat="false" ht="15" hidden="false" customHeight="false" outlineLevel="0" collapsed="false">
      <c r="N87" s="11"/>
      <c r="P87" s="30" t="str">
        <f aca="false">IF($A87="","",$A87&amp;"|"&amp;$B87)</f>
        <v/>
      </c>
    </row>
    <row r="88" customFormat="false" ht="15" hidden="false" customHeight="false" outlineLevel="0" collapsed="false">
      <c r="N88" s="11"/>
      <c r="P88" s="30" t="str">
        <f aca="false">IF($A88="","",$A88&amp;"|"&amp;$B88)</f>
        <v/>
      </c>
    </row>
    <row r="89" customFormat="false" ht="15" hidden="false" customHeight="false" outlineLevel="0" collapsed="false">
      <c r="N89" s="11"/>
      <c r="P89" s="30" t="str">
        <f aca="false">IF($A89="","",$A89&amp;"|"&amp;$B89)</f>
        <v/>
      </c>
    </row>
    <row r="90" customFormat="false" ht="15" hidden="false" customHeight="false" outlineLevel="0" collapsed="false">
      <c r="N90" s="11"/>
      <c r="P90" s="30" t="str">
        <f aca="false">IF($A90="","",$A90&amp;"|"&amp;$B90)</f>
        <v/>
      </c>
    </row>
    <row r="91" customFormat="false" ht="15" hidden="false" customHeight="false" outlineLevel="0" collapsed="false">
      <c r="N91" s="11"/>
      <c r="P91" s="30" t="str">
        <f aca="false">IF($A91="","",$A91&amp;"|"&amp;$B91)</f>
        <v/>
      </c>
    </row>
    <row r="92" customFormat="false" ht="15" hidden="false" customHeight="false" outlineLevel="0" collapsed="false">
      <c r="N92" s="11"/>
      <c r="P92" s="30" t="str">
        <f aca="false">IF($A92="","",$A92&amp;"|"&amp;$B92)</f>
        <v/>
      </c>
    </row>
    <row r="93" customFormat="false" ht="15" hidden="false" customHeight="false" outlineLevel="0" collapsed="false">
      <c r="N93" s="11"/>
      <c r="P93" s="30" t="str">
        <f aca="false">IF($A93="","",$A93&amp;"|"&amp;$B93)</f>
        <v/>
      </c>
    </row>
    <row r="94" customFormat="false" ht="15" hidden="false" customHeight="false" outlineLevel="0" collapsed="false">
      <c r="N94" s="11"/>
      <c r="P94" s="30" t="str">
        <f aca="false">IF($A94="","",$A94&amp;"|"&amp;$B94)</f>
        <v/>
      </c>
    </row>
    <row r="95" customFormat="false" ht="15" hidden="false" customHeight="false" outlineLevel="0" collapsed="false">
      <c r="N95" s="11"/>
      <c r="P95" s="30" t="str">
        <f aca="false">IF($A95="","",$A95&amp;"|"&amp;$B95)</f>
        <v/>
      </c>
    </row>
    <row r="96" customFormat="false" ht="15" hidden="false" customHeight="false" outlineLevel="0" collapsed="false">
      <c r="N96" s="11"/>
      <c r="P96" s="30" t="str">
        <f aca="false">IF($A96="","",$A96&amp;"|"&amp;$B96)</f>
        <v/>
      </c>
    </row>
    <row r="97" customFormat="false" ht="15" hidden="false" customHeight="false" outlineLevel="0" collapsed="false">
      <c r="N97" s="11"/>
      <c r="P97" s="30" t="str">
        <f aca="false">IF($A97="","",$A97&amp;"|"&amp;$B97)</f>
        <v/>
      </c>
    </row>
    <row r="98" customFormat="false" ht="15" hidden="false" customHeight="false" outlineLevel="0" collapsed="false">
      <c r="N98" s="11"/>
      <c r="P98" s="30" t="str">
        <f aca="false">IF($A98="","",$A98&amp;"|"&amp;$B98)</f>
        <v/>
      </c>
    </row>
    <row r="99" customFormat="false" ht="15" hidden="false" customHeight="false" outlineLevel="0" collapsed="false">
      <c r="N99" s="11"/>
      <c r="P99" s="30" t="str">
        <f aca="false">IF($A99="","",$A99&amp;"|"&amp;$B99)</f>
        <v/>
      </c>
    </row>
    <row r="100" customFormat="false" ht="15" hidden="false" customHeight="false" outlineLevel="0" collapsed="false">
      <c r="N100" s="11"/>
      <c r="P100" s="30" t="str">
        <f aca="false">IF($A100="","",$A100&amp;"|"&amp;$B100)</f>
        <v/>
      </c>
    </row>
    <row r="101" customFormat="false" ht="15" hidden="false" customHeight="false" outlineLevel="0" collapsed="false">
      <c r="N101" s="11"/>
      <c r="P101" s="30" t="str">
        <f aca="false">IF($A101="","",$A101&amp;"|"&amp;$B101)</f>
        <v/>
      </c>
    </row>
    <row r="102" customFormat="false" ht="15" hidden="false" customHeight="false" outlineLevel="0" collapsed="false">
      <c r="N102" s="11"/>
      <c r="P102" s="30" t="str">
        <f aca="false">IF($A102="","",$A102&amp;"|"&amp;$B102)</f>
        <v/>
      </c>
    </row>
    <row r="103" customFormat="false" ht="15" hidden="false" customHeight="false" outlineLevel="0" collapsed="false">
      <c r="N103" s="11"/>
      <c r="P103" s="30" t="str">
        <f aca="false">IF($A103="","",$A103&amp;"|"&amp;$B103)</f>
        <v/>
      </c>
    </row>
    <row r="104" customFormat="false" ht="15" hidden="false" customHeight="false" outlineLevel="0" collapsed="false">
      <c r="N104" s="11"/>
      <c r="P104" s="30" t="str">
        <f aca="false">IF($A104="","",$A104&amp;"|"&amp;$B104)</f>
        <v/>
      </c>
    </row>
    <row r="105" customFormat="false" ht="15" hidden="false" customHeight="false" outlineLevel="0" collapsed="false">
      <c r="N105" s="11"/>
      <c r="P105" s="30" t="str">
        <f aca="false">IF($A105="","",$A105&amp;"|"&amp;$B105)</f>
        <v/>
      </c>
    </row>
    <row r="106" customFormat="false" ht="15" hidden="false" customHeight="false" outlineLevel="0" collapsed="false">
      <c r="N106" s="11"/>
      <c r="P106" s="30" t="str">
        <f aca="false">IF($A106="","",$A106&amp;"|"&amp;$B106)</f>
        <v/>
      </c>
    </row>
    <row r="107" customFormat="false" ht="15" hidden="false" customHeight="false" outlineLevel="0" collapsed="false">
      <c r="N107" s="11"/>
      <c r="P107" s="30" t="str">
        <f aca="false">IF($A107="","",$A107&amp;"|"&amp;$B107)</f>
        <v/>
      </c>
    </row>
    <row r="108" customFormat="false" ht="15" hidden="false" customHeight="false" outlineLevel="0" collapsed="false">
      <c r="N108" s="11"/>
      <c r="P108" s="30" t="str">
        <f aca="false">IF($A108="","",$A108&amp;"|"&amp;$B108)</f>
        <v/>
      </c>
    </row>
    <row r="109" customFormat="false" ht="15" hidden="false" customHeight="false" outlineLevel="0" collapsed="false">
      <c r="N109" s="11"/>
      <c r="P109" s="30" t="str">
        <f aca="false">IF($A109="","",$A109&amp;"|"&amp;$B109)</f>
        <v/>
      </c>
    </row>
    <row r="110" customFormat="false" ht="15" hidden="false" customHeight="false" outlineLevel="0" collapsed="false">
      <c r="N110" s="11"/>
      <c r="P110" s="30" t="str">
        <f aca="false">IF($A110="","",$A110&amp;"|"&amp;$B110)</f>
        <v/>
      </c>
    </row>
    <row r="111" customFormat="false" ht="15" hidden="false" customHeight="false" outlineLevel="0" collapsed="false">
      <c r="N111" s="11"/>
      <c r="P111" s="30" t="str">
        <f aca="false">IF($A111="","",$A111&amp;"|"&amp;$B111)</f>
        <v/>
      </c>
    </row>
    <row r="112" customFormat="false" ht="15" hidden="false" customHeight="false" outlineLevel="0" collapsed="false">
      <c r="N112" s="11"/>
      <c r="P112" s="30" t="str">
        <f aca="false">IF($A112="","",$A112&amp;"|"&amp;$B112)</f>
        <v/>
      </c>
    </row>
    <row r="113" customFormat="false" ht="15" hidden="false" customHeight="false" outlineLevel="0" collapsed="false">
      <c r="N113" s="11"/>
      <c r="P113" s="30" t="str">
        <f aca="false">IF($A113="","",$A113&amp;"|"&amp;$B113)</f>
        <v/>
      </c>
    </row>
    <row r="114" customFormat="false" ht="15" hidden="false" customHeight="false" outlineLevel="0" collapsed="false">
      <c r="N114" s="11"/>
      <c r="P114" s="30" t="str">
        <f aca="false">IF($A114="","",$A114&amp;"|"&amp;$B114)</f>
        <v/>
      </c>
    </row>
    <row r="115" customFormat="false" ht="15" hidden="false" customHeight="false" outlineLevel="0" collapsed="false">
      <c r="N115" s="11"/>
      <c r="P115" s="30" t="str">
        <f aca="false">IF($A115="","",$A115&amp;"|"&amp;$B115)</f>
        <v/>
      </c>
    </row>
    <row r="116" customFormat="false" ht="15" hidden="false" customHeight="false" outlineLevel="0" collapsed="false">
      <c r="N116" s="11"/>
      <c r="P116" s="30" t="str">
        <f aca="false">IF($A116="","",$A116&amp;"|"&amp;$B116)</f>
        <v/>
      </c>
    </row>
    <row r="117" customFormat="false" ht="15" hidden="false" customHeight="false" outlineLevel="0" collapsed="false">
      <c r="N117" s="11"/>
      <c r="P117" s="30" t="str">
        <f aca="false">IF($A117="","",$A117&amp;"|"&amp;$B117)</f>
        <v/>
      </c>
    </row>
    <row r="118" customFormat="false" ht="15" hidden="false" customHeight="false" outlineLevel="0" collapsed="false">
      <c r="N118" s="11"/>
      <c r="P118" s="30" t="str">
        <f aca="false">IF($A118="","",$A118&amp;"|"&amp;$B118)</f>
        <v/>
      </c>
    </row>
    <row r="119" customFormat="false" ht="15" hidden="false" customHeight="false" outlineLevel="0" collapsed="false">
      <c r="N119" s="11"/>
      <c r="P119" s="30" t="str">
        <f aca="false">IF($A119="","",$A119&amp;"|"&amp;$B119)</f>
        <v/>
      </c>
    </row>
    <row r="120" customFormat="false" ht="15" hidden="false" customHeight="false" outlineLevel="0" collapsed="false">
      <c r="N120" s="11"/>
      <c r="P120" s="30" t="str">
        <f aca="false">IF($A120="","",$A120&amp;"|"&amp;$B120)</f>
        <v/>
      </c>
    </row>
    <row r="121" customFormat="false" ht="15" hidden="false" customHeight="false" outlineLevel="0" collapsed="false">
      <c r="N121" s="11"/>
      <c r="P121" s="30" t="str">
        <f aca="false">IF($A121="","",$A121&amp;"|"&amp;$B121)</f>
        <v/>
      </c>
    </row>
    <row r="122" customFormat="false" ht="15" hidden="false" customHeight="false" outlineLevel="0" collapsed="false">
      <c r="N122" s="11"/>
      <c r="P122" s="30" t="str">
        <f aca="false">IF($A122="","",$A122&amp;"|"&amp;$B122)</f>
        <v/>
      </c>
    </row>
    <row r="123" customFormat="false" ht="15" hidden="false" customHeight="false" outlineLevel="0" collapsed="false">
      <c r="N123" s="11"/>
      <c r="P123" s="30" t="str">
        <f aca="false">IF($A123="","",$A123&amp;"|"&amp;$B123)</f>
        <v/>
      </c>
    </row>
    <row r="124" customFormat="false" ht="15" hidden="false" customHeight="false" outlineLevel="0" collapsed="false">
      <c r="N124" s="11"/>
      <c r="P124" s="30" t="str">
        <f aca="false">IF($A124="","",$A124&amp;"|"&amp;$B124)</f>
        <v/>
      </c>
    </row>
    <row r="125" customFormat="false" ht="15" hidden="false" customHeight="false" outlineLevel="0" collapsed="false">
      <c r="N125" s="11"/>
      <c r="P125" s="30" t="str">
        <f aca="false">IF($A125="","",$A125&amp;"|"&amp;$B125)</f>
        <v/>
      </c>
    </row>
    <row r="126" customFormat="false" ht="15" hidden="false" customHeight="false" outlineLevel="0" collapsed="false">
      <c r="N126" s="11"/>
      <c r="P126" s="30" t="str">
        <f aca="false">IF($A126="","",$A126&amp;"|"&amp;$B126)</f>
        <v/>
      </c>
    </row>
    <row r="127" customFormat="false" ht="15" hidden="false" customHeight="false" outlineLevel="0" collapsed="false">
      <c r="N127" s="11"/>
      <c r="P127" s="30" t="str">
        <f aca="false">IF($A127="","",$A127&amp;"|"&amp;$B127)</f>
        <v/>
      </c>
    </row>
    <row r="128" customFormat="false" ht="15" hidden="false" customHeight="false" outlineLevel="0" collapsed="false">
      <c r="N128" s="11"/>
      <c r="P128" s="30" t="str">
        <f aca="false">IF($A128="","",$A128&amp;"|"&amp;$B128)</f>
        <v/>
      </c>
    </row>
    <row r="129" customFormat="false" ht="15" hidden="false" customHeight="false" outlineLevel="0" collapsed="false">
      <c r="N129" s="11"/>
      <c r="P129" s="30" t="str">
        <f aca="false">IF($A129="","",$A129&amp;"|"&amp;$B129)</f>
        <v/>
      </c>
    </row>
    <row r="130" customFormat="false" ht="15" hidden="false" customHeight="false" outlineLevel="0" collapsed="false">
      <c r="N130" s="11"/>
      <c r="P130" s="30" t="str">
        <f aca="false">IF($A130="","",$A130&amp;"|"&amp;$B130)</f>
        <v/>
      </c>
    </row>
    <row r="131" customFormat="false" ht="15" hidden="false" customHeight="false" outlineLevel="0" collapsed="false">
      <c r="N131" s="11"/>
      <c r="P131" s="30" t="str">
        <f aca="false">IF($A131="","",$A131&amp;"|"&amp;$B131)</f>
        <v/>
      </c>
    </row>
    <row r="132" customFormat="false" ht="15" hidden="false" customHeight="false" outlineLevel="0" collapsed="false">
      <c r="N132" s="11"/>
      <c r="P132" s="30" t="str">
        <f aca="false">IF($A132="","",$A132&amp;"|"&amp;$B132)</f>
        <v/>
      </c>
    </row>
    <row r="133" customFormat="false" ht="15" hidden="false" customHeight="false" outlineLevel="0" collapsed="false">
      <c r="N133" s="11"/>
      <c r="P133" s="30" t="str">
        <f aca="false">IF($A133="","",$A133&amp;"|"&amp;$B133)</f>
        <v/>
      </c>
    </row>
    <row r="134" customFormat="false" ht="15" hidden="false" customHeight="false" outlineLevel="0" collapsed="false">
      <c r="N134" s="11"/>
      <c r="P134" s="30" t="str">
        <f aca="false">IF($A134="","",$A134&amp;"|"&amp;$B134)</f>
        <v/>
      </c>
    </row>
    <row r="135" customFormat="false" ht="15" hidden="false" customHeight="false" outlineLevel="0" collapsed="false">
      <c r="N135" s="11"/>
      <c r="P135" s="30" t="str">
        <f aca="false">IF($A135="","",$A135&amp;"|"&amp;$B135)</f>
        <v/>
      </c>
    </row>
    <row r="136" customFormat="false" ht="15" hidden="false" customHeight="false" outlineLevel="0" collapsed="false">
      <c r="N136" s="11"/>
      <c r="P136" s="30" t="str">
        <f aca="false">IF($A136="","",$A136&amp;"|"&amp;$B136)</f>
        <v/>
      </c>
    </row>
    <row r="137" customFormat="false" ht="15" hidden="false" customHeight="false" outlineLevel="0" collapsed="false">
      <c r="N137" s="11"/>
      <c r="P137" s="30" t="str">
        <f aca="false">IF($A137="","",$A137&amp;"|"&amp;$B137)</f>
        <v/>
      </c>
    </row>
    <row r="138" customFormat="false" ht="15" hidden="false" customHeight="false" outlineLevel="0" collapsed="false">
      <c r="N138" s="11"/>
      <c r="P138" s="30" t="str">
        <f aca="false">IF($A138="","",$A138&amp;"|"&amp;$B138)</f>
        <v/>
      </c>
    </row>
    <row r="139" customFormat="false" ht="15" hidden="false" customHeight="false" outlineLevel="0" collapsed="false">
      <c r="N139" s="11"/>
      <c r="P139" s="30" t="str">
        <f aca="false">IF($A139="","",$A139&amp;"|"&amp;$B139)</f>
        <v/>
      </c>
    </row>
    <row r="140" customFormat="false" ht="15" hidden="false" customHeight="false" outlineLevel="0" collapsed="false">
      <c r="N140" s="11"/>
      <c r="P140" s="30" t="str">
        <f aca="false">IF($A140="","",$A140&amp;"|"&amp;$B140)</f>
        <v/>
      </c>
    </row>
    <row r="141" customFormat="false" ht="15" hidden="false" customHeight="false" outlineLevel="0" collapsed="false">
      <c r="N141" s="11"/>
      <c r="P141" s="30" t="str">
        <f aca="false">IF($A141="","",$A141&amp;"|"&amp;$B141)</f>
        <v/>
      </c>
    </row>
    <row r="142" customFormat="false" ht="15" hidden="false" customHeight="false" outlineLevel="0" collapsed="false">
      <c r="N142" s="11"/>
      <c r="P142" s="30" t="str">
        <f aca="false">IF($A142="","",$A142&amp;"|"&amp;$B142)</f>
        <v/>
      </c>
    </row>
    <row r="143" customFormat="false" ht="15" hidden="false" customHeight="false" outlineLevel="0" collapsed="false">
      <c r="N143" s="11"/>
      <c r="P143" s="30" t="str">
        <f aca="false">IF($A143="","",$A143&amp;"|"&amp;$B143)</f>
        <v/>
      </c>
    </row>
    <row r="144" customFormat="false" ht="15" hidden="false" customHeight="false" outlineLevel="0" collapsed="false">
      <c r="N144" s="11"/>
      <c r="P144" s="30" t="str">
        <f aca="false">IF($A144="","",$A144&amp;"|"&amp;$B144)</f>
        <v/>
      </c>
    </row>
    <row r="145" customFormat="false" ht="15" hidden="false" customHeight="false" outlineLevel="0" collapsed="false">
      <c r="N145" s="11"/>
      <c r="P145" s="30" t="str">
        <f aca="false">IF($A145="","",$A145&amp;"|"&amp;$B145)</f>
        <v/>
      </c>
    </row>
    <row r="146" customFormat="false" ht="15" hidden="false" customHeight="false" outlineLevel="0" collapsed="false">
      <c r="N146" s="11"/>
      <c r="P146" s="30" t="str">
        <f aca="false">IF($A146="","",$A146&amp;"|"&amp;$B146)</f>
        <v/>
      </c>
    </row>
    <row r="147" customFormat="false" ht="15" hidden="false" customHeight="false" outlineLevel="0" collapsed="false">
      <c r="N147" s="11"/>
      <c r="P147" s="30" t="str">
        <f aca="false">IF($A147="","",$A147&amp;"|"&amp;$B147)</f>
        <v/>
      </c>
    </row>
    <row r="148" customFormat="false" ht="15" hidden="false" customHeight="false" outlineLevel="0" collapsed="false">
      <c r="N148" s="11"/>
      <c r="P148" s="30" t="str">
        <f aca="false">IF($A148="","",$A148&amp;"|"&amp;$B148)</f>
        <v/>
      </c>
    </row>
    <row r="149" customFormat="false" ht="15" hidden="false" customHeight="false" outlineLevel="0" collapsed="false">
      <c r="N149" s="11"/>
      <c r="P149" s="30" t="str">
        <f aca="false">IF($A149="","",$A149&amp;"|"&amp;$B149)</f>
        <v/>
      </c>
    </row>
    <row r="150" customFormat="false" ht="15" hidden="false" customHeight="false" outlineLevel="0" collapsed="false">
      <c r="N150" s="11"/>
      <c r="P150" s="30" t="str">
        <f aca="false">IF($A150="","",$A150&amp;"|"&amp;$B150)</f>
        <v/>
      </c>
    </row>
    <row r="151" customFormat="false" ht="15" hidden="false" customHeight="false" outlineLevel="0" collapsed="false">
      <c r="N151" s="11"/>
      <c r="P151" s="30" t="str">
        <f aca="false">IF($A151="","",$A151&amp;"|"&amp;$B151)</f>
        <v/>
      </c>
    </row>
    <row r="152" customFormat="false" ht="15" hidden="false" customHeight="false" outlineLevel="0" collapsed="false">
      <c r="N152" s="11"/>
      <c r="P152" s="30" t="str">
        <f aca="false">IF($A152="","",$A152&amp;"|"&amp;$B152)</f>
        <v/>
      </c>
    </row>
    <row r="153" customFormat="false" ht="15" hidden="false" customHeight="false" outlineLevel="0" collapsed="false">
      <c r="N153" s="11"/>
      <c r="P153" s="30" t="str">
        <f aca="false">IF($A153="","",$A153&amp;"|"&amp;$B153)</f>
        <v/>
      </c>
    </row>
    <row r="154" customFormat="false" ht="15" hidden="false" customHeight="false" outlineLevel="0" collapsed="false">
      <c r="N154" s="11"/>
      <c r="P154" s="30" t="str">
        <f aca="false">IF($A154="","",$A154&amp;"|"&amp;$B154)</f>
        <v/>
      </c>
    </row>
    <row r="155" customFormat="false" ht="15" hidden="false" customHeight="false" outlineLevel="0" collapsed="false">
      <c r="N155" s="11"/>
      <c r="P155" s="30" t="str">
        <f aca="false">IF($A155="","",$A155&amp;"|"&amp;$B155)</f>
        <v/>
      </c>
    </row>
    <row r="156" customFormat="false" ht="15" hidden="false" customHeight="false" outlineLevel="0" collapsed="false">
      <c r="N156" s="11"/>
      <c r="P156" s="30" t="str">
        <f aca="false">IF($A156="","",$A156&amp;"|"&amp;$B156)</f>
        <v/>
      </c>
    </row>
    <row r="157" customFormat="false" ht="15" hidden="false" customHeight="false" outlineLevel="0" collapsed="false">
      <c r="N157" s="11"/>
      <c r="P157" s="30" t="str">
        <f aca="false">IF($A157="","",$A157&amp;"|"&amp;$B157)</f>
        <v/>
      </c>
    </row>
    <row r="158" customFormat="false" ht="15" hidden="false" customHeight="false" outlineLevel="0" collapsed="false">
      <c r="N158" s="11"/>
      <c r="P158" s="30" t="str">
        <f aca="false">IF($A158="","",$A158&amp;"|"&amp;$B158)</f>
        <v/>
      </c>
    </row>
    <row r="159" customFormat="false" ht="15" hidden="false" customHeight="false" outlineLevel="0" collapsed="false">
      <c r="N159" s="11"/>
      <c r="P159" s="30" t="str">
        <f aca="false">IF($A159="","",$A159&amp;"|"&amp;$B159)</f>
        <v/>
      </c>
    </row>
    <row r="160" customFormat="false" ht="15" hidden="false" customHeight="false" outlineLevel="0" collapsed="false">
      <c r="N160" s="11"/>
      <c r="P160" s="30" t="str">
        <f aca="false">IF($A160="","",$A160&amp;"|"&amp;$B160)</f>
        <v/>
      </c>
    </row>
    <row r="161" customFormat="false" ht="15" hidden="false" customHeight="false" outlineLevel="0" collapsed="false">
      <c r="N161" s="11"/>
      <c r="P161" s="30" t="str">
        <f aca="false">IF($A161="","",$A161&amp;"|"&amp;$B161)</f>
        <v/>
      </c>
    </row>
    <row r="162" customFormat="false" ht="15" hidden="false" customHeight="false" outlineLevel="0" collapsed="false">
      <c r="N162" s="11"/>
      <c r="P162" s="30" t="str">
        <f aca="false">IF($A162="","",$A162&amp;"|"&amp;$B162)</f>
        <v/>
      </c>
    </row>
    <row r="163" customFormat="false" ht="15" hidden="false" customHeight="false" outlineLevel="0" collapsed="false">
      <c r="N163" s="11"/>
      <c r="P163" s="30" t="str">
        <f aca="false">IF($A163="","",$A163&amp;"|"&amp;$B163)</f>
        <v/>
      </c>
    </row>
    <row r="164" customFormat="false" ht="15" hidden="false" customHeight="false" outlineLevel="0" collapsed="false">
      <c r="N164" s="11"/>
      <c r="P164" s="30" t="str">
        <f aca="false">IF($A164="","",$A164&amp;"|"&amp;$B164)</f>
        <v/>
      </c>
    </row>
    <row r="165" customFormat="false" ht="15" hidden="false" customHeight="false" outlineLevel="0" collapsed="false">
      <c r="N165" s="11"/>
      <c r="P165" s="30" t="str">
        <f aca="false">IF($A165="","",$A165&amp;"|"&amp;$B165)</f>
        <v/>
      </c>
    </row>
    <row r="166" customFormat="false" ht="15" hidden="false" customHeight="false" outlineLevel="0" collapsed="false">
      <c r="N166" s="11"/>
      <c r="P166" s="30" t="str">
        <f aca="false">IF($A166="","",$A166&amp;"|"&amp;$B166)</f>
        <v/>
      </c>
    </row>
    <row r="167" customFormat="false" ht="15" hidden="false" customHeight="false" outlineLevel="0" collapsed="false">
      <c r="N167" s="11"/>
      <c r="P167" s="30" t="str">
        <f aca="false">IF($A167="","",$A167&amp;"|"&amp;$B167)</f>
        <v/>
      </c>
    </row>
    <row r="168" customFormat="false" ht="15" hidden="false" customHeight="false" outlineLevel="0" collapsed="false">
      <c r="N168" s="11"/>
      <c r="P168" s="30" t="str">
        <f aca="false">IF($A168="","",$A168&amp;"|"&amp;$B168)</f>
        <v/>
      </c>
    </row>
    <row r="169" customFormat="false" ht="15" hidden="false" customHeight="false" outlineLevel="0" collapsed="false">
      <c r="N169" s="11"/>
      <c r="P169" s="30" t="str">
        <f aca="false">IF($A169="","",$A169&amp;"|"&amp;$B169)</f>
        <v/>
      </c>
    </row>
    <row r="170" customFormat="false" ht="15" hidden="false" customHeight="false" outlineLevel="0" collapsed="false">
      <c r="N170" s="11"/>
      <c r="P170" s="30" t="str">
        <f aca="false">IF($A170="","",$A170&amp;"|"&amp;$B170)</f>
        <v/>
      </c>
    </row>
    <row r="171" customFormat="false" ht="15" hidden="false" customHeight="false" outlineLevel="0" collapsed="false">
      <c r="N171" s="11"/>
      <c r="P171" s="30" t="str">
        <f aca="false">IF($A171="","",$A171&amp;"|"&amp;$B171)</f>
        <v/>
      </c>
    </row>
    <row r="172" customFormat="false" ht="15" hidden="false" customHeight="false" outlineLevel="0" collapsed="false">
      <c r="N172" s="11"/>
      <c r="P172" s="30" t="str">
        <f aca="false">IF($A172="","",$A172&amp;"|"&amp;$B172)</f>
        <v/>
      </c>
    </row>
    <row r="173" customFormat="false" ht="15" hidden="false" customHeight="false" outlineLevel="0" collapsed="false">
      <c r="N173" s="11"/>
      <c r="P173" s="30" t="str">
        <f aca="false">IF($A173="","",$A173&amp;"|"&amp;$B173)</f>
        <v/>
      </c>
    </row>
    <row r="174" customFormat="false" ht="15" hidden="false" customHeight="false" outlineLevel="0" collapsed="false">
      <c r="N174" s="11"/>
      <c r="P174" s="30" t="str">
        <f aca="false">IF($A174="","",$A174&amp;"|"&amp;$B174)</f>
        <v/>
      </c>
    </row>
    <row r="175" customFormat="false" ht="15" hidden="false" customHeight="false" outlineLevel="0" collapsed="false">
      <c r="N175" s="11"/>
      <c r="P175" s="30" t="str">
        <f aca="false">IF($A175="","",$A175&amp;"|"&amp;$B175)</f>
        <v/>
      </c>
    </row>
    <row r="176" customFormat="false" ht="15" hidden="false" customHeight="false" outlineLevel="0" collapsed="false">
      <c r="N176" s="11"/>
      <c r="P176" s="30" t="str">
        <f aca="false">IF($A176="","",$A176&amp;"|"&amp;$B176)</f>
        <v/>
      </c>
    </row>
    <row r="177" customFormat="false" ht="15" hidden="false" customHeight="false" outlineLevel="0" collapsed="false">
      <c r="N177" s="11"/>
      <c r="P177" s="30" t="str">
        <f aca="false">IF($A177="","",$A177&amp;"|"&amp;$B177)</f>
        <v/>
      </c>
    </row>
    <row r="178" customFormat="false" ht="15" hidden="false" customHeight="false" outlineLevel="0" collapsed="false">
      <c r="N178" s="11"/>
      <c r="P178" s="30" t="str">
        <f aca="false">IF($A178="","",$A178&amp;"|"&amp;$B178)</f>
        <v/>
      </c>
    </row>
    <row r="179" customFormat="false" ht="15" hidden="false" customHeight="false" outlineLevel="0" collapsed="false">
      <c r="N179" s="11"/>
      <c r="P179" s="30" t="str">
        <f aca="false">IF($A179="","",$A179&amp;"|"&amp;$B179)</f>
        <v/>
      </c>
    </row>
    <row r="180" customFormat="false" ht="15" hidden="false" customHeight="false" outlineLevel="0" collapsed="false">
      <c r="N180" s="11"/>
      <c r="P180" s="30" t="str">
        <f aca="false">IF($A180="","",$A180&amp;"|"&amp;$B180)</f>
        <v/>
      </c>
    </row>
    <row r="181" customFormat="false" ht="15" hidden="false" customHeight="false" outlineLevel="0" collapsed="false">
      <c r="N181" s="11"/>
      <c r="P181" s="30" t="str">
        <f aca="false">IF($A181="","",$A181&amp;"|"&amp;$B181)</f>
        <v/>
      </c>
    </row>
    <row r="182" customFormat="false" ht="15" hidden="false" customHeight="false" outlineLevel="0" collapsed="false">
      <c r="N182" s="11"/>
      <c r="P182" s="30" t="str">
        <f aca="false">IF($A182="","",$A182&amp;"|"&amp;$B182)</f>
        <v/>
      </c>
    </row>
    <row r="183" customFormat="false" ht="15" hidden="false" customHeight="false" outlineLevel="0" collapsed="false">
      <c r="N183" s="11"/>
      <c r="P183" s="30" t="str">
        <f aca="false">IF($A183="","",$A183&amp;"|"&amp;$B183)</f>
        <v/>
      </c>
    </row>
    <row r="184" customFormat="false" ht="15" hidden="false" customHeight="false" outlineLevel="0" collapsed="false">
      <c r="N184" s="11"/>
      <c r="P184" s="30" t="str">
        <f aca="false">IF($A184="","",$A184&amp;"|"&amp;$B184)</f>
        <v/>
      </c>
    </row>
    <row r="185" customFormat="false" ht="15" hidden="false" customHeight="false" outlineLevel="0" collapsed="false">
      <c r="N185" s="11"/>
      <c r="P185" s="30" t="str">
        <f aca="false">IF($A185="","",$A185&amp;"|"&amp;$B185)</f>
        <v/>
      </c>
    </row>
    <row r="186" customFormat="false" ht="15" hidden="false" customHeight="false" outlineLevel="0" collapsed="false">
      <c r="N186" s="11"/>
      <c r="P186" s="30" t="str">
        <f aca="false">IF($A186="","",$A186&amp;"|"&amp;$B186)</f>
        <v/>
      </c>
    </row>
    <row r="187" customFormat="false" ht="15" hidden="false" customHeight="false" outlineLevel="0" collapsed="false">
      <c r="N187" s="11"/>
      <c r="P187" s="30" t="str">
        <f aca="false">IF($A187="","",$A187&amp;"|"&amp;$B187)</f>
        <v/>
      </c>
    </row>
    <row r="188" customFormat="false" ht="15" hidden="false" customHeight="false" outlineLevel="0" collapsed="false">
      <c r="N188" s="11"/>
      <c r="P188" s="30" t="str">
        <f aca="false">IF($A188="","",$A188&amp;"|"&amp;$B188)</f>
        <v/>
      </c>
    </row>
    <row r="189" customFormat="false" ht="15" hidden="false" customHeight="false" outlineLevel="0" collapsed="false">
      <c r="N189" s="11"/>
      <c r="P189" s="30" t="str">
        <f aca="false">IF($A189="","",$A189&amp;"|"&amp;$B189)</f>
        <v/>
      </c>
    </row>
    <row r="190" customFormat="false" ht="15" hidden="false" customHeight="false" outlineLevel="0" collapsed="false">
      <c r="N190" s="11"/>
      <c r="P190" s="30" t="str">
        <f aca="false">IF($A190="","",$A190&amp;"|"&amp;$B190)</f>
        <v/>
      </c>
    </row>
    <row r="191" customFormat="false" ht="15" hidden="false" customHeight="false" outlineLevel="0" collapsed="false">
      <c r="N191" s="11"/>
      <c r="P191" s="30" t="str">
        <f aca="false">IF($A191="","",$A191&amp;"|"&amp;$B191)</f>
        <v/>
      </c>
    </row>
    <row r="192" customFormat="false" ht="15" hidden="false" customHeight="false" outlineLevel="0" collapsed="false">
      <c r="N192" s="11"/>
      <c r="P192" s="30" t="str">
        <f aca="false">IF($A192="","",$A192&amp;"|"&amp;$B192)</f>
        <v/>
      </c>
    </row>
    <row r="193" customFormat="false" ht="15" hidden="false" customHeight="false" outlineLevel="0" collapsed="false">
      <c r="N193" s="11"/>
      <c r="P193" s="30" t="str">
        <f aca="false">IF($A193="","",$A193&amp;"|"&amp;$B193)</f>
        <v/>
      </c>
    </row>
    <row r="194" customFormat="false" ht="15" hidden="false" customHeight="false" outlineLevel="0" collapsed="false">
      <c r="N194" s="11"/>
      <c r="P194" s="30" t="str">
        <f aca="false">IF($A194="","",$A194&amp;"|"&amp;$B194)</f>
        <v/>
      </c>
    </row>
    <row r="195" customFormat="false" ht="15" hidden="false" customHeight="false" outlineLevel="0" collapsed="false">
      <c r="N195" s="11"/>
      <c r="P195" s="30" t="str">
        <f aca="false">IF($A195="","",$A195&amp;"|"&amp;$B195)</f>
        <v/>
      </c>
    </row>
    <row r="196" customFormat="false" ht="15" hidden="false" customHeight="false" outlineLevel="0" collapsed="false">
      <c r="N196" s="11"/>
      <c r="P196" s="30" t="str">
        <f aca="false">IF($A196="","",$A196&amp;"|"&amp;$B196)</f>
        <v/>
      </c>
    </row>
    <row r="197" customFormat="false" ht="15" hidden="false" customHeight="false" outlineLevel="0" collapsed="false">
      <c r="N197" s="11"/>
      <c r="P197" s="30" t="str">
        <f aca="false">IF($A197="","",$A197&amp;"|"&amp;$B197)</f>
        <v/>
      </c>
    </row>
    <row r="198" customFormat="false" ht="15" hidden="false" customHeight="false" outlineLevel="0" collapsed="false">
      <c r="N198" s="11"/>
      <c r="P198" s="30" t="str">
        <f aca="false">IF($A198="","",$A198&amp;"|"&amp;$B198)</f>
        <v/>
      </c>
    </row>
    <row r="199" customFormat="false" ht="15" hidden="false" customHeight="false" outlineLevel="0" collapsed="false">
      <c r="N199" s="11"/>
      <c r="P199" s="30" t="str">
        <f aca="false">IF($A199="","",$A199&amp;"|"&amp;$B199)</f>
        <v/>
      </c>
    </row>
    <row r="200" customFormat="false" ht="15" hidden="false" customHeight="false" outlineLevel="0" collapsed="false">
      <c r="N200" s="11"/>
      <c r="P200" s="30" t="str">
        <f aca="false">IF($A200="","",$A200&amp;"|"&amp;$B200)</f>
        <v/>
      </c>
    </row>
    <row r="201" customFormat="false" ht="15" hidden="false" customHeight="false" outlineLevel="0" collapsed="false">
      <c r="N201" s="11"/>
      <c r="P201" s="30" t="str">
        <f aca="false">IF($A201="","",$A201&amp;"|"&amp;$B201)</f>
        <v/>
      </c>
    </row>
    <row r="202" customFormat="false" ht="15" hidden="false" customHeight="false" outlineLevel="0" collapsed="false">
      <c r="N202" s="11"/>
      <c r="P202" s="30" t="str">
        <f aca="false">IF($A202="","",$A202&amp;"|"&amp;$B202)</f>
        <v/>
      </c>
    </row>
    <row r="203" customFormat="false" ht="15" hidden="false" customHeight="false" outlineLevel="0" collapsed="false">
      <c r="N203" s="11"/>
      <c r="P203" s="30" t="str">
        <f aca="false">IF($A203="","",$A203&amp;"|"&amp;$B203)</f>
        <v/>
      </c>
    </row>
    <row r="204" customFormat="false" ht="15" hidden="false" customHeight="false" outlineLevel="0" collapsed="false">
      <c r="N204" s="11"/>
      <c r="P204" s="30" t="str">
        <f aca="false">IF($A204="","",$A204&amp;"|"&amp;$B204)</f>
        <v/>
      </c>
    </row>
    <row r="205" customFormat="false" ht="15" hidden="false" customHeight="false" outlineLevel="0" collapsed="false">
      <c r="N205" s="11"/>
      <c r="P205" s="30" t="str">
        <f aca="false">IF($A205="","",$A205&amp;"|"&amp;$B205)</f>
        <v/>
      </c>
    </row>
    <row r="206" customFormat="false" ht="15" hidden="false" customHeight="false" outlineLevel="0" collapsed="false">
      <c r="N206" s="11"/>
      <c r="P206" s="30" t="str">
        <f aca="false">IF($A206="","",$A206&amp;"|"&amp;$B206)</f>
        <v/>
      </c>
    </row>
    <row r="207" customFormat="false" ht="15" hidden="false" customHeight="false" outlineLevel="0" collapsed="false">
      <c r="N207" s="11"/>
      <c r="P207" s="30" t="str">
        <f aca="false">IF($A207="","",$A207&amp;"|"&amp;$B207)</f>
        <v/>
      </c>
    </row>
    <row r="208" customFormat="false" ht="15" hidden="false" customHeight="false" outlineLevel="0" collapsed="false">
      <c r="N208" s="11"/>
      <c r="P208" s="30" t="str">
        <f aca="false">IF($A208="","",$A208&amp;"|"&amp;$B208)</f>
        <v/>
      </c>
    </row>
    <row r="209" customFormat="false" ht="15" hidden="false" customHeight="false" outlineLevel="0" collapsed="false">
      <c r="N209" s="11"/>
      <c r="P209" s="30" t="str">
        <f aca="false">IF($A209="","",$A209&amp;"|"&amp;$B209)</f>
        <v/>
      </c>
    </row>
    <row r="210" customFormat="false" ht="15" hidden="false" customHeight="false" outlineLevel="0" collapsed="false">
      <c r="N210" s="11"/>
      <c r="P210" s="30" t="str">
        <f aca="false">IF($A210="","",$A210&amp;"|"&amp;$B210)</f>
        <v/>
      </c>
    </row>
    <row r="211" customFormat="false" ht="15" hidden="false" customHeight="false" outlineLevel="0" collapsed="false">
      <c r="N211" s="11"/>
      <c r="P211" s="30" t="str">
        <f aca="false">IF($A211="","",$A211&amp;"|"&amp;$B211)</f>
        <v/>
      </c>
    </row>
    <row r="212" customFormat="false" ht="15" hidden="false" customHeight="false" outlineLevel="0" collapsed="false">
      <c r="N212" s="11"/>
      <c r="P212" s="30" t="str">
        <f aca="false">IF($A212="","",$A212&amp;"|"&amp;$B212)</f>
        <v/>
      </c>
    </row>
    <row r="213" customFormat="false" ht="15" hidden="false" customHeight="false" outlineLevel="0" collapsed="false">
      <c r="N213" s="11"/>
      <c r="P213" s="30" t="str">
        <f aca="false">IF($A213="","",$A213&amp;"|"&amp;$B213)</f>
        <v/>
      </c>
    </row>
    <row r="214" customFormat="false" ht="15" hidden="false" customHeight="false" outlineLevel="0" collapsed="false">
      <c r="N214" s="11"/>
      <c r="P214" s="30" t="str">
        <f aca="false">IF($A214="","",$A214&amp;"|"&amp;$B214)</f>
        <v/>
      </c>
    </row>
    <row r="215" customFormat="false" ht="15" hidden="false" customHeight="false" outlineLevel="0" collapsed="false">
      <c r="N215" s="11"/>
      <c r="P215" s="30" t="str">
        <f aca="false">IF($A215="","",$A215&amp;"|"&amp;$B215)</f>
        <v/>
      </c>
    </row>
    <row r="216" customFormat="false" ht="15" hidden="false" customHeight="false" outlineLevel="0" collapsed="false">
      <c r="N216" s="11"/>
      <c r="P216" s="30" t="str">
        <f aca="false">IF($A216="","",$A216&amp;"|"&amp;$B216)</f>
        <v/>
      </c>
    </row>
    <row r="217" customFormat="false" ht="15" hidden="false" customHeight="false" outlineLevel="0" collapsed="false">
      <c r="N217" s="11"/>
      <c r="P217" s="30" t="str">
        <f aca="false">IF($A217="","",$A217&amp;"|"&amp;$B217)</f>
        <v/>
      </c>
    </row>
    <row r="218" customFormat="false" ht="15" hidden="false" customHeight="false" outlineLevel="0" collapsed="false">
      <c r="N218" s="11"/>
      <c r="P218" s="30" t="str">
        <f aca="false">IF($A218="","",$A218&amp;"|"&amp;$B218)</f>
        <v/>
      </c>
    </row>
    <row r="219" customFormat="false" ht="15" hidden="false" customHeight="false" outlineLevel="0" collapsed="false">
      <c r="N219" s="11"/>
      <c r="P219" s="30" t="str">
        <f aca="false">IF($A219="","",$A219&amp;"|"&amp;$B219)</f>
        <v/>
      </c>
    </row>
    <row r="220" customFormat="false" ht="15" hidden="false" customHeight="false" outlineLevel="0" collapsed="false">
      <c r="N220" s="11"/>
      <c r="P220" s="30" t="str">
        <f aca="false">IF($A220="","",$A220&amp;"|"&amp;$B220)</f>
        <v/>
      </c>
    </row>
    <row r="221" customFormat="false" ht="15" hidden="false" customHeight="false" outlineLevel="0" collapsed="false">
      <c r="N221" s="11"/>
      <c r="P221" s="30" t="str">
        <f aca="false">IF($A221="","",$A221&amp;"|"&amp;$B221)</f>
        <v/>
      </c>
    </row>
    <row r="222" customFormat="false" ht="15" hidden="false" customHeight="false" outlineLevel="0" collapsed="false">
      <c r="N222" s="11"/>
      <c r="P222" s="30" t="str">
        <f aca="false">IF($A222="","",$A222&amp;"|"&amp;$B222)</f>
        <v/>
      </c>
    </row>
    <row r="223" customFormat="false" ht="15" hidden="false" customHeight="false" outlineLevel="0" collapsed="false">
      <c r="N223" s="11"/>
      <c r="P223" s="30" t="str">
        <f aca="false">IF($A223="","",$A223&amp;"|"&amp;$B223)</f>
        <v/>
      </c>
    </row>
    <row r="224" customFormat="false" ht="15" hidden="false" customHeight="false" outlineLevel="0" collapsed="false">
      <c r="N224" s="11"/>
      <c r="P224" s="30" t="str">
        <f aca="false">IF($A224="","",$A224&amp;"|"&amp;$B224)</f>
        <v/>
      </c>
    </row>
    <row r="225" customFormat="false" ht="15" hidden="false" customHeight="false" outlineLevel="0" collapsed="false">
      <c r="N225" s="11"/>
      <c r="P225" s="30" t="str">
        <f aca="false">IF($A225="","",$A225&amp;"|"&amp;$B225)</f>
        <v/>
      </c>
    </row>
    <row r="226" customFormat="false" ht="15" hidden="false" customHeight="false" outlineLevel="0" collapsed="false">
      <c r="N226" s="11"/>
      <c r="P226" s="30" t="str">
        <f aca="false">IF($A226="","",$A226&amp;"|"&amp;$B226)</f>
        <v/>
      </c>
    </row>
    <row r="227" customFormat="false" ht="15" hidden="false" customHeight="false" outlineLevel="0" collapsed="false">
      <c r="N227" s="11"/>
      <c r="P227" s="30" t="str">
        <f aca="false">IF($A227="","",$A227&amp;"|"&amp;$B227)</f>
        <v/>
      </c>
    </row>
    <row r="228" customFormat="false" ht="15" hidden="false" customHeight="false" outlineLevel="0" collapsed="false">
      <c r="N228" s="11"/>
      <c r="P228" s="30" t="str">
        <f aca="false">IF($A228="","",$A228&amp;"|"&amp;$B228)</f>
        <v/>
      </c>
    </row>
    <row r="229" customFormat="false" ht="15" hidden="false" customHeight="false" outlineLevel="0" collapsed="false">
      <c r="N229" s="11"/>
      <c r="P229" s="30" t="str">
        <f aca="false">IF($A229="","",$A229&amp;"|"&amp;$B229)</f>
        <v/>
      </c>
    </row>
    <row r="230" customFormat="false" ht="15" hidden="false" customHeight="false" outlineLevel="0" collapsed="false">
      <c r="N230" s="11"/>
      <c r="P230" s="30" t="str">
        <f aca="false">IF($A230="","",$A230&amp;"|"&amp;$B230)</f>
        <v/>
      </c>
    </row>
    <row r="231" customFormat="false" ht="15" hidden="false" customHeight="false" outlineLevel="0" collapsed="false">
      <c r="N231" s="11"/>
      <c r="P231" s="30" t="str">
        <f aca="false">IF($A231="","",$A231&amp;"|"&amp;$B231)</f>
        <v/>
      </c>
    </row>
    <row r="232" customFormat="false" ht="15" hidden="false" customHeight="false" outlineLevel="0" collapsed="false">
      <c r="N232" s="11"/>
      <c r="P232" s="30" t="str">
        <f aca="false">IF($A232="","",$A232&amp;"|"&amp;$B232)</f>
        <v/>
      </c>
    </row>
    <row r="233" customFormat="false" ht="15" hidden="false" customHeight="false" outlineLevel="0" collapsed="false">
      <c r="N233" s="11"/>
      <c r="P233" s="30" t="str">
        <f aca="false">IF($A233="","",$A233&amp;"|"&amp;$B233)</f>
        <v/>
      </c>
    </row>
    <row r="234" customFormat="false" ht="15" hidden="false" customHeight="false" outlineLevel="0" collapsed="false">
      <c r="N234" s="11"/>
      <c r="P234" s="30" t="str">
        <f aca="false">IF($A234="","",$A234&amp;"|"&amp;$B234)</f>
        <v/>
      </c>
    </row>
    <row r="235" customFormat="false" ht="15" hidden="false" customHeight="false" outlineLevel="0" collapsed="false">
      <c r="N235" s="11"/>
      <c r="P235" s="30" t="str">
        <f aca="false">IF($A235="","",$A235&amp;"|"&amp;$B235)</f>
        <v/>
      </c>
    </row>
    <row r="236" customFormat="false" ht="15" hidden="false" customHeight="false" outlineLevel="0" collapsed="false">
      <c r="N236" s="11"/>
      <c r="P236" s="30" t="str">
        <f aca="false">IF($A236="","",$A236&amp;"|"&amp;$B236)</f>
        <v/>
      </c>
    </row>
    <row r="237" customFormat="false" ht="15" hidden="false" customHeight="false" outlineLevel="0" collapsed="false">
      <c r="N237" s="11"/>
      <c r="P237" s="30" t="str">
        <f aca="false">IF($A237="","",$A237&amp;"|"&amp;$B237)</f>
        <v/>
      </c>
    </row>
    <row r="238" customFormat="false" ht="15" hidden="false" customHeight="false" outlineLevel="0" collapsed="false">
      <c r="N238" s="11"/>
      <c r="P238" s="30" t="str">
        <f aca="false">IF($A238="","",$A238&amp;"|"&amp;$B238)</f>
        <v/>
      </c>
    </row>
    <row r="239" customFormat="false" ht="15" hidden="false" customHeight="false" outlineLevel="0" collapsed="false">
      <c r="N239" s="11"/>
      <c r="P239" s="30" t="str">
        <f aca="false">IF($A239="","",$A239&amp;"|"&amp;$B239)</f>
        <v/>
      </c>
    </row>
    <row r="240" customFormat="false" ht="15" hidden="false" customHeight="false" outlineLevel="0" collapsed="false">
      <c r="N240" s="11"/>
      <c r="P240" s="30" t="str">
        <f aca="false">IF($A240="","",$A240&amp;"|"&amp;$B240)</f>
        <v/>
      </c>
    </row>
    <row r="241" customFormat="false" ht="15" hidden="false" customHeight="false" outlineLevel="0" collapsed="false">
      <c r="N241" s="11"/>
      <c r="P241" s="30" t="str">
        <f aca="false">IF($A241="","",$A241&amp;"|"&amp;$B241)</f>
        <v/>
      </c>
    </row>
    <row r="242" customFormat="false" ht="15" hidden="false" customHeight="false" outlineLevel="0" collapsed="false">
      <c r="N242" s="11"/>
      <c r="P242" s="30" t="str">
        <f aca="false">IF($A242="","",$A242&amp;"|"&amp;$B242)</f>
        <v/>
      </c>
    </row>
    <row r="243" customFormat="false" ht="15" hidden="false" customHeight="false" outlineLevel="0" collapsed="false">
      <c r="N243" s="11"/>
      <c r="P243" s="30" t="str">
        <f aca="false">IF($A243="","",$A243&amp;"|"&amp;$B243)</f>
        <v/>
      </c>
    </row>
    <row r="244" customFormat="false" ht="15" hidden="false" customHeight="false" outlineLevel="0" collapsed="false">
      <c r="N244" s="11"/>
      <c r="P244" s="30" t="str">
        <f aca="false">IF($A244="","",$A244&amp;"|"&amp;$B244)</f>
        <v/>
      </c>
    </row>
    <row r="245" customFormat="false" ht="15" hidden="false" customHeight="false" outlineLevel="0" collapsed="false">
      <c r="N245" s="11"/>
      <c r="P245" s="30" t="str">
        <f aca="false">IF($A245="","",$A245&amp;"|"&amp;$B245)</f>
        <v/>
      </c>
    </row>
    <row r="246" customFormat="false" ht="15" hidden="false" customHeight="false" outlineLevel="0" collapsed="false">
      <c r="N246" s="11"/>
      <c r="P246" s="30" t="str">
        <f aca="false">IF($A246="","",$A246&amp;"|"&amp;$B246)</f>
        <v/>
      </c>
    </row>
    <row r="247" customFormat="false" ht="15" hidden="false" customHeight="false" outlineLevel="0" collapsed="false">
      <c r="N247" s="11"/>
      <c r="P247" s="30" t="str">
        <f aca="false">IF($A247="","",$A247&amp;"|"&amp;$B247)</f>
        <v/>
      </c>
    </row>
    <row r="248" customFormat="false" ht="15" hidden="false" customHeight="false" outlineLevel="0" collapsed="false">
      <c r="N248" s="11"/>
      <c r="P248" s="30" t="str">
        <f aca="false">IF($A248="","",$A248&amp;"|"&amp;$B248)</f>
        <v/>
      </c>
    </row>
    <row r="249" customFormat="false" ht="15" hidden="false" customHeight="false" outlineLevel="0" collapsed="false">
      <c r="N249" s="11"/>
      <c r="P249" s="30" t="str">
        <f aca="false">IF($A249="","",$A249&amp;"|"&amp;$B249)</f>
        <v/>
      </c>
    </row>
    <row r="250" customFormat="false" ht="15" hidden="false" customHeight="false" outlineLevel="0" collapsed="false">
      <c r="N250" s="11"/>
      <c r="P250" s="30" t="str">
        <f aca="false">IF($A250="","",$A250&amp;"|"&amp;$B250)</f>
        <v/>
      </c>
    </row>
    <row r="251" customFormat="false" ht="15" hidden="false" customHeight="false" outlineLevel="0" collapsed="false">
      <c r="N251" s="11"/>
      <c r="P251" s="30" t="str">
        <f aca="false">IF($A251="","",$A251&amp;"|"&amp;$B251)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I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 collapsed="false" customWidth="true" hidden="false" outlineLevel="0" max="9" min="9" style="0" width="70"/>
  </cols>
  <sheetData>
    <row r="1" customFormat="false" ht="41.75" hidden="false" customHeight="false" outlineLevel="0" collapsed="false">
      <c r="A1" s="41" t="s">
        <v>1526</v>
      </c>
      <c r="B1" s="41" t="s">
        <v>1664</v>
      </c>
      <c r="C1" s="41" t="s">
        <v>1665</v>
      </c>
      <c r="D1" s="41" t="s">
        <v>1666</v>
      </c>
      <c r="E1" s="41" t="s">
        <v>1667</v>
      </c>
      <c r="F1" s="41" t="s">
        <v>1668</v>
      </c>
      <c r="G1" s="41" t="s">
        <v>1669</v>
      </c>
      <c r="I1" s="23" t="s">
        <v>1670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1671</v>
      </c>
      <c r="D1" s="41" t="s">
        <v>1666</v>
      </c>
      <c r="E1" s="41" t="s">
        <v>1667</v>
      </c>
      <c r="F1" s="41" t="s">
        <v>1668</v>
      </c>
      <c r="G1" s="41" t="s">
        <v>1672</v>
      </c>
    </row>
    <row r="2" customFormat="false" ht="15" hidden="false" customHeight="false" outlineLevel="0" collapsed="false">
      <c r="A2" s="42" t="n">
        <v>46394.675</v>
      </c>
      <c r="B2" s="10" t="s">
        <v>1673</v>
      </c>
      <c r="C2" s="10" t="s">
        <v>1571</v>
      </c>
      <c r="D2" s="0" t="n">
        <v>5</v>
      </c>
      <c r="E2" s="10" t="s">
        <v>1571</v>
      </c>
      <c r="G2" s="10" t="s">
        <v>1674</v>
      </c>
    </row>
    <row r="3" customFormat="false" ht="15" hidden="false" customHeight="false" outlineLevel="0" collapsed="false">
      <c r="A3" s="42" t="n">
        <v>46399.3756944445</v>
      </c>
      <c r="B3" s="10" t="s">
        <v>1675</v>
      </c>
      <c r="C3" s="10" t="s">
        <v>1554</v>
      </c>
      <c r="F3" s="10" t="s">
        <v>1676</v>
      </c>
      <c r="G3" s="10" t="s">
        <v>491</v>
      </c>
    </row>
    <row r="4" customFormat="false" ht="15" hidden="false" customHeight="false" outlineLevel="0" collapsed="false">
      <c r="A4" s="42" t="n">
        <v>46399.3861111111</v>
      </c>
      <c r="B4" s="10" t="s">
        <v>1677</v>
      </c>
      <c r="C4" s="10" t="s">
        <v>1571</v>
      </c>
      <c r="D4" s="0" t="n">
        <v>4</v>
      </c>
      <c r="E4" s="10" t="s">
        <v>1571</v>
      </c>
      <c r="G4" s="10" t="s">
        <v>491</v>
      </c>
    </row>
    <row r="5" customFormat="false" ht="15" hidden="false" customHeight="false" outlineLevel="0" collapsed="false">
      <c r="A5" s="42" t="n">
        <v>46399.4027777778</v>
      </c>
      <c r="B5" s="10" t="s">
        <v>1673</v>
      </c>
      <c r="C5" s="10" t="s">
        <v>1571</v>
      </c>
      <c r="D5" s="0" t="n">
        <v>3</v>
      </c>
      <c r="E5" s="10" t="s">
        <v>1678</v>
      </c>
      <c r="G5" s="10" t="s">
        <v>492</v>
      </c>
    </row>
    <row r="6" customFormat="false" ht="15" hidden="false" customHeight="false" outlineLevel="0" collapsed="false">
      <c r="A6" s="42" t="n">
        <v>46399.4416666667</v>
      </c>
      <c r="B6" s="10" t="s">
        <v>1677</v>
      </c>
      <c r="C6" s="10" t="s">
        <v>1554</v>
      </c>
      <c r="F6" s="10" t="s">
        <v>1679</v>
      </c>
    </row>
    <row r="7" customFormat="false" ht="15" hidden="false" customHeight="false" outlineLevel="0" collapsed="false">
      <c r="A7" s="42" t="n">
        <v>46399.4569444444</v>
      </c>
      <c r="B7" s="10" t="s">
        <v>1680</v>
      </c>
      <c r="C7" s="10" t="s">
        <v>1571</v>
      </c>
      <c r="D7" s="0" t="n">
        <v>5</v>
      </c>
      <c r="E7" s="10" t="s">
        <v>1571</v>
      </c>
      <c r="G7" s="10" t="s">
        <v>1681</v>
      </c>
    </row>
    <row r="8" customFormat="false" ht="15" hidden="false" customHeight="false" outlineLevel="0" collapsed="false">
      <c r="A8" s="42" t="n">
        <v>46399.5097222222</v>
      </c>
      <c r="B8" s="10" t="s">
        <v>1682</v>
      </c>
      <c r="C8" s="10" t="s">
        <v>1571</v>
      </c>
      <c r="D8" s="0" t="n">
        <v>4</v>
      </c>
      <c r="E8" s="10" t="s">
        <v>1571</v>
      </c>
    </row>
    <row r="9" customFormat="false" ht="15" hidden="false" customHeight="false" outlineLevel="0" collapsed="false">
      <c r="A9" s="42" t="n">
        <v>46399.5375</v>
      </c>
      <c r="B9" s="10" t="s">
        <v>1680</v>
      </c>
      <c r="C9" s="10" t="s">
        <v>1571</v>
      </c>
      <c r="D9" s="0" t="n">
        <v>5</v>
      </c>
      <c r="E9" s="10" t="s">
        <v>1571</v>
      </c>
      <c r="G9" s="10" t="s">
        <v>1681</v>
      </c>
    </row>
    <row r="10" customFormat="false" ht="15" hidden="false" customHeight="false" outlineLevel="0" collapsed="false">
      <c r="A10" s="42" t="n">
        <v>46399.5513888889</v>
      </c>
      <c r="B10" s="10" t="s">
        <v>1680</v>
      </c>
      <c r="C10" s="10" t="s">
        <v>1571</v>
      </c>
      <c r="D10" s="0" t="n">
        <v>4</v>
      </c>
      <c r="E10" s="10" t="s">
        <v>1554</v>
      </c>
    </row>
    <row r="11" customFormat="false" ht="15" hidden="false" customHeight="false" outlineLevel="0" collapsed="false">
      <c r="A11" s="42" t="n">
        <v>46399.5520833333</v>
      </c>
      <c r="B11" s="10" t="s">
        <v>1677</v>
      </c>
      <c r="C11" s="10" t="s">
        <v>1554</v>
      </c>
      <c r="F11" s="10" t="s">
        <v>1683</v>
      </c>
      <c r="G11" s="10" t="s">
        <v>510</v>
      </c>
    </row>
    <row r="12" customFormat="false" ht="15" hidden="false" customHeight="false" outlineLevel="0" collapsed="false">
      <c r="A12" s="42" t="n">
        <v>46400.3770833333</v>
      </c>
      <c r="B12" s="10" t="s">
        <v>1675</v>
      </c>
      <c r="C12" s="10" t="s">
        <v>1571</v>
      </c>
      <c r="D12" s="0" t="n">
        <v>4</v>
      </c>
      <c r="E12" s="10" t="s">
        <v>1571</v>
      </c>
      <c r="G12" s="10" t="s">
        <v>1684</v>
      </c>
    </row>
    <row r="13" customFormat="false" ht="15" hidden="false" customHeight="false" outlineLevel="0" collapsed="false">
      <c r="A13" s="42" t="n">
        <v>46400.4</v>
      </c>
      <c r="B13" s="10" t="s">
        <v>1680</v>
      </c>
      <c r="C13" s="10" t="s">
        <v>1554</v>
      </c>
      <c r="F13" s="10" t="s">
        <v>1683</v>
      </c>
      <c r="G13" s="10" t="s">
        <v>491</v>
      </c>
    </row>
    <row r="14" customFormat="false" ht="15" hidden="false" customHeight="false" outlineLevel="0" collapsed="false">
      <c r="A14" s="42" t="n">
        <v>46400.4284722222</v>
      </c>
      <c r="B14" s="10" t="s">
        <v>1673</v>
      </c>
      <c r="C14" s="10" t="s">
        <v>1571</v>
      </c>
      <c r="D14" s="0" t="n">
        <v>3</v>
      </c>
      <c r="E14" s="10" t="s">
        <v>1678</v>
      </c>
      <c r="G14" s="10" t="s">
        <v>1685</v>
      </c>
    </row>
    <row r="15" customFormat="false" ht="15" hidden="false" customHeight="false" outlineLevel="0" collapsed="false">
      <c r="A15" s="42" t="n">
        <v>46400.4416666667</v>
      </c>
      <c r="B15" s="10" t="s">
        <v>1682</v>
      </c>
      <c r="C15" s="10" t="s">
        <v>1571</v>
      </c>
      <c r="D15" s="0" t="n">
        <v>4</v>
      </c>
      <c r="E15" s="10" t="s">
        <v>1678</v>
      </c>
    </row>
    <row r="16" customFormat="false" ht="15" hidden="false" customHeight="false" outlineLevel="0" collapsed="false">
      <c r="A16" s="42" t="n">
        <v>46400.4652777778</v>
      </c>
      <c r="B16" s="10" t="s">
        <v>1677</v>
      </c>
      <c r="C16" s="10" t="s">
        <v>1554</v>
      </c>
      <c r="F16" s="10" t="s">
        <v>1679</v>
      </c>
      <c r="G16" s="10" t="s">
        <v>1681</v>
      </c>
    </row>
    <row r="17" customFormat="false" ht="15" hidden="false" customHeight="false" outlineLevel="0" collapsed="false">
      <c r="A17" s="42" t="n">
        <v>46400.4986111111</v>
      </c>
      <c r="B17" s="10" t="s">
        <v>1673</v>
      </c>
      <c r="C17" s="10" t="s">
        <v>1554</v>
      </c>
      <c r="F17" s="10" t="s">
        <v>1679</v>
      </c>
    </row>
    <row r="18" customFormat="false" ht="15" hidden="false" customHeight="false" outlineLevel="0" collapsed="false">
      <c r="A18" s="42" t="n">
        <v>46400.5402777778</v>
      </c>
      <c r="B18" s="10" t="s">
        <v>1680</v>
      </c>
      <c r="C18" s="10" t="s">
        <v>1571</v>
      </c>
      <c r="D18" s="0" t="n">
        <v>5</v>
      </c>
      <c r="E18" s="10" t="s">
        <v>1678</v>
      </c>
    </row>
    <row r="19" customFormat="false" ht="15" hidden="false" customHeight="false" outlineLevel="0" collapsed="false">
      <c r="A19" s="42" t="n">
        <v>46400.5486111111</v>
      </c>
      <c r="B19" s="10" t="s">
        <v>1673</v>
      </c>
      <c r="C19" s="10" t="s">
        <v>1571</v>
      </c>
      <c r="D19" s="0" t="n">
        <v>4</v>
      </c>
      <c r="E19" s="10" t="s">
        <v>1571</v>
      </c>
    </row>
    <row r="20" customFormat="false" ht="15" hidden="false" customHeight="false" outlineLevel="0" collapsed="false">
      <c r="A20" s="42" t="n">
        <v>46400.5541666667</v>
      </c>
      <c r="B20" s="10" t="s">
        <v>1682</v>
      </c>
      <c r="C20" s="10" t="s">
        <v>1571</v>
      </c>
      <c r="D20" s="0" t="n">
        <v>4</v>
      </c>
      <c r="E20" s="10" t="s">
        <v>1678</v>
      </c>
    </row>
    <row r="21" customFormat="false" ht="15" hidden="false" customHeight="false" outlineLevel="0" collapsed="false">
      <c r="A21" s="42" t="n">
        <v>46400.5569444444</v>
      </c>
      <c r="B21" s="10" t="s">
        <v>1682</v>
      </c>
      <c r="C21" s="10" t="s">
        <v>1571</v>
      </c>
      <c r="D21" s="0" t="n">
        <v>5</v>
      </c>
      <c r="E21" s="10" t="s">
        <v>1571</v>
      </c>
      <c r="G21" s="10" t="s">
        <v>511</v>
      </c>
    </row>
    <row r="22" customFormat="false" ht="15" hidden="false" customHeight="false" outlineLevel="0" collapsed="false">
      <c r="A22" s="42" t="n">
        <v>46400.5625</v>
      </c>
      <c r="B22" s="10" t="s">
        <v>1682</v>
      </c>
      <c r="C22" s="10" t="s">
        <v>1571</v>
      </c>
      <c r="D22" s="0" t="n">
        <v>4</v>
      </c>
      <c r="E22" s="10" t="s">
        <v>1554</v>
      </c>
      <c r="G22" s="10" t="s">
        <v>491</v>
      </c>
    </row>
    <row r="23" customFormat="false" ht="15" hidden="false" customHeight="false" outlineLevel="0" collapsed="false">
      <c r="A23" s="42" t="n">
        <v>46400.5791666667</v>
      </c>
      <c r="B23" s="10" t="s">
        <v>1673</v>
      </c>
      <c r="C23" s="10" t="s">
        <v>1571</v>
      </c>
      <c r="D23" s="0" t="n">
        <v>5</v>
      </c>
      <c r="E23" s="10" t="s">
        <v>1554</v>
      </c>
      <c r="G23" s="10" t="s">
        <v>510</v>
      </c>
    </row>
    <row r="24" customFormat="false" ht="15" hidden="false" customHeight="false" outlineLevel="0" collapsed="false">
      <c r="A24" s="42" t="n">
        <v>46400.5909722222</v>
      </c>
      <c r="B24" s="10" t="s">
        <v>1680</v>
      </c>
      <c r="C24" s="10" t="s">
        <v>1571</v>
      </c>
      <c r="D24" s="0" t="n">
        <v>5</v>
      </c>
      <c r="E24" s="10" t="s">
        <v>1571</v>
      </c>
    </row>
    <row r="25" customFormat="false" ht="15" hidden="false" customHeight="false" outlineLevel="0" collapsed="false">
      <c r="A25" s="42" t="n">
        <v>46400.6270833333</v>
      </c>
      <c r="B25" s="10" t="s">
        <v>1673</v>
      </c>
      <c r="C25" s="10" t="s">
        <v>1571</v>
      </c>
      <c r="D25" s="0" t="n">
        <v>4</v>
      </c>
      <c r="E25" s="10" t="s">
        <v>1554</v>
      </c>
      <c r="G25" s="10" t="s">
        <v>1681</v>
      </c>
    </row>
    <row r="26" customFormat="false" ht="15" hidden="false" customHeight="false" outlineLevel="0" collapsed="false">
      <c r="A26" s="42" t="n">
        <v>46400.6458333333</v>
      </c>
      <c r="B26" s="10" t="s">
        <v>1673</v>
      </c>
      <c r="C26" s="10" t="s">
        <v>1571</v>
      </c>
      <c r="D26" s="0" t="n">
        <v>4</v>
      </c>
      <c r="E26" s="10" t="s">
        <v>1571</v>
      </c>
    </row>
    <row r="27" customFormat="false" ht="15" hidden="false" customHeight="false" outlineLevel="0" collapsed="false">
      <c r="A27" s="42" t="n">
        <v>46401.54375</v>
      </c>
      <c r="B27" s="10" t="s">
        <v>1686</v>
      </c>
      <c r="C27" s="10" t="s">
        <v>1554</v>
      </c>
      <c r="F27" s="10" t="s">
        <v>1683</v>
      </c>
    </row>
    <row r="28" customFormat="false" ht="15" hidden="false" customHeight="false" outlineLevel="0" collapsed="false">
      <c r="A28" s="42" t="n">
        <v>46401.5444444444</v>
      </c>
      <c r="B28" s="10" t="s">
        <v>1677</v>
      </c>
      <c r="C28" s="10" t="s">
        <v>1571</v>
      </c>
      <c r="D28" s="0" t="n">
        <v>4</v>
      </c>
      <c r="E28" s="10" t="s">
        <v>1571</v>
      </c>
      <c r="G28" s="10" t="s">
        <v>1681</v>
      </c>
    </row>
    <row r="29" customFormat="false" ht="15" hidden="false" customHeight="false" outlineLevel="0" collapsed="false">
      <c r="A29" s="42" t="n">
        <v>46401.6076388889</v>
      </c>
      <c r="B29" s="10" t="s">
        <v>1673</v>
      </c>
      <c r="C29" s="10" t="s">
        <v>1571</v>
      </c>
      <c r="D29" s="0" t="n">
        <v>4</v>
      </c>
      <c r="E29" s="10" t="s">
        <v>1554</v>
      </c>
    </row>
    <row r="30" customFormat="false" ht="15" hidden="false" customHeight="false" outlineLevel="0" collapsed="false">
      <c r="A30" s="42" t="n">
        <v>46401.6965277778</v>
      </c>
      <c r="B30" s="10" t="s">
        <v>1675</v>
      </c>
      <c r="C30" s="10" t="s">
        <v>1571</v>
      </c>
      <c r="D30" s="0" t="n">
        <v>4</v>
      </c>
      <c r="E30" s="10" t="s">
        <v>1678</v>
      </c>
      <c r="G30" s="10" t="s">
        <v>1681</v>
      </c>
    </row>
    <row r="31" customFormat="false" ht="15" hidden="false" customHeight="false" outlineLevel="0" collapsed="false">
      <c r="A31" s="42" t="n">
        <v>46401.70625</v>
      </c>
      <c r="B31" s="10" t="s">
        <v>1677</v>
      </c>
      <c r="C31" s="10" t="s">
        <v>1571</v>
      </c>
      <c r="D31" s="0" t="n">
        <v>5</v>
      </c>
      <c r="E31" s="10" t="s">
        <v>1554</v>
      </c>
    </row>
    <row r="32" customFormat="false" ht="15" hidden="false" customHeight="false" outlineLevel="0" collapsed="false">
      <c r="A32" s="42" t="n">
        <v>46402.4069444445</v>
      </c>
      <c r="B32" s="10" t="s">
        <v>1682</v>
      </c>
      <c r="C32" s="10" t="s">
        <v>1571</v>
      </c>
      <c r="D32" s="0" t="n">
        <v>4</v>
      </c>
      <c r="E32" s="10" t="s">
        <v>1678</v>
      </c>
    </row>
    <row r="33" customFormat="false" ht="15" hidden="false" customHeight="false" outlineLevel="0" collapsed="false">
      <c r="A33" s="42" t="n">
        <v>46402.4097222222</v>
      </c>
      <c r="B33" s="10" t="s">
        <v>1675</v>
      </c>
      <c r="C33" s="10" t="s">
        <v>1554</v>
      </c>
      <c r="F33" s="10" t="s">
        <v>1679</v>
      </c>
    </row>
    <row r="34" customFormat="false" ht="15" hidden="false" customHeight="false" outlineLevel="0" collapsed="false">
      <c r="A34" s="42" t="n">
        <v>46402.4555555556</v>
      </c>
      <c r="B34" s="10" t="s">
        <v>1677</v>
      </c>
      <c r="C34" s="10" t="s">
        <v>1554</v>
      </c>
      <c r="F34" s="10" t="s">
        <v>1676</v>
      </c>
      <c r="G34" s="10" t="s">
        <v>491</v>
      </c>
    </row>
    <row r="35" customFormat="false" ht="15" hidden="false" customHeight="false" outlineLevel="0" collapsed="false">
      <c r="A35" s="42" t="n">
        <v>46402.5229166667</v>
      </c>
      <c r="B35" s="10" t="s">
        <v>1677</v>
      </c>
      <c r="C35" s="10" t="s">
        <v>1554</v>
      </c>
      <c r="F35" s="10" t="s">
        <v>1679</v>
      </c>
    </row>
    <row r="36" customFormat="false" ht="15" hidden="false" customHeight="false" outlineLevel="0" collapsed="false">
      <c r="A36" s="42" t="n">
        <v>46402.6</v>
      </c>
      <c r="B36" s="10" t="s">
        <v>1673</v>
      </c>
      <c r="C36" s="10" t="s">
        <v>1571</v>
      </c>
      <c r="D36" s="0" t="n">
        <v>4</v>
      </c>
      <c r="E36" s="10" t="s">
        <v>1678</v>
      </c>
      <c r="G36" s="10" t="s">
        <v>1685</v>
      </c>
    </row>
    <row r="37" customFormat="false" ht="15" hidden="false" customHeight="false" outlineLevel="0" collapsed="false">
      <c r="A37" s="42" t="n">
        <v>46402.6958333333</v>
      </c>
      <c r="B37" s="10" t="s">
        <v>1682</v>
      </c>
      <c r="C37" s="10" t="s">
        <v>1571</v>
      </c>
      <c r="D37" s="0" t="n">
        <v>5</v>
      </c>
      <c r="E37" s="10" t="s">
        <v>1554</v>
      </c>
    </row>
    <row r="38" customFormat="false" ht="15" hidden="false" customHeight="false" outlineLevel="0" collapsed="false">
      <c r="A38" s="42" t="n">
        <v>46407.3618055556</v>
      </c>
      <c r="B38" s="10" t="s">
        <v>1677</v>
      </c>
      <c r="C38" s="10" t="s">
        <v>1571</v>
      </c>
      <c r="D38" s="0" t="n">
        <v>4</v>
      </c>
      <c r="E38"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1687</v>
      </c>
      <c r="D1" s="41" t="s">
        <v>1666</v>
      </c>
      <c r="E1" s="41" t="s">
        <v>1667</v>
      </c>
      <c r="F1" s="41" t="s">
        <v>1668</v>
      </c>
      <c r="G1" s="41" t="s">
        <v>1688</v>
      </c>
    </row>
    <row r="2" customFormat="false" ht="15" hidden="false" customHeight="false" outlineLevel="0" collapsed="false">
      <c r="A2" s="42" t="n">
        <v>46399.4145833333</v>
      </c>
      <c r="B2" s="10" t="s">
        <v>1689</v>
      </c>
      <c r="C2" s="10" t="s">
        <v>1571</v>
      </c>
      <c r="D2" s="0" t="n">
        <v>3</v>
      </c>
      <c r="E2" s="10" t="s">
        <v>1571</v>
      </c>
      <c r="G2" s="10" t="s">
        <v>510</v>
      </c>
    </row>
    <row r="3" customFormat="false" ht="15" hidden="false" customHeight="false" outlineLevel="0" collapsed="false">
      <c r="A3" s="42" t="n">
        <v>46399.4215277778</v>
      </c>
      <c r="B3" s="10" t="s">
        <v>1689</v>
      </c>
      <c r="C3" s="10" t="s">
        <v>1571</v>
      </c>
      <c r="D3" s="0" t="n">
        <v>5</v>
      </c>
      <c r="E3" s="10" t="s">
        <v>1678</v>
      </c>
      <c r="G3" s="10" t="s">
        <v>511</v>
      </c>
    </row>
    <row r="4" customFormat="false" ht="15" hidden="false" customHeight="false" outlineLevel="0" collapsed="false">
      <c r="A4" s="42" t="n">
        <v>46399.4604166667</v>
      </c>
      <c r="B4" s="10" t="s">
        <v>1689</v>
      </c>
      <c r="C4" s="10" t="s">
        <v>1571</v>
      </c>
      <c r="D4" s="0" t="n">
        <v>5</v>
      </c>
      <c r="E4" s="10" t="s">
        <v>1554</v>
      </c>
      <c r="G4" s="10" t="s">
        <v>512</v>
      </c>
    </row>
    <row r="5" customFormat="false" ht="15" hidden="false" customHeight="false" outlineLevel="0" collapsed="false">
      <c r="A5" s="42" t="n">
        <v>46399.4881944444</v>
      </c>
      <c r="B5" s="10" t="s">
        <v>1689</v>
      </c>
      <c r="C5" s="10" t="s">
        <v>1554</v>
      </c>
      <c r="F5" s="10" t="s">
        <v>1679</v>
      </c>
      <c r="G5" s="10" t="s">
        <v>1681</v>
      </c>
    </row>
    <row r="6" customFormat="false" ht="15" hidden="false" customHeight="false" outlineLevel="0" collapsed="false">
      <c r="A6" s="42" t="n">
        <v>46399.4944444444</v>
      </c>
      <c r="B6" s="10" t="s">
        <v>1690</v>
      </c>
      <c r="C6" s="10" t="s">
        <v>1571</v>
      </c>
      <c r="D6" s="0" t="n">
        <v>4</v>
      </c>
      <c r="E6" s="10" t="s">
        <v>1678</v>
      </c>
    </row>
    <row r="7" customFormat="false" ht="15" hidden="false" customHeight="false" outlineLevel="0" collapsed="false">
      <c r="A7" s="42" t="n">
        <v>46399.5472222222</v>
      </c>
      <c r="B7" s="10" t="s">
        <v>1691</v>
      </c>
      <c r="C7" s="10" t="s">
        <v>1571</v>
      </c>
      <c r="D7" s="0" t="n">
        <v>5</v>
      </c>
      <c r="E7" s="10" t="s">
        <v>1571</v>
      </c>
    </row>
    <row r="8" customFormat="false" ht="15" hidden="false" customHeight="false" outlineLevel="0" collapsed="false">
      <c r="A8" s="42" t="n">
        <v>46399.6159722222</v>
      </c>
      <c r="B8" s="10" t="s">
        <v>1692</v>
      </c>
      <c r="C8" s="10" t="s">
        <v>1554</v>
      </c>
      <c r="F8" s="10" t="s">
        <v>1679</v>
      </c>
    </row>
    <row r="9" customFormat="false" ht="15" hidden="false" customHeight="false" outlineLevel="0" collapsed="false">
      <c r="A9" s="42" t="n">
        <v>46399.6326388889</v>
      </c>
      <c r="B9" s="10" t="s">
        <v>1690</v>
      </c>
      <c r="C9" s="10" t="s">
        <v>1571</v>
      </c>
      <c r="D9" s="0" t="n">
        <v>3</v>
      </c>
      <c r="E9" s="10" t="s">
        <v>1571</v>
      </c>
    </row>
    <row r="10" customFormat="false" ht="15" hidden="false" customHeight="false" outlineLevel="0" collapsed="false">
      <c r="A10" s="42" t="n">
        <v>46399.6333333333</v>
      </c>
      <c r="B10" s="10" t="s">
        <v>1691</v>
      </c>
      <c r="C10" s="10" t="s">
        <v>1554</v>
      </c>
      <c r="F10" s="10" t="s">
        <v>1683</v>
      </c>
    </row>
    <row r="11" customFormat="false" ht="15" hidden="false" customHeight="false" outlineLevel="0" collapsed="false">
      <c r="A11" s="42" t="n">
        <v>46399.6798611111</v>
      </c>
      <c r="B11" s="10" t="s">
        <v>1692</v>
      </c>
      <c r="C11" s="10" t="s">
        <v>1571</v>
      </c>
      <c r="D11" s="0" t="n">
        <v>5</v>
      </c>
      <c r="E11" s="10" t="s">
        <v>1571</v>
      </c>
      <c r="G11" s="10" t="s">
        <v>1685</v>
      </c>
    </row>
    <row r="12" customFormat="false" ht="15" hidden="false" customHeight="false" outlineLevel="0" collapsed="false">
      <c r="A12" s="42" t="n">
        <v>46400.3756944445</v>
      </c>
      <c r="B12" s="10" t="s">
        <v>1689</v>
      </c>
      <c r="C12" s="10" t="s">
        <v>1554</v>
      </c>
      <c r="F12" s="10" t="s">
        <v>1676</v>
      </c>
    </row>
    <row r="13" customFormat="false" ht="15" hidden="false" customHeight="false" outlineLevel="0" collapsed="false">
      <c r="A13" s="42" t="n">
        <v>46400.3979166667</v>
      </c>
      <c r="B13" s="10" t="s">
        <v>1690</v>
      </c>
      <c r="C13" s="10" t="s">
        <v>1571</v>
      </c>
      <c r="D13" s="0" t="n">
        <v>5</v>
      </c>
      <c r="E13" s="10" t="s">
        <v>1678</v>
      </c>
    </row>
    <row r="14" customFormat="false" ht="15" hidden="false" customHeight="false" outlineLevel="0" collapsed="false">
      <c r="A14" s="42" t="n">
        <v>46400.4659722222</v>
      </c>
      <c r="B14" s="10" t="s">
        <v>1693</v>
      </c>
      <c r="C14" s="10" t="s">
        <v>1554</v>
      </c>
      <c r="F14" s="10" t="s">
        <v>1676</v>
      </c>
    </row>
    <row r="15" customFormat="false" ht="15" hidden="false" customHeight="false" outlineLevel="0" collapsed="false">
      <c r="A15" s="42" t="n">
        <v>46400.4944444444</v>
      </c>
      <c r="B15" s="10" t="s">
        <v>1691</v>
      </c>
      <c r="C15" s="10" t="s">
        <v>1571</v>
      </c>
      <c r="D15" s="0" t="n">
        <v>3</v>
      </c>
      <c r="E15" s="10" t="s">
        <v>1554</v>
      </c>
      <c r="G15" s="10" t="s">
        <v>512</v>
      </c>
    </row>
    <row r="16" customFormat="false" ht="15" hidden="false" customHeight="false" outlineLevel="0" collapsed="false">
      <c r="A16" s="42" t="n">
        <v>46400.5902777778</v>
      </c>
      <c r="B16" s="10" t="s">
        <v>1693</v>
      </c>
      <c r="C16" s="10" t="s">
        <v>1571</v>
      </c>
      <c r="D16" s="0" t="n">
        <v>5</v>
      </c>
      <c r="E16" s="10" t="s">
        <v>1571</v>
      </c>
    </row>
    <row r="17" customFormat="false" ht="15" hidden="false" customHeight="false" outlineLevel="0" collapsed="false">
      <c r="A17" s="42" t="n">
        <v>46400.6166666667</v>
      </c>
      <c r="B17" s="10" t="s">
        <v>1692</v>
      </c>
      <c r="C17" s="10" t="s">
        <v>1554</v>
      </c>
      <c r="F17" s="10" t="s">
        <v>1679</v>
      </c>
    </row>
    <row r="18" customFormat="false" ht="15" hidden="false" customHeight="false" outlineLevel="0" collapsed="false">
      <c r="A18" s="42" t="n">
        <v>46400.6458333333</v>
      </c>
      <c r="B18" s="10" t="s">
        <v>1692</v>
      </c>
      <c r="C18" s="10" t="s">
        <v>1571</v>
      </c>
      <c r="D18" s="0" t="n">
        <v>4</v>
      </c>
      <c r="E18" s="10" t="s">
        <v>1554</v>
      </c>
      <c r="G18" s="10" t="s">
        <v>510</v>
      </c>
    </row>
    <row r="19" customFormat="false" ht="15" hidden="false" customHeight="false" outlineLevel="0" collapsed="false">
      <c r="A19" s="42" t="n">
        <v>46400.6694444444</v>
      </c>
      <c r="B19" s="10" t="s">
        <v>1692</v>
      </c>
      <c r="C19" s="10" t="s">
        <v>1571</v>
      </c>
      <c r="D19" s="0" t="n">
        <v>5</v>
      </c>
      <c r="E19" s="10" t="s">
        <v>1571</v>
      </c>
    </row>
    <row r="20" customFormat="false" ht="15" hidden="false" customHeight="false" outlineLevel="0" collapsed="false">
      <c r="A20" s="42" t="n">
        <v>46400.7020833333</v>
      </c>
      <c r="B20" s="10" t="s">
        <v>1693</v>
      </c>
      <c r="C20" s="10" t="s">
        <v>1554</v>
      </c>
      <c r="F20" s="10" t="s">
        <v>1676</v>
      </c>
      <c r="G20" s="10" t="s">
        <v>510</v>
      </c>
    </row>
    <row r="21" customFormat="false" ht="15" hidden="false" customHeight="false" outlineLevel="0" collapsed="false">
      <c r="A21" s="42" t="n">
        <v>46401.3951388889</v>
      </c>
      <c r="B21" s="10" t="s">
        <v>1691</v>
      </c>
      <c r="C21" s="10" t="s">
        <v>1571</v>
      </c>
      <c r="D21" s="0" t="n">
        <v>3</v>
      </c>
      <c r="E21" s="10" t="s">
        <v>1678</v>
      </c>
    </row>
    <row r="22" customFormat="false" ht="15" hidden="false" customHeight="false" outlineLevel="0" collapsed="false">
      <c r="A22" s="42" t="n">
        <v>46401.4277777778</v>
      </c>
      <c r="B22" s="10" t="s">
        <v>1689</v>
      </c>
      <c r="C22" s="10" t="s">
        <v>1571</v>
      </c>
      <c r="D22" s="0" t="n">
        <v>4</v>
      </c>
      <c r="E22" s="10" t="s">
        <v>1678</v>
      </c>
    </row>
    <row r="23" customFormat="false" ht="15" hidden="false" customHeight="false" outlineLevel="0" collapsed="false">
      <c r="A23" s="42" t="n">
        <v>46401.4902777778</v>
      </c>
      <c r="B23" s="10" t="s">
        <v>1689</v>
      </c>
      <c r="C23" s="10" t="s">
        <v>1554</v>
      </c>
      <c r="F23" s="10" t="s">
        <v>1676</v>
      </c>
      <c r="G23" s="10" t="s">
        <v>491</v>
      </c>
    </row>
    <row r="24" customFormat="false" ht="15" hidden="false" customHeight="false" outlineLevel="0" collapsed="false">
      <c r="A24" s="42" t="n">
        <v>46401.5020833333</v>
      </c>
      <c r="B24" s="10" t="s">
        <v>1689</v>
      </c>
      <c r="C24" s="10" t="s">
        <v>1571</v>
      </c>
      <c r="D24" s="0" t="n">
        <v>5</v>
      </c>
      <c r="E24" s="10" t="s">
        <v>1571</v>
      </c>
    </row>
    <row r="25" customFormat="false" ht="15" hidden="false" customHeight="false" outlineLevel="0" collapsed="false">
      <c r="A25" s="42" t="n">
        <v>46401.5034722222</v>
      </c>
      <c r="B25" s="10" t="s">
        <v>1690</v>
      </c>
      <c r="C25" s="10" t="s">
        <v>1571</v>
      </c>
      <c r="D25" s="0" t="n">
        <v>3</v>
      </c>
      <c r="E25" s="10" t="s">
        <v>1678</v>
      </c>
    </row>
    <row r="26" customFormat="false" ht="15" hidden="false" customHeight="false" outlineLevel="0" collapsed="false">
      <c r="A26" s="42" t="n">
        <v>46401.6208333333</v>
      </c>
      <c r="B26" s="10" t="s">
        <v>1693</v>
      </c>
      <c r="C26" s="10" t="s">
        <v>1571</v>
      </c>
      <c r="D26" s="0" t="n">
        <v>3</v>
      </c>
      <c r="E26" s="10" t="s">
        <v>1554</v>
      </c>
    </row>
    <row r="27" customFormat="false" ht="15" hidden="false" customHeight="false" outlineLevel="0" collapsed="false">
      <c r="A27" s="42" t="n">
        <v>46401.6986111111</v>
      </c>
      <c r="B27" s="10" t="s">
        <v>1693</v>
      </c>
      <c r="C27" s="10" t="s">
        <v>1571</v>
      </c>
      <c r="D27" s="0" t="n">
        <v>4</v>
      </c>
      <c r="E27" s="10" t="s">
        <v>1571</v>
      </c>
      <c r="G27" s="10" t="s">
        <v>1684</v>
      </c>
    </row>
    <row r="28" customFormat="false" ht="15" hidden="false" customHeight="false" outlineLevel="0" collapsed="false">
      <c r="A28" s="42" t="n">
        <v>46401.7055555556</v>
      </c>
      <c r="B28" s="10" t="s">
        <v>1693</v>
      </c>
      <c r="C28" s="10" t="s">
        <v>1571</v>
      </c>
      <c r="D28" s="0" t="n">
        <v>4</v>
      </c>
      <c r="E28" s="10" t="s">
        <v>1554</v>
      </c>
      <c r="G28" s="10" t="s">
        <v>492</v>
      </c>
    </row>
    <row r="29" customFormat="false" ht="15" hidden="false" customHeight="false" outlineLevel="0" collapsed="false">
      <c r="A29" s="42" t="n">
        <v>46402.3875</v>
      </c>
      <c r="B29" s="10" t="s">
        <v>1692</v>
      </c>
      <c r="C29" s="10" t="s">
        <v>1554</v>
      </c>
      <c r="F29" s="10" t="s">
        <v>1679</v>
      </c>
    </row>
    <row r="30" customFormat="false" ht="15" hidden="false" customHeight="false" outlineLevel="0" collapsed="false">
      <c r="A30" s="42" t="n">
        <v>46402.4173611111</v>
      </c>
      <c r="B30" s="10" t="s">
        <v>1693</v>
      </c>
      <c r="C30" s="10" t="s">
        <v>1554</v>
      </c>
      <c r="F30" s="10" t="s">
        <v>1679</v>
      </c>
    </row>
    <row r="31" customFormat="false" ht="15" hidden="false" customHeight="false" outlineLevel="0" collapsed="false">
      <c r="A31" s="42" t="n">
        <v>46402.6256944445</v>
      </c>
      <c r="B31" s="10" t="s">
        <v>1689</v>
      </c>
      <c r="C31" s="10" t="s">
        <v>1571</v>
      </c>
      <c r="D31" s="0" t="n">
        <v>4</v>
      </c>
      <c r="E31" s="10" t="s">
        <v>1678</v>
      </c>
      <c r="G31" s="10" t="s">
        <v>511</v>
      </c>
    </row>
    <row r="32" customFormat="false" ht="15" hidden="false" customHeight="false" outlineLevel="0" collapsed="false">
      <c r="A32" s="42" t="n">
        <v>46406.4173611111</v>
      </c>
      <c r="B32" s="10" t="s">
        <v>1690</v>
      </c>
      <c r="C32" s="10" t="s">
        <v>1571</v>
      </c>
      <c r="D32" s="0" t="n">
        <v>4</v>
      </c>
      <c r="E32" s="10" t="s">
        <v>1678</v>
      </c>
    </row>
    <row r="33" customFormat="false" ht="15" hidden="false" customHeight="false" outlineLevel="0" collapsed="false">
      <c r="A33" s="42" t="n">
        <v>46406.5458333333</v>
      </c>
      <c r="B33" s="10" t="s">
        <v>1691</v>
      </c>
      <c r="C33" s="10" t="s">
        <v>1554</v>
      </c>
      <c r="F33" s="10" t="s">
        <v>1676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1694</v>
      </c>
      <c r="D1" s="41" t="s">
        <v>1666</v>
      </c>
      <c r="E1" s="41" t="s">
        <v>1667</v>
      </c>
      <c r="F1" s="41" t="s">
        <v>1668</v>
      </c>
      <c r="G1" s="41" t="s">
        <v>1695</v>
      </c>
    </row>
    <row r="2" customFormat="false" ht="15" hidden="false" customHeight="false" outlineLevel="0" collapsed="false">
      <c r="A2" s="42" t="n">
        <v>46427.38125</v>
      </c>
      <c r="B2" s="10" t="s">
        <v>1696</v>
      </c>
      <c r="C2" s="10" t="s">
        <v>1571</v>
      </c>
      <c r="D2" s="0" t="n">
        <v>5</v>
      </c>
      <c r="E2" s="10" t="s">
        <v>1571</v>
      </c>
      <c r="G2" s="10" t="s">
        <v>526</v>
      </c>
    </row>
    <row r="3" customFormat="false" ht="15" hidden="false" customHeight="false" outlineLevel="0" collapsed="false">
      <c r="A3" s="42" t="n">
        <v>46427.3965277778</v>
      </c>
      <c r="B3" s="10" t="s">
        <v>1697</v>
      </c>
      <c r="C3" s="10" t="s">
        <v>1554</v>
      </c>
      <c r="F3" s="10" t="s">
        <v>1679</v>
      </c>
      <c r="G3" s="10" t="s">
        <v>1681</v>
      </c>
    </row>
    <row r="4" customFormat="false" ht="15" hidden="false" customHeight="false" outlineLevel="0" collapsed="false">
      <c r="A4" s="42" t="n">
        <v>46427.3986111111</v>
      </c>
      <c r="B4" s="10" t="s">
        <v>1698</v>
      </c>
      <c r="C4" s="10" t="s">
        <v>1571</v>
      </c>
      <c r="D4" s="0" t="n">
        <v>5</v>
      </c>
      <c r="E4" s="10" t="s">
        <v>1678</v>
      </c>
      <c r="G4" s="10" t="s">
        <v>527</v>
      </c>
    </row>
    <row r="5" customFormat="false" ht="15" hidden="false" customHeight="false" outlineLevel="0" collapsed="false">
      <c r="A5" s="42" t="n">
        <v>46427.4013888889</v>
      </c>
      <c r="B5" s="10" t="s">
        <v>1699</v>
      </c>
      <c r="C5" s="10" t="s">
        <v>1571</v>
      </c>
      <c r="D5" s="0" t="n">
        <v>5</v>
      </c>
      <c r="E5" s="10" t="s">
        <v>1678</v>
      </c>
      <c r="G5" s="10" t="s">
        <v>528</v>
      </c>
    </row>
    <row r="6" customFormat="false" ht="15" hidden="false" customHeight="false" outlineLevel="0" collapsed="false">
      <c r="A6" s="42" t="n">
        <v>46427.4055555556</v>
      </c>
      <c r="B6" s="10" t="s">
        <v>1698</v>
      </c>
      <c r="C6" s="10" t="s">
        <v>1571</v>
      </c>
      <c r="D6" s="0" t="n">
        <v>4</v>
      </c>
      <c r="E6" s="10" t="s">
        <v>1571</v>
      </c>
    </row>
    <row r="7" customFormat="false" ht="15" hidden="false" customHeight="false" outlineLevel="0" collapsed="false">
      <c r="A7" s="42" t="n">
        <v>46427.41875</v>
      </c>
      <c r="B7" s="10" t="s">
        <v>1698</v>
      </c>
      <c r="C7" s="10" t="s">
        <v>1571</v>
      </c>
      <c r="D7" s="0" t="n">
        <v>3</v>
      </c>
      <c r="E7" s="10" t="s">
        <v>1571</v>
      </c>
      <c r="G7" s="10" t="s">
        <v>511</v>
      </c>
    </row>
    <row r="8" customFormat="false" ht="15" hidden="false" customHeight="false" outlineLevel="0" collapsed="false">
      <c r="A8" s="42" t="n">
        <v>46427.4305555556</v>
      </c>
      <c r="B8" s="10" t="s">
        <v>1700</v>
      </c>
      <c r="C8" s="10" t="s">
        <v>1571</v>
      </c>
      <c r="D8" s="0" t="n">
        <v>5</v>
      </c>
      <c r="E8" s="10" t="s">
        <v>1571</v>
      </c>
    </row>
    <row r="9" customFormat="false" ht="15" hidden="false" customHeight="false" outlineLevel="0" collapsed="false">
      <c r="A9" s="42" t="n">
        <v>46427.4493055556</v>
      </c>
      <c r="B9" s="10" t="s">
        <v>1699</v>
      </c>
      <c r="C9" s="10" t="s">
        <v>1571</v>
      </c>
      <c r="D9" s="0" t="n">
        <v>4</v>
      </c>
      <c r="E9" s="10" t="s">
        <v>1571</v>
      </c>
      <c r="G9" s="10" t="s">
        <v>511</v>
      </c>
    </row>
    <row r="10" customFormat="false" ht="15" hidden="false" customHeight="false" outlineLevel="0" collapsed="false">
      <c r="A10" s="42" t="n">
        <v>46427.4590277778</v>
      </c>
      <c r="B10" s="10" t="s">
        <v>1698</v>
      </c>
      <c r="C10" s="10" t="s">
        <v>1571</v>
      </c>
      <c r="D10" s="0" t="n">
        <v>4</v>
      </c>
      <c r="E10" s="10" t="s">
        <v>1554</v>
      </c>
    </row>
    <row r="11" customFormat="false" ht="15" hidden="false" customHeight="false" outlineLevel="0" collapsed="false">
      <c r="A11" s="42" t="n">
        <v>46427.4611111111</v>
      </c>
      <c r="B11" s="10" t="s">
        <v>1701</v>
      </c>
      <c r="C11" s="10" t="s">
        <v>1571</v>
      </c>
      <c r="D11" s="0" t="n">
        <v>4</v>
      </c>
      <c r="E11" s="10" t="s">
        <v>1678</v>
      </c>
      <c r="G11" s="10" t="s">
        <v>492</v>
      </c>
    </row>
    <row r="12" customFormat="false" ht="15" hidden="false" customHeight="false" outlineLevel="0" collapsed="false">
      <c r="A12" s="42" t="n">
        <v>46427.4666666667</v>
      </c>
      <c r="B12" s="10" t="s">
        <v>1702</v>
      </c>
      <c r="C12" s="10" t="s">
        <v>1571</v>
      </c>
      <c r="D12" s="0" t="n">
        <v>4</v>
      </c>
      <c r="E12" s="10" t="s">
        <v>1678</v>
      </c>
    </row>
    <row r="13" customFormat="false" ht="15" hidden="false" customHeight="false" outlineLevel="0" collapsed="false">
      <c r="A13" s="42" t="n">
        <v>46427.4736111111</v>
      </c>
      <c r="B13" s="10" t="s">
        <v>1698</v>
      </c>
      <c r="C13" s="10" t="s">
        <v>1571</v>
      </c>
      <c r="D13" s="0" t="n">
        <v>5</v>
      </c>
      <c r="E13" s="10" t="s">
        <v>1678</v>
      </c>
      <c r="G13" s="10" t="s">
        <v>1685</v>
      </c>
    </row>
    <row r="14" customFormat="false" ht="15" hidden="false" customHeight="false" outlineLevel="0" collapsed="false">
      <c r="A14" s="42" t="n">
        <v>46427.4972222222</v>
      </c>
      <c r="B14" s="10" t="s">
        <v>1702</v>
      </c>
      <c r="C14" s="10" t="s">
        <v>1554</v>
      </c>
      <c r="F14" s="10" t="s">
        <v>1683</v>
      </c>
      <c r="G14" s="10" t="s">
        <v>511</v>
      </c>
    </row>
    <row r="15" customFormat="false" ht="15" hidden="false" customHeight="false" outlineLevel="0" collapsed="false">
      <c r="A15" s="42" t="n">
        <v>46427.5118055556</v>
      </c>
      <c r="B15" s="10" t="s">
        <v>1703</v>
      </c>
      <c r="C15" s="10" t="s">
        <v>1571</v>
      </c>
      <c r="D15" s="0" t="n">
        <v>5</v>
      </c>
      <c r="E15" s="10" t="s">
        <v>1571</v>
      </c>
    </row>
    <row r="16" customFormat="false" ht="15" hidden="false" customHeight="false" outlineLevel="0" collapsed="false">
      <c r="A16" s="42" t="n">
        <v>46427.5291666667</v>
      </c>
      <c r="B16" s="10" t="s">
        <v>1697</v>
      </c>
      <c r="C16" s="10" t="s">
        <v>1554</v>
      </c>
      <c r="F16" s="10" t="s">
        <v>1679</v>
      </c>
      <c r="G16" s="10" t="s">
        <v>491</v>
      </c>
    </row>
    <row r="17" customFormat="false" ht="15" hidden="false" customHeight="false" outlineLevel="0" collapsed="false">
      <c r="A17" s="42" t="n">
        <v>46427.5319444445</v>
      </c>
      <c r="B17" s="10" t="s">
        <v>1704</v>
      </c>
      <c r="C17" s="10" t="s">
        <v>1571</v>
      </c>
      <c r="D17" s="0" t="n">
        <v>4</v>
      </c>
      <c r="E17" s="10" t="s">
        <v>1554</v>
      </c>
      <c r="G17" s="10" t="s">
        <v>491</v>
      </c>
    </row>
    <row r="18" customFormat="false" ht="15" hidden="false" customHeight="false" outlineLevel="0" collapsed="false">
      <c r="A18" s="42" t="n">
        <v>46427.5701388889</v>
      </c>
      <c r="B18" s="10" t="s">
        <v>1704</v>
      </c>
      <c r="C18" s="10" t="s">
        <v>1571</v>
      </c>
      <c r="D18" s="0" t="n">
        <v>4</v>
      </c>
      <c r="E18" s="10" t="s">
        <v>1571</v>
      </c>
      <c r="G18" s="10" t="s">
        <v>512</v>
      </c>
    </row>
    <row r="19" customFormat="false" ht="15" hidden="false" customHeight="false" outlineLevel="0" collapsed="false">
      <c r="A19" s="42" t="n">
        <v>46427.6215277778</v>
      </c>
      <c r="B19" s="10" t="s">
        <v>1697</v>
      </c>
      <c r="C19" s="10" t="s">
        <v>1571</v>
      </c>
      <c r="D19" s="0" t="n">
        <v>3</v>
      </c>
      <c r="E19" s="10" t="s">
        <v>1554</v>
      </c>
      <c r="G19" s="10" t="s">
        <v>1685</v>
      </c>
    </row>
    <row r="20" customFormat="false" ht="15" hidden="false" customHeight="false" outlineLevel="0" collapsed="false">
      <c r="A20" s="42" t="n">
        <v>46427.6256944445</v>
      </c>
      <c r="B20" s="10" t="s">
        <v>1705</v>
      </c>
      <c r="C20" s="10" t="s">
        <v>1554</v>
      </c>
      <c r="F20" s="10" t="s">
        <v>1676</v>
      </c>
    </row>
    <row r="21" customFormat="false" ht="15" hidden="false" customHeight="false" outlineLevel="0" collapsed="false">
      <c r="A21" s="42" t="n">
        <v>46427.6277777778</v>
      </c>
      <c r="B21" s="10" t="s">
        <v>1704</v>
      </c>
      <c r="C21" s="10" t="s">
        <v>1571</v>
      </c>
      <c r="D21" s="0" t="n">
        <v>3</v>
      </c>
      <c r="E21" s="10" t="s">
        <v>1571</v>
      </c>
      <c r="G21" s="10" t="s">
        <v>510</v>
      </c>
    </row>
    <row r="22" customFormat="false" ht="15" hidden="false" customHeight="false" outlineLevel="0" collapsed="false">
      <c r="A22" s="42" t="n">
        <v>46427.6576388889</v>
      </c>
      <c r="B22" s="10" t="s">
        <v>1696</v>
      </c>
      <c r="C22" s="10" t="s">
        <v>1571</v>
      </c>
      <c r="D22" s="0" t="n">
        <v>4</v>
      </c>
      <c r="E22" s="10" t="s">
        <v>1554</v>
      </c>
    </row>
    <row r="23" customFormat="false" ht="15" hidden="false" customHeight="false" outlineLevel="0" collapsed="false">
      <c r="A23" s="42" t="n">
        <v>46427.6652777778</v>
      </c>
      <c r="B23" s="10" t="s">
        <v>1703</v>
      </c>
      <c r="C23" s="10" t="s">
        <v>1554</v>
      </c>
      <c r="F23" s="10" t="s">
        <v>1676</v>
      </c>
    </row>
    <row r="24" customFormat="false" ht="15" hidden="false" customHeight="false" outlineLevel="0" collapsed="false">
      <c r="A24" s="42" t="n">
        <v>46427.675</v>
      </c>
      <c r="B24" s="10" t="s">
        <v>1704</v>
      </c>
      <c r="C24" s="10" t="s">
        <v>1554</v>
      </c>
      <c r="F24" s="10" t="s">
        <v>1683</v>
      </c>
      <c r="G24" s="10" t="s">
        <v>511</v>
      </c>
    </row>
    <row r="25" customFormat="false" ht="15" hidden="false" customHeight="false" outlineLevel="0" collapsed="false">
      <c r="A25" s="42" t="n">
        <v>46427.6888888889</v>
      </c>
      <c r="B25" s="10" t="s">
        <v>1700</v>
      </c>
      <c r="C25" s="10" t="s">
        <v>1571</v>
      </c>
      <c r="D25" s="0" t="n">
        <v>4</v>
      </c>
      <c r="E25" s="10" t="s">
        <v>1554</v>
      </c>
    </row>
    <row r="26" customFormat="false" ht="15" hidden="false" customHeight="false" outlineLevel="0" collapsed="false">
      <c r="A26" s="42" t="n">
        <v>46427.7006944444</v>
      </c>
      <c r="B26" s="10" t="s">
        <v>1700</v>
      </c>
      <c r="C26" s="10" t="s">
        <v>1571</v>
      </c>
      <c r="D26" s="0" t="n">
        <v>5</v>
      </c>
      <c r="E26" s="10" t="s">
        <v>1571</v>
      </c>
      <c r="G26" s="10" t="s">
        <v>512</v>
      </c>
    </row>
    <row r="27" customFormat="false" ht="15" hidden="false" customHeight="false" outlineLevel="0" collapsed="false">
      <c r="A27" s="42" t="n">
        <v>46428.4152777778</v>
      </c>
      <c r="B27" s="10" t="s">
        <v>1700</v>
      </c>
      <c r="C27" s="10" t="s">
        <v>1571</v>
      </c>
      <c r="D27" s="0" t="n">
        <v>4</v>
      </c>
      <c r="E27" s="10" t="s">
        <v>1571</v>
      </c>
      <c r="G27" s="10" t="s">
        <v>1681</v>
      </c>
    </row>
    <row r="28" customFormat="false" ht="15" hidden="false" customHeight="false" outlineLevel="0" collapsed="false">
      <c r="A28" s="42" t="n">
        <v>46428.4208333333</v>
      </c>
      <c r="B28" s="10" t="s">
        <v>1703</v>
      </c>
      <c r="C28" s="10" t="s">
        <v>1554</v>
      </c>
      <c r="F28" s="10" t="s">
        <v>1679</v>
      </c>
    </row>
    <row r="29" customFormat="false" ht="15" hidden="false" customHeight="false" outlineLevel="0" collapsed="false">
      <c r="A29" s="42" t="n">
        <v>46428.4361111111</v>
      </c>
      <c r="B29" s="10" t="s">
        <v>1704</v>
      </c>
      <c r="C29" s="10" t="s">
        <v>1571</v>
      </c>
      <c r="D29" s="0" t="n">
        <v>4</v>
      </c>
      <c r="E29" s="10" t="s">
        <v>1678</v>
      </c>
      <c r="G29" s="10" t="s">
        <v>1684</v>
      </c>
    </row>
    <row r="30" customFormat="false" ht="15" hidden="false" customHeight="false" outlineLevel="0" collapsed="false">
      <c r="A30" s="42" t="n">
        <v>46428.4368055556</v>
      </c>
      <c r="B30" s="10" t="s">
        <v>1705</v>
      </c>
      <c r="C30" s="10" t="s">
        <v>1571</v>
      </c>
      <c r="D30" s="0" t="n">
        <v>4</v>
      </c>
      <c r="E30" s="10" t="s">
        <v>1678</v>
      </c>
    </row>
    <row r="31" customFormat="false" ht="15" hidden="false" customHeight="false" outlineLevel="0" collapsed="false">
      <c r="A31" s="42" t="n">
        <v>46428.44375</v>
      </c>
      <c r="B31" s="10" t="s">
        <v>1703</v>
      </c>
      <c r="C31" s="10" t="s">
        <v>1571</v>
      </c>
      <c r="D31" s="0" t="n">
        <v>4</v>
      </c>
      <c r="E31" s="10" t="s">
        <v>1678</v>
      </c>
    </row>
    <row r="32" customFormat="false" ht="15" hidden="false" customHeight="false" outlineLevel="0" collapsed="false">
      <c r="A32" s="42" t="n">
        <v>46428.4673611111</v>
      </c>
      <c r="B32" s="10" t="s">
        <v>1702</v>
      </c>
      <c r="C32" s="10" t="s">
        <v>1554</v>
      </c>
      <c r="F32" s="10" t="s">
        <v>1676</v>
      </c>
    </row>
    <row r="33" customFormat="false" ht="15" hidden="false" customHeight="false" outlineLevel="0" collapsed="false">
      <c r="A33" s="42" t="n">
        <v>46428.4916666667</v>
      </c>
      <c r="B33" s="10" t="s">
        <v>1696</v>
      </c>
      <c r="C33" s="10" t="s">
        <v>1554</v>
      </c>
      <c r="F33" s="10" t="s">
        <v>1679</v>
      </c>
    </row>
    <row r="34" customFormat="false" ht="15" hidden="false" customHeight="false" outlineLevel="0" collapsed="false">
      <c r="A34" s="42" t="n">
        <v>46428.5201388889</v>
      </c>
      <c r="B34" s="10" t="s">
        <v>1698</v>
      </c>
      <c r="C34" s="10" t="s">
        <v>1571</v>
      </c>
      <c r="D34" s="0" t="n">
        <v>4</v>
      </c>
      <c r="E34" s="10" t="s">
        <v>1554</v>
      </c>
      <c r="G34" s="10" t="s">
        <v>1684</v>
      </c>
    </row>
    <row r="35" customFormat="false" ht="15" hidden="false" customHeight="false" outlineLevel="0" collapsed="false">
      <c r="A35" s="42" t="n">
        <v>46428.5215277778</v>
      </c>
      <c r="B35" s="10" t="s">
        <v>1700</v>
      </c>
      <c r="C35" s="10" t="s">
        <v>1571</v>
      </c>
      <c r="D35" s="0" t="n">
        <v>5</v>
      </c>
      <c r="E35" s="10" t="s">
        <v>1571</v>
      </c>
    </row>
    <row r="36" customFormat="false" ht="15" hidden="false" customHeight="false" outlineLevel="0" collapsed="false">
      <c r="A36" s="42" t="n">
        <v>46428.5354166667</v>
      </c>
      <c r="B36" s="10" t="s">
        <v>1703</v>
      </c>
      <c r="C36" s="10" t="s">
        <v>1554</v>
      </c>
      <c r="F36" s="10" t="s">
        <v>1683</v>
      </c>
    </row>
    <row r="37" customFormat="false" ht="15" hidden="false" customHeight="false" outlineLevel="0" collapsed="false">
      <c r="A37" s="42" t="n">
        <v>46428.5375</v>
      </c>
      <c r="B37" s="10" t="s">
        <v>1698</v>
      </c>
      <c r="C37" s="10" t="s">
        <v>1571</v>
      </c>
      <c r="D37" s="0" t="n">
        <v>4</v>
      </c>
      <c r="E37" s="10" t="s">
        <v>1678</v>
      </c>
    </row>
    <row r="38" customFormat="false" ht="15" hidden="false" customHeight="false" outlineLevel="0" collapsed="false">
      <c r="A38" s="42" t="n">
        <v>46428.5493055556</v>
      </c>
      <c r="B38" s="10" t="s">
        <v>1704</v>
      </c>
      <c r="C38" s="10" t="s">
        <v>1554</v>
      </c>
      <c r="F38" s="10" t="s">
        <v>1676</v>
      </c>
      <c r="G38" s="10" t="s">
        <v>512</v>
      </c>
    </row>
    <row r="39" customFormat="false" ht="15" hidden="false" customHeight="false" outlineLevel="0" collapsed="false">
      <c r="A39" s="42" t="n">
        <v>46428.5527777778</v>
      </c>
      <c r="B39" s="10" t="s">
        <v>1700</v>
      </c>
      <c r="C39" s="10" t="s">
        <v>1571</v>
      </c>
      <c r="D39" s="0" t="n">
        <v>3</v>
      </c>
      <c r="E39" s="10" t="s">
        <v>1678</v>
      </c>
    </row>
    <row r="40" customFormat="false" ht="15" hidden="false" customHeight="false" outlineLevel="0" collapsed="false">
      <c r="A40" s="42" t="n">
        <v>46428.5611111111</v>
      </c>
      <c r="B40" s="10" t="s">
        <v>1705</v>
      </c>
      <c r="C40" s="10" t="s">
        <v>1554</v>
      </c>
      <c r="F40" s="10" t="s">
        <v>1679</v>
      </c>
    </row>
    <row r="41" customFormat="false" ht="15" hidden="false" customHeight="false" outlineLevel="0" collapsed="false">
      <c r="A41" s="42" t="n">
        <v>46428.6097222222</v>
      </c>
      <c r="B41" s="10" t="s">
        <v>1705</v>
      </c>
      <c r="C41" s="10" t="s">
        <v>1571</v>
      </c>
      <c r="D41" s="0" t="n">
        <v>3</v>
      </c>
      <c r="E41" s="10" t="s">
        <v>1554</v>
      </c>
    </row>
    <row r="42" customFormat="false" ht="15" hidden="false" customHeight="false" outlineLevel="0" collapsed="false">
      <c r="A42" s="42" t="n">
        <v>46428.6409722222</v>
      </c>
      <c r="B42" s="10" t="s">
        <v>1702</v>
      </c>
      <c r="C42" s="10" t="s">
        <v>1571</v>
      </c>
      <c r="D42" s="0" t="n">
        <v>4</v>
      </c>
      <c r="E42" s="10" t="s">
        <v>1571</v>
      </c>
    </row>
    <row r="43" customFormat="false" ht="15" hidden="false" customHeight="false" outlineLevel="0" collapsed="false">
      <c r="A43" s="42" t="n">
        <v>46428.6631944445</v>
      </c>
      <c r="B43" s="10" t="s">
        <v>1703</v>
      </c>
      <c r="C43" s="10" t="s">
        <v>1571</v>
      </c>
      <c r="D43" s="0" t="n">
        <v>4</v>
      </c>
      <c r="E43" s="10" t="s">
        <v>1571</v>
      </c>
    </row>
    <row r="44" customFormat="false" ht="15" hidden="false" customHeight="false" outlineLevel="0" collapsed="false">
      <c r="A44" s="42" t="n">
        <v>46428.6840277778</v>
      </c>
      <c r="B44" s="10" t="s">
        <v>1701</v>
      </c>
      <c r="C44" s="10" t="s">
        <v>1554</v>
      </c>
      <c r="F44" s="10" t="s">
        <v>1683</v>
      </c>
      <c r="G44" s="10" t="s">
        <v>511</v>
      </c>
    </row>
    <row r="45" customFormat="false" ht="15" hidden="false" customHeight="false" outlineLevel="0" collapsed="false">
      <c r="A45" s="42" t="n">
        <v>46428.6847222222</v>
      </c>
      <c r="B45" s="10" t="s">
        <v>1698</v>
      </c>
      <c r="C45" s="10" t="s">
        <v>1571</v>
      </c>
      <c r="D45" s="0" t="n">
        <v>4</v>
      </c>
      <c r="E45" s="10" t="s">
        <v>1571</v>
      </c>
      <c r="G45" s="10" t="s">
        <v>511</v>
      </c>
    </row>
    <row r="46" customFormat="false" ht="15" hidden="false" customHeight="false" outlineLevel="0" collapsed="false">
      <c r="A46" s="42" t="n">
        <v>46428.6930555556</v>
      </c>
      <c r="B46" s="10" t="s">
        <v>1699</v>
      </c>
      <c r="C46" s="10" t="s">
        <v>1571</v>
      </c>
      <c r="D46" s="0" t="n">
        <v>4</v>
      </c>
      <c r="E46" s="10" t="s">
        <v>1678</v>
      </c>
      <c r="G46" s="10" t="s">
        <v>510</v>
      </c>
    </row>
    <row r="47" customFormat="false" ht="15" hidden="false" customHeight="false" outlineLevel="0" collapsed="false">
      <c r="A47" s="42" t="n">
        <v>46429.38125</v>
      </c>
      <c r="B47" s="10" t="s">
        <v>1696</v>
      </c>
      <c r="C47" s="10" t="s">
        <v>1554</v>
      </c>
      <c r="F47" s="10" t="s">
        <v>1679</v>
      </c>
    </row>
    <row r="48" customFormat="false" ht="15" hidden="false" customHeight="false" outlineLevel="0" collapsed="false">
      <c r="A48" s="42" t="n">
        <v>46429.3895833333</v>
      </c>
      <c r="B48" s="10" t="s">
        <v>1698</v>
      </c>
      <c r="C48" s="10" t="s">
        <v>1571</v>
      </c>
      <c r="D48" s="0" t="n">
        <v>5</v>
      </c>
      <c r="E48" s="10" t="s">
        <v>1571</v>
      </c>
    </row>
    <row r="49" customFormat="false" ht="15" hidden="false" customHeight="false" outlineLevel="0" collapsed="false">
      <c r="A49" s="42" t="n">
        <v>46429.3916666667</v>
      </c>
      <c r="B49" s="10" t="s">
        <v>1705</v>
      </c>
      <c r="C49" s="10" t="s">
        <v>1571</v>
      </c>
      <c r="D49" s="0" t="n">
        <v>4</v>
      </c>
      <c r="E49" s="10" t="s">
        <v>1678</v>
      </c>
      <c r="G49" s="10" t="s">
        <v>1684</v>
      </c>
    </row>
    <row r="50" customFormat="false" ht="15" hidden="false" customHeight="false" outlineLevel="0" collapsed="false">
      <c r="A50" s="42" t="n">
        <v>46429.4090277778</v>
      </c>
      <c r="B50" s="10" t="s">
        <v>1697</v>
      </c>
      <c r="C50" s="10" t="s">
        <v>1571</v>
      </c>
      <c r="D50" s="0" t="n">
        <v>4</v>
      </c>
      <c r="E50" s="10" t="s">
        <v>1571</v>
      </c>
    </row>
    <row r="51" customFormat="false" ht="15" hidden="false" customHeight="false" outlineLevel="0" collapsed="false">
      <c r="A51" s="42" t="n">
        <v>46429.4131944445</v>
      </c>
      <c r="B51" s="10" t="s">
        <v>1699</v>
      </c>
      <c r="C51" s="10" t="s">
        <v>1571</v>
      </c>
      <c r="D51" s="0" t="n">
        <v>3</v>
      </c>
      <c r="E51" s="10" t="s">
        <v>1571</v>
      </c>
    </row>
    <row r="52" customFormat="false" ht="15" hidden="false" customHeight="false" outlineLevel="0" collapsed="false">
      <c r="A52" s="42" t="n">
        <v>46429.4291666667</v>
      </c>
      <c r="B52" s="10" t="s">
        <v>1699</v>
      </c>
      <c r="C52" s="10" t="s">
        <v>1571</v>
      </c>
      <c r="D52" s="0" t="n">
        <v>4</v>
      </c>
      <c r="E52" s="10" t="s">
        <v>1554</v>
      </c>
      <c r="G52" s="10" t="s">
        <v>510</v>
      </c>
    </row>
    <row r="53" customFormat="false" ht="15" hidden="false" customHeight="false" outlineLevel="0" collapsed="false">
      <c r="A53" s="42" t="n">
        <v>46429.4625</v>
      </c>
      <c r="B53" s="10" t="s">
        <v>1701</v>
      </c>
      <c r="C53" s="10" t="s">
        <v>1571</v>
      </c>
      <c r="D53" s="0" t="n">
        <v>4</v>
      </c>
      <c r="E53" s="10" t="s">
        <v>1678</v>
      </c>
    </row>
    <row r="54" customFormat="false" ht="15" hidden="false" customHeight="false" outlineLevel="0" collapsed="false">
      <c r="A54" s="42" t="n">
        <v>46429.46875</v>
      </c>
      <c r="B54" s="10" t="s">
        <v>1701</v>
      </c>
      <c r="C54" s="10" t="s">
        <v>1554</v>
      </c>
      <c r="F54" s="10" t="s">
        <v>1679</v>
      </c>
    </row>
    <row r="55" customFormat="false" ht="15" hidden="false" customHeight="false" outlineLevel="0" collapsed="false">
      <c r="A55" s="42" t="n">
        <v>46429.4951388889</v>
      </c>
      <c r="B55" s="10" t="s">
        <v>1705</v>
      </c>
      <c r="C55" s="10" t="s">
        <v>1554</v>
      </c>
      <c r="F55" s="10" t="s">
        <v>1679</v>
      </c>
    </row>
    <row r="56" customFormat="false" ht="15" hidden="false" customHeight="false" outlineLevel="0" collapsed="false">
      <c r="A56" s="42" t="n">
        <v>46429.5048611111</v>
      </c>
      <c r="B56" s="10" t="s">
        <v>1696</v>
      </c>
      <c r="C56" s="10" t="s">
        <v>1571</v>
      </c>
      <c r="D56" s="0" t="n">
        <v>5</v>
      </c>
      <c r="E56" s="10" t="s">
        <v>1571</v>
      </c>
    </row>
    <row r="57" customFormat="false" ht="15" hidden="false" customHeight="false" outlineLevel="0" collapsed="false">
      <c r="A57" s="42" t="n">
        <v>46429.5104166667</v>
      </c>
      <c r="B57" s="10" t="s">
        <v>1701</v>
      </c>
      <c r="C57" s="10" t="s">
        <v>1571</v>
      </c>
      <c r="D57" s="0" t="n">
        <v>3</v>
      </c>
      <c r="E57" s="10" t="s">
        <v>1571</v>
      </c>
      <c r="G57" s="10" t="s">
        <v>1685</v>
      </c>
    </row>
    <row r="58" customFormat="false" ht="15" hidden="false" customHeight="false" outlineLevel="0" collapsed="false">
      <c r="A58" s="42" t="n">
        <v>46429.5194444444</v>
      </c>
      <c r="B58" s="10" t="s">
        <v>1697</v>
      </c>
      <c r="C58" s="10" t="s">
        <v>1571</v>
      </c>
      <c r="D58" s="0" t="n">
        <v>4</v>
      </c>
      <c r="E58" s="10" t="s">
        <v>1571</v>
      </c>
    </row>
    <row r="59" customFormat="false" ht="15" hidden="false" customHeight="false" outlineLevel="0" collapsed="false">
      <c r="A59" s="42" t="n">
        <v>46429.5229166667</v>
      </c>
      <c r="B59" s="10" t="s">
        <v>1696</v>
      </c>
      <c r="C59" s="10" t="s">
        <v>1571</v>
      </c>
      <c r="D59" s="0" t="n">
        <v>3</v>
      </c>
      <c r="E59" s="10" t="s">
        <v>1571</v>
      </c>
    </row>
    <row r="60" customFormat="false" ht="15" hidden="false" customHeight="false" outlineLevel="0" collapsed="false">
      <c r="A60" s="42" t="n">
        <v>46429.5465277778</v>
      </c>
      <c r="B60" s="10" t="s">
        <v>1699</v>
      </c>
      <c r="C60" s="10" t="s">
        <v>1571</v>
      </c>
      <c r="D60" s="0" t="n">
        <v>5</v>
      </c>
      <c r="E60" s="10" t="s">
        <v>1678</v>
      </c>
    </row>
    <row r="61" customFormat="false" ht="15" hidden="false" customHeight="false" outlineLevel="0" collapsed="false">
      <c r="A61" s="42" t="n">
        <v>46429.5590277778</v>
      </c>
      <c r="B61" s="10" t="s">
        <v>1704</v>
      </c>
      <c r="C61" s="10" t="s">
        <v>1554</v>
      </c>
      <c r="F61" s="10" t="s">
        <v>1679</v>
      </c>
    </row>
    <row r="62" customFormat="false" ht="15" hidden="false" customHeight="false" outlineLevel="0" collapsed="false">
      <c r="A62" s="42" t="n">
        <v>46429.5902777778</v>
      </c>
      <c r="B62" s="10" t="s">
        <v>1699</v>
      </c>
      <c r="C62" s="10" t="s">
        <v>1554</v>
      </c>
      <c r="F62" s="10" t="s">
        <v>1679</v>
      </c>
    </row>
    <row r="63" customFormat="false" ht="15" hidden="false" customHeight="false" outlineLevel="0" collapsed="false">
      <c r="A63" s="42" t="n">
        <v>46429.5909722222</v>
      </c>
      <c r="B63" s="10" t="s">
        <v>1702</v>
      </c>
      <c r="C63" s="10" t="s">
        <v>1554</v>
      </c>
      <c r="F63" s="10" t="s">
        <v>1683</v>
      </c>
    </row>
    <row r="64" customFormat="false" ht="15" hidden="false" customHeight="false" outlineLevel="0" collapsed="false">
      <c r="A64" s="42" t="n">
        <v>46429.6055555556</v>
      </c>
      <c r="B64" s="10" t="s">
        <v>1700</v>
      </c>
      <c r="C64" s="10" t="s">
        <v>1571</v>
      </c>
      <c r="D64" s="0" t="n">
        <v>5</v>
      </c>
      <c r="E64" s="10" t="s">
        <v>1571</v>
      </c>
    </row>
    <row r="65" customFormat="false" ht="15" hidden="false" customHeight="false" outlineLevel="0" collapsed="false">
      <c r="A65" s="42" t="n">
        <v>46429.6111111111</v>
      </c>
      <c r="B65" s="10" t="s">
        <v>1702</v>
      </c>
      <c r="C65" s="10" t="s">
        <v>1571</v>
      </c>
      <c r="D65" s="0" t="n">
        <v>4</v>
      </c>
      <c r="E65" s="10" t="s">
        <v>1571</v>
      </c>
      <c r="G65" s="10" t="s">
        <v>510</v>
      </c>
    </row>
    <row r="66" customFormat="false" ht="15" hidden="false" customHeight="false" outlineLevel="0" collapsed="false">
      <c r="A66" s="42" t="n">
        <v>46429.6222222222</v>
      </c>
      <c r="B66" s="10" t="s">
        <v>1701</v>
      </c>
      <c r="C66" s="10" t="s">
        <v>1571</v>
      </c>
      <c r="D66" s="0" t="n">
        <v>4</v>
      </c>
      <c r="E66" s="10" t="s">
        <v>1554</v>
      </c>
    </row>
    <row r="67" customFormat="false" ht="15" hidden="false" customHeight="false" outlineLevel="0" collapsed="false">
      <c r="A67" s="42" t="n">
        <v>46429.6305555556</v>
      </c>
      <c r="B67" s="10" t="s">
        <v>1702</v>
      </c>
      <c r="C67" s="10" t="s">
        <v>1571</v>
      </c>
      <c r="D67" s="0" t="n">
        <v>3</v>
      </c>
      <c r="E67" s="10" t="s">
        <v>1571</v>
      </c>
      <c r="G67" s="10" t="s">
        <v>491</v>
      </c>
    </row>
    <row r="68" customFormat="false" ht="15" hidden="false" customHeight="false" outlineLevel="0" collapsed="false">
      <c r="A68" s="42" t="n">
        <v>46429.64375</v>
      </c>
      <c r="B68" s="10" t="s">
        <v>1702</v>
      </c>
      <c r="C68" s="10" t="s">
        <v>1571</v>
      </c>
      <c r="D68" s="0" t="n">
        <v>5</v>
      </c>
      <c r="E68" s="10" t="s">
        <v>1554</v>
      </c>
    </row>
    <row r="69" customFormat="false" ht="15" hidden="false" customHeight="false" outlineLevel="0" collapsed="false">
      <c r="A69" s="42" t="n">
        <v>46429.6472222222</v>
      </c>
      <c r="B69" s="10" t="s">
        <v>1699</v>
      </c>
      <c r="C69" s="10" t="s">
        <v>1554</v>
      </c>
      <c r="F69" s="10" t="s">
        <v>1676</v>
      </c>
      <c r="G69" s="10" t="s">
        <v>492</v>
      </c>
    </row>
    <row r="70" customFormat="false" ht="15" hidden="false" customHeight="false" outlineLevel="0" collapsed="false">
      <c r="A70" s="42" t="n">
        <v>46429.6506944444</v>
      </c>
      <c r="B70" s="10" t="s">
        <v>1703</v>
      </c>
      <c r="C70" s="10" t="s">
        <v>1571</v>
      </c>
      <c r="D70" s="0" t="n">
        <v>4</v>
      </c>
      <c r="E70" s="10" t="s">
        <v>1571</v>
      </c>
      <c r="G70" s="10" t="s">
        <v>1685</v>
      </c>
    </row>
    <row r="71" customFormat="false" ht="15" hidden="false" customHeight="false" outlineLevel="0" collapsed="false">
      <c r="A71" s="42" t="n">
        <v>46429.6784722222</v>
      </c>
      <c r="B71" s="10" t="s">
        <v>1697</v>
      </c>
      <c r="C71" s="10" t="s">
        <v>1571</v>
      </c>
      <c r="D71" s="0" t="n">
        <v>4</v>
      </c>
      <c r="E71" s="10" t="s">
        <v>1678</v>
      </c>
    </row>
    <row r="72" customFormat="false" ht="15" hidden="false" customHeight="false" outlineLevel="0" collapsed="false">
      <c r="A72" s="42" t="n">
        <v>46429.6805555556</v>
      </c>
      <c r="B72" s="10" t="s">
        <v>1704</v>
      </c>
      <c r="C72" s="10" t="s">
        <v>1571</v>
      </c>
      <c r="D72" s="0" t="n">
        <v>5</v>
      </c>
      <c r="E72" s="10" t="s">
        <v>1571</v>
      </c>
    </row>
    <row r="73" customFormat="false" ht="15" hidden="false" customHeight="false" outlineLevel="0" collapsed="false">
      <c r="A73" s="42" t="n">
        <v>46430.4583333333</v>
      </c>
      <c r="B73" s="10" t="s">
        <v>1700</v>
      </c>
      <c r="C73" s="10" t="s">
        <v>1554</v>
      </c>
      <c r="F73" s="10" t="s">
        <v>1676</v>
      </c>
    </row>
    <row r="74" customFormat="false" ht="15" hidden="false" customHeight="false" outlineLevel="0" collapsed="false">
      <c r="A74" s="42" t="n">
        <v>46430.5888888889</v>
      </c>
      <c r="B74" s="10" t="s">
        <v>1704</v>
      </c>
      <c r="C74" s="10" t="s">
        <v>1571</v>
      </c>
      <c r="D74" s="0" t="n">
        <v>5</v>
      </c>
      <c r="E74" s="10" t="s">
        <v>1571</v>
      </c>
    </row>
    <row r="75" customFormat="false" ht="15" hidden="false" customHeight="false" outlineLevel="0" collapsed="false">
      <c r="A75" s="42" t="n">
        <v>46430.6715277778</v>
      </c>
      <c r="B75" s="10" t="s">
        <v>1700</v>
      </c>
      <c r="C75" s="10" t="s">
        <v>1571</v>
      </c>
      <c r="D75" s="0" t="n">
        <v>5</v>
      </c>
      <c r="E75" s="10" t="s">
        <v>1554</v>
      </c>
    </row>
    <row r="76" customFormat="false" ht="15" hidden="false" customHeight="false" outlineLevel="0" collapsed="false">
      <c r="A76" s="42" t="n">
        <v>46430.6729166667</v>
      </c>
      <c r="B76" s="10" t="s">
        <v>1696</v>
      </c>
      <c r="C76" s="10" t="s">
        <v>1571</v>
      </c>
      <c r="D76" s="0" t="n">
        <v>4</v>
      </c>
      <c r="E76" s="10" t="s">
        <v>1678</v>
      </c>
      <c r="G76" s="10" t="s">
        <v>510</v>
      </c>
    </row>
    <row r="77" customFormat="false" ht="15" hidden="false" customHeight="false" outlineLevel="0" collapsed="false">
      <c r="A77" s="42" t="n">
        <v>46434.4611111111</v>
      </c>
      <c r="B77" s="10" t="s">
        <v>1698</v>
      </c>
      <c r="C77" s="10" t="s">
        <v>1554</v>
      </c>
      <c r="F77" s="10" t="s">
        <v>1679</v>
      </c>
      <c r="G77" s="10" t="s">
        <v>510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1706</v>
      </c>
      <c r="D1" s="41" t="s">
        <v>1666</v>
      </c>
      <c r="E1" s="41" t="s">
        <v>1667</v>
      </c>
      <c r="F1" s="41" t="s">
        <v>1668</v>
      </c>
      <c r="G1" s="41" t="s">
        <v>1707</v>
      </c>
    </row>
    <row r="2" customFormat="false" ht="15" hidden="false" customHeight="false" outlineLevel="0" collapsed="false">
      <c r="A2" s="42" t="n">
        <v>46427.3777777778</v>
      </c>
      <c r="B2" s="10" t="s">
        <v>1708</v>
      </c>
      <c r="C2" s="10" t="s">
        <v>1571</v>
      </c>
      <c r="D2" s="0" t="n">
        <v>4</v>
      </c>
      <c r="E2" s="10" t="s">
        <v>1678</v>
      </c>
      <c r="G2" s="10" t="s">
        <v>543</v>
      </c>
    </row>
    <row r="3" customFormat="false" ht="15" hidden="false" customHeight="false" outlineLevel="0" collapsed="false">
      <c r="A3" s="42" t="n">
        <v>46427.3805555556</v>
      </c>
      <c r="B3" s="10" t="s">
        <v>1709</v>
      </c>
      <c r="C3" s="10" t="s">
        <v>1571</v>
      </c>
      <c r="D3" s="0" t="n">
        <v>4</v>
      </c>
      <c r="E3" s="10" t="s">
        <v>1571</v>
      </c>
      <c r="G3" s="10" t="s">
        <v>544</v>
      </c>
    </row>
    <row r="4" customFormat="false" ht="15" hidden="false" customHeight="false" outlineLevel="0" collapsed="false">
      <c r="A4" s="42" t="n">
        <v>46427.3923611111</v>
      </c>
      <c r="B4" s="10" t="s">
        <v>1709</v>
      </c>
      <c r="C4" s="10" t="s">
        <v>1571</v>
      </c>
      <c r="D4" s="0" t="n">
        <v>5</v>
      </c>
      <c r="E4" s="10" t="s">
        <v>1571</v>
      </c>
      <c r="G4" s="10" t="s">
        <v>545</v>
      </c>
    </row>
    <row r="5" customFormat="false" ht="15" hidden="false" customHeight="false" outlineLevel="0" collapsed="false">
      <c r="A5" s="42" t="n">
        <v>46427.3930555556</v>
      </c>
      <c r="B5" s="10" t="s">
        <v>1710</v>
      </c>
      <c r="C5" s="10" t="s">
        <v>1554</v>
      </c>
      <c r="F5" s="10" t="s">
        <v>1679</v>
      </c>
    </row>
    <row r="6" customFormat="false" ht="15" hidden="false" customHeight="false" outlineLevel="0" collapsed="false">
      <c r="A6" s="42" t="n">
        <v>46427.4048611111</v>
      </c>
      <c r="B6" s="10" t="s">
        <v>1711</v>
      </c>
      <c r="C6" s="10" t="s">
        <v>1571</v>
      </c>
      <c r="D6" s="0" t="n">
        <v>4</v>
      </c>
      <c r="E6" s="10" t="s">
        <v>1571</v>
      </c>
      <c r="G6" s="10" t="s">
        <v>492</v>
      </c>
    </row>
    <row r="7" customFormat="false" ht="15" hidden="false" customHeight="false" outlineLevel="0" collapsed="false">
      <c r="A7" s="42" t="n">
        <v>46427.4111111111</v>
      </c>
      <c r="B7" s="10" t="s">
        <v>1712</v>
      </c>
      <c r="C7" s="10" t="s">
        <v>1571</v>
      </c>
      <c r="D7" s="0" t="n">
        <v>4</v>
      </c>
      <c r="E7" s="10" t="s">
        <v>1571</v>
      </c>
    </row>
    <row r="8" customFormat="false" ht="15" hidden="false" customHeight="false" outlineLevel="0" collapsed="false">
      <c r="A8" s="42" t="n">
        <v>46427.4270833333</v>
      </c>
      <c r="B8" s="10" t="s">
        <v>1710</v>
      </c>
      <c r="C8" s="10" t="s">
        <v>1571</v>
      </c>
      <c r="D8" s="0" t="n">
        <v>5</v>
      </c>
      <c r="E8" s="10" t="s">
        <v>1554</v>
      </c>
    </row>
    <row r="9" customFormat="false" ht="15" hidden="false" customHeight="false" outlineLevel="0" collapsed="false">
      <c r="A9" s="42" t="n">
        <v>46427.4326388889</v>
      </c>
      <c r="B9" s="10" t="s">
        <v>1713</v>
      </c>
      <c r="C9" s="10" t="s">
        <v>1571</v>
      </c>
      <c r="D9" s="0" t="n">
        <v>4</v>
      </c>
      <c r="E9" s="10" t="s">
        <v>1571</v>
      </c>
    </row>
    <row r="10" customFormat="false" ht="15" hidden="false" customHeight="false" outlineLevel="0" collapsed="false">
      <c r="A10" s="42" t="n">
        <v>46427.4326388889</v>
      </c>
      <c r="B10" s="10" t="s">
        <v>1712</v>
      </c>
      <c r="C10" s="10" t="s">
        <v>1554</v>
      </c>
      <c r="F10" s="10" t="s">
        <v>1683</v>
      </c>
      <c r="G10" s="10" t="s">
        <v>492</v>
      </c>
    </row>
    <row r="11" customFormat="false" ht="15" hidden="false" customHeight="false" outlineLevel="0" collapsed="false">
      <c r="A11" s="42" t="n">
        <v>46427.4631944444</v>
      </c>
      <c r="B11" s="10" t="s">
        <v>1714</v>
      </c>
      <c r="C11" s="10" t="s">
        <v>1571</v>
      </c>
      <c r="D11" s="0" t="n">
        <v>5</v>
      </c>
      <c r="E11" s="10" t="s">
        <v>1554</v>
      </c>
    </row>
    <row r="12" customFormat="false" ht="15" hidden="false" customHeight="false" outlineLevel="0" collapsed="false">
      <c r="A12" s="42" t="n">
        <v>46427.4694444445</v>
      </c>
      <c r="B12" s="10" t="s">
        <v>1710</v>
      </c>
      <c r="C12" s="10" t="s">
        <v>1571</v>
      </c>
      <c r="D12" s="0" t="n">
        <v>4</v>
      </c>
      <c r="E12" s="10" t="s">
        <v>1678</v>
      </c>
      <c r="G12" s="10" t="s">
        <v>491</v>
      </c>
    </row>
    <row r="13" customFormat="false" ht="15" hidden="false" customHeight="false" outlineLevel="0" collapsed="false">
      <c r="A13" s="42" t="n">
        <v>46427.4902777778</v>
      </c>
      <c r="B13" s="10" t="s">
        <v>1708</v>
      </c>
      <c r="C13" s="10" t="s">
        <v>1571</v>
      </c>
      <c r="D13" s="0" t="n">
        <v>4</v>
      </c>
      <c r="E13" s="10" t="s">
        <v>1678</v>
      </c>
    </row>
    <row r="14" customFormat="false" ht="15" hidden="false" customHeight="false" outlineLevel="0" collapsed="false">
      <c r="A14" s="42" t="n">
        <v>46427.4979166667</v>
      </c>
      <c r="B14" s="10" t="s">
        <v>1709</v>
      </c>
      <c r="C14" s="10" t="s">
        <v>1571</v>
      </c>
      <c r="D14" s="0" t="n">
        <v>5</v>
      </c>
      <c r="E14" s="10" t="s">
        <v>1554</v>
      </c>
      <c r="G14" s="10" t="s">
        <v>492</v>
      </c>
    </row>
    <row r="15" customFormat="false" ht="15" hidden="false" customHeight="false" outlineLevel="0" collapsed="false">
      <c r="A15" s="42" t="n">
        <v>46427.5131944444</v>
      </c>
      <c r="B15" s="10" t="s">
        <v>1714</v>
      </c>
      <c r="C15" s="10" t="s">
        <v>1554</v>
      </c>
      <c r="F15" s="10" t="s">
        <v>1679</v>
      </c>
    </row>
    <row r="16" customFormat="false" ht="15" hidden="false" customHeight="false" outlineLevel="0" collapsed="false">
      <c r="A16" s="42" t="n">
        <v>46427.5326388889</v>
      </c>
      <c r="B16" s="10" t="s">
        <v>1708</v>
      </c>
      <c r="C16" s="10" t="s">
        <v>1571</v>
      </c>
      <c r="D16" s="0" t="n">
        <v>5</v>
      </c>
      <c r="E16" s="10" t="s">
        <v>1571</v>
      </c>
      <c r="G16" s="10" t="s">
        <v>510</v>
      </c>
    </row>
    <row r="17" customFormat="false" ht="15" hidden="false" customHeight="false" outlineLevel="0" collapsed="false">
      <c r="A17" s="42" t="n">
        <v>46427.5534722222</v>
      </c>
      <c r="B17" s="10" t="s">
        <v>1709</v>
      </c>
      <c r="C17" s="10" t="s">
        <v>1571</v>
      </c>
      <c r="D17" s="0" t="n">
        <v>4</v>
      </c>
      <c r="E17" s="10" t="s">
        <v>1678</v>
      </c>
      <c r="G17" s="10" t="s">
        <v>1685</v>
      </c>
    </row>
    <row r="18" customFormat="false" ht="15" hidden="false" customHeight="false" outlineLevel="0" collapsed="false">
      <c r="A18" s="42" t="n">
        <v>46427.5541666667</v>
      </c>
      <c r="B18" s="10" t="s">
        <v>1715</v>
      </c>
      <c r="C18" s="10" t="s">
        <v>1571</v>
      </c>
      <c r="D18" s="0" t="n">
        <v>4</v>
      </c>
      <c r="E18" s="10" t="s">
        <v>1678</v>
      </c>
      <c r="G18" s="10" t="s">
        <v>1685</v>
      </c>
    </row>
    <row r="19" customFormat="false" ht="15" hidden="false" customHeight="false" outlineLevel="0" collapsed="false">
      <c r="A19" s="42" t="n">
        <v>46427.5875</v>
      </c>
      <c r="B19" s="10" t="s">
        <v>1714</v>
      </c>
      <c r="C19" s="10" t="s">
        <v>1571</v>
      </c>
      <c r="D19" s="0" t="n">
        <v>5</v>
      </c>
      <c r="E19" s="10" t="s">
        <v>1554</v>
      </c>
      <c r="G19" s="10" t="s">
        <v>491</v>
      </c>
    </row>
    <row r="20" customFormat="false" ht="15" hidden="false" customHeight="false" outlineLevel="0" collapsed="false">
      <c r="A20" s="42" t="n">
        <v>46427.59375</v>
      </c>
      <c r="B20" s="10" t="s">
        <v>1716</v>
      </c>
      <c r="C20" s="10" t="s">
        <v>1571</v>
      </c>
      <c r="D20" s="0" t="n">
        <v>4</v>
      </c>
      <c r="E20" s="10" t="s">
        <v>1678</v>
      </c>
    </row>
    <row r="21" customFormat="false" ht="15" hidden="false" customHeight="false" outlineLevel="0" collapsed="false">
      <c r="A21" s="42" t="n">
        <v>46427.5986111111</v>
      </c>
      <c r="B21" s="10" t="s">
        <v>1713</v>
      </c>
      <c r="C21" s="10" t="s">
        <v>1571</v>
      </c>
      <c r="D21" s="0" t="n">
        <v>4</v>
      </c>
      <c r="E21" s="10" t="s">
        <v>1678</v>
      </c>
    </row>
    <row r="22" customFormat="false" ht="15" hidden="false" customHeight="false" outlineLevel="0" collapsed="false">
      <c r="A22" s="42" t="n">
        <v>46427.5986111111</v>
      </c>
      <c r="B22" s="10" t="s">
        <v>1716</v>
      </c>
      <c r="C22" s="10" t="s">
        <v>1571</v>
      </c>
      <c r="D22" s="0" t="n">
        <v>4</v>
      </c>
      <c r="E22" s="10" t="s">
        <v>1571</v>
      </c>
      <c r="G22" s="10" t="s">
        <v>511</v>
      </c>
    </row>
    <row r="23" customFormat="false" ht="15" hidden="false" customHeight="false" outlineLevel="0" collapsed="false">
      <c r="A23" s="42" t="n">
        <v>46427.6090277778</v>
      </c>
      <c r="B23" s="10" t="s">
        <v>1713</v>
      </c>
      <c r="C23" s="10" t="s">
        <v>1571</v>
      </c>
      <c r="D23" s="0" t="n">
        <v>4</v>
      </c>
      <c r="E23" s="10" t="s">
        <v>1554</v>
      </c>
    </row>
    <row r="24" customFormat="false" ht="15" hidden="false" customHeight="false" outlineLevel="0" collapsed="false">
      <c r="A24" s="42" t="n">
        <v>46427.6145833333</v>
      </c>
      <c r="B24" s="10" t="s">
        <v>1714</v>
      </c>
      <c r="C24" s="10" t="s">
        <v>1571</v>
      </c>
      <c r="D24" s="0" t="n">
        <v>4</v>
      </c>
      <c r="E24" s="10" t="s">
        <v>1554</v>
      </c>
      <c r="G24" s="10" t="s">
        <v>1681</v>
      </c>
    </row>
    <row r="25" customFormat="false" ht="15" hidden="false" customHeight="false" outlineLevel="0" collapsed="false">
      <c r="A25" s="42" t="n">
        <v>46427.6236111111</v>
      </c>
      <c r="B25" s="10" t="s">
        <v>1716</v>
      </c>
      <c r="C25" s="10" t="s">
        <v>1571</v>
      </c>
      <c r="D25" s="0" t="n">
        <v>4</v>
      </c>
      <c r="E25" s="10" t="s">
        <v>1678</v>
      </c>
    </row>
    <row r="26" customFormat="false" ht="15" hidden="false" customHeight="false" outlineLevel="0" collapsed="false">
      <c r="A26" s="42" t="n">
        <v>46427.6236111111</v>
      </c>
      <c r="B26" s="10" t="s">
        <v>1714</v>
      </c>
      <c r="C26" s="10" t="s">
        <v>1571</v>
      </c>
      <c r="D26" s="0" t="n">
        <v>4</v>
      </c>
      <c r="E26" s="10" t="s">
        <v>1571</v>
      </c>
    </row>
    <row r="27" customFormat="false" ht="15" hidden="false" customHeight="false" outlineLevel="0" collapsed="false">
      <c r="A27" s="42" t="n">
        <v>46427.6354166667</v>
      </c>
      <c r="B27" s="10" t="s">
        <v>1708</v>
      </c>
      <c r="C27" s="10" t="s">
        <v>1554</v>
      </c>
      <c r="F27" s="10" t="s">
        <v>1679</v>
      </c>
    </row>
    <row r="28" customFormat="false" ht="15" hidden="false" customHeight="false" outlineLevel="0" collapsed="false">
      <c r="A28" s="42" t="n">
        <v>46427.6541666667</v>
      </c>
      <c r="B28" s="10" t="s">
        <v>1712</v>
      </c>
      <c r="C28" s="10" t="s">
        <v>1571</v>
      </c>
      <c r="D28" s="0" t="n">
        <v>4</v>
      </c>
      <c r="E28" s="10" t="s">
        <v>1571</v>
      </c>
    </row>
    <row r="29" customFormat="false" ht="15" hidden="false" customHeight="false" outlineLevel="0" collapsed="false">
      <c r="A29" s="42" t="n">
        <v>46427.6826388889</v>
      </c>
      <c r="B29" s="10" t="s">
        <v>1708</v>
      </c>
      <c r="C29" s="10" t="s">
        <v>1571</v>
      </c>
      <c r="D29" s="0" t="n">
        <v>3</v>
      </c>
      <c r="E29" s="10" t="s">
        <v>1678</v>
      </c>
      <c r="G29" s="10" t="s">
        <v>491</v>
      </c>
    </row>
    <row r="30" customFormat="false" ht="15" hidden="false" customHeight="false" outlineLevel="0" collapsed="false">
      <c r="A30" s="42" t="n">
        <v>46427.6972222222</v>
      </c>
      <c r="B30" s="10" t="s">
        <v>1710</v>
      </c>
      <c r="C30" s="10" t="s">
        <v>1554</v>
      </c>
      <c r="F30" s="10" t="s">
        <v>1676</v>
      </c>
    </row>
    <row r="31" customFormat="false" ht="15" hidden="false" customHeight="false" outlineLevel="0" collapsed="false">
      <c r="A31" s="42" t="n">
        <v>46428.3770833333</v>
      </c>
      <c r="B31" s="10" t="s">
        <v>1716</v>
      </c>
      <c r="C31" s="10" t="s">
        <v>1571</v>
      </c>
      <c r="D31" s="0" t="n">
        <v>4</v>
      </c>
      <c r="E31" s="10" t="s">
        <v>1678</v>
      </c>
    </row>
    <row r="32" customFormat="false" ht="15" hidden="false" customHeight="false" outlineLevel="0" collapsed="false">
      <c r="A32" s="42" t="n">
        <v>46428.4083333333</v>
      </c>
      <c r="B32" s="10" t="s">
        <v>1710</v>
      </c>
      <c r="C32" s="10" t="s">
        <v>1571</v>
      </c>
      <c r="D32" s="0" t="n">
        <v>4</v>
      </c>
      <c r="E32" s="10" t="s">
        <v>1678</v>
      </c>
    </row>
    <row r="33" customFormat="false" ht="15" hidden="false" customHeight="false" outlineLevel="0" collapsed="false">
      <c r="A33" s="42" t="n">
        <v>46428.4722222222</v>
      </c>
      <c r="B33" s="10" t="s">
        <v>1715</v>
      </c>
      <c r="C33" s="10" t="s">
        <v>1571</v>
      </c>
      <c r="D33" s="0" t="n">
        <v>4</v>
      </c>
      <c r="E33" s="10" t="s">
        <v>1678</v>
      </c>
    </row>
    <row r="34" customFormat="false" ht="15" hidden="false" customHeight="false" outlineLevel="0" collapsed="false">
      <c r="A34" s="42" t="n">
        <v>46428.4965277778</v>
      </c>
      <c r="B34" s="10" t="s">
        <v>1708</v>
      </c>
      <c r="C34" s="10" t="s">
        <v>1554</v>
      </c>
      <c r="F34" s="10" t="s">
        <v>1683</v>
      </c>
      <c r="G34" s="10" t="s">
        <v>512</v>
      </c>
    </row>
    <row r="35" customFormat="false" ht="15" hidden="false" customHeight="false" outlineLevel="0" collapsed="false">
      <c r="A35" s="42" t="n">
        <v>46428.5125</v>
      </c>
      <c r="B35" s="10" t="s">
        <v>1713</v>
      </c>
      <c r="C35" s="10" t="s">
        <v>1571</v>
      </c>
      <c r="D35" s="0" t="n">
        <v>5</v>
      </c>
      <c r="E35" s="10" t="s">
        <v>1678</v>
      </c>
    </row>
    <row r="36" customFormat="false" ht="15" hidden="false" customHeight="false" outlineLevel="0" collapsed="false">
      <c r="A36" s="42" t="n">
        <v>46428.5333333333</v>
      </c>
      <c r="B36" s="10" t="s">
        <v>1711</v>
      </c>
      <c r="C36" s="10" t="s">
        <v>1554</v>
      </c>
      <c r="F36" s="10" t="s">
        <v>1676</v>
      </c>
    </row>
    <row r="37" customFormat="false" ht="15" hidden="false" customHeight="false" outlineLevel="0" collapsed="false">
      <c r="A37" s="42" t="n">
        <v>46428.54375</v>
      </c>
      <c r="B37" s="10" t="s">
        <v>1711</v>
      </c>
      <c r="C37" s="10" t="s">
        <v>1554</v>
      </c>
      <c r="F37" s="10" t="s">
        <v>1683</v>
      </c>
      <c r="G37" s="10" t="s">
        <v>1681</v>
      </c>
    </row>
    <row r="38" customFormat="false" ht="15" hidden="false" customHeight="false" outlineLevel="0" collapsed="false">
      <c r="A38" s="42" t="n">
        <v>46428.5659722222</v>
      </c>
      <c r="B38" s="10" t="s">
        <v>1712</v>
      </c>
      <c r="C38" s="10" t="s">
        <v>1554</v>
      </c>
      <c r="F38" s="10" t="s">
        <v>1679</v>
      </c>
    </row>
    <row r="39" customFormat="false" ht="15" hidden="false" customHeight="false" outlineLevel="0" collapsed="false">
      <c r="A39" s="42" t="n">
        <v>46428.5819444444</v>
      </c>
      <c r="B39" s="10" t="s">
        <v>1711</v>
      </c>
      <c r="C39" s="10" t="s">
        <v>1571</v>
      </c>
      <c r="D39" s="0" t="n">
        <v>5</v>
      </c>
      <c r="E39" s="10" t="s">
        <v>1571</v>
      </c>
    </row>
    <row r="40" customFormat="false" ht="15" hidden="false" customHeight="false" outlineLevel="0" collapsed="false">
      <c r="A40" s="42" t="n">
        <v>46428.6138888889</v>
      </c>
      <c r="B40" s="10" t="s">
        <v>1709</v>
      </c>
      <c r="C40" s="10" t="s">
        <v>1571</v>
      </c>
      <c r="D40" s="0" t="n">
        <v>4</v>
      </c>
      <c r="E40" s="10" t="s">
        <v>1571</v>
      </c>
      <c r="G40" s="10" t="s">
        <v>1684</v>
      </c>
    </row>
    <row r="41" customFormat="false" ht="15" hidden="false" customHeight="false" outlineLevel="0" collapsed="false">
      <c r="A41" s="42" t="n">
        <v>46428.61875</v>
      </c>
      <c r="B41" s="10" t="s">
        <v>1712</v>
      </c>
      <c r="C41" s="10" t="s">
        <v>1571</v>
      </c>
      <c r="D41" s="0" t="n">
        <v>5</v>
      </c>
      <c r="E41" s="10" t="s">
        <v>1571</v>
      </c>
    </row>
    <row r="42" customFormat="false" ht="15" hidden="false" customHeight="false" outlineLevel="0" collapsed="false">
      <c r="A42" s="42" t="n">
        <v>46428.6222222222</v>
      </c>
      <c r="B42" s="10" t="s">
        <v>1715</v>
      </c>
      <c r="C42" s="10" t="s">
        <v>1571</v>
      </c>
      <c r="D42" s="0" t="n">
        <v>5</v>
      </c>
      <c r="E42" s="10" t="s">
        <v>1678</v>
      </c>
    </row>
    <row r="43" customFormat="false" ht="15" hidden="false" customHeight="false" outlineLevel="0" collapsed="false">
      <c r="A43" s="42" t="n">
        <v>46428.6340277778</v>
      </c>
      <c r="B43" s="10" t="s">
        <v>1711</v>
      </c>
      <c r="C43" s="10" t="s">
        <v>1571</v>
      </c>
      <c r="D43" s="0" t="n">
        <v>3</v>
      </c>
      <c r="E43" s="10" t="s">
        <v>1678</v>
      </c>
    </row>
    <row r="44" customFormat="false" ht="15" hidden="false" customHeight="false" outlineLevel="0" collapsed="false">
      <c r="A44" s="42" t="n">
        <v>46428.6625</v>
      </c>
      <c r="B44" s="10" t="s">
        <v>1710</v>
      </c>
      <c r="C44" s="10" t="s">
        <v>1571</v>
      </c>
      <c r="D44" s="0" t="n">
        <v>5</v>
      </c>
      <c r="E44" s="10" t="s">
        <v>1678</v>
      </c>
      <c r="G44" s="10" t="s">
        <v>1684</v>
      </c>
    </row>
    <row r="45" customFormat="false" ht="15" hidden="false" customHeight="false" outlineLevel="0" collapsed="false">
      <c r="A45" s="42" t="n">
        <v>46428.6854166667</v>
      </c>
      <c r="B45" s="10" t="s">
        <v>1716</v>
      </c>
      <c r="C45" s="10" t="s">
        <v>1571</v>
      </c>
      <c r="D45" s="0" t="n">
        <v>5</v>
      </c>
      <c r="E45" s="10" t="s">
        <v>1571</v>
      </c>
    </row>
    <row r="46" customFormat="false" ht="15" hidden="false" customHeight="false" outlineLevel="0" collapsed="false">
      <c r="A46" s="42" t="n">
        <v>46428.7027777778</v>
      </c>
      <c r="B46" s="10" t="s">
        <v>1715</v>
      </c>
      <c r="C46" s="10" t="s">
        <v>1554</v>
      </c>
      <c r="F46" s="10" t="s">
        <v>1683</v>
      </c>
    </row>
    <row r="47" customFormat="false" ht="15" hidden="false" customHeight="false" outlineLevel="0" collapsed="false">
      <c r="A47" s="42" t="n">
        <v>46429.3784722222</v>
      </c>
      <c r="B47" s="10" t="s">
        <v>1714</v>
      </c>
      <c r="C47" s="10" t="s">
        <v>1571</v>
      </c>
      <c r="D47" s="0" t="n">
        <v>5</v>
      </c>
      <c r="E47" s="10" t="s">
        <v>1678</v>
      </c>
    </row>
    <row r="48" customFormat="false" ht="15" hidden="false" customHeight="false" outlineLevel="0" collapsed="false">
      <c r="A48" s="42" t="n">
        <v>46429.38125</v>
      </c>
      <c r="B48" s="10" t="s">
        <v>1715</v>
      </c>
      <c r="C48" s="10" t="s">
        <v>1571</v>
      </c>
      <c r="D48" s="0" t="n">
        <v>5</v>
      </c>
      <c r="E48" s="10" t="s">
        <v>1571</v>
      </c>
      <c r="G48" s="10" t="s">
        <v>1681</v>
      </c>
    </row>
    <row r="49" customFormat="false" ht="15" hidden="false" customHeight="false" outlineLevel="0" collapsed="false">
      <c r="A49" s="42" t="n">
        <v>46429.4409722222</v>
      </c>
      <c r="B49" s="10" t="s">
        <v>1712</v>
      </c>
      <c r="C49" s="10" t="s">
        <v>1554</v>
      </c>
      <c r="F49" s="10" t="s">
        <v>1679</v>
      </c>
    </row>
    <row r="50" customFormat="false" ht="15" hidden="false" customHeight="false" outlineLevel="0" collapsed="false">
      <c r="A50" s="42" t="n">
        <v>46429.4541666667</v>
      </c>
      <c r="B50" s="10" t="s">
        <v>1715</v>
      </c>
      <c r="C50" s="10" t="s">
        <v>1571</v>
      </c>
      <c r="D50" s="0" t="n">
        <v>4</v>
      </c>
      <c r="E50" s="10" t="s">
        <v>1571</v>
      </c>
      <c r="G50" s="10" t="s">
        <v>491</v>
      </c>
    </row>
    <row r="51" customFormat="false" ht="15" hidden="false" customHeight="false" outlineLevel="0" collapsed="false">
      <c r="A51" s="42" t="n">
        <v>46429.4798611111</v>
      </c>
      <c r="B51" s="10" t="s">
        <v>1708</v>
      </c>
      <c r="C51" s="10" t="s">
        <v>1571</v>
      </c>
      <c r="D51" s="0" t="n">
        <v>5</v>
      </c>
      <c r="E51" s="10" t="s">
        <v>1571</v>
      </c>
      <c r="G51" s="10" t="s">
        <v>492</v>
      </c>
    </row>
    <row r="52" customFormat="false" ht="15" hidden="false" customHeight="false" outlineLevel="0" collapsed="false">
      <c r="A52" s="42" t="n">
        <v>46429.4826388889</v>
      </c>
      <c r="B52" s="10" t="s">
        <v>1709</v>
      </c>
      <c r="C52" s="10" t="s">
        <v>1571</v>
      </c>
      <c r="D52" s="0" t="n">
        <v>5</v>
      </c>
      <c r="E52" s="10" t="s">
        <v>1554</v>
      </c>
    </row>
    <row r="53" customFormat="false" ht="15" hidden="false" customHeight="false" outlineLevel="0" collapsed="false">
      <c r="A53" s="42" t="n">
        <v>46429.4868055556</v>
      </c>
      <c r="B53" s="10" t="s">
        <v>1715</v>
      </c>
      <c r="C53" s="10" t="s">
        <v>1571</v>
      </c>
      <c r="D53" s="0" t="n">
        <v>5</v>
      </c>
      <c r="E53" s="10" t="s">
        <v>1571</v>
      </c>
      <c r="G53" s="10" t="s">
        <v>1684</v>
      </c>
    </row>
    <row r="54" customFormat="false" ht="15" hidden="false" customHeight="false" outlineLevel="0" collapsed="false">
      <c r="A54" s="42" t="n">
        <v>46429.5111111111</v>
      </c>
      <c r="B54" s="10" t="s">
        <v>1714</v>
      </c>
      <c r="C54" s="10" t="s">
        <v>1571</v>
      </c>
      <c r="D54" s="0" t="n">
        <v>4</v>
      </c>
      <c r="E54" s="10" t="s">
        <v>1678</v>
      </c>
    </row>
    <row r="55" customFormat="false" ht="15" hidden="false" customHeight="false" outlineLevel="0" collapsed="false">
      <c r="A55" s="42" t="n">
        <v>46429.5159722222</v>
      </c>
      <c r="B55" s="10" t="s">
        <v>1711</v>
      </c>
      <c r="C55" s="10" t="s">
        <v>1571</v>
      </c>
      <c r="D55" s="0" t="n">
        <v>3</v>
      </c>
      <c r="E55" s="10" t="s">
        <v>1678</v>
      </c>
    </row>
    <row r="56" customFormat="false" ht="15" hidden="false" customHeight="false" outlineLevel="0" collapsed="false">
      <c r="A56" s="42" t="n">
        <v>46429.51875</v>
      </c>
      <c r="B56" s="10" t="s">
        <v>1711</v>
      </c>
      <c r="C56" s="10" t="s">
        <v>1571</v>
      </c>
      <c r="D56" s="0" t="n">
        <v>5</v>
      </c>
      <c r="E56" s="10" t="s">
        <v>1678</v>
      </c>
    </row>
    <row r="57" customFormat="false" ht="15" hidden="false" customHeight="false" outlineLevel="0" collapsed="false">
      <c r="A57" s="42" t="n">
        <v>46429.51875</v>
      </c>
      <c r="B57" s="10" t="s">
        <v>1711</v>
      </c>
      <c r="C57" s="10" t="s">
        <v>1554</v>
      </c>
      <c r="F57" s="10" t="s">
        <v>1679</v>
      </c>
    </row>
    <row r="58" customFormat="false" ht="15" hidden="false" customHeight="false" outlineLevel="0" collapsed="false">
      <c r="A58" s="42" t="n">
        <v>46429.5215277778</v>
      </c>
      <c r="B58" s="10" t="s">
        <v>1714</v>
      </c>
      <c r="C58" s="10" t="s">
        <v>1554</v>
      </c>
      <c r="F58" s="10" t="s">
        <v>1679</v>
      </c>
      <c r="G58" s="10" t="s">
        <v>510</v>
      </c>
    </row>
    <row r="59" customFormat="false" ht="15" hidden="false" customHeight="false" outlineLevel="0" collapsed="false">
      <c r="A59" s="42" t="n">
        <v>46429.5305555556</v>
      </c>
      <c r="B59" s="10" t="s">
        <v>1711</v>
      </c>
      <c r="C59" s="10" t="s">
        <v>1571</v>
      </c>
      <c r="D59" s="0" t="n">
        <v>4</v>
      </c>
      <c r="E59" s="10" t="s">
        <v>1678</v>
      </c>
      <c r="G59" s="10" t="s">
        <v>492</v>
      </c>
    </row>
    <row r="60" customFormat="false" ht="15" hidden="false" customHeight="false" outlineLevel="0" collapsed="false">
      <c r="A60" s="42" t="n">
        <v>46429.5465277778</v>
      </c>
      <c r="B60" s="10" t="s">
        <v>1712</v>
      </c>
      <c r="C60" s="10" t="s">
        <v>1571</v>
      </c>
      <c r="D60" s="0" t="n">
        <v>5</v>
      </c>
      <c r="E60" s="10" t="s">
        <v>1571</v>
      </c>
      <c r="G60" s="10" t="s">
        <v>511</v>
      </c>
    </row>
    <row r="61" customFormat="false" ht="15" hidden="false" customHeight="false" outlineLevel="0" collapsed="false">
      <c r="A61" s="42" t="n">
        <v>46429.5722222222</v>
      </c>
      <c r="B61" s="10" t="s">
        <v>1713</v>
      </c>
      <c r="C61" s="10" t="s">
        <v>1571</v>
      </c>
      <c r="D61" s="0" t="n">
        <v>4</v>
      </c>
      <c r="E61" s="10" t="s">
        <v>1554</v>
      </c>
    </row>
    <row r="62" customFormat="false" ht="15" hidden="false" customHeight="false" outlineLevel="0" collapsed="false">
      <c r="A62" s="42" t="n">
        <v>46429.5986111111</v>
      </c>
      <c r="B62" s="10" t="s">
        <v>1713</v>
      </c>
      <c r="C62" s="10" t="s">
        <v>1571</v>
      </c>
      <c r="D62" s="0" t="n">
        <v>3</v>
      </c>
      <c r="E62" s="10" t="s">
        <v>1554</v>
      </c>
    </row>
    <row r="63" customFormat="false" ht="15" hidden="false" customHeight="false" outlineLevel="0" collapsed="false">
      <c r="A63" s="42" t="n">
        <v>46429.6083333333</v>
      </c>
      <c r="B63" s="10" t="s">
        <v>1716</v>
      </c>
      <c r="C63" s="10" t="s">
        <v>1571</v>
      </c>
      <c r="D63" s="0" t="n">
        <v>4</v>
      </c>
      <c r="E63" s="10" t="s">
        <v>1571</v>
      </c>
      <c r="G63" s="10" t="s">
        <v>512</v>
      </c>
    </row>
    <row r="64" customFormat="false" ht="15" hidden="false" customHeight="false" outlineLevel="0" collapsed="false">
      <c r="A64" s="42" t="n">
        <v>46429.6125</v>
      </c>
      <c r="B64" s="10" t="s">
        <v>1710</v>
      </c>
      <c r="C64" s="10" t="s">
        <v>1554</v>
      </c>
      <c r="F64" s="10" t="s">
        <v>1676</v>
      </c>
    </row>
    <row r="65" customFormat="false" ht="15" hidden="false" customHeight="false" outlineLevel="0" collapsed="false">
      <c r="A65" s="42" t="n">
        <v>46429.65</v>
      </c>
      <c r="B65" s="10" t="s">
        <v>1715</v>
      </c>
      <c r="C65" s="10" t="s">
        <v>1554</v>
      </c>
      <c r="F65" s="10" t="s">
        <v>1679</v>
      </c>
      <c r="G65" s="10" t="s">
        <v>1684</v>
      </c>
    </row>
    <row r="66" customFormat="false" ht="15" hidden="false" customHeight="false" outlineLevel="0" collapsed="false">
      <c r="A66" s="42" t="n">
        <v>46429.6736111111</v>
      </c>
      <c r="B66" s="10" t="s">
        <v>1713</v>
      </c>
      <c r="C66" s="10" t="s">
        <v>1571</v>
      </c>
      <c r="D66" s="0" t="n">
        <v>3</v>
      </c>
      <c r="E66" s="10" t="s">
        <v>1571</v>
      </c>
      <c r="G66" s="10" t="s">
        <v>1684</v>
      </c>
    </row>
    <row r="67" customFormat="false" ht="15" hidden="false" customHeight="false" outlineLevel="0" collapsed="false">
      <c r="A67" s="42" t="n">
        <v>46429.7</v>
      </c>
      <c r="B67" s="10" t="s">
        <v>1708</v>
      </c>
      <c r="C67" s="10" t="s">
        <v>1571</v>
      </c>
      <c r="D67" s="0" t="n">
        <v>4</v>
      </c>
      <c r="E67" s="10" t="s">
        <v>1678</v>
      </c>
    </row>
    <row r="68" customFormat="false" ht="15" hidden="false" customHeight="false" outlineLevel="0" collapsed="false">
      <c r="A68" s="42" t="n">
        <v>46430.4375</v>
      </c>
      <c r="B68" s="10" t="s">
        <v>1716</v>
      </c>
      <c r="C68" s="10" t="s">
        <v>1571</v>
      </c>
      <c r="D68" s="0" t="n">
        <v>4</v>
      </c>
      <c r="E68" s="10" t="s">
        <v>1571</v>
      </c>
      <c r="G68" s="10" t="s">
        <v>491</v>
      </c>
    </row>
    <row r="69" customFormat="false" ht="15" hidden="false" customHeight="false" outlineLevel="0" collapsed="false">
      <c r="A69" s="42" t="n">
        <v>46430.4958333333</v>
      </c>
      <c r="B69" s="10" t="s">
        <v>1715</v>
      </c>
      <c r="C69" s="10" t="s">
        <v>1571</v>
      </c>
      <c r="D69" s="0" t="n">
        <v>3</v>
      </c>
      <c r="E69" s="10" t="s">
        <v>1571</v>
      </c>
    </row>
    <row r="70" customFormat="false" ht="15" hidden="false" customHeight="false" outlineLevel="0" collapsed="false">
      <c r="A70" s="42" t="n">
        <v>46430.5486111111</v>
      </c>
      <c r="B70" s="10" t="s">
        <v>1713</v>
      </c>
      <c r="C70" s="10" t="s">
        <v>1554</v>
      </c>
      <c r="F70" s="10" t="s">
        <v>1683</v>
      </c>
      <c r="G70" s="10" t="s">
        <v>1685</v>
      </c>
    </row>
    <row r="71" customFormat="false" ht="15" hidden="false" customHeight="false" outlineLevel="0" collapsed="false">
      <c r="A71" s="42" t="n">
        <v>46430.5777777778</v>
      </c>
      <c r="B71" s="10" t="s">
        <v>1708</v>
      </c>
      <c r="C71" s="10" t="s">
        <v>1571</v>
      </c>
      <c r="D71" s="0" t="n">
        <v>3</v>
      </c>
      <c r="E71" s="10" t="s">
        <v>1678</v>
      </c>
    </row>
    <row r="72" customFormat="false" ht="15" hidden="false" customHeight="false" outlineLevel="0" collapsed="false">
      <c r="A72" s="42" t="n">
        <v>46434.6208333333</v>
      </c>
      <c r="B72" s="10" t="s">
        <v>1711</v>
      </c>
      <c r="C72" s="10" t="s">
        <v>1571</v>
      </c>
      <c r="D72" s="0" t="n">
        <v>4</v>
      </c>
      <c r="E72"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1717</v>
      </c>
      <c r="D1" s="41" t="s">
        <v>1666</v>
      </c>
      <c r="E1" s="41" t="s">
        <v>1667</v>
      </c>
      <c r="F1" s="41" t="s">
        <v>1668</v>
      </c>
      <c r="G1" s="41" t="s">
        <v>1718</v>
      </c>
    </row>
    <row r="2" customFormat="false" ht="15" hidden="false" customHeight="false" outlineLevel="0" collapsed="false">
      <c r="A2" s="42" t="n">
        <v>46427.3965277778</v>
      </c>
      <c r="B2" s="10" t="s">
        <v>1719</v>
      </c>
      <c r="C2" s="10" t="s">
        <v>1571</v>
      </c>
      <c r="D2" s="0" t="n">
        <v>4</v>
      </c>
      <c r="E2" s="10" t="s">
        <v>1571</v>
      </c>
      <c r="G2" s="10" t="s">
        <v>558</v>
      </c>
    </row>
    <row r="3" customFormat="false" ht="15" hidden="false" customHeight="false" outlineLevel="0" collapsed="false">
      <c r="A3" s="42" t="n">
        <v>46427.43125</v>
      </c>
      <c r="B3" s="10" t="s">
        <v>1720</v>
      </c>
      <c r="C3" s="10" t="s">
        <v>1571</v>
      </c>
      <c r="D3" s="0" t="n">
        <v>4</v>
      </c>
      <c r="E3" s="10" t="s">
        <v>1678</v>
      </c>
      <c r="G3" s="10" t="s">
        <v>559</v>
      </c>
    </row>
    <row r="4" customFormat="false" ht="15" hidden="false" customHeight="false" outlineLevel="0" collapsed="false">
      <c r="A4" s="42" t="n">
        <v>46427.5</v>
      </c>
      <c r="B4" s="10" t="s">
        <v>1721</v>
      </c>
      <c r="C4" s="10" t="s">
        <v>1571</v>
      </c>
      <c r="D4" s="0" t="n">
        <v>3</v>
      </c>
      <c r="E4" s="10" t="s">
        <v>1554</v>
      </c>
      <c r="G4" s="10" t="s">
        <v>560</v>
      </c>
    </row>
    <row r="5" customFormat="false" ht="15" hidden="false" customHeight="false" outlineLevel="0" collapsed="false">
      <c r="A5" s="42" t="n">
        <v>46427.5006944445</v>
      </c>
      <c r="B5" s="10" t="s">
        <v>1722</v>
      </c>
      <c r="C5" s="10" t="s">
        <v>1554</v>
      </c>
      <c r="F5" s="10" t="s">
        <v>1676</v>
      </c>
    </row>
    <row r="6" customFormat="false" ht="15" hidden="false" customHeight="false" outlineLevel="0" collapsed="false">
      <c r="A6" s="42" t="n">
        <v>46427.5506944444</v>
      </c>
      <c r="B6" s="10" t="s">
        <v>1721</v>
      </c>
      <c r="C6" s="10" t="s">
        <v>1554</v>
      </c>
      <c r="F6" s="10" t="s">
        <v>1683</v>
      </c>
    </row>
    <row r="7" customFormat="false" ht="15" hidden="false" customHeight="false" outlineLevel="0" collapsed="false">
      <c r="A7" s="42" t="n">
        <v>46427.5694444445</v>
      </c>
      <c r="B7" s="10" t="s">
        <v>1722</v>
      </c>
      <c r="C7" s="10" t="s">
        <v>1571</v>
      </c>
      <c r="D7" s="0" t="n">
        <v>5</v>
      </c>
      <c r="E7" s="10" t="s">
        <v>1554</v>
      </c>
      <c r="G7" s="10" t="s">
        <v>492</v>
      </c>
    </row>
    <row r="8" customFormat="false" ht="15" hidden="false" customHeight="false" outlineLevel="0" collapsed="false">
      <c r="A8" s="42" t="n">
        <v>46427.5708333333</v>
      </c>
      <c r="B8" s="10" t="s">
        <v>1723</v>
      </c>
      <c r="C8" s="10" t="s">
        <v>1554</v>
      </c>
      <c r="F8" s="10" t="s">
        <v>1679</v>
      </c>
      <c r="G8" s="10" t="s">
        <v>1684</v>
      </c>
    </row>
    <row r="9" customFormat="false" ht="15" hidden="false" customHeight="false" outlineLevel="0" collapsed="false">
      <c r="A9" s="42" t="n">
        <v>46427.5722222222</v>
      </c>
      <c r="B9" s="10" t="s">
        <v>1720</v>
      </c>
      <c r="C9" s="10" t="s">
        <v>1571</v>
      </c>
      <c r="D9" s="0" t="n">
        <v>5</v>
      </c>
      <c r="E9" s="10" t="s">
        <v>1554</v>
      </c>
    </row>
    <row r="10" customFormat="false" ht="15" hidden="false" customHeight="false" outlineLevel="0" collapsed="false">
      <c r="A10" s="42" t="n">
        <v>46427.5916666667</v>
      </c>
      <c r="B10" s="10" t="s">
        <v>1724</v>
      </c>
      <c r="C10" s="10" t="s">
        <v>1554</v>
      </c>
      <c r="F10" s="10" t="s">
        <v>1676</v>
      </c>
      <c r="G10" s="10" t="s">
        <v>510</v>
      </c>
    </row>
    <row r="11" customFormat="false" ht="15" hidden="false" customHeight="false" outlineLevel="0" collapsed="false">
      <c r="A11" s="42" t="n">
        <v>46427.5993055556</v>
      </c>
      <c r="B11" s="10" t="s">
        <v>1724</v>
      </c>
      <c r="C11" s="10" t="s">
        <v>1571</v>
      </c>
      <c r="D11" s="0" t="n">
        <v>5</v>
      </c>
      <c r="E11" s="10" t="s">
        <v>1571</v>
      </c>
    </row>
    <row r="12" customFormat="false" ht="15" hidden="false" customHeight="false" outlineLevel="0" collapsed="false">
      <c r="A12" s="42" t="n">
        <v>46427.61875</v>
      </c>
      <c r="B12" s="10" t="s">
        <v>1720</v>
      </c>
      <c r="C12" s="10" t="s">
        <v>1554</v>
      </c>
      <c r="F12" s="10" t="s">
        <v>1683</v>
      </c>
    </row>
    <row r="13" customFormat="false" ht="15" hidden="false" customHeight="false" outlineLevel="0" collapsed="false">
      <c r="A13" s="42" t="n">
        <v>46427.65</v>
      </c>
      <c r="B13" s="10" t="s">
        <v>1725</v>
      </c>
      <c r="C13" s="10" t="s">
        <v>1571</v>
      </c>
      <c r="D13" s="0" t="n">
        <v>3</v>
      </c>
      <c r="E13" s="10" t="s">
        <v>1554</v>
      </c>
    </row>
    <row r="14" customFormat="false" ht="15" hidden="false" customHeight="false" outlineLevel="0" collapsed="false">
      <c r="A14" s="42" t="n">
        <v>46427.6541666667</v>
      </c>
      <c r="B14" s="10" t="s">
        <v>1721</v>
      </c>
      <c r="C14" s="10" t="s">
        <v>1571</v>
      </c>
      <c r="D14" s="0" t="n">
        <v>4</v>
      </c>
      <c r="E14" s="10" t="s">
        <v>1554</v>
      </c>
    </row>
    <row r="15" customFormat="false" ht="15" hidden="false" customHeight="false" outlineLevel="0" collapsed="false">
      <c r="A15" s="42" t="n">
        <v>46427.6701388889</v>
      </c>
      <c r="B15" s="10" t="s">
        <v>1726</v>
      </c>
      <c r="C15" s="10" t="s">
        <v>1571</v>
      </c>
      <c r="D15" s="0" t="n">
        <v>4</v>
      </c>
      <c r="E15" s="10" t="s">
        <v>1678</v>
      </c>
    </row>
    <row r="16" customFormat="false" ht="15" hidden="false" customHeight="false" outlineLevel="0" collapsed="false">
      <c r="A16" s="42" t="n">
        <v>46427.6854166667</v>
      </c>
      <c r="B16" s="10" t="s">
        <v>1723</v>
      </c>
      <c r="C16" s="10" t="s">
        <v>1571</v>
      </c>
      <c r="D16" s="0" t="n">
        <v>5</v>
      </c>
      <c r="E16" s="10" t="s">
        <v>1571</v>
      </c>
    </row>
    <row r="17" customFormat="false" ht="15" hidden="false" customHeight="false" outlineLevel="0" collapsed="false">
      <c r="A17" s="42" t="n">
        <v>46428.3784722222</v>
      </c>
      <c r="B17" s="10" t="s">
        <v>1721</v>
      </c>
      <c r="C17" s="10" t="s">
        <v>1571</v>
      </c>
      <c r="D17" s="0" t="n">
        <v>4</v>
      </c>
      <c r="E17" s="10" t="s">
        <v>1554</v>
      </c>
    </row>
    <row r="18" customFormat="false" ht="15" hidden="false" customHeight="false" outlineLevel="0" collapsed="false">
      <c r="A18" s="42" t="n">
        <v>46428.4055555556</v>
      </c>
      <c r="B18" s="10" t="s">
        <v>1727</v>
      </c>
      <c r="C18" s="10" t="s">
        <v>1571</v>
      </c>
      <c r="D18" s="0" t="n">
        <v>4</v>
      </c>
      <c r="E18" s="10" t="s">
        <v>1678</v>
      </c>
    </row>
    <row r="19" customFormat="false" ht="15" hidden="false" customHeight="false" outlineLevel="0" collapsed="false">
      <c r="A19" s="42" t="n">
        <v>46428.4111111111</v>
      </c>
      <c r="B19" s="10" t="s">
        <v>1726</v>
      </c>
      <c r="C19" s="10" t="s">
        <v>1571</v>
      </c>
      <c r="D19" s="0" t="n">
        <v>5</v>
      </c>
      <c r="E19" s="10" t="s">
        <v>1571</v>
      </c>
      <c r="G19" s="10" t="s">
        <v>511</v>
      </c>
    </row>
    <row r="20" customFormat="false" ht="15" hidden="false" customHeight="false" outlineLevel="0" collapsed="false">
      <c r="A20" s="42" t="n">
        <v>46428.4152777778</v>
      </c>
      <c r="B20" s="10" t="s">
        <v>1723</v>
      </c>
      <c r="C20" s="10" t="s">
        <v>1554</v>
      </c>
      <c r="F20" s="10" t="s">
        <v>1676</v>
      </c>
    </row>
    <row r="21" customFormat="false" ht="15" hidden="false" customHeight="false" outlineLevel="0" collapsed="false">
      <c r="A21" s="42" t="n">
        <v>46428.4486111111</v>
      </c>
      <c r="B21" s="10" t="s">
        <v>1722</v>
      </c>
      <c r="C21" s="10" t="s">
        <v>1571</v>
      </c>
      <c r="D21" s="0" t="n">
        <v>4</v>
      </c>
      <c r="E21" s="10" t="s">
        <v>1554</v>
      </c>
    </row>
    <row r="22" customFormat="false" ht="15" hidden="false" customHeight="false" outlineLevel="0" collapsed="false">
      <c r="A22" s="42" t="n">
        <v>46428.4534722222</v>
      </c>
      <c r="B22" s="10" t="s">
        <v>1727</v>
      </c>
      <c r="C22" s="10" t="s">
        <v>1571</v>
      </c>
      <c r="D22" s="0" t="n">
        <v>5</v>
      </c>
      <c r="E22" s="10" t="s">
        <v>1571</v>
      </c>
      <c r="G22" s="10" t="s">
        <v>492</v>
      </c>
    </row>
    <row r="23" customFormat="false" ht="15" hidden="false" customHeight="false" outlineLevel="0" collapsed="false">
      <c r="A23" s="42" t="n">
        <v>46428.4701388889</v>
      </c>
      <c r="B23" s="10" t="s">
        <v>1726</v>
      </c>
      <c r="C23" s="10" t="s">
        <v>1554</v>
      </c>
      <c r="F23" s="10" t="s">
        <v>1683</v>
      </c>
    </row>
    <row r="24" customFormat="false" ht="15" hidden="false" customHeight="false" outlineLevel="0" collapsed="false">
      <c r="A24" s="42" t="n">
        <v>46428.4756944445</v>
      </c>
      <c r="B24" s="10" t="s">
        <v>1724</v>
      </c>
      <c r="C24" s="10" t="s">
        <v>1571</v>
      </c>
      <c r="D24" s="0" t="n">
        <v>5</v>
      </c>
      <c r="E24" s="10" t="s">
        <v>1678</v>
      </c>
    </row>
    <row r="25" customFormat="false" ht="15" hidden="false" customHeight="false" outlineLevel="0" collapsed="false">
      <c r="A25" s="42" t="n">
        <v>46428.4819444444</v>
      </c>
      <c r="B25" s="10" t="s">
        <v>1726</v>
      </c>
      <c r="C25" s="10" t="s">
        <v>1554</v>
      </c>
      <c r="F25" s="10" t="s">
        <v>1676</v>
      </c>
    </row>
    <row r="26" customFormat="false" ht="15" hidden="false" customHeight="false" outlineLevel="0" collapsed="false">
      <c r="A26" s="42" t="n">
        <v>46428.4888888889</v>
      </c>
      <c r="B26" s="10" t="s">
        <v>1723</v>
      </c>
      <c r="C26" s="10" t="s">
        <v>1571</v>
      </c>
      <c r="D26" s="0" t="n">
        <v>5</v>
      </c>
      <c r="E26" s="10" t="s">
        <v>1678</v>
      </c>
      <c r="G26" s="10" t="s">
        <v>1681</v>
      </c>
    </row>
    <row r="27" customFormat="false" ht="15" hidden="false" customHeight="false" outlineLevel="0" collapsed="false">
      <c r="A27" s="42" t="n">
        <v>46428.5194444444</v>
      </c>
      <c r="B27" s="10" t="s">
        <v>1724</v>
      </c>
      <c r="C27" s="10" t="s">
        <v>1571</v>
      </c>
      <c r="D27" s="0" t="n">
        <v>3</v>
      </c>
      <c r="E27" s="10" t="s">
        <v>1571</v>
      </c>
    </row>
    <row r="28" customFormat="false" ht="15" hidden="false" customHeight="false" outlineLevel="0" collapsed="false">
      <c r="A28" s="42" t="n">
        <v>46428.525</v>
      </c>
      <c r="B28" s="10" t="s">
        <v>1720</v>
      </c>
      <c r="C28" s="10" t="s">
        <v>1571</v>
      </c>
      <c r="D28" s="0" t="n">
        <v>3</v>
      </c>
      <c r="E28" s="10" t="s">
        <v>1678</v>
      </c>
      <c r="G28" s="10" t="s">
        <v>1681</v>
      </c>
    </row>
    <row r="29" customFormat="false" ht="15" hidden="false" customHeight="false" outlineLevel="0" collapsed="false">
      <c r="A29" s="42" t="n">
        <v>46428.5263888889</v>
      </c>
      <c r="B29" s="10" t="s">
        <v>1719</v>
      </c>
      <c r="C29" s="10" t="s">
        <v>1571</v>
      </c>
      <c r="D29" s="0" t="n">
        <v>4</v>
      </c>
      <c r="E29" s="10" t="s">
        <v>1678</v>
      </c>
    </row>
    <row r="30" customFormat="false" ht="15" hidden="false" customHeight="false" outlineLevel="0" collapsed="false">
      <c r="A30" s="42" t="n">
        <v>46428.5347222222</v>
      </c>
      <c r="B30" s="10" t="s">
        <v>1719</v>
      </c>
      <c r="C30" s="10" t="s">
        <v>1571</v>
      </c>
      <c r="D30" s="0" t="n">
        <v>4</v>
      </c>
      <c r="E30" s="10" t="s">
        <v>1571</v>
      </c>
      <c r="G30" s="10" t="s">
        <v>511</v>
      </c>
    </row>
    <row r="31" customFormat="false" ht="15" hidden="false" customHeight="false" outlineLevel="0" collapsed="false">
      <c r="A31" s="42" t="n">
        <v>46428.5388888889</v>
      </c>
      <c r="B31" s="10" t="s">
        <v>1723</v>
      </c>
      <c r="C31" s="10" t="s">
        <v>1554</v>
      </c>
      <c r="F31" s="10" t="s">
        <v>1679</v>
      </c>
    </row>
    <row r="32" customFormat="false" ht="15" hidden="false" customHeight="false" outlineLevel="0" collapsed="false">
      <c r="A32" s="42" t="n">
        <v>46428.5493055556</v>
      </c>
      <c r="B32" s="10" t="s">
        <v>1719</v>
      </c>
      <c r="C32" s="10" t="s">
        <v>1571</v>
      </c>
      <c r="D32" s="0" t="n">
        <v>5</v>
      </c>
      <c r="E32" s="10" t="s">
        <v>1678</v>
      </c>
      <c r="G32" s="10" t="s">
        <v>511</v>
      </c>
    </row>
    <row r="33" customFormat="false" ht="15" hidden="false" customHeight="false" outlineLevel="0" collapsed="false">
      <c r="A33" s="42" t="n">
        <v>46428.55625</v>
      </c>
      <c r="B33" s="10" t="s">
        <v>1723</v>
      </c>
      <c r="C33" s="10" t="s">
        <v>1554</v>
      </c>
      <c r="F33" s="10" t="s">
        <v>1679</v>
      </c>
    </row>
    <row r="34" customFormat="false" ht="15" hidden="false" customHeight="false" outlineLevel="0" collapsed="false">
      <c r="A34" s="42" t="n">
        <v>46428.5604166667</v>
      </c>
      <c r="B34" s="10" t="s">
        <v>1723</v>
      </c>
      <c r="C34" s="10" t="s">
        <v>1571</v>
      </c>
      <c r="D34" s="0" t="n">
        <v>4</v>
      </c>
      <c r="E34" s="10" t="s">
        <v>1678</v>
      </c>
      <c r="G34" s="10" t="s">
        <v>510</v>
      </c>
    </row>
    <row r="35" customFormat="false" ht="15" hidden="false" customHeight="false" outlineLevel="0" collapsed="false">
      <c r="A35" s="42" t="n">
        <v>46428.5763888889</v>
      </c>
      <c r="B35" s="10" t="s">
        <v>1728</v>
      </c>
      <c r="C35" s="10" t="s">
        <v>1571</v>
      </c>
      <c r="D35" s="0" t="n">
        <v>4</v>
      </c>
      <c r="E35" s="10" t="s">
        <v>1678</v>
      </c>
    </row>
    <row r="36" customFormat="false" ht="15" hidden="false" customHeight="false" outlineLevel="0" collapsed="false">
      <c r="A36" s="42" t="n">
        <v>46428.5770833333</v>
      </c>
      <c r="B36" s="10" t="s">
        <v>1727</v>
      </c>
      <c r="C36" s="10" t="s">
        <v>1571</v>
      </c>
      <c r="D36" s="0" t="n">
        <v>5</v>
      </c>
      <c r="E36" s="10" t="s">
        <v>1678</v>
      </c>
    </row>
    <row r="37" customFormat="false" ht="15" hidden="false" customHeight="false" outlineLevel="0" collapsed="false">
      <c r="A37" s="42" t="n">
        <v>46428.5777777778</v>
      </c>
      <c r="B37" s="10" t="s">
        <v>1719</v>
      </c>
      <c r="C37" s="10" t="s">
        <v>1554</v>
      </c>
      <c r="F37" s="10" t="s">
        <v>1683</v>
      </c>
    </row>
    <row r="38" customFormat="false" ht="15" hidden="false" customHeight="false" outlineLevel="0" collapsed="false">
      <c r="A38" s="42" t="n">
        <v>46428.5798611111</v>
      </c>
      <c r="B38" s="10" t="s">
        <v>1728</v>
      </c>
      <c r="C38" s="10" t="s">
        <v>1554</v>
      </c>
      <c r="F38" s="10" t="s">
        <v>1683</v>
      </c>
      <c r="G38" s="10" t="s">
        <v>511</v>
      </c>
    </row>
    <row r="39" customFormat="false" ht="15" hidden="false" customHeight="false" outlineLevel="0" collapsed="false">
      <c r="A39" s="42" t="n">
        <v>46428.5902777778</v>
      </c>
      <c r="B39" s="10" t="s">
        <v>1722</v>
      </c>
      <c r="C39" s="10" t="s">
        <v>1571</v>
      </c>
      <c r="D39" s="0" t="n">
        <v>5</v>
      </c>
      <c r="E39" s="10" t="s">
        <v>1678</v>
      </c>
    </row>
    <row r="40" customFormat="false" ht="15" hidden="false" customHeight="false" outlineLevel="0" collapsed="false">
      <c r="A40" s="42" t="n">
        <v>46428.5972222222</v>
      </c>
      <c r="B40" s="10" t="s">
        <v>1726</v>
      </c>
      <c r="C40" s="10" t="s">
        <v>1571</v>
      </c>
      <c r="D40" s="0" t="n">
        <v>5</v>
      </c>
      <c r="E40" s="10" t="s">
        <v>1554</v>
      </c>
      <c r="G40" s="10" t="s">
        <v>491</v>
      </c>
    </row>
    <row r="41" customFormat="false" ht="15" hidden="false" customHeight="false" outlineLevel="0" collapsed="false">
      <c r="A41" s="42" t="n">
        <v>46428.5993055556</v>
      </c>
      <c r="B41" s="10" t="s">
        <v>1722</v>
      </c>
      <c r="C41" s="10" t="s">
        <v>1571</v>
      </c>
      <c r="D41" s="0" t="n">
        <v>4</v>
      </c>
      <c r="E41" s="10" t="s">
        <v>1678</v>
      </c>
      <c r="G41" s="10" t="s">
        <v>1684</v>
      </c>
    </row>
    <row r="42" customFormat="false" ht="15" hidden="false" customHeight="false" outlineLevel="0" collapsed="false">
      <c r="A42" s="42" t="n">
        <v>46428.6041666667</v>
      </c>
      <c r="B42" s="10" t="s">
        <v>1721</v>
      </c>
      <c r="C42" s="10" t="s">
        <v>1571</v>
      </c>
      <c r="D42" s="0" t="n">
        <v>5</v>
      </c>
      <c r="E42" s="10" t="s">
        <v>1678</v>
      </c>
    </row>
    <row r="43" customFormat="false" ht="15" hidden="false" customHeight="false" outlineLevel="0" collapsed="false">
      <c r="A43" s="42" t="n">
        <v>46428.6118055556</v>
      </c>
      <c r="B43" s="10" t="s">
        <v>1720</v>
      </c>
      <c r="C43" s="10" t="s">
        <v>1571</v>
      </c>
      <c r="D43" s="0" t="n">
        <v>4</v>
      </c>
      <c r="E43" s="10" t="s">
        <v>1571</v>
      </c>
    </row>
    <row r="44" customFormat="false" ht="15" hidden="false" customHeight="false" outlineLevel="0" collapsed="false">
      <c r="A44" s="42" t="n">
        <v>46428.6652777778</v>
      </c>
      <c r="B44" s="10" t="s">
        <v>1721</v>
      </c>
      <c r="C44" s="10" t="s">
        <v>1571</v>
      </c>
      <c r="D44" s="0" t="n">
        <v>4</v>
      </c>
      <c r="E44" s="10" t="s">
        <v>1678</v>
      </c>
      <c r="G44" s="10" t="s">
        <v>512</v>
      </c>
    </row>
    <row r="45" customFormat="false" ht="15" hidden="false" customHeight="false" outlineLevel="0" collapsed="false">
      <c r="A45" s="42" t="n">
        <v>46428.6902777778</v>
      </c>
      <c r="B45" s="10" t="s">
        <v>1719</v>
      </c>
      <c r="C45" s="10" t="s">
        <v>1571</v>
      </c>
      <c r="D45" s="0" t="n">
        <v>5</v>
      </c>
      <c r="E45" s="10" t="s">
        <v>1678</v>
      </c>
      <c r="G45" s="10" t="s">
        <v>1684</v>
      </c>
    </row>
    <row r="46" customFormat="false" ht="15" hidden="false" customHeight="false" outlineLevel="0" collapsed="false">
      <c r="A46" s="42" t="n">
        <v>46428.70625</v>
      </c>
      <c r="B46" s="10" t="s">
        <v>1719</v>
      </c>
      <c r="C46" s="10" t="s">
        <v>1554</v>
      </c>
      <c r="F46" s="10" t="s">
        <v>1676</v>
      </c>
    </row>
    <row r="47" customFormat="false" ht="15" hidden="false" customHeight="false" outlineLevel="0" collapsed="false">
      <c r="A47" s="42" t="n">
        <v>46429.3784722222</v>
      </c>
      <c r="B47" s="10" t="s">
        <v>1727</v>
      </c>
      <c r="C47" s="10" t="s">
        <v>1571</v>
      </c>
      <c r="D47" s="0" t="n">
        <v>4</v>
      </c>
      <c r="E47" s="10" t="s">
        <v>1571</v>
      </c>
      <c r="G47" s="10" t="s">
        <v>512</v>
      </c>
    </row>
    <row r="48" customFormat="false" ht="15" hidden="false" customHeight="false" outlineLevel="0" collapsed="false">
      <c r="A48" s="42" t="n">
        <v>46429.3805555556</v>
      </c>
      <c r="B48" s="10" t="s">
        <v>1724</v>
      </c>
      <c r="C48" s="10" t="s">
        <v>1571</v>
      </c>
      <c r="D48" s="0" t="n">
        <v>5</v>
      </c>
      <c r="E48" s="10" t="s">
        <v>1678</v>
      </c>
    </row>
    <row r="49" customFormat="false" ht="15" hidden="false" customHeight="false" outlineLevel="0" collapsed="false">
      <c r="A49" s="42" t="n">
        <v>46429.3923611111</v>
      </c>
      <c r="B49" s="10" t="s">
        <v>1719</v>
      </c>
      <c r="C49" s="10" t="s">
        <v>1554</v>
      </c>
      <c r="F49" s="10" t="s">
        <v>1676</v>
      </c>
      <c r="G49" s="10" t="s">
        <v>1684</v>
      </c>
    </row>
    <row r="50" customFormat="false" ht="15" hidden="false" customHeight="false" outlineLevel="0" collapsed="false">
      <c r="A50" s="42" t="n">
        <v>46429.3951388889</v>
      </c>
      <c r="B50" s="10" t="s">
        <v>1723</v>
      </c>
      <c r="C50" s="10" t="s">
        <v>1571</v>
      </c>
      <c r="D50" s="0" t="n">
        <v>4</v>
      </c>
      <c r="E50" s="10" t="s">
        <v>1554</v>
      </c>
      <c r="G50" s="10" t="s">
        <v>512</v>
      </c>
    </row>
    <row r="51" customFormat="false" ht="15" hidden="false" customHeight="false" outlineLevel="0" collapsed="false">
      <c r="A51" s="42" t="n">
        <v>46429.4569444444</v>
      </c>
      <c r="B51" s="10" t="s">
        <v>1728</v>
      </c>
      <c r="C51" s="10" t="s">
        <v>1554</v>
      </c>
      <c r="F51" s="10" t="s">
        <v>1679</v>
      </c>
    </row>
    <row r="52" customFormat="false" ht="15" hidden="false" customHeight="false" outlineLevel="0" collapsed="false">
      <c r="A52" s="42" t="n">
        <v>46429.4638888889</v>
      </c>
      <c r="B52" s="10" t="s">
        <v>1728</v>
      </c>
      <c r="C52" s="10" t="s">
        <v>1554</v>
      </c>
      <c r="F52" s="10" t="s">
        <v>1683</v>
      </c>
    </row>
    <row r="53" customFormat="false" ht="15" hidden="false" customHeight="false" outlineLevel="0" collapsed="false">
      <c r="A53" s="42" t="n">
        <v>46429.4708333333</v>
      </c>
      <c r="B53" s="10" t="s">
        <v>1726</v>
      </c>
      <c r="C53" s="10" t="s">
        <v>1571</v>
      </c>
      <c r="D53" s="0" t="n">
        <v>5</v>
      </c>
      <c r="E53" s="10" t="s">
        <v>1678</v>
      </c>
    </row>
    <row r="54" customFormat="false" ht="15" hidden="false" customHeight="false" outlineLevel="0" collapsed="false">
      <c r="A54" s="42" t="n">
        <v>46429.4847222222</v>
      </c>
      <c r="B54" s="10" t="s">
        <v>1727</v>
      </c>
      <c r="C54" s="10" t="s">
        <v>1554</v>
      </c>
      <c r="F54" s="10" t="s">
        <v>1679</v>
      </c>
    </row>
    <row r="55" customFormat="false" ht="15" hidden="false" customHeight="false" outlineLevel="0" collapsed="false">
      <c r="A55" s="42" t="n">
        <v>46429.5243055556</v>
      </c>
      <c r="B55" s="10" t="s">
        <v>1724</v>
      </c>
      <c r="C55" s="10" t="s">
        <v>1571</v>
      </c>
      <c r="D55" s="0" t="n">
        <v>5</v>
      </c>
      <c r="E55" s="10" t="s">
        <v>1678</v>
      </c>
      <c r="G55" s="10" t="s">
        <v>1685</v>
      </c>
    </row>
    <row r="56" customFormat="false" ht="15" hidden="false" customHeight="false" outlineLevel="0" collapsed="false">
      <c r="A56" s="42" t="n">
        <v>46429.5305555556</v>
      </c>
      <c r="B56" s="10" t="s">
        <v>1724</v>
      </c>
      <c r="C56" s="10" t="s">
        <v>1554</v>
      </c>
      <c r="F56" s="10" t="s">
        <v>1683</v>
      </c>
    </row>
    <row r="57" customFormat="false" ht="15" hidden="false" customHeight="false" outlineLevel="0" collapsed="false">
      <c r="A57" s="42" t="n">
        <v>46429.5423611111</v>
      </c>
      <c r="B57" s="10" t="s">
        <v>1722</v>
      </c>
      <c r="C57" s="10" t="s">
        <v>1554</v>
      </c>
      <c r="F57" s="10" t="s">
        <v>1676</v>
      </c>
    </row>
    <row r="58" customFormat="false" ht="15" hidden="false" customHeight="false" outlineLevel="0" collapsed="false">
      <c r="A58" s="42" t="n">
        <v>46429.5555555556</v>
      </c>
      <c r="B58" s="10" t="s">
        <v>1722</v>
      </c>
      <c r="C58" s="10" t="s">
        <v>1571</v>
      </c>
      <c r="D58" s="0" t="n">
        <v>4</v>
      </c>
      <c r="E58" s="10" t="s">
        <v>1678</v>
      </c>
    </row>
    <row r="59" customFormat="false" ht="15" hidden="false" customHeight="false" outlineLevel="0" collapsed="false">
      <c r="A59" s="42" t="n">
        <v>46429.5784722222</v>
      </c>
      <c r="B59" s="10" t="s">
        <v>1725</v>
      </c>
      <c r="C59" s="10" t="s">
        <v>1571</v>
      </c>
      <c r="D59" s="0" t="n">
        <v>3</v>
      </c>
      <c r="E59" s="10" t="s">
        <v>1678</v>
      </c>
    </row>
    <row r="60" customFormat="false" ht="15" hidden="false" customHeight="false" outlineLevel="0" collapsed="false">
      <c r="A60" s="42" t="n">
        <v>46429.5791666667</v>
      </c>
      <c r="B60" s="10" t="s">
        <v>1728</v>
      </c>
      <c r="C60" s="10" t="s">
        <v>1571</v>
      </c>
      <c r="D60" s="0" t="n">
        <v>4</v>
      </c>
      <c r="E60" s="10" t="s">
        <v>1571</v>
      </c>
      <c r="G60" s="10" t="s">
        <v>491</v>
      </c>
    </row>
    <row r="61" customFormat="false" ht="15" hidden="false" customHeight="false" outlineLevel="0" collapsed="false">
      <c r="A61" s="42" t="n">
        <v>46429.6034722222</v>
      </c>
      <c r="B61" s="10" t="s">
        <v>1728</v>
      </c>
      <c r="C61" s="10" t="s">
        <v>1554</v>
      </c>
      <c r="F61" s="10" t="s">
        <v>1679</v>
      </c>
    </row>
    <row r="62" customFormat="false" ht="15" hidden="false" customHeight="false" outlineLevel="0" collapsed="false">
      <c r="A62" s="42" t="n">
        <v>46429.6083333333</v>
      </c>
      <c r="B62" s="10" t="s">
        <v>1725</v>
      </c>
      <c r="C62" s="10" t="s">
        <v>1571</v>
      </c>
      <c r="D62" s="0" t="n">
        <v>4</v>
      </c>
      <c r="E62" s="10" t="s">
        <v>1571</v>
      </c>
      <c r="G62" s="10" t="s">
        <v>510</v>
      </c>
    </row>
    <row r="63" customFormat="false" ht="15" hidden="false" customHeight="false" outlineLevel="0" collapsed="false">
      <c r="A63" s="42" t="n">
        <v>46429.6118055556</v>
      </c>
      <c r="B63" s="10" t="s">
        <v>1727</v>
      </c>
      <c r="C63" s="10" t="s">
        <v>1571</v>
      </c>
      <c r="D63" s="0" t="n">
        <v>4</v>
      </c>
      <c r="E63" s="10" t="s">
        <v>1678</v>
      </c>
    </row>
    <row r="64" customFormat="false" ht="15" hidden="false" customHeight="false" outlineLevel="0" collapsed="false">
      <c r="A64" s="42" t="n">
        <v>46429.6256944445</v>
      </c>
      <c r="B64" s="10" t="s">
        <v>1727</v>
      </c>
      <c r="C64" s="10" t="s">
        <v>1554</v>
      </c>
      <c r="F64" s="10" t="s">
        <v>1683</v>
      </c>
    </row>
    <row r="65" customFormat="false" ht="15" hidden="false" customHeight="false" outlineLevel="0" collapsed="false">
      <c r="A65" s="42" t="n">
        <v>46429.6263888889</v>
      </c>
      <c r="B65" s="10" t="s">
        <v>1721</v>
      </c>
      <c r="C65" s="10" t="s">
        <v>1554</v>
      </c>
      <c r="F65" s="10" t="s">
        <v>1676</v>
      </c>
    </row>
    <row r="66" customFormat="false" ht="15" hidden="false" customHeight="false" outlineLevel="0" collapsed="false">
      <c r="A66" s="42" t="n">
        <v>46429.6638888889</v>
      </c>
      <c r="B66" s="10" t="s">
        <v>1728</v>
      </c>
      <c r="C66" s="10" t="s">
        <v>1554</v>
      </c>
      <c r="F66" s="10" t="s">
        <v>1679</v>
      </c>
    </row>
    <row r="67" customFormat="false" ht="15" hidden="false" customHeight="false" outlineLevel="0" collapsed="false">
      <c r="A67" s="42" t="n">
        <v>46429.6638888889</v>
      </c>
      <c r="B67" s="10" t="s">
        <v>1728</v>
      </c>
      <c r="C67" s="10" t="s">
        <v>1571</v>
      </c>
      <c r="D67" s="0" t="n">
        <v>4</v>
      </c>
      <c r="E67" s="10" t="s">
        <v>1571</v>
      </c>
      <c r="G67" s="10" t="s">
        <v>1685</v>
      </c>
    </row>
    <row r="68" customFormat="false" ht="15" hidden="false" customHeight="false" outlineLevel="0" collapsed="false">
      <c r="A68" s="42" t="n">
        <v>46429.6645833333</v>
      </c>
      <c r="B68" s="10" t="s">
        <v>1722</v>
      </c>
      <c r="C68" s="10" t="s">
        <v>1571</v>
      </c>
      <c r="D68" s="0" t="n">
        <v>3</v>
      </c>
      <c r="E68" s="10" t="s">
        <v>1554</v>
      </c>
    </row>
    <row r="69" customFormat="false" ht="15" hidden="false" customHeight="false" outlineLevel="0" collapsed="false">
      <c r="A69" s="42" t="n">
        <v>46429.6666666667</v>
      </c>
      <c r="B69" s="10" t="s">
        <v>1721</v>
      </c>
      <c r="C69" s="10" t="s">
        <v>1554</v>
      </c>
      <c r="F69" s="10" t="s">
        <v>1683</v>
      </c>
    </row>
    <row r="70" customFormat="false" ht="15" hidden="false" customHeight="false" outlineLevel="0" collapsed="false">
      <c r="A70" s="42" t="n">
        <v>46429.6979166667</v>
      </c>
      <c r="B70" s="10" t="s">
        <v>1720</v>
      </c>
      <c r="C70" s="10" t="s">
        <v>1571</v>
      </c>
      <c r="D70" s="0" t="n">
        <v>5</v>
      </c>
      <c r="E70" s="10" t="s">
        <v>1678</v>
      </c>
      <c r="G70" s="10" t="s">
        <v>510</v>
      </c>
    </row>
    <row r="71" customFormat="false" ht="15" hidden="false" customHeight="false" outlineLevel="0" collapsed="false">
      <c r="A71" s="42" t="n">
        <v>46429.7027777778</v>
      </c>
      <c r="B71" s="10" t="s">
        <v>1727</v>
      </c>
      <c r="C71" s="10" t="s">
        <v>1554</v>
      </c>
      <c r="F71" s="10" t="s">
        <v>1676</v>
      </c>
      <c r="G71" s="10" t="s">
        <v>1684</v>
      </c>
    </row>
    <row r="72" customFormat="false" ht="15" hidden="false" customHeight="false" outlineLevel="0" collapsed="false">
      <c r="A72" s="42" t="n">
        <v>46430.3951388889</v>
      </c>
      <c r="B72" s="10" t="s">
        <v>1727</v>
      </c>
      <c r="C72" s="10" t="s">
        <v>1571</v>
      </c>
      <c r="D72" s="0" t="n">
        <v>5</v>
      </c>
      <c r="E72" s="10" t="s">
        <v>1678</v>
      </c>
    </row>
    <row r="73" customFormat="false" ht="15" hidden="false" customHeight="false" outlineLevel="0" collapsed="false">
      <c r="A73" s="42" t="n">
        <v>46430.4083333333</v>
      </c>
      <c r="B73" s="10" t="s">
        <v>1725</v>
      </c>
      <c r="C73" s="10" t="s">
        <v>1571</v>
      </c>
      <c r="D73" s="0" t="n">
        <v>5</v>
      </c>
      <c r="E73" s="10" t="s">
        <v>1554</v>
      </c>
    </row>
    <row r="74" customFormat="false" ht="15" hidden="false" customHeight="false" outlineLevel="0" collapsed="false">
      <c r="A74" s="42" t="n">
        <v>46430.4215277778</v>
      </c>
      <c r="B74" s="10" t="s">
        <v>1721</v>
      </c>
      <c r="C74" s="10" t="s">
        <v>1554</v>
      </c>
      <c r="F74" s="10" t="s">
        <v>1683</v>
      </c>
      <c r="G74" s="10" t="s">
        <v>1681</v>
      </c>
    </row>
    <row r="75" customFormat="false" ht="15" hidden="false" customHeight="false" outlineLevel="0" collapsed="false">
      <c r="A75" s="42" t="n">
        <v>46430.5631944445</v>
      </c>
      <c r="B75" s="10" t="s">
        <v>1719</v>
      </c>
      <c r="C75" s="10" t="s">
        <v>1571</v>
      </c>
      <c r="D75" s="0" t="n">
        <v>5</v>
      </c>
      <c r="E75" s="10" t="s">
        <v>1571</v>
      </c>
    </row>
    <row r="76" customFormat="false" ht="15" hidden="false" customHeight="false" outlineLevel="0" collapsed="false">
      <c r="A76" s="42" t="n">
        <v>46430.5951388889</v>
      </c>
      <c r="B76" s="10" t="s">
        <v>1723</v>
      </c>
      <c r="C76" s="10" t="s">
        <v>1571</v>
      </c>
      <c r="D76" s="0" t="n">
        <v>4</v>
      </c>
      <c r="E76" s="10" t="s">
        <v>1571</v>
      </c>
    </row>
    <row r="77" customFormat="false" ht="15" hidden="false" customHeight="false" outlineLevel="0" collapsed="false">
      <c r="A77" s="42" t="n">
        <v>46434.4881944444</v>
      </c>
      <c r="B77" s="10" t="s">
        <v>1727</v>
      </c>
      <c r="C77" s="10" t="s">
        <v>1571</v>
      </c>
      <c r="D77" s="0" t="n">
        <v>4</v>
      </c>
      <c r="E77" s="10" t="s">
        <v>1571</v>
      </c>
    </row>
    <row r="78" customFormat="false" ht="15" hidden="false" customHeight="false" outlineLevel="0" collapsed="false">
      <c r="A78" s="42" t="n">
        <v>46434.5694444445</v>
      </c>
      <c r="B78" s="10" t="s">
        <v>1723</v>
      </c>
      <c r="C78" s="10" t="s">
        <v>1571</v>
      </c>
      <c r="D78" s="0" t="n">
        <v>4</v>
      </c>
      <c r="E78"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1729</v>
      </c>
      <c r="D1" s="41" t="s">
        <v>1666</v>
      </c>
      <c r="E1" s="41" t="s">
        <v>1667</v>
      </c>
      <c r="F1" s="41" t="s">
        <v>1668</v>
      </c>
      <c r="G1" s="41" t="s">
        <v>1730</v>
      </c>
    </row>
    <row r="2" customFormat="false" ht="15" hidden="false" customHeight="false" outlineLevel="0" collapsed="false">
      <c r="A2" s="42" t="n">
        <v>46441.3840277778</v>
      </c>
      <c r="B2" s="10" t="s">
        <v>1731</v>
      </c>
      <c r="C2" s="10" t="s">
        <v>1571</v>
      </c>
      <c r="D2" s="0" t="n">
        <v>5</v>
      </c>
      <c r="E2" s="10" t="s">
        <v>1554</v>
      </c>
      <c r="G2" s="10" t="s">
        <v>571</v>
      </c>
    </row>
    <row r="3" customFormat="false" ht="15" hidden="false" customHeight="false" outlineLevel="0" collapsed="false">
      <c r="A3" s="42" t="n">
        <v>46441.3979166667</v>
      </c>
      <c r="B3" s="10" t="s">
        <v>1732</v>
      </c>
      <c r="C3" s="10" t="s">
        <v>1571</v>
      </c>
      <c r="D3" s="0" t="n">
        <v>5</v>
      </c>
      <c r="E3" s="10" t="s">
        <v>1554</v>
      </c>
      <c r="G3" s="10" t="s">
        <v>572</v>
      </c>
    </row>
    <row r="4" customFormat="false" ht="15" hidden="false" customHeight="false" outlineLevel="0" collapsed="false">
      <c r="A4" s="42" t="n">
        <v>46441.4430555556</v>
      </c>
      <c r="B4" s="10" t="s">
        <v>1733</v>
      </c>
      <c r="C4" s="10" t="s">
        <v>1571</v>
      </c>
      <c r="D4" s="0" t="n">
        <v>4</v>
      </c>
      <c r="E4" s="10" t="s">
        <v>1678</v>
      </c>
      <c r="G4" s="10" t="s">
        <v>573</v>
      </c>
    </row>
    <row r="5" customFormat="false" ht="15" hidden="false" customHeight="false" outlineLevel="0" collapsed="false">
      <c r="A5" s="42" t="n">
        <v>46441.4645833333</v>
      </c>
      <c r="B5" s="10" t="s">
        <v>1732</v>
      </c>
      <c r="C5" s="10" t="s">
        <v>1554</v>
      </c>
      <c r="F5" s="10" t="s">
        <v>1679</v>
      </c>
    </row>
    <row r="6" customFormat="false" ht="15" hidden="false" customHeight="false" outlineLevel="0" collapsed="false">
      <c r="A6" s="42" t="n">
        <v>46441.5020833333</v>
      </c>
      <c r="B6" s="10" t="s">
        <v>1731</v>
      </c>
      <c r="C6" s="10" t="s">
        <v>1571</v>
      </c>
      <c r="D6" s="0" t="n">
        <v>4</v>
      </c>
      <c r="E6" s="10" t="s">
        <v>1554</v>
      </c>
    </row>
    <row r="7" customFormat="false" ht="15" hidden="false" customHeight="false" outlineLevel="0" collapsed="false">
      <c r="A7" s="42" t="n">
        <v>46441.525</v>
      </c>
      <c r="B7" s="10" t="s">
        <v>1734</v>
      </c>
      <c r="C7" s="10" t="s">
        <v>1571</v>
      </c>
      <c r="D7" s="0" t="n">
        <v>5</v>
      </c>
      <c r="E7" s="10" t="s">
        <v>1571</v>
      </c>
    </row>
    <row r="8" customFormat="false" ht="15" hidden="false" customHeight="false" outlineLevel="0" collapsed="false">
      <c r="A8" s="42" t="n">
        <v>46441.5472222222</v>
      </c>
      <c r="B8" s="10" t="s">
        <v>1733</v>
      </c>
      <c r="C8" s="10" t="s">
        <v>1554</v>
      </c>
      <c r="F8" s="10" t="s">
        <v>1676</v>
      </c>
      <c r="G8" s="10" t="s">
        <v>491</v>
      </c>
    </row>
    <row r="9" customFormat="false" ht="15" hidden="false" customHeight="false" outlineLevel="0" collapsed="false">
      <c r="A9" s="42" t="n">
        <v>46441.5590277778</v>
      </c>
      <c r="B9" s="10" t="s">
        <v>1735</v>
      </c>
      <c r="C9" s="10" t="s">
        <v>1571</v>
      </c>
      <c r="D9" s="0" t="n">
        <v>5</v>
      </c>
      <c r="E9" s="10" t="s">
        <v>1678</v>
      </c>
      <c r="G9" s="10" t="s">
        <v>510</v>
      </c>
    </row>
    <row r="10" customFormat="false" ht="15" hidden="false" customHeight="false" outlineLevel="0" collapsed="false">
      <c r="A10" s="42" t="n">
        <v>46441.5722222222</v>
      </c>
      <c r="B10" s="10" t="s">
        <v>1734</v>
      </c>
      <c r="C10" s="10" t="s">
        <v>1571</v>
      </c>
      <c r="D10" s="0" t="n">
        <v>5</v>
      </c>
      <c r="E10" s="10" t="s">
        <v>1571</v>
      </c>
    </row>
    <row r="11" customFormat="false" ht="15" hidden="false" customHeight="false" outlineLevel="0" collapsed="false">
      <c r="A11" s="42" t="n">
        <v>46441.5819444444</v>
      </c>
      <c r="B11" s="10" t="s">
        <v>1736</v>
      </c>
      <c r="C11" s="10" t="s">
        <v>1554</v>
      </c>
      <c r="F11" s="10" t="s">
        <v>1679</v>
      </c>
      <c r="G11" s="10" t="s">
        <v>492</v>
      </c>
    </row>
    <row r="12" customFormat="false" ht="15" hidden="false" customHeight="false" outlineLevel="0" collapsed="false">
      <c r="A12" s="42" t="n">
        <v>46441.5819444444</v>
      </c>
      <c r="B12" s="10" t="s">
        <v>1736</v>
      </c>
      <c r="C12" s="10" t="s">
        <v>1554</v>
      </c>
      <c r="F12" s="10" t="s">
        <v>1683</v>
      </c>
    </row>
    <row r="13" customFormat="false" ht="15" hidden="false" customHeight="false" outlineLevel="0" collapsed="false">
      <c r="A13" s="42" t="n">
        <v>46441.5979166667</v>
      </c>
      <c r="B13" s="10" t="s">
        <v>1731</v>
      </c>
      <c r="C13" s="10" t="s">
        <v>1571</v>
      </c>
      <c r="D13" s="0" t="n">
        <v>5</v>
      </c>
      <c r="E13" s="10" t="s">
        <v>1571</v>
      </c>
      <c r="G13" s="10" t="s">
        <v>512</v>
      </c>
    </row>
    <row r="14" customFormat="false" ht="15" hidden="false" customHeight="false" outlineLevel="0" collapsed="false">
      <c r="A14" s="42" t="n">
        <v>46441.6173611111</v>
      </c>
      <c r="B14" s="10" t="s">
        <v>1737</v>
      </c>
      <c r="C14" s="10" t="s">
        <v>1571</v>
      </c>
      <c r="D14" s="0" t="n">
        <v>4</v>
      </c>
      <c r="E14" s="10" t="s">
        <v>1678</v>
      </c>
    </row>
    <row r="15" customFormat="false" ht="15" hidden="false" customHeight="false" outlineLevel="0" collapsed="false">
      <c r="A15" s="42" t="n">
        <v>46441.6527777778</v>
      </c>
      <c r="B15" s="10" t="s">
        <v>1735</v>
      </c>
      <c r="C15" s="10" t="s">
        <v>1571</v>
      </c>
      <c r="D15" s="0" t="n">
        <v>4</v>
      </c>
      <c r="E15" s="10" t="s">
        <v>1554</v>
      </c>
    </row>
    <row r="16" customFormat="false" ht="15" hidden="false" customHeight="false" outlineLevel="0" collapsed="false">
      <c r="A16" s="42" t="n">
        <v>46441.6770833333</v>
      </c>
      <c r="B16" s="10" t="s">
        <v>1738</v>
      </c>
      <c r="C16" s="10" t="s">
        <v>1571</v>
      </c>
      <c r="D16" s="0" t="n">
        <v>5</v>
      </c>
      <c r="E16" s="10" t="s">
        <v>1554</v>
      </c>
    </row>
    <row r="17" customFormat="false" ht="15" hidden="false" customHeight="false" outlineLevel="0" collapsed="false">
      <c r="A17" s="42" t="n">
        <v>46441.6847222222</v>
      </c>
      <c r="B17" s="10" t="s">
        <v>1732</v>
      </c>
      <c r="C17" s="10" t="s">
        <v>1571</v>
      </c>
      <c r="D17" s="0" t="n">
        <v>5</v>
      </c>
      <c r="E17" s="10" t="s">
        <v>1678</v>
      </c>
    </row>
    <row r="18" customFormat="false" ht="15" hidden="false" customHeight="false" outlineLevel="0" collapsed="false">
      <c r="A18" s="42" t="n">
        <v>46441.6881944445</v>
      </c>
      <c r="B18" s="10" t="s">
        <v>1731</v>
      </c>
      <c r="C18" s="10" t="s">
        <v>1571</v>
      </c>
      <c r="D18" s="0" t="n">
        <v>4</v>
      </c>
      <c r="E18" s="10" t="s">
        <v>1554</v>
      </c>
      <c r="G18" s="10" t="s">
        <v>1685</v>
      </c>
    </row>
    <row r="19" customFormat="false" ht="15" hidden="false" customHeight="false" outlineLevel="0" collapsed="false">
      <c r="A19" s="42" t="n">
        <v>46441.6930555556</v>
      </c>
      <c r="B19" s="10" t="s">
        <v>1734</v>
      </c>
      <c r="C19" s="10" t="s">
        <v>1571</v>
      </c>
      <c r="D19" s="0" t="n">
        <v>4</v>
      </c>
      <c r="E19" s="10" t="s">
        <v>1678</v>
      </c>
      <c r="G19" s="10" t="s">
        <v>511</v>
      </c>
    </row>
    <row r="20" customFormat="false" ht="15" hidden="false" customHeight="false" outlineLevel="0" collapsed="false">
      <c r="A20" s="42" t="n">
        <v>46442.3770833333</v>
      </c>
      <c r="B20" s="10" t="s">
        <v>1734</v>
      </c>
      <c r="C20" s="10" t="s">
        <v>1571</v>
      </c>
      <c r="D20" s="0" t="n">
        <v>4</v>
      </c>
      <c r="E20" s="10" t="s">
        <v>1571</v>
      </c>
    </row>
    <row r="21" customFormat="false" ht="15" hidden="false" customHeight="false" outlineLevel="0" collapsed="false">
      <c r="A21" s="42" t="n">
        <v>46442.3819444445</v>
      </c>
      <c r="B21" s="10" t="s">
        <v>1734</v>
      </c>
      <c r="C21" s="10" t="s">
        <v>1571</v>
      </c>
      <c r="D21" s="0" t="n">
        <v>3</v>
      </c>
      <c r="E21" s="10" t="s">
        <v>1678</v>
      </c>
    </row>
    <row r="22" customFormat="false" ht="15" hidden="false" customHeight="false" outlineLevel="0" collapsed="false">
      <c r="A22" s="42" t="n">
        <v>46442.3868055556</v>
      </c>
      <c r="B22" s="10" t="s">
        <v>1738</v>
      </c>
      <c r="C22" s="10" t="s">
        <v>1571</v>
      </c>
      <c r="D22" s="0" t="n">
        <v>5</v>
      </c>
      <c r="E22" s="10" t="s">
        <v>1678</v>
      </c>
    </row>
    <row r="23" customFormat="false" ht="15" hidden="false" customHeight="false" outlineLevel="0" collapsed="false">
      <c r="A23" s="42" t="n">
        <v>46442.4291666667</v>
      </c>
      <c r="B23" s="10" t="s">
        <v>1733</v>
      </c>
      <c r="C23" s="10" t="s">
        <v>1571</v>
      </c>
      <c r="D23" s="0" t="n">
        <v>4</v>
      </c>
      <c r="E23" s="10" t="s">
        <v>1571</v>
      </c>
    </row>
    <row r="24" customFormat="false" ht="15" hidden="false" customHeight="false" outlineLevel="0" collapsed="false">
      <c r="A24" s="42" t="n">
        <v>46442.4291666667</v>
      </c>
      <c r="B24" s="10" t="s">
        <v>1733</v>
      </c>
      <c r="C24" s="10" t="s">
        <v>1571</v>
      </c>
      <c r="D24" s="0" t="n">
        <v>4</v>
      </c>
      <c r="E24" s="10" t="s">
        <v>1554</v>
      </c>
    </row>
    <row r="25" customFormat="false" ht="15" hidden="false" customHeight="false" outlineLevel="0" collapsed="false">
      <c r="A25" s="42" t="n">
        <v>46442.4777777778</v>
      </c>
      <c r="B25" s="10" t="s">
        <v>1736</v>
      </c>
      <c r="C25" s="10" t="s">
        <v>1571</v>
      </c>
      <c r="D25" s="0" t="n">
        <v>5</v>
      </c>
      <c r="E25" s="10" t="s">
        <v>1554</v>
      </c>
    </row>
    <row r="26" customFormat="false" ht="15" hidden="false" customHeight="false" outlineLevel="0" collapsed="false">
      <c r="A26" s="42" t="n">
        <v>46442.4826388889</v>
      </c>
      <c r="B26" s="10" t="s">
        <v>1737</v>
      </c>
      <c r="C26" s="10" t="s">
        <v>1571</v>
      </c>
      <c r="D26" s="0" t="n">
        <v>5</v>
      </c>
      <c r="E26" s="10" t="s">
        <v>1554</v>
      </c>
    </row>
    <row r="27" customFormat="false" ht="15" hidden="false" customHeight="false" outlineLevel="0" collapsed="false">
      <c r="A27" s="42" t="n">
        <v>46442.4847222222</v>
      </c>
      <c r="B27" s="10" t="s">
        <v>1734</v>
      </c>
      <c r="C27" s="10" t="s">
        <v>1554</v>
      </c>
      <c r="F27" s="10" t="s">
        <v>1676</v>
      </c>
    </row>
    <row r="28" customFormat="false" ht="15" hidden="false" customHeight="false" outlineLevel="0" collapsed="false">
      <c r="A28" s="42" t="n">
        <v>46442.5090277778</v>
      </c>
      <c r="B28" s="10" t="s">
        <v>1735</v>
      </c>
      <c r="C28" s="10" t="s">
        <v>1571</v>
      </c>
      <c r="D28" s="0" t="n">
        <v>5</v>
      </c>
      <c r="E28" s="10" t="s">
        <v>1571</v>
      </c>
    </row>
    <row r="29" customFormat="false" ht="15" hidden="false" customHeight="false" outlineLevel="0" collapsed="false">
      <c r="A29" s="42" t="n">
        <v>46442.5201388889</v>
      </c>
      <c r="B29" s="10" t="s">
        <v>1738</v>
      </c>
      <c r="C29" s="10" t="s">
        <v>1571</v>
      </c>
      <c r="D29" s="0" t="n">
        <v>4</v>
      </c>
      <c r="E29" s="10" t="s">
        <v>1571</v>
      </c>
      <c r="G29" s="10" t="s">
        <v>1685</v>
      </c>
    </row>
    <row r="30" customFormat="false" ht="15" hidden="false" customHeight="false" outlineLevel="0" collapsed="false">
      <c r="A30" s="42" t="n">
        <v>46442.5333333333</v>
      </c>
      <c r="B30" s="10" t="s">
        <v>1739</v>
      </c>
      <c r="C30" s="10" t="s">
        <v>1571</v>
      </c>
      <c r="D30" s="0" t="n">
        <v>4</v>
      </c>
      <c r="E30" s="10" t="s">
        <v>1571</v>
      </c>
    </row>
    <row r="31" customFormat="false" ht="15" hidden="false" customHeight="false" outlineLevel="0" collapsed="false">
      <c r="A31" s="42" t="n">
        <v>46442.55625</v>
      </c>
      <c r="B31" s="10" t="s">
        <v>1738</v>
      </c>
      <c r="C31" s="10" t="s">
        <v>1554</v>
      </c>
      <c r="F31" s="10" t="s">
        <v>1676</v>
      </c>
    </row>
    <row r="32" customFormat="false" ht="15" hidden="false" customHeight="false" outlineLevel="0" collapsed="false">
      <c r="A32" s="42" t="n">
        <v>46442.5625</v>
      </c>
      <c r="B32" s="10" t="s">
        <v>1735</v>
      </c>
      <c r="C32" s="10" t="s">
        <v>1571</v>
      </c>
      <c r="D32" s="0" t="n">
        <v>5</v>
      </c>
      <c r="E32" s="10" t="s">
        <v>1678</v>
      </c>
    </row>
    <row r="33" customFormat="false" ht="15" hidden="false" customHeight="false" outlineLevel="0" collapsed="false">
      <c r="A33" s="42" t="n">
        <v>46442.5645833333</v>
      </c>
      <c r="B33" s="10" t="s">
        <v>1739</v>
      </c>
      <c r="C33" s="10" t="s">
        <v>1571</v>
      </c>
      <c r="D33" s="0" t="n">
        <v>4</v>
      </c>
      <c r="E33" s="10" t="s">
        <v>1678</v>
      </c>
    </row>
    <row r="34" customFormat="false" ht="15" hidden="false" customHeight="false" outlineLevel="0" collapsed="false">
      <c r="A34" s="42" t="n">
        <v>46442.5777777778</v>
      </c>
      <c r="B34" s="10" t="s">
        <v>1732</v>
      </c>
      <c r="C34" s="10" t="s">
        <v>1571</v>
      </c>
      <c r="D34" s="0" t="n">
        <v>4</v>
      </c>
      <c r="E34" s="10" t="s">
        <v>1554</v>
      </c>
      <c r="G34" s="10" t="s">
        <v>491</v>
      </c>
    </row>
    <row r="35" customFormat="false" ht="15" hidden="false" customHeight="false" outlineLevel="0" collapsed="false">
      <c r="A35" s="42" t="n">
        <v>46442.5965277778</v>
      </c>
      <c r="B35" s="10" t="s">
        <v>1739</v>
      </c>
      <c r="C35" s="10" t="s">
        <v>1554</v>
      </c>
      <c r="F35" s="10" t="s">
        <v>1683</v>
      </c>
      <c r="G35" s="10" t="s">
        <v>492</v>
      </c>
    </row>
    <row r="36" customFormat="false" ht="15" hidden="false" customHeight="false" outlineLevel="0" collapsed="false">
      <c r="A36" s="42" t="n">
        <v>46442.6375</v>
      </c>
      <c r="B36" s="10" t="s">
        <v>1735</v>
      </c>
      <c r="C36" s="10" t="s">
        <v>1571</v>
      </c>
      <c r="D36" s="0" t="n">
        <v>4</v>
      </c>
      <c r="E36" s="10" t="s">
        <v>1678</v>
      </c>
    </row>
    <row r="37" customFormat="false" ht="15" hidden="false" customHeight="false" outlineLevel="0" collapsed="false">
      <c r="A37" s="42" t="n">
        <v>46442.65</v>
      </c>
      <c r="B37" s="10" t="s">
        <v>1739</v>
      </c>
      <c r="C37" s="10" t="s">
        <v>1554</v>
      </c>
      <c r="F37" s="10" t="s">
        <v>1679</v>
      </c>
    </row>
    <row r="38" customFormat="false" ht="15" hidden="false" customHeight="false" outlineLevel="0" collapsed="false">
      <c r="A38" s="42" t="n">
        <v>46442.6993055556</v>
      </c>
      <c r="B38" s="10" t="s">
        <v>1736</v>
      </c>
      <c r="C38" s="10" t="s">
        <v>1571</v>
      </c>
      <c r="D38" s="0" t="n">
        <v>4</v>
      </c>
      <c r="E38" s="10" t="s">
        <v>1678</v>
      </c>
    </row>
    <row r="39" customFormat="false" ht="15" hidden="false" customHeight="false" outlineLevel="0" collapsed="false">
      <c r="A39" s="42" t="n">
        <v>46443.3770833333</v>
      </c>
      <c r="B39" s="10" t="s">
        <v>1739</v>
      </c>
      <c r="C39" s="10" t="s">
        <v>1571</v>
      </c>
      <c r="D39" s="0" t="n">
        <v>4</v>
      </c>
      <c r="E39" s="10" t="s">
        <v>1678</v>
      </c>
    </row>
    <row r="40" customFormat="false" ht="15" hidden="false" customHeight="false" outlineLevel="0" collapsed="false">
      <c r="A40" s="42" t="n">
        <v>46443.38125</v>
      </c>
      <c r="B40" s="10" t="s">
        <v>1737</v>
      </c>
      <c r="C40" s="10" t="s">
        <v>1554</v>
      </c>
      <c r="F40" s="10" t="s">
        <v>1676</v>
      </c>
    </row>
    <row r="41" customFormat="false" ht="15" hidden="false" customHeight="false" outlineLevel="0" collapsed="false">
      <c r="A41" s="42" t="n">
        <v>46443.4020833333</v>
      </c>
      <c r="B41" s="10" t="s">
        <v>1734</v>
      </c>
      <c r="C41" s="10" t="s">
        <v>1571</v>
      </c>
      <c r="D41" s="0" t="n">
        <v>4</v>
      </c>
      <c r="E41" s="10" t="s">
        <v>1678</v>
      </c>
    </row>
    <row r="42" customFormat="false" ht="15" hidden="false" customHeight="false" outlineLevel="0" collapsed="false">
      <c r="A42" s="42" t="n">
        <v>46443.4034722222</v>
      </c>
      <c r="B42" s="10" t="s">
        <v>1732</v>
      </c>
      <c r="C42" s="10" t="s">
        <v>1571</v>
      </c>
      <c r="D42" s="0" t="n">
        <v>4</v>
      </c>
      <c r="E42" s="10" t="s">
        <v>1678</v>
      </c>
    </row>
    <row r="43" customFormat="false" ht="15" hidden="false" customHeight="false" outlineLevel="0" collapsed="false">
      <c r="A43" s="42" t="n">
        <v>46443.4166666667</v>
      </c>
      <c r="B43" s="10" t="s">
        <v>1738</v>
      </c>
      <c r="C43" s="10" t="s">
        <v>1571</v>
      </c>
      <c r="D43" s="0" t="n">
        <v>4</v>
      </c>
      <c r="E43" s="10" t="s">
        <v>1554</v>
      </c>
      <c r="G43" s="10" t="s">
        <v>511</v>
      </c>
    </row>
    <row r="44" customFormat="false" ht="15" hidden="false" customHeight="false" outlineLevel="0" collapsed="false">
      <c r="A44" s="42" t="n">
        <v>46443.4291666667</v>
      </c>
      <c r="B44" s="10" t="s">
        <v>1735</v>
      </c>
      <c r="C44" s="10" t="s">
        <v>1571</v>
      </c>
      <c r="D44" s="0" t="n">
        <v>5</v>
      </c>
      <c r="E44" s="10" t="s">
        <v>1554</v>
      </c>
      <c r="G44" s="10" t="s">
        <v>491</v>
      </c>
    </row>
    <row r="45" customFormat="false" ht="15" hidden="false" customHeight="false" outlineLevel="0" collapsed="false">
      <c r="A45" s="42" t="n">
        <v>46443.4597222222</v>
      </c>
      <c r="B45" s="10" t="s">
        <v>1735</v>
      </c>
      <c r="C45" s="10" t="s">
        <v>1571</v>
      </c>
      <c r="D45" s="0" t="n">
        <v>5</v>
      </c>
      <c r="E45" s="10" t="s">
        <v>1678</v>
      </c>
      <c r="G45" s="10" t="s">
        <v>491</v>
      </c>
    </row>
    <row r="46" customFormat="false" ht="15" hidden="false" customHeight="false" outlineLevel="0" collapsed="false">
      <c r="A46" s="42" t="n">
        <v>46443.4736111111</v>
      </c>
      <c r="B46" s="10" t="s">
        <v>1733</v>
      </c>
      <c r="C46" s="10" t="s">
        <v>1571</v>
      </c>
      <c r="D46" s="0" t="n">
        <v>5</v>
      </c>
      <c r="E46" s="10" t="s">
        <v>1678</v>
      </c>
      <c r="G46" s="10" t="s">
        <v>511</v>
      </c>
    </row>
    <row r="47" customFormat="false" ht="15" hidden="false" customHeight="false" outlineLevel="0" collapsed="false">
      <c r="A47" s="42" t="n">
        <v>46443.4972222222</v>
      </c>
      <c r="B47" s="10" t="s">
        <v>1738</v>
      </c>
      <c r="C47" s="10" t="s">
        <v>1571</v>
      </c>
      <c r="D47" s="0" t="n">
        <v>4</v>
      </c>
      <c r="E47" s="10" t="s">
        <v>1678</v>
      </c>
      <c r="G47" s="10" t="s">
        <v>511</v>
      </c>
    </row>
    <row r="48" customFormat="false" ht="15" hidden="false" customHeight="false" outlineLevel="0" collapsed="false">
      <c r="A48" s="42" t="n">
        <v>46443.5180555556</v>
      </c>
      <c r="B48" s="10" t="s">
        <v>1732</v>
      </c>
      <c r="C48" s="10" t="s">
        <v>1571</v>
      </c>
      <c r="D48" s="0" t="n">
        <v>4</v>
      </c>
      <c r="E48" s="10" t="s">
        <v>1678</v>
      </c>
    </row>
    <row r="49" customFormat="false" ht="15" hidden="false" customHeight="false" outlineLevel="0" collapsed="false">
      <c r="A49" s="42" t="n">
        <v>46443.5229166667</v>
      </c>
      <c r="B49" s="10" t="s">
        <v>1731</v>
      </c>
      <c r="C49" s="10" t="s">
        <v>1571</v>
      </c>
      <c r="D49" s="0" t="n">
        <v>4</v>
      </c>
      <c r="E49" s="10" t="s">
        <v>1571</v>
      </c>
    </row>
    <row r="50" customFormat="false" ht="15" hidden="false" customHeight="false" outlineLevel="0" collapsed="false">
      <c r="A50" s="42" t="n">
        <v>46443.5277777778</v>
      </c>
      <c r="B50" s="10" t="s">
        <v>1731</v>
      </c>
      <c r="C50" s="10" t="s">
        <v>1554</v>
      </c>
      <c r="F50" s="10" t="s">
        <v>1676</v>
      </c>
      <c r="G50" s="10" t="s">
        <v>512</v>
      </c>
    </row>
    <row r="51" customFormat="false" ht="15" hidden="false" customHeight="false" outlineLevel="0" collapsed="false">
      <c r="A51" s="42" t="n">
        <v>46443.5423611111</v>
      </c>
      <c r="B51" s="10" t="s">
        <v>1739</v>
      </c>
      <c r="C51" s="10" t="s">
        <v>1571</v>
      </c>
      <c r="D51" s="0" t="n">
        <v>5</v>
      </c>
      <c r="E51" s="10" t="s">
        <v>1554</v>
      </c>
    </row>
    <row r="52" customFormat="false" ht="15" hidden="false" customHeight="false" outlineLevel="0" collapsed="false">
      <c r="A52" s="42" t="n">
        <v>46443.5479166667</v>
      </c>
      <c r="B52" s="10" t="s">
        <v>1737</v>
      </c>
      <c r="C52" s="10" t="s">
        <v>1571</v>
      </c>
      <c r="D52" s="0" t="n">
        <v>4</v>
      </c>
      <c r="E52" s="10" t="s">
        <v>1554</v>
      </c>
    </row>
    <row r="53" customFormat="false" ht="15" hidden="false" customHeight="false" outlineLevel="0" collapsed="false">
      <c r="A53" s="42" t="n">
        <v>46443.5486111111</v>
      </c>
      <c r="B53" s="10" t="s">
        <v>1732</v>
      </c>
      <c r="C53" s="10" t="s">
        <v>1571</v>
      </c>
      <c r="D53" s="0" t="n">
        <v>5</v>
      </c>
      <c r="E53" s="10" t="s">
        <v>1678</v>
      </c>
      <c r="G53" s="10" t="s">
        <v>1685</v>
      </c>
    </row>
    <row r="54" customFormat="false" ht="15" hidden="false" customHeight="false" outlineLevel="0" collapsed="false">
      <c r="A54" s="42" t="n">
        <v>46443.6256944445</v>
      </c>
      <c r="B54" s="10" t="s">
        <v>1732</v>
      </c>
      <c r="C54" s="10" t="s">
        <v>1571</v>
      </c>
      <c r="D54" s="0" t="n">
        <v>4</v>
      </c>
      <c r="E54" s="10" t="s">
        <v>1571</v>
      </c>
      <c r="G54" s="10" t="s">
        <v>1681</v>
      </c>
    </row>
    <row r="55" customFormat="false" ht="15" hidden="false" customHeight="false" outlineLevel="0" collapsed="false">
      <c r="A55" s="42" t="n">
        <v>46443.6270833333</v>
      </c>
      <c r="B55" s="10" t="s">
        <v>1735</v>
      </c>
      <c r="C55" s="10" t="s">
        <v>1571</v>
      </c>
      <c r="D55" s="0" t="n">
        <v>3</v>
      </c>
      <c r="E55" s="10" t="s">
        <v>1678</v>
      </c>
      <c r="G55" s="10" t="s">
        <v>491</v>
      </c>
    </row>
    <row r="56" customFormat="false" ht="15" hidden="false" customHeight="false" outlineLevel="0" collapsed="false">
      <c r="A56" s="42" t="n">
        <v>46443.64375</v>
      </c>
      <c r="B56" s="10" t="s">
        <v>1733</v>
      </c>
      <c r="C56" s="10" t="s">
        <v>1554</v>
      </c>
      <c r="F56" s="10" t="s">
        <v>1683</v>
      </c>
    </row>
    <row r="57" customFormat="false" ht="15" hidden="false" customHeight="false" outlineLevel="0" collapsed="false">
      <c r="A57" s="42" t="n">
        <v>46443.6833333333</v>
      </c>
      <c r="B57" s="10" t="s">
        <v>1739</v>
      </c>
      <c r="C57" s="10" t="s">
        <v>1554</v>
      </c>
      <c r="F57" s="10" t="s">
        <v>1679</v>
      </c>
      <c r="G57" s="10" t="s">
        <v>510</v>
      </c>
    </row>
    <row r="58" customFormat="false" ht="15" hidden="false" customHeight="false" outlineLevel="0" collapsed="false">
      <c r="A58" s="42" t="n">
        <v>46443.6868055556</v>
      </c>
      <c r="B58" s="10" t="s">
        <v>1739</v>
      </c>
      <c r="C58" s="10" t="s">
        <v>1554</v>
      </c>
      <c r="F58" s="10" t="s">
        <v>1679</v>
      </c>
      <c r="G58" s="10" t="s">
        <v>1685</v>
      </c>
    </row>
    <row r="59" customFormat="false" ht="15" hidden="false" customHeight="false" outlineLevel="0" collapsed="false">
      <c r="A59" s="42" t="n">
        <v>46444.5548611111</v>
      </c>
      <c r="B59" s="10" t="s">
        <v>1734</v>
      </c>
      <c r="C59" s="10" t="s">
        <v>1571</v>
      </c>
      <c r="D59" s="0" t="n">
        <v>4</v>
      </c>
      <c r="E59" s="10" t="s">
        <v>1554</v>
      </c>
    </row>
    <row r="60" customFormat="false" ht="15" hidden="false" customHeight="false" outlineLevel="0" collapsed="false">
      <c r="A60" s="42" t="n">
        <v>46444.5673611111</v>
      </c>
      <c r="B60" s="10" t="s">
        <v>1738</v>
      </c>
      <c r="C60" s="10" t="s">
        <v>1571</v>
      </c>
      <c r="D60" s="0" t="n">
        <v>4</v>
      </c>
      <c r="E60" s="10" t="s">
        <v>1678</v>
      </c>
    </row>
    <row r="61" customFormat="false" ht="15" hidden="false" customHeight="false" outlineLevel="0" collapsed="false">
      <c r="A61" s="42" t="n">
        <v>46444.6569444445</v>
      </c>
      <c r="B61" s="10" t="s">
        <v>1734</v>
      </c>
      <c r="C61" s="10" t="s">
        <v>1571</v>
      </c>
      <c r="D61" s="0" t="n">
        <v>4</v>
      </c>
      <c r="E61" s="10" t="s">
        <v>1571</v>
      </c>
      <c r="G61" s="10" t="s">
        <v>512</v>
      </c>
    </row>
    <row r="62" customFormat="false" ht="15" hidden="false" customHeight="false" outlineLevel="0" collapsed="false">
      <c r="A62" s="42" t="n">
        <v>46447.5402777778</v>
      </c>
      <c r="B62" s="10" t="s">
        <v>1737</v>
      </c>
      <c r="C62" s="10" t="s">
        <v>1571</v>
      </c>
      <c r="D62" s="0" t="n">
        <v>5</v>
      </c>
      <c r="E62" s="10" t="s">
        <v>1678</v>
      </c>
    </row>
    <row r="63" customFormat="false" ht="15" hidden="false" customHeight="false" outlineLevel="0" collapsed="false">
      <c r="A63" s="42" t="n">
        <v>46447.5777777778</v>
      </c>
      <c r="B63" s="10" t="s">
        <v>1736</v>
      </c>
      <c r="C63" s="10" t="s">
        <v>1571</v>
      </c>
      <c r="D63" s="0" t="n">
        <v>5</v>
      </c>
      <c r="E63" s="10" t="s">
        <v>1571</v>
      </c>
      <c r="G63" s="10" t="s">
        <v>512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1671</v>
      </c>
      <c r="D1" s="41" t="s">
        <v>1666</v>
      </c>
      <c r="E1" s="41" t="s">
        <v>1667</v>
      </c>
      <c r="F1" s="41" t="s">
        <v>1668</v>
      </c>
      <c r="G1" s="41" t="s">
        <v>1672</v>
      </c>
    </row>
    <row r="2" customFormat="false" ht="15" hidden="false" customHeight="false" outlineLevel="0" collapsed="false">
      <c r="A2" s="42" t="n">
        <v>46469.3777777778</v>
      </c>
      <c r="B2" s="10" t="s">
        <v>1740</v>
      </c>
      <c r="C2" s="10" t="s">
        <v>1571</v>
      </c>
      <c r="D2" s="0" t="n">
        <v>5</v>
      </c>
      <c r="E2" s="10" t="s">
        <v>1571</v>
      </c>
      <c r="G2" s="10" t="s">
        <v>579</v>
      </c>
    </row>
    <row r="3" customFormat="false" ht="15" hidden="false" customHeight="false" outlineLevel="0" collapsed="false">
      <c r="A3" s="42" t="n">
        <v>46469.3881944444</v>
      </c>
      <c r="B3" s="10" t="s">
        <v>1741</v>
      </c>
      <c r="C3" s="10" t="s">
        <v>1571</v>
      </c>
      <c r="D3" s="0" t="n">
        <v>4</v>
      </c>
      <c r="E3" s="10" t="s">
        <v>1678</v>
      </c>
      <c r="G3" s="10" t="s">
        <v>580</v>
      </c>
    </row>
    <row r="4" customFormat="false" ht="15" hidden="false" customHeight="false" outlineLevel="0" collapsed="false">
      <c r="A4" s="42" t="n">
        <v>46469.4020833333</v>
      </c>
      <c r="B4" s="10" t="s">
        <v>1741</v>
      </c>
      <c r="C4" s="10" t="s">
        <v>1571</v>
      </c>
      <c r="D4" s="0" t="n">
        <v>4</v>
      </c>
      <c r="E4" s="10" t="s">
        <v>1678</v>
      </c>
      <c r="G4" s="10" t="s">
        <v>581</v>
      </c>
    </row>
    <row r="5" customFormat="false" ht="15" hidden="false" customHeight="false" outlineLevel="0" collapsed="false">
      <c r="A5" s="42" t="n">
        <v>46469.4111111111</v>
      </c>
      <c r="B5" s="10" t="s">
        <v>1742</v>
      </c>
      <c r="C5" s="10" t="s">
        <v>1554</v>
      </c>
      <c r="F5" s="10" t="s">
        <v>1683</v>
      </c>
    </row>
    <row r="6" customFormat="false" ht="15" hidden="false" customHeight="false" outlineLevel="0" collapsed="false">
      <c r="A6" s="42" t="n">
        <v>46469.4125</v>
      </c>
      <c r="B6" s="10" t="s">
        <v>1743</v>
      </c>
      <c r="C6" s="10" t="s">
        <v>1554</v>
      </c>
      <c r="F6" s="10" t="s">
        <v>1683</v>
      </c>
      <c r="G6" s="10" t="s">
        <v>1684</v>
      </c>
    </row>
    <row r="7" customFormat="false" ht="15" hidden="false" customHeight="false" outlineLevel="0" collapsed="false">
      <c r="A7" s="42" t="n">
        <v>46469.4145833333</v>
      </c>
      <c r="B7" s="10" t="s">
        <v>1742</v>
      </c>
      <c r="C7" s="10" t="s">
        <v>1571</v>
      </c>
      <c r="D7" s="0" t="n">
        <v>5</v>
      </c>
      <c r="E7" s="10" t="s">
        <v>1571</v>
      </c>
      <c r="G7" s="10" t="s">
        <v>492</v>
      </c>
    </row>
    <row r="8" customFormat="false" ht="15" hidden="false" customHeight="false" outlineLevel="0" collapsed="false">
      <c r="A8" s="42" t="n">
        <v>46469.4395833333</v>
      </c>
      <c r="B8" s="10" t="s">
        <v>1740</v>
      </c>
      <c r="C8" s="10" t="s">
        <v>1571</v>
      </c>
      <c r="D8" s="0" t="n">
        <v>5</v>
      </c>
      <c r="E8" s="10" t="s">
        <v>1678</v>
      </c>
    </row>
    <row r="9" customFormat="false" ht="15" hidden="false" customHeight="false" outlineLevel="0" collapsed="false">
      <c r="A9" s="42" t="n">
        <v>46469.4569444444</v>
      </c>
      <c r="B9" s="10" t="s">
        <v>1744</v>
      </c>
      <c r="C9" s="10" t="s">
        <v>1571</v>
      </c>
      <c r="D9" s="0" t="n">
        <v>4</v>
      </c>
      <c r="E9" s="10" t="s">
        <v>1554</v>
      </c>
    </row>
    <row r="10" customFormat="false" ht="15" hidden="false" customHeight="false" outlineLevel="0" collapsed="false">
      <c r="A10" s="42" t="n">
        <v>46469.4597222222</v>
      </c>
      <c r="B10" s="10" t="s">
        <v>1741</v>
      </c>
      <c r="C10" s="10" t="s">
        <v>1554</v>
      </c>
      <c r="F10" s="10" t="s">
        <v>1679</v>
      </c>
    </row>
    <row r="11" customFormat="false" ht="15" hidden="false" customHeight="false" outlineLevel="0" collapsed="false">
      <c r="A11" s="42" t="n">
        <v>46469.4666666667</v>
      </c>
      <c r="B11" s="10" t="s">
        <v>1743</v>
      </c>
      <c r="C11" s="10" t="s">
        <v>1571</v>
      </c>
      <c r="D11" s="0" t="n">
        <v>4</v>
      </c>
      <c r="E11" s="10" t="s">
        <v>1678</v>
      </c>
    </row>
    <row r="12" customFormat="false" ht="15" hidden="false" customHeight="false" outlineLevel="0" collapsed="false">
      <c r="A12" s="42" t="n">
        <v>46469.5020833333</v>
      </c>
      <c r="B12" s="10" t="s">
        <v>1745</v>
      </c>
      <c r="C12" s="10" t="s">
        <v>1554</v>
      </c>
      <c r="F12" s="10" t="s">
        <v>1676</v>
      </c>
    </row>
    <row r="13" customFormat="false" ht="15" hidden="false" customHeight="false" outlineLevel="0" collapsed="false">
      <c r="A13" s="42" t="n">
        <v>46469.5083333333</v>
      </c>
      <c r="B13" s="10" t="s">
        <v>1746</v>
      </c>
      <c r="C13" s="10" t="s">
        <v>1571</v>
      </c>
      <c r="D13" s="0" t="n">
        <v>4</v>
      </c>
      <c r="E13" s="10" t="s">
        <v>1678</v>
      </c>
    </row>
    <row r="14" customFormat="false" ht="15" hidden="false" customHeight="false" outlineLevel="0" collapsed="false">
      <c r="A14" s="42" t="n">
        <v>46469.5222222222</v>
      </c>
      <c r="B14" s="10" t="s">
        <v>1747</v>
      </c>
      <c r="C14" s="10" t="s">
        <v>1571</v>
      </c>
      <c r="D14" s="0" t="n">
        <v>4</v>
      </c>
      <c r="E14" s="10" t="s">
        <v>1571</v>
      </c>
    </row>
    <row r="15" customFormat="false" ht="15" hidden="false" customHeight="false" outlineLevel="0" collapsed="false">
      <c r="A15" s="42" t="n">
        <v>46469.5263888889</v>
      </c>
      <c r="B15" s="10" t="s">
        <v>1742</v>
      </c>
      <c r="C15" s="10" t="s">
        <v>1571</v>
      </c>
      <c r="D15" s="0" t="n">
        <v>4</v>
      </c>
      <c r="E15" s="10" t="s">
        <v>1571</v>
      </c>
    </row>
    <row r="16" customFormat="false" ht="15" hidden="false" customHeight="false" outlineLevel="0" collapsed="false">
      <c r="A16" s="42" t="n">
        <v>46469.5416666667</v>
      </c>
      <c r="B16" s="10" t="s">
        <v>1748</v>
      </c>
      <c r="C16" s="10" t="s">
        <v>1571</v>
      </c>
      <c r="D16" s="0" t="n">
        <v>5</v>
      </c>
      <c r="E16" s="10" t="s">
        <v>1571</v>
      </c>
    </row>
    <row r="17" customFormat="false" ht="15" hidden="false" customHeight="false" outlineLevel="0" collapsed="false">
      <c r="A17" s="42" t="n">
        <v>46469.5479166667</v>
      </c>
      <c r="B17" s="10" t="s">
        <v>1745</v>
      </c>
      <c r="C17" s="10" t="s">
        <v>1571</v>
      </c>
      <c r="D17" s="0" t="n">
        <v>4</v>
      </c>
      <c r="E17" s="10" t="s">
        <v>1571</v>
      </c>
    </row>
    <row r="18" customFormat="false" ht="15" hidden="false" customHeight="false" outlineLevel="0" collapsed="false">
      <c r="A18" s="42" t="n">
        <v>46469.5513888889</v>
      </c>
      <c r="B18" s="10" t="s">
        <v>1743</v>
      </c>
      <c r="C18" s="10" t="s">
        <v>1571</v>
      </c>
      <c r="D18" s="0" t="n">
        <v>5</v>
      </c>
      <c r="E18" s="10" t="s">
        <v>1678</v>
      </c>
      <c r="G18" s="10" t="s">
        <v>1685</v>
      </c>
    </row>
    <row r="19" customFormat="false" ht="15" hidden="false" customHeight="false" outlineLevel="0" collapsed="false">
      <c r="A19" s="42" t="n">
        <v>46469.55625</v>
      </c>
      <c r="B19" s="10" t="s">
        <v>1743</v>
      </c>
      <c r="C19" s="10" t="s">
        <v>1571</v>
      </c>
      <c r="D19" s="0" t="n">
        <v>5</v>
      </c>
      <c r="E19" s="10" t="s">
        <v>1571</v>
      </c>
      <c r="G19" s="10" t="s">
        <v>1685</v>
      </c>
    </row>
    <row r="20" customFormat="false" ht="15" hidden="false" customHeight="false" outlineLevel="0" collapsed="false">
      <c r="A20" s="42" t="n">
        <v>46469.5763888889</v>
      </c>
      <c r="B20" s="10" t="s">
        <v>1742</v>
      </c>
      <c r="C20" s="10" t="s">
        <v>1554</v>
      </c>
      <c r="F20" s="10" t="s">
        <v>1679</v>
      </c>
    </row>
    <row r="21" customFormat="false" ht="15" hidden="false" customHeight="false" outlineLevel="0" collapsed="false">
      <c r="A21" s="42" t="n">
        <v>46469.5875</v>
      </c>
      <c r="B21" s="10" t="s">
        <v>1740</v>
      </c>
      <c r="C21" s="10" t="s">
        <v>1554</v>
      </c>
      <c r="F21" s="10" t="s">
        <v>1679</v>
      </c>
      <c r="G21" s="10" t="s">
        <v>1681</v>
      </c>
    </row>
    <row r="22" customFormat="false" ht="15" hidden="false" customHeight="false" outlineLevel="0" collapsed="false">
      <c r="A22" s="42" t="n">
        <v>46469.6645833333</v>
      </c>
      <c r="B22" s="10" t="s">
        <v>1745</v>
      </c>
      <c r="C22" s="10" t="s">
        <v>1554</v>
      </c>
      <c r="F22" s="10" t="s">
        <v>1683</v>
      </c>
    </row>
    <row r="23" customFormat="false" ht="15" hidden="false" customHeight="false" outlineLevel="0" collapsed="false">
      <c r="A23" s="42" t="n">
        <v>46469.6736111111</v>
      </c>
      <c r="B23" s="10" t="s">
        <v>1740</v>
      </c>
      <c r="C23" s="10" t="s">
        <v>1571</v>
      </c>
      <c r="D23" s="0" t="n">
        <v>3</v>
      </c>
      <c r="E23" s="10" t="s">
        <v>1554</v>
      </c>
      <c r="G23" s="10" t="s">
        <v>1685</v>
      </c>
    </row>
    <row r="24" customFormat="false" ht="15" hidden="false" customHeight="false" outlineLevel="0" collapsed="false">
      <c r="A24" s="42" t="n">
        <v>46469.6881944445</v>
      </c>
      <c r="B24" s="10" t="s">
        <v>1744</v>
      </c>
      <c r="C24" s="10" t="s">
        <v>1571</v>
      </c>
      <c r="D24" s="0" t="n">
        <v>4</v>
      </c>
      <c r="E24" s="10" t="s">
        <v>1678</v>
      </c>
    </row>
    <row r="25" customFormat="false" ht="15" hidden="false" customHeight="false" outlineLevel="0" collapsed="false">
      <c r="A25" s="42" t="n">
        <v>46469.7013888889</v>
      </c>
      <c r="B25" s="10" t="s">
        <v>1740</v>
      </c>
      <c r="C25" s="10" t="s">
        <v>1571</v>
      </c>
      <c r="D25" s="0" t="n">
        <v>4</v>
      </c>
      <c r="E25" s="10" t="s">
        <v>1554</v>
      </c>
      <c r="G25" s="10" t="s">
        <v>1681</v>
      </c>
    </row>
    <row r="26" customFormat="false" ht="15" hidden="false" customHeight="false" outlineLevel="0" collapsed="false">
      <c r="A26" s="42" t="n">
        <v>46470.3763888889</v>
      </c>
      <c r="B26" s="10" t="s">
        <v>1741</v>
      </c>
      <c r="C26" s="10" t="s">
        <v>1554</v>
      </c>
      <c r="F26" s="10" t="s">
        <v>1679</v>
      </c>
    </row>
    <row r="27" customFormat="false" ht="15" hidden="false" customHeight="false" outlineLevel="0" collapsed="false">
      <c r="A27" s="42" t="n">
        <v>46470.4215277778</v>
      </c>
      <c r="B27" s="10" t="s">
        <v>1747</v>
      </c>
      <c r="C27" s="10" t="s">
        <v>1571</v>
      </c>
      <c r="D27" s="0" t="n">
        <v>4</v>
      </c>
      <c r="E27" s="10" t="s">
        <v>1678</v>
      </c>
    </row>
    <row r="28" customFormat="false" ht="15" hidden="false" customHeight="false" outlineLevel="0" collapsed="false">
      <c r="A28" s="42" t="n">
        <v>46470.4305555556</v>
      </c>
      <c r="B28" s="10" t="s">
        <v>1746</v>
      </c>
      <c r="C28" s="10" t="s">
        <v>1554</v>
      </c>
      <c r="F28" s="10" t="s">
        <v>1683</v>
      </c>
      <c r="G28" s="10" t="s">
        <v>1684</v>
      </c>
    </row>
    <row r="29" customFormat="false" ht="15" hidden="false" customHeight="false" outlineLevel="0" collapsed="false">
      <c r="A29" s="42" t="n">
        <v>46470.4402777778</v>
      </c>
      <c r="B29" s="10" t="s">
        <v>1744</v>
      </c>
      <c r="C29" s="10" t="s">
        <v>1571</v>
      </c>
      <c r="D29" s="0" t="n">
        <v>4</v>
      </c>
      <c r="E29" s="10" t="s">
        <v>1678</v>
      </c>
    </row>
    <row r="30" customFormat="false" ht="15" hidden="false" customHeight="false" outlineLevel="0" collapsed="false">
      <c r="A30" s="42" t="n">
        <v>46470.4451388889</v>
      </c>
      <c r="B30" s="10" t="s">
        <v>1742</v>
      </c>
      <c r="C30" s="10" t="s">
        <v>1554</v>
      </c>
      <c r="F30" s="10" t="s">
        <v>1683</v>
      </c>
      <c r="G30" s="10" t="s">
        <v>1681</v>
      </c>
    </row>
    <row r="31" customFormat="false" ht="15" hidden="false" customHeight="false" outlineLevel="0" collapsed="false">
      <c r="A31" s="42" t="n">
        <v>46470.4527777778</v>
      </c>
      <c r="B31" s="10" t="s">
        <v>1746</v>
      </c>
      <c r="C31" s="10" t="s">
        <v>1571</v>
      </c>
      <c r="D31" s="0" t="n">
        <v>4</v>
      </c>
      <c r="E31" s="10" t="s">
        <v>1678</v>
      </c>
      <c r="G31" s="10" t="s">
        <v>492</v>
      </c>
    </row>
    <row r="32" customFormat="false" ht="15" hidden="false" customHeight="false" outlineLevel="0" collapsed="false">
      <c r="A32" s="42" t="n">
        <v>46470.4722222222</v>
      </c>
      <c r="B32" s="10" t="s">
        <v>1747</v>
      </c>
      <c r="C32" s="10" t="s">
        <v>1571</v>
      </c>
      <c r="D32" s="0" t="n">
        <v>4</v>
      </c>
      <c r="E32" s="10" t="s">
        <v>1571</v>
      </c>
    </row>
    <row r="33" customFormat="false" ht="15" hidden="false" customHeight="false" outlineLevel="0" collapsed="false">
      <c r="A33" s="42" t="n">
        <v>46470.48125</v>
      </c>
      <c r="B33" s="10" t="s">
        <v>1741</v>
      </c>
      <c r="C33" s="10" t="s">
        <v>1571</v>
      </c>
      <c r="D33" s="0" t="n">
        <v>5</v>
      </c>
      <c r="E33" s="10" t="s">
        <v>1571</v>
      </c>
      <c r="G33" s="10" t="s">
        <v>1685</v>
      </c>
    </row>
    <row r="34" customFormat="false" ht="15" hidden="false" customHeight="false" outlineLevel="0" collapsed="false">
      <c r="A34" s="42" t="n">
        <v>46470.4902777778</v>
      </c>
      <c r="B34" s="10" t="s">
        <v>1749</v>
      </c>
      <c r="C34" s="10" t="s">
        <v>1571</v>
      </c>
      <c r="D34" s="0" t="n">
        <v>4</v>
      </c>
      <c r="E34" s="10" t="s">
        <v>1678</v>
      </c>
      <c r="G34" s="10" t="s">
        <v>491</v>
      </c>
    </row>
    <row r="35" customFormat="false" ht="15" hidden="false" customHeight="false" outlineLevel="0" collapsed="false">
      <c r="A35" s="42" t="n">
        <v>46470.4916666667</v>
      </c>
      <c r="B35" s="10" t="s">
        <v>1743</v>
      </c>
      <c r="C35" s="10" t="s">
        <v>1571</v>
      </c>
      <c r="D35" s="0" t="n">
        <v>4</v>
      </c>
      <c r="E35" s="10" t="s">
        <v>1678</v>
      </c>
    </row>
    <row r="36" customFormat="false" ht="15" hidden="false" customHeight="false" outlineLevel="0" collapsed="false">
      <c r="A36" s="42" t="n">
        <v>46470.5034722222</v>
      </c>
      <c r="B36" s="10" t="s">
        <v>1742</v>
      </c>
      <c r="C36" s="10" t="s">
        <v>1554</v>
      </c>
      <c r="F36" s="10" t="s">
        <v>1683</v>
      </c>
    </row>
    <row r="37" customFormat="false" ht="15" hidden="false" customHeight="false" outlineLevel="0" collapsed="false">
      <c r="A37" s="42" t="n">
        <v>46470.5673611111</v>
      </c>
      <c r="B37" s="10" t="s">
        <v>1749</v>
      </c>
      <c r="C37" s="10" t="s">
        <v>1571</v>
      </c>
      <c r="D37" s="0" t="n">
        <v>5</v>
      </c>
      <c r="E37" s="10" t="s">
        <v>1678</v>
      </c>
    </row>
    <row r="38" customFormat="false" ht="15" hidden="false" customHeight="false" outlineLevel="0" collapsed="false">
      <c r="A38" s="42" t="n">
        <v>46470.6</v>
      </c>
      <c r="B38" s="10" t="s">
        <v>1743</v>
      </c>
      <c r="C38" s="10" t="s">
        <v>1571</v>
      </c>
      <c r="D38" s="0" t="n">
        <v>4</v>
      </c>
      <c r="E38" s="10" t="s">
        <v>1678</v>
      </c>
    </row>
    <row r="39" customFormat="false" ht="15" hidden="false" customHeight="false" outlineLevel="0" collapsed="false">
      <c r="A39" s="42" t="n">
        <v>46470.6138888889</v>
      </c>
      <c r="B39" s="10" t="s">
        <v>1744</v>
      </c>
      <c r="C39" s="10" t="s">
        <v>1554</v>
      </c>
      <c r="F39" s="10" t="s">
        <v>1679</v>
      </c>
    </row>
    <row r="40" customFormat="false" ht="15" hidden="false" customHeight="false" outlineLevel="0" collapsed="false">
      <c r="A40" s="42" t="n">
        <v>46470.6208333333</v>
      </c>
      <c r="B40" s="10" t="s">
        <v>1746</v>
      </c>
      <c r="C40" s="10" t="s">
        <v>1571</v>
      </c>
      <c r="D40" s="0" t="n">
        <v>5</v>
      </c>
      <c r="E40" s="10" t="s">
        <v>1678</v>
      </c>
    </row>
    <row r="41" customFormat="false" ht="15" hidden="false" customHeight="false" outlineLevel="0" collapsed="false">
      <c r="A41" s="42" t="n">
        <v>46470.6972222222</v>
      </c>
      <c r="B41" s="10" t="s">
        <v>1744</v>
      </c>
      <c r="C41" s="10" t="s">
        <v>1571</v>
      </c>
      <c r="D41" s="0" t="n">
        <v>4</v>
      </c>
      <c r="E41" s="10" t="s">
        <v>1571</v>
      </c>
    </row>
    <row r="42" customFormat="false" ht="15" hidden="false" customHeight="false" outlineLevel="0" collapsed="false">
      <c r="A42" s="42" t="n">
        <v>46470.7006944444</v>
      </c>
      <c r="B42" s="10" t="s">
        <v>1740</v>
      </c>
      <c r="C42" s="10" t="s">
        <v>1571</v>
      </c>
      <c r="D42" s="0" t="n">
        <v>5</v>
      </c>
      <c r="E42" s="10" t="s">
        <v>1571</v>
      </c>
    </row>
    <row r="43" customFormat="false" ht="15" hidden="false" customHeight="false" outlineLevel="0" collapsed="false">
      <c r="A43" s="42" t="n">
        <v>46470.7034722222</v>
      </c>
      <c r="B43" s="10" t="s">
        <v>1749</v>
      </c>
      <c r="C43" s="10" t="s">
        <v>1571</v>
      </c>
      <c r="D43" s="0" t="n">
        <v>4</v>
      </c>
      <c r="E43" s="10" t="s">
        <v>1678</v>
      </c>
    </row>
    <row r="44" customFormat="false" ht="15" hidden="false" customHeight="false" outlineLevel="0" collapsed="false">
      <c r="A44" s="42" t="n">
        <v>46471.4104166667</v>
      </c>
      <c r="B44" s="10" t="s">
        <v>1748</v>
      </c>
      <c r="C44" s="10" t="s">
        <v>1571</v>
      </c>
      <c r="D44" s="0" t="n">
        <v>5</v>
      </c>
      <c r="E44" s="10" t="s">
        <v>1571</v>
      </c>
    </row>
    <row r="45" customFormat="false" ht="15" hidden="false" customHeight="false" outlineLevel="0" collapsed="false">
      <c r="A45" s="42" t="n">
        <v>46471.4152777778</v>
      </c>
      <c r="B45" s="10" t="s">
        <v>1743</v>
      </c>
      <c r="C45" s="10" t="s">
        <v>1571</v>
      </c>
      <c r="D45" s="0" t="n">
        <v>4</v>
      </c>
      <c r="E45" s="10" t="s">
        <v>1678</v>
      </c>
    </row>
    <row r="46" customFormat="false" ht="15" hidden="false" customHeight="false" outlineLevel="0" collapsed="false">
      <c r="A46" s="42" t="n">
        <v>46471.4208333333</v>
      </c>
      <c r="B46" s="10" t="s">
        <v>1748</v>
      </c>
      <c r="C46" s="10" t="s">
        <v>1571</v>
      </c>
      <c r="D46" s="0" t="n">
        <v>5</v>
      </c>
      <c r="E46" s="10" t="s">
        <v>1571</v>
      </c>
    </row>
    <row r="47" customFormat="false" ht="15" hidden="false" customHeight="false" outlineLevel="0" collapsed="false">
      <c r="A47" s="42" t="n">
        <v>46471.4375</v>
      </c>
      <c r="B47" s="10" t="s">
        <v>1742</v>
      </c>
      <c r="C47" s="10" t="s">
        <v>1571</v>
      </c>
      <c r="D47" s="0" t="n">
        <v>5</v>
      </c>
      <c r="E47" s="10" t="s">
        <v>1571</v>
      </c>
    </row>
    <row r="48" customFormat="false" ht="15" hidden="false" customHeight="false" outlineLevel="0" collapsed="false">
      <c r="A48" s="42" t="n">
        <v>46471.4472222222</v>
      </c>
      <c r="B48" s="10" t="s">
        <v>1747</v>
      </c>
      <c r="C48" s="10" t="s">
        <v>1571</v>
      </c>
      <c r="D48" s="0" t="n">
        <v>5</v>
      </c>
      <c r="E48" s="10" t="s">
        <v>1571</v>
      </c>
    </row>
    <row r="49" customFormat="false" ht="15" hidden="false" customHeight="false" outlineLevel="0" collapsed="false">
      <c r="A49" s="42" t="n">
        <v>46471.4736111111</v>
      </c>
      <c r="B49" s="10" t="s">
        <v>1742</v>
      </c>
      <c r="C49" s="10" t="s">
        <v>1571</v>
      </c>
      <c r="D49" s="0" t="n">
        <v>3</v>
      </c>
      <c r="E49" s="10" t="s">
        <v>1554</v>
      </c>
    </row>
    <row r="50" customFormat="false" ht="15" hidden="false" customHeight="false" outlineLevel="0" collapsed="false">
      <c r="A50" s="42" t="n">
        <v>46471.4861111111</v>
      </c>
      <c r="B50" s="10" t="s">
        <v>1745</v>
      </c>
      <c r="C50" s="10" t="s">
        <v>1554</v>
      </c>
      <c r="F50" s="10" t="s">
        <v>1676</v>
      </c>
    </row>
    <row r="51" customFormat="false" ht="15" hidden="false" customHeight="false" outlineLevel="0" collapsed="false">
      <c r="A51" s="42" t="n">
        <v>46471.4902777778</v>
      </c>
      <c r="B51" s="10" t="s">
        <v>1745</v>
      </c>
      <c r="C51" s="10" t="s">
        <v>1571</v>
      </c>
      <c r="D51" s="0" t="n">
        <v>3</v>
      </c>
      <c r="E51" s="10" t="s">
        <v>1571</v>
      </c>
    </row>
    <row r="52" customFormat="false" ht="15" hidden="false" customHeight="false" outlineLevel="0" collapsed="false">
      <c r="A52" s="42" t="n">
        <v>46471.5527777778</v>
      </c>
      <c r="B52" s="10" t="s">
        <v>1744</v>
      </c>
      <c r="C52" s="10" t="s">
        <v>1571</v>
      </c>
      <c r="D52" s="0" t="n">
        <v>5</v>
      </c>
      <c r="E52" s="10" t="s">
        <v>1678</v>
      </c>
      <c r="G52" s="10" t="s">
        <v>511</v>
      </c>
    </row>
    <row r="53" customFormat="false" ht="15" hidden="false" customHeight="false" outlineLevel="0" collapsed="false">
      <c r="A53" s="42" t="n">
        <v>46471.5805555556</v>
      </c>
      <c r="B53" s="10" t="s">
        <v>1749</v>
      </c>
      <c r="C53" s="10" t="s">
        <v>1554</v>
      </c>
      <c r="F53" s="10" t="s">
        <v>1683</v>
      </c>
    </row>
    <row r="54" customFormat="false" ht="15" hidden="false" customHeight="false" outlineLevel="0" collapsed="false">
      <c r="A54" s="42" t="n">
        <v>46471.5847222222</v>
      </c>
      <c r="B54" s="10" t="s">
        <v>1744</v>
      </c>
      <c r="C54" s="10" t="s">
        <v>1554</v>
      </c>
      <c r="F54" s="10" t="s">
        <v>1683</v>
      </c>
      <c r="G54" s="10" t="s">
        <v>512</v>
      </c>
    </row>
    <row r="55" customFormat="false" ht="15" hidden="false" customHeight="false" outlineLevel="0" collapsed="false">
      <c r="A55" s="42" t="n">
        <v>46471.6055555556</v>
      </c>
      <c r="B55" s="10" t="s">
        <v>1746</v>
      </c>
      <c r="C55" s="10" t="s">
        <v>1554</v>
      </c>
      <c r="F55" s="10" t="s">
        <v>1683</v>
      </c>
    </row>
    <row r="56" customFormat="false" ht="15" hidden="false" customHeight="false" outlineLevel="0" collapsed="false">
      <c r="A56" s="42" t="n">
        <v>46471.6180555556</v>
      </c>
      <c r="B56" s="10" t="s">
        <v>1741</v>
      </c>
      <c r="C56" s="10" t="s">
        <v>1571</v>
      </c>
      <c r="D56" s="0" t="n">
        <v>3</v>
      </c>
      <c r="E56" s="10" t="s">
        <v>1678</v>
      </c>
      <c r="G56" s="10" t="s">
        <v>491</v>
      </c>
    </row>
    <row r="57" customFormat="false" ht="15" hidden="false" customHeight="false" outlineLevel="0" collapsed="false">
      <c r="A57" s="42" t="n">
        <v>46471.6375</v>
      </c>
      <c r="B57" s="10" t="s">
        <v>1745</v>
      </c>
      <c r="C57" s="10" t="s">
        <v>1571</v>
      </c>
      <c r="D57" s="0" t="n">
        <v>3</v>
      </c>
      <c r="E57" s="10" t="s">
        <v>1571</v>
      </c>
    </row>
    <row r="58" customFormat="false" ht="15" hidden="false" customHeight="false" outlineLevel="0" collapsed="false">
      <c r="A58" s="42" t="n">
        <v>46471.6451388889</v>
      </c>
      <c r="B58" s="10" t="s">
        <v>1745</v>
      </c>
      <c r="C58" s="10" t="s">
        <v>1554</v>
      </c>
      <c r="F58" s="10" t="s">
        <v>1683</v>
      </c>
      <c r="G58" s="10" t="s">
        <v>1681</v>
      </c>
    </row>
    <row r="59" customFormat="false" ht="15" hidden="false" customHeight="false" outlineLevel="0" collapsed="false">
      <c r="A59" s="42" t="n">
        <v>46471.6986111111</v>
      </c>
      <c r="B59" s="10" t="s">
        <v>1741</v>
      </c>
      <c r="C59" s="10" t="s">
        <v>1571</v>
      </c>
      <c r="D59" s="0" t="n">
        <v>3</v>
      </c>
      <c r="E59" s="10" t="s">
        <v>1678</v>
      </c>
      <c r="G59" s="10" t="s">
        <v>492</v>
      </c>
    </row>
    <row r="60" customFormat="false" ht="15" hidden="false" customHeight="false" outlineLevel="0" collapsed="false">
      <c r="A60" s="42" t="n">
        <v>46471.6993055556</v>
      </c>
      <c r="B60" s="10" t="s">
        <v>1743</v>
      </c>
      <c r="C60" s="10" t="s">
        <v>1571</v>
      </c>
      <c r="D60" s="0" t="n">
        <v>4</v>
      </c>
      <c r="E60" s="10" t="s">
        <v>1678</v>
      </c>
      <c r="G60" s="10" t="s">
        <v>491</v>
      </c>
    </row>
    <row r="61" customFormat="false" ht="15" hidden="false" customHeight="false" outlineLevel="0" collapsed="false">
      <c r="A61" s="42" t="n">
        <v>46472.5916666667</v>
      </c>
      <c r="B61" s="10" t="s">
        <v>1745</v>
      </c>
      <c r="C61" s="10" t="s">
        <v>1571</v>
      </c>
      <c r="D61" s="0" t="n">
        <v>4</v>
      </c>
      <c r="E61" s="10" t="s">
        <v>1678</v>
      </c>
    </row>
    <row r="62" customFormat="false" ht="15" hidden="false" customHeight="false" outlineLevel="0" collapsed="false">
      <c r="A62" s="42" t="n">
        <v>46472.6034722222</v>
      </c>
      <c r="B62" s="10" t="s">
        <v>1748</v>
      </c>
      <c r="C62" s="10" t="s">
        <v>1571</v>
      </c>
      <c r="D62" s="0" t="n">
        <v>5</v>
      </c>
      <c r="E62" s="10" t="s">
        <v>1571</v>
      </c>
    </row>
    <row r="63" customFormat="false" ht="15" hidden="false" customHeight="false" outlineLevel="0" collapsed="false">
      <c r="A63" s="42" t="n">
        <v>46472.625</v>
      </c>
      <c r="B63" s="10" t="s">
        <v>1743</v>
      </c>
      <c r="C63" s="10" t="s">
        <v>1571</v>
      </c>
      <c r="D63" s="0" t="n">
        <v>5</v>
      </c>
      <c r="E63" s="10" t="s">
        <v>1678</v>
      </c>
    </row>
    <row r="64" customFormat="false" ht="15" hidden="false" customHeight="false" outlineLevel="0" collapsed="false">
      <c r="A64" s="42" t="n">
        <v>46472.6673611111</v>
      </c>
      <c r="B64" s="10" t="s">
        <v>1746</v>
      </c>
      <c r="C64" s="10" t="s">
        <v>1571</v>
      </c>
      <c r="D64" s="0" t="n">
        <v>3</v>
      </c>
      <c r="E64" s="10" t="s">
        <v>1571</v>
      </c>
    </row>
    <row r="65" customFormat="false" ht="15" hidden="false" customHeight="false" outlineLevel="0" collapsed="false">
      <c r="A65" s="42" t="n">
        <v>46472.6680555556</v>
      </c>
      <c r="B65" s="10" t="s">
        <v>1742</v>
      </c>
      <c r="C65" s="10" t="s">
        <v>1554</v>
      </c>
      <c r="F65" s="10" t="s">
        <v>1683</v>
      </c>
    </row>
    <row r="66" customFormat="false" ht="15" hidden="false" customHeight="false" outlineLevel="0" collapsed="false">
      <c r="A66" s="42" t="n">
        <v>46475.5458333333</v>
      </c>
      <c r="B66" s="10" t="s">
        <v>1747</v>
      </c>
      <c r="C66" s="10" t="s">
        <v>1571</v>
      </c>
      <c r="D66" s="0" t="n">
        <v>3</v>
      </c>
      <c r="E66" s="10" t="s">
        <v>1678</v>
      </c>
    </row>
    <row r="67" customFormat="false" ht="15" hidden="false" customHeight="false" outlineLevel="0" collapsed="false">
      <c r="A67" s="42" t="n">
        <v>46475.6875</v>
      </c>
      <c r="B67" s="10" t="s">
        <v>1749</v>
      </c>
      <c r="C67" s="10" t="s">
        <v>1571</v>
      </c>
      <c r="D67" s="0" t="n">
        <v>5</v>
      </c>
      <c r="E67" s="10" t="s">
        <v>1678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9E5"/>
    <pageSetUpPr fitToPage="false"/>
  </sheetPr>
  <dimension ref="A1:G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7" min="2" style="0" width="18"/>
  </cols>
  <sheetData>
    <row r="1" customFormat="false" ht="15" hidden="false" customHeight="false" outlineLevel="0" collapsed="false">
      <c r="A1" s="41" t="s">
        <v>1526</v>
      </c>
      <c r="B1" s="41" t="s">
        <v>1664</v>
      </c>
      <c r="C1" s="41" t="s">
        <v>1694</v>
      </c>
      <c r="D1" s="41" t="s">
        <v>1666</v>
      </c>
      <c r="E1" s="41" t="s">
        <v>1667</v>
      </c>
      <c r="F1" s="41" t="s">
        <v>1668</v>
      </c>
      <c r="G1" s="41" t="s">
        <v>1695</v>
      </c>
    </row>
    <row r="2" customFormat="false" ht="15" hidden="false" customHeight="false" outlineLevel="0" collapsed="false">
      <c r="A2" s="42" t="n">
        <v>46469.3833333333</v>
      </c>
      <c r="B2" s="10" t="s">
        <v>1750</v>
      </c>
      <c r="C2" s="10" t="s">
        <v>1571</v>
      </c>
      <c r="D2" s="0" t="n">
        <v>4</v>
      </c>
      <c r="E2" s="10" t="s">
        <v>1554</v>
      </c>
      <c r="G2" s="10" t="s">
        <v>587</v>
      </c>
    </row>
    <row r="3" customFormat="false" ht="15" hidden="false" customHeight="false" outlineLevel="0" collapsed="false">
      <c r="A3" s="42" t="n">
        <v>46469.4125</v>
      </c>
      <c r="B3" s="10" t="s">
        <v>1751</v>
      </c>
      <c r="C3" s="10" t="s">
        <v>1554</v>
      </c>
      <c r="F3" s="10" t="s">
        <v>1676</v>
      </c>
    </row>
    <row r="4" customFormat="false" ht="15" hidden="false" customHeight="false" outlineLevel="0" collapsed="false">
      <c r="A4" s="42" t="n">
        <v>46469.4298611111</v>
      </c>
      <c r="B4" s="10" t="s">
        <v>1752</v>
      </c>
      <c r="C4" s="10" t="s">
        <v>1571</v>
      </c>
      <c r="D4" s="0" t="n">
        <v>4</v>
      </c>
      <c r="E4" s="10" t="s">
        <v>1571</v>
      </c>
      <c r="G4" s="10" t="s">
        <v>588</v>
      </c>
    </row>
    <row r="5" customFormat="false" ht="15" hidden="false" customHeight="false" outlineLevel="0" collapsed="false">
      <c r="A5" s="42" t="n">
        <v>46469.4319444444</v>
      </c>
      <c r="B5" s="10" t="s">
        <v>1750</v>
      </c>
      <c r="C5" s="10" t="s">
        <v>1571</v>
      </c>
      <c r="D5" s="0" t="n">
        <v>5</v>
      </c>
      <c r="E5" s="10" t="s">
        <v>1678</v>
      </c>
      <c r="G5" s="10" t="s">
        <v>589</v>
      </c>
    </row>
    <row r="6" customFormat="false" ht="15" hidden="false" customHeight="false" outlineLevel="0" collapsed="false">
      <c r="A6" s="42" t="n">
        <v>46469.4618055556</v>
      </c>
      <c r="B6" s="10" t="s">
        <v>1753</v>
      </c>
      <c r="C6" s="10" t="s">
        <v>1554</v>
      </c>
      <c r="F6" s="10" t="s">
        <v>1679</v>
      </c>
    </row>
    <row r="7" customFormat="false" ht="15" hidden="false" customHeight="false" outlineLevel="0" collapsed="false">
      <c r="A7" s="42" t="n">
        <v>46469.4625</v>
      </c>
      <c r="B7" s="10" t="s">
        <v>1752</v>
      </c>
      <c r="C7" s="10" t="s">
        <v>1571</v>
      </c>
      <c r="D7" s="0" t="n">
        <v>5</v>
      </c>
      <c r="E7" s="10" t="s">
        <v>1678</v>
      </c>
    </row>
    <row r="8" customFormat="false" ht="15" hidden="false" customHeight="false" outlineLevel="0" collapsed="false">
      <c r="A8" s="42" t="n">
        <v>46469.4951388889</v>
      </c>
      <c r="B8" s="10" t="s">
        <v>1754</v>
      </c>
      <c r="C8" s="10" t="s">
        <v>1554</v>
      </c>
      <c r="F8" s="10" t="s">
        <v>1683</v>
      </c>
      <c r="G8" s="10" t="s">
        <v>1685</v>
      </c>
    </row>
    <row r="9" customFormat="false" ht="15" hidden="false" customHeight="false" outlineLevel="0" collapsed="false">
      <c r="A9" s="42" t="n">
        <v>46469.5208333333</v>
      </c>
      <c r="B9" s="10" t="s">
        <v>1755</v>
      </c>
      <c r="C9" s="10" t="s">
        <v>1571</v>
      </c>
      <c r="D9" s="0" t="n">
        <v>4</v>
      </c>
      <c r="E9" s="10" t="s">
        <v>1678</v>
      </c>
    </row>
    <row r="10" customFormat="false" ht="15" hidden="false" customHeight="false" outlineLevel="0" collapsed="false">
      <c r="A10" s="42" t="n">
        <v>46469.5472222222</v>
      </c>
      <c r="B10" s="10" t="s">
        <v>1756</v>
      </c>
      <c r="C10" s="10" t="s">
        <v>1571</v>
      </c>
      <c r="D10" s="0" t="n">
        <v>4</v>
      </c>
      <c r="E10" s="10" t="s">
        <v>1554</v>
      </c>
    </row>
    <row r="11" customFormat="false" ht="15" hidden="false" customHeight="false" outlineLevel="0" collapsed="false">
      <c r="A11" s="42" t="n">
        <v>46469.5576388889</v>
      </c>
      <c r="B11" s="10" t="s">
        <v>1757</v>
      </c>
      <c r="C11" s="10" t="s">
        <v>1571</v>
      </c>
      <c r="D11" s="0" t="n">
        <v>3</v>
      </c>
      <c r="E11" s="10" t="s">
        <v>1554</v>
      </c>
      <c r="G11" s="10" t="s">
        <v>1685</v>
      </c>
    </row>
    <row r="12" customFormat="false" ht="15" hidden="false" customHeight="false" outlineLevel="0" collapsed="false">
      <c r="A12" s="42" t="n">
        <v>46469.5694444445</v>
      </c>
      <c r="B12" s="10" t="s">
        <v>1757</v>
      </c>
      <c r="C12" s="10" t="s">
        <v>1571</v>
      </c>
      <c r="D12" s="0" t="n">
        <v>4</v>
      </c>
      <c r="E12" s="10" t="s">
        <v>1571</v>
      </c>
      <c r="G12" s="10" t="s">
        <v>1684</v>
      </c>
    </row>
    <row r="13" customFormat="false" ht="15" hidden="false" customHeight="false" outlineLevel="0" collapsed="false">
      <c r="A13" s="42" t="n">
        <v>46469.58125</v>
      </c>
      <c r="B13" s="10" t="s">
        <v>1751</v>
      </c>
      <c r="C13" s="10" t="s">
        <v>1571</v>
      </c>
      <c r="D13" s="0" t="n">
        <v>4</v>
      </c>
      <c r="E13" s="10" t="s">
        <v>1554</v>
      </c>
    </row>
    <row r="14" customFormat="false" ht="15" hidden="false" customHeight="false" outlineLevel="0" collapsed="false">
      <c r="A14" s="42" t="n">
        <v>46469.6006944445</v>
      </c>
      <c r="B14" s="10" t="s">
        <v>1752</v>
      </c>
      <c r="C14" s="10" t="s">
        <v>1554</v>
      </c>
      <c r="F14" s="10" t="s">
        <v>1683</v>
      </c>
    </row>
    <row r="15" customFormat="false" ht="15" hidden="false" customHeight="false" outlineLevel="0" collapsed="false">
      <c r="A15" s="42" t="n">
        <v>46469.6034722222</v>
      </c>
      <c r="B15" s="10" t="s">
        <v>1756</v>
      </c>
      <c r="C15" s="10" t="s">
        <v>1571</v>
      </c>
      <c r="D15" s="0" t="n">
        <v>4</v>
      </c>
      <c r="E15" s="10" t="s">
        <v>1571</v>
      </c>
    </row>
    <row r="16" customFormat="false" ht="15" hidden="false" customHeight="false" outlineLevel="0" collapsed="false">
      <c r="A16" s="42" t="n">
        <v>46469.6131944444</v>
      </c>
      <c r="B16" s="10" t="s">
        <v>1758</v>
      </c>
      <c r="C16" s="10" t="s">
        <v>1571</v>
      </c>
      <c r="D16" s="0" t="n">
        <v>5</v>
      </c>
      <c r="E16" s="10" t="s">
        <v>1678</v>
      </c>
    </row>
    <row r="17" customFormat="false" ht="15" hidden="false" customHeight="false" outlineLevel="0" collapsed="false">
      <c r="A17" s="42" t="n">
        <v>46469.6180555556</v>
      </c>
      <c r="B17" s="10" t="s">
        <v>1759</v>
      </c>
      <c r="C17" s="10" t="s">
        <v>1571</v>
      </c>
      <c r="D17" s="0" t="n">
        <v>4</v>
      </c>
      <c r="E17" s="10" t="s">
        <v>1571</v>
      </c>
    </row>
    <row r="18" customFormat="false" ht="15" hidden="false" customHeight="false" outlineLevel="0" collapsed="false">
      <c r="A18" s="42" t="n">
        <v>46469.625</v>
      </c>
      <c r="B18" s="10" t="s">
        <v>1754</v>
      </c>
      <c r="C18" s="10" t="s">
        <v>1571</v>
      </c>
      <c r="D18" s="0" t="n">
        <v>4</v>
      </c>
      <c r="E18" s="10" t="s">
        <v>1678</v>
      </c>
    </row>
    <row r="19" customFormat="false" ht="15" hidden="false" customHeight="false" outlineLevel="0" collapsed="false">
      <c r="A19" s="42" t="n">
        <v>46469.6458333333</v>
      </c>
      <c r="B19" s="10" t="s">
        <v>1751</v>
      </c>
      <c r="C19" s="10" t="s">
        <v>1554</v>
      </c>
      <c r="F19" s="10" t="s">
        <v>1679</v>
      </c>
    </row>
    <row r="20" customFormat="false" ht="15" hidden="false" customHeight="false" outlineLevel="0" collapsed="false">
      <c r="A20" s="42" t="n">
        <v>46469.6902777778</v>
      </c>
      <c r="B20" s="10" t="s">
        <v>1757</v>
      </c>
      <c r="C20" s="10" t="s">
        <v>1554</v>
      </c>
      <c r="F20" s="10" t="s">
        <v>1676</v>
      </c>
    </row>
    <row r="21" customFormat="false" ht="15" hidden="false" customHeight="false" outlineLevel="0" collapsed="false">
      <c r="A21" s="42" t="n">
        <v>46470.3875</v>
      </c>
      <c r="B21" s="10" t="s">
        <v>1759</v>
      </c>
      <c r="C21" s="10" t="s">
        <v>1571</v>
      </c>
      <c r="D21" s="0" t="n">
        <v>4</v>
      </c>
      <c r="E21" s="10" t="s">
        <v>1678</v>
      </c>
    </row>
    <row r="22" customFormat="false" ht="15" hidden="false" customHeight="false" outlineLevel="0" collapsed="false">
      <c r="A22" s="42" t="n">
        <v>46470.4027777778</v>
      </c>
      <c r="B22" s="10" t="s">
        <v>1753</v>
      </c>
      <c r="C22" s="10" t="s">
        <v>1554</v>
      </c>
      <c r="F22" s="10" t="s">
        <v>1679</v>
      </c>
      <c r="G22" s="10" t="s">
        <v>1760</v>
      </c>
    </row>
    <row r="23" customFormat="false" ht="15" hidden="false" customHeight="false" outlineLevel="0" collapsed="false">
      <c r="A23" s="42" t="n">
        <v>46470.4048611111</v>
      </c>
      <c r="B23" s="10" t="s">
        <v>1751</v>
      </c>
      <c r="C23" s="10" t="s">
        <v>1554</v>
      </c>
      <c r="F23" s="10" t="s">
        <v>1676</v>
      </c>
      <c r="G23" s="10" t="s">
        <v>1685</v>
      </c>
    </row>
    <row r="24" customFormat="false" ht="15" hidden="false" customHeight="false" outlineLevel="0" collapsed="false">
      <c r="A24" s="42" t="n">
        <v>46470.4055555556</v>
      </c>
      <c r="B24" s="10" t="s">
        <v>1758</v>
      </c>
      <c r="C24" s="10" t="s">
        <v>1571</v>
      </c>
      <c r="D24" s="0" t="n">
        <v>5</v>
      </c>
      <c r="E24" s="10" t="s">
        <v>1554</v>
      </c>
      <c r="G24" s="10" t="s">
        <v>511</v>
      </c>
    </row>
    <row r="25" customFormat="false" ht="15" hidden="false" customHeight="false" outlineLevel="0" collapsed="false">
      <c r="A25" s="42" t="n">
        <v>46470.4111111111</v>
      </c>
      <c r="B25" s="10" t="s">
        <v>1759</v>
      </c>
      <c r="C25" s="10" t="s">
        <v>1554</v>
      </c>
      <c r="F25" s="10" t="s">
        <v>1679</v>
      </c>
      <c r="G25" s="10" t="s">
        <v>1681</v>
      </c>
    </row>
    <row r="26" customFormat="false" ht="15" hidden="false" customHeight="false" outlineLevel="0" collapsed="false">
      <c r="A26" s="42" t="n">
        <v>46470.4270833333</v>
      </c>
      <c r="B26" s="10" t="s">
        <v>1757</v>
      </c>
      <c r="C26" s="10" t="s">
        <v>1571</v>
      </c>
      <c r="D26" s="0" t="n">
        <v>5</v>
      </c>
      <c r="E26" s="10" t="s">
        <v>1678</v>
      </c>
      <c r="G26" s="10" t="s">
        <v>491</v>
      </c>
    </row>
    <row r="27" customFormat="false" ht="15" hidden="false" customHeight="false" outlineLevel="0" collapsed="false">
      <c r="A27" s="42" t="n">
        <v>46470.4541666667</v>
      </c>
      <c r="B27" s="10" t="s">
        <v>1756</v>
      </c>
      <c r="C27" s="10" t="s">
        <v>1571</v>
      </c>
      <c r="D27" s="0" t="n">
        <v>4</v>
      </c>
      <c r="E27" s="10" t="s">
        <v>1571</v>
      </c>
    </row>
    <row r="28" customFormat="false" ht="15" hidden="false" customHeight="false" outlineLevel="0" collapsed="false">
      <c r="A28" s="42" t="n">
        <v>46470.45625</v>
      </c>
      <c r="B28" s="10" t="s">
        <v>1751</v>
      </c>
      <c r="C28" s="10" t="s">
        <v>1554</v>
      </c>
      <c r="F28" s="10" t="s">
        <v>1683</v>
      </c>
    </row>
    <row r="29" customFormat="false" ht="15" hidden="false" customHeight="false" outlineLevel="0" collapsed="false">
      <c r="A29" s="42" t="n">
        <v>46470.4819444444</v>
      </c>
      <c r="B29" s="10" t="s">
        <v>1752</v>
      </c>
      <c r="C29" s="10" t="s">
        <v>1571</v>
      </c>
      <c r="D29" s="0" t="n">
        <v>4</v>
      </c>
      <c r="E29" s="10" t="s">
        <v>1678</v>
      </c>
    </row>
    <row r="30" customFormat="false" ht="15" hidden="false" customHeight="false" outlineLevel="0" collapsed="false">
      <c r="A30" s="42" t="n">
        <v>46470.50625</v>
      </c>
      <c r="B30" s="10" t="s">
        <v>1750</v>
      </c>
      <c r="C30" s="10" t="s">
        <v>1571</v>
      </c>
      <c r="D30" s="0" t="n">
        <v>5</v>
      </c>
      <c r="E30" s="10" t="s">
        <v>1678</v>
      </c>
    </row>
    <row r="31" customFormat="false" ht="15" hidden="false" customHeight="false" outlineLevel="0" collapsed="false">
      <c r="A31" s="42" t="n">
        <v>46470.5256944444</v>
      </c>
      <c r="B31" s="10" t="s">
        <v>1755</v>
      </c>
      <c r="C31" s="10" t="s">
        <v>1571</v>
      </c>
      <c r="D31" s="0" t="n">
        <v>5</v>
      </c>
      <c r="E31" s="10" t="s">
        <v>1554</v>
      </c>
    </row>
    <row r="32" customFormat="false" ht="15" hidden="false" customHeight="false" outlineLevel="0" collapsed="false">
      <c r="A32" s="42" t="n">
        <v>46470.5430555556</v>
      </c>
      <c r="B32" s="10" t="s">
        <v>1759</v>
      </c>
      <c r="C32" s="10" t="s">
        <v>1571</v>
      </c>
      <c r="D32" s="0" t="n">
        <v>4</v>
      </c>
      <c r="E32" s="10" t="s">
        <v>1571</v>
      </c>
    </row>
    <row r="33" customFormat="false" ht="15" hidden="false" customHeight="false" outlineLevel="0" collapsed="false">
      <c r="A33" s="42" t="n">
        <v>46470.5520833333</v>
      </c>
      <c r="B33" s="10" t="s">
        <v>1754</v>
      </c>
      <c r="C33" s="10" t="s">
        <v>1571</v>
      </c>
      <c r="D33" s="0" t="n">
        <v>5</v>
      </c>
      <c r="E33" s="10" t="s">
        <v>1678</v>
      </c>
    </row>
    <row r="34" customFormat="false" ht="15" hidden="false" customHeight="false" outlineLevel="0" collapsed="false">
      <c r="A34" s="42" t="n">
        <v>46470.55625</v>
      </c>
      <c r="B34" s="10" t="s">
        <v>1750</v>
      </c>
      <c r="C34" s="10" t="s">
        <v>1554</v>
      </c>
      <c r="F34" s="10" t="s">
        <v>1676</v>
      </c>
      <c r="G34" s="10" t="s">
        <v>511</v>
      </c>
    </row>
    <row r="35" customFormat="false" ht="15" hidden="false" customHeight="false" outlineLevel="0" collapsed="false">
      <c r="A35" s="42" t="n">
        <v>46470.5631944445</v>
      </c>
      <c r="B35" s="10" t="s">
        <v>1757</v>
      </c>
      <c r="C35" s="10" t="s">
        <v>1571</v>
      </c>
      <c r="D35" s="0" t="n">
        <v>5</v>
      </c>
      <c r="E35" s="10" t="s">
        <v>1678</v>
      </c>
    </row>
    <row r="36" customFormat="false" ht="15" hidden="false" customHeight="false" outlineLevel="0" collapsed="false">
      <c r="A36" s="42" t="n">
        <v>46470.6277777778</v>
      </c>
      <c r="B36" s="10" t="s">
        <v>1752</v>
      </c>
      <c r="C36" s="10" t="s">
        <v>1554</v>
      </c>
      <c r="F36" s="10" t="s">
        <v>1683</v>
      </c>
    </row>
    <row r="37" customFormat="false" ht="15" hidden="false" customHeight="false" outlineLevel="0" collapsed="false">
      <c r="A37" s="42" t="n">
        <v>46470.6506944444</v>
      </c>
      <c r="B37" s="10" t="s">
        <v>1758</v>
      </c>
      <c r="C37" s="10" t="s">
        <v>1554</v>
      </c>
      <c r="F37" s="10" t="s">
        <v>1683</v>
      </c>
    </row>
    <row r="38" customFormat="false" ht="15" hidden="false" customHeight="false" outlineLevel="0" collapsed="false">
      <c r="A38" s="42" t="n">
        <v>46470.6597222222</v>
      </c>
      <c r="B38" s="10" t="s">
        <v>1757</v>
      </c>
      <c r="C38" s="10" t="s">
        <v>1554</v>
      </c>
      <c r="F38" s="10" t="s">
        <v>1683</v>
      </c>
    </row>
    <row r="39" customFormat="false" ht="15" hidden="false" customHeight="false" outlineLevel="0" collapsed="false">
      <c r="A39" s="42" t="n">
        <v>46470.6645833333</v>
      </c>
      <c r="B39" s="10" t="s">
        <v>1758</v>
      </c>
      <c r="C39" s="10" t="s">
        <v>1571</v>
      </c>
      <c r="D39" s="0" t="n">
        <v>5</v>
      </c>
      <c r="E39" s="10" t="s">
        <v>1678</v>
      </c>
    </row>
    <row r="40" customFormat="false" ht="15" hidden="false" customHeight="false" outlineLevel="0" collapsed="false">
      <c r="A40" s="42" t="n">
        <v>46470.6770833333</v>
      </c>
      <c r="B40" s="10" t="s">
        <v>1759</v>
      </c>
      <c r="C40" s="10" t="s">
        <v>1571</v>
      </c>
      <c r="D40" s="0" t="n">
        <v>5</v>
      </c>
      <c r="E40" s="10" t="s">
        <v>1571</v>
      </c>
    </row>
    <row r="41" customFormat="false" ht="15" hidden="false" customHeight="false" outlineLevel="0" collapsed="false">
      <c r="A41" s="42" t="n">
        <v>46471.3854166667</v>
      </c>
      <c r="B41" s="10" t="s">
        <v>1757</v>
      </c>
      <c r="C41" s="10" t="s">
        <v>1571</v>
      </c>
      <c r="D41" s="0" t="n">
        <v>4</v>
      </c>
      <c r="E41" s="10" t="s">
        <v>1554</v>
      </c>
      <c r="G41" s="10" t="s">
        <v>491</v>
      </c>
    </row>
    <row r="42" customFormat="false" ht="15" hidden="false" customHeight="false" outlineLevel="0" collapsed="false">
      <c r="A42" s="42" t="n">
        <v>46471.4041666667</v>
      </c>
      <c r="B42" s="10" t="s">
        <v>1759</v>
      </c>
      <c r="C42" s="10" t="s">
        <v>1571</v>
      </c>
      <c r="D42" s="0" t="n">
        <v>5</v>
      </c>
      <c r="E42" s="10" t="s">
        <v>1554</v>
      </c>
    </row>
    <row r="43" customFormat="false" ht="15" hidden="false" customHeight="false" outlineLevel="0" collapsed="false">
      <c r="A43" s="42" t="n">
        <v>46471.4104166667</v>
      </c>
      <c r="B43" s="10" t="s">
        <v>1750</v>
      </c>
      <c r="C43" s="10" t="s">
        <v>1571</v>
      </c>
      <c r="D43" s="0" t="n">
        <v>4</v>
      </c>
      <c r="E43" s="10" t="s">
        <v>1571</v>
      </c>
    </row>
    <row r="44" customFormat="false" ht="15" hidden="false" customHeight="false" outlineLevel="0" collapsed="false">
      <c r="A44" s="42" t="n">
        <v>46471.4131944445</v>
      </c>
      <c r="B44" s="10" t="s">
        <v>1759</v>
      </c>
      <c r="C44" s="10" t="s">
        <v>1571</v>
      </c>
      <c r="D44" s="0" t="n">
        <v>5</v>
      </c>
      <c r="E44" s="10" t="s">
        <v>1554</v>
      </c>
    </row>
    <row r="45" customFormat="false" ht="15" hidden="false" customHeight="false" outlineLevel="0" collapsed="false">
      <c r="A45" s="42" t="n">
        <v>46471.4645833333</v>
      </c>
      <c r="B45" s="10" t="s">
        <v>1756</v>
      </c>
      <c r="C45" s="10" t="s">
        <v>1571</v>
      </c>
      <c r="D45" s="0" t="n">
        <v>3</v>
      </c>
      <c r="E45" s="10" t="s">
        <v>1678</v>
      </c>
    </row>
    <row r="46" customFormat="false" ht="15" hidden="false" customHeight="false" outlineLevel="0" collapsed="false">
      <c r="A46" s="42" t="n">
        <v>46471.4763888889</v>
      </c>
      <c r="B46" s="10" t="s">
        <v>1751</v>
      </c>
      <c r="C46" s="10" t="s">
        <v>1571</v>
      </c>
      <c r="D46" s="0" t="n">
        <v>3</v>
      </c>
      <c r="E46" s="10" t="s">
        <v>1571</v>
      </c>
    </row>
    <row r="47" customFormat="false" ht="15" hidden="false" customHeight="false" outlineLevel="0" collapsed="false">
      <c r="A47" s="42" t="n">
        <v>46471.5159722222</v>
      </c>
      <c r="B47" s="10" t="s">
        <v>1758</v>
      </c>
      <c r="C47" s="10" t="s">
        <v>1571</v>
      </c>
      <c r="D47" s="0" t="n">
        <v>5</v>
      </c>
      <c r="E47" s="10" t="s">
        <v>1571</v>
      </c>
      <c r="G47" s="10" t="s">
        <v>512</v>
      </c>
    </row>
    <row r="48" customFormat="false" ht="15" hidden="false" customHeight="false" outlineLevel="0" collapsed="false">
      <c r="A48" s="42" t="n">
        <v>46471.5208333333</v>
      </c>
      <c r="B48" s="10" t="s">
        <v>1751</v>
      </c>
      <c r="C48" s="10" t="s">
        <v>1571</v>
      </c>
      <c r="D48" s="0" t="n">
        <v>4</v>
      </c>
      <c r="E48" s="10" t="s">
        <v>1678</v>
      </c>
      <c r="G48" s="10" t="s">
        <v>1685</v>
      </c>
    </row>
    <row r="49" customFormat="false" ht="15" hidden="false" customHeight="false" outlineLevel="0" collapsed="false">
      <c r="A49" s="42" t="n">
        <v>46471.5729166667</v>
      </c>
      <c r="B49" s="10" t="s">
        <v>1754</v>
      </c>
      <c r="C49" s="10" t="s">
        <v>1554</v>
      </c>
      <c r="F49" s="10" t="s">
        <v>1679</v>
      </c>
      <c r="G49" s="10" t="s">
        <v>1684</v>
      </c>
    </row>
    <row r="50" customFormat="false" ht="15" hidden="false" customHeight="false" outlineLevel="0" collapsed="false">
      <c r="A50" s="42" t="n">
        <v>46471.5805555556</v>
      </c>
      <c r="B50" s="10" t="s">
        <v>1754</v>
      </c>
      <c r="C50" s="10" t="s">
        <v>1571</v>
      </c>
      <c r="D50" s="0" t="n">
        <v>5</v>
      </c>
      <c r="E50" s="10" t="s">
        <v>1554</v>
      </c>
    </row>
    <row r="51" customFormat="false" ht="15" hidden="false" customHeight="false" outlineLevel="0" collapsed="false">
      <c r="A51" s="42" t="n">
        <v>46471.5958333333</v>
      </c>
      <c r="B51" s="10" t="s">
        <v>1751</v>
      </c>
      <c r="C51" s="10" t="s">
        <v>1571</v>
      </c>
      <c r="D51" s="0" t="n">
        <v>4</v>
      </c>
      <c r="E51" s="10" t="s">
        <v>1678</v>
      </c>
    </row>
    <row r="52" customFormat="false" ht="15" hidden="false" customHeight="false" outlineLevel="0" collapsed="false">
      <c r="A52" s="42" t="n">
        <v>46471.6152777778</v>
      </c>
      <c r="B52" s="10" t="s">
        <v>1755</v>
      </c>
      <c r="C52" s="10" t="s">
        <v>1571</v>
      </c>
      <c r="D52" s="0" t="n">
        <v>3</v>
      </c>
      <c r="E52" s="10" t="s">
        <v>1678</v>
      </c>
    </row>
    <row r="53" customFormat="false" ht="15" hidden="false" customHeight="false" outlineLevel="0" collapsed="false">
      <c r="A53" s="42" t="n">
        <v>46471.6340277778</v>
      </c>
      <c r="B53" s="10" t="s">
        <v>1750</v>
      </c>
      <c r="C53" s="10" t="s">
        <v>1571</v>
      </c>
      <c r="D53" s="0" t="n">
        <v>4</v>
      </c>
      <c r="E53" s="10" t="s">
        <v>1554</v>
      </c>
      <c r="G53" s="10" t="s">
        <v>1685</v>
      </c>
    </row>
    <row r="54" customFormat="false" ht="15" hidden="false" customHeight="false" outlineLevel="0" collapsed="false">
      <c r="A54" s="42" t="n">
        <v>46471.6430555556</v>
      </c>
      <c r="B54" s="10" t="s">
        <v>1758</v>
      </c>
      <c r="C54" s="10" t="s">
        <v>1571</v>
      </c>
      <c r="D54" s="0" t="n">
        <v>4</v>
      </c>
      <c r="E54" s="10" t="s">
        <v>1678</v>
      </c>
    </row>
    <row r="55" customFormat="false" ht="15" hidden="false" customHeight="false" outlineLevel="0" collapsed="false">
      <c r="A55" s="42" t="n">
        <v>46471.6527777778</v>
      </c>
      <c r="B55" s="10" t="s">
        <v>1759</v>
      </c>
      <c r="C55" s="10" t="s">
        <v>1571</v>
      </c>
      <c r="D55" s="0" t="n">
        <v>4</v>
      </c>
      <c r="E55" s="10" t="s">
        <v>1571</v>
      </c>
    </row>
    <row r="56" customFormat="false" ht="15" hidden="false" customHeight="false" outlineLevel="0" collapsed="false">
      <c r="A56" s="42" t="n">
        <v>46471.6555555556</v>
      </c>
      <c r="B56" s="10" t="s">
        <v>1752</v>
      </c>
      <c r="C56" s="10" t="s">
        <v>1571</v>
      </c>
      <c r="D56" s="0" t="n">
        <v>5</v>
      </c>
      <c r="E56" s="10" t="s">
        <v>1678</v>
      </c>
    </row>
    <row r="57" customFormat="false" ht="15" hidden="false" customHeight="false" outlineLevel="0" collapsed="false">
      <c r="A57" s="42" t="n">
        <v>46471.6777777778</v>
      </c>
      <c r="B57" s="10" t="s">
        <v>1750</v>
      </c>
      <c r="C57" s="10" t="s">
        <v>1571</v>
      </c>
      <c r="D57" s="0" t="n">
        <v>3</v>
      </c>
      <c r="E57" s="10" t="s">
        <v>1678</v>
      </c>
    </row>
    <row r="58" customFormat="false" ht="15" hidden="false" customHeight="false" outlineLevel="0" collapsed="false">
      <c r="A58" s="42" t="n">
        <v>46471.6895833333</v>
      </c>
      <c r="B58" s="10" t="s">
        <v>1755</v>
      </c>
      <c r="C58" s="10" t="s">
        <v>1571</v>
      </c>
      <c r="D58" s="0" t="n">
        <v>4</v>
      </c>
      <c r="E58" s="10" t="s">
        <v>1678</v>
      </c>
      <c r="G58" s="10" t="s">
        <v>510</v>
      </c>
    </row>
    <row r="59" customFormat="false" ht="15" hidden="false" customHeight="false" outlineLevel="0" collapsed="false">
      <c r="A59" s="42" t="n">
        <v>46472.3805555556</v>
      </c>
      <c r="B59" s="10" t="s">
        <v>1758</v>
      </c>
      <c r="C59" s="10" t="s">
        <v>1554</v>
      </c>
      <c r="F59" s="10" t="s">
        <v>1683</v>
      </c>
    </row>
    <row r="60" customFormat="false" ht="15" hidden="false" customHeight="false" outlineLevel="0" collapsed="false">
      <c r="A60" s="42" t="n">
        <v>46472.4597222222</v>
      </c>
      <c r="B60" s="10" t="s">
        <v>1759</v>
      </c>
      <c r="C60" s="10" t="s">
        <v>1554</v>
      </c>
      <c r="F60" s="10" t="s">
        <v>1679</v>
      </c>
    </row>
    <row r="61" customFormat="false" ht="15" hidden="false" customHeight="false" outlineLevel="0" collapsed="false">
      <c r="A61" s="42" t="n">
        <v>46472.6041666667</v>
      </c>
      <c r="B61" s="10" t="s">
        <v>1750</v>
      </c>
      <c r="C61" s="10" t="s">
        <v>1571</v>
      </c>
      <c r="D61" s="0" t="n">
        <v>5</v>
      </c>
      <c r="E61" s="10" t="s">
        <v>1678</v>
      </c>
      <c r="G61" s="10" t="s">
        <v>1684</v>
      </c>
    </row>
    <row r="62" customFormat="false" ht="15" hidden="false" customHeight="false" outlineLevel="0" collapsed="false">
      <c r="A62" s="42" t="n">
        <v>46472.6951388889</v>
      </c>
      <c r="B62" s="10" t="s">
        <v>1754</v>
      </c>
      <c r="C62" s="10" t="s">
        <v>1554</v>
      </c>
      <c r="F62" s="10" t="s">
        <v>1676</v>
      </c>
    </row>
    <row r="63" customFormat="false" ht="15" hidden="false" customHeight="false" outlineLevel="0" collapsed="false">
      <c r="A63" s="42" t="n">
        <v>46475.3951388889</v>
      </c>
      <c r="B63" s="10" t="s">
        <v>1755</v>
      </c>
      <c r="C63" s="10" t="s">
        <v>1554</v>
      </c>
      <c r="F63" s="10" t="s">
        <v>1679</v>
      </c>
    </row>
    <row r="64" customFormat="false" ht="15" hidden="false" customHeight="false" outlineLevel="0" collapsed="false">
      <c r="A64" s="42" t="n">
        <v>46475.6013888889</v>
      </c>
      <c r="B64" s="10" t="s">
        <v>1756</v>
      </c>
      <c r="C64" s="10" t="s">
        <v>1571</v>
      </c>
      <c r="D64" s="0" t="n">
        <v>5</v>
      </c>
      <c r="E64" s="10" t="s">
        <v>1554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2026-10-24T12:01:06Z</dcterms:created>
  <dc:creator>openpyxl</dc:creator>
  <dc:description/>
  <dc:language>en-US</dc:language>
  <cp:lastModifiedBy/>
  <dcterms:modified xsi:type="dcterms:W3CDTF">2026-10-24T12:01:09Z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